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uymo\Downloads\"/>
    </mc:Choice>
  </mc:AlternateContent>
  <xr:revisionPtr revIDLastSave="0" documentId="13_ncr:1_{7AB9EA30-8273-4037-B584-4EE047AC7B29}" xr6:coauthVersionLast="47" xr6:coauthVersionMax="47" xr10:uidLastSave="{00000000-0000-0000-0000-000000000000}"/>
  <bookViews>
    <workbookView xWindow="32160" yWindow="-645" windowWidth="32820" windowHeight="15225" firstSheet="8" activeTab="9" xr2:uid="{00000000-000D-0000-FFFF-FFFF00000000}"/>
  </bookViews>
  <sheets>
    <sheet name="Summary" sheetId="1" r:id="rId1"/>
    <sheet name="Underwriting" sheetId="2" r:id="rId2"/>
    <sheet name="Annual Cash Flow" sheetId="3" r:id="rId3"/>
    <sheet name="Tenant Report" sheetId="4" r:id="rId4"/>
    <sheet name="Data" sheetId="5" r:id="rId5"/>
    <sheet name="Financial Statements" sheetId="6" r:id="rId6"/>
    <sheet name="VALUATION &amp; RETURNS" sheetId="7" r:id="rId7"/>
    <sheet name="INVESTOR REPORT" sheetId="8" r:id="rId8"/>
    <sheet name="DEBT" sheetId="9" r:id="rId9"/>
    <sheet name="DATA MAP" sheetId="10" r:id="rId10"/>
    <sheet name="FUNDING &amp; CAP TABLE" sheetId="11" r:id="rId11"/>
    <sheet name="URWLD COMPANY INPUTS" sheetId="13" r:id="rId12"/>
    <sheet name="INPUT REGISTER" sheetId="20" r:id="rId13"/>
    <sheet name="MODEL GUIDE" sheetId="17" r:id="rId14"/>
  </sheets>
  <definedNames>
    <definedName name="_InvestorSelectorList" hidden="1">'VALUATION &amp; RETURNS'!$B$26:$B$33</definedName>
    <definedName name="CF_Report?">Summary!$A$37</definedName>
    <definedName name="ConstDebt_Payoff">Underwriting!$E$75</definedName>
    <definedName name="CU?">Underwriting!$EQ$207</definedName>
    <definedName name="Dbl_Promote?">Underwriting!$A$220</definedName>
    <definedName name="Debt_LTC_Actual">Underwriting!$F$61</definedName>
    <definedName name="Debt_LTC_Target">Underwriting!$C$61</definedName>
    <definedName name="Debt_Total">Underwriting!$I$61</definedName>
    <definedName name="Dev_Spread">Underwriting!$I$5</definedName>
    <definedName name="EGR_0">Underwriting!$L$130</definedName>
    <definedName name="Equity_Total">Underwriting!$I$60</definedName>
    <definedName name="Fixed_Variable">Underwriting!$A$62</definedName>
    <definedName name="Interest_Const_Loan">Underwriting!$E$65</definedName>
    <definedName name="Interest_Mezz_Loan">Underwriting!$E$66</definedName>
    <definedName name="Investment_Name">Underwriting!$E$9</definedName>
    <definedName name="Items_Hard_Costs">Underwriting!$ER$38</definedName>
    <definedName name="Items_Industrial_Tenants">Underwriting!$I$91</definedName>
    <definedName name="Items_Land_Costs">Underwriting!$ER$31</definedName>
    <definedName name="Items_Opex">Underwriting!$ER$138</definedName>
    <definedName name="Items_Soft_Costs">Underwriting!$ER$47</definedName>
    <definedName name="Land_Value">Underwriting!$I$27</definedName>
    <definedName name="LeaseUp_Formula">Underwriting!$L$89</definedName>
    <definedName name="Mgmt_Fee_0">Underwriting!$L$135</definedName>
    <definedName name="Mgmt_Fee_Pct">Underwriting!$G$135</definedName>
    <definedName name="Nav_Development_CF">Underwriting!$B$23:$I$85</definedName>
    <definedName name="Nav_Industrial_Expenses">Underwriting!$B$132:$I$141</definedName>
    <definedName name="Nav_Industrial_Reserves">Underwriting!$B$142:$I$151</definedName>
    <definedName name="Nav_Investment_Description">Underwriting!$B$8:$I$21</definedName>
    <definedName name="Nav_Operating_CF">Underwriting!$B$86:$I$158</definedName>
    <definedName name="Nav_Operating_Expenses_Summary">Underwriting!$B$152:$I$155</definedName>
    <definedName name="Nav_Residual_CF">Underwriting!$B$159:$I$193</definedName>
    <definedName name="Nav_Sensitivity">Underwriting!$B$269:$I$286</definedName>
    <definedName name="Nav_Waterfall_CF">Underwriting!$B$194:$I$246</definedName>
    <definedName name="OpEx_6">Underwriting!$I$152</definedName>
    <definedName name="OpEx_7">Underwriting!$I$153</definedName>
    <definedName name="OpEx_Ins">Underwriting!$I$155</definedName>
    <definedName name="OpEx_MgtFee">Underwriting!$I$154</definedName>
    <definedName name="Perm_Debt?">Underwriting!$A$79</definedName>
    <definedName name="PermDebt_Fund">Underwriting!$C$82</definedName>
    <definedName name="PermDebt_Payoff">Underwriting!$C$83</definedName>
    <definedName name="_xlnm.Print_Area" localSheetId="12">'INPUT REGISTER'!$A$1:$G$670</definedName>
    <definedName name="_xlnm.Print_Area" localSheetId="11">'URWLD COMPANY INPUTS'!$A$1:$G$884</definedName>
    <definedName name="_xlnm.Print_Titles" localSheetId="12">'INPUT REGISTER'!$10:$10</definedName>
    <definedName name="_xlnm.Print_Titles" localSheetId="11">'URWLD COMPANY INPUTS'!$10:$10</definedName>
    <definedName name="Project_Cost_Total">Underwriting!$I$57</definedName>
    <definedName name="Proxy_Fee">Underwriting!$G$290</definedName>
    <definedName name="Range_Building_Type">Data!$B$25:INDEX(Data!$B$25:$B$46,COUNTA(Data!$B$25:$B$46))</definedName>
    <definedName name="Range_Debt">Underwriting!$L$75:INDEX(Underwriting!$L$75:$EN$75,1,Timing_Reversion_Month+1)</definedName>
    <definedName name="Range_Equity">Underwriting!$L$69:INDEX(Underwriting!$L$69:$EN$69,1,Timing_Reversion_Month+1)</definedName>
    <definedName name="Range_LeaseUp">Underwriting!$M$89:$EN$89</definedName>
    <definedName name="Range_Levered_CF">Underwriting!$L$212:INDEX(Underwriting!$L$212:$EN$212,1,Timing_Reversion_Month+1)</definedName>
    <definedName name="Range_Months">Underwriting!$L$86:INDEX(Underwriting!$L$86:$EN$86,1,Timing_Reversion_Month+1)</definedName>
    <definedName name="Range_NOI">Underwriting!$L$140:INDEX(Underwriting!$L$140:$EN$140,1,Timing_Reversion_Month+1)</definedName>
    <definedName name="Range_PermDebt">Underwriting!$80:$84</definedName>
    <definedName name="Range_PermDS">Underwriting!$156:$157</definedName>
    <definedName name="Range_Tenant_Type">Data!$D$25:INDEX(Data!$D$25:$D$46,COUNTA(Data!$D$25:$D$46))</definedName>
    <definedName name="Range_Total_Cost">Underwriting!$L$57:INDEX(Underwriting!$L$57:$EN$57,1,Timing_Reversion_Month+1)</definedName>
    <definedName name="Recalc?">Underwriting!$C$292</definedName>
    <definedName name="Recalc_Const">Underwriting!$C$290</definedName>
    <definedName name="Recalc_Mgmt">Underwriting!$C$291</definedName>
    <definedName name="Rel_2nd_Promote">Underwriting!$A$247:$A$267</definedName>
    <definedName name="Rel_Calc">Underwriting!$EP$1:$JX$1</definedName>
    <definedName name="Rel_EGR_ProForma">Underwriting!$I$130</definedName>
    <definedName name="Rel_End">Underwriting!$A$287</definedName>
    <definedName name="Rel_Hard_Costs">Underwriting!$A$38</definedName>
    <definedName name="Rel_Industrial_Base">Underwriting!$A$105</definedName>
    <definedName name="Rel_Industrial_Income_ProForma">Underwriting!$A$178</definedName>
    <definedName name="Rel_Industrial_Recovery_Income">Underwriting!$A$120</definedName>
    <definedName name="Rel_Land_Costs">Underwriting!$A$31</definedName>
    <definedName name="Rel_Mgmt_Fee_All">Underwriting!$L$135:$EN$135</definedName>
    <definedName name="REL_Mgmt_Fee_Proforma">Underwriting!$I$135</definedName>
    <definedName name="Rel_OpEx">Underwriting!$A$133</definedName>
    <definedName name="Rel_OpEx_Annual">'Annual Cash Flow'!$A$28</definedName>
    <definedName name="Rel_OpEx_Annual_Mo">'Annual Cash Flow'!$A$68</definedName>
    <definedName name="Rel_Opex_Rev">Underwriting!$A$172</definedName>
    <definedName name="Rel_PermDebtPayoff">Underwriting!$207:$207</definedName>
    <definedName name="Rel_PermDS">Underwriting!$203:$203</definedName>
    <definedName name="Rel_PermFunding">Underwriting!$200:$200</definedName>
    <definedName name="Rel_Reversion_Other_Income">Underwriting!$A$177</definedName>
    <definedName name="Rel_Sensitivity">Underwriting!$A$269</definedName>
    <definedName name="Rel_Soft_Costs">Underwriting!$A$47</definedName>
    <definedName name="Scurve_Dist">Data!$E$4</definedName>
    <definedName name="Show_Calc?">Underwriting!$EO$5</definedName>
    <definedName name="Stabilization_1st_Month">Underwriting!$D$89</definedName>
    <definedName name="Tenant_Report?">Summary!$A$19</definedName>
    <definedName name="Timing_Actuals_Cutoff">Underwriting!$E$13</definedName>
    <definedName name="Timing_Analysis_End_Month">Underwriting!$I$16</definedName>
    <definedName name="Timing_Construction_End">Underwriting!$E$57</definedName>
    <definedName name="Timing_Growth_Begin_Income">Underwriting!$E$89</definedName>
    <definedName name="Timing_Operation_Begin_Month">Underwriting!$D$88</definedName>
    <definedName name="Timing_Period_Status">Underwriting!$L$4:$EN$4</definedName>
    <definedName name="Timing_Reversion_Month">Underwriting!$D$164</definedName>
    <definedName name="Unit_Type">Underwriting!$I$8</definedName>
    <definedName name="Units">Underwriting!$E$105</definedName>
    <definedName name="Units_Ind">Units</definedName>
    <definedName name="Units_SF_M2">Underwriting!$I$18</definedName>
    <definedName name="Valuation_Reversion">Underwriting!$I$191</definedName>
    <definedName name="Valuation_Trended">Underwriting!$H$191</definedName>
    <definedName name="Valuation_Untrended">Underwriting!$G$191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5" i="20" l="1"/>
  <c r="M52" i="4" s="1"/>
  <c r="F384" i="20"/>
  <c r="L52" i="4" s="1"/>
  <c r="F383" i="20"/>
  <c r="K52" i="4" s="1"/>
  <c r="F381" i="20"/>
  <c r="J52" i="4" s="1"/>
  <c r="F380" i="20"/>
  <c r="I52" i="4" s="1"/>
  <c r="F378" i="20"/>
  <c r="H52" i="4" s="1"/>
  <c r="F377" i="20"/>
  <c r="G52" i="4" s="1"/>
  <c r="F376" i="20"/>
  <c r="F52" i="4" s="1"/>
  <c r="F375" i="20"/>
  <c r="E52" i="4" s="1"/>
  <c r="F374" i="20"/>
  <c r="G95" i="2" s="1"/>
  <c r="F301" i="20"/>
  <c r="M54" i="4" s="1"/>
  <c r="F300" i="20"/>
  <c r="L54" i="4" s="1"/>
  <c r="F299" i="20"/>
  <c r="K54" i="4" s="1"/>
  <c r="F297" i="20"/>
  <c r="J54" i="4" s="1"/>
  <c r="F296" i="20"/>
  <c r="I54" i="4" s="1"/>
  <c r="F294" i="20"/>
  <c r="H54" i="4" s="1"/>
  <c r="F293" i="20"/>
  <c r="G54" i="4" s="1"/>
  <c r="F292" i="20"/>
  <c r="F54" i="4" s="1"/>
  <c r="F291" i="20"/>
  <c r="E54" i="4" s="1"/>
  <c r="F290" i="20"/>
  <c r="G97" i="2" s="1"/>
  <c r="K38" i="4" s="1"/>
  <c r="F263" i="20"/>
  <c r="D262" i="20"/>
  <c r="D259" i="20"/>
  <c r="D256" i="20"/>
  <c r="D253" i="20"/>
  <c r="D250" i="20"/>
  <c r="F234" i="20"/>
  <c r="M50" i="4" s="1"/>
  <c r="F233" i="20"/>
  <c r="L50" i="4" s="1"/>
  <c r="F232" i="20"/>
  <c r="K50" i="4" s="1"/>
  <c r="F230" i="20"/>
  <c r="J50" i="4" s="1"/>
  <c r="F229" i="20"/>
  <c r="I50" i="4" s="1"/>
  <c r="F227" i="20"/>
  <c r="H50" i="4" s="1"/>
  <c r="F226" i="20"/>
  <c r="G50" i="4" s="1"/>
  <c r="F225" i="20"/>
  <c r="F50" i="4" s="1"/>
  <c r="F224" i="20"/>
  <c r="E50" i="4" s="1"/>
  <c r="F223" i="20"/>
  <c r="G93" i="2" s="1"/>
  <c r="KC93" i="2" s="1"/>
  <c r="H104" i="2"/>
  <c r="I45" i="4" s="1"/>
  <c r="E80" i="10"/>
  <c r="H103" i="2"/>
  <c r="I44" i="4" s="1"/>
  <c r="E79" i="10"/>
  <c r="H102" i="2"/>
  <c r="I43" i="4" s="1"/>
  <c r="E78" i="10"/>
  <c r="H101" i="2"/>
  <c r="E77" i="10"/>
  <c r="H100" i="2"/>
  <c r="I41" i="4" s="1"/>
  <c r="E76" i="10"/>
  <c r="H99" i="2"/>
  <c r="I40" i="4" s="1"/>
  <c r="E75" i="10"/>
  <c r="H98" i="2"/>
  <c r="E74" i="10"/>
  <c r="H97" i="2"/>
  <c r="I38" i="4" s="1"/>
  <c r="E73" i="10"/>
  <c r="H96" i="2"/>
  <c r="I37" i="4" s="1"/>
  <c r="E72" i="10"/>
  <c r="H95" i="2"/>
  <c r="E71" i="10"/>
  <c r="H94" i="2"/>
  <c r="I35" i="4" s="1"/>
  <c r="E70" i="10"/>
  <c r="H93" i="2"/>
  <c r="E69" i="10"/>
  <c r="F155" i="20"/>
  <c r="E155" i="20"/>
  <c r="D155" i="20"/>
  <c r="F154" i="20"/>
  <c r="E154" i="20"/>
  <c r="D154" i="20"/>
  <c r="F153" i="20"/>
  <c r="E153" i="20"/>
  <c r="D153" i="20"/>
  <c r="F152" i="20"/>
  <c r="E152" i="20"/>
  <c r="D152" i="20"/>
  <c r="F151" i="20"/>
  <c r="E151" i="20"/>
  <c r="D151" i="20"/>
  <c r="F150" i="20"/>
  <c r="E150" i="20"/>
  <c r="D150" i="20"/>
  <c r="F149" i="20"/>
  <c r="E149" i="20"/>
  <c r="D149" i="20"/>
  <c r="F148" i="20"/>
  <c r="E148" i="20"/>
  <c r="D148" i="20"/>
  <c r="F147" i="20"/>
  <c r="E147" i="20"/>
  <c r="D147" i="20"/>
  <c r="F145" i="20"/>
  <c r="E145" i="20"/>
  <c r="D145" i="20"/>
  <c r="F144" i="20"/>
  <c r="E144" i="20"/>
  <c r="D144" i="20"/>
  <c r="F143" i="20"/>
  <c r="E143" i="20"/>
  <c r="D143" i="20"/>
  <c r="F142" i="20"/>
  <c r="E142" i="20"/>
  <c r="D142" i="20"/>
  <c r="F141" i="20"/>
  <c r="E141" i="20"/>
  <c r="D141" i="20"/>
  <c r="F140" i="20"/>
  <c r="E140" i="20"/>
  <c r="D140" i="20"/>
  <c r="F139" i="20"/>
  <c r="E139" i="20"/>
  <c r="D139" i="20"/>
  <c r="F138" i="20"/>
  <c r="E138" i="20"/>
  <c r="D138" i="20"/>
  <c r="F137" i="20"/>
  <c r="E137" i="20"/>
  <c r="D137" i="20"/>
  <c r="F135" i="20"/>
  <c r="E135" i="20"/>
  <c r="D135" i="20"/>
  <c r="F134" i="20"/>
  <c r="E134" i="20"/>
  <c r="D134" i="20"/>
  <c r="F133" i="20"/>
  <c r="E133" i="20"/>
  <c r="D133" i="20"/>
  <c r="F132" i="20"/>
  <c r="E132" i="20"/>
  <c r="D132" i="20"/>
  <c r="F130" i="20"/>
  <c r="E130" i="20"/>
  <c r="D130" i="20"/>
  <c r="F129" i="20"/>
  <c r="E129" i="20"/>
  <c r="D129" i="20"/>
  <c r="F128" i="20"/>
  <c r="E128" i="20"/>
  <c r="D128" i="20"/>
  <c r="F127" i="20"/>
  <c r="E127" i="20"/>
  <c r="D127" i="20"/>
  <c r="F126" i="20"/>
  <c r="E126" i="20"/>
  <c r="D126" i="20"/>
  <c r="F124" i="20"/>
  <c r="E124" i="20"/>
  <c r="D124" i="20"/>
  <c r="F123" i="20"/>
  <c r="E123" i="20"/>
  <c r="D123" i="20"/>
  <c r="F121" i="20"/>
  <c r="E121" i="20"/>
  <c r="D121" i="20"/>
  <c r="F120" i="20"/>
  <c r="E120" i="20"/>
  <c r="D120" i="20"/>
  <c r="F119" i="20"/>
  <c r="E119" i="20"/>
  <c r="D119" i="20"/>
  <c r="F118" i="20"/>
  <c r="E118" i="20"/>
  <c r="D118" i="20"/>
  <c r="F117" i="20"/>
  <c r="E117" i="20"/>
  <c r="D117" i="20"/>
  <c r="F116" i="20"/>
  <c r="E116" i="20"/>
  <c r="D116" i="20"/>
  <c r="F115" i="20"/>
  <c r="E115" i="20"/>
  <c r="D115" i="20"/>
  <c r="F114" i="20"/>
  <c r="E114" i="20"/>
  <c r="D114" i="20"/>
  <c r="F113" i="20"/>
  <c r="E113" i="20"/>
  <c r="D113" i="20"/>
  <c r="F112" i="20"/>
  <c r="E112" i="20"/>
  <c r="D112" i="20"/>
  <c r="F111" i="20"/>
  <c r="E111" i="20"/>
  <c r="D111" i="20"/>
  <c r="F110" i="20"/>
  <c r="E110" i="20"/>
  <c r="D110" i="20"/>
  <c r="F109" i="20"/>
  <c r="E109" i="20"/>
  <c r="D109" i="20"/>
  <c r="F108" i="20"/>
  <c r="E108" i="20"/>
  <c r="D108" i="20"/>
  <c r="F107" i="20"/>
  <c r="E107" i="20"/>
  <c r="D107" i="20"/>
  <c r="F106" i="20"/>
  <c r="E106" i="20"/>
  <c r="D106" i="20"/>
  <c r="F105" i="20"/>
  <c r="E105" i="20"/>
  <c r="D105" i="20"/>
  <c r="F104" i="20"/>
  <c r="E104" i="20"/>
  <c r="D104" i="20"/>
  <c r="F103" i="20"/>
  <c r="E103" i="20"/>
  <c r="D103" i="20"/>
  <c r="F102" i="20"/>
  <c r="E102" i="20"/>
  <c r="D102" i="20"/>
  <c r="F101" i="20"/>
  <c r="E101" i="20"/>
  <c r="D101" i="20"/>
  <c r="F100" i="20"/>
  <c r="E100" i="20"/>
  <c r="D100" i="20"/>
  <c r="F99" i="20"/>
  <c r="E99" i="20"/>
  <c r="D99" i="20"/>
  <c r="F136" i="20"/>
  <c r="E136" i="20"/>
  <c r="D136" i="20"/>
  <c r="F98" i="20"/>
  <c r="E98" i="20"/>
  <c r="D98" i="20"/>
  <c r="F63" i="20"/>
  <c r="E63" i="20"/>
  <c r="D63" i="20"/>
  <c r="F97" i="20"/>
  <c r="E97" i="20"/>
  <c r="D97" i="20"/>
  <c r="F125" i="20"/>
  <c r="E125" i="20"/>
  <c r="D125" i="20"/>
  <c r="F96" i="20"/>
  <c r="E96" i="20"/>
  <c r="D96" i="20"/>
  <c r="F51" i="20"/>
  <c r="E51" i="20"/>
  <c r="D51" i="20"/>
  <c r="F95" i="20"/>
  <c r="E95" i="20"/>
  <c r="D95" i="20"/>
  <c r="F94" i="20"/>
  <c r="E94" i="20"/>
  <c r="D94" i="20"/>
  <c r="C58" i="17"/>
  <c r="B11" i="17"/>
  <c r="B10" i="17"/>
  <c r="B8" i="17"/>
  <c r="B6" i="17"/>
  <c r="D14" i="11"/>
  <c r="C14" i="11" s="1"/>
  <c r="E14" i="11" s="1"/>
  <c r="D13" i="11"/>
  <c r="C13" i="11" s="1"/>
  <c r="E13" i="11" s="1"/>
  <c r="D12" i="11"/>
  <c r="D30" i="7" s="1"/>
  <c r="D11" i="11"/>
  <c r="C11" i="11" s="1"/>
  <c r="E11" i="11" s="1"/>
  <c r="D10" i="11"/>
  <c r="C10" i="11" s="1"/>
  <c r="E10" i="11" s="1"/>
  <c r="D9" i="11"/>
  <c r="C9" i="11" s="1"/>
  <c r="E9" i="11" s="1"/>
  <c r="D8" i="11"/>
  <c r="C8" i="11" s="1"/>
  <c r="C492" i="10"/>
  <c r="C487" i="10"/>
  <c r="C482" i="10"/>
  <c r="C470" i="10"/>
  <c r="C468" i="10"/>
  <c r="C467" i="10"/>
  <c r="C466" i="10"/>
  <c r="C465" i="10"/>
  <c r="C464" i="10"/>
  <c r="C459" i="10"/>
  <c r="C455" i="10"/>
  <c r="C448" i="10"/>
  <c r="E270" i="10"/>
  <c r="E261" i="10"/>
  <c r="E259" i="10"/>
  <c r="C172" i="10"/>
  <c r="C167" i="10"/>
  <c r="E136" i="10"/>
  <c r="E135" i="10"/>
  <c r="E134" i="10"/>
  <c r="E133" i="10"/>
  <c r="E132" i="10"/>
  <c r="E131" i="10"/>
  <c r="E130" i="10"/>
  <c r="E112" i="10"/>
  <c r="E111" i="10"/>
  <c r="E110" i="10"/>
  <c r="E109" i="10"/>
  <c r="E83" i="10"/>
  <c r="E82" i="10"/>
  <c r="E68" i="10"/>
  <c r="E64" i="10"/>
  <c r="E63" i="10"/>
  <c r="E62" i="10"/>
  <c r="E61" i="10"/>
  <c r="F189" i="9"/>
  <c r="F142" i="9"/>
  <c r="F116" i="9"/>
  <c r="F101" i="9"/>
  <c r="F74" i="9"/>
  <c r="F65" i="9"/>
  <c r="B51" i="9"/>
  <c r="B50" i="9"/>
  <c r="B49" i="9"/>
  <c r="B48" i="9"/>
  <c r="B47" i="9"/>
  <c r="B46" i="9"/>
  <c r="B45" i="9"/>
  <c r="B44" i="9"/>
  <c r="B43" i="9"/>
  <c r="B42" i="9"/>
  <c r="B41" i="9"/>
  <c r="J39" i="9"/>
  <c r="B39" i="9"/>
  <c r="B40" i="9" s="1"/>
  <c r="J38" i="9"/>
  <c r="B38" i="9"/>
  <c r="J37" i="9"/>
  <c r="B36" i="9"/>
  <c r="K33" i="9"/>
  <c r="FY26" i="7" s="1"/>
  <c r="B33" i="9"/>
  <c r="K32" i="9"/>
  <c r="K31" i="9"/>
  <c r="B28" i="9"/>
  <c r="B27" i="9"/>
  <c r="CO104" i="9" s="1"/>
  <c r="B25" i="9"/>
  <c r="B26" i="9" s="1"/>
  <c r="B21" i="9"/>
  <c r="B18" i="9"/>
  <c r="D41" i="8" s="1"/>
  <c r="B17" i="9"/>
  <c r="B16" i="9"/>
  <c r="B14" i="9"/>
  <c r="B12" i="9"/>
  <c r="B13" i="9" s="1"/>
  <c r="B11" i="9"/>
  <c r="B7" i="9"/>
  <c r="A182" i="8"/>
  <c r="G138" i="8"/>
  <c r="F138" i="8"/>
  <c r="G137" i="8"/>
  <c r="F137" i="8"/>
  <c r="G136" i="8"/>
  <c r="F136" i="8"/>
  <c r="E125" i="8"/>
  <c r="A61" i="8"/>
  <c r="A48" i="8"/>
  <c r="R20" i="8"/>
  <c r="S19" i="8"/>
  <c r="C4" i="8"/>
  <c r="DA149" i="7"/>
  <c r="CZ149" i="7"/>
  <c r="CY149" i="7"/>
  <c r="CX149" i="7"/>
  <c r="CW149" i="7"/>
  <c r="CV149" i="7"/>
  <c r="CU149" i="7"/>
  <c r="CT149" i="7"/>
  <c r="CS149" i="7"/>
  <c r="CR135" i="7"/>
  <c r="CR133" i="7"/>
  <c r="CR122" i="7"/>
  <c r="D118" i="7"/>
  <c r="D117" i="7"/>
  <c r="D116" i="7"/>
  <c r="D115" i="7"/>
  <c r="D114" i="7"/>
  <c r="C114" i="7"/>
  <c r="D113" i="7"/>
  <c r="D112" i="7"/>
  <c r="D111" i="7"/>
  <c r="D110" i="7"/>
  <c r="D109" i="7"/>
  <c r="D108" i="7"/>
  <c r="D107" i="7"/>
  <c r="D106" i="7"/>
  <c r="DD70" i="7"/>
  <c r="CQ70" i="7"/>
  <c r="CV69" i="7"/>
  <c r="CV68" i="7"/>
  <c r="CV67" i="7"/>
  <c r="CV66" i="7"/>
  <c r="CV65" i="7"/>
  <c r="CV64" i="7"/>
  <c r="CV63" i="7"/>
  <c r="CV62" i="7"/>
  <c r="B60" i="7"/>
  <c r="CQ64" i="7" s="1"/>
  <c r="CQ37" i="7"/>
  <c r="CQ36" i="7"/>
  <c r="CQ35" i="7"/>
  <c r="CQ34" i="7"/>
  <c r="C34" i="7"/>
  <c r="CQ33" i="7"/>
  <c r="F33" i="7"/>
  <c r="AE65" i="7" s="1"/>
  <c r="E33" i="7"/>
  <c r="CS69" i="7" s="1"/>
  <c r="C33" i="7"/>
  <c r="B33" i="7"/>
  <c r="B65" i="7" s="1"/>
  <c r="CQ69" i="7" s="1"/>
  <c r="CQ32" i="7"/>
  <c r="F32" i="7"/>
  <c r="E32" i="7"/>
  <c r="CS68" i="7" s="1"/>
  <c r="C32" i="7"/>
  <c r="B32" i="7"/>
  <c r="B64" i="7" s="1"/>
  <c r="CQ68" i="7" s="1"/>
  <c r="GC31" i="7"/>
  <c r="GB31" i="7"/>
  <c r="GA31" i="7"/>
  <c r="FZ31" i="7"/>
  <c r="FY31" i="7"/>
  <c r="FX31" i="7"/>
  <c r="CQ31" i="7"/>
  <c r="F31" i="7"/>
  <c r="Y63" i="7" s="1"/>
  <c r="E31" i="7"/>
  <c r="CS67" i="7" s="1"/>
  <c r="C31" i="7"/>
  <c r="B31" i="7"/>
  <c r="B63" i="7" s="1"/>
  <c r="CQ67" i="7" s="1"/>
  <c r="CQ30" i="7"/>
  <c r="F30" i="7"/>
  <c r="AE62" i="7" s="1"/>
  <c r="E30" i="7"/>
  <c r="CS66" i="7" s="1"/>
  <c r="C30" i="7"/>
  <c r="B30" i="7"/>
  <c r="B62" i="7" s="1"/>
  <c r="CQ66" i="7" s="1"/>
  <c r="CQ29" i="7"/>
  <c r="F29" i="7"/>
  <c r="AE61" i="7" s="1"/>
  <c r="E29" i="7"/>
  <c r="CS65" i="7" s="1"/>
  <c r="C29" i="7"/>
  <c r="B29" i="7"/>
  <c r="B61" i="7" s="1"/>
  <c r="CQ65" i="7" s="1"/>
  <c r="GC28" i="7"/>
  <c r="GB28" i="7"/>
  <c r="GA28" i="7"/>
  <c r="FZ28" i="7"/>
  <c r="FY28" i="7"/>
  <c r="FX28" i="7"/>
  <c r="CQ28" i="7"/>
  <c r="F28" i="7"/>
  <c r="AE60" i="7" s="1"/>
  <c r="E28" i="7"/>
  <c r="CS64" i="7" s="1"/>
  <c r="C28" i="7"/>
  <c r="CQ27" i="7"/>
  <c r="F27" i="7"/>
  <c r="Y59" i="7" s="1"/>
  <c r="E27" i="7"/>
  <c r="CS63" i="7" s="1"/>
  <c r="C27" i="7"/>
  <c r="B27" i="7"/>
  <c r="B59" i="7" s="1"/>
  <c r="CQ63" i="7" s="1"/>
  <c r="CQ26" i="7"/>
  <c r="F26" i="7"/>
  <c r="AB58" i="7" s="1"/>
  <c r="E26" i="7"/>
  <c r="C26" i="7"/>
  <c r="B26" i="7"/>
  <c r="GC25" i="7"/>
  <c r="GB25" i="7"/>
  <c r="GA25" i="7"/>
  <c r="FZ25" i="7"/>
  <c r="FY25" i="7"/>
  <c r="FX25" i="7"/>
  <c r="O22" i="7"/>
  <c r="O21" i="7"/>
  <c r="O20" i="7"/>
  <c r="P19" i="7"/>
  <c r="O19" i="7"/>
  <c r="E19" i="7"/>
  <c r="CR17" i="7"/>
  <c r="CQ72" i="7" s="1"/>
  <c r="CS15" i="7"/>
  <c r="CR15" i="7"/>
  <c r="CR49" i="7" s="1"/>
  <c r="CS14" i="7"/>
  <c r="CR14" i="7"/>
  <c r="CR48" i="7" s="1"/>
  <c r="CS13" i="7"/>
  <c r="CR13" i="7"/>
  <c r="CS12" i="7"/>
  <c r="CR12" i="7"/>
  <c r="CS11" i="7"/>
  <c r="CR11" i="7"/>
  <c r="CS10" i="7"/>
  <c r="CR10" i="7"/>
  <c r="CS9" i="7"/>
  <c r="CR9" i="7"/>
  <c r="E201" i="8" s="1"/>
  <c r="CS8" i="7"/>
  <c r="CR8" i="7"/>
  <c r="CR7" i="7"/>
  <c r="CR72" i="7" s="1"/>
  <c r="DB2" i="7"/>
  <c r="X94" i="6"/>
  <c r="W94" i="6"/>
  <c r="V94" i="6"/>
  <c r="U94" i="6"/>
  <c r="T94" i="6"/>
  <c r="S94" i="6"/>
  <c r="R94" i="6"/>
  <c r="Q94" i="6"/>
  <c r="P94" i="6"/>
  <c r="O94" i="6"/>
  <c r="X93" i="6"/>
  <c r="W93" i="6"/>
  <c r="V93" i="6"/>
  <c r="U93" i="6"/>
  <c r="T93" i="6"/>
  <c r="S93" i="6"/>
  <c r="R93" i="6"/>
  <c r="Q93" i="6"/>
  <c r="P93" i="6"/>
  <c r="O93" i="6"/>
  <c r="X92" i="6"/>
  <c r="W92" i="6"/>
  <c r="V92" i="6"/>
  <c r="U92" i="6"/>
  <c r="T92" i="6"/>
  <c r="S92" i="6"/>
  <c r="R92" i="6"/>
  <c r="Q92" i="6"/>
  <c r="P92" i="6"/>
  <c r="O92" i="6"/>
  <c r="X91" i="6"/>
  <c r="W91" i="6"/>
  <c r="V91" i="6"/>
  <c r="U91" i="6"/>
  <c r="T91" i="6"/>
  <c r="S91" i="6"/>
  <c r="R91" i="6"/>
  <c r="Q91" i="6"/>
  <c r="P91" i="6"/>
  <c r="O91" i="6"/>
  <c r="X90" i="6"/>
  <c r="W90" i="6"/>
  <c r="V90" i="6"/>
  <c r="U90" i="6"/>
  <c r="T90" i="6"/>
  <c r="S90" i="6"/>
  <c r="R90" i="6"/>
  <c r="Q90" i="6"/>
  <c r="P90" i="6"/>
  <c r="O90" i="6"/>
  <c r="X89" i="6"/>
  <c r="W89" i="6"/>
  <c r="V89" i="6"/>
  <c r="U89" i="6"/>
  <c r="T89" i="6"/>
  <c r="S89" i="6"/>
  <c r="R89" i="6"/>
  <c r="Q89" i="6"/>
  <c r="P89" i="6"/>
  <c r="O89" i="6"/>
  <c r="X88" i="6"/>
  <c r="W88" i="6"/>
  <c r="V88" i="6"/>
  <c r="U88" i="6"/>
  <c r="T88" i="6"/>
  <c r="S88" i="6"/>
  <c r="R88" i="6"/>
  <c r="Q88" i="6"/>
  <c r="P88" i="6"/>
  <c r="O88" i="6"/>
  <c r="G88" i="6"/>
  <c r="X82" i="6"/>
  <c r="W82" i="6"/>
  <c r="V82" i="6"/>
  <c r="U82" i="6"/>
  <c r="T82" i="6"/>
  <c r="S82" i="6"/>
  <c r="R82" i="6"/>
  <c r="Q82" i="6"/>
  <c r="P82" i="6"/>
  <c r="O82" i="6"/>
  <c r="X81" i="6"/>
  <c r="W81" i="6"/>
  <c r="V81" i="6"/>
  <c r="U81" i="6"/>
  <c r="T81" i="6"/>
  <c r="S81" i="6"/>
  <c r="R81" i="6"/>
  <c r="Q81" i="6"/>
  <c r="P81" i="6"/>
  <c r="O81" i="6"/>
  <c r="X80" i="6"/>
  <c r="W80" i="6"/>
  <c r="V80" i="6"/>
  <c r="U80" i="6"/>
  <c r="T80" i="6"/>
  <c r="S80" i="6"/>
  <c r="R80" i="6"/>
  <c r="Q80" i="6"/>
  <c r="P80" i="6"/>
  <c r="O80" i="6"/>
  <c r="G80" i="6"/>
  <c r="X78" i="6"/>
  <c r="W78" i="6"/>
  <c r="V78" i="6"/>
  <c r="U78" i="6"/>
  <c r="T78" i="6"/>
  <c r="S78" i="6"/>
  <c r="R78" i="6"/>
  <c r="Q78" i="6"/>
  <c r="P78" i="6"/>
  <c r="O78" i="6"/>
  <c r="X75" i="6"/>
  <c r="W75" i="6"/>
  <c r="V75" i="6"/>
  <c r="U75" i="6"/>
  <c r="T75" i="6"/>
  <c r="S75" i="6"/>
  <c r="R75" i="6"/>
  <c r="Q75" i="6"/>
  <c r="P75" i="6"/>
  <c r="O75" i="6"/>
  <c r="X74" i="6"/>
  <c r="W74" i="6"/>
  <c r="V74" i="6"/>
  <c r="U74" i="6"/>
  <c r="T74" i="6"/>
  <c r="S74" i="6"/>
  <c r="R74" i="6"/>
  <c r="Q74" i="6"/>
  <c r="P74" i="6"/>
  <c r="O74" i="6"/>
  <c r="X73" i="6"/>
  <c r="W73" i="6"/>
  <c r="V73" i="6"/>
  <c r="U73" i="6"/>
  <c r="T73" i="6"/>
  <c r="S73" i="6"/>
  <c r="R73" i="6"/>
  <c r="Q73" i="6"/>
  <c r="P73" i="6"/>
  <c r="O73" i="6"/>
  <c r="X72" i="6"/>
  <c r="W72" i="6"/>
  <c r="V72" i="6"/>
  <c r="U72" i="6"/>
  <c r="T72" i="6"/>
  <c r="S72" i="6"/>
  <c r="R72" i="6"/>
  <c r="Q72" i="6"/>
  <c r="P72" i="6"/>
  <c r="O72" i="6"/>
  <c r="X71" i="6"/>
  <c r="W71" i="6"/>
  <c r="V71" i="6"/>
  <c r="U71" i="6"/>
  <c r="T71" i="6"/>
  <c r="S71" i="6"/>
  <c r="R71" i="6"/>
  <c r="Q71" i="6"/>
  <c r="P71" i="6"/>
  <c r="O71" i="6"/>
  <c r="X70" i="6"/>
  <c r="W70" i="6"/>
  <c r="V70" i="6"/>
  <c r="U70" i="6"/>
  <c r="T70" i="6"/>
  <c r="S70" i="6"/>
  <c r="R70" i="6"/>
  <c r="Q70" i="6"/>
  <c r="P70" i="6"/>
  <c r="O70" i="6"/>
  <c r="X68" i="6"/>
  <c r="W68" i="6"/>
  <c r="V68" i="6"/>
  <c r="U68" i="6"/>
  <c r="T68" i="6"/>
  <c r="S68" i="6"/>
  <c r="R68" i="6"/>
  <c r="Q68" i="6"/>
  <c r="P68" i="6"/>
  <c r="O68" i="6"/>
  <c r="X67" i="6"/>
  <c r="W67" i="6"/>
  <c r="V67" i="6"/>
  <c r="U67" i="6"/>
  <c r="T67" i="6"/>
  <c r="S67" i="6"/>
  <c r="R67" i="6"/>
  <c r="Q67" i="6"/>
  <c r="P67" i="6"/>
  <c r="O67" i="6"/>
  <c r="X66" i="6"/>
  <c r="W66" i="6"/>
  <c r="V66" i="6"/>
  <c r="U66" i="6"/>
  <c r="T66" i="6"/>
  <c r="S66" i="6"/>
  <c r="R66" i="6"/>
  <c r="Q66" i="6"/>
  <c r="P66" i="6"/>
  <c r="O66" i="6"/>
  <c r="X65" i="6"/>
  <c r="W65" i="6"/>
  <c r="V65" i="6"/>
  <c r="U65" i="6"/>
  <c r="T65" i="6"/>
  <c r="S65" i="6"/>
  <c r="R65" i="6"/>
  <c r="Q65" i="6"/>
  <c r="P65" i="6"/>
  <c r="O65" i="6"/>
  <c r="X62" i="6"/>
  <c r="W62" i="6"/>
  <c r="V62" i="6"/>
  <c r="U62" i="6"/>
  <c r="T62" i="6"/>
  <c r="S62" i="6"/>
  <c r="R62" i="6"/>
  <c r="Q62" i="6"/>
  <c r="P62" i="6"/>
  <c r="O62" i="6"/>
  <c r="X61" i="6"/>
  <c r="W61" i="6"/>
  <c r="V61" i="6"/>
  <c r="U61" i="6"/>
  <c r="T61" i="6"/>
  <c r="S61" i="6"/>
  <c r="R61" i="6"/>
  <c r="Q61" i="6"/>
  <c r="P61" i="6"/>
  <c r="O61" i="6"/>
  <c r="X60" i="6"/>
  <c r="W60" i="6"/>
  <c r="V60" i="6"/>
  <c r="U60" i="6"/>
  <c r="T60" i="6"/>
  <c r="S60" i="6"/>
  <c r="R60" i="6"/>
  <c r="Q60" i="6"/>
  <c r="P60" i="6"/>
  <c r="O60" i="6"/>
  <c r="X59" i="6"/>
  <c r="W59" i="6"/>
  <c r="V59" i="6"/>
  <c r="U59" i="6"/>
  <c r="T59" i="6"/>
  <c r="S59" i="6"/>
  <c r="R59" i="6"/>
  <c r="Q59" i="6"/>
  <c r="P59" i="6"/>
  <c r="O59" i="6"/>
  <c r="X55" i="6"/>
  <c r="W55" i="6"/>
  <c r="V55" i="6"/>
  <c r="U55" i="6"/>
  <c r="T55" i="6"/>
  <c r="S55" i="6"/>
  <c r="R55" i="6"/>
  <c r="Q55" i="6"/>
  <c r="P55" i="6"/>
  <c r="O55" i="6"/>
  <c r="X54" i="6"/>
  <c r="W54" i="6"/>
  <c r="V54" i="6"/>
  <c r="U54" i="6"/>
  <c r="T54" i="6"/>
  <c r="S54" i="6"/>
  <c r="R54" i="6"/>
  <c r="Q54" i="6"/>
  <c r="P54" i="6"/>
  <c r="O54" i="6"/>
  <c r="X53" i="6"/>
  <c r="W53" i="6"/>
  <c r="V53" i="6"/>
  <c r="U53" i="6"/>
  <c r="T53" i="6"/>
  <c r="S53" i="6"/>
  <c r="R53" i="6"/>
  <c r="Q53" i="6"/>
  <c r="P53" i="6"/>
  <c r="O53" i="6"/>
  <c r="X52" i="6"/>
  <c r="W52" i="6"/>
  <c r="V52" i="6"/>
  <c r="U52" i="6"/>
  <c r="T52" i="6"/>
  <c r="S52" i="6"/>
  <c r="R52" i="6"/>
  <c r="Q52" i="6"/>
  <c r="P52" i="6"/>
  <c r="O52" i="6"/>
  <c r="X51" i="6"/>
  <c r="W51" i="6"/>
  <c r="V51" i="6"/>
  <c r="U51" i="6"/>
  <c r="T51" i="6"/>
  <c r="S51" i="6"/>
  <c r="R51" i="6"/>
  <c r="Q51" i="6"/>
  <c r="P51" i="6"/>
  <c r="O51" i="6"/>
  <c r="X50" i="6"/>
  <c r="W50" i="6"/>
  <c r="V50" i="6"/>
  <c r="U50" i="6"/>
  <c r="T50" i="6"/>
  <c r="S50" i="6"/>
  <c r="R50" i="6"/>
  <c r="Q50" i="6"/>
  <c r="P50" i="6"/>
  <c r="O50" i="6"/>
  <c r="X46" i="6"/>
  <c r="W46" i="6"/>
  <c r="V46" i="6"/>
  <c r="U46" i="6"/>
  <c r="T46" i="6"/>
  <c r="S46" i="6"/>
  <c r="R46" i="6"/>
  <c r="Q46" i="6"/>
  <c r="P46" i="6"/>
  <c r="O46" i="6"/>
  <c r="X45" i="6"/>
  <c r="W45" i="6"/>
  <c r="V45" i="6"/>
  <c r="U45" i="6"/>
  <c r="T45" i="6"/>
  <c r="S45" i="6"/>
  <c r="R45" i="6"/>
  <c r="Q45" i="6"/>
  <c r="P45" i="6"/>
  <c r="O45" i="6"/>
  <c r="X44" i="6"/>
  <c r="W44" i="6"/>
  <c r="V44" i="6"/>
  <c r="U44" i="6"/>
  <c r="T44" i="6"/>
  <c r="S44" i="6"/>
  <c r="R44" i="6"/>
  <c r="Q44" i="6"/>
  <c r="P44" i="6"/>
  <c r="O44" i="6"/>
  <c r="X43" i="6"/>
  <c r="W43" i="6"/>
  <c r="V43" i="6"/>
  <c r="U43" i="6"/>
  <c r="T43" i="6"/>
  <c r="S43" i="6"/>
  <c r="R43" i="6"/>
  <c r="Q43" i="6"/>
  <c r="P43" i="6"/>
  <c r="O43" i="6"/>
  <c r="X42" i="6"/>
  <c r="W42" i="6"/>
  <c r="V42" i="6"/>
  <c r="U42" i="6"/>
  <c r="T42" i="6"/>
  <c r="S42" i="6"/>
  <c r="R42" i="6"/>
  <c r="Q42" i="6"/>
  <c r="P42" i="6"/>
  <c r="O42" i="6"/>
  <c r="X39" i="6"/>
  <c r="W39" i="6"/>
  <c r="V39" i="6"/>
  <c r="U39" i="6"/>
  <c r="T39" i="6"/>
  <c r="S39" i="6"/>
  <c r="R39" i="6"/>
  <c r="Q39" i="6"/>
  <c r="P39" i="6"/>
  <c r="O39" i="6"/>
  <c r="X38" i="6"/>
  <c r="W38" i="6"/>
  <c r="V38" i="6"/>
  <c r="U38" i="6"/>
  <c r="T38" i="6"/>
  <c r="S38" i="6"/>
  <c r="R38" i="6"/>
  <c r="Q38" i="6"/>
  <c r="P38" i="6"/>
  <c r="O38" i="6"/>
  <c r="X35" i="6"/>
  <c r="W35" i="6"/>
  <c r="V35" i="6"/>
  <c r="U35" i="6"/>
  <c r="T35" i="6"/>
  <c r="S35" i="6"/>
  <c r="R35" i="6"/>
  <c r="Q35" i="6"/>
  <c r="P35" i="6"/>
  <c r="O35" i="6"/>
  <c r="X34" i="6"/>
  <c r="W34" i="6"/>
  <c r="V34" i="6"/>
  <c r="U34" i="6"/>
  <c r="T34" i="6"/>
  <c r="S34" i="6"/>
  <c r="R34" i="6"/>
  <c r="Q34" i="6"/>
  <c r="P34" i="6"/>
  <c r="O34" i="6"/>
  <c r="X33" i="6"/>
  <c r="W33" i="6"/>
  <c r="V33" i="6"/>
  <c r="U33" i="6"/>
  <c r="T33" i="6"/>
  <c r="S33" i="6"/>
  <c r="R33" i="6"/>
  <c r="Q33" i="6"/>
  <c r="P33" i="6"/>
  <c r="O33" i="6"/>
  <c r="X30" i="6"/>
  <c r="W30" i="6"/>
  <c r="V30" i="6"/>
  <c r="U30" i="6"/>
  <c r="T30" i="6"/>
  <c r="S30" i="6"/>
  <c r="R30" i="6"/>
  <c r="Q30" i="6"/>
  <c r="P30" i="6"/>
  <c r="O30" i="6"/>
  <c r="X29" i="6"/>
  <c r="W29" i="6"/>
  <c r="V29" i="6"/>
  <c r="U29" i="6"/>
  <c r="T29" i="6"/>
  <c r="S29" i="6"/>
  <c r="R29" i="6"/>
  <c r="Q29" i="6"/>
  <c r="P29" i="6"/>
  <c r="O29" i="6"/>
  <c r="X28" i="6"/>
  <c r="W28" i="6"/>
  <c r="V28" i="6"/>
  <c r="U28" i="6"/>
  <c r="T28" i="6"/>
  <c r="S28" i="6"/>
  <c r="R28" i="6"/>
  <c r="Q28" i="6"/>
  <c r="P28" i="6"/>
  <c r="O28" i="6"/>
  <c r="X27" i="6"/>
  <c r="W27" i="6"/>
  <c r="V27" i="6"/>
  <c r="U27" i="6"/>
  <c r="T27" i="6"/>
  <c r="S27" i="6"/>
  <c r="R27" i="6"/>
  <c r="Q27" i="6"/>
  <c r="P27" i="6"/>
  <c r="O27" i="6"/>
  <c r="X26" i="6"/>
  <c r="W26" i="6"/>
  <c r="V26" i="6"/>
  <c r="U26" i="6"/>
  <c r="T26" i="6"/>
  <c r="S26" i="6"/>
  <c r="R26" i="6"/>
  <c r="Q26" i="6"/>
  <c r="P26" i="6"/>
  <c r="O26" i="6"/>
  <c r="X25" i="6"/>
  <c r="W25" i="6"/>
  <c r="V25" i="6"/>
  <c r="U25" i="6"/>
  <c r="T25" i="6"/>
  <c r="S25" i="6"/>
  <c r="R25" i="6"/>
  <c r="Q25" i="6"/>
  <c r="P25" i="6"/>
  <c r="O25" i="6"/>
  <c r="N25" i="6"/>
  <c r="N72" i="6" s="1"/>
  <c r="X23" i="6"/>
  <c r="W23" i="6"/>
  <c r="V23" i="6"/>
  <c r="U23" i="6"/>
  <c r="T23" i="6"/>
  <c r="S23" i="6"/>
  <c r="R23" i="6"/>
  <c r="Q23" i="6"/>
  <c r="P23" i="6"/>
  <c r="O23" i="6"/>
  <c r="N23" i="6"/>
  <c r="N59" i="6" s="1"/>
  <c r="X22" i="6"/>
  <c r="W22" i="6"/>
  <c r="V22" i="6"/>
  <c r="U22" i="6"/>
  <c r="T22" i="6"/>
  <c r="S22" i="6"/>
  <c r="R22" i="6"/>
  <c r="Q22" i="6"/>
  <c r="P22" i="6"/>
  <c r="O22" i="6"/>
  <c r="N22" i="6"/>
  <c r="X20" i="6"/>
  <c r="W20" i="6"/>
  <c r="V20" i="6"/>
  <c r="U20" i="6"/>
  <c r="T20" i="6"/>
  <c r="S20" i="6"/>
  <c r="R20" i="6"/>
  <c r="Q20" i="6"/>
  <c r="P20" i="6"/>
  <c r="O20" i="6"/>
  <c r="N20" i="6"/>
  <c r="X19" i="6"/>
  <c r="W19" i="6"/>
  <c r="V19" i="6"/>
  <c r="U19" i="6"/>
  <c r="T19" i="6"/>
  <c r="S19" i="6"/>
  <c r="R19" i="6"/>
  <c r="Q19" i="6"/>
  <c r="P19" i="6"/>
  <c r="O19" i="6"/>
  <c r="N19" i="6"/>
  <c r="X18" i="6"/>
  <c r="W18" i="6"/>
  <c r="V18" i="6"/>
  <c r="U18" i="6"/>
  <c r="T18" i="6"/>
  <c r="S18" i="6"/>
  <c r="R18" i="6"/>
  <c r="Q18" i="6"/>
  <c r="P18" i="6"/>
  <c r="O18" i="6"/>
  <c r="N18" i="6"/>
  <c r="X17" i="6"/>
  <c r="W17" i="6"/>
  <c r="V17" i="6"/>
  <c r="U17" i="6"/>
  <c r="T17" i="6"/>
  <c r="S17" i="6"/>
  <c r="R17" i="6"/>
  <c r="Q17" i="6"/>
  <c r="P17" i="6"/>
  <c r="O17" i="6"/>
  <c r="N17" i="6"/>
  <c r="X16" i="6"/>
  <c r="W16" i="6"/>
  <c r="V16" i="6"/>
  <c r="U16" i="6"/>
  <c r="T16" i="6"/>
  <c r="S16" i="6"/>
  <c r="R16" i="6"/>
  <c r="Q16" i="6"/>
  <c r="P16" i="6"/>
  <c r="O16" i="6"/>
  <c r="N16" i="6"/>
  <c r="X14" i="6"/>
  <c r="W14" i="6"/>
  <c r="V14" i="6"/>
  <c r="U14" i="6"/>
  <c r="T14" i="6"/>
  <c r="S14" i="6"/>
  <c r="R14" i="6"/>
  <c r="Q14" i="6"/>
  <c r="P14" i="6"/>
  <c r="O14" i="6"/>
  <c r="N14" i="6"/>
  <c r="X13" i="6"/>
  <c r="W13" i="6"/>
  <c r="V13" i="6"/>
  <c r="U13" i="6"/>
  <c r="T13" i="6"/>
  <c r="S13" i="6"/>
  <c r="R13" i="6"/>
  <c r="Q13" i="6"/>
  <c r="P13" i="6"/>
  <c r="O13" i="6"/>
  <c r="N13" i="6"/>
  <c r="X11" i="6"/>
  <c r="W11" i="6"/>
  <c r="V11" i="6"/>
  <c r="U11" i="6"/>
  <c r="T11" i="6"/>
  <c r="S11" i="6"/>
  <c r="R11" i="6"/>
  <c r="Q11" i="6"/>
  <c r="P11" i="6"/>
  <c r="O11" i="6"/>
  <c r="X10" i="6"/>
  <c r="W10" i="6"/>
  <c r="V10" i="6"/>
  <c r="U10" i="6"/>
  <c r="T10" i="6"/>
  <c r="S10" i="6"/>
  <c r="R10" i="6"/>
  <c r="Q10" i="6"/>
  <c r="P10" i="6"/>
  <c r="O10" i="6"/>
  <c r="N10" i="6"/>
  <c r="X9" i="6"/>
  <c r="W9" i="6"/>
  <c r="V9" i="6"/>
  <c r="U9" i="6"/>
  <c r="T9" i="6"/>
  <c r="S9" i="6"/>
  <c r="R9" i="6"/>
  <c r="Q9" i="6"/>
  <c r="P9" i="6"/>
  <c r="O9" i="6"/>
  <c r="N9" i="6"/>
  <c r="X8" i="6"/>
  <c r="W8" i="6"/>
  <c r="V8" i="6"/>
  <c r="U8" i="6"/>
  <c r="T8" i="6"/>
  <c r="S8" i="6"/>
  <c r="R8" i="6"/>
  <c r="Q8" i="6"/>
  <c r="P8" i="6"/>
  <c r="O8" i="6"/>
  <c r="N8" i="6"/>
  <c r="X6" i="6"/>
  <c r="W6" i="6"/>
  <c r="V6" i="6"/>
  <c r="U6" i="6"/>
  <c r="T6" i="6"/>
  <c r="S6" i="6"/>
  <c r="R6" i="6"/>
  <c r="Q6" i="6"/>
  <c r="P6" i="6"/>
  <c r="O6" i="6"/>
  <c r="H25" i="5"/>
  <c r="H26" i="5" s="1"/>
  <c r="H27" i="5" s="1"/>
  <c r="H28" i="5" s="1"/>
  <c r="H29" i="5" s="1"/>
  <c r="H30" i="5" s="1"/>
  <c r="H31" i="5" s="1"/>
  <c r="H32" i="5" s="1"/>
  <c r="H33" i="5" s="1"/>
  <c r="B21" i="5"/>
  <c r="B20" i="5"/>
  <c r="B19" i="5"/>
  <c r="B18" i="5"/>
  <c r="L6" i="5"/>
  <c r="N5" i="5"/>
  <c r="O5" i="5" s="1"/>
  <c r="P5" i="5" s="1"/>
  <c r="Q5" i="5" s="1"/>
  <c r="R5" i="5" s="1"/>
  <c r="S5" i="5" s="1"/>
  <c r="T5" i="5" s="1"/>
  <c r="U5" i="5" s="1"/>
  <c r="V5" i="5" s="1"/>
  <c r="W5" i="5" s="1"/>
  <c r="X5" i="5" s="1"/>
  <c r="Y5" i="5" s="1"/>
  <c r="Z5" i="5" s="1"/>
  <c r="AA5" i="5" s="1"/>
  <c r="AB5" i="5" s="1"/>
  <c r="AC5" i="5" s="1"/>
  <c r="AD5" i="5" s="1"/>
  <c r="AE5" i="5" s="1"/>
  <c r="AF5" i="5" s="1"/>
  <c r="AG5" i="5" s="1"/>
  <c r="AH5" i="5" s="1"/>
  <c r="AI5" i="5" s="1"/>
  <c r="AJ5" i="5" s="1"/>
  <c r="AK5" i="5" s="1"/>
  <c r="M4" i="5"/>
  <c r="B3" i="5"/>
  <c r="Q61" i="4"/>
  <c r="K61" i="4"/>
  <c r="B61" i="4"/>
  <c r="Q60" i="4"/>
  <c r="K60" i="4"/>
  <c r="B60" i="4"/>
  <c r="Q59" i="4"/>
  <c r="K59" i="4"/>
  <c r="B59" i="4"/>
  <c r="Q58" i="4"/>
  <c r="M58" i="4"/>
  <c r="L58" i="4"/>
  <c r="K58" i="4"/>
  <c r="J58" i="4"/>
  <c r="I58" i="4"/>
  <c r="H58" i="4"/>
  <c r="G58" i="4"/>
  <c r="F58" i="4"/>
  <c r="E58" i="4"/>
  <c r="D58" i="4"/>
  <c r="C58" i="4"/>
  <c r="B58" i="4"/>
  <c r="Q57" i="4"/>
  <c r="M57" i="4"/>
  <c r="L57" i="4"/>
  <c r="K57" i="4"/>
  <c r="J57" i="4"/>
  <c r="I57" i="4"/>
  <c r="H57" i="4"/>
  <c r="G57" i="4"/>
  <c r="F57" i="4"/>
  <c r="E57" i="4"/>
  <c r="D57" i="4"/>
  <c r="C57" i="4"/>
  <c r="B57" i="4"/>
  <c r="Q56" i="4"/>
  <c r="M56" i="4"/>
  <c r="L56" i="4"/>
  <c r="K56" i="4"/>
  <c r="J56" i="4"/>
  <c r="I56" i="4"/>
  <c r="H56" i="4"/>
  <c r="G56" i="4"/>
  <c r="F56" i="4"/>
  <c r="E56" i="4"/>
  <c r="D56" i="4"/>
  <c r="C56" i="4"/>
  <c r="B56" i="4"/>
  <c r="Q55" i="4"/>
  <c r="K55" i="4"/>
  <c r="B55" i="4"/>
  <c r="Q54" i="4"/>
  <c r="D54" i="4"/>
  <c r="C54" i="4"/>
  <c r="B54" i="4"/>
  <c r="Q53" i="4"/>
  <c r="K53" i="4"/>
  <c r="H53" i="4"/>
  <c r="G53" i="4"/>
  <c r="F53" i="4"/>
  <c r="E53" i="4"/>
  <c r="D53" i="4"/>
  <c r="C53" i="4"/>
  <c r="B53" i="4"/>
  <c r="Q52" i="4"/>
  <c r="D52" i="4"/>
  <c r="C52" i="4"/>
  <c r="B52" i="4"/>
  <c r="Q51" i="4"/>
  <c r="K51" i="4"/>
  <c r="B51" i="4"/>
  <c r="Q50" i="4"/>
  <c r="D50" i="4"/>
  <c r="C50" i="4"/>
  <c r="B50" i="4"/>
  <c r="O46" i="4"/>
  <c r="M45" i="4"/>
  <c r="L45" i="4"/>
  <c r="C45" i="4"/>
  <c r="B45" i="4"/>
  <c r="M44" i="4"/>
  <c r="L44" i="4"/>
  <c r="C44" i="4"/>
  <c r="B44" i="4"/>
  <c r="M43" i="4"/>
  <c r="L43" i="4"/>
  <c r="G43" i="4"/>
  <c r="C43" i="4"/>
  <c r="B43" i="4"/>
  <c r="M42" i="4"/>
  <c r="L42" i="4"/>
  <c r="G42" i="4"/>
  <c r="C42" i="4"/>
  <c r="B42" i="4"/>
  <c r="L41" i="4"/>
  <c r="G41" i="4"/>
  <c r="C41" i="4"/>
  <c r="B41" i="4"/>
  <c r="M40" i="4"/>
  <c r="L40" i="4"/>
  <c r="G40" i="4"/>
  <c r="C40" i="4"/>
  <c r="B40" i="4"/>
  <c r="M39" i="4"/>
  <c r="L39" i="4"/>
  <c r="G39" i="4"/>
  <c r="C39" i="4"/>
  <c r="B39" i="4"/>
  <c r="M38" i="4"/>
  <c r="L38" i="4"/>
  <c r="G38" i="4"/>
  <c r="C38" i="4"/>
  <c r="B38" i="4"/>
  <c r="M37" i="4"/>
  <c r="L37" i="4"/>
  <c r="G37" i="4"/>
  <c r="C37" i="4"/>
  <c r="B37" i="4"/>
  <c r="M36" i="4"/>
  <c r="L36" i="4"/>
  <c r="G36" i="4"/>
  <c r="C36" i="4"/>
  <c r="B36" i="4"/>
  <c r="M35" i="4"/>
  <c r="L35" i="4"/>
  <c r="G35" i="4"/>
  <c r="C35" i="4"/>
  <c r="B35" i="4"/>
  <c r="M34" i="4"/>
  <c r="L34" i="4"/>
  <c r="G34" i="4"/>
  <c r="C34" i="4"/>
  <c r="B34" i="4"/>
  <c r="O28" i="4"/>
  <c r="E5" i="4"/>
  <c r="N2" i="4"/>
  <c r="B72" i="3"/>
  <c r="B32" i="3" s="1"/>
  <c r="B71" i="3"/>
  <c r="B31" i="3" s="1"/>
  <c r="B70" i="3"/>
  <c r="B30" i="3" s="1"/>
  <c r="B69" i="3"/>
  <c r="B29" i="3" s="1"/>
  <c r="B23" i="3"/>
  <c r="B22" i="3"/>
  <c r="B21" i="3"/>
  <c r="R2" i="3"/>
  <c r="G291" i="2"/>
  <c r="C272" i="2"/>
  <c r="C266" i="2"/>
  <c r="B266" i="2"/>
  <c r="C265" i="2"/>
  <c r="B265" i="2"/>
  <c r="C261" i="2"/>
  <c r="B261" i="2"/>
  <c r="C260" i="2"/>
  <c r="B260" i="2"/>
  <c r="EP258" i="2"/>
  <c r="H257" i="2"/>
  <c r="I257" i="2" s="1"/>
  <c r="F257" i="2"/>
  <c r="H256" i="2"/>
  <c r="I256" i="2" s="1"/>
  <c r="H255" i="2"/>
  <c r="I255" i="2" s="1"/>
  <c r="H254" i="2"/>
  <c r="I254" i="2" s="1"/>
  <c r="I253" i="2"/>
  <c r="H253" i="2"/>
  <c r="G253" i="2"/>
  <c r="H250" i="2"/>
  <c r="H251" i="2" s="1"/>
  <c r="EP249" i="2"/>
  <c r="E249" i="2"/>
  <c r="E250" i="2" s="1"/>
  <c r="EP240" i="2"/>
  <c r="G236" i="2"/>
  <c r="G235" i="2"/>
  <c r="F235" i="2"/>
  <c r="F236" i="2" s="1"/>
  <c r="G234" i="2"/>
  <c r="F234" i="2"/>
  <c r="EP216" i="2" s="1"/>
  <c r="F233" i="2"/>
  <c r="EP200" i="2" s="1"/>
  <c r="C228" i="2"/>
  <c r="I221" i="2"/>
  <c r="G220" i="2"/>
  <c r="I220" i="2" s="1"/>
  <c r="A220" i="2"/>
  <c r="H225" i="2" s="1"/>
  <c r="R23" i="1" s="1"/>
  <c r="G192" i="2"/>
  <c r="I188" i="2"/>
  <c r="I214" i="2" s="1"/>
  <c r="S27" i="1" s="1"/>
  <c r="H188" i="2"/>
  <c r="H214" i="2" s="1"/>
  <c r="R27" i="1" s="1"/>
  <c r="B185" i="2"/>
  <c r="H176" i="2"/>
  <c r="B176" i="2"/>
  <c r="H175" i="2"/>
  <c r="B175" i="2"/>
  <c r="H174" i="2"/>
  <c r="B174" i="2"/>
  <c r="B173" i="2"/>
  <c r="K165" i="2"/>
  <c r="K164" i="2"/>
  <c r="K163" i="2"/>
  <c r="I163" i="2"/>
  <c r="B189" i="2" s="1"/>
  <c r="I162" i="2"/>
  <c r="T169" i="2" s="1"/>
  <c r="W169" i="2" s="1"/>
  <c r="R161" i="2"/>
  <c r="M161" i="2"/>
  <c r="I161" i="2"/>
  <c r="R164" i="2" s="1"/>
  <c r="E157" i="2"/>
  <c r="H152" i="2"/>
  <c r="F152" i="2"/>
  <c r="F151" i="2"/>
  <c r="E149" i="2"/>
  <c r="D149" i="2"/>
  <c r="E148" i="2"/>
  <c r="D148" i="2"/>
  <c r="E147" i="2"/>
  <c r="D147" i="2"/>
  <c r="F146" i="2"/>
  <c r="E146" i="2"/>
  <c r="D146" i="2"/>
  <c r="F145" i="2"/>
  <c r="G144" i="2"/>
  <c r="E144" i="2"/>
  <c r="D144" i="2" s="1"/>
  <c r="ER138" i="2"/>
  <c r="I134" i="2"/>
  <c r="H173" i="2" s="1"/>
  <c r="F134" i="2"/>
  <c r="G281" i="2" s="1"/>
  <c r="H129" i="2"/>
  <c r="H133" i="2" s="1"/>
  <c r="F125" i="2"/>
  <c r="I124" i="2"/>
  <c r="I123" i="2"/>
  <c r="H122" i="2"/>
  <c r="B119" i="2"/>
  <c r="B118" i="2"/>
  <c r="B117" i="2"/>
  <c r="B116" i="2"/>
  <c r="B115" i="2"/>
  <c r="B114" i="2"/>
  <c r="B113" i="2"/>
  <c r="B112" i="2"/>
  <c r="B111" i="2"/>
  <c r="B110" i="2"/>
  <c r="B109" i="2"/>
  <c r="B108" i="2"/>
  <c r="H107" i="2"/>
  <c r="KD104" i="2"/>
  <c r="KE104" i="2" s="1"/>
  <c r="JZ104" i="2"/>
  <c r="EP104" i="2"/>
  <c r="G104" i="2"/>
  <c r="K45" i="4" s="1"/>
  <c r="E104" i="2"/>
  <c r="KD103" i="2"/>
  <c r="KE103" i="2" s="1"/>
  <c r="JZ103" i="2"/>
  <c r="EP103" i="2"/>
  <c r="G103" i="2"/>
  <c r="K44" i="4" s="1"/>
  <c r="E103" i="2"/>
  <c r="EQ103" i="2" s="1"/>
  <c r="KD102" i="2"/>
  <c r="KE102" i="2" s="1"/>
  <c r="JZ102" i="2"/>
  <c r="ER102" i="2"/>
  <c r="EP102" i="2"/>
  <c r="G102" i="2"/>
  <c r="K43" i="4" s="1"/>
  <c r="F102" i="2"/>
  <c r="KB102" i="2" s="1"/>
  <c r="E102" i="2"/>
  <c r="KD101" i="2"/>
  <c r="KE101" i="2" s="1"/>
  <c r="JZ101" i="2"/>
  <c r="ER101" i="2"/>
  <c r="EP101" i="2"/>
  <c r="G101" i="2"/>
  <c r="F101" i="2"/>
  <c r="KB101" i="2" s="1"/>
  <c r="E101" i="2"/>
  <c r="EQ101" i="2" s="1"/>
  <c r="KD100" i="2"/>
  <c r="KE100" i="2" s="1"/>
  <c r="JZ100" i="2"/>
  <c r="ER100" i="2"/>
  <c r="EP100" i="2"/>
  <c r="G100" i="2"/>
  <c r="K41" i="4" s="1"/>
  <c r="F100" i="2"/>
  <c r="KB100" i="2" s="1"/>
  <c r="E100" i="2"/>
  <c r="EQ100" i="2" s="1"/>
  <c r="KD99" i="2"/>
  <c r="KE99" i="2" s="1"/>
  <c r="JZ99" i="2"/>
  <c r="ER99" i="2"/>
  <c r="EP99" i="2"/>
  <c r="G99" i="2"/>
  <c r="K40" i="4" s="1"/>
  <c r="F99" i="2"/>
  <c r="KB99" i="2" s="1"/>
  <c r="E99" i="2"/>
  <c r="KD98" i="2"/>
  <c r="KE98" i="2" s="1"/>
  <c r="JZ98" i="2"/>
  <c r="ER98" i="2"/>
  <c r="EP98" i="2"/>
  <c r="G98" i="2"/>
  <c r="F98" i="2"/>
  <c r="KB98" i="2" s="1"/>
  <c r="E98" i="2"/>
  <c r="EQ98" i="2" s="1"/>
  <c r="KD97" i="2"/>
  <c r="KE97" i="2" s="1"/>
  <c r="JZ97" i="2"/>
  <c r="ER97" i="2"/>
  <c r="EP97" i="2"/>
  <c r="F97" i="2"/>
  <c r="H38" i="4" s="1"/>
  <c r="E97" i="2"/>
  <c r="EQ97" i="2" s="1"/>
  <c r="KD96" i="2"/>
  <c r="KE96" i="2" s="1"/>
  <c r="JZ96" i="2"/>
  <c r="ER96" i="2"/>
  <c r="EP96" i="2"/>
  <c r="G96" i="2"/>
  <c r="K37" i="4" s="1"/>
  <c r="F96" i="2"/>
  <c r="E96" i="2"/>
  <c r="KD95" i="2"/>
  <c r="KE95" i="2" s="1"/>
  <c r="JZ95" i="2"/>
  <c r="ER95" i="2"/>
  <c r="EP95" i="2"/>
  <c r="F95" i="2"/>
  <c r="H36" i="4" s="1"/>
  <c r="E95" i="2"/>
  <c r="EQ95" i="2" s="1"/>
  <c r="KD94" i="2"/>
  <c r="KE94" i="2" s="1"/>
  <c r="JZ94" i="2"/>
  <c r="ER94" i="2"/>
  <c r="EP94" i="2"/>
  <c r="G94" i="2"/>
  <c r="K35" i="4" s="1"/>
  <c r="F94" i="2"/>
  <c r="H35" i="4" s="1"/>
  <c r="E94" i="2"/>
  <c r="EQ94" i="2" s="1"/>
  <c r="KD93" i="2"/>
  <c r="KE93" i="2" s="1"/>
  <c r="JZ93" i="2"/>
  <c r="ER93" i="2"/>
  <c r="EP93" i="2"/>
  <c r="F93" i="2"/>
  <c r="E93" i="2"/>
  <c r="KD92" i="2"/>
  <c r="KC92" i="2"/>
  <c r="KB92" i="2"/>
  <c r="KA92" i="2"/>
  <c r="H92" i="2"/>
  <c r="E92" i="2"/>
  <c r="D88" i="2"/>
  <c r="E14" i="1" s="1"/>
  <c r="H84" i="2"/>
  <c r="H83" i="2"/>
  <c r="H82" i="2"/>
  <c r="F81" i="2"/>
  <c r="E81" i="2"/>
  <c r="CR142" i="7" s="1"/>
  <c r="B78" i="2"/>
  <c r="I74" i="2"/>
  <c r="H68" i="2"/>
  <c r="EN66" i="2"/>
  <c r="JX68" i="2" s="1"/>
  <c r="EM66" i="2"/>
  <c r="JW68" i="2" s="1"/>
  <c r="EL66" i="2"/>
  <c r="JV68" i="2" s="1"/>
  <c r="EK66" i="2"/>
  <c r="JU68" i="2" s="1"/>
  <c r="EJ66" i="2"/>
  <c r="JT68" i="2" s="1"/>
  <c r="EI66" i="2"/>
  <c r="JS68" i="2" s="1"/>
  <c r="EH66" i="2"/>
  <c r="JR68" i="2" s="1"/>
  <c r="EG66" i="2"/>
  <c r="JQ68" i="2" s="1"/>
  <c r="EF66" i="2"/>
  <c r="JP68" i="2" s="1"/>
  <c r="EE66" i="2"/>
  <c r="JO68" i="2" s="1"/>
  <c r="ED66" i="2"/>
  <c r="JN68" i="2" s="1"/>
  <c r="EC66" i="2"/>
  <c r="JM68" i="2" s="1"/>
  <c r="EB66" i="2"/>
  <c r="JL68" i="2" s="1"/>
  <c r="EA66" i="2"/>
  <c r="JK68" i="2" s="1"/>
  <c r="DZ66" i="2"/>
  <c r="JJ68" i="2" s="1"/>
  <c r="DY66" i="2"/>
  <c r="JI68" i="2" s="1"/>
  <c r="DX66" i="2"/>
  <c r="JH68" i="2" s="1"/>
  <c r="DW66" i="2"/>
  <c r="JG68" i="2" s="1"/>
  <c r="DV66" i="2"/>
  <c r="JF68" i="2" s="1"/>
  <c r="DU66" i="2"/>
  <c r="JE68" i="2" s="1"/>
  <c r="DT66" i="2"/>
  <c r="JD68" i="2" s="1"/>
  <c r="DS66" i="2"/>
  <c r="JC68" i="2" s="1"/>
  <c r="DR66" i="2"/>
  <c r="JB68" i="2" s="1"/>
  <c r="DQ66" i="2"/>
  <c r="JA68" i="2" s="1"/>
  <c r="DP66" i="2"/>
  <c r="IZ68" i="2" s="1"/>
  <c r="DO66" i="2"/>
  <c r="IY68" i="2" s="1"/>
  <c r="DN66" i="2"/>
  <c r="IX68" i="2" s="1"/>
  <c r="DM66" i="2"/>
  <c r="IW68" i="2" s="1"/>
  <c r="DL66" i="2"/>
  <c r="IV68" i="2" s="1"/>
  <c r="DK66" i="2"/>
  <c r="IU68" i="2" s="1"/>
  <c r="DJ66" i="2"/>
  <c r="IT68" i="2" s="1"/>
  <c r="DI66" i="2"/>
  <c r="IS68" i="2" s="1"/>
  <c r="DH66" i="2"/>
  <c r="IR68" i="2" s="1"/>
  <c r="DG66" i="2"/>
  <c r="IQ68" i="2" s="1"/>
  <c r="DF66" i="2"/>
  <c r="IP68" i="2" s="1"/>
  <c r="DE66" i="2"/>
  <c r="IO68" i="2" s="1"/>
  <c r="DD66" i="2"/>
  <c r="IN68" i="2" s="1"/>
  <c r="DC66" i="2"/>
  <c r="IM68" i="2" s="1"/>
  <c r="DB66" i="2"/>
  <c r="IL68" i="2" s="1"/>
  <c r="DA66" i="2"/>
  <c r="IK68" i="2" s="1"/>
  <c r="CZ66" i="2"/>
  <c r="IJ68" i="2" s="1"/>
  <c r="CY66" i="2"/>
  <c r="II68" i="2" s="1"/>
  <c r="CX66" i="2"/>
  <c r="IH68" i="2" s="1"/>
  <c r="CW66" i="2"/>
  <c r="IG68" i="2" s="1"/>
  <c r="CV66" i="2"/>
  <c r="IF68" i="2" s="1"/>
  <c r="CU66" i="2"/>
  <c r="IE68" i="2" s="1"/>
  <c r="CT66" i="2"/>
  <c r="ID68" i="2" s="1"/>
  <c r="CS66" i="2"/>
  <c r="IC68" i="2" s="1"/>
  <c r="CR66" i="2"/>
  <c r="IB68" i="2" s="1"/>
  <c r="CQ66" i="2"/>
  <c r="IA68" i="2" s="1"/>
  <c r="CP66" i="2"/>
  <c r="HZ68" i="2" s="1"/>
  <c r="CO66" i="2"/>
  <c r="HY68" i="2" s="1"/>
  <c r="CN66" i="2"/>
  <c r="HX68" i="2" s="1"/>
  <c r="CM66" i="2"/>
  <c r="HW68" i="2" s="1"/>
  <c r="CL66" i="2"/>
  <c r="HV68" i="2" s="1"/>
  <c r="CK66" i="2"/>
  <c r="HU68" i="2" s="1"/>
  <c r="CJ66" i="2"/>
  <c r="HT68" i="2" s="1"/>
  <c r="CI66" i="2"/>
  <c r="HS68" i="2" s="1"/>
  <c r="CH66" i="2"/>
  <c r="HR68" i="2" s="1"/>
  <c r="CG66" i="2"/>
  <c r="HQ68" i="2" s="1"/>
  <c r="CF66" i="2"/>
  <c r="HP68" i="2" s="1"/>
  <c r="CE66" i="2"/>
  <c r="HO68" i="2" s="1"/>
  <c r="CD66" i="2"/>
  <c r="HN68" i="2" s="1"/>
  <c r="CC66" i="2"/>
  <c r="HM68" i="2" s="1"/>
  <c r="CB66" i="2"/>
  <c r="HL68" i="2" s="1"/>
  <c r="CA66" i="2"/>
  <c r="HK68" i="2" s="1"/>
  <c r="BZ66" i="2"/>
  <c r="HJ68" i="2" s="1"/>
  <c r="BY66" i="2"/>
  <c r="HI68" i="2" s="1"/>
  <c r="BX66" i="2"/>
  <c r="HH68" i="2" s="1"/>
  <c r="BW66" i="2"/>
  <c r="HG68" i="2" s="1"/>
  <c r="BV66" i="2"/>
  <c r="HF68" i="2" s="1"/>
  <c r="BU66" i="2"/>
  <c r="HE68" i="2" s="1"/>
  <c r="BT66" i="2"/>
  <c r="HD68" i="2" s="1"/>
  <c r="BS66" i="2"/>
  <c r="HC68" i="2" s="1"/>
  <c r="BR66" i="2"/>
  <c r="HB68" i="2" s="1"/>
  <c r="BQ66" i="2"/>
  <c r="HA68" i="2" s="1"/>
  <c r="BP66" i="2"/>
  <c r="GZ68" i="2" s="1"/>
  <c r="BO66" i="2"/>
  <c r="GY68" i="2" s="1"/>
  <c r="BN66" i="2"/>
  <c r="GX68" i="2" s="1"/>
  <c r="BM66" i="2"/>
  <c r="GW68" i="2" s="1"/>
  <c r="BL66" i="2"/>
  <c r="GV68" i="2" s="1"/>
  <c r="BK66" i="2"/>
  <c r="GU68" i="2" s="1"/>
  <c r="BJ66" i="2"/>
  <c r="GT68" i="2" s="1"/>
  <c r="BI66" i="2"/>
  <c r="GS68" i="2" s="1"/>
  <c r="BH66" i="2"/>
  <c r="GR68" i="2" s="1"/>
  <c r="BG66" i="2"/>
  <c r="GQ68" i="2" s="1"/>
  <c r="BF66" i="2"/>
  <c r="GP68" i="2" s="1"/>
  <c r="BE66" i="2"/>
  <c r="GO68" i="2" s="1"/>
  <c r="BD66" i="2"/>
  <c r="GN68" i="2" s="1"/>
  <c r="BC66" i="2"/>
  <c r="GM68" i="2" s="1"/>
  <c r="BB66" i="2"/>
  <c r="GL68" i="2" s="1"/>
  <c r="BA66" i="2"/>
  <c r="GK68" i="2" s="1"/>
  <c r="AZ66" i="2"/>
  <c r="GJ68" i="2" s="1"/>
  <c r="AY66" i="2"/>
  <c r="GI68" i="2" s="1"/>
  <c r="AX66" i="2"/>
  <c r="GH68" i="2" s="1"/>
  <c r="AW66" i="2"/>
  <c r="GG68" i="2" s="1"/>
  <c r="AV66" i="2"/>
  <c r="GF68" i="2" s="1"/>
  <c r="AU66" i="2"/>
  <c r="GE68" i="2" s="1"/>
  <c r="AT66" i="2"/>
  <c r="GD68" i="2" s="1"/>
  <c r="AS66" i="2"/>
  <c r="GC68" i="2" s="1"/>
  <c r="AR66" i="2"/>
  <c r="GB68" i="2" s="1"/>
  <c r="AQ66" i="2"/>
  <c r="GA68" i="2" s="1"/>
  <c r="AP66" i="2"/>
  <c r="FZ68" i="2" s="1"/>
  <c r="AO66" i="2"/>
  <c r="FY68" i="2" s="1"/>
  <c r="AN66" i="2"/>
  <c r="FX68" i="2" s="1"/>
  <c r="AM66" i="2"/>
  <c r="FW68" i="2" s="1"/>
  <c r="AL66" i="2"/>
  <c r="FV68" i="2" s="1"/>
  <c r="AK66" i="2"/>
  <c r="FU68" i="2" s="1"/>
  <c r="AJ66" i="2"/>
  <c r="FT68" i="2" s="1"/>
  <c r="AI66" i="2"/>
  <c r="FS68" i="2" s="1"/>
  <c r="AH66" i="2"/>
  <c r="FR68" i="2" s="1"/>
  <c r="AG66" i="2"/>
  <c r="FQ68" i="2" s="1"/>
  <c r="AF66" i="2"/>
  <c r="FP68" i="2" s="1"/>
  <c r="AE66" i="2"/>
  <c r="FO68" i="2" s="1"/>
  <c r="AD66" i="2"/>
  <c r="FN68" i="2" s="1"/>
  <c r="AC66" i="2"/>
  <c r="FM68" i="2" s="1"/>
  <c r="AB66" i="2"/>
  <c r="FL68" i="2" s="1"/>
  <c r="AA66" i="2"/>
  <c r="FK68" i="2" s="1"/>
  <c r="Z66" i="2"/>
  <c r="FJ68" i="2" s="1"/>
  <c r="Y66" i="2"/>
  <c r="FI68" i="2" s="1"/>
  <c r="X66" i="2"/>
  <c r="FH68" i="2" s="1"/>
  <c r="W66" i="2"/>
  <c r="FG68" i="2" s="1"/>
  <c r="V66" i="2"/>
  <c r="FF68" i="2" s="1"/>
  <c r="U66" i="2"/>
  <c r="FE68" i="2" s="1"/>
  <c r="T66" i="2"/>
  <c r="FD68" i="2" s="1"/>
  <c r="S66" i="2"/>
  <c r="FC68" i="2" s="1"/>
  <c r="R66" i="2"/>
  <c r="FB68" i="2" s="1"/>
  <c r="Q66" i="2"/>
  <c r="FA68" i="2" s="1"/>
  <c r="P66" i="2"/>
  <c r="EZ68" i="2" s="1"/>
  <c r="O66" i="2"/>
  <c r="EY68" i="2" s="1"/>
  <c r="N66" i="2"/>
  <c r="EX68" i="2" s="1"/>
  <c r="M66" i="2"/>
  <c r="EW68" i="2" s="1"/>
  <c r="L66" i="2"/>
  <c r="EV68" i="2" s="1"/>
  <c r="K66" i="2"/>
  <c r="I66" i="2"/>
  <c r="EN65" i="2"/>
  <c r="JX67" i="2" s="1"/>
  <c r="EM65" i="2"/>
  <c r="JW67" i="2" s="1"/>
  <c r="EL65" i="2"/>
  <c r="JV67" i="2" s="1"/>
  <c r="EK65" i="2"/>
  <c r="JU67" i="2" s="1"/>
  <c r="EJ65" i="2"/>
  <c r="JT67" i="2" s="1"/>
  <c r="EI65" i="2"/>
  <c r="JS67" i="2" s="1"/>
  <c r="EH65" i="2"/>
  <c r="JR67" i="2" s="1"/>
  <c r="EG65" i="2"/>
  <c r="JQ67" i="2" s="1"/>
  <c r="EF65" i="2"/>
  <c r="JP67" i="2" s="1"/>
  <c r="EE65" i="2"/>
  <c r="JO67" i="2" s="1"/>
  <c r="ED65" i="2"/>
  <c r="JN67" i="2" s="1"/>
  <c r="EC65" i="2"/>
  <c r="JM67" i="2" s="1"/>
  <c r="EB65" i="2"/>
  <c r="JL67" i="2" s="1"/>
  <c r="EA65" i="2"/>
  <c r="JK67" i="2" s="1"/>
  <c r="DZ65" i="2"/>
  <c r="JJ67" i="2" s="1"/>
  <c r="DY65" i="2"/>
  <c r="JI67" i="2" s="1"/>
  <c r="DX65" i="2"/>
  <c r="JH67" i="2" s="1"/>
  <c r="DW65" i="2"/>
  <c r="JG67" i="2" s="1"/>
  <c r="DV65" i="2"/>
  <c r="JF67" i="2" s="1"/>
  <c r="DU65" i="2"/>
  <c r="JE67" i="2" s="1"/>
  <c r="DT65" i="2"/>
  <c r="JD67" i="2" s="1"/>
  <c r="DS65" i="2"/>
  <c r="JC67" i="2" s="1"/>
  <c r="DR65" i="2"/>
  <c r="JB67" i="2" s="1"/>
  <c r="DQ65" i="2"/>
  <c r="JA67" i="2" s="1"/>
  <c r="DP65" i="2"/>
  <c r="IZ67" i="2" s="1"/>
  <c r="DO65" i="2"/>
  <c r="IY67" i="2" s="1"/>
  <c r="DN65" i="2"/>
  <c r="IX67" i="2" s="1"/>
  <c r="DM65" i="2"/>
  <c r="IW67" i="2" s="1"/>
  <c r="DL65" i="2"/>
  <c r="IV67" i="2" s="1"/>
  <c r="DK65" i="2"/>
  <c r="IU67" i="2" s="1"/>
  <c r="DJ65" i="2"/>
  <c r="IT67" i="2" s="1"/>
  <c r="DI65" i="2"/>
  <c r="IS67" i="2" s="1"/>
  <c r="DH65" i="2"/>
  <c r="IR67" i="2" s="1"/>
  <c r="DG65" i="2"/>
  <c r="IQ67" i="2" s="1"/>
  <c r="DF65" i="2"/>
  <c r="IP67" i="2" s="1"/>
  <c r="DE65" i="2"/>
  <c r="IO67" i="2" s="1"/>
  <c r="DD65" i="2"/>
  <c r="IN67" i="2" s="1"/>
  <c r="DC65" i="2"/>
  <c r="IM67" i="2" s="1"/>
  <c r="DB65" i="2"/>
  <c r="IL67" i="2" s="1"/>
  <c r="DA65" i="2"/>
  <c r="IK67" i="2" s="1"/>
  <c r="CZ65" i="2"/>
  <c r="IJ67" i="2" s="1"/>
  <c r="CY65" i="2"/>
  <c r="II67" i="2" s="1"/>
  <c r="CX65" i="2"/>
  <c r="IH67" i="2" s="1"/>
  <c r="CW65" i="2"/>
  <c r="IG67" i="2" s="1"/>
  <c r="CV65" i="2"/>
  <c r="IF67" i="2" s="1"/>
  <c r="CU65" i="2"/>
  <c r="IE67" i="2" s="1"/>
  <c r="CT65" i="2"/>
  <c r="ID67" i="2" s="1"/>
  <c r="CS65" i="2"/>
  <c r="IC67" i="2" s="1"/>
  <c r="CR65" i="2"/>
  <c r="IB67" i="2" s="1"/>
  <c r="CQ65" i="2"/>
  <c r="IA67" i="2" s="1"/>
  <c r="CP65" i="2"/>
  <c r="HZ67" i="2" s="1"/>
  <c r="CO65" i="2"/>
  <c r="HY67" i="2" s="1"/>
  <c r="CN65" i="2"/>
  <c r="HX67" i="2" s="1"/>
  <c r="CM65" i="2"/>
  <c r="HW67" i="2" s="1"/>
  <c r="CL65" i="2"/>
  <c r="HV67" i="2" s="1"/>
  <c r="CK65" i="2"/>
  <c r="HU67" i="2" s="1"/>
  <c r="CJ65" i="2"/>
  <c r="HT67" i="2" s="1"/>
  <c r="CI65" i="2"/>
  <c r="HS67" i="2" s="1"/>
  <c r="CH65" i="2"/>
  <c r="HR67" i="2" s="1"/>
  <c r="CG65" i="2"/>
  <c r="HQ67" i="2" s="1"/>
  <c r="CF65" i="2"/>
  <c r="HP67" i="2" s="1"/>
  <c r="CE65" i="2"/>
  <c r="HO67" i="2" s="1"/>
  <c r="CD65" i="2"/>
  <c r="HN67" i="2" s="1"/>
  <c r="CC65" i="2"/>
  <c r="HM67" i="2" s="1"/>
  <c r="CB65" i="2"/>
  <c r="HL67" i="2" s="1"/>
  <c r="CA65" i="2"/>
  <c r="HK67" i="2" s="1"/>
  <c r="BZ65" i="2"/>
  <c r="HJ67" i="2" s="1"/>
  <c r="BY65" i="2"/>
  <c r="HI67" i="2" s="1"/>
  <c r="BX65" i="2"/>
  <c r="HH67" i="2" s="1"/>
  <c r="BW65" i="2"/>
  <c r="HG67" i="2" s="1"/>
  <c r="BV65" i="2"/>
  <c r="HF67" i="2" s="1"/>
  <c r="BU65" i="2"/>
  <c r="HE67" i="2" s="1"/>
  <c r="BT65" i="2"/>
  <c r="HD67" i="2" s="1"/>
  <c r="BS65" i="2"/>
  <c r="HC67" i="2" s="1"/>
  <c r="BR65" i="2"/>
  <c r="HB67" i="2" s="1"/>
  <c r="BQ65" i="2"/>
  <c r="HA67" i="2" s="1"/>
  <c r="BP65" i="2"/>
  <c r="GZ67" i="2" s="1"/>
  <c r="BO65" i="2"/>
  <c r="GY67" i="2" s="1"/>
  <c r="BN65" i="2"/>
  <c r="GX67" i="2" s="1"/>
  <c r="BM65" i="2"/>
  <c r="GW67" i="2" s="1"/>
  <c r="BL65" i="2"/>
  <c r="GV67" i="2" s="1"/>
  <c r="BK65" i="2"/>
  <c r="GU67" i="2" s="1"/>
  <c r="BJ65" i="2"/>
  <c r="GT67" i="2" s="1"/>
  <c r="BI65" i="2"/>
  <c r="GS67" i="2" s="1"/>
  <c r="BH65" i="2"/>
  <c r="GR67" i="2" s="1"/>
  <c r="BG65" i="2"/>
  <c r="GQ67" i="2" s="1"/>
  <c r="BF65" i="2"/>
  <c r="GP67" i="2" s="1"/>
  <c r="BE65" i="2"/>
  <c r="GO67" i="2" s="1"/>
  <c r="BD65" i="2"/>
  <c r="GN67" i="2" s="1"/>
  <c r="BC65" i="2"/>
  <c r="GM67" i="2" s="1"/>
  <c r="BB65" i="2"/>
  <c r="GL67" i="2" s="1"/>
  <c r="BA65" i="2"/>
  <c r="GK67" i="2" s="1"/>
  <c r="AZ65" i="2"/>
  <c r="GJ67" i="2" s="1"/>
  <c r="AY65" i="2"/>
  <c r="GI67" i="2" s="1"/>
  <c r="AX65" i="2"/>
  <c r="GH67" i="2" s="1"/>
  <c r="AW65" i="2"/>
  <c r="GG67" i="2" s="1"/>
  <c r="AV65" i="2"/>
  <c r="GF67" i="2" s="1"/>
  <c r="AU65" i="2"/>
  <c r="GE67" i="2" s="1"/>
  <c r="AT65" i="2"/>
  <c r="GD67" i="2" s="1"/>
  <c r="AS65" i="2"/>
  <c r="GC67" i="2" s="1"/>
  <c r="AR65" i="2"/>
  <c r="GB67" i="2" s="1"/>
  <c r="AQ65" i="2"/>
  <c r="GA67" i="2" s="1"/>
  <c r="AP65" i="2"/>
  <c r="FZ67" i="2" s="1"/>
  <c r="AO65" i="2"/>
  <c r="FY67" i="2" s="1"/>
  <c r="AN65" i="2"/>
  <c r="FX67" i="2" s="1"/>
  <c r="AM65" i="2"/>
  <c r="FW67" i="2" s="1"/>
  <c r="AL65" i="2"/>
  <c r="FV67" i="2" s="1"/>
  <c r="AK65" i="2"/>
  <c r="FU67" i="2" s="1"/>
  <c r="AJ65" i="2"/>
  <c r="FT67" i="2" s="1"/>
  <c r="AI65" i="2"/>
  <c r="FS67" i="2" s="1"/>
  <c r="AH65" i="2"/>
  <c r="FR67" i="2" s="1"/>
  <c r="AG65" i="2"/>
  <c r="FQ67" i="2" s="1"/>
  <c r="AF65" i="2"/>
  <c r="FP67" i="2" s="1"/>
  <c r="AE65" i="2"/>
  <c r="FO67" i="2" s="1"/>
  <c r="AD65" i="2"/>
  <c r="FN67" i="2" s="1"/>
  <c r="AC65" i="2"/>
  <c r="FM67" i="2" s="1"/>
  <c r="AB65" i="2"/>
  <c r="FL67" i="2" s="1"/>
  <c r="AA65" i="2"/>
  <c r="FK67" i="2" s="1"/>
  <c r="Z65" i="2"/>
  <c r="FJ67" i="2" s="1"/>
  <c r="Y65" i="2"/>
  <c r="FI67" i="2" s="1"/>
  <c r="X65" i="2"/>
  <c r="FH67" i="2" s="1"/>
  <c r="W65" i="2"/>
  <c r="FG67" i="2" s="1"/>
  <c r="V65" i="2"/>
  <c r="FF67" i="2" s="1"/>
  <c r="U65" i="2"/>
  <c r="FE67" i="2" s="1"/>
  <c r="T65" i="2"/>
  <c r="FD67" i="2" s="1"/>
  <c r="S65" i="2"/>
  <c r="FC67" i="2" s="1"/>
  <c r="R65" i="2"/>
  <c r="FB67" i="2" s="1"/>
  <c r="Q65" i="2"/>
  <c r="FA67" i="2" s="1"/>
  <c r="P65" i="2"/>
  <c r="EZ67" i="2" s="1"/>
  <c r="O65" i="2"/>
  <c r="EY67" i="2" s="1"/>
  <c r="N65" i="2"/>
  <c r="EX67" i="2" s="1"/>
  <c r="M65" i="2"/>
  <c r="EW67" i="2" s="1"/>
  <c r="L65" i="2"/>
  <c r="EV67" i="2" s="1"/>
  <c r="K65" i="2"/>
  <c r="E65" i="2"/>
  <c r="K62" i="2"/>
  <c r="K61" i="2"/>
  <c r="C61" i="2"/>
  <c r="C65" i="2" s="1"/>
  <c r="EV59" i="2"/>
  <c r="EV75" i="2" s="1"/>
  <c r="EV58" i="2"/>
  <c r="EV74" i="2" s="1"/>
  <c r="F57" i="2"/>
  <c r="C57" i="2"/>
  <c r="I55" i="2"/>
  <c r="M35" i="1" s="1"/>
  <c r="C55" i="2"/>
  <c r="EP54" i="2"/>
  <c r="C49" i="2"/>
  <c r="ER47" i="2"/>
  <c r="I47" i="2"/>
  <c r="M34" i="1" s="1"/>
  <c r="F47" i="2"/>
  <c r="C47" i="2"/>
  <c r="KE46" i="2"/>
  <c r="KB46" i="2"/>
  <c r="JZ46" i="2"/>
  <c r="ET46" i="2"/>
  <c r="EP46" i="2"/>
  <c r="KE45" i="2"/>
  <c r="KB45" i="2"/>
  <c r="JZ45" i="2"/>
  <c r="ET45" i="2"/>
  <c r="EP45" i="2"/>
  <c r="KE44" i="2"/>
  <c r="KB44" i="2"/>
  <c r="JZ44" i="2"/>
  <c r="ET44" i="2"/>
  <c r="EP44" i="2"/>
  <c r="KE43" i="2"/>
  <c r="KB43" i="2"/>
  <c r="JZ43" i="2"/>
  <c r="ET43" i="2"/>
  <c r="EP43" i="2"/>
  <c r="KE42" i="2"/>
  <c r="KB42" i="2"/>
  <c r="JZ42" i="2"/>
  <c r="ET42" i="2"/>
  <c r="EP42" i="2"/>
  <c r="KE41" i="2"/>
  <c r="KB41" i="2"/>
  <c r="JZ41" i="2"/>
  <c r="ET41" i="2"/>
  <c r="EP41" i="2"/>
  <c r="JZ40" i="2"/>
  <c r="JZ38" i="2"/>
  <c r="ER38" i="2"/>
  <c r="F38" i="2"/>
  <c r="C38" i="2"/>
  <c r="KB37" i="2"/>
  <c r="JZ37" i="2"/>
  <c r="ET37" i="2"/>
  <c r="I37" i="2"/>
  <c r="EP37" i="2" s="1"/>
  <c r="KB36" i="2"/>
  <c r="JZ36" i="2"/>
  <c r="ET36" i="2"/>
  <c r="I36" i="2"/>
  <c r="EP36" i="2" s="1"/>
  <c r="KB35" i="2"/>
  <c r="JZ35" i="2"/>
  <c r="ET35" i="2"/>
  <c r="I35" i="2"/>
  <c r="EP35" i="2" s="1"/>
  <c r="KB34" i="2"/>
  <c r="JZ34" i="2"/>
  <c r="ET34" i="2"/>
  <c r="I34" i="2"/>
  <c r="EP34" i="2" s="1"/>
  <c r="E34" i="2"/>
  <c r="ES34" i="2" s="1"/>
  <c r="JZ33" i="2"/>
  <c r="JZ31" i="2"/>
  <c r="ER31" i="2"/>
  <c r="F31" i="2"/>
  <c r="C31" i="2"/>
  <c r="KC30" i="2"/>
  <c r="KB30" i="2"/>
  <c r="JZ30" i="2"/>
  <c r="ET30" i="2"/>
  <c r="ES30" i="2"/>
  <c r="I30" i="2"/>
  <c r="KE30" i="2" s="1"/>
  <c r="KE29" i="2"/>
  <c r="KC29" i="2"/>
  <c r="KB29" i="2"/>
  <c r="JZ29" i="2"/>
  <c r="ET29" i="2"/>
  <c r="ES29" i="2"/>
  <c r="EU29" i="2" s="1"/>
  <c r="EP29" i="2"/>
  <c r="KC28" i="2"/>
  <c r="KB28" i="2"/>
  <c r="JZ28" i="2"/>
  <c r="ET28" i="2"/>
  <c r="ES28" i="2"/>
  <c r="EU28" i="2" s="1"/>
  <c r="I28" i="2"/>
  <c r="EP28" i="2" s="1"/>
  <c r="KB27" i="2"/>
  <c r="JZ27" i="2"/>
  <c r="ET27" i="2"/>
  <c r="I27" i="2"/>
  <c r="EP27" i="2" s="1"/>
  <c r="E27" i="2"/>
  <c r="KC27" i="2" s="1"/>
  <c r="JZ26" i="2"/>
  <c r="JZ25" i="2"/>
  <c r="H25" i="2"/>
  <c r="G59" i="2" s="1"/>
  <c r="EN23" i="2"/>
  <c r="EN53" i="2" s="1"/>
  <c r="EM23" i="2"/>
  <c r="EL23" i="2"/>
  <c r="EK23" i="2"/>
  <c r="JU23" i="2" s="1"/>
  <c r="PE23" i="2" s="1"/>
  <c r="EJ23" i="2"/>
  <c r="JT23" i="2" s="1"/>
  <c r="PD23" i="2" s="1"/>
  <c r="EI23" i="2"/>
  <c r="JS23" i="2" s="1"/>
  <c r="PC23" i="2" s="1"/>
  <c r="EH23" i="2"/>
  <c r="JR23" i="2" s="1"/>
  <c r="PB23" i="2" s="1"/>
  <c r="EG23" i="2"/>
  <c r="EG86" i="2" s="1"/>
  <c r="EF23" i="2"/>
  <c r="EE23" i="2"/>
  <c r="JO23" i="2" s="1"/>
  <c r="OY23" i="2" s="1"/>
  <c r="ED23" i="2"/>
  <c r="ED54" i="2" s="1"/>
  <c r="EC23" i="2"/>
  <c r="EB23" i="2"/>
  <c r="JL23" i="2" s="1"/>
  <c r="OV23" i="2" s="1"/>
  <c r="EA23" i="2"/>
  <c r="DZ23" i="2"/>
  <c r="DY23" i="2"/>
  <c r="DX23" i="2"/>
  <c r="JH23" i="2" s="1"/>
  <c r="OR23" i="2" s="1"/>
  <c r="DW23" i="2"/>
  <c r="DV23" i="2"/>
  <c r="DU23" i="2"/>
  <c r="JE23" i="2" s="1"/>
  <c r="OO23" i="2" s="1"/>
  <c r="DT23" i="2"/>
  <c r="DS23" i="2"/>
  <c r="JC23" i="2" s="1"/>
  <c r="OM23" i="2" s="1"/>
  <c r="DR23" i="2"/>
  <c r="DR54" i="2" s="1"/>
  <c r="DQ23" i="2"/>
  <c r="DP23" i="2"/>
  <c r="IZ23" i="2" s="1"/>
  <c r="OJ23" i="2" s="1"/>
  <c r="DO23" i="2"/>
  <c r="DN23" i="2"/>
  <c r="DM23" i="2"/>
  <c r="IW23" i="2" s="1"/>
  <c r="OG23" i="2" s="1"/>
  <c r="DL23" i="2"/>
  <c r="IV23" i="2" s="1"/>
  <c r="OF23" i="2" s="1"/>
  <c r="DK23" i="2"/>
  <c r="IU23" i="2" s="1"/>
  <c r="OE23" i="2" s="1"/>
  <c r="DJ23" i="2"/>
  <c r="DI23" i="2"/>
  <c r="IS23" i="2" s="1"/>
  <c r="OC23" i="2" s="1"/>
  <c r="DH23" i="2"/>
  <c r="DG23" i="2"/>
  <c r="DG53" i="2" s="1"/>
  <c r="DA87" i="9" s="1"/>
  <c r="DF23" i="2"/>
  <c r="DF53" i="2" s="1"/>
  <c r="CZ87" i="9" s="1"/>
  <c r="DE23" i="2"/>
  <c r="DD23" i="2"/>
  <c r="DD53" i="2" s="1"/>
  <c r="CX87" i="9" s="1"/>
  <c r="DC23" i="2"/>
  <c r="DB23" i="2"/>
  <c r="DA23" i="2"/>
  <c r="IK23" i="2" s="1"/>
  <c r="NU23" i="2" s="1"/>
  <c r="CZ23" i="2"/>
  <c r="IJ23" i="2" s="1"/>
  <c r="NT23" i="2" s="1"/>
  <c r="CY23" i="2"/>
  <c r="II23" i="2" s="1"/>
  <c r="NS23" i="2" s="1"/>
  <c r="CX23" i="2"/>
  <c r="IH23" i="2" s="1"/>
  <c r="NR23" i="2" s="1"/>
  <c r="CW23" i="2"/>
  <c r="IG23" i="2" s="1"/>
  <c r="NQ23" i="2" s="1"/>
  <c r="CV23" i="2"/>
  <c r="CU23" i="2"/>
  <c r="IE23" i="2" s="1"/>
  <c r="NO23" i="2" s="1"/>
  <c r="CT23" i="2"/>
  <c r="CT54" i="2" s="1"/>
  <c r="CS23" i="2"/>
  <c r="CR23" i="2"/>
  <c r="IB23" i="2" s="1"/>
  <c r="NL23" i="2" s="1"/>
  <c r="CQ23" i="2"/>
  <c r="CP23" i="2"/>
  <c r="CO23" i="2"/>
  <c r="HY23" i="2" s="1"/>
  <c r="NI23" i="2" s="1"/>
  <c r="CN23" i="2"/>
  <c r="CM23" i="2"/>
  <c r="CL23" i="2"/>
  <c r="HV23" i="2" s="1"/>
  <c r="NF23" i="2" s="1"/>
  <c r="CK23" i="2"/>
  <c r="HU23" i="2" s="1"/>
  <c r="NE23" i="2" s="1"/>
  <c r="CJ23" i="2"/>
  <c r="CI23" i="2"/>
  <c r="CI86" i="2" s="1"/>
  <c r="CH23" i="2"/>
  <c r="CH54" i="2" s="1"/>
  <c r="CG23" i="2"/>
  <c r="CF23" i="2"/>
  <c r="CF52" i="2" s="1"/>
  <c r="CE23" i="2"/>
  <c r="CD23" i="2"/>
  <c r="CC23" i="2"/>
  <c r="HM23" i="2" s="1"/>
  <c r="MW23" i="2" s="1"/>
  <c r="CB23" i="2"/>
  <c r="HL23" i="2" s="1"/>
  <c r="MV23" i="2" s="1"/>
  <c r="CA23" i="2"/>
  <c r="HK23" i="2" s="1"/>
  <c r="MU23" i="2" s="1"/>
  <c r="BZ23" i="2"/>
  <c r="HJ23" i="2" s="1"/>
  <c r="MT23" i="2" s="1"/>
  <c r="BY23" i="2"/>
  <c r="HI23" i="2" s="1"/>
  <c r="MS23" i="2" s="1"/>
  <c r="BX23" i="2"/>
  <c r="BW23" i="2"/>
  <c r="BW53" i="2" s="1"/>
  <c r="BQ87" i="9" s="1"/>
  <c r="BV23" i="2"/>
  <c r="BV53" i="2" s="1"/>
  <c r="BP87" i="9" s="1"/>
  <c r="BU23" i="2"/>
  <c r="BT23" i="2"/>
  <c r="HD23" i="2" s="1"/>
  <c r="MN23" i="2" s="1"/>
  <c r="BS23" i="2"/>
  <c r="BR23" i="2"/>
  <c r="BQ23" i="2"/>
  <c r="BP23" i="2"/>
  <c r="GZ23" i="2" s="1"/>
  <c r="MJ23" i="2" s="1"/>
  <c r="BO23" i="2"/>
  <c r="BN23" i="2"/>
  <c r="BM23" i="2"/>
  <c r="BM52" i="2" s="1"/>
  <c r="BL23" i="2"/>
  <c r="BK23" i="2"/>
  <c r="BK53" i="2" s="1"/>
  <c r="BE87" i="9" s="1"/>
  <c r="BJ23" i="2"/>
  <c r="BJ54" i="2" s="1"/>
  <c r="BI23" i="2"/>
  <c r="BH23" i="2"/>
  <c r="GR23" i="2" s="1"/>
  <c r="MB23" i="2" s="1"/>
  <c r="BG23" i="2"/>
  <c r="BF23" i="2"/>
  <c r="BE23" i="2"/>
  <c r="GO23" i="2" s="1"/>
  <c r="LY23" i="2" s="1"/>
  <c r="BD23" i="2"/>
  <c r="GN23" i="2" s="1"/>
  <c r="LX23" i="2" s="1"/>
  <c r="BC23" i="2"/>
  <c r="GM23" i="2" s="1"/>
  <c r="LW23" i="2" s="1"/>
  <c r="BB23" i="2"/>
  <c r="GL23" i="2" s="1"/>
  <c r="LV23" i="2" s="1"/>
  <c r="BA23" i="2"/>
  <c r="BA52" i="2" s="1"/>
  <c r="AZ23" i="2"/>
  <c r="AY23" i="2"/>
  <c r="GI23" i="2" s="1"/>
  <c r="LS23" i="2" s="1"/>
  <c r="AX23" i="2"/>
  <c r="AX54" i="2" s="1"/>
  <c r="AW23" i="2"/>
  <c r="AV23" i="2"/>
  <c r="AV52" i="2" s="1"/>
  <c r="AU23" i="2"/>
  <c r="AT23" i="2"/>
  <c r="AS23" i="2"/>
  <c r="AR23" i="2"/>
  <c r="AQ23" i="2"/>
  <c r="AP23" i="2"/>
  <c r="AO23" i="2"/>
  <c r="FY23" i="2" s="1"/>
  <c r="LI23" i="2" s="1"/>
  <c r="AN23" i="2"/>
  <c r="AM23" i="2"/>
  <c r="AM53" i="2" s="1"/>
  <c r="AG87" i="9" s="1"/>
  <c r="AL23" i="2"/>
  <c r="AL53" i="2" s="1"/>
  <c r="AF87" i="9" s="1"/>
  <c r="AK23" i="2"/>
  <c r="AJ23" i="2"/>
  <c r="AJ53" i="2" s="1"/>
  <c r="AD87" i="9" s="1"/>
  <c r="AI23" i="2"/>
  <c r="AH23" i="2"/>
  <c r="AG23" i="2"/>
  <c r="AF23" i="2"/>
  <c r="FP23" i="2" s="1"/>
  <c r="KZ23" i="2" s="1"/>
  <c r="AE23" i="2"/>
  <c r="AD23" i="2"/>
  <c r="AC23" i="2"/>
  <c r="AC52" i="2" s="1"/>
  <c r="AB23" i="2"/>
  <c r="AA23" i="2"/>
  <c r="AA53" i="2" s="1"/>
  <c r="U87" i="9" s="1"/>
  <c r="Z23" i="2"/>
  <c r="Z54" i="2" s="1"/>
  <c r="Y23" i="2"/>
  <c r="X23" i="2"/>
  <c r="FH23" i="2" s="1"/>
  <c r="KR23" i="2" s="1"/>
  <c r="W23" i="2"/>
  <c r="V23" i="2"/>
  <c r="U23" i="2"/>
  <c r="FE23" i="2" s="1"/>
  <c r="KO23" i="2" s="1"/>
  <c r="T23" i="2"/>
  <c r="FD23" i="2" s="1"/>
  <c r="KN23" i="2" s="1"/>
  <c r="S23" i="2"/>
  <c r="FC23" i="2" s="1"/>
  <c r="KM23" i="2" s="1"/>
  <c r="R23" i="2"/>
  <c r="FB23" i="2" s="1"/>
  <c r="KL23" i="2" s="1"/>
  <c r="Q23" i="2"/>
  <c r="Q52" i="2" s="1"/>
  <c r="P23" i="2"/>
  <c r="O23" i="2"/>
  <c r="EY23" i="2" s="1"/>
  <c r="KI23" i="2" s="1"/>
  <c r="N23" i="2"/>
  <c r="N54" i="2" s="1"/>
  <c r="M23" i="2"/>
  <c r="L23" i="2"/>
  <c r="L52" i="2" s="1"/>
  <c r="F21" i="2"/>
  <c r="F18" i="2"/>
  <c r="B18" i="2"/>
  <c r="I17" i="2"/>
  <c r="E17" i="2"/>
  <c r="C17" i="2" s="1"/>
  <c r="D17" i="2"/>
  <c r="E13" i="2"/>
  <c r="EG24" i="2" s="1"/>
  <c r="E11" i="2"/>
  <c r="E10" i="2"/>
  <c r="I13" i="2" s="1"/>
  <c r="E9" i="2"/>
  <c r="B2" i="2" s="1"/>
  <c r="EN3" i="2"/>
  <c r="JX3" i="2" s="1"/>
  <c r="EM3" i="2"/>
  <c r="EM68" i="2" s="1"/>
  <c r="EL3" i="2"/>
  <c r="EL81" i="2" s="1"/>
  <c r="EK3" i="2"/>
  <c r="JU3" i="2" s="1"/>
  <c r="JU51" i="2" s="1"/>
  <c r="EJ3" i="2"/>
  <c r="EJ68" i="2" s="1"/>
  <c r="EI3" i="2"/>
  <c r="EI2" i="2" s="1"/>
  <c r="JS2" i="2" s="1"/>
  <c r="PC2" i="2" s="1"/>
  <c r="EH3" i="2"/>
  <c r="JR3" i="2" s="1"/>
  <c r="JR55" i="2" s="1"/>
  <c r="EG3" i="2"/>
  <c r="EG2" i="2" s="1"/>
  <c r="JQ2" i="2" s="1"/>
  <c r="PA2" i="2" s="1"/>
  <c r="EF3" i="2"/>
  <c r="EF2" i="2" s="1"/>
  <c r="JP2" i="2" s="1"/>
  <c r="OZ2" i="2" s="1"/>
  <c r="EE3" i="2"/>
  <c r="JO3" i="2" s="1"/>
  <c r="ED3" i="2"/>
  <c r="JN3" i="2" s="1"/>
  <c r="EC3" i="2"/>
  <c r="JM3" i="2" s="1"/>
  <c r="EB3" i="2"/>
  <c r="EA3" i="2"/>
  <c r="EA2" i="2" s="1"/>
  <c r="JK2" i="2" s="1"/>
  <c r="OU2" i="2" s="1"/>
  <c r="DZ3" i="2"/>
  <c r="DZ81" i="2" s="1"/>
  <c r="DY3" i="2"/>
  <c r="JI3" i="2" s="1"/>
  <c r="JI51" i="2" s="1"/>
  <c r="DX3" i="2"/>
  <c r="DX68" i="2" s="1"/>
  <c r="DW3" i="2"/>
  <c r="DW2" i="2" s="1"/>
  <c r="JG2" i="2" s="1"/>
  <c r="OQ2" i="2" s="1"/>
  <c r="DV3" i="2"/>
  <c r="DV2" i="2" s="1"/>
  <c r="JF2" i="2" s="1"/>
  <c r="OP2" i="2" s="1"/>
  <c r="DU3" i="2"/>
  <c r="DU2" i="2" s="1"/>
  <c r="JE2" i="2" s="1"/>
  <c r="OO2" i="2" s="1"/>
  <c r="DT3" i="2"/>
  <c r="DS3" i="2"/>
  <c r="DS2" i="2" s="1"/>
  <c r="JC2" i="2" s="1"/>
  <c r="OM2" i="2" s="1"/>
  <c r="DR3" i="2"/>
  <c r="JB3" i="2" s="1"/>
  <c r="DQ3" i="2"/>
  <c r="JA3" i="2" s="1"/>
  <c r="DP3" i="2"/>
  <c r="IZ3" i="2" s="1"/>
  <c r="DO3" i="2"/>
  <c r="DO2" i="2" s="1"/>
  <c r="IY2" i="2" s="1"/>
  <c r="OI2" i="2" s="1"/>
  <c r="DN3" i="2"/>
  <c r="DN2" i="2" s="1"/>
  <c r="IX2" i="2" s="1"/>
  <c r="OH2" i="2" s="1"/>
  <c r="DM3" i="2"/>
  <c r="IW3" i="2" s="1"/>
  <c r="IW51" i="2" s="1"/>
  <c r="DL3" i="2"/>
  <c r="DL2" i="2" s="1"/>
  <c r="IV2" i="2" s="1"/>
  <c r="OF2" i="2" s="1"/>
  <c r="DK3" i="2"/>
  <c r="DK2" i="2" s="1"/>
  <c r="IU2" i="2" s="1"/>
  <c r="OE2" i="2" s="1"/>
  <c r="DJ3" i="2"/>
  <c r="IT3" i="2" s="1"/>
  <c r="IT55" i="2" s="1"/>
  <c r="DI3" i="2"/>
  <c r="DI2" i="2" s="1"/>
  <c r="IS2" i="2" s="1"/>
  <c r="OC2" i="2" s="1"/>
  <c r="DH3" i="2"/>
  <c r="DG3" i="2"/>
  <c r="IQ3" i="2" s="1"/>
  <c r="DF3" i="2"/>
  <c r="DE3" i="2"/>
  <c r="DD3" i="2"/>
  <c r="DC3" i="2"/>
  <c r="IM3" i="2" s="1"/>
  <c r="NW3" i="2" s="1"/>
  <c r="NW92" i="2" s="1"/>
  <c r="DB3" i="2"/>
  <c r="DB81" i="2" s="1"/>
  <c r="DA3" i="2"/>
  <c r="DA2" i="2" s="1"/>
  <c r="IK2" i="2" s="1"/>
  <c r="NU2" i="2" s="1"/>
  <c r="CZ3" i="2"/>
  <c r="CZ2" i="2" s="1"/>
  <c r="IJ2" i="2" s="1"/>
  <c r="NT2" i="2" s="1"/>
  <c r="CY3" i="2"/>
  <c r="CY2" i="2" s="1"/>
  <c r="II2" i="2" s="1"/>
  <c r="NS2" i="2" s="1"/>
  <c r="CX3" i="2"/>
  <c r="CX2" i="2" s="1"/>
  <c r="IH2" i="2" s="1"/>
  <c r="NR2" i="2" s="1"/>
  <c r="CW3" i="2"/>
  <c r="CW2" i="2" s="1"/>
  <c r="IG2" i="2" s="1"/>
  <c r="NQ2" i="2" s="1"/>
  <c r="CV3" i="2"/>
  <c r="CV2" i="2" s="1"/>
  <c r="IF2" i="2" s="1"/>
  <c r="NP2" i="2" s="1"/>
  <c r="CU3" i="2"/>
  <c r="CU2" i="2" s="1"/>
  <c r="IE2" i="2" s="1"/>
  <c r="NO2" i="2" s="1"/>
  <c r="CT3" i="2"/>
  <c r="ID3" i="2" s="1"/>
  <c r="CS3" i="2"/>
  <c r="CR3" i="2"/>
  <c r="CQ3" i="2"/>
  <c r="CQ68" i="2" s="1"/>
  <c r="CP3" i="2"/>
  <c r="CP81" i="2" s="1"/>
  <c r="CO3" i="2"/>
  <c r="CO2" i="2" s="1"/>
  <c r="HY2" i="2" s="1"/>
  <c r="NI2" i="2" s="1"/>
  <c r="CN3" i="2"/>
  <c r="CN81" i="2" s="1"/>
  <c r="CM3" i="2"/>
  <c r="CM2" i="2" s="1"/>
  <c r="HW2" i="2" s="1"/>
  <c r="NG2" i="2" s="1"/>
  <c r="CL3" i="2"/>
  <c r="CL2" i="2" s="1"/>
  <c r="HV2" i="2" s="1"/>
  <c r="NF2" i="2" s="1"/>
  <c r="CK3" i="2"/>
  <c r="CK2" i="2" s="1"/>
  <c r="HU2" i="2" s="1"/>
  <c r="NE2" i="2" s="1"/>
  <c r="CJ3" i="2"/>
  <c r="CJ2" i="2" s="1"/>
  <c r="HT2" i="2" s="1"/>
  <c r="ND2" i="2" s="1"/>
  <c r="CI3" i="2"/>
  <c r="CI2" i="2" s="1"/>
  <c r="HS2" i="2" s="1"/>
  <c r="NC2" i="2" s="1"/>
  <c r="CH3" i="2"/>
  <c r="CG3" i="2"/>
  <c r="CF3" i="2"/>
  <c r="CE3" i="2"/>
  <c r="HO3" i="2" s="1"/>
  <c r="MY3" i="2" s="1"/>
  <c r="MY92" i="2" s="1"/>
  <c r="CD3" i="2"/>
  <c r="CC3" i="2"/>
  <c r="CC2" i="2" s="1"/>
  <c r="HM2" i="2" s="1"/>
  <c r="MW2" i="2" s="1"/>
  <c r="CB3" i="2"/>
  <c r="CB68" i="2" s="1"/>
  <c r="CA3" i="2"/>
  <c r="CA68" i="2" s="1"/>
  <c r="BZ3" i="2"/>
  <c r="HJ3" i="2" s="1"/>
  <c r="HJ55" i="2" s="1"/>
  <c r="BY3" i="2"/>
  <c r="BY2" i="2" s="1"/>
  <c r="HI2" i="2" s="1"/>
  <c r="MS2" i="2" s="1"/>
  <c r="BX3" i="2"/>
  <c r="BW3" i="2"/>
  <c r="BW2" i="2" s="1"/>
  <c r="HG2" i="2" s="1"/>
  <c r="MQ2" i="2" s="1"/>
  <c r="BV3" i="2"/>
  <c r="HF3" i="2" s="1"/>
  <c r="BU3" i="2"/>
  <c r="BT3" i="2"/>
  <c r="HD3" i="2" s="1"/>
  <c r="BS3" i="2"/>
  <c r="HC3" i="2" s="1"/>
  <c r="MM3" i="2" s="1"/>
  <c r="MM92" i="2" s="1"/>
  <c r="BR3" i="2"/>
  <c r="BQ3" i="2"/>
  <c r="HA3" i="2" s="1"/>
  <c r="HA51" i="2" s="1"/>
  <c r="BP3" i="2"/>
  <c r="BP2" i="2" s="1"/>
  <c r="GZ2" i="2" s="1"/>
  <c r="MJ2" i="2" s="1"/>
  <c r="BO3" i="2"/>
  <c r="BO2" i="2" s="1"/>
  <c r="GY2" i="2" s="1"/>
  <c r="MI2" i="2" s="1"/>
  <c r="BN3" i="2"/>
  <c r="GX3" i="2" s="1"/>
  <c r="GX55" i="2" s="1"/>
  <c r="BM3" i="2"/>
  <c r="BM2" i="2" s="1"/>
  <c r="GW2" i="2" s="1"/>
  <c r="MG2" i="2" s="1"/>
  <c r="BL3" i="2"/>
  <c r="BK3" i="2"/>
  <c r="BK2" i="2" s="1"/>
  <c r="GU2" i="2" s="1"/>
  <c r="ME2" i="2" s="1"/>
  <c r="BJ3" i="2"/>
  <c r="BI3" i="2"/>
  <c r="GS3" i="2" s="1"/>
  <c r="BH3" i="2"/>
  <c r="GR3" i="2" s="1"/>
  <c r="BG3" i="2"/>
  <c r="GQ3" i="2" s="1"/>
  <c r="MA3" i="2" s="1"/>
  <c r="MA92" i="2" s="1"/>
  <c r="BF3" i="2"/>
  <c r="BF2" i="2" s="1"/>
  <c r="GP2" i="2" s="1"/>
  <c r="LZ2" i="2" s="1"/>
  <c r="BE3" i="2"/>
  <c r="GO3" i="2" s="1"/>
  <c r="GO51" i="2" s="1"/>
  <c r="BD3" i="2"/>
  <c r="BD2" i="2" s="1"/>
  <c r="GN2" i="2" s="1"/>
  <c r="LX2" i="2" s="1"/>
  <c r="BC3" i="2"/>
  <c r="BC2" i="2" s="1"/>
  <c r="GM2" i="2" s="1"/>
  <c r="LW2" i="2" s="1"/>
  <c r="BB3" i="2"/>
  <c r="BB2" i="2" s="1"/>
  <c r="GL2" i="2" s="1"/>
  <c r="LV2" i="2" s="1"/>
  <c r="BA3" i="2"/>
  <c r="BA2" i="2" s="1"/>
  <c r="GK2" i="2" s="1"/>
  <c r="LU2" i="2" s="1"/>
  <c r="AZ3" i="2"/>
  <c r="AZ2" i="2" s="1"/>
  <c r="GJ2" i="2" s="1"/>
  <c r="LT2" i="2" s="1"/>
  <c r="AY3" i="2"/>
  <c r="AY2" i="2" s="1"/>
  <c r="GI2" i="2" s="1"/>
  <c r="LS2" i="2" s="1"/>
  <c r="AX3" i="2"/>
  <c r="GH3" i="2" s="1"/>
  <c r="AW3" i="2"/>
  <c r="AV3" i="2"/>
  <c r="AU3" i="2"/>
  <c r="AU68" i="2" s="1"/>
  <c r="AT3" i="2"/>
  <c r="AT2" i="2" s="1"/>
  <c r="GD2" i="2" s="1"/>
  <c r="LN2" i="2" s="1"/>
  <c r="AS3" i="2"/>
  <c r="GC3" i="2" s="1"/>
  <c r="GC51" i="2" s="1"/>
  <c r="AR3" i="2"/>
  <c r="AR2" i="2" s="1"/>
  <c r="GB2" i="2" s="1"/>
  <c r="LL2" i="2" s="1"/>
  <c r="AQ3" i="2"/>
  <c r="AQ2" i="2" s="1"/>
  <c r="GA2" i="2" s="1"/>
  <c r="LK2" i="2" s="1"/>
  <c r="AP3" i="2"/>
  <c r="FZ3" i="2" s="1"/>
  <c r="FZ55" i="2" s="1"/>
  <c r="AO3" i="2"/>
  <c r="AO2" i="2" s="1"/>
  <c r="FY2" i="2" s="1"/>
  <c r="LI2" i="2" s="1"/>
  <c r="AN3" i="2"/>
  <c r="AN2" i="2" s="1"/>
  <c r="FX2" i="2" s="1"/>
  <c r="LH2" i="2" s="1"/>
  <c r="AM3" i="2"/>
  <c r="AM2" i="2" s="1"/>
  <c r="FW2" i="2" s="1"/>
  <c r="LG2" i="2" s="1"/>
  <c r="AL3" i="2"/>
  <c r="FV3" i="2" s="1"/>
  <c r="AK3" i="2"/>
  <c r="AJ3" i="2"/>
  <c r="AI3" i="2"/>
  <c r="FS3" i="2" s="1"/>
  <c r="LC3" i="2" s="1"/>
  <c r="LC92" i="2" s="1"/>
  <c r="AH3" i="2"/>
  <c r="AH81" i="2" s="1"/>
  <c r="AG3" i="2"/>
  <c r="FQ3" i="2" s="1"/>
  <c r="FQ51" i="2" s="1"/>
  <c r="AF3" i="2"/>
  <c r="AF68" i="2" s="1"/>
  <c r="AE3" i="2"/>
  <c r="AE2" i="2" s="1"/>
  <c r="FO2" i="2" s="1"/>
  <c r="KY2" i="2" s="1"/>
  <c r="AD3" i="2"/>
  <c r="FN3" i="2" s="1"/>
  <c r="FN55" i="2" s="1"/>
  <c r="AC3" i="2"/>
  <c r="AC2" i="2" s="1"/>
  <c r="FM2" i="2" s="1"/>
  <c r="KW2" i="2" s="1"/>
  <c r="AB3" i="2"/>
  <c r="AA3" i="2"/>
  <c r="FK3" i="2" s="1"/>
  <c r="Z3" i="2"/>
  <c r="Y3" i="2"/>
  <c r="X3" i="2"/>
  <c r="W3" i="2"/>
  <c r="FG3" i="2" s="1"/>
  <c r="KQ3" i="2" s="1"/>
  <c r="KQ92" i="2" s="1"/>
  <c r="V3" i="2"/>
  <c r="V81" i="2" s="1"/>
  <c r="U3" i="2"/>
  <c r="U2" i="2" s="1"/>
  <c r="FE2" i="2" s="1"/>
  <c r="KO2" i="2" s="1"/>
  <c r="T3" i="2"/>
  <c r="T2" i="2" s="1"/>
  <c r="FD2" i="2" s="1"/>
  <c r="KN2" i="2" s="1"/>
  <c r="S3" i="2"/>
  <c r="S2" i="2" s="1"/>
  <c r="FC2" i="2" s="1"/>
  <c r="KM2" i="2" s="1"/>
  <c r="R3" i="2"/>
  <c r="FB3" i="2" s="1"/>
  <c r="Q3" i="2"/>
  <c r="Q2" i="2" s="1"/>
  <c r="FA2" i="2" s="1"/>
  <c r="KK2" i="2" s="1"/>
  <c r="P3" i="2"/>
  <c r="O3" i="2"/>
  <c r="EY3" i="2" s="1"/>
  <c r="N3" i="2"/>
  <c r="M3" i="2"/>
  <c r="EW3" i="2" s="1"/>
  <c r="L3" i="2"/>
  <c r="EV3" i="2" s="1"/>
  <c r="S36" i="1"/>
  <c r="R36" i="1"/>
  <c r="Q36" i="1"/>
  <c r="N36" i="1"/>
  <c r="S35" i="1"/>
  <c r="R35" i="1"/>
  <c r="Q35" i="1"/>
  <c r="N35" i="1"/>
  <c r="H35" i="1"/>
  <c r="S34" i="1"/>
  <c r="R34" i="1"/>
  <c r="Q34" i="1"/>
  <c r="N34" i="1"/>
  <c r="H34" i="1"/>
  <c r="N33" i="1"/>
  <c r="H33" i="1"/>
  <c r="S32" i="1"/>
  <c r="R32" i="1"/>
  <c r="H32" i="1"/>
  <c r="B32" i="1"/>
  <c r="N31" i="1"/>
  <c r="L31" i="1"/>
  <c r="N30" i="1"/>
  <c r="N29" i="1"/>
  <c r="H29" i="1"/>
  <c r="N28" i="1"/>
  <c r="B28" i="1"/>
  <c r="B191" i="2" s="1"/>
  <c r="B25" i="1"/>
  <c r="G22" i="1"/>
  <c r="B21" i="1"/>
  <c r="M20" i="1"/>
  <c r="L20" i="1"/>
  <c r="F9" i="1"/>
  <c r="F8" i="1"/>
  <c r="B6" i="1"/>
  <c r="S2" i="1"/>
  <c r="D264" i="20" l="1"/>
  <c r="I34" i="4"/>
  <c r="EM2" i="2"/>
  <c r="JW2" i="2" s="1"/>
  <c r="PG2" i="2" s="1"/>
  <c r="D29" i="7"/>
  <c r="X61" i="7" s="1"/>
  <c r="B36" i="1"/>
  <c r="G36" i="1" s="1"/>
  <c r="D31" i="7"/>
  <c r="AD63" i="7" s="1"/>
  <c r="CA2" i="2"/>
  <c r="HK2" i="2" s="1"/>
  <c r="MU2" i="2" s="1"/>
  <c r="DC2" i="2"/>
  <c r="IM2" i="2" s="1"/>
  <c r="NW2" i="2" s="1"/>
  <c r="AE59" i="7"/>
  <c r="DY2" i="2"/>
  <c r="JI2" i="2" s="1"/>
  <c r="OS2" i="2" s="1"/>
  <c r="S3" i="1"/>
  <c r="R3" i="3" s="1"/>
  <c r="FZ26" i="7"/>
  <c r="F7" i="1"/>
  <c r="DX2" i="2"/>
  <c r="JH2" i="2" s="1"/>
  <c r="OR2" i="2" s="1"/>
  <c r="BG2" i="2"/>
  <c r="GQ2" i="2" s="1"/>
  <c r="MA2" i="2" s="1"/>
  <c r="HY3" i="2"/>
  <c r="HY51" i="2" s="1"/>
  <c r="DV91" i="2"/>
  <c r="JF136" i="2" s="1"/>
  <c r="JF137" i="2" s="1"/>
  <c r="KD28" i="2"/>
  <c r="D27" i="7"/>
  <c r="AA59" i="7" s="1"/>
  <c r="GJ62" i="7"/>
  <c r="CD98" i="2"/>
  <c r="E110" i="2"/>
  <c r="O110" i="2" s="1"/>
  <c r="AP2" i="2"/>
  <c r="FZ2" i="2" s="1"/>
  <c r="LJ2" i="2" s="1"/>
  <c r="EH2" i="2"/>
  <c r="JR2" i="2" s="1"/>
  <c r="PB2" i="2" s="1"/>
  <c r="BR98" i="2"/>
  <c r="HM3" i="2"/>
  <c r="HM51" i="2" s="1"/>
  <c r="CN2" i="2"/>
  <c r="HX2" i="2" s="1"/>
  <c r="NH2" i="2" s="1"/>
  <c r="JK3" i="2"/>
  <c r="OU3" i="2" s="1"/>
  <c r="OU92" i="2" s="1"/>
  <c r="F123" i="2"/>
  <c r="AB59" i="7"/>
  <c r="Y58" i="7"/>
  <c r="DW102" i="2"/>
  <c r="C12" i="11"/>
  <c r="E12" i="11" s="1"/>
  <c r="EJ2" i="2"/>
  <c r="JT2" i="2" s="1"/>
  <c r="PD2" i="2" s="1"/>
  <c r="R2" i="2"/>
  <c r="FB2" i="2" s="1"/>
  <c r="KL2" i="2" s="1"/>
  <c r="BN2" i="2"/>
  <c r="GX2" i="2" s="1"/>
  <c r="MH2" i="2" s="1"/>
  <c r="KC96" i="2"/>
  <c r="R163" i="2"/>
  <c r="W2" i="2"/>
  <c r="FG2" i="2" s="1"/>
  <c r="KQ2" i="2" s="1"/>
  <c r="GE3" i="2"/>
  <c r="GE55" i="2" s="1"/>
  <c r="AF2" i="2"/>
  <c r="FP2" i="2" s="1"/>
  <c r="KZ2" i="2" s="1"/>
  <c r="BZ2" i="2"/>
  <c r="HJ2" i="2" s="1"/>
  <c r="MT2" i="2" s="1"/>
  <c r="D28" i="7"/>
  <c r="G28" i="7" s="1"/>
  <c r="C60" i="7" s="1"/>
  <c r="CR64" i="7" s="1"/>
  <c r="D32" i="7"/>
  <c r="AA64" i="7" s="1"/>
  <c r="AE68" i="2"/>
  <c r="E36" i="1"/>
  <c r="AA2" i="2"/>
  <c r="FK2" i="2" s="1"/>
  <c r="KU2" i="2" s="1"/>
  <c r="CB2" i="2"/>
  <c r="HL2" i="2" s="1"/>
  <c r="MV2" i="2" s="1"/>
  <c r="EE2" i="2"/>
  <c r="JO2" i="2" s="1"/>
  <c r="OY2" i="2" s="1"/>
  <c r="IY3" i="2"/>
  <c r="IY97" i="2" s="1"/>
  <c r="Q24" i="2"/>
  <c r="FA24" i="2" s="1"/>
  <c r="KE28" i="2"/>
  <c r="BT86" i="2"/>
  <c r="BJ82" i="4" s="1"/>
  <c r="T163" i="2"/>
  <c r="F13" i="1"/>
  <c r="F14" i="1" s="1"/>
  <c r="JC3" i="2"/>
  <c r="JC100" i="2" s="1"/>
  <c r="R24" i="2"/>
  <c r="L64" i="9" s="1"/>
  <c r="ES27" i="2"/>
  <c r="EU27" i="2" s="1"/>
  <c r="BE2" i="2"/>
  <c r="GO2" i="2" s="1"/>
  <c r="LY2" i="2" s="1"/>
  <c r="DG2" i="2"/>
  <c r="IQ2" i="2" s="1"/>
  <c r="OA2" i="2" s="1"/>
  <c r="JF3" i="2"/>
  <c r="JF51" i="2" s="1"/>
  <c r="IN23" i="2"/>
  <c r="NX23" i="2" s="1"/>
  <c r="BY24" i="2"/>
  <c r="BY4" i="2" s="1"/>
  <c r="KD30" i="2"/>
  <c r="MJ30" i="2" s="1"/>
  <c r="FW3" i="2"/>
  <c r="FW101" i="2" s="1"/>
  <c r="CW24" i="2"/>
  <c r="CQ64" i="9" s="1"/>
  <c r="T164" i="2"/>
  <c r="EV23" i="2"/>
  <c r="KF23" i="2" s="1"/>
  <c r="CX24" i="2"/>
  <c r="CR64" i="9" s="1"/>
  <c r="FA23" i="2"/>
  <c r="KK23" i="2" s="1"/>
  <c r="CY24" i="2"/>
  <c r="CY87" i="2" s="1"/>
  <c r="C163" i="10"/>
  <c r="T165" i="2"/>
  <c r="M46" i="4"/>
  <c r="O2" i="2"/>
  <c r="EY2" i="2" s="1"/>
  <c r="KI2" i="2" s="1"/>
  <c r="EE24" i="2"/>
  <c r="EE87" i="2" s="1"/>
  <c r="F124" i="2"/>
  <c r="T170" i="2"/>
  <c r="W170" i="2" s="1"/>
  <c r="GA26" i="7"/>
  <c r="AE58" i="7"/>
  <c r="B35" i="1"/>
  <c r="EK2" i="2"/>
  <c r="JU2" i="2" s="1"/>
  <c r="PE2" i="2" s="1"/>
  <c r="GI3" i="2"/>
  <c r="GI197" i="2" s="1"/>
  <c r="CP2" i="2"/>
  <c r="HZ2" i="2" s="1"/>
  <c r="NJ2" i="2" s="1"/>
  <c r="EL2" i="2"/>
  <c r="JV2" i="2" s="1"/>
  <c r="PF2" i="2" s="1"/>
  <c r="GL3" i="2"/>
  <c r="GL97" i="2" s="1"/>
  <c r="GF23" i="2"/>
  <c r="LP23" i="2" s="1"/>
  <c r="JQ23" i="2"/>
  <c r="PA23" i="2" s="1"/>
  <c r="EF24" i="2"/>
  <c r="JP24" i="2" s="1"/>
  <c r="OZ24" i="2" s="1"/>
  <c r="BT53" i="2"/>
  <c r="BN87" i="9" s="1"/>
  <c r="R171" i="2"/>
  <c r="GB26" i="7"/>
  <c r="GK23" i="2"/>
  <c r="LU23" i="2" s="1"/>
  <c r="I18" i="2"/>
  <c r="G42" i="2" s="1"/>
  <c r="T171" i="2"/>
  <c r="W171" i="2" s="1"/>
  <c r="I189" i="2"/>
  <c r="I216" i="2" s="1"/>
  <c r="S29" i="1" s="1"/>
  <c r="EP30" i="2"/>
  <c r="HS3" i="2"/>
  <c r="HS194" i="2" s="1"/>
  <c r="KC102" i="2"/>
  <c r="AD2" i="2"/>
  <c r="FN2" i="2" s="1"/>
  <c r="KX2" i="2" s="1"/>
  <c r="AS2" i="2"/>
  <c r="GC2" i="2" s="1"/>
  <c r="LM2" i="2" s="1"/>
  <c r="CQ2" i="2"/>
  <c r="IA2" i="2" s="1"/>
  <c r="NK2" i="2" s="1"/>
  <c r="DJ2" i="2"/>
  <c r="IT2" i="2" s="1"/>
  <c r="OD2" i="2" s="1"/>
  <c r="DZ2" i="2"/>
  <c r="JJ2" i="2" s="1"/>
  <c r="OT2" i="2" s="1"/>
  <c r="HV3" i="2"/>
  <c r="HV194" i="2" s="1"/>
  <c r="IQ23" i="2"/>
  <c r="OA23" i="2" s="1"/>
  <c r="P24" i="2"/>
  <c r="J64" i="9" s="1"/>
  <c r="DW24" i="2"/>
  <c r="DQ64" i="9" s="1"/>
  <c r="CT53" i="2"/>
  <c r="CN87" i="9" s="1"/>
  <c r="AM86" i="2"/>
  <c r="AM135" i="2" s="1"/>
  <c r="KB97" i="2"/>
  <c r="N11" i="6"/>
  <c r="N26" i="6"/>
  <c r="GC26" i="7"/>
  <c r="GK58" i="7"/>
  <c r="FE3" i="2"/>
  <c r="FE51" i="2" s="1"/>
  <c r="IA3" i="2"/>
  <c r="IA197" i="2" s="1"/>
  <c r="HP23" i="2"/>
  <c r="MZ23" i="2" s="1"/>
  <c r="CV70" i="7"/>
  <c r="AU2" i="2"/>
  <c r="GE2" i="2" s="1"/>
  <c r="LO2" i="2" s="1"/>
  <c r="CD2" i="2"/>
  <c r="HN2" i="2" s="1"/>
  <c r="MX2" i="2" s="1"/>
  <c r="AG2" i="2"/>
  <c r="FQ2" i="2" s="1"/>
  <c r="LA2" i="2" s="1"/>
  <c r="CE2" i="2"/>
  <c r="HO2" i="2" s="1"/>
  <c r="MY2" i="2" s="1"/>
  <c r="DM2" i="2"/>
  <c r="IW2" i="2" s="1"/>
  <c r="OG2" i="2" s="1"/>
  <c r="IH3" i="2"/>
  <c r="IH55" i="2" s="1"/>
  <c r="I10" i="2"/>
  <c r="B3" i="3" s="1"/>
  <c r="FK23" i="2"/>
  <c r="KU23" i="2" s="1"/>
  <c r="HS23" i="2"/>
  <c r="NC23" i="2" s="1"/>
  <c r="AP24" i="2"/>
  <c r="FZ24" i="2" s="1"/>
  <c r="LJ24" i="2" s="1"/>
  <c r="CK52" i="2"/>
  <c r="ED53" i="2"/>
  <c r="D26" i="7"/>
  <c r="AA58" i="7" s="1"/>
  <c r="AH2" i="2"/>
  <c r="FR2" i="2" s="1"/>
  <c r="LB2" i="2" s="1"/>
  <c r="IK3" i="2"/>
  <c r="IK51" i="2" s="1"/>
  <c r="FM23" i="2"/>
  <c r="KW23" i="2" s="1"/>
  <c r="JX23" i="2"/>
  <c r="PH23" i="2" s="1"/>
  <c r="AQ24" i="2"/>
  <c r="AQ4" i="2" s="1"/>
  <c r="KC34" i="2"/>
  <c r="KD34" i="2" s="1"/>
  <c r="DP52" i="2"/>
  <c r="EE53" i="2"/>
  <c r="EJ91" i="2"/>
  <c r="JT136" i="2" s="1"/>
  <c r="JT137" i="2" s="1"/>
  <c r="AB62" i="7"/>
  <c r="AI2" i="2"/>
  <c r="FS2" i="2" s="1"/>
  <c r="LC2" i="2" s="1"/>
  <c r="BQ2" i="2"/>
  <c r="HA2" i="2" s="1"/>
  <c r="MK2" i="2" s="1"/>
  <c r="GU23" i="2"/>
  <c r="ME23" i="2" s="1"/>
  <c r="AY24" i="2"/>
  <c r="GI24" i="2" s="1"/>
  <c r="E31" i="2"/>
  <c r="C37" i="2"/>
  <c r="DU52" i="2"/>
  <c r="DW68" i="2"/>
  <c r="KB94" i="2"/>
  <c r="R168" i="2"/>
  <c r="H220" i="2"/>
  <c r="AD62" i="7"/>
  <c r="CU53" i="2"/>
  <c r="CO87" i="9" s="1"/>
  <c r="BR2" i="2"/>
  <c r="HB2" i="2" s="1"/>
  <c r="ML2" i="2" s="1"/>
  <c r="FT23" i="2"/>
  <c r="LD23" i="2" s="1"/>
  <c r="GW23" i="2"/>
  <c r="MG23" i="2" s="1"/>
  <c r="BW24" i="2"/>
  <c r="HG24" i="2" s="1"/>
  <c r="KD27" i="2"/>
  <c r="KE34" i="2"/>
  <c r="Z53" i="2"/>
  <c r="T87" i="9" s="1"/>
  <c r="H177" i="2"/>
  <c r="L22" i="1" s="1"/>
  <c r="R162" i="2"/>
  <c r="T168" i="2"/>
  <c r="W168" i="2" s="1"/>
  <c r="BS2" i="2"/>
  <c r="HC2" i="2" s="1"/>
  <c r="MM2" i="2" s="1"/>
  <c r="AR93" i="2"/>
  <c r="JW3" i="2"/>
  <c r="PG3" i="2" s="1"/>
  <c r="PG92" i="2" s="1"/>
  <c r="FW23" i="2"/>
  <c r="LG23" i="2" s="1"/>
  <c r="BX24" i="2"/>
  <c r="HH24" i="2" s="1"/>
  <c r="MR24" i="2" s="1"/>
  <c r="E35" i="2"/>
  <c r="ES35" i="2" s="1"/>
  <c r="EU35" i="2" s="1"/>
  <c r="E46" i="2"/>
  <c r="KC46" i="2" s="1"/>
  <c r="F135" i="2"/>
  <c r="T162" i="2"/>
  <c r="FX26" i="7"/>
  <c r="B8" i="9"/>
  <c r="V2" i="2"/>
  <c r="FF2" i="2" s="1"/>
  <c r="KP2" i="2" s="1"/>
  <c r="DB2" i="2"/>
  <c r="IL2" i="2" s="1"/>
  <c r="NV2" i="2" s="1"/>
  <c r="R170" i="2"/>
  <c r="BJ53" i="2"/>
  <c r="BD87" i="9" s="1"/>
  <c r="KC99" i="2"/>
  <c r="E109" i="2"/>
  <c r="R109" i="2" s="1"/>
  <c r="EP226" i="2"/>
  <c r="Y60" i="7"/>
  <c r="AB63" i="7"/>
  <c r="CD101" i="2"/>
  <c r="DB95" i="2"/>
  <c r="DN95" i="2"/>
  <c r="HG23" i="2"/>
  <c r="MQ23" i="2" s="1"/>
  <c r="EW197" i="2"/>
  <c r="EW194" i="2"/>
  <c r="EW101" i="2"/>
  <c r="EW98" i="2"/>
  <c r="EW95" i="2"/>
  <c r="EW100" i="2"/>
  <c r="EW97" i="2"/>
  <c r="EW94" i="2"/>
  <c r="EW51" i="2"/>
  <c r="EW55" i="2"/>
  <c r="KG3" i="2"/>
  <c r="KG92" i="2" s="1"/>
  <c r="GS197" i="2"/>
  <c r="GS194" i="2"/>
  <c r="GS101" i="2"/>
  <c r="GS98" i="2"/>
  <c r="GS95" i="2"/>
  <c r="GS100" i="2"/>
  <c r="GS97" i="2"/>
  <c r="GS94" i="2"/>
  <c r="GS51" i="2"/>
  <c r="GS55" i="2"/>
  <c r="MC3" i="2"/>
  <c r="MC92" i="2" s="1"/>
  <c r="JA194" i="2"/>
  <c r="JA197" i="2"/>
  <c r="JA101" i="2"/>
  <c r="JA98" i="2"/>
  <c r="JA95" i="2"/>
  <c r="JA100" i="2"/>
  <c r="JA97" i="2"/>
  <c r="JA94" i="2"/>
  <c r="JA51" i="2"/>
  <c r="JA55" i="2"/>
  <c r="OK3" i="2"/>
  <c r="OK92" i="2" s="1"/>
  <c r="FV194" i="2"/>
  <c r="FV197" i="2"/>
  <c r="FV101" i="2"/>
  <c r="FV98" i="2"/>
  <c r="FV95" i="2"/>
  <c r="FV100" i="2"/>
  <c r="FV97" i="2"/>
  <c r="FV94" i="2"/>
  <c r="FV55" i="2"/>
  <c r="FV51" i="2"/>
  <c r="LF3" i="2"/>
  <c r="LF92" i="2" s="1"/>
  <c r="HF194" i="2"/>
  <c r="HF197" i="2"/>
  <c r="HF101" i="2"/>
  <c r="HF98" i="2"/>
  <c r="HF95" i="2"/>
  <c r="HF100" i="2"/>
  <c r="HF97" i="2"/>
  <c r="HF94" i="2"/>
  <c r="HF55" i="2"/>
  <c r="HF51" i="2"/>
  <c r="MP3" i="2"/>
  <c r="MP92" i="2" s="1"/>
  <c r="ID197" i="2"/>
  <c r="ID194" i="2"/>
  <c r="ID101" i="2"/>
  <c r="ID98" i="2"/>
  <c r="ID95" i="2"/>
  <c r="ID100" i="2"/>
  <c r="ID97" i="2"/>
  <c r="ID94" i="2"/>
  <c r="ID51" i="2"/>
  <c r="ID55" i="2"/>
  <c r="NN3" i="2"/>
  <c r="NN92" i="2" s="1"/>
  <c r="JB197" i="2"/>
  <c r="JB194" i="2"/>
  <c r="JB101" i="2"/>
  <c r="JB98" i="2"/>
  <c r="JB95" i="2"/>
  <c r="JB100" i="2"/>
  <c r="JB97" i="2"/>
  <c r="JB94" i="2"/>
  <c r="JB55" i="2"/>
  <c r="JB51" i="2"/>
  <c r="OL3" i="2"/>
  <c r="OL92" i="2" s="1"/>
  <c r="EG87" i="2"/>
  <c r="EG4" i="2"/>
  <c r="JQ24" i="2"/>
  <c r="EV197" i="2"/>
  <c r="EV194" i="2"/>
  <c r="EV101" i="2"/>
  <c r="EV98" i="2"/>
  <c r="EV95" i="2"/>
  <c r="EV100" i="2"/>
  <c r="EV97" i="2"/>
  <c r="EV51" i="2"/>
  <c r="EV55" i="2"/>
  <c r="EV94" i="2"/>
  <c r="KF3" i="2"/>
  <c r="GR197" i="2"/>
  <c r="GR194" i="2"/>
  <c r="GR101" i="2"/>
  <c r="GR98" i="2"/>
  <c r="GR95" i="2"/>
  <c r="GR97" i="2"/>
  <c r="GR94" i="2"/>
  <c r="GR100" i="2"/>
  <c r="GR51" i="2"/>
  <c r="GR55" i="2"/>
  <c r="MB3" i="2"/>
  <c r="MB92" i="2" s="1"/>
  <c r="HD197" i="2"/>
  <c r="HD194" i="2"/>
  <c r="HD101" i="2"/>
  <c r="HD98" i="2"/>
  <c r="HD95" i="2"/>
  <c r="HD94" i="2"/>
  <c r="HD51" i="2"/>
  <c r="HD100" i="2"/>
  <c r="HD55" i="2"/>
  <c r="HD97" i="2"/>
  <c r="MN3" i="2"/>
  <c r="MN92" i="2" s="1"/>
  <c r="IZ194" i="2"/>
  <c r="IZ197" i="2"/>
  <c r="IZ101" i="2"/>
  <c r="IZ98" i="2"/>
  <c r="IZ95" i="2"/>
  <c r="IZ100" i="2"/>
  <c r="IZ97" i="2"/>
  <c r="IZ51" i="2"/>
  <c r="IZ55" i="2"/>
  <c r="IZ94" i="2"/>
  <c r="OJ3" i="2"/>
  <c r="OJ92" i="2" s="1"/>
  <c r="JX194" i="2"/>
  <c r="JX197" i="2"/>
  <c r="JX101" i="2"/>
  <c r="JX98" i="2"/>
  <c r="JX95" i="2"/>
  <c r="JX100" i="2"/>
  <c r="JX97" i="2"/>
  <c r="JX51" i="2"/>
  <c r="JX94" i="2"/>
  <c r="JX55" i="2"/>
  <c r="PH3" i="2"/>
  <c r="PH92" i="2" s="1"/>
  <c r="CF290" i="2"/>
  <c r="CF100" i="2"/>
  <c r="CF97" i="2"/>
  <c r="CF94" i="2"/>
  <c r="CF102" i="2"/>
  <c r="CF99" i="2"/>
  <c r="CF96" i="2"/>
  <c r="CF93" i="2"/>
  <c r="CF91" i="2"/>
  <c r="CF98" i="2"/>
  <c r="CF95" i="2"/>
  <c r="CF68" i="2"/>
  <c r="CF101" i="2"/>
  <c r="CF2" i="2"/>
  <c r="HP2" i="2" s="1"/>
  <c r="MZ2" i="2" s="1"/>
  <c r="CF81" i="2"/>
  <c r="Y290" i="2"/>
  <c r="Y102" i="2"/>
  <c r="Y99" i="2"/>
  <c r="Y96" i="2"/>
  <c r="Y93" i="2"/>
  <c r="Y91" i="2"/>
  <c r="Y101" i="2"/>
  <c r="Y98" i="2"/>
  <c r="Y95" i="2"/>
  <c r="Y97" i="2"/>
  <c r="Y94" i="2"/>
  <c r="Y100" i="2"/>
  <c r="Y81" i="2"/>
  <c r="Y68" i="2"/>
  <c r="Y2" i="2"/>
  <c r="FI2" i="2" s="1"/>
  <c r="KS2" i="2" s="1"/>
  <c r="CS290" i="2"/>
  <c r="CS102" i="2"/>
  <c r="CS99" i="2"/>
  <c r="CS96" i="2"/>
  <c r="CS93" i="2"/>
  <c r="CS91" i="2"/>
  <c r="CS101" i="2"/>
  <c r="CS98" i="2"/>
  <c r="CS95" i="2"/>
  <c r="CS97" i="2"/>
  <c r="CS94" i="2"/>
  <c r="CS100" i="2"/>
  <c r="CS81" i="2"/>
  <c r="CS68" i="2"/>
  <c r="CS2" i="2"/>
  <c r="IC2" i="2" s="1"/>
  <c r="NM2" i="2" s="1"/>
  <c r="JN197" i="2"/>
  <c r="JN194" i="2"/>
  <c r="JN101" i="2"/>
  <c r="JN98" i="2"/>
  <c r="JN95" i="2"/>
  <c r="JN100" i="2"/>
  <c r="JN97" i="2"/>
  <c r="JN94" i="2"/>
  <c r="JN51" i="2"/>
  <c r="JN55" i="2"/>
  <c r="AJ290" i="2"/>
  <c r="AJ100" i="2"/>
  <c r="AJ97" i="2"/>
  <c r="AJ94" i="2"/>
  <c r="AJ102" i="2"/>
  <c r="AJ99" i="2"/>
  <c r="AJ96" i="2"/>
  <c r="AJ93" i="2"/>
  <c r="AJ91" i="2"/>
  <c r="AJ101" i="2"/>
  <c r="AJ98" i="2"/>
  <c r="AJ81" i="2"/>
  <c r="AJ68" i="2"/>
  <c r="AJ95" i="2"/>
  <c r="AJ2" i="2"/>
  <c r="FT2" i="2" s="1"/>
  <c r="LD2" i="2" s="1"/>
  <c r="DD290" i="2"/>
  <c r="DD100" i="2"/>
  <c r="DD97" i="2"/>
  <c r="DD94" i="2"/>
  <c r="DD102" i="2"/>
  <c r="DD99" i="2"/>
  <c r="DD96" i="2"/>
  <c r="DD93" i="2"/>
  <c r="DD91" i="2"/>
  <c r="DD81" i="2"/>
  <c r="DD101" i="2"/>
  <c r="DD98" i="2"/>
  <c r="DD95" i="2"/>
  <c r="DD68" i="2"/>
  <c r="DD2" i="2"/>
  <c r="IN2" i="2" s="1"/>
  <c r="NX2" i="2" s="1"/>
  <c r="AK290" i="2"/>
  <c r="AK102" i="2"/>
  <c r="AK99" i="2"/>
  <c r="AK96" i="2"/>
  <c r="AK93" i="2"/>
  <c r="AK91" i="2"/>
  <c r="AK101" i="2"/>
  <c r="AK98" i="2"/>
  <c r="AK95" i="2"/>
  <c r="AK100" i="2"/>
  <c r="AK81" i="2"/>
  <c r="AK97" i="2"/>
  <c r="AK94" i="2"/>
  <c r="AK2" i="2"/>
  <c r="FU2" i="2" s="1"/>
  <c r="LE2" i="2" s="1"/>
  <c r="AK68" i="2"/>
  <c r="EC290" i="2"/>
  <c r="EC102" i="2"/>
  <c r="EC99" i="2"/>
  <c r="EC96" i="2"/>
  <c r="EC93" i="2"/>
  <c r="EC91" i="2"/>
  <c r="EC101" i="2"/>
  <c r="EC98" i="2"/>
  <c r="EC95" i="2"/>
  <c r="EC97" i="2"/>
  <c r="EC94" i="2"/>
  <c r="EC100" i="2"/>
  <c r="EC81" i="2"/>
  <c r="EC2" i="2"/>
  <c r="JM2" i="2" s="1"/>
  <c r="OW2" i="2" s="1"/>
  <c r="EC68" i="2"/>
  <c r="N290" i="2"/>
  <c r="N102" i="2"/>
  <c r="N99" i="2"/>
  <c r="N96" i="2"/>
  <c r="N93" i="2"/>
  <c r="N91" i="2"/>
  <c r="N101" i="2"/>
  <c r="N98" i="2"/>
  <c r="N95" i="2"/>
  <c r="N97" i="2"/>
  <c r="N94" i="2"/>
  <c r="N81" i="2"/>
  <c r="N2" i="2"/>
  <c r="EX2" i="2" s="1"/>
  <c r="KH2" i="2" s="1"/>
  <c r="N68" i="2"/>
  <c r="N100" i="2"/>
  <c r="DF290" i="2"/>
  <c r="DF102" i="2"/>
  <c r="DF99" i="2"/>
  <c r="DF96" i="2"/>
  <c r="DF93" i="2"/>
  <c r="DF91" i="2"/>
  <c r="DF101" i="2"/>
  <c r="DF98" i="2"/>
  <c r="DF95" i="2"/>
  <c r="DF81" i="2"/>
  <c r="DF97" i="2"/>
  <c r="DF2" i="2"/>
  <c r="IP2" i="2" s="1"/>
  <c r="NZ2" i="2" s="1"/>
  <c r="DF68" i="2"/>
  <c r="DF94" i="2"/>
  <c r="DF100" i="2"/>
  <c r="O290" i="2"/>
  <c r="O102" i="2"/>
  <c r="O99" i="2"/>
  <c r="O96" i="2"/>
  <c r="O93" i="2"/>
  <c r="O91" i="2"/>
  <c r="O101" i="2"/>
  <c r="O98" i="2"/>
  <c r="O95" i="2"/>
  <c r="O97" i="2"/>
  <c r="O94" i="2"/>
  <c r="O81" i="2"/>
  <c r="O100" i="2"/>
  <c r="O68" i="2"/>
  <c r="AA290" i="2"/>
  <c r="AA102" i="2"/>
  <c r="AA99" i="2"/>
  <c r="AA96" i="2"/>
  <c r="AA93" i="2"/>
  <c r="AA91" i="2"/>
  <c r="AA101" i="2"/>
  <c r="AA98" i="2"/>
  <c r="AA95" i="2"/>
  <c r="AA97" i="2"/>
  <c r="AA94" i="2"/>
  <c r="AA100" i="2"/>
  <c r="AA81" i="2"/>
  <c r="AA68" i="2"/>
  <c r="AM290" i="2"/>
  <c r="AM102" i="2"/>
  <c r="AM99" i="2"/>
  <c r="AM96" i="2"/>
  <c r="AM93" i="2"/>
  <c r="AM91" i="2"/>
  <c r="AM101" i="2"/>
  <c r="AM98" i="2"/>
  <c r="AM95" i="2"/>
  <c r="AM81" i="2"/>
  <c r="AM68" i="2"/>
  <c r="AM97" i="2"/>
  <c r="AM94" i="2"/>
  <c r="AM100" i="2"/>
  <c r="AY290" i="2"/>
  <c r="AY102" i="2"/>
  <c r="AY99" i="2"/>
  <c r="AY96" i="2"/>
  <c r="AY93" i="2"/>
  <c r="AY91" i="2"/>
  <c r="AY101" i="2"/>
  <c r="AY98" i="2"/>
  <c r="AY95" i="2"/>
  <c r="AY97" i="2"/>
  <c r="AY94" i="2"/>
  <c r="AY81" i="2"/>
  <c r="AY100" i="2"/>
  <c r="AY68" i="2"/>
  <c r="BK290" i="2"/>
  <c r="BK102" i="2"/>
  <c r="BK99" i="2"/>
  <c r="BK96" i="2"/>
  <c r="BK93" i="2"/>
  <c r="BK91" i="2"/>
  <c r="BK101" i="2"/>
  <c r="BK98" i="2"/>
  <c r="BK95" i="2"/>
  <c r="BK97" i="2"/>
  <c r="BK94" i="2"/>
  <c r="BK100" i="2"/>
  <c r="BK81" i="2"/>
  <c r="BK68" i="2"/>
  <c r="BW290" i="2"/>
  <c r="BW102" i="2"/>
  <c r="BW99" i="2"/>
  <c r="BW96" i="2"/>
  <c r="BW93" i="2"/>
  <c r="BW91" i="2"/>
  <c r="BW101" i="2"/>
  <c r="BW98" i="2"/>
  <c r="BW95" i="2"/>
  <c r="BW81" i="2"/>
  <c r="BW68" i="2"/>
  <c r="BW97" i="2"/>
  <c r="BW94" i="2"/>
  <c r="BW100" i="2"/>
  <c r="CI290" i="2"/>
  <c r="CI102" i="2"/>
  <c r="CI99" i="2"/>
  <c r="CI96" i="2"/>
  <c r="CI93" i="2"/>
  <c r="CI91" i="2"/>
  <c r="CI101" i="2"/>
  <c r="CI98" i="2"/>
  <c r="CI95" i="2"/>
  <c r="CI97" i="2"/>
  <c r="CI94" i="2"/>
  <c r="CI81" i="2"/>
  <c r="CI100" i="2"/>
  <c r="CI68" i="2"/>
  <c r="CU290" i="2"/>
  <c r="CU102" i="2"/>
  <c r="CU99" i="2"/>
  <c r="CU96" i="2"/>
  <c r="CU93" i="2"/>
  <c r="CU91" i="2"/>
  <c r="CU101" i="2"/>
  <c r="CU98" i="2"/>
  <c r="CU95" i="2"/>
  <c r="CU97" i="2"/>
  <c r="CU94" i="2"/>
  <c r="CU100" i="2"/>
  <c r="CU81" i="2"/>
  <c r="CU68" i="2"/>
  <c r="DG290" i="2"/>
  <c r="DG102" i="2"/>
  <c r="DG99" i="2"/>
  <c r="DG96" i="2"/>
  <c r="DG93" i="2"/>
  <c r="DG91" i="2"/>
  <c r="DG101" i="2"/>
  <c r="DG98" i="2"/>
  <c r="DG95" i="2"/>
  <c r="DG81" i="2"/>
  <c r="DG68" i="2"/>
  <c r="DG97" i="2"/>
  <c r="DG94" i="2"/>
  <c r="DG100" i="2"/>
  <c r="DS290" i="2"/>
  <c r="DS102" i="2"/>
  <c r="DS99" i="2"/>
  <c r="DS96" i="2"/>
  <c r="DS93" i="2"/>
  <c r="DS91" i="2"/>
  <c r="DS101" i="2"/>
  <c r="DS98" i="2"/>
  <c r="DS95" i="2"/>
  <c r="DS97" i="2"/>
  <c r="DS94" i="2"/>
  <c r="DS81" i="2"/>
  <c r="DS100" i="2"/>
  <c r="DS68" i="2"/>
  <c r="EE290" i="2"/>
  <c r="EE102" i="2"/>
  <c r="EE99" i="2"/>
  <c r="EE96" i="2"/>
  <c r="EE93" i="2"/>
  <c r="EE91" i="2"/>
  <c r="EE101" i="2"/>
  <c r="EE98" i="2"/>
  <c r="EE95" i="2"/>
  <c r="EE97" i="2"/>
  <c r="EE94" i="2"/>
  <c r="EE100" i="2"/>
  <c r="EE81" i="2"/>
  <c r="EE68" i="2"/>
  <c r="EX3" i="2"/>
  <c r="FT3" i="2"/>
  <c r="HG3" i="2"/>
  <c r="IC3" i="2"/>
  <c r="L63" i="9"/>
  <c r="R86" i="2"/>
  <c r="R54" i="2"/>
  <c r="R53" i="2"/>
  <c r="L87" i="9" s="1"/>
  <c r="R52" i="2"/>
  <c r="X63" i="9"/>
  <c r="AD54" i="2"/>
  <c r="AD53" i="2"/>
  <c r="X87" i="9" s="1"/>
  <c r="AD52" i="2"/>
  <c r="AD86" i="2"/>
  <c r="AJ63" i="9"/>
  <c r="AP86" i="2"/>
  <c r="AP54" i="2"/>
  <c r="AP53" i="2"/>
  <c r="AJ87" i="9" s="1"/>
  <c r="AP52" i="2"/>
  <c r="AV63" i="9"/>
  <c r="BB54" i="2"/>
  <c r="BB53" i="2"/>
  <c r="AV87" i="9" s="1"/>
  <c r="BB52" i="2"/>
  <c r="BB86" i="2"/>
  <c r="BH63" i="9"/>
  <c r="BN86" i="2"/>
  <c r="BN54" i="2"/>
  <c r="BN53" i="2"/>
  <c r="BH87" i="9" s="1"/>
  <c r="BN52" i="2"/>
  <c r="BT63" i="9"/>
  <c r="BZ54" i="2"/>
  <c r="BZ53" i="2"/>
  <c r="BT87" i="9" s="1"/>
  <c r="BZ52" i="2"/>
  <c r="BZ86" i="2"/>
  <c r="CF63" i="9"/>
  <c r="CL86" i="2"/>
  <c r="CL54" i="2"/>
  <c r="CL53" i="2"/>
  <c r="CF87" i="9" s="1"/>
  <c r="CL52" i="2"/>
  <c r="CR63" i="9"/>
  <c r="CX86" i="2"/>
  <c r="CX54" i="2"/>
  <c r="CX53" i="2"/>
  <c r="CR87" i="9" s="1"/>
  <c r="CX52" i="2"/>
  <c r="DD63" i="9"/>
  <c r="DJ86" i="2"/>
  <c r="DJ54" i="2"/>
  <c r="DJ53" i="2"/>
  <c r="DD87" i="9" s="1"/>
  <c r="DJ52" i="2"/>
  <c r="DP63" i="9"/>
  <c r="DV86" i="2"/>
  <c r="DV54" i="2"/>
  <c r="DV53" i="2"/>
  <c r="DP87" i="9" s="1"/>
  <c r="DV52" i="2"/>
  <c r="EH86" i="2"/>
  <c r="EH54" i="2"/>
  <c r="EH53" i="2"/>
  <c r="EH52" i="2"/>
  <c r="FZ23" i="2"/>
  <c r="LJ23" i="2" s="1"/>
  <c r="S24" i="2"/>
  <c r="AZ24" i="2"/>
  <c r="BZ24" i="2"/>
  <c r="DG24" i="2"/>
  <c r="EU30" i="2"/>
  <c r="P290" i="2"/>
  <c r="P102" i="2"/>
  <c r="P99" i="2"/>
  <c r="P96" i="2"/>
  <c r="P93" i="2"/>
  <c r="P91" i="2"/>
  <c r="P101" i="2"/>
  <c r="P98" i="2"/>
  <c r="P95" i="2"/>
  <c r="P97" i="2"/>
  <c r="P94" i="2"/>
  <c r="P81" i="2"/>
  <c r="P100" i="2"/>
  <c r="P68" i="2"/>
  <c r="EZ3" i="2"/>
  <c r="AB290" i="2"/>
  <c r="AB102" i="2"/>
  <c r="AB99" i="2"/>
  <c r="AB96" i="2"/>
  <c r="AB93" i="2"/>
  <c r="AB91" i="2"/>
  <c r="AB101" i="2"/>
  <c r="AB98" i="2"/>
  <c r="AB95" i="2"/>
  <c r="AB81" i="2"/>
  <c r="AB94" i="2"/>
  <c r="AB100" i="2"/>
  <c r="FL3" i="2"/>
  <c r="AB97" i="2"/>
  <c r="AB68" i="2"/>
  <c r="AN290" i="2"/>
  <c r="AN102" i="2"/>
  <c r="AN99" i="2"/>
  <c r="AN96" i="2"/>
  <c r="AN93" i="2"/>
  <c r="AN91" i="2"/>
  <c r="AN101" i="2"/>
  <c r="AN98" i="2"/>
  <c r="AN95" i="2"/>
  <c r="AN81" i="2"/>
  <c r="AN68" i="2"/>
  <c r="AN100" i="2"/>
  <c r="AN97" i="2"/>
  <c r="FX3" i="2"/>
  <c r="AN94" i="2"/>
  <c r="AZ290" i="2"/>
  <c r="AZ102" i="2"/>
  <c r="AZ99" i="2"/>
  <c r="AZ96" i="2"/>
  <c r="AZ93" i="2"/>
  <c r="AZ91" i="2"/>
  <c r="AZ101" i="2"/>
  <c r="AZ98" i="2"/>
  <c r="AZ95" i="2"/>
  <c r="AZ97" i="2"/>
  <c r="AZ94" i="2"/>
  <c r="AZ81" i="2"/>
  <c r="AZ100" i="2"/>
  <c r="AZ68" i="2"/>
  <c r="GJ3" i="2"/>
  <c r="BL290" i="2"/>
  <c r="BL102" i="2"/>
  <c r="BL99" i="2"/>
  <c r="BL96" i="2"/>
  <c r="BL93" i="2"/>
  <c r="BL91" i="2"/>
  <c r="BL101" i="2"/>
  <c r="BL98" i="2"/>
  <c r="BL95" i="2"/>
  <c r="BL81" i="2"/>
  <c r="BL100" i="2"/>
  <c r="BL97" i="2"/>
  <c r="BL68" i="2"/>
  <c r="BL94" i="2"/>
  <c r="GV3" i="2"/>
  <c r="BX290" i="2"/>
  <c r="BX102" i="2"/>
  <c r="BX99" i="2"/>
  <c r="BX96" i="2"/>
  <c r="BX93" i="2"/>
  <c r="BX91" i="2"/>
  <c r="BX101" i="2"/>
  <c r="BX98" i="2"/>
  <c r="BX95" i="2"/>
  <c r="BX81" i="2"/>
  <c r="BX100" i="2"/>
  <c r="BX97" i="2"/>
  <c r="BX94" i="2"/>
  <c r="HH3" i="2"/>
  <c r="BX68" i="2"/>
  <c r="CJ290" i="2"/>
  <c r="CJ102" i="2"/>
  <c r="CJ99" i="2"/>
  <c r="CJ96" i="2"/>
  <c r="CJ93" i="2"/>
  <c r="CJ91" i="2"/>
  <c r="CJ101" i="2"/>
  <c r="CJ98" i="2"/>
  <c r="CJ95" i="2"/>
  <c r="CJ97" i="2"/>
  <c r="CJ94" i="2"/>
  <c r="CJ81" i="2"/>
  <c r="CJ100" i="2"/>
  <c r="CJ68" i="2"/>
  <c r="HT3" i="2"/>
  <c r="CV290" i="2"/>
  <c r="CV102" i="2"/>
  <c r="CV99" i="2"/>
  <c r="CV96" i="2"/>
  <c r="CV93" i="2"/>
  <c r="CV91" i="2"/>
  <c r="CV101" i="2"/>
  <c r="CV98" i="2"/>
  <c r="CV95" i="2"/>
  <c r="CV81" i="2"/>
  <c r="CV100" i="2"/>
  <c r="CV97" i="2"/>
  <c r="CV94" i="2"/>
  <c r="CV68" i="2"/>
  <c r="IF3" i="2"/>
  <c r="DH290" i="2"/>
  <c r="DH102" i="2"/>
  <c r="DH99" i="2"/>
  <c r="DH96" i="2"/>
  <c r="DH93" i="2"/>
  <c r="DH91" i="2"/>
  <c r="DH101" i="2"/>
  <c r="DH98" i="2"/>
  <c r="DH95" i="2"/>
  <c r="DH81" i="2"/>
  <c r="DH94" i="2"/>
  <c r="DH100" i="2"/>
  <c r="DH68" i="2"/>
  <c r="DH97" i="2"/>
  <c r="IR3" i="2"/>
  <c r="DT290" i="2"/>
  <c r="DT102" i="2"/>
  <c r="DT99" i="2"/>
  <c r="DT96" i="2"/>
  <c r="DT93" i="2"/>
  <c r="DT91" i="2"/>
  <c r="DT101" i="2"/>
  <c r="DT98" i="2"/>
  <c r="DT95" i="2"/>
  <c r="DT97" i="2"/>
  <c r="DT94" i="2"/>
  <c r="DT81" i="2"/>
  <c r="DT100" i="2"/>
  <c r="JD3" i="2"/>
  <c r="DT68" i="2"/>
  <c r="EF290" i="2"/>
  <c r="EF102" i="2"/>
  <c r="EF99" i="2"/>
  <c r="EF96" i="2"/>
  <c r="EF93" i="2"/>
  <c r="EF91" i="2"/>
  <c r="EF101" i="2"/>
  <c r="EF98" i="2"/>
  <c r="EF95" i="2"/>
  <c r="EF81" i="2"/>
  <c r="EF94" i="2"/>
  <c r="EF68" i="2"/>
  <c r="EF100" i="2"/>
  <c r="EF97" i="2"/>
  <c r="JP3" i="2"/>
  <c r="EY197" i="2"/>
  <c r="EY101" i="2"/>
  <c r="EY98" i="2"/>
  <c r="EY95" i="2"/>
  <c r="EY100" i="2"/>
  <c r="EY97" i="2"/>
  <c r="EY94" i="2"/>
  <c r="EY51" i="2"/>
  <c r="EY55" i="2"/>
  <c r="EY194" i="2"/>
  <c r="KI3" i="2"/>
  <c r="KI92" i="2" s="1"/>
  <c r="FU3" i="2"/>
  <c r="GQ197" i="2"/>
  <c r="GQ194" i="2"/>
  <c r="GQ101" i="2"/>
  <c r="GQ98" i="2"/>
  <c r="GQ95" i="2"/>
  <c r="GQ97" i="2"/>
  <c r="GQ94" i="2"/>
  <c r="GQ100" i="2"/>
  <c r="GQ51" i="2"/>
  <c r="GQ55" i="2"/>
  <c r="D54" i="8"/>
  <c r="D40" i="8"/>
  <c r="D53" i="8"/>
  <c r="D52" i="8"/>
  <c r="C44" i="7"/>
  <c r="G6" i="6"/>
  <c r="C43" i="7"/>
  <c r="ED24" i="2"/>
  <c r="DR24" i="2"/>
  <c r="DF24" i="2"/>
  <c r="CT24" i="2"/>
  <c r="CH24" i="2"/>
  <c r="BV24" i="2"/>
  <c r="BJ24" i="2"/>
  <c r="AX24" i="2"/>
  <c r="AL24" i="2"/>
  <c r="Z24" i="2"/>
  <c r="N24" i="2"/>
  <c r="EC24" i="2"/>
  <c r="DQ24" i="2"/>
  <c r="DE24" i="2"/>
  <c r="CS24" i="2"/>
  <c r="CG24" i="2"/>
  <c r="BU24" i="2"/>
  <c r="BI24" i="2"/>
  <c r="AW24" i="2"/>
  <c r="AK24" i="2"/>
  <c r="Y24" i="2"/>
  <c r="M24" i="2"/>
  <c r="F12" i="1"/>
  <c r="EN24" i="2"/>
  <c r="EB24" i="2"/>
  <c r="DP24" i="2"/>
  <c r="DD24" i="2"/>
  <c r="CR24" i="2"/>
  <c r="CF24" i="2"/>
  <c r="BT24" i="2"/>
  <c r="BH24" i="2"/>
  <c r="AV24" i="2"/>
  <c r="ER34" i="2" s="1"/>
  <c r="AJ24" i="2"/>
  <c r="X24" i="2"/>
  <c r="L24" i="2"/>
  <c r="F11" i="1"/>
  <c r="EM24" i="2"/>
  <c r="EA24" i="2"/>
  <c r="DO24" i="2"/>
  <c r="DC24" i="2"/>
  <c r="CQ24" i="2"/>
  <c r="CE24" i="2"/>
  <c r="BS24" i="2"/>
  <c r="BG24" i="2"/>
  <c r="AU24" i="2"/>
  <c r="AI24" i="2"/>
  <c r="W24" i="2"/>
  <c r="EL24" i="2"/>
  <c r="DZ24" i="2"/>
  <c r="DN24" i="2"/>
  <c r="DB24" i="2"/>
  <c r="CP24" i="2"/>
  <c r="CD24" i="2"/>
  <c r="BR24" i="2"/>
  <c r="BF24" i="2"/>
  <c r="AT24" i="2"/>
  <c r="AH24" i="2"/>
  <c r="V24" i="2"/>
  <c r="EK24" i="2"/>
  <c r="DY24" i="2"/>
  <c r="DM24" i="2"/>
  <c r="DA24" i="2"/>
  <c r="CO24" i="2"/>
  <c r="CC24" i="2"/>
  <c r="BQ24" i="2"/>
  <c r="BE24" i="2"/>
  <c r="AS24" i="2"/>
  <c r="AG24" i="2"/>
  <c r="U24" i="2"/>
  <c r="EJ24" i="2"/>
  <c r="DX24" i="2"/>
  <c r="DL24" i="2"/>
  <c r="CZ24" i="2"/>
  <c r="CN24" i="2"/>
  <c r="CB24" i="2"/>
  <c r="BP24" i="2"/>
  <c r="BD24" i="2"/>
  <c r="AR24" i="2"/>
  <c r="AF24" i="2"/>
  <c r="T24" i="2"/>
  <c r="M63" i="9"/>
  <c r="S86" i="2"/>
  <c r="S53" i="2"/>
  <c r="M87" i="9" s="1"/>
  <c r="S52" i="2"/>
  <c r="S54" i="2"/>
  <c r="Y63" i="9"/>
  <c r="AE86" i="2"/>
  <c r="AE52" i="2"/>
  <c r="AE54" i="2"/>
  <c r="AE53" i="2"/>
  <c r="Y87" i="9" s="1"/>
  <c r="AK63" i="9"/>
  <c r="AQ86" i="2"/>
  <c r="AQ54" i="2"/>
  <c r="AQ53" i="2"/>
  <c r="AK87" i="9" s="1"/>
  <c r="AQ52" i="2"/>
  <c r="AW63" i="9"/>
  <c r="BC86" i="2"/>
  <c r="BC53" i="2"/>
  <c r="AW87" i="9" s="1"/>
  <c r="BC52" i="2"/>
  <c r="BC54" i="2"/>
  <c r="BI63" i="9"/>
  <c r="BO86" i="2"/>
  <c r="BO52" i="2"/>
  <c r="BO54" i="2"/>
  <c r="BO53" i="2"/>
  <c r="BI87" i="9" s="1"/>
  <c r="BU63" i="9"/>
  <c r="CA86" i="2"/>
  <c r="CA54" i="2"/>
  <c r="CA53" i="2"/>
  <c r="BU87" i="9" s="1"/>
  <c r="CA52" i="2"/>
  <c r="CG63" i="9"/>
  <c r="CM86" i="2"/>
  <c r="CM53" i="2"/>
  <c r="CG87" i="9" s="1"/>
  <c r="CM52" i="2"/>
  <c r="CM54" i="2"/>
  <c r="CS63" i="9"/>
  <c r="CY86" i="2"/>
  <c r="CY52" i="2"/>
  <c r="CY54" i="2"/>
  <c r="CY53" i="2"/>
  <c r="CS87" i="9" s="1"/>
  <c r="DE63" i="9"/>
  <c r="DK86" i="2"/>
  <c r="DK54" i="2"/>
  <c r="DK53" i="2"/>
  <c r="DE87" i="9" s="1"/>
  <c r="DK52" i="2"/>
  <c r="DQ63" i="9"/>
  <c r="DW86" i="2"/>
  <c r="DW53" i="2"/>
  <c r="DQ87" i="9" s="1"/>
  <c r="DW52" i="2"/>
  <c r="DW54" i="2"/>
  <c r="EI86" i="2"/>
  <c r="EI52" i="2"/>
  <c r="EI54" i="2"/>
  <c r="EI53" i="2"/>
  <c r="GA23" i="2"/>
  <c r="LK23" i="2" s="1"/>
  <c r="JF23" i="2"/>
  <c r="OP23" i="2" s="1"/>
  <c r="AA24" i="2"/>
  <c r="BA24" i="2"/>
  <c r="CA24" i="2"/>
  <c r="DH24" i="2"/>
  <c r="EH24" i="2"/>
  <c r="EB290" i="2"/>
  <c r="EB100" i="2"/>
  <c r="EB97" i="2"/>
  <c r="EB94" i="2"/>
  <c r="EB102" i="2"/>
  <c r="EB99" i="2"/>
  <c r="EB96" i="2"/>
  <c r="EB93" i="2"/>
  <c r="EB91" i="2"/>
  <c r="EB101" i="2"/>
  <c r="EB98" i="2"/>
  <c r="EB68" i="2"/>
  <c r="EB81" i="2"/>
  <c r="EB95" i="2"/>
  <c r="EB2" i="2"/>
  <c r="JL2" i="2" s="1"/>
  <c r="OV2" i="2" s="1"/>
  <c r="DE290" i="2"/>
  <c r="DE102" i="2"/>
  <c r="DE99" i="2"/>
  <c r="DE96" i="2"/>
  <c r="DE93" i="2"/>
  <c r="DE91" i="2"/>
  <c r="DE101" i="2"/>
  <c r="DE98" i="2"/>
  <c r="DE95" i="2"/>
  <c r="DE100" i="2"/>
  <c r="DE81" i="2"/>
  <c r="DE97" i="2"/>
  <c r="DE94" i="2"/>
  <c r="DE68" i="2"/>
  <c r="DE2" i="2"/>
  <c r="IO2" i="2" s="1"/>
  <c r="NY2" i="2" s="1"/>
  <c r="BJ290" i="2"/>
  <c r="BJ102" i="2"/>
  <c r="BJ99" i="2"/>
  <c r="BJ96" i="2"/>
  <c r="BJ93" i="2"/>
  <c r="BJ91" i="2"/>
  <c r="BJ101" i="2"/>
  <c r="BJ98" i="2"/>
  <c r="BJ95" i="2"/>
  <c r="BJ100" i="2"/>
  <c r="BJ81" i="2"/>
  <c r="BJ97" i="2"/>
  <c r="BJ94" i="2"/>
  <c r="BJ2" i="2"/>
  <c r="GT2" i="2" s="1"/>
  <c r="MD2" i="2" s="1"/>
  <c r="BJ68" i="2"/>
  <c r="CT290" i="2"/>
  <c r="CT102" i="2"/>
  <c r="CT99" i="2"/>
  <c r="CT96" i="2"/>
  <c r="CT93" i="2"/>
  <c r="CT91" i="2"/>
  <c r="CT101" i="2"/>
  <c r="CT98" i="2"/>
  <c r="CT95" i="2"/>
  <c r="CT100" i="2"/>
  <c r="CT81" i="2"/>
  <c r="CT97" i="2"/>
  <c r="CT94" i="2"/>
  <c r="CT68" i="2"/>
  <c r="CT2" i="2"/>
  <c r="ID2" i="2" s="1"/>
  <c r="NN2" i="2" s="1"/>
  <c r="B2" i="4"/>
  <c r="B2" i="3"/>
  <c r="B2" i="1"/>
  <c r="AB2" i="2"/>
  <c r="FL2" i="2" s="1"/>
  <c r="KV2" i="2" s="1"/>
  <c r="BX2" i="2"/>
  <c r="HH2" i="2" s="1"/>
  <c r="MR2" i="2" s="1"/>
  <c r="DT2" i="2"/>
  <c r="JD2" i="2" s="1"/>
  <c r="ON2" i="2" s="1"/>
  <c r="IE3" i="2"/>
  <c r="N63" i="9"/>
  <c r="T86" i="2"/>
  <c r="T53" i="2"/>
  <c r="N87" i="9" s="1"/>
  <c r="T54" i="2"/>
  <c r="T52" i="2"/>
  <c r="Z63" i="9"/>
  <c r="AF86" i="2"/>
  <c r="AF53" i="2"/>
  <c r="Z87" i="9" s="1"/>
  <c r="AF54" i="2"/>
  <c r="AF52" i="2"/>
  <c r="AL63" i="9"/>
  <c r="AR86" i="2"/>
  <c r="AR53" i="2"/>
  <c r="AL87" i="9" s="1"/>
  <c r="AR54" i="2"/>
  <c r="AR52" i="2"/>
  <c r="AX63" i="9"/>
  <c r="BD86" i="2"/>
  <c r="BD53" i="2"/>
  <c r="AX87" i="9" s="1"/>
  <c r="BD54" i="2"/>
  <c r="BD52" i="2"/>
  <c r="BJ63" i="9"/>
  <c r="BP86" i="2"/>
  <c r="BP53" i="2"/>
  <c r="BJ87" i="9" s="1"/>
  <c r="BP54" i="2"/>
  <c r="BP52" i="2"/>
  <c r="BV63" i="9"/>
  <c r="CB86" i="2"/>
  <c r="CB53" i="2"/>
  <c r="BV87" i="9" s="1"/>
  <c r="CB54" i="2"/>
  <c r="CB52" i="2"/>
  <c r="CH63" i="9"/>
  <c r="CN86" i="2"/>
  <c r="CN53" i="2"/>
  <c r="CH87" i="9" s="1"/>
  <c r="CN54" i="2"/>
  <c r="CN52" i="2"/>
  <c r="CT63" i="9"/>
  <c r="CZ86" i="2"/>
  <c r="CZ53" i="2"/>
  <c r="CT87" i="9" s="1"/>
  <c r="CZ54" i="2"/>
  <c r="CZ52" i="2"/>
  <c r="DF63" i="9"/>
  <c r="DL86" i="2"/>
  <c r="DL53" i="2"/>
  <c r="DF87" i="9" s="1"/>
  <c r="DL54" i="2"/>
  <c r="DL52" i="2"/>
  <c r="DR63" i="9"/>
  <c r="DX86" i="2"/>
  <c r="DX53" i="2"/>
  <c r="DR87" i="9" s="1"/>
  <c r="DX54" i="2"/>
  <c r="DX52" i="2"/>
  <c r="EJ86" i="2"/>
  <c r="EJ53" i="2"/>
  <c r="EJ54" i="2"/>
  <c r="EJ52" i="2"/>
  <c r="GB23" i="2"/>
  <c r="LL23" i="2" s="1"/>
  <c r="GX23" i="2"/>
  <c r="MH23" i="2" s="1"/>
  <c r="JG23" i="2"/>
  <c r="OQ23" i="2" s="1"/>
  <c r="AB24" i="2"/>
  <c r="BB24" i="2"/>
  <c r="CI24" i="2"/>
  <c r="DI24" i="2"/>
  <c r="EI24" i="2"/>
  <c r="CR290" i="2"/>
  <c r="CR100" i="2"/>
  <c r="CR97" i="2"/>
  <c r="CR94" i="2"/>
  <c r="CR102" i="2"/>
  <c r="CR99" i="2"/>
  <c r="CR96" i="2"/>
  <c r="CR93" i="2"/>
  <c r="CR91" i="2"/>
  <c r="CR101" i="2"/>
  <c r="CR95" i="2"/>
  <c r="CR81" i="2"/>
  <c r="CR2" i="2"/>
  <c r="IB2" i="2" s="1"/>
  <c r="NL2" i="2" s="1"/>
  <c r="CR68" i="2"/>
  <c r="CR98" i="2"/>
  <c r="IQ194" i="2"/>
  <c r="IQ197" i="2"/>
  <c r="IQ101" i="2"/>
  <c r="IQ98" i="2"/>
  <c r="IQ95" i="2"/>
  <c r="IQ100" i="2"/>
  <c r="IQ97" i="2"/>
  <c r="IQ94" i="2"/>
  <c r="IQ51" i="2"/>
  <c r="IQ55" i="2"/>
  <c r="OA3" i="2"/>
  <c r="OA92" i="2" s="1"/>
  <c r="BY82" i="4"/>
  <c r="CI136" i="2"/>
  <c r="CI135" i="2"/>
  <c r="CI137" i="2"/>
  <c r="CG290" i="2"/>
  <c r="CG102" i="2"/>
  <c r="CG99" i="2"/>
  <c r="CG96" i="2"/>
  <c r="CG93" i="2"/>
  <c r="CG91" i="2"/>
  <c r="CG101" i="2"/>
  <c r="CG98" i="2"/>
  <c r="CG95" i="2"/>
  <c r="CG97" i="2"/>
  <c r="CG94" i="2"/>
  <c r="CG81" i="2"/>
  <c r="CG100" i="2"/>
  <c r="CG2" i="2"/>
  <c r="HQ2" i="2" s="1"/>
  <c r="NA2" i="2" s="1"/>
  <c r="CG68" i="2"/>
  <c r="Z290" i="2"/>
  <c r="Z102" i="2"/>
  <c r="Z99" i="2"/>
  <c r="Z96" i="2"/>
  <c r="Z93" i="2"/>
  <c r="Z91" i="2"/>
  <c r="Z101" i="2"/>
  <c r="Z98" i="2"/>
  <c r="Z95" i="2"/>
  <c r="Z100" i="2"/>
  <c r="Z81" i="2"/>
  <c r="Z68" i="2"/>
  <c r="Z94" i="2"/>
  <c r="Z97" i="2"/>
  <c r="Z2" i="2"/>
  <c r="FJ2" i="2" s="1"/>
  <c r="KT2" i="2" s="1"/>
  <c r="ED290" i="2"/>
  <c r="ED102" i="2"/>
  <c r="ED99" i="2"/>
  <c r="ED96" i="2"/>
  <c r="ED93" i="2"/>
  <c r="ED91" i="2"/>
  <c r="ED101" i="2"/>
  <c r="ED98" i="2"/>
  <c r="ED95" i="2"/>
  <c r="ED100" i="2"/>
  <c r="ED81" i="2"/>
  <c r="ED94" i="2"/>
  <c r="ED68" i="2"/>
  <c r="ED97" i="2"/>
  <c r="ED2" i="2"/>
  <c r="JN2" i="2" s="1"/>
  <c r="OX2" i="2" s="1"/>
  <c r="JO194" i="2"/>
  <c r="JO197" i="2"/>
  <c r="JO101" i="2"/>
  <c r="JO98" i="2"/>
  <c r="JO95" i="2"/>
  <c r="JO100" i="2"/>
  <c r="JO97" i="2"/>
  <c r="JO94" i="2"/>
  <c r="JO51" i="2"/>
  <c r="JO55" i="2"/>
  <c r="OY3" i="2"/>
  <c r="OY92" i="2" s="1"/>
  <c r="EG135" i="2"/>
  <c r="EG137" i="2"/>
  <c r="EG136" i="2"/>
  <c r="HO197" i="2"/>
  <c r="HO194" i="2"/>
  <c r="HO101" i="2"/>
  <c r="HO98" i="2"/>
  <c r="HO95" i="2"/>
  <c r="HO97" i="2"/>
  <c r="HO94" i="2"/>
  <c r="HO100" i="2"/>
  <c r="HO51" i="2"/>
  <c r="HO55" i="2"/>
  <c r="O63" i="9"/>
  <c r="U86" i="2"/>
  <c r="U53" i="2"/>
  <c r="O87" i="9" s="1"/>
  <c r="U52" i="2"/>
  <c r="U54" i="2"/>
  <c r="AA63" i="9"/>
  <c r="AG86" i="2"/>
  <c r="AG53" i="2"/>
  <c r="AA87" i="9" s="1"/>
  <c r="AG52" i="2"/>
  <c r="AG54" i="2"/>
  <c r="AM63" i="9"/>
  <c r="AS86" i="2"/>
  <c r="AS53" i="2"/>
  <c r="AM87" i="9" s="1"/>
  <c r="AS52" i="2"/>
  <c r="AS54" i="2"/>
  <c r="AY63" i="9"/>
  <c r="BE53" i="2"/>
  <c r="AY87" i="9" s="1"/>
  <c r="BE86" i="2"/>
  <c r="BE52" i="2"/>
  <c r="BE54" i="2"/>
  <c r="BK63" i="9"/>
  <c r="BQ86" i="2"/>
  <c r="BQ53" i="2"/>
  <c r="BK87" i="9" s="1"/>
  <c r="BQ52" i="2"/>
  <c r="BQ54" i="2"/>
  <c r="BW63" i="9"/>
  <c r="CC86" i="2"/>
  <c r="CC53" i="2"/>
  <c r="BW87" i="9" s="1"/>
  <c r="CC52" i="2"/>
  <c r="CC54" i="2"/>
  <c r="CI63" i="9"/>
  <c r="CO53" i="2"/>
  <c r="CI87" i="9" s="1"/>
  <c r="CO86" i="2"/>
  <c r="CO52" i="2"/>
  <c r="CO54" i="2"/>
  <c r="CU63" i="9"/>
  <c r="DA86" i="2"/>
  <c r="DA53" i="2"/>
  <c r="CU87" i="9" s="1"/>
  <c r="DA52" i="2"/>
  <c r="DA54" i="2"/>
  <c r="DG63" i="9"/>
  <c r="DM86" i="2"/>
  <c r="DM53" i="2"/>
  <c r="DG87" i="9" s="1"/>
  <c r="DM52" i="2"/>
  <c r="DM54" i="2"/>
  <c r="DS63" i="9"/>
  <c r="DY86" i="2"/>
  <c r="DY53" i="2"/>
  <c r="DS87" i="9" s="1"/>
  <c r="DY52" i="2"/>
  <c r="DY54" i="2"/>
  <c r="EK86" i="2"/>
  <c r="EK53" i="2"/>
  <c r="EK52" i="2"/>
  <c r="EK54" i="2"/>
  <c r="GC23" i="2"/>
  <c r="LM23" i="2" s="1"/>
  <c r="GY23" i="2"/>
  <c r="MI23" i="2" s="1"/>
  <c r="AC24" i="2"/>
  <c r="BC24" i="2"/>
  <c r="CJ24" i="2"/>
  <c r="DJ24" i="2"/>
  <c r="X290" i="2"/>
  <c r="X100" i="2"/>
  <c r="X97" i="2"/>
  <c r="X94" i="2"/>
  <c r="X102" i="2"/>
  <c r="X99" i="2"/>
  <c r="X96" i="2"/>
  <c r="X93" i="2"/>
  <c r="X91" i="2"/>
  <c r="X101" i="2"/>
  <c r="X68" i="2"/>
  <c r="X98" i="2"/>
  <c r="X81" i="2"/>
  <c r="X2" i="2"/>
  <c r="FH2" i="2" s="1"/>
  <c r="KR2" i="2" s="1"/>
  <c r="X95" i="2"/>
  <c r="BI290" i="2"/>
  <c r="BI102" i="2"/>
  <c r="BI99" i="2"/>
  <c r="BI96" i="2"/>
  <c r="BI93" i="2"/>
  <c r="BI91" i="2"/>
  <c r="BI101" i="2"/>
  <c r="BI98" i="2"/>
  <c r="BI95" i="2"/>
  <c r="BI97" i="2"/>
  <c r="BI94" i="2"/>
  <c r="BI100" i="2"/>
  <c r="BI81" i="2"/>
  <c r="BI68" i="2"/>
  <c r="BI2" i="2"/>
  <c r="GS2" i="2" s="1"/>
  <c r="MC2" i="2" s="1"/>
  <c r="BV290" i="2"/>
  <c r="BV102" i="2"/>
  <c r="BV99" i="2"/>
  <c r="BV96" i="2"/>
  <c r="BV93" i="2"/>
  <c r="BV91" i="2"/>
  <c r="BV101" i="2"/>
  <c r="BV98" i="2"/>
  <c r="BV95" i="2"/>
  <c r="BV81" i="2"/>
  <c r="BV68" i="2"/>
  <c r="BV100" i="2"/>
  <c r="BV97" i="2"/>
  <c r="BV2" i="2"/>
  <c r="HF2" i="2" s="1"/>
  <c r="MP2" i="2" s="1"/>
  <c r="BV94" i="2"/>
  <c r="FG197" i="2"/>
  <c r="FG194" i="2"/>
  <c r="FG101" i="2"/>
  <c r="FG98" i="2"/>
  <c r="FG95" i="2"/>
  <c r="FG97" i="2"/>
  <c r="FG94" i="2"/>
  <c r="FG100" i="2"/>
  <c r="FG51" i="2"/>
  <c r="FG55" i="2"/>
  <c r="GT3" i="2"/>
  <c r="HP3" i="2"/>
  <c r="P63" i="9"/>
  <c r="V86" i="2"/>
  <c r="V53" i="2"/>
  <c r="P87" i="9" s="1"/>
  <c r="V52" i="2"/>
  <c r="V54" i="2"/>
  <c r="FF23" i="2"/>
  <c r="KP23" i="2" s="1"/>
  <c r="AB63" i="9"/>
  <c r="AH86" i="2"/>
  <c r="AH53" i="2"/>
  <c r="AB87" i="9" s="1"/>
  <c r="AH52" i="2"/>
  <c r="AH54" i="2"/>
  <c r="FR23" i="2"/>
  <c r="LB23" i="2" s="1"/>
  <c r="AN63" i="9"/>
  <c r="AT53" i="2"/>
  <c r="AN87" i="9" s="1"/>
  <c r="AT86" i="2"/>
  <c r="AT52" i="2"/>
  <c r="GD23" i="2"/>
  <c r="LN23" i="2" s="1"/>
  <c r="AT54" i="2"/>
  <c r="AZ63" i="9"/>
  <c r="BF86" i="2"/>
  <c r="BF53" i="2"/>
  <c r="AZ87" i="9" s="1"/>
  <c r="BF52" i="2"/>
  <c r="BF54" i="2"/>
  <c r="GP23" i="2"/>
  <c r="LZ23" i="2" s="1"/>
  <c r="BL63" i="9"/>
  <c r="BR86" i="2"/>
  <c r="BR53" i="2"/>
  <c r="BL87" i="9" s="1"/>
  <c r="BR52" i="2"/>
  <c r="BR54" i="2"/>
  <c r="HB23" i="2"/>
  <c r="ML23" i="2" s="1"/>
  <c r="BX63" i="9"/>
  <c r="CD86" i="2"/>
  <c r="CD53" i="2"/>
  <c r="BX87" i="9" s="1"/>
  <c r="CD52" i="2"/>
  <c r="HN23" i="2"/>
  <c r="MX23" i="2" s="1"/>
  <c r="CD54" i="2"/>
  <c r="CJ63" i="9"/>
  <c r="CP86" i="2"/>
  <c r="CP53" i="2"/>
  <c r="CJ87" i="9" s="1"/>
  <c r="CP52" i="2"/>
  <c r="CP54" i="2"/>
  <c r="HZ23" i="2"/>
  <c r="NJ23" i="2" s="1"/>
  <c r="CV63" i="9"/>
  <c r="DB53" i="2"/>
  <c r="CV87" i="9" s="1"/>
  <c r="DB52" i="2"/>
  <c r="DB54" i="2"/>
  <c r="DB86" i="2"/>
  <c r="IL23" i="2"/>
  <c r="NV23" i="2" s="1"/>
  <c r="DH63" i="9"/>
  <c r="DN86" i="2"/>
  <c r="DN53" i="2"/>
  <c r="DH87" i="9" s="1"/>
  <c r="DN52" i="2"/>
  <c r="IX23" i="2"/>
  <c r="OH23" i="2" s="1"/>
  <c r="DN54" i="2"/>
  <c r="DT63" i="9"/>
  <c r="DZ53" i="2"/>
  <c r="DT87" i="9" s="1"/>
  <c r="DZ52" i="2"/>
  <c r="DZ86" i="2"/>
  <c r="DZ54" i="2"/>
  <c r="JJ23" i="2"/>
  <c r="OT23" i="2" s="1"/>
  <c r="EL86" i="2"/>
  <c r="EL53" i="2"/>
  <c r="EL52" i="2"/>
  <c r="EL54" i="2"/>
  <c r="JV23" i="2"/>
  <c r="PF23" i="2" s="1"/>
  <c r="JI23" i="2"/>
  <c r="OS23" i="2" s="1"/>
  <c r="AD24" i="2"/>
  <c r="BK24" i="2"/>
  <c r="CK24" i="2"/>
  <c r="DK24" i="2"/>
  <c r="L290" i="2"/>
  <c r="L100" i="2"/>
  <c r="L97" i="2"/>
  <c r="L94" i="2"/>
  <c r="L102" i="2"/>
  <c r="L99" i="2"/>
  <c r="L96" i="2"/>
  <c r="L93" i="2"/>
  <c r="L91" i="2"/>
  <c r="EV136" i="2" s="1"/>
  <c r="EV137" i="2" s="1"/>
  <c r="L98" i="2"/>
  <c r="L95" i="2"/>
  <c r="L101" i="2"/>
  <c r="L68" i="2"/>
  <c r="L2" i="2"/>
  <c r="EV2" i="2" s="1"/>
  <c r="KF2" i="2" s="1"/>
  <c r="L81" i="2"/>
  <c r="BH290" i="2"/>
  <c r="BH100" i="2"/>
  <c r="BH97" i="2"/>
  <c r="BH94" i="2"/>
  <c r="BH102" i="2"/>
  <c r="BH99" i="2"/>
  <c r="BH96" i="2"/>
  <c r="BH93" i="2"/>
  <c r="BH91" i="2"/>
  <c r="BH101" i="2"/>
  <c r="BH98" i="2"/>
  <c r="BH81" i="2"/>
  <c r="BH68" i="2"/>
  <c r="BH2" i="2"/>
  <c r="GR2" i="2" s="1"/>
  <c r="MB2" i="2" s="1"/>
  <c r="BH95" i="2"/>
  <c r="DP290" i="2"/>
  <c r="DP100" i="2"/>
  <c r="DP97" i="2"/>
  <c r="DP94" i="2"/>
  <c r="DP102" i="2"/>
  <c r="DP99" i="2"/>
  <c r="DP96" i="2"/>
  <c r="DP93" i="2"/>
  <c r="DP91" i="2"/>
  <c r="DP98" i="2"/>
  <c r="DP95" i="2"/>
  <c r="DP68" i="2"/>
  <c r="DP101" i="2"/>
  <c r="DP2" i="2"/>
  <c r="IZ2" i="2" s="1"/>
  <c r="OJ2" i="2" s="1"/>
  <c r="DP81" i="2"/>
  <c r="GH194" i="2"/>
  <c r="GH197" i="2"/>
  <c r="GH101" i="2"/>
  <c r="GH98" i="2"/>
  <c r="GH95" i="2"/>
  <c r="GH100" i="2"/>
  <c r="GH97" i="2"/>
  <c r="GH94" i="2"/>
  <c r="GH55" i="2"/>
  <c r="GH51" i="2"/>
  <c r="M290" i="2"/>
  <c r="M102" i="2"/>
  <c r="M99" i="2"/>
  <c r="M96" i="2"/>
  <c r="M93" i="2"/>
  <c r="M91" i="2"/>
  <c r="M101" i="2"/>
  <c r="M98" i="2"/>
  <c r="M95" i="2"/>
  <c r="M97" i="2"/>
  <c r="M94" i="2"/>
  <c r="M81" i="2"/>
  <c r="M100" i="2"/>
  <c r="M68" i="2"/>
  <c r="M2" i="2"/>
  <c r="EW2" i="2" s="1"/>
  <c r="KG2" i="2" s="1"/>
  <c r="DQ290" i="2"/>
  <c r="DQ102" i="2"/>
  <c r="DQ99" i="2"/>
  <c r="DQ96" i="2"/>
  <c r="DQ93" i="2"/>
  <c r="DQ91" i="2"/>
  <c r="DQ101" i="2"/>
  <c r="DQ98" i="2"/>
  <c r="DQ95" i="2"/>
  <c r="DQ97" i="2"/>
  <c r="DQ94" i="2"/>
  <c r="DQ81" i="2"/>
  <c r="DQ100" i="2"/>
  <c r="DQ68" i="2"/>
  <c r="DQ2" i="2"/>
  <c r="JA2" i="2" s="1"/>
  <c r="OK2" i="2" s="1"/>
  <c r="AL290" i="2"/>
  <c r="AL102" i="2"/>
  <c r="AL99" i="2"/>
  <c r="AL96" i="2"/>
  <c r="AL93" i="2"/>
  <c r="AL91" i="2"/>
  <c r="AL101" i="2"/>
  <c r="AL98" i="2"/>
  <c r="AL95" i="2"/>
  <c r="AL81" i="2"/>
  <c r="AL94" i="2"/>
  <c r="AL68" i="2"/>
  <c r="AL100" i="2"/>
  <c r="AL2" i="2"/>
  <c r="FV2" i="2" s="1"/>
  <c r="LF2" i="2" s="1"/>
  <c r="AL97" i="2"/>
  <c r="CH290" i="2"/>
  <c r="CH102" i="2"/>
  <c r="CH99" i="2"/>
  <c r="CH96" i="2"/>
  <c r="CH93" i="2"/>
  <c r="CH91" i="2"/>
  <c r="CH101" i="2"/>
  <c r="CH98" i="2"/>
  <c r="CH95" i="2"/>
  <c r="CH97" i="2"/>
  <c r="CH94" i="2"/>
  <c r="CH81" i="2"/>
  <c r="CH100" i="2"/>
  <c r="CH68" i="2"/>
  <c r="CH2" i="2"/>
  <c r="HR2" i="2" s="1"/>
  <c r="NB2" i="2" s="1"/>
  <c r="FS197" i="2"/>
  <c r="FS194" i="2"/>
  <c r="FS101" i="2"/>
  <c r="FS98" i="2"/>
  <c r="FS95" i="2"/>
  <c r="FS97" i="2"/>
  <c r="FS94" i="2"/>
  <c r="FS100" i="2"/>
  <c r="FS51" i="2"/>
  <c r="FS55" i="2"/>
  <c r="P2" i="2"/>
  <c r="EZ2" i="2" s="1"/>
  <c r="KJ2" i="2" s="1"/>
  <c r="BL2" i="2"/>
  <c r="GV2" i="2" s="1"/>
  <c r="MF2" i="2" s="1"/>
  <c r="DH2" i="2"/>
  <c r="IR2" i="2" s="1"/>
  <c r="OB2" i="2" s="1"/>
  <c r="FH3" i="2"/>
  <c r="GU3" i="2"/>
  <c r="HQ3" i="2"/>
  <c r="IM197" i="2"/>
  <c r="IM194" i="2"/>
  <c r="IM101" i="2"/>
  <c r="IM98" i="2"/>
  <c r="IM95" i="2"/>
  <c r="IM97" i="2"/>
  <c r="IM94" i="2"/>
  <c r="IM100" i="2"/>
  <c r="IM51" i="2"/>
  <c r="IM55" i="2"/>
  <c r="FN23" i="2"/>
  <c r="KX23" i="2" s="1"/>
  <c r="HA23" i="2"/>
  <c r="MK23" i="2" s="1"/>
  <c r="HW23" i="2"/>
  <c r="NG23" i="2" s="1"/>
  <c r="AE24" i="2"/>
  <c r="BL24" i="2"/>
  <c r="CL24" i="2"/>
  <c r="DS24" i="2"/>
  <c r="KD29" i="2"/>
  <c r="OC29" i="2" s="1"/>
  <c r="BT290" i="2"/>
  <c r="BT100" i="2"/>
  <c r="BT97" i="2"/>
  <c r="BT94" i="2"/>
  <c r="BT102" i="2"/>
  <c r="BT99" i="2"/>
  <c r="BT96" i="2"/>
  <c r="BT93" i="2"/>
  <c r="BT91" i="2"/>
  <c r="BT95" i="2"/>
  <c r="BT68" i="2"/>
  <c r="BT81" i="2"/>
  <c r="BT98" i="2"/>
  <c r="BT2" i="2"/>
  <c r="HD2" i="2" s="1"/>
  <c r="MN2" i="2" s="1"/>
  <c r="BT101" i="2"/>
  <c r="EN290" i="2"/>
  <c r="EN100" i="2"/>
  <c r="EN97" i="2"/>
  <c r="EN94" i="2"/>
  <c r="EN102" i="2"/>
  <c r="EN99" i="2"/>
  <c r="EN96" i="2"/>
  <c r="EN93" i="2"/>
  <c r="EN91" i="2"/>
  <c r="EN101" i="2"/>
  <c r="EN98" i="2"/>
  <c r="EN81" i="2"/>
  <c r="EN95" i="2"/>
  <c r="EN2" i="2"/>
  <c r="JX2" i="2" s="1"/>
  <c r="PH2" i="2" s="1"/>
  <c r="EN68" i="2"/>
  <c r="JM194" i="2"/>
  <c r="JM197" i="2"/>
  <c r="JM101" i="2"/>
  <c r="JM98" i="2"/>
  <c r="JM95" i="2"/>
  <c r="JM100" i="2"/>
  <c r="JM97" i="2"/>
  <c r="JM94" i="2"/>
  <c r="JM51" i="2"/>
  <c r="JM55" i="2"/>
  <c r="LR3" i="2"/>
  <c r="LR92" i="2" s="1"/>
  <c r="BU290" i="2"/>
  <c r="BU102" i="2"/>
  <c r="BU99" i="2"/>
  <c r="BU96" i="2"/>
  <c r="BU93" i="2"/>
  <c r="BU91" i="2"/>
  <c r="BU101" i="2"/>
  <c r="BU98" i="2"/>
  <c r="BU95" i="2"/>
  <c r="BU100" i="2"/>
  <c r="BU81" i="2"/>
  <c r="BU97" i="2"/>
  <c r="BU94" i="2"/>
  <c r="BU68" i="2"/>
  <c r="BU2" i="2"/>
  <c r="HE2" i="2" s="1"/>
  <c r="MO2" i="2" s="1"/>
  <c r="HE3" i="2"/>
  <c r="AX290" i="2"/>
  <c r="AX102" i="2"/>
  <c r="AX99" i="2"/>
  <c r="AX96" i="2"/>
  <c r="AX93" i="2"/>
  <c r="AX91" i="2"/>
  <c r="AX101" i="2"/>
  <c r="AX98" i="2"/>
  <c r="AX95" i="2"/>
  <c r="AX97" i="2"/>
  <c r="AX94" i="2"/>
  <c r="AX81" i="2"/>
  <c r="AX100" i="2"/>
  <c r="AX68" i="2"/>
  <c r="AX2" i="2"/>
  <c r="GH2" i="2" s="1"/>
  <c r="LR2" i="2" s="1"/>
  <c r="DR290" i="2"/>
  <c r="DR102" i="2"/>
  <c r="DR99" i="2"/>
  <c r="DR96" i="2"/>
  <c r="DR93" i="2"/>
  <c r="DR91" i="2"/>
  <c r="DR101" i="2"/>
  <c r="DR98" i="2"/>
  <c r="DR95" i="2"/>
  <c r="DR97" i="2"/>
  <c r="DR94" i="2"/>
  <c r="DR81" i="2"/>
  <c r="DR68" i="2"/>
  <c r="DR2" i="2"/>
  <c r="JB2" i="2" s="1"/>
  <c r="OL2" i="2" s="1"/>
  <c r="DR100" i="2"/>
  <c r="IB3" i="2"/>
  <c r="FI3" i="2"/>
  <c r="HR3" i="2"/>
  <c r="IN3" i="2"/>
  <c r="FO23" i="2"/>
  <c r="KY23" i="2" s="1"/>
  <c r="HX23" i="2"/>
  <c r="NH23" i="2" s="1"/>
  <c r="IT23" i="2"/>
  <c r="OD23" i="2" s="1"/>
  <c r="AM24" i="2"/>
  <c r="BM24" i="2"/>
  <c r="CM24" i="2"/>
  <c r="DT24" i="2"/>
  <c r="I31" i="2"/>
  <c r="AV290" i="2"/>
  <c r="AV100" i="2"/>
  <c r="AV97" i="2"/>
  <c r="AV94" i="2"/>
  <c r="AV102" i="2"/>
  <c r="AV99" i="2"/>
  <c r="AV96" i="2"/>
  <c r="AV93" i="2"/>
  <c r="AV91" i="2"/>
  <c r="AV98" i="2"/>
  <c r="AV95" i="2"/>
  <c r="AV81" i="2"/>
  <c r="AV2" i="2"/>
  <c r="GF2" i="2" s="1"/>
  <c r="LP2" i="2" s="1"/>
  <c r="AV68" i="2"/>
  <c r="AV101" i="2"/>
  <c r="FJ3" i="2"/>
  <c r="GF3" i="2"/>
  <c r="IO3" i="2"/>
  <c r="OW3" i="2"/>
  <c r="OW92" i="2" s="1"/>
  <c r="AN24" i="2"/>
  <c r="BN24" i="2"/>
  <c r="CU24" i="2"/>
  <c r="DU24" i="2"/>
  <c r="EU34" i="2"/>
  <c r="AW290" i="2"/>
  <c r="AW102" i="2"/>
  <c r="AW99" i="2"/>
  <c r="AW96" i="2"/>
  <c r="AW93" i="2"/>
  <c r="AW91" i="2"/>
  <c r="AW101" i="2"/>
  <c r="AW98" i="2"/>
  <c r="AW95" i="2"/>
  <c r="AW97" i="2"/>
  <c r="AW94" i="2"/>
  <c r="AW81" i="2"/>
  <c r="AW100" i="2"/>
  <c r="AW68" i="2"/>
  <c r="AW2" i="2"/>
  <c r="GG2" i="2" s="1"/>
  <c r="LQ2" i="2" s="1"/>
  <c r="FK197" i="2"/>
  <c r="FK101" i="2"/>
  <c r="FK98" i="2"/>
  <c r="FK95" i="2"/>
  <c r="FK100" i="2"/>
  <c r="FK97" i="2"/>
  <c r="FK94" i="2"/>
  <c r="FK194" i="2"/>
  <c r="FK51" i="2"/>
  <c r="FK55" i="2"/>
  <c r="KU3" i="2"/>
  <c r="KU92" i="2" s="1"/>
  <c r="GG3" i="2"/>
  <c r="HC197" i="2"/>
  <c r="HC194" i="2"/>
  <c r="HC101" i="2"/>
  <c r="HC98" i="2"/>
  <c r="HC95" i="2"/>
  <c r="HC97" i="2"/>
  <c r="HC94" i="2"/>
  <c r="HC100" i="2"/>
  <c r="HC51" i="2"/>
  <c r="HC55" i="2"/>
  <c r="IP3" i="2"/>
  <c r="JL3" i="2"/>
  <c r="OX3" i="2"/>
  <c r="OX92" i="2" s="1"/>
  <c r="FQ23" i="2"/>
  <c r="LA23" i="2" s="1"/>
  <c r="O24" i="2"/>
  <c r="AO24" i="2"/>
  <c r="BO24" i="2"/>
  <c r="CV24" i="2"/>
  <c r="DV24" i="2"/>
  <c r="KE37" i="2"/>
  <c r="I38" i="2"/>
  <c r="I36" i="4"/>
  <c r="I95" i="2"/>
  <c r="Q290" i="2"/>
  <c r="Q101" i="2"/>
  <c r="Q98" i="2"/>
  <c r="Q95" i="2"/>
  <c r="Q100" i="2"/>
  <c r="Q97" i="2"/>
  <c r="Q94" i="2"/>
  <c r="Q81" i="2"/>
  <c r="Q68" i="2"/>
  <c r="Q96" i="2"/>
  <c r="Q93" i="2"/>
  <c r="Q91" i="2"/>
  <c r="Q102" i="2"/>
  <c r="Q99" i="2"/>
  <c r="AC290" i="2"/>
  <c r="AC101" i="2"/>
  <c r="AC98" i="2"/>
  <c r="AC95" i="2"/>
  <c r="AC100" i="2"/>
  <c r="AC97" i="2"/>
  <c r="AC94" i="2"/>
  <c r="AC96" i="2"/>
  <c r="AC93" i="2"/>
  <c r="AC81" i="2"/>
  <c r="AC99" i="2"/>
  <c r="AC91" i="2"/>
  <c r="AC68" i="2"/>
  <c r="AC102" i="2"/>
  <c r="AO290" i="2"/>
  <c r="AO101" i="2"/>
  <c r="AO98" i="2"/>
  <c r="AO95" i="2"/>
  <c r="AO100" i="2"/>
  <c r="AO97" i="2"/>
  <c r="AO94" i="2"/>
  <c r="AO91" i="2"/>
  <c r="AO81" i="2"/>
  <c r="AO68" i="2"/>
  <c r="AO96" i="2"/>
  <c r="AO93" i="2"/>
  <c r="AO102" i="2"/>
  <c r="BA290" i="2"/>
  <c r="BA101" i="2"/>
  <c r="BA98" i="2"/>
  <c r="BA95" i="2"/>
  <c r="BA100" i="2"/>
  <c r="BA97" i="2"/>
  <c r="BA94" i="2"/>
  <c r="BA81" i="2"/>
  <c r="BA68" i="2"/>
  <c r="BA96" i="2"/>
  <c r="BA93" i="2"/>
  <c r="BA91" i="2"/>
  <c r="BM290" i="2"/>
  <c r="BM101" i="2"/>
  <c r="BM98" i="2"/>
  <c r="BM95" i="2"/>
  <c r="BM100" i="2"/>
  <c r="BM97" i="2"/>
  <c r="BM94" i="2"/>
  <c r="BM96" i="2"/>
  <c r="BM93" i="2"/>
  <c r="BM81" i="2"/>
  <c r="BM99" i="2"/>
  <c r="BM91" i="2"/>
  <c r="BM68" i="2"/>
  <c r="BM102" i="2"/>
  <c r="BY290" i="2"/>
  <c r="BY101" i="2"/>
  <c r="BY98" i="2"/>
  <c r="BY95" i="2"/>
  <c r="BY100" i="2"/>
  <c r="BY97" i="2"/>
  <c r="BY94" i="2"/>
  <c r="BY91" i="2"/>
  <c r="BY81" i="2"/>
  <c r="BY68" i="2"/>
  <c r="BY96" i="2"/>
  <c r="BY93" i="2"/>
  <c r="BY102" i="2"/>
  <c r="BY99" i="2"/>
  <c r="CK290" i="2"/>
  <c r="CK101" i="2"/>
  <c r="CK98" i="2"/>
  <c r="CK95" i="2"/>
  <c r="CK100" i="2"/>
  <c r="CK97" i="2"/>
  <c r="CK94" i="2"/>
  <c r="CK81" i="2"/>
  <c r="CK68" i="2"/>
  <c r="CK96" i="2"/>
  <c r="CK93" i="2"/>
  <c r="CK91" i="2"/>
  <c r="CK102" i="2"/>
  <c r="CK99" i="2"/>
  <c r="CW290" i="2"/>
  <c r="CW101" i="2"/>
  <c r="CW98" i="2"/>
  <c r="CW95" i="2"/>
  <c r="CW100" i="2"/>
  <c r="CW97" i="2"/>
  <c r="CW94" i="2"/>
  <c r="CW96" i="2"/>
  <c r="CW93" i="2"/>
  <c r="CW81" i="2"/>
  <c r="CW99" i="2"/>
  <c r="CW91" i="2"/>
  <c r="CW68" i="2"/>
  <c r="CW102" i="2"/>
  <c r="DI290" i="2"/>
  <c r="DI101" i="2"/>
  <c r="DI98" i="2"/>
  <c r="DI95" i="2"/>
  <c r="DI100" i="2"/>
  <c r="DI97" i="2"/>
  <c r="DI94" i="2"/>
  <c r="DI91" i="2"/>
  <c r="DI81" i="2"/>
  <c r="DI68" i="2"/>
  <c r="DI96" i="2"/>
  <c r="DI93" i="2"/>
  <c r="DI102" i="2"/>
  <c r="DI99" i="2"/>
  <c r="DU290" i="2"/>
  <c r="DU101" i="2"/>
  <c r="DU98" i="2"/>
  <c r="DU95" i="2"/>
  <c r="DU100" i="2"/>
  <c r="DU97" i="2"/>
  <c r="DU94" i="2"/>
  <c r="DU81" i="2"/>
  <c r="DU68" i="2"/>
  <c r="DU96" i="2"/>
  <c r="DU93" i="2"/>
  <c r="DU91" i="2"/>
  <c r="DU102" i="2"/>
  <c r="DU99" i="2"/>
  <c r="EG290" i="2"/>
  <c r="EG101" i="2"/>
  <c r="EG98" i="2"/>
  <c r="EG95" i="2"/>
  <c r="EG100" i="2"/>
  <c r="EG97" i="2"/>
  <c r="EG94" i="2"/>
  <c r="EG96" i="2"/>
  <c r="EG93" i="2"/>
  <c r="EG81" i="2"/>
  <c r="EG99" i="2"/>
  <c r="EG91" i="2"/>
  <c r="EG68" i="2"/>
  <c r="EG102" i="2"/>
  <c r="Q63" i="9"/>
  <c r="W86" i="2"/>
  <c r="W53" i="2"/>
  <c r="Q87" i="9" s="1"/>
  <c r="W52" i="2"/>
  <c r="W54" i="2"/>
  <c r="AC63" i="9"/>
  <c r="AI86" i="2"/>
  <c r="AI53" i="2"/>
  <c r="AC87" i="9" s="1"/>
  <c r="AI52" i="2"/>
  <c r="AI54" i="2"/>
  <c r="AO63" i="9"/>
  <c r="AU86" i="2"/>
  <c r="AU53" i="2"/>
  <c r="AO87" i="9" s="1"/>
  <c r="AU52" i="2"/>
  <c r="AU54" i="2"/>
  <c r="BA63" i="9"/>
  <c r="BG53" i="2"/>
  <c r="BA87" i="9" s="1"/>
  <c r="BG86" i="2"/>
  <c r="BG52" i="2"/>
  <c r="BG54" i="2"/>
  <c r="BM63" i="9"/>
  <c r="BS86" i="2"/>
  <c r="BS53" i="2"/>
  <c r="BM87" i="9" s="1"/>
  <c r="BS52" i="2"/>
  <c r="BS54" i="2"/>
  <c r="BY63" i="9"/>
  <c r="CE86" i="2"/>
  <c r="CE53" i="2"/>
  <c r="BY87" i="9" s="1"/>
  <c r="CE52" i="2"/>
  <c r="CE54" i="2"/>
  <c r="CK63" i="9"/>
  <c r="CQ53" i="2"/>
  <c r="CK87" i="9" s="1"/>
  <c r="CQ86" i="2"/>
  <c r="CQ52" i="2"/>
  <c r="CQ54" i="2"/>
  <c r="CW63" i="9"/>
  <c r="DC86" i="2"/>
  <c r="DC53" i="2"/>
  <c r="CW87" i="9" s="1"/>
  <c r="DC52" i="2"/>
  <c r="DC54" i="2"/>
  <c r="DI63" i="9"/>
  <c r="DO86" i="2"/>
  <c r="DO53" i="2"/>
  <c r="DI87" i="9" s="1"/>
  <c r="DO52" i="2"/>
  <c r="DO54" i="2"/>
  <c r="DU63" i="9"/>
  <c r="EA86" i="2"/>
  <c r="EA53" i="2"/>
  <c r="DU87" i="9" s="1"/>
  <c r="EA52" i="2"/>
  <c r="EA54" i="2"/>
  <c r="EM86" i="2"/>
  <c r="EM53" i="2"/>
  <c r="EM52" i="2"/>
  <c r="EM54" i="2"/>
  <c r="AR68" i="2"/>
  <c r="CN68" i="2"/>
  <c r="R290" i="2"/>
  <c r="R101" i="2"/>
  <c r="R98" i="2"/>
  <c r="R95" i="2"/>
  <c r="R100" i="2"/>
  <c r="R97" i="2"/>
  <c r="R94" i="2"/>
  <c r="R96" i="2"/>
  <c r="R93" i="2"/>
  <c r="R99" i="2"/>
  <c r="R102" i="2"/>
  <c r="R68" i="2"/>
  <c r="R81" i="2"/>
  <c r="AD290" i="2"/>
  <c r="AD101" i="2"/>
  <c r="AD98" i="2"/>
  <c r="AD95" i="2"/>
  <c r="AD100" i="2"/>
  <c r="AD97" i="2"/>
  <c r="AD94" i="2"/>
  <c r="AD99" i="2"/>
  <c r="AD91" i="2"/>
  <c r="AD102" i="2"/>
  <c r="AD96" i="2"/>
  <c r="AD81" i="2"/>
  <c r="AD93" i="2"/>
  <c r="AD68" i="2"/>
  <c r="AP290" i="2"/>
  <c r="AP101" i="2"/>
  <c r="AP98" i="2"/>
  <c r="AP95" i="2"/>
  <c r="AP100" i="2"/>
  <c r="AP97" i="2"/>
  <c r="AP94" i="2"/>
  <c r="AP102" i="2"/>
  <c r="AP99" i="2"/>
  <c r="AP96" i="2"/>
  <c r="AP68" i="2"/>
  <c r="AP81" i="2"/>
  <c r="AP93" i="2"/>
  <c r="AP91" i="2"/>
  <c r="BB290" i="2"/>
  <c r="BB101" i="2"/>
  <c r="BB98" i="2"/>
  <c r="BB95" i="2"/>
  <c r="BB100" i="2"/>
  <c r="BB97" i="2"/>
  <c r="BB94" i="2"/>
  <c r="BB96" i="2"/>
  <c r="BB93" i="2"/>
  <c r="BB99" i="2"/>
  <c r="BB102" i="2"/>
  <c r="BB91" i="2"/>
  <c r="BB81" i="2"/>
  <c r="BN290" i="2"/>
  <c r="BN101" i="2"/>
  <c r="BN98" i="2"/>
  <c r="BN95" i="2"/>
  <c r="BN100" i="2"/>
  <c r="BN97" i="2"/>
  <c r="BN94" i="2"/>
  <c r="BN99" i="2"/>
  <c r="BN91" i="2"/>
  <c r="BN102" i="2"/>
  <c r="BN93" i="2"/>
  <c r="BN81" i="2"/>
  <c r="BN68" i="2"/>
  <c r="BZ290" i="2"/>
  <c r="BZ101" i="2"/>
  <c r="BZ98" i="2"/>
  <c r="BZ95" i="2"/>
  <c r="BZ100" i="2"/>
  <c r="BZ97" i="2"/>
  <c r="BZ94" i="2"/>
  <c r="BZ102" i="2"/>
  <c r="BZ99" i="2"/>
  <c r="BZ93" i="2"/>
  <c r="BZ81" i="2"/>
  <c r="BZ91" i="2"/>
  <c r="BZ68" i="2"/>
  <c r="CL290" i="2"/>
  <c r="CL101" i="2"/>
  <c r="CL98" i="2"/>
  <c r="CL95" i="2"/>
  <c r="CL100" i="2"/>
  <c r="CL97" i="2"/>
  <c r="CL94" i="2"/>
  <c r="CL96" i="2"/>
  <c r="CL93" i="2"/>
  <c r="CL99" i="2"/>
  <c r="CL102" i="2"/>
  <c r="CL91" i="2"/>
  <c r="CL68" i="2"/>
  <c r="CL81" i="2"/>
  <c r="CX290" i="2"/>
  <c r="CX101" i="2"/>
  <c r="CX98" i="2"/>
  <c r="CX95" i="2"/>
  <c r="CX100" i="2"/>
  <c r="CX97" i="2"/>
  <c r="CX94" i="2"/>
  <c r="CX99" i="2"/>
  <c r="CX91" i="2"/>
  <c r="CX102" i="2"/>
  <c r="CX81" i="2"/>
  <c r="CX96" i="2"/>
  <c r="DJ290" i="2"/>
  <c r="DJ101" i="2"/>
  <c r="DJ98" i="2"/>
  <c r="DJ95" i="2"/>
  <c r="DJ100" i="2"/>
  <c r="DJ97" i="2"/>
  <c r="DJ94" i="2"/>
  <c r="DJ102" i="2"/>
  <c r="DJ99" i="2"/>
  <c r="DJ81" i="2"/>
  <c r="DJ96" i="2"/>
  <c r="DJ68" i="2"/>
  <c r="DV290" i="2"/>
  <c r="DV101" i="2"/>
  <c r="DV98" i="2"/>
  <c r="DV95" i="2"/>
  <c r="DV100" i="2"/>
  <c r="DV97" i="2"/>
  <c r="DV94" i="2"/>
  <c r="DV96" i="2"/>
  <c r="DV93" i="2"/>
  <c r="DV99" i="2"/>
  <c r="DV102" i="2"/>
  <c r="DV81" i="2"/>
  <c r="DV68" i="2"/>
  <c r="EH290" i="2"/>
  <c r="EH101" i="2"/>
  <c r="EH98" i="2"/>
  <c r="EH95" i="2"/>
  <c r="EH100" i="2"/>
  <c r="EH97" i="2"/>
  <c r="EH94" i="2"/>
  <c r="EH99" i="2"/>
  <c r="EH91" i="2"/>
  <c r="EH102" i="2"/>
  <c r="EH68" i="2"/>
  <c r="EH96" i="2"/>
  <c r="EH81" i="2"/>
  <c r="EH93" i="2"/>
  <c r="FA3" i="2"/>
  <c r="FM3" i="2"/>
  <c r="FY3" i="2"/>
  <c r="GK3" i="2"/>
  <c r="GW3" i="2"/>
  <c r="HI3" i="2"/>
  <c r="HU3" i="2"/>
  <c r="IG3" i="2"/>
  <c r="IS3" i="2"/>
  <c r="JE3" i="2"/>
  <c r="JQ3" i="2"/>
  <c r="C367" i="10"/>
  <c r="E367" i="10" s="1"/>
  <c r="C165" i="10"/>
  <c r="F63" i="9"/>
  <c r="L86" i="2"/>
  <c r="L54" i="2"/>
  <c r="R63" i="9"/>
  <c r="X54" i="2"/>
  <c r="AD63" i="9"/>
  <c r="AJ86" i="2"/>
  <c r="AJ54" i="2"/>
  <c r="AP63" i="9"/>
  <c r="AV86" i="2"/>
  <c r="AV54" i="2"/>
  <c r="BB63" i="9"/>
  <c r="BH86" i="2"/>
  <c r="BH54" i="2"/>
  <c r="BN63" i="9"/>
  <c r="BT54" i="2"/>
  <c r="BZ63" i="9"/>
  <c r="CF86" i="2"/>
  <c r="CF54" i="2"/>
  <c r="CL63" i="9"/>
  <c r="CR86" i="2"/>
  <c r="CR54" i="2"/>
  <c r="CX63" i="9"/>
  <c r="DD86" i="2"/>
  <c r="DD54" i="2"/>
  <c r="DJ63" i="9"/>
  <c r="DP86" i="2"/>
  <c r="DP54" i="2"/>
  <c r="DV63" i="9"/>
  <c r="EB54" i="2"/>
  <c r="EB86" i="2"/>
  <c r="EN86" i="2"/>
  <c r="EN54" i="2"/>
  <c r="FG23" i="2"/>
  <c r="KQ23" i="2" s="1"/>
  <c r="FS23" i="2"/>
  <c r="LC23" i="2" s="1"/>
  <c r="GE23" i="2"/>
  <c r="LO23" i="2" s="1"/>
  <c r="GQ23" i="2"/>
  <c r="MA23" i="2" s="1"/>
  <c r="HC23" i="2"/>
  <c r="MM23" i="2" s="1"/>
  <c r="HO23" i="2"/>
  <c r="MY23" i="2" s="1"/>
  <c r="IA23" i="2"/>
  <c r="NK23" i="2" s="1"/>
  <c r="IM23" i="2"/>
  <c r="NW23" i="2" s="1"/>
  <c r="IY23" i="2"/>
  <c r="OI23" i="2" s="1"/>
  <c r="JK23" i="2"/>
  <c r="OU23" i="2" s="1"/>
  <c r="JW23" i="2"/>
  <c r="PG23" i="2" s="1"/>
  <c r="T81" i="2"/>
  <c r="DX81" i="2"/>
  <c r="C376" i="10"/>
  <c r="E376" i="10" s="1"/>
  <c r="D162" i="2"/>
  <c r="D125" i="2"/>
  <c r="D123" i="2"/>
  <c r="D134" i="2"/>
  <c r="C123" i="2"/>
  <c r="D124" i="2"/>
  <c r="C124" i="2"/>
  <c r="D104" i="2"/>
  <c r="D103" i="2"/>
  <c r="D89" i="2"/>
  <c r="EG89" i="2" s="1"/>
  <c r="CX93" i="2"/>
  <c r="BN96" i="2"/>
  <c r="FN98" i="2"/>
  <c r="S290" i="2"/>
  <c r="S101" i="2"/>
  <c r="S98" i="2"/>
  <c r="S95" i="2"/>
  <c r="S100" i="2"/>
  <c r="S97" i="2"/>
  <c r="S94" i="2"/>
  <c r="S81" i="2"/>
  <c r="S96" i="2"/>
  <c r="S93" i="2"/>
  <c r="S99" i="2"/>
  <c r="S91" i="2"/>
  <c r="S68" i="2"/>
  <c r="AE290" i="2"/>
  <c r="AE101" i="2"/>
  <c r="AE98" i="2"/>
  <c r="AE95" i="2"/>
  <c r="AE100" i="2"/>
  <c r="AE97" i="2"/>
  <c r="AE94" i="2"/>
  <c r="AE96" i="2"/>
  <c r="AE93" i="2"/>
  <c r="AE81" i="2"/>
  <c r="AE91" i="2"/>
  <c r="AE102" i="2"/>
  <c r="AE99" i="2"/>
  <c r="AQ290" i="2"/>
  <c r="AQ101" i="2"/>
  <c r="AQ98" i="2"/>
  <c r="AQ95" i="2"/>
  <c r="AQ100" i="2"/>
  <c r="AQ97" i="2"/>
  <c r="AQ94" i="2"/>
  <c r="AQ81" i="2"/>
  <c r="AQ96" i="2"/>
  <c r="AQ93" i="2"/>
  <c r="AQ91" i="2"/>
  <c r="AQ68" i="2"/>
  <c r="AQ99" i="2"/>
  <c r="BC290" i="2"/>
  <c r="BC101" i="2"/>
  <c r="BC98" i="2"/>
  <c r="BC95" i="2"/>
  <c r="BC100" i="2"/>
  <c r="BC97" i="2"/>
  <c r="BC94" i="2"/>
  <c r="BC81" i="2"/>
  <c r="BC96" i="2"/>
  <c r="BC93" i="2"/>
  <c r="BC99" i="2"/>
  <c r="BC91" i="2"/>
  <c r="BC68" i="2"/>
  <c r="BC102" i="2"/>
  <c r="BO290" i="2"/>
  <c r="BO101" i="2"/>
  <c r="BO98" i="2"/>
  <c r="BO95" i="2"/>
  <c r="BO100" i="2"/>
  <c r="BO97" i="2"/>
  <c r="BO94" i="2"/>
  <c r="BO96" i="2"/>
  <c r="BO93" i="2"/>
  <c r="BO81" i="2"/>
  <c r="BO91" i="2"/>
  <c r="BO102" i="2"/>
  <c r="BO68" i="2"/>
  <c r="CA290" i="2"/>
  <c r="CA101" i="2"/>
  <c r="CA98" i="2"/>
  <c r="CA95" i="2"/>
  <c r="CA100" i="2"/>
  <c r="CA97" i="2"/>
  <c r="CA94" i="2"/>
  <c r="CA81" i="2"/>
  <c r="CA96" i="2"/>
  <c r="CA93" i="2"/>
  <c r="CA91" i="2"/>
  <c r="CA102" i="2"/>
  <c r="CA99" i="2"/>
  <c r="CM290" i="2"/>
  <c r="CM101" i="2"/>
  <c r="CM98" i="2"/>
  <c r="CM95" i="2"/>
  <c r="CM100" i="2"/>
  <c r="CM97" i="2"/>
  <c r="CM94" i="2"/>
  <c r="CM81" i="2"/>
  <c r="CM96" i="2"/>
  <c r="CM93" i="2"/>
  <c r="CM99" i="2"/>
  <c r="CM91" i="2"/>
  <c r="CM68" i="2"/>
  <c r="CM102" i="2"/>
  <c r="CY290" i="2"/>
  <c r="CY101" i="2"/>
  <c r="CY98" i="2"/>
  <c r="CY95" i="2"/>
  <c r="CY100" i="2"/>
  <c r="CY97" i="2"/>
  <c r="CY94" i="2"/>
  <c r="CY96" i="2"/>
  <c r="CY93" i="2"/>
  <c r="CY81" i="2"/>
  <c r="CY91" i="2"/>
  <c r="CY102" i="2"/>
  <c r="CY68" i="2"/>
  <c r="CY99" i="2"/>
  <c r="DK290" i="2"/>
  <c r="DK101" i="2"/>
  <c r="DK98" i="2"/>
  <c r="DK95" i="2"/>
  <c r="DK100" i="2"/>
  <c r="DK97" i="2"/>
  <c r="DK94" i="2"/>
  <c r="DK81" i="2"/>
  <c r="DK96" i="2"/>
  <c r="DK93" i="2"/>
  <c r="DK91" i="2"/>
  <c r="DK102" i="2"/>
  <c r="DK99" i="2"/>
  <c r="DK68" i="2"/>
  <c r="DW290" i="2"/>
  <c r="DW101" i="2"/>
  <c r="DW98" i="2"/>
  <c r="DW95" i="2"/>
  <c r="DW100" i="2"/>
  <c r="DW97" i="2"/>
  <c r="DW94" i="2"/>
  <c r="DW81" i="2"/>
  <c r="DW96" i="2"/>
  <c r="DW93" i="2"/>
  <c r="DW99" i="2"/>
  <c r="DW91" i="2"/>
  <c r="EI290" i="2"/>
  <c r="EI101" i="2"/>
  <c r="EI98" i="2"/>
  <c r="EI95" i="2"/>
  <c r="EI100" i="2"/>
  <c r="EI97" i="2"/>
  <c r="EI94" i="2"/>
  <c r="EI96" i="2"/>
  <c r="EI93" i="2"/>
  <c r="EI81" i="2"/>
  <c r="EI91" i="2"/>
  <c r="EI102" i="2"/>
  <c r="EI99" i="2"/>
  <c r="EI68" i="2"/>
  <c r="FB197" i="2"/>
  <c r="FB194" i="2"/>
  <c r="FB100" i="2"/>
  <c r="FB97" i="2"/>
  <c r="FB94" i="2"/>
  <c r="FB95" i="2"/>
  <c r="FB98" i="2"/>
  <c r="FB51" i="2"/>
  <c r="FB101" i="2"/>
  <c r="FN197" i="2"/>
  <c r="FN194" i="2"/>
  <c r="FN100" i="2"/>
  <c r="FN97" i="2"/>
  <c r="FN94" i="2"/>
  <c r="FN95" i="2"/>
  <c r="FN101" i="2"/>
  <c r="FN51" i="2"/>
  <c r="FZ197" i="2"/>
  <c r="FZ194" i="2"/>
  <c r="FZ100" i="2"/>
  <c r="FZ97" i="2"/>
  <c r="FZ94" i="2"/>
  <c r="FZ95" i="2"/>
  <c r="FZ51" i="2"/>
  <c r="GX197" i="2"/>
  <c r="GX194" i="2"/>
  <c r="GX100" i="2"/>
  <c r="GX97" i="2"/>
  <c r="GX94" i="2"/>
  <c r="GX95" i="2"/>
  <c r="GX101" i="2"/>
  <c r="GX51" i="2"/>
  <c r="GX98" i="2"/>
  <c r="HJ194" i="2"/>
  <c r="HJ100" i="2"/>
  <c r="HJ97" i="2"/>
  <c r="HJ94" i="2"/>
  <c r="HJ197" i="2"/>
  <c r="HJ95" i="2"/>
  <c r="HJ51" i="2"/>
  <c r="HJ101" i="2"/>
  <c r="HJ98" i="2"/>
  <c r="IT194" i="2"/>
  <c r="IT100" i="2"/>
  <c r="IT97" i="2"/>
  <c r="IT94" i="2"/>
  <c r="IT197" i="2"/>
  <c r="IT95" i="2"/>
  <c r="IT101" i="2"/>
  <c r="IT51" i="2"/>
  <c r="IT98" i="2"/>
  <c r="JR197" i="2"/>
  <c r="JR194" i="2"/>
  <c r="JR100" i="2"/>
  <c r="JR97" i="2"/>
  <c r="JR94" i="2"/>
  <c r="JR95" i="2"/>
  <c r="JR101" i="2"/>
  <c r="JR51" i="2"/>
  <c r="G63" i="9"/>
  <c r="M86" i="2"/>
  <c r="M52" i="2"/>
  <c r="M54" i="2"/>
  <c r="M53" i="2"/>
  <c r="G87" i="9" s="1"/>
  <c r="S63" i="9"/>
  <c r="Y86" i="2"/>
  <c r="Y52" i="2"/>
  <c r="Y54" i="2"/>
  <c r="Y53" i="2"/>
  <c r="S87" i="9" s="1"/>
  <c r="AE63" i="9"/>
  <c r="AK86" i="2"/>
  <c r="AK52" i="2"/>
  <c r="AK54" i="2"/>
  <c r="AK53" i="2"/>
  <c r="AE87" i="9" s="1"/>
  <c r="AQ63" i="9"/>
  <c r="AW86" i="2"/>
  <c r="AW52" i="2"/>
  <c r="AW54" i="2"/>
  <c r="AW53" i="2"/>
  <c r="AQ87" i="9" s="1"/>
  <c r="BC63" i="9"/>
  <c r="BI86" i="2"/>
  <c r="BI52" i="2"/>
  <c r="BI54" i="2"/>
  <c r="BI53" i="2"/>
  <c r="BC87" i="9" s="1"/>
  <c r="BO63" i="9"/>
  <c r="BU86" i="2"/>
  <c r="BU52" i="2"/>
  <c r="BU54" i="2"/>
  <c r="BU53" i="2"/>
  <c r="BO87" i="9" s="1"/>
  <c r="CA63" i="9"/>
  <c r="CG86" i="2"/>
  <c r="CG52" i="2"/>
  <c r="CG54" i="2"/>
  <c r="CG53" i="2"/>
  <c r="CA87" i="9" s="1"/>
  <c r="CM63" i="9"/>
  <c r="CS86" i="2"/>
  <c r="CS52" i="2"/>
  <c r="CS54" i="2"/>
  <c r="CS53" i="2"/>
  <c r="CM87" i="9" s="1"/>
  <c r="CY63" i="9"/>
  <c r="DE86" i="2"/>
  <c r="DE52" i="2"/>
  <c r="DE54" i="2"/>
  <c r="DE53" i="2"/>
  <c r="CY87" i="9" s="1"/>
  <c r="DK63" i="9"/>
  <c r="DQ86" i="2"/>
  <c r="DQ52" i="2"/>
  <c r="DQ54" i="2"/>
  <c r="DQ53" i="2"/>
  <c r="DK87" i="9" s="1"/>
  <c r="EC86" i="2"/>
  <c r="EC52" i="2"/>
  <c r="EC54" i="2"/>
  <c r="EC53" i="2"/>
  <c r="KE36" i="2"/>
  <c r="X52" i="2"/>
  <c r="BH52" i="2"/>
  <c r="CR52" i="2"/>
  <c r="EB52" i="2"/>
  <c r="DJ93" i="2"/>
  <c r="BZ96" i="2"/>
  <c r="FZ98" i="2"/>
  <c r="AO99" i="2"/>
  <c r="T290" i="2"/>
  <c r="T101" i="2"/>
  <c r="T98" i="2"/>
  <c r="T95" i="2"/>
  <c r="T100" i="2"/>
  <c r="T97" i="2"/>
  <c r="T94" i="2"/>
  <c r="T96" i="2"/>
  <c r="T93" i="2"/>
  <c r="T99" i="2"/>
  <c r="T91" i="2"/>
  <c r="T102" i="2"/>
  <c r="T68" i="2"/>
  <c r="AF290" i="2"/>
  <c r="AF101" i="2"/>
  <c r="AF98" i="2"/>
  <c r="AF95" i="2"/>
  <c r="AF100" i="2"/>
  <c r="AF97" i="2"/>
  <c r="AF94" i="2"/>
  <c r="AF99" i="2"/>
  <c r="AF102" i="2"/>
  <c r="AF96" i="2"/>
  <c r="AF81" i="2"/>
  <c r="AF93" i="2"/>
  <c r="AR290" i="2"/>
  <c r="AR101" i="2"/>
  <c r="AR98" i="2"/>
  <c r="AR95" i="2"/>
  <c r="AR100" i="2"/>
  <c r="AR97" i="2"/>
  <c r="AR94" i="2"/>
  <c r="AR99" i="2"/>
  <c r="AR102" i="2"/>
  <c r="AR96" i="2"/>
  <c r="AR81" i="2"/>
  <c r="AR91" i="2"/>
  <c r="BD290" i="2"/>
  <c r="BD101" i="2"/>
  <c r="BD98" i="2"/>
  <c r="BD95" i="2"/>
  <c r="BD100" i="2"/>
  <c r="BD97" i="2"/>
  <c r="BD94" i="2"/>
  <c r="BD96" i="2"/>
  <c r="BD93" i="2"/>
  <c r="BD99" i="2"/>
  <c r="BD91" i="2"/>
  <c r="BD102" i="2"/>
  <c r="BD68" i="2"/>
  <c r="BP290" i="2"/>
  <c r="BP101" i="2"/>
  <c r="BP98" i="2"/>
  <c r="BP95" i="2"/>
  <c r="BP100" i="2"/>
  <c r="BP97" i="2"/>
  <c r="BP94" i="2"/>
  <c r="BP99" i="2"/>
  <c r="BP102" i="2"/>
  <c r="BP93" i="2"/>
  <c r="BP81" i="2"/>
  <c r="BP68" i="2"/>
  <c r="BP96" i="2"/>
  <c r="CB290" i="2"/>
  <c r="CB101" i="2"/>
  <c r="CB98" i="2"/>
  <c r="CB95" i="2"/>
  <c r="CB100" i="2"/>
  <c r="CB97" i="2"/>
  <c r="CB94" i="2"/>
  <c r="CB99" i="2"/>
  <c r="CB102" i="2"/>
  <c r="CB93" i="2"/>
  <c r="CB81" i="2"/>
  <c r="CB91" i="2"/>
  <c r="CN290" i="2"/>
  <c r="CN101" i="2"/>
  <c r="CN98" i="2"/>
  <c r="CN95" i="2"/>
  <c r="CN100" i="2"/>
  <c r="CN97" i="2"/>
  <c r="CN94" i="2"/>
  <c r="CN96" i="2"/>
  <c r="CN93" i="2"/>
  <c r="CN99" i="2"/>
  <c r="CN91" i="2"/>
  <c r="CN102" i="2"/>
  <c r="CZ290" i="2"/>
  <c r="CZ101" i="2"/>
  <c r="CZ98" i="2"/>
  <c r="CZ95" i="2"/>
  <c r="CZ100" i="2"/>
  <c r="CZ97" i="2"/>
  <c r="CZ94" i="2"/>
  <c r="CZ99" i="2"/>
  <c r="CZ102" i="2"/>
  <c r="CZ91" i="2"/>
  <c r="CZ68" i="2"/>
  <c r="CZ81" i="2"/>
  <c r="CZ96" i="2"/>
  <c r="CZ93" i="2"/>
  <c r="DL290" i="2"/>
  <c r="DL101" i="2"/>
  <c r="DL98" i="2"/>
  <c r="DL95" i="2"/>
  <c r="DL100" i="2"/>
  <c r="DL97" i="2"/>
  <c r="DL94" i="2"/>
  <c r="DL99" i="2"/>
  <c r="DL102" i="2"/>
  <c r="DL81" i="2"/>
  <c r="DL96" i="2"/>
  <c r="DL68" i="2"/>
  <c r="DL91" i="2"/>
  <c r="DX290" i="2"/>
  <c r="DX101" i="2"/>
  <c r="DX98" i="2"/>
  <c r="DX95" i="2"/>
  <c r="DX100" i="2"/>
  <c r="DX97" i="2"/>
  <c r="DX94" i="2"/>
  <c r="DX96" i="2"/>
  <c r="DX93" i="2"/>
  <c r="DX99" i="2"/>
  <c r="DX91" i="2"/>
  <c r="DX102" i="2"/>
  <c r="EJ290" i="2"/>
  <c r="EJ101" i="2"/>
  <c r="EJ98" i="2"/>
  <c r="EJ95" i="2"/>
  <c r="EJ100" i="2"/>
  <c r="EJ97" i="2"/>
  <c r="EJ94" i="2"/>
  <c r="EJ99" i="2"/>
  <c r="EJ102" i="2"/>
  <c r="EJ96" i="2"/>
  <c r="EJ81" i="2"/>
  <c r="EJ93" i="2"/>
  <c r="FC3" i="2"/>
  <c r="FO3" i="2"/>
  <c r="GA3" i="2"/>
  <c r="GM3" i="2"/>
  <c r="GY3" i="2"/>
  <c r="HK3" i="2"/>
  <c r="HW3" i="2"/>
  <c r="II3" i="2"/>
  <c r="IU3" i="2"/>
  <c r="JG3" i="2"/>
  <c r="JS3" i="2"/>
  <c r="KL3" i="2"/>
  <c r="KL92" i="2" s="1"/>
  <c r="KX3" i="2"/>
  <c r="KX92" i="2" s="1"/>
  <c r="LJ3" i="2"/>
  <c r="LJ92" i="2" s="1"/>
  <c r="MH3" i="2"/>
  <c r="MH92" i="2" s="1"/>
  <c r="MT3" i="2"/>
  <c r="MT92" i="2" s="1"/>
  <c r="OD3" i="2"/>
  <c r="OD92" i="2" s="1"/>
  <c r="PB3" i="2"/>
  <c r="PB92" i="2" s="1"/>
  <c r="H63" i="9"/>
  <c r="N86" i="2"/>
  <c r="N52" i="2"/>
  <c r="T63" i="9"/>
  <c r="Z86" i="2"/>
  <c r="Z52" i="2"/>
  <c r="AF63" i="9"/>
  <c r="AL86" i="2"/>
  <c r="AL52" i="2"/>
  <c r="AR63" i="9"/>
  <c r="AX86" i="2"/>
  <c r="AX52" i="2"/>
  <c r="BD63" i="9"/>
  <c r="BJ86" i="2"/>
  <c r="BJ52" i="2"/>
  <c r="BP63" i="9"/>
  <c r="BV86" i="2"/>
  <c r="BV52" i="2"/>
  <c r="CB63" i="9"/>
  <c r="CH86" i="2"/>
  <c r="CH52" i="2"/>
  <c r="CN63" i="9"/>
  <c r="CT86" i="2"/>
  <c r="CT52" i="2"/>
  <c r="CZ63" i="9"/>
  <c r="DF86" i="2"/>
  <c r="DF52" i="2"/>
  <c r="DL63" i="9"/>
  <c r="DR86" i="2"/>
  <c r="DR52" i="2"/>
  <c r="ED86" i="2"/>
  <c r="ED52" i="2"/>
  <c r="EW23" i="2"/>
  <c r="KG23" i="2" s="1"/>
  <c r="FI23" i="2"/>
  <c r="KS23" i="2" s="1"/>
  <c r="FU23" i="2"/>
  <c r="LE23" i="2" s="1"/>
  <c r="GG23" i="2"/>
  <c r="LQ23" i="2" s="1"/>
  <c r="GS23" i="2"/>
  <c r="MC23" i="2" s="1"/>
  <c r="HE23" i="2"/>
  <c r="MO23" i="2" s="1"/>
  <c r="HQ23" i="2"/>
  <c r="NA23" i="2" s="1"/>
  <c r="IC23" i="2"/>
  <c r="NM23" i="2" s="1"/>
  <c r="IO23" i="2"/>
  <c r="NY23" i="2" s="1"/>
  <c r="JA23" i="2"/>
  <c r="OK23" i="2" s="1"/>
  <c r="JM23" i="2"/>
  <c r="OW23" i="2" s="1"/>
  <c r="KE35" i="2"/>
  <c r="CW52" i="2"/>
  <c r="EG52" i="2"/>
  <c r="L53" i="2"/>
  <c r="AV53" i="2"/>
  <c r="AP87" i="9" s="1"/>
  <c r="CF53" i="2"/>
  <c r="BZ87" i="9" s="1"/>
  <c r="DP53" i="2"/>
  <c r="ET86" i="2"/>
  <c r="ET87" i="2" s="1"/>
  <c r="EP61" i="2"/>
  <c r="EP62" i="2" s="1"/>
  <c r="BB68" i="2"/>
  <c r="CX68" i="2"/>
  <c r="DL93" i="2"/>
  <c r="CB96" i="2"/>
  <c r="BA99" i="2"/>
  <c r="U290" i="2"/>
  <c r="U100" i="2"/>
  <c r="U97" i="2"/>
  <c r="U94" i="2"/>
  <c r="U102" i="2"/>
  <c r="U99" i="2"/>
  <c r="U96" i="2"/>
  <c r="U93" i="2"/>
  <c r="U91" i="2"/>
  <c r="U68" i="2"/>
  <c r="U98" i="2"/>
  <c r="U95" i="2"/>
  <c r="U101" i="2"/>
  <c r="U81" i="2"/>
  <c r="AG290" i="2"/>
  <c r="AG100" i="2"/>
  <c r="AG97" i="2"/>
  <c r="AG94" i="2"/>
  <c r="AG102" i="2"/>
  <c r="AG99" i="2"/>
  <c r="AG96" i="2"/>
  <c r="AG93" i="2"/>
  <c r="AG91" i="2"/>
  <c r="AG98" i="2"/>
  <c r="AG95" i="2"/>
  <c r="AG68" i="2"/>
  <c r="AG101" i="2"/>
  <c r="AG81" i="2"/>
  <c r="AS290" i="2"/>
  <c r="AS100" i="2"/>
  <c r="AS97" i="2"/>
  <c r="AS94" i="2"/>
  <c r="AS102" i="2"/>
  <c r="AS99" i="2"/>
  <c r="AS96" i="2"/>
  <c r="AS93" i="2"/>
  <c r="AS91" i="2"/>
  <c r="AS68" i="2"/>
  <c r="AS98" i="2"/>
  <c r="AS95" i="2"/>
  <c r="AS101" i="2"/>
  <c r="AS81" i="2"/>
  <c r="BE290" i="2"/>
  <c r="BE100" i="2"/>
  <c r="BE97" i="2"/>
  <c r="BE94" i="2"/>
  <c r="BE102" i="2"/>
  <c r="BE99" i="2"/>
  <c r="BE96" i="2"/>
  <c r="BE93" i="2"/>
  <c r="BE91" i="2"/>
  <c r="BE68" i="2"/>
  <c r="BE98" i="2"/>
  <c r="BE95" i="2"/>
  <c r="BE101" i="2"/>
  <c r="BE81" i="2"/>
  <c r="BQ290" i="2"/>
  <c r="BQ100" i="2"/>
  <c r="BQ97" i="2"/>
  <c r="BQ94" i="2"/>
  <c r="BQ102" i="2"/>
  <c r="BQ99" i="2"/>
  <c r="BQ96" i="2"/>
  <c r="BQ93" i="2"/>
  <c r="BQ91" i="2"/>
  <c r="BQ98" i="2"/>
  <c r="BQ95" i="2"/>
  <c r="BQ68" i="2"/>
  <c r="BQ101" i="2"/>
  <c r="BQ81" i="2"/>
  <c r="CC290" i="2"/>
  <c r="CC100" i="2"/>
  <c r="CC97" i="2"/>
  <c r="CC94" i="2"/>
  <c r="CC102" i="2"/>
  <c r="CC99" i="2"/>
  <c r="CC96" i="2"/>
  <c r="CC93" i="2"/>
  <c r="CC91" i="2"/>
  <c r="CC68" i="2"/>
  <c r="CC98" i="2"/>
  <c r="CC95" i="2"/>
  <c r="CC101" i="2"/>
  <c r="CC81" i="2"/>
  <c r="CO290" i="2"/>
  <c r="CO100" i="2"/>
  <c r="CO97" i="2"/>
  <c r="CO94" i="2"/>
  <c r="CO102" i="2"/>
  <c r="CO99" i="2"/>
  <c r="CO96" i="2"/>
  <c r="CO93" i="2"/>
  <c r="CO91" i="2"/>
  <c r="CO68" i="2"/>
  <c r="CO98" i="2"/>
  <c r="CO95" i="2"/>
  <c r="CO101" i="2"/>
  <c r="CO81" i="2"/>
  <c r="DA290" i="2"/>
  <c r="DA100" i="2"/>
  <c r="DA97" i="2"/>
  <c r="DA94" i="2"/>
  <c r="DA102" i="2"/>
  <c r="DA99" i="2"/>
  <c r="DA96" i="2"/>
  <c r="DA93" i="2"/>
  <c r="DA91" i="2"/>
  <c r="DA98" i="2"/>
  <c r="DA95" i="2"/>
  <c r="DA68" i="2"/>
  <c r="DA101" i="2"/>
  <c r="DA81" i="2"/>
  <c r="DM290" i="2"/>
  <c r="DM100" i="2"/>
  <c r="DM97" i="2"/>
  <c r="DM94" i="2"/>
  <c r="DM102" i="2"/>
  <c r="DM99" i="2"/>
  <c r="DM96" i="2"/>
  <c r="DM93" i="2"/>
  <c r="DM91" i="2"/>
  <c r="DM68" i="2"/>
  <c r="DM98" i="2"/>
  <c r="DM95" i="2"/>
  <c r="DM101" i="2"/>
  <c r="DM81" i="2"/>
  <c r="DY290" i="2"/>
  <c r="DY100" i="2"/>
  <c r="DY97" i="2"/>
  <c r="DY94" i="2"/>
  <c r="DY102" i="2"/>
  <c r="DY99" i="2"/>
  <c r="DY96" i="2"/>
  <c r="DY93" i="2"/>
  <c r="DY91" i="2"/>
  <c r="DY68" i="2"/>
  <c r="DY98" i="2"/>
  <c r="DY95" i="2"/>
  <c r="DY101" i="2"/>
  <c r="DY81" i="2"/>
  <c r="EK290" i="2"/>
  <c r="EK100" i="2"/>
  <c r="EK97" i="2"/>
  <c r="EK94" i="2"/>
  <c r="EK102" i="2"/>
  <c r="EK99" i="2"/>
  <c r="EK96" i="2"/>
  <c r="EK93" i="2"/>
  <c r="EK91" i="2"/>
  <c r="EK98" i="2"/>
  <c r="EK95" i="2"/>
  <c r="EK68" i="2"/>
  <c r="EK101" i="2"/>
  <c r="EK81" i="2"/>
  <c r="FD3" i="2"/>
  <c r="FP3" i="2"/>
  <c r="GB3" i="2"/>
  <c r="GN3" i="2"/>
  <c r="GZ3" i="2"/>
  <c r="HL3" i="2"/>
  <c r="HX3" i="2"/>
  <c r="IJ3" i="2"/>
  <c r="IV3" i="2"/>
  <c r="JH3" i="2"/>
  <c r="JT3" i="2"/>
  <c r="I63" i="9"/>
  <c r="O86" i="2"/>
  <c r="O52" i="2"/>
  <c r="O54" i="2"/>
  <c r="U63" i="9"/>
  <c r="AA86" i="2"/>
  <c r="AA52" i="2"/>
  <c r="AA54" i="2"/>
  <c r="AG63" i="9"/>
  <c r="AM52" i="2"/>
  <c r="AM54" i="2"/>
  <c r="AS63" i="9"/>
  <c r="AY86" i="2"/>
  <c r="AY52" i="2"/>
  <c r="AY54" i="2"/>
  <c r="BE63" i="9"/>
  <c r="BK86" i="2"/>
  <c r="BK52" i="2"/>
  <c r="BK54" i="2"/>
  <c r="BQ63" i="9"/>
  <c r="BW86" i="2"/>
  <c r="BW52" i="2"/>
  <c r="BW54" i="2"/>
  <c r="CC63" i="9"/>
  <c r="CI52" i="2"/>
  <c r="CI54" i="2"/>
  <c r="CO63" i="9"/>
  <c r="CU86" i="2"/>
  <c r="CU52" i="2"/>
  <c r="CU54" i="2"/>
  <c r="DA63" i="9"/>
  <c r="DG86" i="2"/>
  <c r="DG52" i="2"/>
  <c r="DG54" i="2"/>
  <c r="DM63" i="9"/>
  <c r="DS86" i="2"/>
  <c r="DS52" i="2"/>
  <c r="DS54" i="2"/>
  <c r="EE86" i="2"/>
  <c r="EE52" i="2"/>
  <c r="EE54" i="2"/>
  <c r="EX23" i="2"/>
  <c r="KH23" i="2" s="1"/>
  <c r="FJ23" i="2"/>
  <c r="KT23" i="2" s="1"/>
  <c r="FV23" i="2"/>
  <c r="LF23" i="2" s="1"/>
  <c r="GH23" i="2"/>
  <c r="LR23" i="2" s="1"/>
  <c r="GT23" i="2"/>
  <c r="MD23" i="2" s="1"/>
  <c r="HF23" i="2"/>
  <c r="MP23" i="2" s="1"/>
  <c r="HR23" i="2"/>
  <c r="NB23" i="2" s="1"/>
  <c r="ID23" i="2"/>
  <c r="NN23" i="2" s="1"/>
  <c r="IP23" i="2"/>
  <c r="NZ23" i="2" s="1"/>
  <c r="JB23" i="2"/>
  <c r="OL23" i="2" s="1"/>
  <c r="JN23" i="2"/>
  <c r="OX23" i="2" s="1"/>
  <c r="KE27" i="2"/>
  <c r="N53" i="2"/>
  <c r="H87" i="9" s="1"/>
  <c r="AX53" i="2"/>
  <c r="AR87" i="9" s="1"/>
  <c r="CH53" i="2"/>
  <c r="CB87" i="9" s="1"/>
  <c r="DR53" i="2"/>
  <c r="DL87" i="9" s="1"/>
  <c r="R91" i="2"/>
  <c r="JR98" i="2"/>
  <c r="BO99" i="2"/>
  <c r="V290" i="2"/>
  <c r="V100" i="2"/>
  <c r="V97" i="2"/>
  <c r="V94" i="2"/>
  <c r="V102" i="2"/>
  <c r="V99" i="2"/>
  <c r="V96" i="2"/>
  <c r="V93" i="2"/>
  <c r="V91" i="2"/>
  <c r="V98" i="2"/>
  <c r="V95" i="2"/>
  <c r="V101" i="2"/>
  <c r="AH290" i="2"/>
  <c r="AH100" i="2"/>
  <c r="AH97" i="2"/>
  <c r="AH94" i="2"/>
  <c r="AH102" i="2"/>
  <c r="AH99" i="2"/>
  <c r="AH96" i="2"/>
  <c r="AH93" i="2"/>
  <c r="AH91" i="2"/>
  <c r="AH101" i="2"/>
  <c r="AH98" i="2"/>
  <c r="AH95" i="2"/>
  <c r="AH68" i="2"/>
  <c r="AT290" i="2"/>
  <c r="AT100" i="2"/>
  <c r="AT97" i="2"/>
  <c r="AT94" i="2"/>
  <c r="AT102" i="2"/>
  <c r="AT99" i="2"/>
  <c r="AT96" i="2"/>
  <c r="AT93" i="2"/>
  <c r="AT91" i="2"/>
  <c r="AT101" i="2"/>
  <c r="AT81" i="2"/>
  <c r="AT98" i="2"/>
  <c r="AT95" i="2"/>
  <c r="AT68" i="2"/>
  <c r="BF290" i="2"/>
  <c r="BF100" i="2"/>
  <c r="BF97" i="2"/>
  <c r="BF94" i="2"/>
  <c r="BF102" i="2"/>
  <c r="BF99" i="2"/>
  <c r="BF96" i="2"/>
  <c r="BF93" i="2"/>
  <c r="BF91" i="2"/>
  <c r="BF98" i="2"/>
  <c r="BF95" i="2"/>
  <c r="BF101" i="2"/>
  <c r="BF68" i="2"/>
  <c r="BR290" i="2"/>
  <c r="BR100" i="2"/>
  <c r="BR97" i="2"/>
  <c r="BR94" i="2"/>
  <c r="BR102" i="2"/>
  <c r="BR99" i="2"/>
  <c r="BR96" i="2"/>
  <c r="BR93" i="2"/>
  <c r="BR91" i="2"/>
  <c r="BR95" i="2"/>
  <c r="BR101" i="2"/>
  <c r="CD290" i="2"/>
  <c r="CD100" i="2"/>
  <c r="CD97" i="2"/>
  <c r="CD94" i="2"/>
  <c r="CD102" i="2"/>
  <c r="CD99" i="2"/>
  <c r="CD96" i="2"/>
  <c r="CD93" i="2"/>
  <c r="CD91" i="2"/>
  <c r="CD81" i="2"/>
  <c r="CD95" i="2"/>
  <c r="CD68" i="2"/>
  <c r="CP290" i="2"/>
  <c r="CP100" i="2"/>
  <c r="CP97" i="2"/>
  <c r="CP94" i="2"/>
  <c r="CP102" i="2"/>
  <c r="CP99" i="2"/>
  <c r="CP96" i="2"/>
  <c r="CP93" i="2"/>
  <c r="CP91" i="2"/>
  <c r="CP98" i="2"/>
  <c r="CP95" i="2"/>
  <c r="CP101" i="2"/>
  <c r="CP68" i="2"/>
  <c r="DB290" i="2"/>
  <c r="DB100" i="2"/>
  <c r="DB97" i="2"/>
  <c r="DB94" i="2"/>
  <c r="DB102" i="2"/>
  <c r="DB99" i="2"/>
  <c r="DB96" i="2"/>
  <c r="DB93" i="2"/>
  <c r="DB91" i="2"/>
  <c r="DB68" i="2"/>
  <c r="DB101" i="2"/>
  <c r="DB98" i="2"/>
  <c r="DN290" i="2"/>
  <c r="DN100" i="2"/>
  <c r="DN97" i="2"/>
  <c r="DN94" i="2"/>
  <c r="DN102" i="2"/>
  <c r="DN99" i="2"/>
  <c r="DN96" i="2"/>
  <c r="DN93" i="2"/>
  <c r="DN91" i="2"/>
  <c r="DN81" i="2"/>
  <c r="DN101" i="2"/>
  <c r="DN98" i="2"/>
  <c r="DZ290" i="2"/>
  <c r="DZ100" i="2"/>
  <c r="DZ97" i="2"/>
  <c r="DZ94" i="2"/>
  <c r="DZ102" i="2"/>
  <c r="DZ99" i="2"/>
  <c r="DZ96" i="2"/>
  <c r="DZ93" i="2"/>
  <c r="DZ91" i="2"/>
  <c r="DZ98" i="2"/>
  <c r="DZ95" i="2"/>
  <c r="DZ101" i="2"/>
  <c r="DZ68" i="2"/>
  <c r="EL290" i="2"/>
  <c r="EL100" i="2"/>
  <c r="EL97" i="2"/>
  <c r="EL94" i="2"/>
  <c r="EL102" i="2"/>
  <c r="EL99" i="2"/>
  <c r="EL96" i="2"/>
  <c r="EL93" i="2"/>
  <c r="EL91" i="2"/>
  <c r="EL101" i="2"/>
  <c r="EL98" i="2"/>
  <c r="EL95" i="2"/>
  <c r="EL68" i="2"/>
  <c r="FQ194" i="2"/>
  <c r="FQ197" i="2"/>
  <c r="FQ101" i="2"/>
  <c r="FQ98" i="2"/>
  <c r="FQ95" i="2"/>
  <c r="FQ97" i="2"/>
  <c r="FQ94" i="2"/>
  <c r="FQ100" i="2"/>
  <c r="FQ55" i="2"/>
  <c r="GC194" i="2"/>
  <c r="GC197" i="2"/>
  <c r="GC101" i="2"/>
  <c r="GC98" i="2"/>
  <c r="GC95" i="2"/>
  <c r="GC100" i="2"/>
  <c r="GC97" i="2"/>
  <c r="GC94" i="2"/>
  <c r="GC55" i="2"/>
  <c r="GO194" i="2"/>
  <c r="GO197" i="2"/>
  <c r="GO101" i="2"/>
  <c r="GO98" i="2"/>
  <c r="GO95" i="2"/>
  <c r="GO97" i="2"/>
  <c r="GO94" i="2"/>
  <c r="GO100" i="2"/>
  <c r="GO55" i="2"/>
  <c r="HA194" i="2"/>
  <c r="HA197" i="2"/>
  <c r="HA101" i="2"/>
  <c r="HA98" i="2"/>
  <c r="HA95" i="2"/>
  <c r="HA97" i="2"/>
  <c r="HA94" i="2"/>
  <c r="HA100" i="2"/>
  <c r="HA55" i="2"/>
  <c r="IW194" i="2"/>
  <c r="IW197" i="2"/>
  <c r="IW101" i="2"/>
  <c r="IW98" i="2"/>
  <c r="IW95" i="2"/>
  <c r="IW100" i="2"/>
  <c r="IW97" i="2"/>
  <c r="IW94" i="2"/>
  <c r="IW55" i="2"/>
  <c r="JI194" i="2"/>
  <c r="JI197" i="2"/>
  <c r="JI101" i="2"/>
  <c r="JI98" i="2"/>
  <c r="JI95" i="2"/>
  <c r="JI97" i="2"/>
  <c r="JI94" i="2"/>
  <c r="JI100" i="2"/>
  <c r="JI55" i="2"/>
  <c r="JU194" i="2"/>
  <c r="JU197" i="2"/>
  <c r="JU101" i="2"/>
  <c r="JU98" i="2"/>
  <c r="JU95" i="2"/>
  <c r="JU97" i="2"/>
  <c r="JU94" i="2"/>
  <c r="JU100" i="2"/>
  <c r="JU55" i="2"/>
  <c r="J63" i="9"/>
  <c r="P86" i="2"/>
  <c r="P52" i="2"/>
  <c r="P54" i="2"/>
  <c r="P53" i="2"/>
  <c r="J87" i="9" s="1"/>
  <c r="V63" i="9"/>
  <c r="AB52" i="2"/>
  <c r="AB54" i="2"/>
  <c r="AB53" i="2"/>
  <c r="V87" i="9" s="1"/>
  <c r="AB86" i="2"/>
  <c r="AH63" i="9"/>
  <c r="AN86" i="2"/>
  <c r="AN52" i="2"/>
  <c r="AN54" i="2"/>
  <c r="AN53" i="2"/>
  <c r="AH87" i="9" s="1"/>
  <c r="AT63" i="9"/>
  <c r="AZ86" i="2"/>
  <c r="AZ52" i="2"/>
  <c r="AZ54" i="2"/>
  <c r="AZ53" i="2"/>
  <c r="AT87" i="9" s="1"/>
  <c r="BF63" i="9"/>
  <c r="BL86" i="2"/>
  <c r="BL52" i="2"/>
  <c r="BL54" i="2"/>
  <c r="BL53" i="2"/>
  <c r="BF87" i="9" s="1"/>
  <c r="BR63" i="9"/>
  <c r="BX52" i="2"/>
  <c r="BX54" i="2"/>
  <c r="BX53" i="2"/>
  <c r="BR87" i="9" s="1"/>
  <c r="BX86" i="2"/>
  <c r="CD63" i="9"/>
  <c r="CJ86" i="2"/>
  <c r="CJ52" i="2"/>
  <c r="CJ54" i="2"/>
  <c r="CJ53" i="2"/>
  <c r="CD87" i="9" s="1"/>
  <c r="CP63" i="9"/>
  <c r="CV86" i="2"/>
  <c r="CV52" i="2"/>
  <c r="CV54" i="2"/>
  <c r="CV53" i="2"/>
  <c r="CP87" i="9" s="1"/>
  <c r="DB63" i="9"/>
  <c r="DH86" i="2"/>
  <c r="DH52" i="2"/>
  <c r="DH54" i="2"/>
  <c r="DH53" i="2"/>
  <c r="DB87" i="9" s="1"/>
  <c r="DN63" i="9"/>
  <c r="DT86" i="2"/>
  <c r="DT52" i="2"/>
  <c r="DT54" i="2"/>
  <c r="DT53" i="2"/>
  <c r="DN87" i="9" s="1"/>
  <c r="EF86" i="2"/>
  <c r="EF52" i="2"/>
  <c r="EF54" i="2"/>
  <c r="EF53" i="2"/>
  <c r="E43" i="2"/>
  <c r="E37" i="2"/>
  <c r="E45" i="2"/>
  <c r="E42" i="2"/>
  <c r="E44" i="2"/>
  <c r="E41" i="2"/>
  <c r="E36" i="2"/>
  <c r="O53" i="2"/>
  <c r="I87" i="9" s="1"/>
  <c r="AY53" i="2"/>
  <c r="AS87" i="9" s="1"/>
  <c r="CI53" i="2"/>
  <c r="CC87" i="9" s="1"/>
  <c r="DS53" i="2"/>
  <c r="DM87" i="9" s="1"/>
  <c r="FB55" i="2"/>
  <c r="BD81" i="2"/>
  <c r="AF91" i="2"/>
  <c r="FZ101" i="2"/>
  <c r="S102" i="2"/>
  <c r="W290" i="2"/>
  <c r="W100" i="2"/>
  <c r="W97" i="2"/>
  <c r="W94" i="2"/>
  <c r="W102" i="2"/>
  <c r="W99" i="2"/>
  <c r="W96" i="2"/>
  <c r="W93" i="2"/>
  <c r="W91" i="2"/>
  <c r="W98" i="2"/>
  <c r="W95" i="2"/>
  <c r="W101" i="2"/>
  <c r="W81" i="2"/>
  <c r="W68" i="2"/>
  <c r="AI290" i="2"/>
  <c r="AI100" i="2"/>
  <c r="AI97" i="2"/>
  <c r="AI94" i="2"/>
  <c r="AI102" i="2"/>
  <c r="AI99" i="2"/>
  <c r="AI96" i="2"/>
  <c r="AI93" i="2"/>
  <c r="AI91" i="2"/>
  <c r="AI101" i="2"/>
  <c r="AI81" i="2"/>
  <c r="AI98" i="2"/>
  <c r="AI95" i="2"/>
  <c r="AI68" i="2"/>
  <c r="AU290" i="2"/>
  <c r="AU100" i="2"/>
  <c r="AU97" i="2"/>
  <c r="AU94" i="2"/>
  <c r="AU102" i="2"/>
  <c r="AU99" i="2"/>
  <c r="AU96" i="2"/>
  <c r="AU93" i="2"/>
  <c r="AU91" i="2"/>
  <c r="AU98" i="2"/>
  <c r="AU95" i="2"/>
  <c r="AU101" i="2"/>
  <c r="AU81" i="2"/>
  <c r="BG290" i="2"/>
  <c r="BG100" i="2"/>
  <c r="BG97" i="2"/>
  <c r="BG94" i="2"/>
  <c r="BG102" i="2"/>
  <c r="BG99" i="2"/>
  <c r="BG96" i="2"/>
  <c r="BG93" i="2"/>
  <c r="BG91" i="2"/>
  <c r="BG98" i="2"/>
  <c r="BG95" i="2"/>
  <c r="BG101" i="2"/>
  <c r="BG81" i="2"/>
  <c r="BG68" i="2"/>
  <c r="BS290" i="2"/>
  <c r="BS100" i="2"/>
  <c r="BS97" i="2"/>
  <c r="BS94" i="2"/>
  <c r="BS102" i="2"/>
  <c r="BS99" i="2"/>
  <c r="BS96" i="2"/>
  <c r="BS93" i="2"/>
  <c r="BS91" i="2"/>
  <c r="BS101" i="2"/>
  <c r="BS81" i="2"/>
  <c r="BS98" i="2"/>
  <c r="BS95" i="2"/>
  <c r="BS68" i="2"/>
  <c r="CE290" i="2"/>
  <c r="CE100" i="2"/>
  <c r="CE97" i="2"/>
  <c r="CE94" i="2"/>
  <c r="CE102" i="2"/>
  <c r="CE99" i="2"/>
  <c r="CE96" i="2"/>
  <c r="CE93" i="2"/>
  <c r="CE91" i="2"/>
  <c r="CE98" i="2"/>
  <c r="CE95" i="2"/>
  <c r="CE101" i="2"/>
  <c r="CE81" i="2"/>
  <c r="CE68" i="2"/>
  <c r="CQ290" i="2"/>
  <c r="CQ100" i="2"/>
  <c r="CQ97" i="2"/>
  <c r="CQ94" i="2"/>
  <c r="CQ102" i="2"/>
  <c r="CQ99" i="2"/>
  <c r="CQ96" i="2"/>
  <c r="CQ93" i="2"/>
  <c r="CQ91" i="2"/>
  <c r="CQ98" i="2"/>
  <c r="CQ95" i="2"/>
  <c r="CQ101" i="2"/>
  <c r="CQ81" i="2"/>
  <c r="DC290" i="2"/>
  <c r="DC100" i="2"/>
  <c r="DC97" i="2"/>
  <c r="DC94" i="2"/>
  <c r="DC102" i="2"/>
  <c r="DC99" i="2"/>
  <c r="DC96" i="2"/>
  <c r="DC93" i="2"/>
  <c r="DC91" i="2"/>
  <c r="DC101" i="2"/>
  <c r="DC81" i="2"/>
  <c r="DC98" i="2"/>
  <c r="DC95" i="2"/>
  <c r="DC68" i="2"/>
  <c r="DO290" i="2"/>
  <c r="DO100" i="2"/>
  <c r="DO97" i="2"/>
  <c r="DO94" i="2"/>
  <c r="DO102" i="2"/>
  <c r="DO99" i="2"/>
  <c r="DO96" i="2"/>
  <c r="DO93" i="2"/>
  <c r="DO91" i="2"/>
  <c r="DO98" i="2"/>
  <c r="DO95" i="2"/>
  <c r="DO101" i="2"/>
  <c r="DO81" i="2"/>
  <c r="DO68" i="2"/>
  <c r="EA290" i="2"/>
  <c r="EA100" i="2"/>
  <c r="EA97" i="2"/>
  <c r="EA94" i="2"/>
  <c r="EA102" i="2"/>
  <c r="EA99" i="2"/>
  <c r="EA96" i="2"/>
  <c r="EA93" i="2"/>
  <c r="EA91" i="2"/>
  <c r="EA98" i="2"/>
  <c r="EA95" i="2"/>
  <c r="EA101" i="2"/>
  <c r="EA81" i="2"/>
  <c r="EA68" i="2"/>
  <c r="EM290" i="2"/>
  <c r="EM100" i="2"/>
  <c r="EM97" i="2"/>
  <c r="EM94" i="2"/>
  <c r="EM102" i="2"/>
  <c r="EM99" i="2"/>
  <c r="EM96" i="2"/>
  <c r="EM93" i="2"/>
  <c r="EM91" i="2"/>
  <c r="EM101" i="2"/>
  <c r="EM81" i="2"/>
  <c r="EM98" i="2"/>
  <c r="EM95" i="2"/>
  <c r="FF3" i="2"/>
  <c r="FR3" i="2"/>
  <c r="GD3" i="2"/>
  <c r="GP3" i="2"/>
  <c r="HB3" i="2"/>
  <c r="HN3" i="2"/>
  <c r="HZ3" i="2"/>
  <c r="IL3" i="2"/>
  <c r="IX3" i="2"/>
  <c r="JJ3" i="2"/>
  <c r="JV3" i="2"/>
  <c r="LA3" i="2"/>
  <c r="LA92" i="2" s="1"/>
  <c r="LM3" i="2"/>
  <c r="LM92" i="2" s="1"/>
  <c r="LY3" i="2"/>
  <c r="LY92" i="2" s="1"/>
  <c r="MK3" i="2"/>
  <c r="MK92" i="2" s="1"/>
  <c r="OG3" i="2"/>
  <c r="OG92" i="2" s="1"/>
  <c r="OS3" i="2"/>
  <c r="OS92" i="2" s="1"/>
  <c r="PE3" i="2"/>
  <c r="PE92" i="2" s="1"/>
  <c r="K63" i="9"/>
  <c r="Q86" i="2"/>
  <c r="Q54" i="2"/>
  <c r="Q53" i="2"/>
  <c r="K87" i="9" s="1"/>
  <c r="W63" i="9"/>
  <c r="AC86" i="2"/>
  <c r="AC54" i="2"/>
  <c r="AC53" i="2"/>
  <c r="W87" i="9" s="1"/>
  <c r="AI63" i="9"/>
  <c r="AO54" i="2"/>
  <c r="AO53" i="2"/>
  <c r="AI87" i="9" s="1"/>
  <c r="AO86" i="2"/>
  <c r="AU63" i="9"/>
  <c r="BA86" i="2"/>
  <c r="BA54" i="2"/>
  <c r="BA53" i="2"/>
  <c r="AU87" i="9" s="1"/>
  <c r="BG63" i="9"/>
  <c r="BM86" i="2"/>
  <c r="BM54" i="2"/>
  <c r="BM53" i="2"/>
  <c r="BG87" i="9" s="1"/>
  <c r="BS63" i="9"/>
  <c r="BY86" i="2"/>
  <c r="BY54" i="2"/>
  <c r="BY53" i="2"/>
  <c r="BS87" i="9" s="1"/>
  <c r="CE63" i="9"/>
  <c r="CK54" i="2"/>
  <c r="CK53" i="2"/>
  <c r="CE87" i="9" s="1"/>
  <c r="CK86" i="2"/>
  <c r="CQ63" i="9"/>
  <c r="CW86" i="2"/>
  <c r="CW54" i="2"/>
  <c r="CW53" i="2"/>
  <c r="CQ87" i="9" s="1"/>
  <c r="DC63" i="9"/>
  <c r="DI54" i="2"/>
  <c r="DI86" i="2"/>
  <c r="DI53" i="2"/>
  <c r="DC87" i="9" s="1"/>
  <c r="DO63" i="9"/>
  <c r="DU86" i="2"/>
  <c r="DU54" i="2"/>
  <c r="DU53" i="2"/>
  <c r="DO87" i="9" s="1"/>
  <c r="EG54" i="2"/>
  <c r="EG53" i="2"/>
  <c r="EZ23" i="2"/>
  <c r="KJ23" i="2" s="1"/>
  <c r="FL23" i="2"/>
  <c r="KV23" i="2" s="1"/>
  <c r="FX23" i="2"/>
  <c r="LH23" i="2" s="1"/>
  <c r="GJ23" i="2"/>
  <c r="LT23" i="2" s="1"/>
  <c r="GV23" i="2"/>
  <c r="MF23" i="2" s="1"/>
  <c r="HH23" i="2"/>
  <c r="MR23" i="2" s="1"/>
  <c r="HT23" i="2"/>
  <c r="ND23" i="2" s="1"/>
  <c r="IF23" i="2"/>
  <c r="NP23" i="2" s="1"/>
  <c r="IR23" i="2"/>
  <c r="OB23" i="2" s="1"/>
  <c r="JD23" i="2"/>
  <c r="ON23" i="2" s="1"/>
  <c r="JP23" i="2"/>
  <c r="OZ23" i="2" s="1"/>
  <c r="AJ52" i="2"/>
  <c r="BT52" i="2"/>
  <c r="DD52" i="2"/>
  <c r="EN52" i="2"/>
  <c r="AL54" i="2"/>
  <c r="BV54" i="2"/>
  <c r="DF54" i="2"/>
  <c r="BF81" i="2"/>
  <c r="BP91" i="2"/>
  <c r="AQ102" i="2"/>
  <c r="C369" i="10"/>
  <c r="E369" i="10" s="1"/>
  <c r="C155" i="10"/>
  <c r="AO52" i="2"/>
  <c r="BY52" i="2"/>
  <c r="DI52" i="2"/>
  <c r="X53" i="2"/>
  <c r="R87" i="9" s="1"/>
  <c r="BH53" i="2"/>
  <c r="BB87" i="9" s="1"/>
  <c r="CR53" i="2"/>
  <c r="CL87" i="9" s="1"/>
  <c r="EB53" i="2"/>
  <c r="DV87" i="9" s="1"/>
  <c r="V68" i="2"/>
  <c r="BR68" i="2"/>
  <c r="DN68" i="2"/>
  <c r="BR81" i="2"/>
  <c r="X86" i="2"/>
  <c r="DJ91" i="2"/>
  <c r="BA102" i="2"/>
  <c r="H34" i="4"/>
  <c r="E108" i="2"/>
  <c r="V108" i="2" s="1"/>
  <c r="KB93" i="2"/>
  <c r="H37" i="4"/>
  <c r="E111" i="2"/>
  <c r="Y111" i="2" s="1"/>
  <c r="KB96" i="2"/>
  <c r="I39" i="4"/>
  <c r="I98" i="2"/>
  <c r="CS32" i="7"/>
  <c r="E40" i="4"/>
  <c r="EQ99" i="2"/>
  <c r="JX99" i="2" s="1"/>
  <c r="I99" i="2"/>
  <c r="I42" i="4"/>
  <c r="I101" i="2"/>
  <c r="CS35" i="7"/>
  <c r="E43" i="4"/>
  <c r="EQ102" i="2"/>
  <c r="EW102" i="2" s="1"/>
  <c r="I102" i="2"/>
  <c r="B10" i="9"/>
  <c r="C162" i="10" s="1"/>
  <c r="C66" i="2"/>
  <c r="E34" i="4"/>
  <c r="CS26" i="7"/>
  <c r="M163" i="2"/>
  <c r="EQ93" i="2"/>
  <c r="IQ93" i="2" s="1"/>
  <c r="I93" i="2"/>
  <c r="E105" i="2"/>
  <c r="G119" i="2" s="1"/>
  <c r="CS29" i="7"/>
  <c r="E37" i="4"/>
  <c r="EQ96" i="2"/>
  <c r="I96" i="2"/>
  <c r="H40" i="4"/>
  <c r="E114" i="2"/>
  <c r="W114" i="2" s="1"/>
  <c r="K42" i="4"/>
  <c r="KC101" i="2"/>
  <c r="K36" i="4"/>
  <c r="KC95" i="2"/>
  <c r="K39" i="4"/>
  <c r="KC98" i="2"/>
  <c r="KC104" i="2"/>
  <c r="CS37" i="7"/>
  <c r="E45" i="4"/>
  <c r="M165" i="2"/>
  <c r="EQ104" i="2"/>
  <c r="I104" i="2"/>
  <c r="H43" i="4"/>
  <c r="E117" i="2"/>
  <c r="AE117" i="2" s="1"/>
  <c r="K34" i="4"/>
  <c r="C281" i="2"/>
  <c r="E35" i="4"/>
  <c r="CS27" i="7"/>
  <c r="M166" i="2"/>
  <c r="CS30" i="7"/>
  <c r="E38" i="4"/>
  <c r="CS33" i="7"/>
  <c r="E41" i="4"/>
  <c r="KC94" i="2"/>
  <c r="KC97" i="2"/>
  <c r="H41" i="4"/>
  <c r="E115" i="2"/>
  <c r="AC115" i="2" s="1"/>
  <c r="KC100" i="2"/>
  <c r="CS36" i="7"/>
  <c r="E44" i="4"/>
  <c r="M164" i="2"/>
  <c r="E112" i="2"/>
  <c r="N112" i="2" s="1"/>
  <c r="KC103" i="2"/>
  <c r="I94" i="2"/>
  <c r="CS28" i="7"/>
  <c r="E36" i="4"/>
  <c r="KB95" i="2"/>
  <c r="I97" i="2"/>
  <c r="CS31" i="7"/>
  <c r="E39" i="4"/>
  <c r="I100" i="2"/>
  <c r="CS34" i="7"/>
  <c r="E42" i="4"/>
  <c r="H39" i="4"/>
  <c r="E113" i="2"/>
  <c r="R113" i="2" s="1"/>
  <c r="H42" i="4"/>
  <c r="E116" i="2"/>
  <c r="AE116" i="2" s="1"/>
  <c r="I103" i="2"/>
  <c r="F136" i="2"/>
  <c r="I138" i="2"/>
  <c r="E137" i="2"/>
  <c r="CR139" i="7"/>
  <c r="C9" i="7"/>
  <c r="R166" i="2"/>
  <c r="DB81" i="7"/>
  <c r="DA81" i="7"/>
  <c r="CZ81" i="7"/>
  <c r="CV81" i="7"/>
  <c r="CT81" i="7"/>
  <c r="CR81" i="7"/>
  <c r="DD81" i="7"/>
  <c r="DC81" i="7"/>
  <c r="CU81" i="7"/>
  <c r="CS81" i="7"/>
  <c r="G272" i="2"/>
  <c r="Q33" i="1" s="1"/>
  <c r="R165" i="2"/>
  <c r="T166" i="2"/>
  <c r="R169" i="2"/>
  <c r="B226" i="2"/>
  <c r="B225" i="2"/>
  <c r="N23" i="1" s="1"/>
  <c r="D225" i="2"/>
  <c r="DN2" i="7"/>
  <c r="C239" i="2"/>
  <c r="C244" i="2" s="1"/>
  <c r="C229" i="2"/>
  <c r="E225" i="2"/>
  <c r="H228" i="2"/>
  <c r="H235" i="2" s="1"/>
  <c r="I235" i="2" s="1"/>
  <c r="G225" i="2"/>
  <c r="Q23" i="1" s="1"/>
  <c r="B224" i="2"/>
  <c r="I225" i="2"/>
  <c r="S23" i="1" s="1"/>
  <c r="E251" i="2"/>
  <c r="N4" i="5"/>
  <c r="D137" i="8"/>
  <c r="M4" i="8"/>
  <c r="R19" i="8"/>
  <c r="Y71" i="7"/>
  <c r="D138" i="8"/>
  <c r="Y70" i="7"/>
  <c r="Y73" i="7"/>
  <c r="E268" i="10"/>
  <c r="E200" i="8"/>
  <c r="CR137" i="7"/>
  <c r="CS62" i="7"/>
  <c r="CS70" i="7" s="1"/>
  <c r="E34" i="7"/>
  <c r="GK65" i="7"/>
  <c r="AB65" i="7"/>
  <c r="Y65" i="7"/>
  <c r="AB64" i="7"/>
  <c r="Y64" i="7"/>
  <c r="GK64" i="7"/>
  <c r="AE64" i="7"/>
  <c r="Y72" i="7"/>
  <c r="B58" i="7"/>
  <c r="Y69" i="7"/>
  <c r="G199" i="8"/>
  <c r="E199" i="8"/>
  <c r="C457" i="10"/>
  <c r="B7" i="17"/>
  <c r="C456" i="10"/>
  <c r="I3" i="8"/>
  <c r="C458" i="10" s="1"/>
  <c r="B6" i="9"/>
  <c r="DN122" i="9" s="1"/>
  <c r="L2" i="9"/>
  <c r="AB60" i="7"/>
  <c r="F34" i="7"/>
  <c r="AE63" i="7"/>
  <c r="GK63" i="7"/>
  <c r="X62" i="7"/>
  <c r="G30" i="7"/>
  <c r="C62" i="7" s="1"/>
  <c r="AB61" i="7"/>
  <c r="Y61" i="7"/>
  <c r="Y62" i="7"/>
  <c r="GK62" i="7"/>
  <c r="GK60" i="7"/>
  <c r="GK61" i="7"/>
  <c r="AA62" i="7"/>
  <c r="C375" i="10"/>
  <c r="E375" i="10" s="1"/>
  <c r="D55" i="8"/>
  <c r="GK59" i="7"/>
  <c r="DU150" i="9"/>
  <c r="DI150" i="9"/>
  <c r="CW150" i="9"/>
  <c r="CK150" i="9"/>
  <c r="BY150" i="9"/>
  <c r="BM150" i="9"/>
  <c r="BA150" i="9"/>
  <c r="AO150" i="9"/>
  <c r="AC150" i="9"/>
  <c r="Q150" i="9"/>
  <c r="DT150" i="9"/>
  <c r="DH150" i="9"/>
  <c r="CV150" i="9"/>
  <c r="CJ150" i="9"/>
  <c r="BX150" i="9"/>
  <c r="BL150" i="9"/>
  <c r="AZ150" i="9"/>
  <c r="AN150" i="9"/>
  <c r="AB150" i="9"/>
  <c r="P150" i="9"/>
  <c r="DS150" i="9"/>
  <c r="DG150" i="9"/>
  <c r="CU150" i="9"/>
  <c r="CI150" i="9"/>
  <c r="BW150" i="9"/>
  <c r="BK150" i="9"/>
  <c r="AY150" i="9"/>
  <c r="AM150" i="9"/>
  <c r="AA150" i="9"/>
  <c r="O150" i="9"/>
  <c r="DR150" i="9"/>
  <c r="DF150" i="9"/>
  <c r="CT150" i="9"/>
  <c r="CH150" i="9"/>
  <c r="BV150" i="9"/>
  <c r="BJ150" i="9"/>
  <c r="AX150" i="9"/>
  <c r="AL150" i="9"/>
  <c r="Z150" i="9"/>
  <c r="N150" i="9"/>
  <c r="DP150" i="9"/>
  <c r="DD150" i="9"/>
  <c r="CR150" i="9"/>
  <c r="CF150" i="9"/>
  <c r="BT150" i="9"/>
  <c r="BH150" i="9"/>
  <c r="AV150" i="9"/>
  <c r="AJ150" i="9"/>
  <c r="X150" i="9"/>
  <c r="L150" i="9"/>
  <c r="DO150" i="9"/>
  <c r="DC150" i="9"/>
  <c r="CQ150" i="9"/>
  <c r="CE150" i="9"/>
  <c r="BS150" i="9"/>
  <c r="BG150" i="9"/>
  <c r="AU150" i="9"/>
  <c r="AI150" i="9"/>
  <c r="W150" i="9"/>
  <c r="K150" i="9"/>
  <c r="DN150" i="9"/>
  <c r="DB150" i="9"/>
  <c r="CP150" i="9"/>
  <c r="CD150" i="9"/>
  <c r="BR150" i="9"/>
  <c r="BF150" i="9"/>
  <c r="AT150" i="9"/>
  <c r="AH150" i="9"/>
  <c r="V150" i="9"/>
  <c r="J150" i="9"/>
  <c r="DM150" i="9"/>
  <c r="CM150" i="9"/>
  <c r="BI150" i="9"/>
  <c r="AF150" i="9"/>
  <c r="F150" i="9"/>
  <c r="DK150" i="9"/>
  <c r="CG150" i="9"/>
  <c r="BD150" i="9"/>
  <c r="AD150" i="9"/>
  <c r="DJ150" i="9"/>
  <c r="CC150" i="9"/>
  <c r="BC150" i="9"/>
  <c r="Y150" i="9"/>
  <c r="DE150" i="9"/>
  <c r="CB150" i="9"/>
  <c r="BB150" i="9"/>
  <c r="U150" i="9"/>
  <c r="DA150" i="9"/>
  <c r="CA150" i="9"/>
  <c r="AW150" i="9"/>
  <c r="T150" i="9"/>
  <c r="CZ150" i="9"/>
  <c r="BZ150" i="9"/>
  <c r="AS150" i="9"/>
  <c r="S150" i="9"/>
  <c r="CY150" i="9"/>
  <c r="BU150" i="9"/>
  <c r="AR150" i="9"/>
  <c r="R150" i="9"/>
  <c r="DV150" i="9"/>
  <c r="CO150" i="9"/>
  <c r="BO150" i="9"/>
  <c r="AK150" i="9"/>
  <c r="H150" i="9"/>
  <c r="DL150" i="9"/>
  <c r="AE150" i="9"/>
  <c r="CS150" i="9"/>
  <c r="I150" i="9"/>
  <c r="CN150" i="9"/>
  <c r="G150" i="9"/>
  <c r="CL150" i="9"/>
  <c r="BQ150" i="9"/>
  <c r="BE150" i="9"/>
  <c r="AG150" i="9"/>
  <c r="M150" i="9"/>
  <c r="BP150" i="9"/>
  <c r="BN150" i="9"/>
  <c r="AQ150" i="9"/>
  <c r="AP150" i="9"/>
  <c r="DL104" i="9"/>
  <c r="CZ104" i="9"/>
  <c r="CN104" i="9"/>
  <c r="CB104" i="9"/>
  <c r="BP104" i="9"/>
  <c r="BD104" i="9"/>
  <c r="AR104" i="9"/>
  <c r="AF104" i="9"/>
  <c r="T104" i="9"/>
  <c r="H104" i="9"/>
  <c r="DQ150" i="9"/>
  <c r="DV104" i="9"/>
  <c r="DJ104" i="9"/>
  <c r="CX104" i="9"/>
  <c r="CL104" i="9"/>
  <c r="BZ104" i="9"/>
  <c r="BN104" i="9"/>
  <c r="BB104" i="9"/>
  <c r="AP104" i="9"/>
  <c r="AD104" i="9"/>
  <c r="R104" i="9"/>
  <c r="F104" i="9"/>
  <c r="CX150" i="9"/>
  <c r="DT104" i="9"/>
  <c r="DH104" i="9"/>
  <c r="CV104" i="9"/>
  <c r="CJ104" i="9"/>
  <c r="BX104" i="9"/>
  <c r="BL104" i="9"/>
  <c r="AZ104" i="9"/>
  <c r="AN104" i="9"/>
  <c r="AB104" i="9"/>
  <c r="P104" i="9"/>
  <c r="DR104" i="9"/>
  <c r="DF104" i="9"/>
  <c r="CT104" i="9"/>
  <c r="CH104" i="9"/>
  <c r="BV104" i="9"/>
  <c r="BJ104" i="9"/>
  <c r="AX104" i="9"/>
  <c r="AL104" i="9"/>
  <c r="Z104" i="9"/>
  <c r="N104" i="9"/>
  <c r="DM104" i="9"/>
  <c r="CS104" i="9"/>
  <c r="CC104" i="9"/>
  <c r="BI104" i="9"/>
  <c r="AS104" i="9"/>
  <c r="Y104" i="9"/>
  <c r="I104" i="9"/>
  <c r="DK104" i="9"/>
  <c r="CR104" i="9"/>
  <c r="CA104" i="9"/>
  <c r="BH104" i="9"/>
  <c r="AQ104" i="9"/>
  <c r="X104" i="9"/>
  <c r="G104" i="9"/>
  <c r="DI104" i="9"/>
  <c r="CQ104" i="9"/>
  <c r="BY104" i="9"/>
  <c r="BG104" i="9"/>
  <c r="AO104" i="9"/>
  <c r="W104" i="9"/>
  <c r="DG104" i="9"/>
  <c r="CP104" i="9"/>
  <c r="BW104" i="9"/>
  <c r="BF104" i="9"/>
  <c r="AM104" i="9"/>
  <c r="V104" i="9"/>
  <c r="DU104" i="9"/>
  <c r="DC104" i="9"/>
  <c r="CK104" i="9"/>
  <c r="BS104" i="9"/>
  <c r="BA104" i="9"/>
  <c r="AI104" i="9"/>
  <c r="Q104" i="9"/>
  <c r="DS104" i="9"/>
  <c r="DB104" i="9"/>
  <c r="CI104" i="9"/>
  <c r="BR104" i="9"/>
  <c r="AY104" i="9"/>
  <c r="AH104" i="9"/>
  <c r="O104" i="9"/>
  <c r="CM104" i="9"/>
  <c r="BC104" i="9"/>
  <c r="S104" i="9"/>
  <c r="DQ104" i="9"/>
  <c r="CG104" i="9"/>
  <c r="AW104" i="9"/>
  <c r="M104" i="9"/>
  <c r="DP104" i="9"/>
  <c r="CF104" i="9"/>
  <c r="AV104" i="9"/>
  <c r="L104" i="9"/>
  <c r="DO104" i="9"/>
  <c r="CE104" i="9"/>
  <c r="AU104" i="9"/>
  <c r="K104" i="9"/>
  <c r="DD104" i="9"/>
  <c r="BT104" i="9"/>
  <c r="AJ104" i="9"/>
  <c r="CY104" i="9"/>
  <c r="BO104" i="9"/>
  <c r="AE104" i="9"/>
  <c r="BQ104" i="9"/>
  <c r="BM104" i="9"/>
  <c r="BK104" i="9"/>
  <c r="BE104" i="9"/>
  <c r="DN104" i="9"/>
  <c r="AT104" i="9"/>
  <c r="DA104" i="9"/>
  <c r="AG104" i="9"/>
  <c r="CU104" i="9"/>
  <c r="AA104" i="9"/>
  <c r="CD104" i="9"/>
  <c r="BU104" i="9"/>
  <c r="AK104" i="9"/>
  <c r="AC104" i="9"/>
  <c r="U104" i="9"/>
  <c r="J104" i="9"/>
  <c r="DE104" i="9"/>
  <c r="C177" i="10"/>
  <c r="DS152" i="9"/>
  <c r="DG152" i="9"/>
  <c r="CU152" i="9"/>
  <c r="CI152" i="9"/>
  <c r="BW152" i="9"/>
  <c r="BK152" i="9"/>
  <c r="AY152" i="9"/>
  <c r="AM152" i="9"/>
  <c r="AA152" i="9"/>
  <c r="O152" i="9"/>
  <c r="DR152" i="9"/>
  <c r="DF152" i="9"/>
  <c r="CT152" i="9"/>
  <c r="CH152" i="9"/>
  <c r="BV152" i="9"/>
  <c r="BJ152" i="9"/>
  <c r="AX152" i="9"/>
  <c r="AL152" i="9"/>
  <c r="Z152" i="9"/>
  <c r="N152" i="9"/>
  <c r="DQ152" i="9"/>
  <c r="DE152" i="9"/>
  <c r="CS152" i="9"/>
  <c r="CG152" i="9"/>
  <c r="BU152" i="9"/>
  <c r="BI152" i="9"/>
  <c r="AW152" i="9"/>
  <c r="AK152" i="9"/>
  <c r="Y152" i="9"/>
  <c r="M152" i="9"/>
  <c r="DP152" i="9"/>
  <c r="DD152" i="9"/>
  <c r="CR152" i="9"/>
  <c r="CF152" i="9"/>
  <c r="BT152" i="9"/>
  <c r="BH152" i="9"/>
  <c r="AV152" i="9"/>
  <c r="AJ152" i="9"/>
  <c r="X152" i="9"/>
  <c r="L152" i="9"/>
  <c r="DN152" i="9"/>
  <c r="DB152" i="9"/>
  <c r="CP152" i="9"/>
  <c r="CD152" i="9"/>
  <c r="BR152" i="9"/>
  <c r="BF152" i="9"/>
  <c r="AT152" i="9"/>
  <c r="AH152" i="9"/>
  <c r="V152" i="9"/>
  <c r="J152" i="9"/>
  <c r="DM152" i="9"/>
  <c r="DA152" i="9"/>
  <c r="CO152" i="9"/>
  <c r="CC152" i="9"/>
  <c r="BQ152" i="9"/>
  <c r="BE152" i="9"/>
  <c r="AS152" i="9"/>
  <c r="AG152" i="9"/>
  <c r="U152" i="9"/>
  <c r="I152" i="9"/>
  <c r="DL152" i="9"/>
  <c r="CZ152" i="9"/>
  <c r="CN152" i="9"/>
  <c r="CB152" i="9"/>
  <c r="BP152" i="9"/>
  <c r="BD152" i="9"/>
  <c r="AR152" i="9"/>
  <c r="AF152" i="9"/>
  <c r="T152" i="9"/>
  <c r="H152" i="9"/>
  <c r="DU152" i="9"/>
  <c r="DI152" i="9"/>
  <c r="CW152" i="9"/>
  <c r="CK152" i="9"/>
  <c r="BY152" i="9"/>
  <c r="BM152" i="9"/>
  <c r="BA152" i="9"/>
  <c r="AO152" i="9"/>
  <c r="AC152" i="9"/>
  <c r="Q152" i="9"/>
  <c r="CQ152" i="9"/>
  <c r="BG152" i="9"/>
  <c r="W152" i="9"/>
  <c r="DV152" i="9"/>
  <c r="CL152" i="9"/>
  <c r="BB152" i="9"/>
  <c r="R152" i="9"/>
  <c r="DT152" i="9"/>
  <c r="CJ152" i="9"/>
  <c r="AZ152" i="9"/>
  <c r="P152" i="9"/>
  <c r="DO152" i="9"/>
  <c r="CE152" i="9"/>
  <c r="AU152" i="9"/>
  <c r="K152" i="9"/>
  <c r="DK152" i="9"/>
  <c r="CA152" i="9"/>
  <c r="AQ152" i="9"/>
  <c r="G152" i="9"/>
  <c r="DJ152" i="9"/>
  <c r="BZ152" i="9"/>
  <c r="AP152" i="9"/>
  <c r="F152" i="9"/>
  <c r="DH152" i="9"/>
  <c r="BX152" i="9"/>
  <c r="AN152" i="9"/>
  <c r="CX152" i="9"/>
  <c r="BN152" i="9"/>
  <c r="AD152" i="9"/>
  <c r="BC152" i="9"/>
  <c r="AE152" i="9"/>
  <c r="AB152" i="9"/>
  <c r="S152" i="9"/>
  <c r="DC152" i="9"/>
  <c r="CM152" i="9"/>
  <c r="CY152" i="9"/>
  <c r="CV152" i="9"/>
  <c r="BS152" i="9"/>
  <c r="BO152" i="9"/>
  <c r="BL152" i="9"/>
  <c r="AI152" i="9"/>
  <c r="CW104" i="9"/>
  <c r="E8" i="11"/>
  <c r="HV55" i="2" l="1"/>
  <c r="NF3" i="2"/>
  <c r="NF92" i="2" s="1"/>
  <c r="W110" i="2"/>
  <c r="HV94" i="2"/>
  <c r="AE110" i="2"/>
  <c r="HV51" i="2"/>
  <c r="HV97" i="2"/>
  <c r="X110" i="2"/>
  <c r="R110" i="2"/>
  <c r="AH110" i="2"/>
  <c r="U110" i="2"/>
  <c r="C13" i="7"/>
  <c r="V110" i="2"/>
  <c r="AB110" i="2"/>
  <c r="N110" i="2"/>
  <c r="AF110" i="2"/>
  <c r="AD110" i="2"/>
  <c r="S110" i="2"/>
  <c r="AI110" i="2"/>
  <c r="AG110" i="2"/>
  <c r="T110" i="2"/>
  <c r="Z110" i="2"/>
  <c r="CQ3" i="7"/>
  <c r="ES10" i="7"/>
  <c r="MG30" i="2"/>
  <c r="PE34" i="2"/>
  <c r="CW87" i="2"/>
  <c r="AQ87" i="2"/>
  <c r="AK64" i="9"/>
  <c r="AK66" i="9" s="1"/>
  <c r="AD59" i="7"/>
  <c r="AA63" i="7"/>
  <c r="GJ61" i="7"/>
  <c r="OO30" i="2"/>
  <c r="AD61" i="7"/>
  <c r="G29" i="7"/>
  <c r="C61" i="7" s="1"/>
  <c r="CR65" i="7" s="1"/>
  <c r="LI27" i="2"/>
  <c r="KZ30" i="2"/>
  <c r="AA61" i="7"/>
  <c r="IH98" i="2"/>
  <c r="IG24" i="2"/>
  <c r="NQ24" i="2" s="1"/>
  <c r="NR3" i="2"/>
  <c r="NR92" i="2" s="1"/>
  <c r="ES46" i="2"/>
  <c r="EU46" i="2" s="1"/>
  <c r="CW4" i="2"/>
  <c r="KC35" i="2"/>
  <c r="KD35" i="2" s="1"/>
  <c r="X63" i="7"/>
  <c r="G31" i="7"/>
  <c r="C63" i="7" s="1"/>
  <c r="CR67" i="7" s="1"/>
  <c r="GJ63" i="7"/>
  <c r="P87" i="2"/>
  <c r="EZ24" i="2"/>
  <c r="KJ24" i="2" s="1"/>
  <c r="FE55" i="2"/>
  <c r="FE100" i="2"/>
  <c r="JC101" i="2"/>
  <c r="JC98" i="2"/>
  <c r="FE197" i="2"/>
  <c r="X64" i="7"/>
  <c r="GA24" i="2"/>
  <c r="LK24" i="2" s="1"/>
  <c r="G26" i="7"/>
  <c r="C58" i="7" s="1"/>
  <c r="GJ64" i="7"/>
  <c r="G32" i="7"/>
  <c r="C64" i="7" s="1"/>
  <c r="CR68" i="7" s="1"/>
  <c r="AD64" i="7"/>
  <c r="JC194" i="2"/>
  <c r="OM3" i="2"/>
  <c r="OM92" i="2" s="1"/>
  <c r="KF34" i="2"/>
  <c r="JC97" i="2"/>
  <c r="JC95" i="2"/>
  <c r="Q110" i="2"/>
  <c r="JC197" i="2"/>
  <c r="Y110" i="2"/>
  <c r="G43" i="2"/>
  <c r="MW3" i="2"/>
  <c r="MW92" i="2" s="1"/>
  <c r="JC55" i="2"/>
  <c r="AJ110" i="2"/>
  <c r="JC51" i="2"/>
  <c r="N3" i="4"/>
  <c r="AA110" i="2"/>
  <c r="IA51" i="2"/>
  <c r="AC110" i="2"/>
  <c r="M110" i="2"/>
  <c r="L110" i="2"/>
  <c r="JC94" i="2"/>
  <c r="IA94" i="2"/>
  <c r="P110" i="2"/>
  <c r="IA97" i="2"/>
  <c r="HM55" i="2"/>
  <c r="HM194" i="2"/>
  <c r="X59" i="7"/>
  <c r="NK3" i="2"/>
  <c r="NK92" i="2" s="1"/>
  <c r="IA55" i="2"/>
  <c r="IA100" i="2"/>
  <c r="JF55" i="2"/>
  <c r="HM94" i="2"/>
  <c r="CS64" i="9"/>
  <c r="CS68" i="9" s="1"/>
  <c r="HM97" i="2"/>
  <c r="IA95" i="2"/>
  <c r="HM100" i="2"/>
  <c r="IA98" i="2"/>
  <c r="HM95" i="2"/>
  <c r="IA101" i="2"/>
  <c r="HM98" i="2"/>
  <c r="IA194" i="2"/>
  <c r="HM101" i="2"/>
  <c r="HM197" i="2"/>
  <c r="JF98" i="2"/>
  <c r="GL100" i="2"/>
  <c r="GL197" i="2"/>
  <c r="HS55" i="2"/>
  <c r="HS51" i="2"/>
  <c r="LV3" i="2"/>
  <c r="LV92" i="2" s="1"/>
  <c r="NS28" i="2"/>
  <c r="IK100" i="2"/>
  <c r="MQ28" i="2"/>
  <c r="NX34" i="2"/>
  <c r="HY95" i="2"/>
  <c r="BX4" i="2"/>
  <c r="LV30" i="2"/>
  <c r="LP30" i="2"/>
  <c r="AY4" i="2"/>
  <c r="IK55" i="2"/>
  <c r="AY87" i="2"/>
  <c r="OE30" i="2"/>
  <c r="KM30" i="2"/>
  <c r="OY30" i="2"/>
  <c r="NF30" i="2"/>
  <c r="AD58" i="7"/>
  <c r="HY98" i="2"/>
  <c r="GL194" i="2"/>
  <c r="NC3" i="2"/>
  <c r="NC92" i="2" s="1"/>
  <c r="NQ28" i="2"/>
  <c r="OV28" i="2"/>
  <c r="GL55" i="2"/>
  <c r="IK94" i="2"/>
  <c r="HS94" i="2"/>
  <c r="GE51" i="2"/>
  <c r="M26" i="1"/>
  <c r="DS122" i="9"/>
  <c r="IK97" i="2"/>
  <c r="HS97" i="2"/>
  <c r="GE94" i="2"/>
  <c r="FW97" i="2"/>
  <c r="IK95" i="2"/>
  <c r="GL101" i="2"/>
  <c r="HS100" i="2"/>
  <c r="GE97" i="2"/>
  <c r="FW194" i="2"/>
  <c r="BG122" i="9"/>
  <c r="IK98" i="2"/>
  <c r="GL51" i="2"/>
  <c r="MQ30" i="2"/>
  <c r="HS95" i="2"/>
  <c r="FW197" i="2"/>
  <c r="AZ122" i="9"/>
  <c r="NU3" i="2"/>
  <c r="NU92" i="2" s="1"/>
  <c r="IK101" i="2"/>
  <c r="GL98" i="2"/>
  <c r="BT137" i="2"/>
  <c r="HS98" i="2"/>
  <c r="NX28" i="2"/>
  <c r="IY95" i="2"/>
  <c r="X58" i="7"/>
  <c r="IK197" i="2"/>
  <c r="GL95" i="2"/>
  <c r="BT135" i="2"/>
  <c r="HS101" i="2"/>
  <c r="BY87" i="2"/>
  <c r="GJ58" i="7"/>
  <c r="IK194" i="2"/>
  <c r="GL94" i="2"/>
  <c r="BT136" i="2"/>
  <c r="JK101" i="2"/>
  <c r="HS197" i="2"/>
  <c r="EF4" i="2"/>
  <c r="HY94" i="2"/>
  <c r="JK194" i="2"/>
  <c r="EF87" i="2"/>
  <c r="NC30" i="2"/>
  <c r="JW95" i="2"/>
  <c r="KL28" i="2"/>
  <c r="MJ28" i="2"/>
  <c r="KN30" i="2"/>
  <c r="LW30" i="2"/>
  <c r="PB30" i="2"/>
  <c r="CM122" i="9"/>
  <c r="HY97" i="2"/>
  <c r="JK197" i="2"/>
  <c r="GE100" i="2"/>
  <c r="BS64" i="9"/>
  <c r="MB28" i="2"/>
  <c r="MG28" i="2"/>
  <c r="NC28" i="2"/>
  <c r="JW98" i="2"/>
  <c r="NQ30" i="2"/>
  <c r="KN28" i="2"/>
  <c r="LW28" i="2"/>
  <c r="PB28" i="2"/>
  <c r="NS30" i="2"/>
  <c r="OO28" i="2"/>
  <c r="KM28" i="2"/>
  <c r="HY101" i="2"/>
  <c r="GE95" i="2"/>
  <c r="OJ30" i="2"/>
  <c r="NO30" i="2"/>
  <c r="NX30" i="2"/>
  <c r="PE30" i="2"/>
  <c r="KR30" i="2"/>
  <c r="NU28" i="2"/>
  <c r="PD30" i="2"/>
  <c r="LX30" i="2"/>
  <c r="OE28" i="2"/>
  <c r="HY197" i="2"/>
  <c r="NE30" i="2"/>
  <c r="HI24" i="2"/>
  <c r="MS24" i="2" s="1"/>
  <c r="JK55" i="2"/>
  <c r="GE98" i="2"/>
  <c r="LY30" i="2"/>
  <c r="NO28" i="2"/>
  <c r="PE28" i="2"/>
  <c r="Q4" i="2"/>
  <c r="OG30" i="2"/>
  <c r="MU30" i="2"/>
  <c r="PD28" i="2"/>
  <c r="LX28" i="2"/>
  <c r="KZ28" i="2"/>
  <c r="NU30" i="2"/>
  <c r="LV28" i="2"/>
  <c r="HY194" i="2"/>
  <c r="NE28" i="2"/>
  <c r="JK51" i="2"/>
  <c r="MN30" i="2"/>
  <c r="GE101" i="2"/>
  <c r="LY28" i="2"/>
  <c r="Q87" i="2"/>
  <c r="OG28" i="2"/>
  <c r="MU28" i="2"/>
  <c r="MW30" i="2"/>
  <c r="PC30" i="2"/>
  <c r="NF28" i="2"/>
  <c r="NI3" i="2"/>
  <c r="NI92" i="2" s="1"/>
  <c r="NL30" i="2"/>
  <c r="JK100" i="2"/>
  <c r="GE194" i="2"/>
  <c r="OV30" i="2"/>
  <c r="OM30" i="2"/>
  <c r="DS10" i="7"/>
  <c r="NR30" i="2"/>
  <c r="OR30" i="2"/>
  <c r="MW28" i="2"/>
  <c r="PC28" i="2"/>
  <c r="MZ28" i="2"/>
  <c r="KF30" i="2"/>
  <c r="JK94" i="2"/>
  <c r="LO3" i="2"/>
  <c r="LO92" i="2" s="1"/>
  <c r="GE197" i="2"/>
  <c r="OM28" i="2"/>
  <c r="K64" i="9"/>
  <c r="L65" i="9" s="1"/>
  <c r="LG30" i="2"/>
  <c r="NR28" i="2"/>
  <c r="OR28" i="2"/>
  <c r="KO30" i="2"/>
  <c r="OC30" i="2"/>
  <c r="LD28" i="2"/>
  <c r="ME30" i="2"/>
  <c r="OY28" i="2"/>
  <c r="X69" i="7"/>
  <c r="OJ28" i="2"/>
  <c r="KI30" i="2"/>
  <c r="JK97" i="2"/>
  <c r="MB30" i="2"/>
  <c r="LG28" i="2"/>
  <c r="MS30" i="2"/>
  <c r="LI30" i="2"/>
  <c r="KO28" i="2"/>
  <c r="OC28" i="2"/>
  <c r="LU28" i="2"/>
  <c r="LP28" i="2"/>
  <c r="X70" i="7"/>
  <c r="HY55" i="2"/>
  <c r="MN28" i="2"/>
  <c r="KI28" i="2"/>
  <c r="NI30" i="2"/>
  <c r="JK95" i="2"/>
  <c r="LS30" i="2"/>
  <c r="OF30" i="2"/>
  <c r="MT30" i="2"/>
  <c r="MS28" i="2"/>
  <c r="LI28" i="2"/>
  <c r="NT30" i="2"/>
  <c r="MV30" i="2"/>
  <c r="GE96" i="2"/>
  <c r="HY100" i="2"/>
  <c r="KR28" i="2"/>
  <c r="NI28" i="2"/>
  <c r="JK98" i="2"/>
  <c r="LS28" i="2"/>
  <c r="OF28" i="2"/>
  <c r="MT28" i="2"/>
  <c r="KL30" i="2"/>
  <c r="NT28" i="2"/>
  <c r="MV28" i="2"/>
  <c r="PH30" i="2"/>
  <c r="CZ122" i="9"/>
  <c r="BY122" i="9"/>
  <c r="AG122" i="9"/>
  <c r="CY122" i="9"/>
  <c r="NL28" i="2"/>
  <c r="X73" i="7"/>
  <c r="AW122" i="9"/>
  <c r="CT122" i="9"/>
  <c r="BQ122" i="9"/>
  <c r="FE94" i="2"/>
  <c r="ME28" i="2"/>
  <c r="FE97" i="2"/>
  <c r="IH24" i="2"/>
  <c r="NR24" i="2" s="1"/>
  <c r="OY34" i="2"/>
  <c r="LG3" i="2"/>
  <c r="LG92" i="2" s="1"/>
  <c r="GJ59" i="7"/>
  <c r="BI122" i="9"/>
  <c r="CO122" i="9"/>
  <c r="BK122" i="9"/>
  <c r="Q122" i="9"/>
  <c r="J122" i="9"/>
  <c r="FE95" i="2"/>
  <c r="KI34" i="2"/>
  <c r="OY29" i="2"/>
  <c r="FW55" i="2"/>
  <c r="OO34" i="2"/>
  <c r="NT34" i="2"/>
  <c r="CA122" i="9"/>
  <c r="G27" i="7"/>
  <c r="C59" i="7" s="1"/>
  <c r="CR63" i="7" s="1"/>
  <c r="CH122" i="9"/>
  <c r="AO122" i="9"/>
  <c r="A10" i="8"/>
  <c r="FE98" i="2"/>
  <c r="KI29" i="2"/>
  <c r="KW34" i="2"/>
  <c r="OJ34" i="2"/>
  <c r="FW51" i="2"/>
  <c r="OA34" i="2"/>
  <c r="K122" i="9"/>
  <c r="BM122" i="9"/>
  <c r="X71" i="7"/>
  <c r="FE101" i="2"/>
  <c r="NF34" i="2"/>
  <c r="FW94" i="2"/>
  <c r="DG122" i="9"/>
  <c r="DU122" i="9"/>
  <c r="GJ60" i="7"/>
  <c r="Q19" i="8"/>
  <c r="KO3" i="2"/>
  <c r="KO92" i="2" s="1"/>
  <c r="FE194" i="2"/>
  <c r="AM136" i="2"/>
  <c r="FW100" i="2"/>
  <c r="X60" i="7"/>
  <c r="BL122" i="9"/>
  <c r="L122" i="9"/>
  <c r="H122" i="9"/>
  <c r="NO34" i="2"/>
  <c r="FW95" i="2"/>
  <c r="KM34" i="2"/>
  <c r="X72" i="7"/>
  <c r="CJ122" i="9"/>
  <c r="BU122" i="9"/>
  <c r="AR122" i="9"/>
  <c r="D136" i="8"/>
  <c r="AM124" i="2"/>
  <c r="MQ34" i="2"/>
  <c r="FW98" i="2"/>
  <c r="LV34" i="2"/>
  <c r="CV122" i="9"/>
  <c r="M122" i="9"/>
  <c r="CN122" i="9"/>
  <c r="NE34" i="2"/>
  <c r="MQ29" i="2"/>
  <c r="IH51" i="2"/>
  <c r="BX87" i="2"/>
  <c r="IH101" i="2"/>
  <c r="BR64" i="9"/>
  <c r="IH95" i="2"/>
  <c r="PH28" i="2"/>
  <c r="IH94" i="2"/>
  <c r="BW4" i="2"/>
  <c r="IH97" i="2"/>
  <c r="BW87" i="2"/>
  <c r="IH100" i="2"/>
  <c r="BQ64" i="9"/>
  <c r="IH194" i="2"/>
  <c r="IH197" i="2"/>
  <c r="PH34" i="2"/>
  <c r="FQ93" i="2"/>
  <c r="JF95" i="2"/>
  <c r="LS3" i="2"/>
  <c r="LS92" i="2" s="1"/>
  <c r="IY98" i="2"/>
  <c r="MW34" i="2"/>
  <c r="PB34" i="2"/>
  <c r="KK34" i="2"/>
  <c r="JF94" i="2"/>
  <c r="OA30" i="2"/>
  <c r="GI55" i="2"/>
  <c r="IY101" i="2"/>
  <c r="KU34" i="2"/>
  <c r="LU34" i="2"/>
  <c r="JF97" i="2"/>
  <c r="OA28" i="2"/>
  <c r="GI51" i="2"/>
  <c r="IY197" i="2"/>
  <c r="JF100" i="2"/>
  <c r="GI94" i="2"/>
  <c r="MZ34" i="2"/>
  <c r="IY194" i="2"/>
  <c r="ER35" i="2"/>
  <c r="AE66" i="7"/>
  <c r="JF194" i="2"/>
  <c r="GI97" i="2"/>
  <c r="PC34" i="2"/>
  <c r="KW29" i="2"/>
  <c r="OP3" i="2"/>
  <c r="OP92" i="2" s="1"/>
  <c r="JF197" i="2"/>
  <c r="GI100" i="2"/>
  <c r="OI3" i="2"/>
  <c r="OI92" i="2" s="1"/>
  <c r="GI95" i="2"/>
  <c r="IY55" i="2"/>
  <c r="PA34" i="2"/>
  <c r="GI98" i="2"/>
  <c r="IY51" i="2"/>
  <c r="ER46" i="2"/>
  <c r="GI101" i="2"/>
  <c r="IY100" i="2"/>
  <c r="II24" i="2"/>
  <c r="NS24" i="2" s="1"/>
  <c r="KN34" i="2"/>
  <c r="JF101" i="2"/>
  <c r="GI194" i="2"/>
  <c r="IY94" i="2"/>
  <c r="CY4" i="2"/>
  <c r="ER10" i="7"/>
  <c r="E38" i="2"/>
  <c r="Y109" i="2"/>
  <c r="G66" i="2"/>
  <c r="HV101" i="2"/>
  <c r="G27" i="2"/>
  <c r="NL34" i="2"/>
  <c r="LP34" i="2"/>
  <c r="OF34" i="2"/>
  <c r="JW101" i="2"/>
  <c r="FA10" i="7"/>
  <c r="O109" i="2"/>
  <c r="KL34" i="2"/>
  <c r="OR34" i="2"/>
  <c r="PD34" i="2"/>
  <c r="E21" i="2"/>
  <c r="H74" i="2"/>
  <c r="JW197" i="2"/>
  <c r="P109" i="2"/>
  <c r="G37" i="2"/>
  <c r="AI109" i="2"/>
  <c r="AF109" i="2"/>
  <c r="HV98" i="2"/>
  <c r="AC109" i="2"/>
  <c r="AP4" i="2"/>
  <c r="KW30" i="2"/>
  <c r="G28" i="2"/>
  <c r="MN34" i="2"/>
  <c r="LY34" i="2"/>
  <c r="JW194" i="2"/>
  <c r="ME34" i="2"/>
  <c r="MT34" i="2"/>
  <c r="OC34" i="2"/>
  <c r="NS34" i="2"/>
  <c r="G29" i="2"/>
  <c r="C368" i="10"/>
  <c r="E368" i="10" s="1"/>
  <c r="V109" i="2"/>
  <c r="AE109" i="2"/>
  <c r="X109" i="2"/>
  <c r="U109" i="2"/>
  <c r="S109" i="2"/>
  <c r="AS64" i="9"/>
  <c r="G116" i="2"/>
  <c r="I116" i="2" s="1"/>
  <c r="H116" i="2" s="1"/>
  <c r="AR117" i="2"/>
  <c r="HV95" i="2"/>
  <c r="AP87" i="2"/>
  <c r="KW28" i="2"/>
  <c r="JG24" i="2"/>
  <c r="OQ24" i="2" s="1"/>
  <c r="LS34" i="2"/>
  <c r="M109" i="2"/>
  <c r="L109" i="2"/>
  <c r="P4" i="2"/>
  <c r="LU30" i="2"/>
  <c r="NQ34" i="2"/>
  <c r="LI34" i="2"/>
  <c r="G35" i="2"/>
  <c r="Q109" i="2"/>
  <c r="AJ64" i="9"/>
  <c r="CX4" i="2"/>
  <c r="DW87" i="2"/>
  <c r="KU30" i="2"/>
  <c r="NC34" i="2"/>
  <c r="JW55" i="2"/>
  <c r="DR10" i="7"/>
  <c r="MZ30" i="2"/>
  <c r="LG34" i="2"/>
  <c r="OE34" i="2"/>
  <c r="MV34" i="2"/>
  <c r="AD60" i="7"/>
  <c r="AA60" i="7"/>
  <c r="DW4" i="2"/>
  <c r="AJ109" i="2"/>
  <c r="G30" i="2"/>
  <c r="G44" i="2"/>
  <c r="AH109" i="2"/>
  <c r="HV100" i="2"/>
  <c r="CX87" i="2"/>
  <c r="MG34" i="2"/>
  <c r="R4" i="2"/>
  <c r="KU28" i="2"/>
  <c r="JW51" i="2"/>
  <c r="KK30" i="2"/>
  <c r="NR34" i="2"/>
  <c r="NU34" i="2"/>
  <c r="MJ34" i="2"/>
  <c r="T109" i="2"/>
  <c r="G52" i="2"/>
  <c r="W109" i="2"/>
  <c r="HV197" i="2"/>
  <c r="AD109" i="2"/>
  <c r="R87" i="2"/>
  <c r="OM34" i="2"/>
  <c r="Z109" i="2"/>
  <c r="JW100" i="2"/>
  <c r="KK28" i="2"/>
  <c r="KO34" i="2"/>
  <c r="E18" i="2"/>
  <c r="I20" i="2" s="1"/>
  <c r="G41" i="2"/>
  <c r="G45" i="2"/>
  <c r="NI34" i="2"/>
  <c r="LD34" i="2"/>
  <c r="DT10" i="7"/>
  <c r="MB34" i="2"/>
  <c r="JO24" i="2"/>
  <c r="OY24" i="2" s="1"/>
  <c r="KR34" i="2"/>
  <c r="JW94" i="2"/>
  <c r="AB109" i="2"/>
  <c r="AA109" i="2"/>
  <c r="N109" i="2"/>
  <c r="OG34" i="2"/>
  <c r="LX34" i="2"/>
  <c r="LW34" i="2"/>
  <c r="G34" i="2"/>
  <c r="I19" i="2"/>
  <c r="G46" i="2"/>
  <c r="G53" i="2"/>
  <c r="AG109" i="2"/>
  <c r="FB24" i="2"/>
  <c r="KL24" i="2" s="1"/>
  <c r="LD30" i="2"/>
  <c r="OV34" i="2"/>
  <c r="KZ34" i="2"/>
  <c r="JW97" i="2"/>
  <c r="MS34" i="2"/>
  <c r="MU34" i="2"/>
  <c r="G36" i="2"/>
  <c r="E20" i="2"/>
  <c r="G122" i="9"/>
  <c r="AX122" i="9"/>
  <c r="DP122" i="9"/>
  <c r="BP122" i="9"/>
  <c r="GC102" i="2"/>
  <c r="NE29" i="2"/>
  <c r="AF112" i="2"/>
  <c r="NE27" i="2"/>
  <c r="AG112" i="2"/>
  <c r="AC55" i="2"/>
  <c r="EE4" i="2"/>
  <c r="FV93" i="2"/>
  <c r="AC112" i="2"/>
  <c r="JX102" i="2"/>
  <c r="IZ93" i="2"/>
  <c r="HD93" i="2"/>
  <c r="GR93" i="2"/>
  <c r="AQ116" i="2"/>
  <c r="AB112" i="2"/>
  <c r="O108" i="2"/>
  <c r="C54" i="2"/>
  <c r="KF28" i="2"/>
  <c r="BF122" i="9"/>
  <c r="PA30" i="2"/>
  <c r="BO122" i="9"/>
  <c r="CR122" i="9"/>
  <c r="BB122" i="9"/>
  <c r="AI114" i="2"/>
  <c r="AM122" i="9"/>
  <c r="BW122" i="9"/>
  <c r="BZ122" i="9"/>
  <c r="CP122" i="9"/>
  <c r="H66" i="2"/>
  <c r="W111" i="2"/>
  <c r="JI93" i="2"/>
  <c r="AQ122" i="9"/>
  <c r="O122" i="9"/>
  <c r="CL122" i="9"/>
  <c r="T112" i="2"/>
  <c r="AD112" i="2"/>
  <c r="PA28" i="2"/>
  <c r="LD27" i="2"/>
  <c r="AM112" i="2"/>
  <c r="G109" i="2"/>
  <c r="I109" i="2" s="1"/>
  <c r="H109" i="2" s="1"/>
  <c r="G114" i="2"/>
  <c r="I114" i="2" s="1"/>
  <c r="H114" i="2" s="1"/>
  <c r="V112" i="2"/>
  <c r="AG116" i="2"/>
  <c r="HV102" i="2"/>
  <c r="S116" i="2"/>
  <c r="AD117" i="2"/>
  <c r="AC82" i="4"/>
  <c r="KI27" i="2"/>
  <c r="L114" i="2"/>
  <c r="X117" i="2"/>
  <c r="IQ96" i="2"/>
  <c r="P114" i="2"/>
  <c r="IY102" i="2"/>
  <c r="AM117" i="2"/>
  <c r="O113" i="2"/>
  <c r="AJ114" i="2"/>
  <c r="HJ99" i="2"/>
  <c r="G110" i="2"/>
  <c r="I110" i="2" s="1"/>
  <c r="H110" i="2" s="1"/>
  <c r="G111" i="2"/>
  <c r="I111" i="2" s="1"/>
  <c r="H111" i="2" s="1"/>
  <c r="AG115" i="2"/>
  <c r="IH96" i="2"/>
  <c r="S117" i="2"/>
  <c r="AP116" i="2"/>
  <c r="AC114" i="2"/>
  <c r="AL113" i="2"/>
  <c r="GH99" i="2"/>
  <c r="Z108" i="2"/>
  <c r="KR27" i="2"/>
  <c r="P112" i="2"/>
  <c r="AM116" i="2"/>
  <c r="Y114" i="2"/>
  <c r="PA27" i="2"/>
  <c r="GR99" i="2"/>
  <c r="EV99" i="2"/>
  <c r="NQ27" i="2"/>
  <c r="KW27" i="2"/>
  <c r="FZ93" i="2"/>
  <c r="CK55" i="2"/>
  <c r="JM102" i="2"/>
  <c r="AL114" i="2"/>
  <c r="OJ27" i="2"/>
  <c r="HO99" i="2"/>
  <c r="JO99" i="2"/>
  <c r="O112" i="2"/>
  <c r="PD27" i="2"/>
  <c r="JK99" i="2"/>
  <c r="AF111" i="2"/>
  <c r="AF116" i="2"/>
  <c r="GK53" i="2"/>
  <c r="MQ27" i="2"/>
  <c r="M112" i="2"/>
  <c r="P113" i="2"/>
  <c r="AK114" i="2"/>
  <c r="JU102" i="2"/>
  <c r="HA99" i="2"/>
  <c r="JF93" i="2"/>
  <c r="IT102" i="2"/>
  <c r="R116" i="2"/>
  <c r="JM99" i="2"/>
  <c r="FS93" i="2"/>
  <c r="LY27" i="2"/>
  <c r="AN116" i="2"/>
  <c r="CF55" i="2"/>
  <c r="N113" i="2"/>
  <c r="LW27" i="2"/>
  <c r="AM134" i="2"/>
  <c r="G115" i="2"/>
  <c r="I115" i="2" s="1"/>
  <c r="H115" i="2" s="1"/>
  <c r="AS116" i="2"/>
  <c r="U112" i="2"/>
  <c r="JF102" i="2"/>
  <c r="AP117" i="2"/>
  <c r="AM88" i="2"/>
  <c r="NI27" i="2"/>
  <c r="MN27" i="2"/>
  <c r="OV27" i="2"/>
  <c r="FG99" i="2"/>
  <c r="NX29" i="2"/>
  <c r="EG124" i="2"/>
  <c r="AA115" i="2"/>
  <c r="N117" i="2"/>
  <c r="MT27" i="2"/>
  <c r="F5" i="1"/>
  <c r="B3" i="1"/>
  <c r="IW99" i="2"/>
  <c r="GO99" i="2"/>
  <c r="H123" i="2"/>
  <c r="I145" i="2"/>
  <c r="W108" i="2"/>
  <c r="HM93" i="2"/>
  <c r="AH112" i="2"/>
  <c r="T108" i="2"/>
  <c r="JR102" i="2"/>
  <c r="GL96" i="2"/>
  <c r="AE108" i="2"/>
  <c r="AO113" i="2"/>
  <c r="Q113" i="2"/>
  <c r="AM89" i="2"/>
  <c r="AC83" i="4" s="1"/>
  <c r="AC84" i="4" s="1"/>
  <c r="FK99" i="2"/>
  <c r="JW93" i="2"/>
  <c r="ME29" i="2"/>
  <c r="OG27" i="2"/>
  <c r="G108" i="2"/>
  <c r="AH116" i="2"/>
  <c r="U111" i="2"/>
  <c r="GX93" i="2"/>
  <c r="AE113" i="2"/>
  <c r="AM137" i="2"/>
  <c r="FK96" i="2"/>
  <c r="GE102" i="2"/>
  <c r="AL111" i="2"/>
  <c r="L111" i="2"/>
  <c r="L117" i="2"/>
  <c r="FW102" i="2"/>
  <c r="Z113" i="2"/>
  <c r="JW99" i="2"/>
  <c r="GQ102" i="2"/>
  <c r="AB117" i="2"/>
  <c r="AA112" i="2"/>
  <c r="IA99" i="2"/>
  <c r="G113" i="2"/>
  <c r="I113" i="2" s="1"/>
  <c r="H113" i="2" s="1"/>
  <c r="G118" i="2"/>
  <c r="I118" i="2" s="1"/>
  <c r="H118" i="2" s="1"/>
  <c r="G112" i="2"/>
  <c r="I112" i="2" s="1"/>
  <c r="H112" i="2" s="1"/>
  <c r="H145" i="2"/>
  <c r="HY102" i="2"/>
  <c r="FE99" i="2"/>
  <c r="AG108" i="2"/>
  <c r="GX99" i="2"/>
  <c r="AP113" i="2"/>
  <c r="HP53" i="2"/>
  <c r="AC111" i="2"/>
  <c r="AM125" i="2"/>
  <c r="MG29" i="2"/>
  <c r="IQ102" i="2"/>
  <c r="MU27" i="2"/>
  <c r="KM27" i="2"/>
  <c r="IK99" i="2"/>
  <c r="AI115" i="2"/>
  <c r="AR116" i="2"/>
  <c r="T116" i="2"/>
  <c r="KZ27" i="2"/>
  <c r="JC102" i="2"/>
  <c r="JN102" i="2"/>
  <c r="JP53" i="2"/>
  <c r="EF55" i="2"/>
  <c r="BB82" i="4"/>
  <c r="BL135" i="2"/>
  <c r="BL137" i="2"/>
  <c r="BL136" i="2"/>
  <c r="BL89" i="2"/>
  <c r="BL88" i="2" s="1"/>
  <c r="O82" i="4"/>
  <c r="Y124" i="2"/>
  <c r="Y136" i="2"/>
  <c r="Y135" i="2"/>
  <c r="Y125" i="2"/>
  <c r="Y123" i="2"/>
  <c r="Y137" i="2"/>
  <c r="Y89" i="2"/>
  <c r="Y134" i="2"/>
  <c r="Y88" i="2"/>
  <c r="GM136" i="2"/>
  <c r="GM137" i="2" s="1"/>
  <c r="FE53" i="2"/>
  <c r="U55" i="2"/>
  <c r="EJ137" i="2"/>
  <c r="EJ136" i="2"/>
  <c r="EJ135" i="2"/>
  <c r="EJ89" i="2"/>
  <c r="EJ123" i="2" s="1"/>
  <c r="IU53" i="2"/>
  <c r="DK55" i="2"/>
  <c r="HG136" i="2"/>
  <c r="HG137" i="2" s="1"/>
  <c r="KJ29" i="2"/>
  <c r="KJ34" i="2"/>
  <c r="KJ28" i="2"/>
  <c r="KJ30" i="2"/>
  <c r="KJ27" i="2"/>
  <c r="FR194" i="2"/>
  <c r="FR197" i="2"/>
  <c r="FR102" i="2"/>
  <c r="FR99" i="2"/>
  <c r="FR96" i="2"/>
  <c r="FR93" i="2"/>
  <c r="FR101" i="2"/>
  <c r="FR98" i="2"/>
  <c r="FR95" i="2"/>
  <c r="FR100" i="2"/>
  <c r="FR55" i="2"/>
  <c r="FR97" i="2"/>
  <c r="FR94" i="2"/>
  <c r="FR51" i="2"/>
  <c r="LB3" i="2"/>
  <c r="LB92" i="2" s="1"/>
  <c r="FS136" i="2"/>
  <c r="FS137" i="2" s="1"/>
  <c r="CC64" i="9"/>
  <c r="CI87" i="2"/>
  <c r="CI4" i="2"/>
  <c r="HS24" i="2"/>
  <c r="B35" i="9"/>
  <c r="CR69" i="9" s="1"/>
  <c r="DB122" i="9"/>
  <c r="CC122" i="9"/>
  <c r="BD122" i="9"/>
  <c r="AP122" i="9"/>
  <c r="AC122" i="9"/>
  <c r="AK122" i="9"/>
  <c r="AI122" i="9"/>
  <c r="AB122" i="9"/>
  <c r="DE122" i="9"/>
  <c r="W122" i="9"/>
  <c r="CD122" i="9"/>
  <c r="BE122" i="9"/>
  <c r="AF122" i="9"/>
  <c r="R122" i="9"/>
  <c r="DQ122" i="9"/>
  <c r="DO122" i="9"/>
  <c r="DH122" i="9"/>
  <c r="CI122" i="9"/>
  <c r="Z122" i="9"/>
  <c r="S122" i="9"/>
  <c r="BR122" i="9"/>
  <c r="AS122" i="9"/>
  <c r="T122" i="9"/>
  <c r="F122" i="9"/>
  <c r="CU122" i="9"/>
  <c r="CS122" i="9"/>
  <c r="CQ122" i="9"/>
  <c r="AV122" i="9"/>
  <c r="DC122" i="9"/>
  <c r="Y122" i="9"/>
  <c r="AA122" i="9"/>
  <c r="AT122" i="9"/>
  <c r="U122" i="9"/>
  <c r="DV122" i="9"/>
  <c r="DI122" i="9"/>
  <c r="BH122" i="9"/>
  <c r="BC122" i="9"/>
  <c r="AY122" i="9"/>
  <c r="AU122" i="9"/>
  <c r="X122" i="9"/>
  <c r="DD122" i="9"/>
  <c r="AH122" i="9"/>
  <c r="I122" i="9"/>
  <c r="DJ122" i="9"/>
  <c r="AL122" i="9"/>
  <c r="AJ122" i="9"/>
  <c r="AE122" i="9"/>
  <c r="DT122" i="9"/>
  <c r="CF122" i="9"/>
  <c r="F108" i="9"/>
  <c r="CK122" i="9"/>
  <c r="CW122" i="9"/>
  <c r="BJ122" i="9"/>
  <c r="V122" i="9"/>
  <c r="DL122" i="9"/>
  <c r="CX122" i="9"/>
  <c r="P122" i="9"/>
  <c r="N122" i="9"/>
  <c r="CG122" i="9"/>
  <c r="DA122" i="9"/>
  <c r="CB122" i="9"/>
  <c r="BN122" i="9"/>
  <c r="BA122" i="9"/>
  <c r="BX122" i="9"/>
  <c r="BV122" i="9"/>
  <c r="BT122" i="9"/>
  <c r="CE122" i="9"/>
  <c r="AN122" i="9"/>
  <c r="BS122" i="9"/>
  <c r="F42" i="4"/>
  <c r="N42" i="4"/>
  <c r="AO55" i="2"/>
  <c r="FY53" i="2"/>
  <c r="IA136" i="2"/>
  <c r="IA137" i="2" s="1"/>
  <c r="HY96" i="2"/>
  <c r="JV136" i="2"/>
  <c r="JV137" i="2" s="1"/>
  <c r="IX136" i="2"/>
  <c r="IX137" i="2" s="1"/>
  <c r="FB136" i="2"/>
  <c r="FB137" i="2" s="1"/>
  <c r="MP29" i="2"/>
  <c r="MP34" i="2"/>
  <c r="MP28" i="2"/>
  <c r="MP30" i="2"/>
  <c r="MP27" i="2"/>
  <c r="BM82" i="4"/>
  <c r="BW136" i="2"/>
  <c r="BW135" i="2"/>
  <c r="BW137" i="2"/>
  <c r="BW89" i="2"/>
  <c r="BW88" i="2" s="1"/>
  <c r="GN197" i="2"/>
  <c r="GN194" i="2"/>
  <c r="GN100" i="2"/>
  <c r="GN97" i="2"/>
  <c r="GN94" i="2"/>
  <c r="GN102" i="2"/>
  <c r="GN99" i="2"/>
  <c r="GN96" i="2"/>
  <c r="GN93" i="2"/>
  <c r="GN95" i="2"/>
  <c r="GN98" i="2"/>
  <c r="GN101" i="2"/>
  <c r="GN55" i="2"/>
  <c r="GN51" i="2"/>
  <c r="LX3" i="2"/>
  <c r="LX92" i="2" s="1"/>
  <c r="LQ27" i="2"/>
  <c r="LQ29" i="2"/>
  <c r="LQ34" i="2"/>
  <c r="LQ28" i="2"/>
  <c r="LQ30" i="2"/>
  <c r="FD136" i="2"/>
  <c r="FD137" i="2" s="1"/>
  <c r="CH82" i="4"/>
  <c r="CR136" i="2"/>
  <c r="CR135" i="2"/>
  <c r="CR137" i="2"/>
  <c r="CR89" i="2"/>
  <c r="CR88" i="2" s="1"/>
  <c r="F187" i="9"/>
  <c r="BE64" i="9"/>
  <c r="FM10" i="7"/>
  <c r="BK87" i="2"/>
  <c r="BK4" i="2"/>
  <c r="GU24" i="2"/>
  <c r="AV82" i="4"/>
  <c r="BF137" i="2"/>
  <c r="BF136" i="2"/>
  <c r="BF135" i="2"/>
  <c r="BF89" i="2"/>
  <c r="BF124" i="2" s="1"/>
  <c r="CH64" i="9"/>
  <c r="CN87" i="2"/>
  <c r="CN4" i="2"/>
  <c r="HX24" i="2"/>
  <c r="CU64" i="9"/>
  <c r="DA87" i="2"/>
  <c r="IK24" i="2"/>
  <c r="DA4" i="2"/>
  <c r="DH64" i="9"/>
  <c r="DN87" i="2"/>
  <c r="IX24" i="2"/>
  <c r="DN4" i="2"/>
  <c r="DU64" i="9"/>
  <c r="EA87" i="2"/>
  <c r="JK24" i="2"/>
  <c r="EA4" i="2"/>
  <c r="DJ64" i="9"/>
  <c r="DP87" i="2"/>
  <c r="IZ24" i="2"/>
  <c r="DP4" i="2"/>
  <c r="CY64" i="9"/>
  <c r="IO24" i="2"/>
  <c r="DE87" i="2"/>
  <c r="DE4" i="2"/>
  <c r="DL64" i="9"/>
  <c r="DR87" i="2"/>
  <c r="DR4" i="2"/>
  <c r="JB24" i="2"/>
  <c r="AT64" i="9"/>
  <c r="FB10" i="7"/>
  <c r="AZ87" i="2"/>
  <c r="AZ4" i="2"/>
  <c r="GJ24" i="2"/>
  <c r="IE136" i="2"/>
  <c r="IE137" i="2" s="1"/>
  <c r="CX34" i="7"/>
  <c r="J42" i="4"/>
  <c r="DD34" i="7"/>
  <c r="CT34" i="7"/>
  <c r="CR34" i="7"/>
  <c r="KA101" i="2"/>
  <c r="BT55" i="2"/>
  <c r="HD53" i="2"/>
  <c r="OZ29" i="2"/>
  <c r="OZ34" i="2"/>
  <c r="OZ28" i="2"/>
  <c r="OZ30" i="2"/>
  <c r="OZ27" i="2"/>
  <c r="JK136" i="2"/>
  <c r="JK137" i="2" s="1"/>
  <c r="FP136" i="2"/>
  <c r="FP137" i="2" s="1"/>
  <c r="DJ87" i="9"/>
  <c r="IZ53" i="2"/>
  <c r="DP55" i="2"/>
  <c r="OI30" i="2"/>
  <c r="OI27" i="2"/>
  <c r="OI29" i="2"/>
  <c r="OI34" i="2"/>
  <c r="OI28" i="2"/>
  <c r="NO29" i="2"/>
  <c r="BR55" i="2"/>
  <c r="HB53" i="2"/>
  <c r="HF136" i="2"/>
  <c r="HF137" i="2" s="1"/>
  <c r="EG88" i="2"/>
  <c r="V64" i="9"/>
  <c r="ED10" i="7"/>
  <c r="AB87" i="2"/>
  <c r="AB4" i="2"/>
  <c r="FL24" i="2"/>
  <c r="MW29" i="2"/>
  <c r="JV194" i="2"/>
  <c r="JV197" i="2"/>
  <c r="JV102" i="2"/>
  <c r="JV99" i="2"/>
  <c r="JV96" i="2"/>
  <c r="JV93" i="2"/>
  <c r="JV101" i="2"/>
  <c r="JV98" i="2"/>
  <c r="JV95" i="2"/>
  <c r="JV100" i="2"/>
  <c r="JV55" i="2"/>
  <c r="JV97" i="2"/>
  <c r="JV94" i="2"/>
  <c r="JV51" i="2"/>
  <c r="PF3" i="2"/>
  <c r="PF92" i="2" s="1"/>
  <c r="CX82" i="4"/>
  <c r="DH135" i="2"/>
  <c r="DH137" i="2"/>
  <c r="DH136" i="2"/>
  <c r="DH89" i="2"/>
  <c r="DH124" i="2" s="1"/>
  <c r="HH53" i="2"/>
  <c r="BX55" i="2"/>
  <c r="AD82" i="4"/>
  <c r="AN135" i="2"/>
  <c r="AN125" i="2"/>
  <c r="AN123" i="2"/>
  <c r="AN134" i="2"/>
  <c r="AN137" i="2"/>
  <c r="AN89" i="2"/>
  <c r="AN88" i="2"/>
  <c r="AN136" i="2"/>
  <c r="AN124" i="2"/>
  <c r="LR29" i="2"/>
  <c r="LR34" i="2"/>
  <c r="LR28" i="2"/>
  <c r="LR30" i="2"/>
  <c r="LR27" i="2"/>
  <c r="EY53" i="2"/>
  <c r="O55" i="2"/>
  <c r="FP197" i="2"/>
  <c r="FP194" i="2"/>
  <c r="FP100" i="2"/>
  <c r="FP97" i="2"/>
  <c r="FP94" i="2"/>
  <c r="FP102" i="2"/>
  <c r="FP99" i="2"/>
  <c r="FP96" i="2"/>
  <c r="FP93" i="2"/>
  <c r="FP95" i="2"/>
  <c r="FP55" i="2"/>
  <c r="FP98" i="2"/>
  <c r="FP51" i="2"/>
  <c r="KZ3" i="2"/>
  <c r="KZ92" i="2" s="1"/>
  <c r="FP101" i="2"/>
  <c r="KS27" i="2"/>
  <c r="KS29" i="2"/>
  <c r="KS34" i="2"/>
  <c r="KS28" i="2"/>
  <c r="KS30" i="2"/>
  <c r="BX82" i="4"/>
  <c r="CH136" i="2"/>
  <c r="CH135" i="2"/>
  <c r="CH137" i="2"/>
  <c r="CH89" i="2"/>
  <c r="HK197" i="2"/>
  <c r="HK194" i="2"/>
  <c r="HK100" i="2"/>
  <c r="HK97" i="2"/>
  <c r="HK94" i="2"/>
  <c r="HK102" i="2"/>
  <c r="HK99" i="2"/>
  <c r="HK96" i="2"/>
  <c r="HK93" i="2"/>
  <c r="HK98" i="2"/>
  <c r="HK101" i="2"/>
  <c r="HK55" i="2"/>
  <c r="HK95" i="2"/>
  <c r="MU3" i="2"/>
  <c r="MU92" i="2" s="1"/>
  <c r="HK51" i="2"/>
  <c r="IJ136" i="2"/>
  <c r="IJ137" i="2" s="1"/>
  <c r="FB96" i="2"/>
  <c r="FM197" i="2"/>
  <c r="FM194" i="2"/>
  <c r="FM100" i="2"/>
  <c r="FM97" i="2"/>
  <c r="FM94" i="2"/>
  <c r="FM102" i="2"/>
  <c r="FM99" i="2"/>
  <c r="FM96" i="2"/>
  <c r="FM93" i="2"/>
  <c r="FM98" i="2"/>
  <c r="FM101" i="2"/>
  <c r="FM51" i="2"/>
  <c r="FM95" i="2"/>
  <c r="FM55" i="2"/>
  <c r="KW3" i="2"/>
  <c r="KW92" i="2" s="1"/>
  <c r="KD46" i="2"/>
  <c r="KJ46" i="2" s="1"/>
  <c r="CR68" i="9"/>
  <c r="CR67" i="9"/>
  <c r="CR65" i="9"/>
  <c r="HA53" i="2"/>
  <c r="BQ55" i="2"/>
  <c r="GI96" i="2"/>
  <c r="JL136" i="2"/>
  <c r="JL137" i="2" s="1"/>
  <c r="DF64" i="9"/>
  <c r="DL87" i="2"/>
  <c r="DL4" i="2"/>
  <c r="IV24" i="2"/>
  <c r="DS64" i="9"/>
  <c r="DY87" i="2"/>
  <c r="JI24" i="2"/>
  <c r="DY4" i="2"/>
  <c r="EL87" i="2"/>
  <c r="JV24" i="2"/>
  <c r="EL4" i="2"/>
  <c r="EN87" i="2"/>
  <c r="JX24" i="2"/>
  <c r="EN4" i="2"/>
  <c r="EC87" i="2"/>
  <c r="JM24" i="2"/>
  <c r="EC4" i="2"/>
  <c r="D39" i="8"/>
  <c r="GJ57" i="7"/>
  <c r="X68" i="7"/>
  <c r="AG57" i="7"/>
  <c r="Q15" i="8"/>
  <c r="A2" i="8"/>
  <c r="AD57" i="7"/>
  <c r="AA57" i="7"/>
  <c r="X57" i="7"/>
  <c r="AR82" i="4"/>
  <c r="BB135" i="2"/>
  <c r="BB137" i="2"/>
  <c r="BB89" i="2"/>
  <c r="BB88" i="2" s="1"/>
  <c r="BB136" i="2"/>
  <c r="GU136" i="2"/>
  <c r="GU137" i="2" s="1"/>
  <c r="AJ115" i="2"/>
  <c r="DI55" i="2"/>
  <c r="IS53" i="2"/>
  <c r="CV135" i="2"/>
  <c r="CV137" i="2"/>
  <c r="CV89" i="2"/>
  <c r="CV88" i="2" s="1"/>
  <c r="CV136" i="2"/>
  <c r="CL82" i="4"/>
  <c r="DG82" i="4"/>
  <c r="DQ136" i="2"/>
  <c r="DQ135" i="2"/>
  <c r="DQ137" i="2"/>
  <c r="DQ89" i="2"/>
  <c r="OH30" i="2"/>
  <c r="OH27" i="2"/>
  <c r="OH29" i="2"/>
  <c r="OH34" i="2"/>
  <c r="OH28" i="2"/>
  <c r="CQ62" i="7"/>
  <c r="O4" i="5"/>
  <c r="DH82" i="4"/>
  <c r="DR136" i="2"/>
  <c r="DR135" i="2"/>
  <c r="DR137" i="2"/>
  <c r="DR89" i="2"/>
  <c r="DR88" i="2" s="1"/>
  <c r="GT53" i="2"/>
  <c r="BJ55" i="2"/>
  <c r="IU197" i="2"/>
  <c r="IU194" i="2"/>
  <c r="IU100" i="2"/>
  <c r="IU97" i="2"/>
  <c r="IU94" i="2"/>
  <c r="IU102" i="2"/>
  <c r="IU99" i="2"/>
  <c r="IU96" i="2"/>
  <c r="IU93" i="2"/>
  <c r="IU98" i="2"/>
  <c r="IU101" i="2"/>
  <c r="IU95" i="2"/>
  <c r="IU55" i="2"/>
  <c r="OE3" i="2"/>
  <c r="OE92" i="2" s="1"/>
  <c r="IU51" i="2"/>
  <c r="BU82" i="4"/>
  <c r="CE136" i="2"/>
  <c r="CE135" i="2"/>
  <c r="CE137" i="2"/>
  <c r="CE89" i="2"/>
  <c r="CE123" i="2" s="1"/>
  <c r="AI55" i="2"/>
  <c r="FS53" i="2"/>
  <c r="JQ136" i="2"/>
  <c r="JQ137" i="2" s="1"/>
  <c r="EL137" i="2"/>
  <c r="EL136" i="2"/>
  <c r="EL135" i="2"/>
  <c r="EL89" i="2"/>
  <c r="EL124" i="2" s="1"/>
  <c r="FT197" i="2"/>
  <c r="FT194" i="2"/>
  <c r="FT102" i="2"/>
  <c r="FT99" i="2"/>
  <c r="FT96" i="2"/>
  <c r="FT93" i="2"/>
  <c r="FT101" i="2"/>
  <c r="FT98" i="2"/>
  <c r="FT95" i="2"/>
  <c r="FT100" i="2"/>
  <c r="FT97" i="2"/>
  <c r="FT51" i="2"/>
  <c r="FT94" i="2"/>
  <c r="FT55" i="2"/>
  <c r="LD3" i="2"/>
  <c r="LD92" i="2" s="1"/>
  <c r="EY136" i="2"/>
  <c r="EY137" i="2" s="1"/>
  <c r="CT37" i="7"/>
  <c r="DD37" i="7"/>
  <c r="CR37" i="7"/>
  <c r="J45" i="4"/>
  <c r="CX37" i="7"/>
  <c r="CV37" i="7"/>
  <c r="CU37" i="7"/>
  <c r="O165" i="2"/>
  <c r="P165" i="2" s="1"/>
  <c r="W165" i="2" s="1"/>
  <c r="KA104" i="2"/>
  <c r="GZ136" i="2"/>
  <c r="GZ137" i="2" s="1"/>
  <c r="DF122" i="9"/>
  <c r="DR122" i="9"/>
  <c r="DK122" i="9"/>
  <c r="AD122" i="9"/>
  <c r="DM122" i="9"/>
  <c r="GK66" i="7"/>
  <c r="OB29" i="2"/>
  <c r="OB34" i="2"/>
  <c r="OB28" i="2"/>
  <c r="OB30" i="2"/>
  <c r="OB27" i="2"/>
  <c r="U115" i="2"/>
  <c r="IP53" i="2"/>
  <c r="DF55" i="2"/>
  <c r="P82" i="4"/>
  <c r="Z136" i="2"/>
  <c r="Z135" i="2"/>
  <c r="Z125" i="2"/>
  <c r="Z123" i="2"/>
  <c r="Z134" i="2"/>
  <c r="Z124" i="2"/>
  <c r="Z137" i="2"/>
  <c r="Z89" i="2"/>
  <c r="Z88" i="2"/>
  <c r="IS136" i="2"/>
  <c r="IS137" i="2" s="1"/>
  <c r="E189" i="8"/>
  <c r="J36" i="4"/>
  <c r="CX28" i="7"/>
  <c r="CR28" i="7"/>
  <c r="DD28" i="7"/>
  <c r="CT28" i="7"/>
  <c r="KA95" i="2"/>
  <c r="HC96" i="2"/>
  <c r="CG64" i="9"/>
  <c r="CM4" i="2"/>
  <c r="CM87" i="2"/>
  <c r="HW24" i="2"/>
  <c r="MK34" i="2"/>
  <c r="MK28" i="2"/>
  <c r="MK30" i="2"/>
  <c r="MK27" i="2"/>
  <c r="MK29" i="2"/>
  <c r="NJ30" i="2"/>
  <c r="NJ27" i="2"/>
  <c r="NJ29" i="2"/>
  <c r="NJ34" i="2"/>
  <c r="NJ28" i="2"/>
  <c r="GA53" i="2"/>
  <c r="AQ55" i="2"/>
  <c r="MS29" i="2"/>
  <c r="CT32" i="7"/>
  <c r="J40" i="4"/>
  <c r="CR32" i="7"/>
  <c r="DD32" i="7"/>
  <c r="CX32" i="7"/>
  <c r="KA99" i="2"/>
  <c r="G82" i="4"/>
  <c r="Q135" i="2"/>
  <c r="Q125" i="2"/>
  <c r="Q123" i="2"/>
  <c r="Q134" i="2"/>
  <c r="Q137" i="2"/>
  <c r="Q136" i="2"/>
  <c r="Q124" i="2"/>
  <c r="Q89" i="2"/>
  <c r="Q88" i="2"/>
  <c r="IX197" i="2"/>
  <c r="IX194" i="2"/>
  <c r="IX102" i="2"/>
  <c r="IX99" i="2"/>
  <c r="IX96" i="2"/>
  <c r="IX93" i="2"/>
  <c r="IX101" i="2"/>
  <c r="IX98" i="2"/>
  <c r="IX95" i="2"/>
  <c r="IX55" i="2"/>
  <c r="IX100" i="2"/>
  <c r="IX97" i="2"/>
  <c r="IX94" i="2"/>
  <c r="IX51" i="2"/>
  <c r="OH3" i="2"/>
  <c r="OH92" i="2" s="1"/>
  <c r="HC136" i="2"/>
  <c r="HC137" i="2" s="1"/>
  <c r="JU96" i="2"/>
  <c r="KT29" i="2"/>
  <c r="KT34" i="2"/>
  <c r="KT28" i="2"/>
  <c r="KT27" i="2"/>
  <c r="KT30" i="2"/>
  <c r="GU53" i="2"/>
  <c r="BK55" i="2"/>
  <c r="F87" i="9"/>
  <c r="K53" i="2"/>
  <c r="EV53" i="2"/>
  <c r="L55" i="2"/>
  <c r="GM197" i="2"/>
  <c r="GM194" i="2"/>
  <c r="GM100" i="2"/>
  <c r="GM97" i="2"/>
  <c r="GM94" i="2"/>
  <c r="GM102" i="2"/>
  <c r="GM99" i="2"/>
  <c r="GM96" i="2"/>
  <c r="GM93" i="2"/>
  <c r="GM95" i="2"/>
  <c r="GM98" i="2"/>
  <c r="GM101" i="2"/>
  <c r="GM55" i="2"/>
  <c r="LW3" i="2"/>
  <c r="LW92" i="2" s="1"/>
  <c r="GM51" i="2"/>
  <c r="FH53" i="2"/>
  <c r="X55" i="2"/>
  <c r="G187" i="9"/>
  <c r="G45" i="4"/>
  <c r="ER104" i="2"/>
  <c r="HK104" i="2" s="1"/>
  <c r="F104" i="2"/>
  <c r="Z82" i="4"/>
  <c r="AJ124" i="2"/>
  <c r="AJ136" i="2"/>
  <c r="AJ135" i="2"/>
  <c r="AJ125" i="2"/>
  <c r="AJ137" i="2"/>
  <c r="AJ134" i="2"/>
  <c r="AJ89" i="2"/>
  <c r="AJ123" i="2"/>
  <c r="AJ88" i="2"/>
  <c r="EM55" i="2"/>
  <c r="JW53" i="2"/>
  <c r="CD55" i="2"/>
  <c r="HN53" i="2"/>
  <c r="LN30" i="2"/>
  <c r="LN27" i="2"/>
  <c r="LN29" i="2"/>
  <c r="LN34" i="2"/>
  <c r="LN28" i="2"/>
  <c r="LM34" i="2"/>
  <c r="LM28" i="2"/>
  <c r="LM30" i="2"/>
  <c r="LM27" i="2"/>
  <c r="LM29" i="2"/>
  <c r="IW53" i="2"/>
  <c r="DM55" i="2"/>
  <c r="LK34" i="2"/>
  <c r="LK28" i="2"/>
  <c r="LK30" i="2"/>
  <c r="LK27" i="2"/>
  <c r="LK29" i="2"/>
  <c r="LX29" i="2"/>
  <c r="FL53" i="2"/>
  <c r="AB55" i="2"/>
  <c r="IU136" i="2"/>
  <c r="IU137" i="2" s="1"/>
  <c r="N34" i="4"/>
  <c r="F34" i="4"/>
  <c r="GX136" i="2"/>
  <c r="GX137" i="2" s="1"/>
  <c r="AG64" i="9"/>
  <c r="EO10" i="7"/>
  <c r="AM87" i="2"/>
  <c r="AM4" i="2"/>
  <c r="FW24" i="2"/>
  <c r="FX136" i="2"/>
  <c r="FX137" i="2" s="1"/>
  <c r="AB66" i="7"/>
  <c r="HZ194" i="2"/>
  <c r="HZ197" i="2"/>
  <c r="HZ102" i="2"/>
  <c r="HZ99" i="2"/>
  <c r="HZ96" i="2"/>
  <c r="HZ93" i="2"/>
  <c r="HZ101" i="2"/>
  <c r="HZ98" i="2"/>
  <c r="HZ95" i="2"/>
  <c r="HZ97" i="2"/>
  <c r="HZ94" i="2"/>
  <c r="HZ55" i="2"/>
  <c r="HZ100" i="2"/>
  <c r="HZ51" i="2"/>
  <c r="NJ3" i="2"/>
  <c r="NJ92" i="2" s="1"/>
  <c r="DJ82" i="4"/>
  <c r="DT135" i="2"/>
  <c r="DT137" i="2"/>
  <c r="DT89" i="2"/>
  <c r="DT124" i="2" s="1"/>
  <c r="DT136" i="2"/>
  <c r="BZ82" i="4"/>
  <c r="CJ135" i="2"/>
  <c r="CJ137" i="2"/>
  <c r="CJ89" i="2"/>
  <c r="CJ134" i="2" s="1"/>
  <c r="CJ136" i="2"/>
  <c r="AP82" i="4"/>
  <c r="AZ135" i="2"/>
  <c r="AZ137" i="2"/>
  <c r="AZ89" i="2"/>
  <c r="AZ136" i="2"/>
  <c r="F82" i="4"/>
  <c r="P135" i="2"/>
  <c r="P125" i="2"/>
  <c r="P123" i="2"/>
  <c r="P134" i="2"/>
  <c r="P137" i="2"/>
  <c r="P136" i="2"/>
  <c r="P124" i="2"/>
  <c r="P89" i="2"/>
  <c r="P88" i="2"/>
  <c r="CW55" i="2"/>
  <c r="IG53" i="2"/>
  <c r="FO197" i="2"/>
  <c r="FO194" i="2"/>
  <c r="FO100" i="2"/>
  <c r="FO97" i="2"/>
  <c r="FO94" i="2"/>
  <c r="FO102" i="2"/>
  <c r="FO99" i="2"/>
  <c r="FO96" i="2"/>
  <c r="FO93" i="2"/>
  <c r="FO98" i="2"/>
  <c r="FO101" i="2"/>
  <c r="FO95" i="2"/>
  <c r="FO55" i="2"/>
  <c r="FO51" i="2"/>
  <c r="KY3" i="2"/>
  <c r="KY92" i="2" s="1"/>
  <c r="MA30" i="2"/>
  <c r="MA27" i="2"/>
  <c r="MA29" i="2"/>
  <c r="MA34" i="2"/>
  <c r="MA28" i="2"/>
  <c r="DF82" i="4"/>
  <c r="DP136" i="2"/>
  <c r="DP135" i="2"/>
  <c r="DP137" i="2"/>
  <c r="DP89" i="2"/>
  <c r="DP134" i="2" s="1"/>
  <c r="JE136" i="2"/>
  <c r="JE137" i="2" s="1"/>
  <c r="GG197" i="2"/>
  <c r="GG194" i="2"/>
  <c r="GG101" i="2"/>
  <c r="GG98" i="2"/>
  <c r="GG95" i="2"/>
  <c r="GG100" i="2"/>
  <c r="GG97" i="2"/>
  <c r="GG94" i="2"/>
  <c r="GG96" i="2"/>
  <c r="GG93" i="2"/>
  <c r="GG102" i="2"/>
  <c r="GG99" i="2"/>
  <c r="GG51" i="2"/>
  <c r="GG55" i="2"/>
  <c r="LQ3" i="2"/>
  <c r="LQ92" i="2" s="1"/>
  <c r="KY34" i="2"/>
  <c r="KY28" i="2"/>
  <c r="KY30" i="2"/>
  <c r="KY27" i="2"/>
  <c r="KY29" i="2"/>
  <c r="GC53" i="2"/>
  <c r="AS55" i="2"/>
  <c r="NC29" i="2"/>
  <c r="KZ29" i="2"/>
  <c r="HL197" i="2"/>
  <c r="HL100" i="2"/>
  <c r="HL97" i="2"/>
  <c r="HL94" i="2"/>
  <c r="HL194" i="2"/>
  <c r="HL102" i="2"/>
  <c r="HL99" i="2"/>
  <c r="HL96" i="2"/>
  <c r="HL93" i="2"/>
  <c r="HL95" i="2"/>
  <c r="HL55" i="2"/>
  <c r="HL101" i="2"/>
  <c r="HL98" i="2"/>
  <c r="HL51" i="2"/>
  <c r="MV3" i="2"/>
  <c r="MV92" i="2" s="1"/>
  <c r="AB82" i="4"/>
  <c r="AL136" i="2"/>
  <c r="AL135" i="2"/>
  <c r="AL125" i="2"/>
  <c r="AL123" i="2"/>
  <c r="AL134" i="2"/>
  <c r="AL137" i="2"/>
  <c r="AL89" i="2"/>
  <c r="AL88" i="2"/>
  <c r="AL124" i="2"/>
  <c r="I64" i="9"/>
  <c r="J65" i="9" s="1"/>
  <c r="DQ10" i="7"/>
  <c r="O87" i="2"/>
  <c r="O4" i="2"/>
  <c r="EY24" i="2"/>
  <c r="IP194" i="2"/>
  <c r="IP101" i="2"/>
  <c r="IP98" i="2"/>
  <c r="IP95" i="2"/>
  <c r="IP100" i="2"/>
  <c r="IP97" i="2"/>
  <c r="IP94" i="2"/>
  <c r="IP99" i="2"/>
  <c r="IP197" i="2"/>
  <c r="IP102" i="2"/>
  <c r="IP96" i="2"/>
  <c r="IP93" i="2"/>
  <c r="IP55" i="2"/>
  <c r="IP51" i="2"/>
  <c r="NZ3" i="2"/>
  <c r="NZ92" i="2" s="1"/>
  <c r="GS96" i="2"/>
  <c r="ID96" i="2"/>
  <c r="IA96" i="2"/>
  <c r="EY96" i="2"/>
  <c r="GX96" i="2"/>
  <c r="JX96" i="2"/>
  <c r="GQ96" i="2"/>
  <c r="GH96" i="2"/>
  <c r="JO96" i="2"/>
  <c r="HJ96" i="2"/>
  <c r="GO96" i="2"/>
  <c r="IK96" i="2"/>
  <c r="HD96" i="2"/>
  <c r="JF96" i="2"/>
  <c r="JA96" i="2"/>
  <c r="FV96" i="2"/>
  <c r="EV96" i="2"/>
  <c r="HO96" i="2"/>
  <c r="FG96" i="2"/>
  <c r="HS96" i="2"/>
  <c r="JK96" i="2"/>
  <c r="FE96" i="2"/>
  <c r="HA96" i="2"/>
  <c r="IW96" i="2"/>
  <c r="JN96" i="2"/>
  <c r="IY96" i="2"/>
  <c r="FW96" i="2"/>
  <c r="JC96" i="2"/>
  <c r="HV96" i="2"/>
  <c r="JR96" i="2"/>
  <c r="EW96" i="2"/>
  <c r="IM96" i="2"/>
  <c r="JM96" i="2"/>
  <c r="FN96" i="2"/>
  <c r="IZ96" i="2"/>
  <c r="FS96" i="2"/>
  <c r="FZ96" i="2"/>
  <c r="FQ96" i="2"/>
  <c r="HM96" i="2"/>
  <c r="JI96" i="2"/>
  <c r="HF96" i="2"/>
  <c r="JB96" i="2"/>
  <c r="GR96" i="2"/>
  <c r="JW96" i="2"/>
  <c r="CY82" i="4"/>
  <c r="DI135" i="2"/>
  <c r="DI137" i="2"/>
  <c r="DI136" i="2"/>
  <c r="DI89" i="2"/>
  <c r="DI123" i="2" s="1"/>
  <c r="W115" i="2"/>
  <c r="E47" i="2"/>
  <c r="ES41" i="2"/>
  <c r="KC41" i="2"/>
  <c r="ER41" i="2"/>
  <c r="IQ53" i="2"/>
  <c r="DG55" i="2"/>
  <c r="IV194" i="2"/>
  <c r="IV197" i="2"/>
  <c r="IV100" i="2"/>
  <c r="IV97" i="2"/>
  <c r="IV94" i="2"/>
  <c r="IV102" i="2"/>
  <c r="IV99" i="2"/>
  <c r="IV96" i="2"/>
  <c r="IV93" i="2"/>
  <c r="IV95" i="2"/>
  <c r="IV98" i="2"/>
  <c r="IV55" i="2"/>
  <c r="IV51" i="2"/>
  <c r="IV101" i="2"/>
  <c r="OF3" i="2"/>
  <c r="OF92" i="2" s="1"/>
  <c r="AS115" i="2"/>
  <c r="NY27" i="2"/>
  <c r="NY29" i="2"/>
  <c r="NY34" i="2"/>
  <c r="NY28" i="2"/>
  <c r="NY30" i="2"/>
  <c r="BL82" i="4"/>
  <c r="BV136" i="2"/>
  <c r="BV135" i="2"/>
  <c r="BV137" i="2"/>
  <c r="BV89" i="2"/>
  <c r="BV88" i="2" s="1"/>
  <c r="EX53" i="2"/>
  <c r="N55" i="2"/>
  <c r="GN136" i="2"/>
  <c r="GN137" i="2" s="1"/>
  <c r="IT96" i="2"/>
  <c r="IS197" i="2"/>
  <c r="IS194" i="2"/>
  <c r="IS100" i="2"/>
  <c r="IS97" i="2"/>
  <c r="IS94" i="2"/>
  <c r="IS102" i="2"/>
  <c r="IS99" i="2"/>
  <c r="IS96" i="2"/>
  <c r="IS93" i="2"/>
  <c r="IS101" i="2"/>
  <c r="IS98" i="2"/>
  <c r="IS51" i="2"/>
  <c r="IS55" i="2"/>
  <c r="OC3" i="2"/>
  <c r="OC92" i="2" s="1"/>
  <c r="IS95" i="2"/>
  <c r="CP55" i="2"/>
  <c r="HZ53" i="2"/>
  <c r="X82" i="4"/>
  <c r="AH137" i="2"/>
  <c r="AH124" i="2"/>
  <c r="AH136" i="2"/>
  <c r="AH123" i="2"/>
  <c r="AH134" i="2"/>
  <c r="AH135" i="2"/>
  <c r="AH88" i="2"/>
  <c r="AH125" i="2"/>
  <c r="AH89" i="2"/>
  <c r="CD64" i="9"/>
  <c r="CJ87" i="2"/>
  <c r="CJ4" i="2"/>
  <c r="HT24" i="2"/>
  <c r="IV53" i="2"/>
  <c r="DL55" i="2"/>
  <c r="BU64" i="9"/>
  <c r="CA87" i="2"/>
  <c r="CA4" i="2"/>
  <c r="HK24" i="2"/>
  <c r="Z64" i="9"/>
  <c r="EH10" i="7"/>
  <c r="AF87" i="2"/>
  <c r="AF4" i="2"/>
  <c r="FP24" i="2"/>
  <c r="AM64" i="9"/>
  <c r="EU10" i="7"/>
  <c r="AS87" i="2"/>
  <c r="GC24" i="2"/>
  <c r="AS4" i="2"/>
  <c r="AZ64" i="9"/>
  <c r="FH10" i="7"/>
  <c r="BF87" i="2"/>
  <c r="GP24" i="2"/>
  <c r="BF4" i="2"/>
  <c r="BM64" i="9"/>
  <c r="FU10" i="7"/>
  <c r="BS87" i="2"/>
  <c r="HC24" i="2"/>
  <c r="BS4" i="2"/>
  <c r="BB64" i="9"/>
  <c r="FJ10" i="7"/>
  <c r="BH87" i="2"/>
  <c r="GR24" i="2"/>
  <c r="BH4" i="2"/>
  <c r="AQ64" i="9"/>
  <c r="EY10" i="7"/>
  <c r="AW87" i="2"/>
  <c r="GG24" i="2"/>
  <c r="AW4" i="2"/>
  <c r="BD64" i="9"/>
  <c r="FL10" i="7"/>
  <c r="BJ87" i="2"/>
  <c r="BJ4" i="2"/>
  <c r="GT24" i="2"/>
  <c r="FX197" i="2"/>
  <c r="FX194" i="2"/>
  <c r="FX101" i="2"/>
  <c r="FX98" i="2"/>
  <c r="FX95" i="2"/>
  <c r="FX100" i="2"/>
  <c r="FX97" i="2"/>
  <c r="FX94" i="2"/>
  <c r="FX102" i="2"/>
  <c r="FX99" i="2"/>
  <c r="FX93" i="2"/>
  <c r="FX51" i="2"/>
  <c r="FX55" i="2"/>
  <c r="LH3" i="2"/>
  <c r="LH92" i="2" s="1"/>
  <c r="FX96" i="2"/>
  <c r="BK82" i="4"/>
  <c r="BU136" i="2"/>
  <c r="BU135" i="2"/>
  <c r="BU137" i="2"/>
  <c r="BU89" i="2"/>
  <c r="BU134" i="2" s="1"/>
  <c r="DE64" i="9"/>
  <c r="DK87" i="2"/>
  <c r="DK4" i="2"/>
  <c r="IU24" i="2"/>
  <c r="CR66" i="7"/>
  <c r="V115" i="2"/>
  <c r="AB115" i="2"/>
  <c r="R115" i="2"/>
  <c r="T115" i="2"/>
  <c r="O115" i="2"/>
  <c r="P115" i="2"/>
  <c r="M115" i="2"/>
  <c r="Q115" i="2"/>
  <c r="AO115" i="2"/>
  <c r="AQ115" i="2"/>
  <c r="AM115" i="2"/>
  <c r="AP115" i="2"/>
  <c r="S115" i="2"/>
  <c r="AF115" i="2"/>
  <c r="AK115" i="2"/>
  <c r="AN115" i="2"/>
  <c r="L115" i="2"/>
  <c r="Z115" i="2"/>
  <c r="AL115" i="2"/>
  <c r="Y115" i="2"/>
  <c r="N115" i="2"/>
  <c r="X115" i="2"/>
  <c r="AD115" i="2"/>
  <c r="AE115" i="2"/>
  <c r="AR115" i="2"/>
  <c r="AH115" i="2"/>
  <c r="IT136" i="2"/>
  <c r="IT137" i="2" s="1"/>
  <c r="LT29" i="2"/>
  <c r="LT34" i="2"/>
  <c r="LT28" i="2"/>
  <c r="LT30" i="2"/>
  <c r="LT27" i="2"/>
  <c r="KC36" i="2"/>
  <c r="ES36" i="2"/>
  <c r="ER36" i="2"/>
  <c r="GC96" i="2"/>
  <c r="JJ136" i="2"/>
  <c r="JJ137" i="2" s="1"/>
  <c r="LC30" i="2"/>
  <c r="LC27" i="2"/>
  <c r="LC29" i="2"/>
  <c r="LC34" i="2"/>
  <c r="LC28" i="2"/>
  <c r="KO29" i="2"/>
  <c r="NF29" i="2"/>
  <c r="PH29" i="2"/>
  <c r="KR29" i="2"/>
  <c r="NS29" i="2"/>
  <c r="LV29" i="2"/>
  <c r="KM29" i="2"/>
  <c r="OE29" i="2"/>
  <c r="PD29" i="2"/>
  <c r="PA29" i="2"/>
  <c r="OA29" i="2"/>
  <c r="NI29" i="2"/>
  <c r="PB29" i="2"/>
  <c r="LW29" i="2"/>
  <c r="OR29" i="2"/>
  <c r="NQ29" i="2"/>
  <c r="KL29" i="2"/>
  <c r="PE29" i="2"/>
  <c r="LP29" i="2"/>
  <c r="MN29" i="2"/>
  <c r="MV29" i="2"/>
  <c r="LS29" i="2"/>
  <c r="KU29" i="2"/>
  <c r="OF29" i="2"/>
  <c r="MU29" i="2"/>
  <c r="MT29" i="2"/>
  <c r="OG29" i="2"/>
  <c r="LY29" i="2"/>
  <c r="OJ29" i="2"/>
  <c r="OV29" i="2"/>
  <c r="KN29" i="2"/>
  <c r="KK29" i="2"/>
  <c r="MB29" i="2"/>
  <c r="LD29" i="2"/>
  <c r="PC29" i="2"/>
  <c r="NU29" i="2"/>
  <c r="NR29" i="2"/>
  <c r="NT29" i="2"/>
  <c r="MJ29" i="2"/>
  <c r="LU29" i="2"/>
  <c r="LG29" i="2"/>
  <c r="MZ29" i="2"/>
  <c r="OM29" i="2"/>
  <c r="OO29" i="2"/>
  <c r="KF29" i="2"/>
  <c r="NL29" i="2"/>
  <c r="GS136" i="2"/>
  <c r="GS137" i="2" s="1"/>
  <c r="MO27" i="2"/>
  <c r="MO29" i="2"/>
  <c r="MO34" i="2"/>
  <c r="MO28" i="2"/>
  <c r="MO30" i="2"/>
  <c r="N35" i="4"/>
  <c r="F35" i="4"/>
  <c r="F37" i="4"/>
  <c r="N37" i="4"/>
  <c r="CX35" i="7"/>
  <c r="CR35" i="7"/>
  <c r="J43" i="4"/>
  <c r="DD35" i="7"/>
  <c r="CU35" i="7"/>
  <c r="CT35" i="7"/>
  <c r="CV35" i="7"/>
  <c r="KA102" i="2"/>
  <c r="FG136" i="2"/>
  <c r="FG137" i="2" s="1"/>
  <c r="NZ29" i="2"/>
  <c r="NZ34" i="2"/>
  <c r="NZ28" i="2"/>
  <c r="NZ30" i="2"/>
  <c r="NZ27" i="2"/>
  <c r="EE136" i="2"/>
  <c r="EE135" i="2"/>
  <c r="EE137" i="2"/>
  <c r="EE89" i="2"/>
  <c r="EE88" i="2" s="1"/>
  <c r="Q82" i="4"/>
  <c r="AA136" i="2"/>
  <c r="AA135" i="2"/>
  <c r="AA125" i="2"/>
  <c r="AA123" i="2"/>
  <c r="AA134" i="2"/>
  <c r="AA137" i="2"/>
  <c r="AA124" i="2"/>
  <c r="AA89" i="2"/>
  <c r="AA88" i="2"/>
  <c r="HM136" i="2"/>
  <c r="HM137" i="2" s="1"/>
  <c r="DQ55" i="2"/>
  <c r="JA53" i="2"/>
  <c r="BU55" i="2"/>
  <c r="HE53" i="2"/>
  <c r="Y55" i="2"/>
  <c r="FI53" i="2"/>
  <c r="AM123" i="2"/>
  <c r="EG123" i="2"/>
  <c r="CT82" i="4"/>
  <c r="DD136" i="2"/>
  <c r="DD135" i="2"/>
  <c r="DD137" i="2"/>
  <c r="DD89" i="2"/>
  <c r="DD88" i="2" s="1"/>
  <c r="AX82" i="4"/>
  <c r="BH136" i="2"/>
  <c r="BH135" i="2"/>
  <c r="BH137" i="2"/>
  <c r="BH89" i="2"/>
  <c r="BH134" i="2" s="1"/>
  <c r="HU197" i="2"/>
  <c r="HU194" i="2"/>
  <c r="HU100" i="2"/>
  <c r="HU97" i="2"/>
  <c r="HU94" i="2"/>
  <c r="HU102" i="2"/>
  <c r="HU99" i="2"/>
  <c r="HU96" i="2"/>
  <c r="HU93" i="2"/>
  <c r="HU95" i="2"/>
  <c r="HU98" i="2"/>
  <c r="HU101" i="2"/>
  <c r="HU51" i="2"/>
  <c r="HU55" i="2"/>
  <c r="NE3" i="2"/>
  <c r="NE92" i="2" s="1"/>
  <c r="DC55" i="2"/>
  <c r="IM53" i="2"/>
  <c r="HI136" i="2"/>
  <c r="HI137" i="2" s="1"/>
  <c r="F57" i="8"/>
  <c r="H57" i="8" s="1"/>
  <c r="F54" i="8"/>
  <c r="H54" i="8" s="1"/>
  <c r="F56" i="8"/>
  <c r="H56" i="8" s="1"/>
  <c r="F53" i="8"/>
  <c r="H53" i="8" s="1"/>
  <c r="F55" i="8"/>
  <c r="H55" i="8" s="1"/>
  <c r="F58" i="8"/>
  <c r="H58" i="8" s="1"/>
  <c r="F52" i="8"/>
  <c r="H52" i="8" s="1"/>
  <c r="I57" i="2"/>
  <c r="M32" i="1"/>
  <c r="I49" i="2"/>
  <c r="HR197" i="2"/>
  <c r="HR194" i="2"/>
  <c r="HR101" i="2"/>
  <c r="HR98" i="2"/>
  <c r="HR95" i="2"/>
  <c r="HR100" i="2"/>
  <c r="HR97" i="2"/>
  <c r="HR94" i="2"/>
  <c r="HR99" i="2"/>
  <c r="HR102" i="2"/>
  <c r="HR96" i="2"/>
  <c r="HR93" i="2"/>
  <c r="HR55" i="2"/>
  <c r="HR51" i="2"/>
  <c r="NB3" i="2"/>
  <c r="NB92" i="2" s="1"/>
  <c r="ML30" i="2"/>
  <c r="ML27" i="2"/>
  <c r="ML29" i="2"/>
  <c r="ML34" i="2"/>
  <c r="ML28" i="2"/>
  <c r="HY53" i="2"/>
  <c r="CO55" i="2"/>
  <c r="GB53" i="2"/>
  <c r="AR55" i="2"/>
  <c r="HH197" i="2"/>
  <c r="HH194" i="2"/>
  <c r="HH101" i="2"/>
  <c r="HH98" i="2"/>
  <c r="HH95" i="2"/>
  <c r="HH100" i="2"/>
  <c r="HH97" i="2"/>
  <c r="HH94" i="2"/>
  <c r="HH102" i="2"/>
  <c r="HH99" i="2"/>
  <c r="HH51" i="2"/>
  <c r="HH96" i="2"/>
  <c r="HH55" i="2"/>
  <c r="MR3" i="2"/>
  <c r="MR92" i="2" s="1"/>
  <c r="HH93" i="2"/>
  <c r="LI29" i="2"/>
  <c r="H233" i="2"/>
  <c r="H236" i="2"/>
  <c r="I236" i="2" s="1"/>
  <c r="H234" i="2"/>
  <c r="I234" i="2" s="1"/>
  <c r="E188" i="8"/>
  <c r="CX27" i="7"/>
  <c r="CV27" i="7"/>
  <c r="CT27" i="7"/>
  <c r="J35" i="4"/>
  <c r="CU27" i="7"/>
  <c r="CR27" i="7"/>
  <c r="DD27" i="7"/>
  <c r="KA94" i="2"/>
  <c r="F40" i="4"/>
  <c r="N40" i="4"/>
  <c r="N82" i="4"/>
  <c r="X124" i="2"/>
  <c r="X136" i="2"/>
  <c r="X135" i="2"/>
  <c r="X125" i="2"/>
  <c r="X137" i="2"/>
  <c r="X123" i="2"/>
  <c r="X89" i="2"/>
  <c r="X134" i="2"/>
  <c r="X88" i="2"/>
  <c r="ON29" i="2"/>
  <c r="ON34" i="2"/>
  <c r="ON28" i="2"/>
  <c r="ON30" i="2"/>
  <c r="ON27" i="2"/>
  <c r="CA82" i="4"/>
  <c r="CK135" i="2"/>
  <c r="CK137" i="2"/>
  <c r="CK136" i="2"/>
  <c r="CK89" i="2"/>
  <c r="CK88" i="2" s="1"/>
  <c r="BO82" i="4"/>
  <c r="BY135" i="2"/>
  <c r="BY137" i="2"/>
  <c r="BY136" i="2"/>
  <c r="BY89" i="2"/>
  <c r="BY88" i="2" s="1"/>
  <c r="IL194" i="2"/>
  <c r="IL197" i="2"/>
  <c r="IL102" i="2"/>
  <c r="IL99" i="2"/>
  <c r="IL96" i="2"/>
  <c r="IL93" i="2"/>
  <c r="IL101" i="2"/>
  <c r="IL98" i="2"/>
  <c r="IL95" i="2"/>
  <c r="IL100" i="2"/>
  <c r="IL94" i="2"/>
  <c r="IL55" i="2"/>
  <c r="IL97" i="2"/>
  <c r="IL51" i="2"/>
  <c r="NV3" i="2"/>
  <c r="NV92" i="2" s="1"/>
  <c r="IM136" i="2"/>
  <c r="IM137" i="2" s="1"/>
  <c r="W112" i="2"/>
  <c r="W113" i="2"/>
  <c r="ES44" i="2"/>
  <c r="ER44" i="2"/>
  <c r="KC44" i="2"/>
  <c r="EF135" i="2"/>
  <c r="EF137" i="2"/>
  <c r="EF89" i="2"/>
  <c r="EF88" i="2" s="1"/>
  <c r="EF136" i="2"/>
  <c r="JU99" i="2"/>
  <c r="HY99" i="2"/>
  <c r="GC99" i="2"/>
  <c r="HB136" i="2"/>
  <c r="HB137" i="2" s="1"/>
  <c r="GD136" i="2"/>
  <c r="GD137" i="2" s="1"/>
  <c r="LF29" i="2"/>
  <c r="LF34" i="2"/>
  <c r="LF28" i="2"/>
  <c r="LF27" i="2"/>
  <c r="LF30" i="2"/>
  <c r="CW82" i="4"/>
  <c r="DG136" i="2"/>
  <c r="DG135" i="2"/>
  <c r="DG137" i="2"/>
  <c r="DG89" i="2"/>
  <c r="DG88" i="2" s="1"/>
  <c r="GB194" i="2"/>
  <c r="GB197" i="2"/>
  <c r="GB100" i="2"/>
  <c r="GB97" i="2"/>
  <c r="GB94" i="2"/>
  <c r="GB102" i="2"/>
  <c r="GB99" i="2"/>
  <c r="GB96" i="2"/>
  <c r="GB93" i="2"/>
  <c r="GB95" i="2"/>
  <c r="GB55" i="2"/>
  <c r="GB101" i="2"/>
  <c r="GB51" i="2"/>
  <c r="LL3" i="2"/>
  <c r="LL92" i="2" s="1"/>
  <c r="GB98" i="2"/>
  <c r="IW136" i="2"/>
  <c r="IW137" i="2" s="1"/>
  <c r="AS117" i="2"/>
  <c r="FQ136" i="2"/>
  <c r="FQ137" i="2" s="1"/>
  <c r="AG114" i="2"/>
  <c r="U113" i="2"/>
  <c r="LE27" i="2"/>
  <c r="LE29" i="2"/>
  <c r="LE34" i="2"/>
  <c r="LE28" i="2"/>
  <c r="LE30" i="2"/>
  <c r="CJ82" i="4"/>
  <c r="CT136" i="2"/>
  <c r="CT135" i="2"/>
  <c r="CT89" i="2"/>
  <c r="CT137" i="2"/>
  <c r="AN82" i="4"/>
  <c r="AX136" i="2"/>
  <c r="AX135" i="2"/>
  <c r="AX89" i="2"/>
  <c r="AX134" i="2" s="1"/>
  <c r="AX137" i="2"/>
  <c r="GA197" i="2"/>
  <c r="GA194" i="2"/>
  <c r="GA100" i="2"/>
  <c r="GA97" i="2"/>
  <c r="GA94" i="2"/>
  <c r="GA102" i="2"/>
  <c r="GA99" i="2"/>
  <c r="GA96" i="2"/>
  <c r="GA93" i="2"/>
  <c r="GA98" i="2"/>
  <c r="GA101" i="2"/>
  <c r="GA55" i="2"/>
  <c r="LK3" i="2"/>
  <c r="LK92" i="2" s="1"/>
  <c r="GA51" i="2"/>
  <c r="GA95" i="2"/>
  <c r="HL136" i="2"/>
  <c r="HL137" i="2" s="1"/>
  <c r="AF114" i="2"/>
  <c r="IT99" i="2"/>
  <c r="IH93" i="2"/>
  <c r="GX102" i="2"/>
  <c r="GL93" i="2"/>
  <c r="JG136" i="2"/>
  <c r="JG137" i="2" s="1"/>
  <c r="FC136" i="2"/>
  <c r="FC137" i="2" s="1"/>
  <c r="LO30" i="2"/>
  <c r="LO27" i="2"/>
  <c r="LO29" i="2"/>
  <c r="LO34" i="2"/>
  <c r="LO28" i="2"/>
  <c r="BV82" i="4"/>
  <c r="CF136" i="2"/>
  <c r="CF135" i="2"/>
  <c r="CF137" i="2"/>
  <c r="CF89" i="2"/>
  <c r="CF123" i="2" s="1"/>
  <c r="IG197" i="2"/>
  <c r="IG194" i="2"/>
  <c r="IG100" i="2"/>
  <c r="IG97" i="2"/>
  <c r="IG94" i="2"/>
  <c r="IG102" i="2"/>
  <c r="IG99" i="2"/>
  <c r="IG96" i="2"/>
  <c r="IG93" i="2"/>
  <c r="IG98" i="2"/>
  <c r="IG101" i="2"/>
  <c r="IG51" i="2"/>
  <c r="IG55" i="2"/>
  <c r="IG95" i="2"/>
  <c r="NQ3" i="2"/>
  <c r="NQ92" i="2" s="1"/>
  <c r="GL136" i="2"/>
  <c r="GL137" i="2" s="1"/>
  <c r="DE82" i="4"/>
  <c r="DO136" i="2"/>
  <c r="DO135" i="2"/>
  <c r="DO137" i="2"/>
  <c r="DO89" i="2"/>
  <c r="DO88" i="2" s="1"/>
  <c r="BS55" i="2"/>
  <c r="HC53" i="2"/>
  <c r="AW82" i="4"/>
  <c r="BG136" i="2"/>
  <c r="BG135" i="2"/>
  <c r="BG89" i="2"/>
  <c r="BG88" i="2" s="1"/>
  <c r="BG137" i="2"/>
  <c r="AK82" i="4"/>
  <c r="AU124" i="2"/>
  <c r="AU136" i="2"/>
  <c r="AU135" i="2"/>
  <c r="AU134" i="2"/>
  <c r="AU125" i="2"/>
  <c r="AU123" i="2"/>
  <c r="AU89" i="2"/>
  <c r="AU137" i="2"/>
  <c r="AU88" i="2"/>
  <c r="HU136" i="2"/>
  <c r="HU137" i="2" s="1"/>
  <c r="AC113" i="2"/>
  <c r="JL194" i="2"/>
  <c r="JL197" i="2"/>
  <c r="JL102" i="2"/>
  <c r="JL99" i="2"/>
  <c r="JL96" i="2"/>
  <c r="JL93" i="2"/>
  <c r="JL101" i="2"/>
  <c r="JL98" i="2"/>
  <c r="JL95" i="2"/>
  <c r="JL97" i="2"/>
  <c r="JL94" i="2"/>
  <c r="JL100" i="2"/>
  <c r="JL51" i="2"/>
  <c r="JL55" i="2"/>
  <c r="OV3" i="2"/>
  <c r="OV92" i="2" s="1"/>
  <c r="HC93" i="2"/>
  <c r="FK93" i="2"/>
  <c r="OA27" i="2"/>
  <c r="LS24" i="2"/>
  <c r="HS102" i="2"/>
  <c r="BG64" i="9"/>
  <c r="FO10" i="7"/>
  <c r="BM87" i="2"/>
  <c r="BM4" i="2"/>
  <c r="GW24" i="2"/>
  <c r="GE99" i="2"/>
  <c r="HE136" i="2"/>
  <c r="HE137" i="2" s="1"/>
  <c r="HD136" i="2"/>
  <c r="HD137" i="2" s="1"/>
  <c r="NG34" i="2"/>
  <c r="NG28" i="2"/>
  <c r="NG30" i="2"/>
  <c r="NG27" i="2"/>
  <c r="NG29" i="2"/>
  <c r="CE64" i="9"/>
  <c r="CK87" i="2"/>
  <c r="CK4" i="2"/>
  <c r="HU24" i="2"/>
  <c r="DD82" i="4"/>
  <c r="DN137" i="2"/>
  <c r="DN136" i="2"/>
  <c r="DN135" i="2"/>
  <c r="DN89" i="2"/>
  <c r="DN124" i="2" s="1"/>
  <c r="JU53" i="2"/>
  <c r="EK55" i="2"/>
  <c r="CE82" i="4"/>
  <c r="CO137" i="2"/>
  <c r="CO136" i="2"/>
  <c r="CO135" i="2"/>
  <c r="CO89" i="2"/>
  <c r="CO134" i="2" s="1"/>
  <c r="FW99" i="2"/>
  <c r="FM53" i="2"/>
  <c r="Z111" i="2"/>
  <c r="IB136" i="2"/>
  <c r="IB137" i="2" s="1"/>
  <c r="AV64" i="9"/>
  <c r="FD10" i="7"/>
  <c r="BB87" i="2"/>
  <c r="BB4" i="2"/>
  <c r="GL24" i="2"/>
  <c r="HL53" i="2"/>
  <c r="CB55" i="2"/>
  <c r="ID136" i="2"/>
  <c r="ID137" i="2" s="1"/>
  <c r="AG82" i="4"/>
  <c r="AQ125" i="2"/>
  <c r="AQ123" i="2"/>
  <c r="AQ134" i="2"/>
  <c r="AQ137" i="2"/>
  <c r="AQ124" i="2"/>
  <c r="AQ88" i="2"/>
  <c r="AQ135" i="2"/>
  <c r="AQ136" i="2"/>
  <c r="AQ89" i="2"/>
  <c r="CT64" i="9"/>
  <c r="CZ87" i="2"/>
  <c r="CZ4" i="2"/>
  <c r="IJ24" i="2"/>
  <c r="DG64" i="9"/>
  <c r="DM87" i="2"/>
  <c r="IW24" i="2"/>
  <c r="DM4" i="2"/>
  <c r="DT64" i="9"/>
  <c r="DZ87" i="2"/>
  <c r="JJ24" i="2"/>
  <c r="DZ4" i="2"/>
  <c r="EM87" i="2"/>
  <c r="JW24" i="2"/>
  <c r="EM4" i="2"/>
  <c r="DV64" i="9"/>
  <c r="EB87" i="2"/>
  <c r="JL24" i="2"/>
  <c r="EB4" i="2"/>
  <c r="DK64" i="9"/>
  <c r="DQ87" i="2"/>
  <c r="JA24" i="2"/>
  <c r="DQ4" i="2"/>
  <c r="ED87" i="2"/>
  <c r="ED4" i="2"/>
  <c r="JN24" i="2"/>
  <c r="IR197" i="2"/>
  <c r="IR194" i="2"/>
  <c r="IR101" i="2"/>
  <c r="IR98" i="2"/>
  <c r="IR95" i="2"/>
  <c r="IR100" i="2"/>
  <c r="IR97" i="2"/>
  <c r="IR94" i="2"/>
  <c r="IR102" i="2"/>
  <c r="IR99" i="2"/>
  <c r="IR96" i="2"/>
  <c r="IR51" i="2"/>
  <c r="IR55" i="2"/>
  <c r="OB3" i="2"/>
  <c r="OB92" i="2" s="1"/>
  <c r="IR93" i="2"/>
  <c r="GV136" i="2"/>
  <c r="GV137" i="2" s="1"/>
  <c r="AB108" i="2"/>
  <c r="P108" i="2"/>
  <c r="EX197" i="2"/>
  <c r="EX194" i="2"/>
  <c r="EX101" i="2"/>
  <c r="EX98" i="2"/>
  <c r="EX95" i="2"/>
  <c r="EX100" i="2"/>
  <c r="EX97" i="2"/>
  <c r="EX94" i="2"/>
  <c r="EX99" i="2"/>
  <c r="EX102" i="2"/>
  <c r="EX93" i="2"/>
  <c r="EX96" i="2"/>
  <c r="EX55" i="2"/>
  <c r="EX51" i="2"/>
  <c r="KH3" i="2"/>
  <c r="KH92" i="2" s="1"/>
  <c r="AM114" i="2"/>
  <c r="AA117" i="2"/>
  <c r="IA102" i="2"/>
  <c r="AK117" i="2"/>
  <c r="AK112" i="2"/>
  <c r="FT136" i="2"/>
  <c r="FT137" i="2" s="1"/>
  <c r="AJ116" i="2"/>
  <c r="Y112" i="2"/>
  <c r="OO27" i="2"/>
  <c r="OY27" i="2"/>
  <c r="OE27" i="2"/>
  <c r="HF93" i="2"/>
  <c r="LV27" i="2"/>
  <c r="JA99" i="2"/>
  <c r="EW99" i="2"/>
  <c r="NS27" i="2"/>
  <c r="JO136" i="2"/>
  <c r="JO137" i="2" s="1"/>
  <c r="IN136" i="2"/>
  <c r="IN137" i="2" s="1"/>
  <c r="JA102" i="2"/>
  <c r="A142" i="8"/>
  <c r="N17" i="8"/>
  <c r="D150" i="8"/>
  <c r="N18" i="8"/>
  <c r="N16" i="8"/>
  <c r="DN3" i="7"/>
  <c r="C240" i="2"/>
  <c r="C245" i="2" s="1"/>
  <c r="H229" i="2"/>
  <c r="H230" i="2" s="1"/>
  <c r="B223" i="2"/>
  <c r="CX31" i="7"/>
  <c r="CV31" i="7"/>
  <c r="E191" i="8"/>
  <c r="J39" i="4"/>
  <c r="CU31" i="7"/>
  <c r="CT31" i="7"/>
  <c r="CR31" i="7"/>
  <c r="DD31" i="7"/>
  <c r="KA98" i="2"/>
  <c r="NP29" i="2"/>
  <c r="NP34" i="2"/>
  <c r="NP28" i="2"/>
  <c r="NP30" i="2"/>
  <c r="NP27" i="2"/>
  <c r="AQ82" i="4"/>
  <c r="BA135" i="2"/>
  <c r="BA137" i="2"/>
  <c r="BA136" i="2"/>
  <c r="BA89" i="2"/>
  <c r="BA124" i="2" s="1"/>
  <c r="HN197" i="2"/>
  <c r="HN102" i="2"/>
  <c r="HN99" i="2"/>
  <c r="HN96" i="2"/>
  <c r="HN93" i="2"/>
  <c r="HN194" i="2"/>
  <c r="HN101" i="2"/>
  <c r="HN98" i="2"/>
  <c r="HN95" i="2"/>
  <c r="HN55" i="2"/>
  <c r="HN94" i="2"/>
  <c r="HN97" i="2"/>
  <c r="HN51" i="2"/>
  <c r="HN100" i="2"/>
  <c r="MX3" i="2"/>
  <c r="MX92" i="2" s="1"/>
  <c r="W117" i="2"/>
  <c r="ES42" i="2"/>
  <c r="ER42" i="2"/>
  <c r="KC42" i="2"/>
  <c r="BN82" i="4"/>
  <c r="BX135" i="2"/>
  <c r="BX137" i="2"/>
  <c r="BX89" i="2"/>
  <c r="BX88" i="2" s="1"/>
  <c r="BX136" i="2"/>
  <c r="R82" i="4"/>
  <c r="AB135" i="2"/>
  <c r="AB125" i="2"/>
  <c r="AB123" i="2"/>
  <c r="AB134" i="2"/>
  <c r="AB137" i="2"/>
  <c r="AB89" i="2"/>
  <c r="AB88" i="2"/>
  <c r="AB136" i="2"/>
  <c r="AB124" i="2"/>
  <c r="HZ136" i="2"/>
  <c r="HZ137" i="2" s="1"/>
  <c r="V114" i="2"/>
  <c r="KH29" i="2"/>
  <c r="KH34" i="2"/>
  <c r="KH28" i="2"/>
  <c r="KH30" i="2"/>
  <c r="KH27" i="2"/>
  <c r="GI53" i="2"/>
  <c r="AY55" i="2"/>
  <c r="E82" i="4"/>
  <c r="O136" i="2"/>
  <c r="O135" i="2"/>
  <c r="O125" i="2"/>
  <c r="O123" i="2"/>
  <c r="O134" i="2"/>
  <c r="O137" i="2"/>
  <c r="O124" i="2"/>
  <c r="O89" i="2"/>
  <c r="O88" i="2"/>
  <c r="FD197" i="2"/>
  <c r="FD194" i="2"/>
  <c r="FD100" i="2"/>
  <c r="FD97" i="2"/>
  <c r="FD94" i="2"/>
  <c r="FD102" i="2"/>
  <c r="FD99" i="2"/>
  <c r="FD96" i="2"/>
  <c r="FD93" i="2"/>
  <c r="FD95" i="2"/>
  <c r="FD98" i="2"/>
  <c r="FD101" i="2"/>
  <c r="FD55" i="2"/>
  <c r="FD51" i="2"/>
  <c r="KN3" i="2"/>
  <c r="KN92" i="2" s="1"/>
  <c r="HY136" i="2"/>
  <c r="HY137" i="2" s="1"/>
  <c r="U117" i="2"/>
  <c r="KG27" i="2"/>
  <c r="KG29" i="2"/>
  <c r="KG34" i="2"/>
  <c r="KG28" i="2"/>
  <c r="KG30" i="2"/>
  <c r="FC197" i="2"/>
  <c r="FC194" i="2"/>
  <c r="FC100" i="2"/>
  <c r="FC97" i="2"/>
  <c r="FC94" i="2"/>
  <c r="FC102" i="2"/>
  <c r="FC99" i="2"/>
  <c r="FC96" i="2"/>
  <c r="FC93" i="2"/>
  <c r="FC95" i="2"/>
  <c r="FC98" i="2"/>
  <c r="FC101" i="2"/>
  <c r="FC55" i="2"/>
  <c r="KM3" i="2"/>
  <c r="KM92" i="2" s="1"/>
  <c r="FC51" i="2"/>
  <c r="GB136" i="2"/>
  <c r="GB137" i="2" s="1"/>
  <c r="CG55" i="2"/>
  <c r="HQ53" i="2"/>
  <c r="AK55" i="2"/>
  <c r="FU53" i="2"/>
  <c r="IH99" i="2"/>
  <c r="GL99" i="2"/>
  <c r="FN93" i="2"/>
  <c r="KQ30" i="2"/>
  <c r="KQ27" i="2"/>
  <c r="KQ29" i="2"/>
  <c r="KQ34" i="2"/>
  <c r="KQ28" i="2"/>
  <c r="HI197" i="2"/>
  <c r="HI194" i="2"/>
  <c r="HI100" i="2"/>
  <c r="HI97" i="2"/>
  <c r="HI94" i="2"/>
  <c r="HI102" i="2"/>
  <c r="HI99" i="2"/>
  <c r="HI96" i="2"/>
  <c r="HI93" i="2"/>
  <c r="HI101" i="2"/>
  <c r="HI98" i="2"/>
  <c r="HI51" i="2"/>
  <c r="HI55" i="2"/>
  <c r="MS3" i="2"/>
  <c r="MS92" i="2" s="1"/>
  <c r="HI95" i="2"/>
  <c r="JR136" i="2"/>
  <c r="JR137" i="2" s="1"/>
  <c r="DQ82" i="4"/>
  <c r="EA136" i="2"/>
  <c r="EA135" i="2"/>
  <c r="EA137" i="2"/>
  <c r="EA89" i="2"/>
  <c r="EA123" i="2" s="1"/>
  <c r="CE55" i="2"/>
  <c r="HO53" i="2"/>
  <c r="GW136" i="2"/>
  <c r="GW137" i="2" s="1"/>
  <c r="FY136" i="2"/>
  <c r="FY137" i="2" s="1"/>
  <c r="AC117" i="2"/>
  <c r="Q112" i="2"/>
  <c r="C46" i="2"/>
  <c r="M33" i="1"/>
  <c r="DP64" i="9"/>
  <c r="DQ65" i="9" s="1"/>
  <c r="DV87" i="2"/>
  <c r="DV4" i="2"/>
  <c r="JF24" i="2"/>
  <c r="HC99" i="2"/>
  <c r="LG27" i="2"/>
  <c r="DO64" i="9"/>
  <c r="DU87" i="2"/>
  <c r="DU4" i="2"/>
  <c r="JE24" i="2"/>
  <c r="JM93" i="2"/>
  <c r="JX136" i="2"/>
  <c r="JX137" i="2" s="1"/>
  <c r="IM93" i="2"/>
  <c r="M108" i="2"/>
  <c r="X64" i="9"/>
  <c r="EF10" i="7"/>
  <c r="AD87" i="2"/>
  <c r="AD4" i="2"/>
  <c r="FN24" i="2"/>
  <c r="CF82" i="4"/>
  <c r="CP137" i="2"/>
  <c r="CP136" i="2"/>
  <c r="CP135" i="2"/>
  <c r="CP89" i="2"/>
  <c r="CP88" i="2" s="1"/>
  <c r="OQ34" i="2"/>
  <c r="OQ28" i="2"/>
  <c r="OQ30" i="2"/>
  <c r="OQ27" i="2"/>
  <c r="OQ29" i="2"/>
  <c r="GZ53" i="2"/>
  <c r="BP55" i="2"/>
  <c r="JW102" i="2"/>
  <c r="II53" i="2"/>
  <c r="CY55" i="2"/>
  <c r="HW53" i="2"/>
  <c r="CM55" i="2"/>
  <c r="FO53" i="2"/>
  <c r="AE55" i="2"/>
  <c r="FC53" i="2"/>
  <c r="S55" i="2"/>
  <c r="DR64" i="9"/>
  <c r="DX87" i="2"/>
  <c r="DX4" i="2"/>
  <c r="JH24" i="2"/>
  <c r="EK87" i="2"/>
  <c r="JU24" i="2"/>
  <c r="EK4" i="2"/>
  <c r="Q64" i="9"/>
  <c r="DY10" i="7"/>
  <c r="W87" i="2"/>
  <c r="FG24" i="2"/>
  <c r="W4" i="2"/>
  <c r="F64" i="9"/>
  <c r="DN10" i="7"/>
  <c r="L87" i="2"/>
  <c r="EQ42" i="2"/>
  <c r="EQ44" i="2"/>
  <c r="EQ41" i="2"/>
  <c r="EQ43" i="2"/>
  <c r="EQ37" i="2"/>
  <c r="EQ27" i="2"/>
  <c r="EQ35" i="2"/>
  <c r="EV24" i="2"/>
  <c r="ER29" i="2"/>
  <c r="EQ29" i="2"/>
  <c r="ER28" i="2"/>
  <c r="EQ34" i="2"/>
  <c r="EQ28" i="2"/>
  <c r="EQ36" i="2"/>
  <c r="EQ45" i="2"/>
  <c r="EQ30" i="2"/>
  <c r="ER27" i="2"/>
  <c r="ER30" i="2"/>
  <c r="L4" i="2"/>
  <c r="H64" i="9"/>
  <c r="DP10" i="7"/>
  <c r="N87" i="2"/>
  <c r="N4" i="2"/>
  <c r="EX24" i="2"/>
  <c r="FU197" i="2"/>
  <c r="FU194" i="2"/>
  <c r="FU101" i="2"/>
  <c r="FU98" i="2"/>
  <c r="FU95" i="2"/>
  <c r="FU100" i="2"/>
  <c r="FU97" i="2"/>
  <c r="FU94" i="2"/>
  <c r="FU96" i="2"/>
  <c r="FU93" i="2"/>
  <c r="FU102" i="2"/>
  <c r="FU51" i="2"/>
  <c r="FU99" i="2"/>
  <c r="FU55" i="2"/>
  <c r="LE3" i="2"/>
  <c r="LE92" i="2" s="1"/>
  <c r="JP136" i="2"/>
  <c r="JP137" i="2" s="1"/>
  <c r="IF136" i="2"/>
  <c r="IF137" i="2" s="1"/>
  <c r="AN113" i="2"/>
  <c r="AB116" i="2"/>
  <c r="FL136" i="2"/>
  <c r="FL137" i="2" s="1"/>
  <c r="P116" i="2"/>
  <c r="PH27" i="2"/>
  <c r="JF53" i="2"/>
  <c r="DV55" i="2"/>
  <c r="CZ82" i="4"/>
  <c r="DJ135" i="2"/>
  <c r="DJ137" i="2"/>
  <c r="DJ89" i="2"/>
  <c r="DJ124" i="2" s="1"/>
  <c r="DJ136" i="2"/>
  <c r="IH53" i="2"/>
  <c r="CX55" i="2"/>
  <c r="CB82" i="4"/>
  <c r="CL135" i="2"/>
  <c r="CL137" i="2"/>
  <c r="CL89" i="2"/>
  <c r="CL124" i="2" s="1"/>
  <c r="CL136" i="2"/>
  <c r="BD82" i="4"/>
  <c r="BN135" i="2"/>
  <c r="BN137" i="2"/>
  <c r="BN89" i="2"/>
  <c r="BN124" i="2" s="1"/>
  <c r="BN136" i="2"/>
  <c r="AF82" i="4"/>
  <c r="AP135" i="2"/>
  <c r="AP125" i="2"/>
  <c r="AP123" i="2"/>
  <c r="AP134" i="2"/>
  <c r="AP137" i="2"/>
  <c r="AP124" i="2"/>
  <c r="AP89" i="2"/>
  <c r="AP88" i="2"/>
  <c r="AP136" i="2"/>
  <c r="H82" i="4"/>
  <c r="R135" i="2"/>
  <c r="R125" i="2"/>
  <c r="R123" i="2"/>
  <c r="R134" i="2"/>
  <c r="R137" i="2"/>
  <c r="R124" i="2"/>
  <c r="R89" i="2"/>
  <c r="R136" i="2"/>
  <c r="R88" i="2"/>
  <c r="GI136" i="2"/>
  <c r="GI137" i="2" s="1"/>
  <c r="O114" i="2"/>
  <c r="GW53" i="2"/>
  <c r="AK111" i="2"/>
  <c r="AK116" i="2"/>
  <c r="JN99" i="2"/>
  <c r="Y116" i="2"/>
  <c r="GR102" i="2"/>
  <c r="MJ27" i="2"/>
  <c r="KO27" i="2"/>
  <c r="NT27" i="2"/>
  <c r="LX27" i="2"/>
  <c r="HF102" i="2"/>
  <c r="EW93" i="2"/>
  <c r="CX33" i="7"/>
  <c r="CV33" i="7"/>
  <c r="CU33" i="7"/>
  <c r="CT33" i="7"/>
  <c r="J41" i="4"/>
  <c r="CR33" i="7"/>
  <c r="DD33" i="7"/>
  <c r="KA100" i="2"/>
  <c r="M162" i="2"/>
  <c r="H124" i="2"/>
  <c r="I152" i="2"/>
  <c r="H135" i="2"/>
  <c r="H134" i="2"/>
  <c r="L35" i="1"/>
  <c r="G117" i="2"/>
  <c r="ND29" i="2"/>
  <c r="ND34" i="2"/>
  <c r="ND28" i="2"/>
  <c r="ND30" i="2"/>
  <c r="ND27" i="2"/>
  <c r="HB194" i="2"/>
  <c r="HB197" i="2"/>
  <c r="HB102" i="2"/>
  <c r="HB99" i="2"/>
  <c r="HB96" i="2"/>
  <c r="HB93" i="2"/>
  <c r="HB101" i="2"/>
  <c r="HB98" i="2"/>
  <c r="HB95" i="2"/>
  <c r="HB100" i="2"/>
  <c r="HB97" i="2"/>
  <c r="HB55" i="2"/>
  <c r="HB51" i="2"/>
  <c r="HB94" i="2"/>
  <c r="ML3" i="2"/>
  <c r="ML92" i="2" s="1"/>
  <c r="JW136" i="2"/>
  <c r="JW137" i="2" s="1"/>
  <c r="KC45" i="2"/>
  <c r="ES45" i="2"/>
  <c r="ER45" i="2"/>
  <c r="JI99" i="2"/>
  <c r="HM99" i="2"/>
  <c r="FQ99" i="2"/>
  <c r="V113" i="2"/>
  <c r="V116" i="2"/>
  <c r="JC53" i="2"/>
  <c r="DS55" i="2"/>
  <c r="HS53" i="2"/>
  <c r="CI55" i="2"/>
  <c r="AO82" i="4"/>
  <c r="AY136" i="2"/>
  <c r="AY135" i="2"/>
  <c r="AY137" i="2"/>
  <c r="AY89" i="2"/>
  <c r="AY123" i="2" s="1"/>
  <c r="HA136" i="2"/>
  <c r="HA137" i="2" s="1"/>
  <c r="CV82" i="4"/>
  <c r="DF136" i="2"/>
  <c r="DF135" i="2"/>
  <c r="DF89" i="2"/>
  <c r="DF88" i="2" s="1"/>
  <c r="DF137" i="2"/>
  <c r="AZ82" i="4"/>
  <c r="BJ136" i="2"/>
  <c r="BJ135" i="2"/>
  <c r="BJ89" i="2"/>
  <c r="BJ88" i="2" s="1"/>
  <c r="BJ137" i="2"/>
  <c r="D82" i="4"/>
  <c r="N136" i="2"/>
  <c r="N135" i="2"/>
  <c r="N125" i="2"/>
  <c r="N123" i="2"/>
  <c r="N134" i="2"/>
  <c r="N124" i="2"/>
  <c r="N89" i="2"/>
  <c r="N137" i="2"/>
  <c r="N88" i="2"/>
  <c r="AF113" i="2"/>
  <c r="EC55" i="2"/>
  <c r="JM53" i="2"/>
  <c r="JR93" i="2"/>
  <c r="IH102" i="2"/>
  <c r="HV93" i="2"/>
  <c r="GL102" i="2"/>
  <c r="FZ99" i="2"/>
  <c r="HW136" i="2"/>
  <c r="HW137" i="2" s="1"/>
  <c r="GY136" i="2"/>
  <c r="GY137" i="2" s="1"/>
  <c r="S111" i="2"/>
  <c r="GW197" i="2"/>
  <c r="GW194" i="2"/>
  <c r="GW100" i="2"/>
  <c r="GW97" i="2"/>
  <c r="GW94" i="2"/>
  <c r="GW102" i="2"/>
  <c r="GW99" i="2"/>
  <c r="GW96" i="2"/>
  <c r="GW93" i="2"/>
  <c r="GW98" i="2"/>
  <c r="GW101" i="2"/>
  <c r="GW51" i="2"/>
  <c r="GW55" i="2"/>
  <c r="GW95" i="2"/>
  <c r="MG3" i="2"/>
  <c r="MG92" i="2" s="1"/>
  <c r="IH136" i="2"/>
  <c r="IH137" i="2" s="1"/>
  <c r="HJ136" i="2"/>
  <c r="HJ137" i="2" s="1"/>
  <c r="AP114" i="2"/>
  <c r="AD111" i="2"/>
  <c r="R112" i="2"/>
  <c r="AO114" i="2"/>
  <c r="Q114" i="2"/>
  <c r="CP64" i="9"/>
  <c r="CQ68" i="9" s="1"/>
  <c r="CV87" i="2"/>
  <c r="CV4" i="2"/>
  <c r="IF24" i="2"/>
  <c r="NL27" i="2"/>
  <c r="HC102" i="2"/>
  <c r="CO64" i="9"/>
  <c r="CU87" i="2"/>
  <c r="CU4" i="2"/>
  <c r="IE24" i="2"/>
  <c r="KF27" i="2"/>
  <c r="HS99" i="2"/>
  <c r="OD34" i="2"/>
  <c r="OD28" i="2"/>
  <c r="OD30" i="2"/>
  <c r="OD27" i="2"/>
  <c r="OD29" i="2"/>
  <c r="KX34" i="2"/>
  <c r="KX28" i="2"/>
  <c r="KX30" i="2"/>
  <c r="KX27" i="2"/>
  <c r="KX29" i="2"/>
  <c r="FS99" i="2"/>
  <c r="AL117" i="2"/>
  <c r="JA136" i="2"/>
  <c r="JA137" i="2" s="1"/>
  <c r="M113" i="2"/>
  <c r="NF27" i="2"/>
  <c r="IZ136" i="2"/>
  <c r="IZ137" i="2" s="1"/>
  <c r="OS34" i="2"/>
  <c r="OS28" i="2"/>
  <c r="OS30" i="2"/>
  <c r="OS27" i="2"/>
  <c r="OS29" i="2"/>
  <c r="OT30" i="2"/>
  <c r="OT27" i="2"/>
  <c r="OT29" i="2"/>
  <c r="OT34" i="2"/>
  <c r="OT28" i="2"/>
  <c r="DZ55" i="2"/>
  <c r="JJ53" i="2"/>
  <c r="NV30" i="2"/>
  <c r="NV27" i="2"/>
  <c r="NV29" i="2"/>
  <c r="NV34" i="2"/>
  <c r="NV28" i="2"/>
  <c r="AT55" i="2"/>
  <c r="GD53" i="2"/>
  <c r="JC93" i="2"/>
  <c r="HP194" i="2"/>
  <c r="HP197" i="2"/>
  <c r="HP102" i="2"/>
  <c r="HP99" i="2"/>
  <c r="HP96" i="2"/>
  <c r="HP93" i="2"/>
  <c r="HP101" i="2"/>
  <c r="HP98" i="2"/>
  <c r="HP95" i="2"/>
  <c r="HP94" i="2"/>
  <c r="HP51" i="2"/>
  <c r="HP55" i="2"/>
  <c r="HP97" i="2"/>
  <c r="HP100" i="2"/>
  <c r="MZ3" i="2"/>
  <c r="MZ92" i="2" s="1"/>
  <c r="LS27" i="2"/>
  <c r="X111" i="2"/>
  <c r="NX27" i="2"/>
  <c r="DC82" i="4"/>
  <c r="DM137" i="2"/>
  <c r="DM136" i="2"/>
  <c r="DM135" i="2"/>
  <c r="DM89" i="2"/>
  <c r="DM134" i="2" s="1"/>
  <c r="FW93" i="2"/>
  <c r="OM27" i="2"/>
  <c r="Z117" i="2"/>
  <c r="JT53" i="2"/>
  <c r="EJ55" i="2"/>
  <c r="JH53" i="2"/>
  <c r="DX55" i="2"/>
  <c r="GN53" i="2"/>
  <c r="BD55" i="2"/>
  <c r="MZ27" i="2"/>
  <c r="DA82" i="4"/>
  <c r="DK137" i="2"/>
  <c r="DK136" i="2"/>
  <c r="DK135" i="2"/>
  <c r="DK89" i="2"/>
  <c r="DK123" i="2" s="1"/>
  <c r="CC82" i="4"/>
  <c r="CM137" i="2"/>
  <c r="CM135" i="2"/>
  <c r="CM136" i="2"/>
  <c r="CM89" i="2"/>
  <c r="CM88" i="2" s="1"/>
  <c r="BE82" i="4"/>
  <c r="BO137" i="2"/>
  <c r="BO136" i="2"/>
  <c r="BO89" i="2"/>
  <c r="BO123" i="2" s="1"/>
  <c r="BO135" i="2"/>
  <c r="I82" i="4"/>
  <c r="S125" i="2"/>
  <c r="S123" i="2"/>
  <c r="S134" i="2"/>
  <c r="S137" i="2"/>
  <c r="S124" i="2"/>
  <c r="S136" i="2"/>
  <c r="S135" i="2"/>
  <c r="S89" i="2"/>
  <c r="S88" i="2"/>
  <c r="EJ87" i="2"/>
  <c r="EJ4" i="2"/>
  <c r="JT24" i="2"/>
  <c r="P64" i="9"/>
  <c r="DX10" i="7"/>
  <c r="FF24" i="2"/>
  <c r="V87" i="2"/>
  <c r="V4" i="2"/>
  <c r="AC64" i="9"/>
  <c r="EK10" i="7"/>
  <c r="AI87" i="2"/>
  <c r="FS24" i="2"/>
  <c r="AI4" i="2"/>
  <c r="R64" i="9"/>
  <c r="DZ10" i="7"/>
  <c r="X87" i="2"/>
  <c r="FH24" i="2"/>
  <c r="X4" i="2"/>
  <c r="C480" i="10"/>
  <c r="G64" i="9"/>
  <c r="DO10" i="7"/>
  <c r="M87" i="2"/>
  <c r="EQ46" i="2"/>
  <c r="EW24" i="2"/>
  <c r="M4" i="2"/>
  <c r="T64" i="9"/>
  <c r="EB10" i="7"/>
  <c r="Z87" i="2"/>
  <c r="Z4" i="2"/>
  <c r="FJ24" i="2"/>
  <c r="R15" i="8"/>
  <c r="Y68" i="7"/>
  <c r="AE57" i="7"/>
  <c r="AB57" i="7"/>
  <c r="GK57" i="7"/>
  <c r="Y57" i="7"/>
  <c r="EY99" i="2"/>
  <c r="EH135" i="2"/>
  <c r="EH137" i="2"/>
  <c r="EH89" i="2"/>
  <c r="EH134" i="2" s="1"/>
  <c r="EH136" i="2"/>
  <c r="HJ53" i="2"/>
  <c r="BZ55" i="2"/>
  <c r="GL53" i="2"/>
  <c r="BB55" i="2"/>
  <c r="FN53" i="2"/>
  <c r="AD55" i="2"/>
  <c r="IY93" i="2"/>
  <c r="IQ136" i="2"/>
  <c r="IQ137" i="2" s="1"/>
  <c r="AM111" i="2"/>
  <c r="FK136" i="2"/>
  <c r="FK137" i="2" s="1"/>
  <c r="O116" i="2"/>
  <c r="BM55" i="2"/>
  <c r="JN93" i="2"/>
  <c r="Y108" i="2"/>
  <c r="IZ99" i="2"/>
  <c r="NR27" i="2"/>
  <c r="MS27" i="2"/>
  <c r="OC27" i="2"/>
  <c r="JB93" i="2"/>
  <c r="HF99" i="2"/>
  <c r="E187" i="8"/>
  <c r="CR26" i="7"/>
  <c r="J34" i="4"/>
  <c r="DD26" i="7"/>
  <c r="CT26" i="7"/>
  <c r="CX26" i="7"/>
  <c r="O163" i="2"/>
  <c r="P163" i="2" s="1"/>
  <c r="W163" i="2" s="1"/>
  <c r="I105" i="2"/>
  <c r="I91" i="2"/>
  <c r="KA93" i="2"/>
  <c r="F43" i="4"/>
  <c r="N43" i="4"/>
  <c r="EN55" i="2"/>
  <c r="JX53" i="2"/>
  <c r="MR29" i="2"/>
  <c r="MR34" i="2"/>
  <c r="MR28" i="2"/>
  <c r="MR30" i="2"/>
  <c r="MR27" i="2"/>
  <c r="AE82" i="4"/>
  <c r="AO135" i="2"/>
  <c r="AO125" i="2"/>
  <c r="AO123" i="2"/>
  <c r="AO134" i="2"/>
  <c r="AO137" i="2"/>
  <c r="AO136" i="2"/>
  <c r="AO89" i="2"/>
  <c r="AO88" i="2"/>
  <c r="AO124" i="2"/>
  <c r="S82" i="4"/>
  <c r="AC135" i="2"/>
  <c r="AC125" i="2"/>
  <c r="AC123" i="2"/>
  <c r="AC134" i="2"/>
  <c r="AC137" i="2"/>
  <c r="AC136" i="2"/>
  <c r="AC89" i="2"/>
  <c r="AC88" i="2"/>
  <c r="AC124" i="2"/>
  <c r="GP197" i="2"/>
  <c r="GP194" i="2"/>
  <c r="GP102" i="2"/>
  <c r="GP99" i="2"/>
  <c r="GP96" i="2"/>
  <c r="GP93" i="2"/>
  <c r="GP101" i="2"/>
  <c r="GP98" i="2"/>
  <c r="GP95" i="2"/>
  <c r="GP97" i="2"/>
  <c r="GP94" i="2"/>
  <c r="GP55" i="2"/>
  <c r="GP100" i="2"/>
  <c r="GP51" i="2"/>
  <c r="LZ3" i="2"/>
  <c r="LZ92" i="2" s="1"/>
  <c r="HO136" i="2"/>
  <c r="HO137" i="2" s="1"/>
  <c r="GQ136" i="2"/>
  <c r="GQ137" i="2" s="1"/>
  <c r="ES37" i="2"/>
  <c r="ER37" i="2"/>
  <c r="KC37" i="2"/>
  <c r="JI102" i="2"/>
  <c r="IW93" i="2"/>
  <c r="HM102" i="2"/>
  <c r="HA93" i="2"/>
  <c r="FQ102" i="2"/>
  <c r="FE93" i="2"/>
  <c r="GP136" i="2"/>
  <c r="GP137" i="2" s="1"/>
  <c r="AH111" i="2"/>
  <c r="V111" i="2"/>
  <c r="OX29" i="2"/>
  <c r="OX34" i="2"/>
  <c r="OX28" i="2"/>
  <c r="OX30" i="2"/>
  <c r="OX27" i="2"/>
  <c r="DI82" i="4"/>
  <c r="DS136" i="2"/>
  <c r="DS135" i="2"/>
  <c r="DS137" i="2"/>
  <c r="DS89" i="2"/>
  <c r="DS123" i="2" s="1"/>
  <c r="JT194" i="2"/>
  <c r="JT197" i="2"/>
  <c r="JT100" i="2"/>
  <c r="JT97" i="2"/>
  <c r="JT94" i="2"/>
  <c r="JT102" i="2"/>
  <c r="JT99" i="2"/>
  <c r="JT96" i="2"/>
  <c r="JT93" i="2"/>
  <c r="JT95" i="2"/>
  <c r="JT55" i="2"/>
  <c r="JT98" i="2"/>
  <c r="JT51" i="2"/>
  <c r="JT101" i="2"/>
  <c r="PD3" i="2"/>
  <c r="PD92" i="2" s="1"/>
  <c r="AG111" i="2"/>
  <c r="U108" i="2"/>
  <c r="OW27" i="2"/>
  <c r="OW29" i="2"/>
  <c r="OW34" i="2"/>
  <c r="OW28" i="2"/>
  <c r="OW30" i="2"/>
  <c r="JB53" i="2"/>
  <c r="DR55" i="2"/>
  <c r="HF53" i="2"/>
  <c r="BV55" i="2"/>
  <c r="FJ53" i="2"/>
  <c r="Z55" i="2"/>
  <c r="JS197" i="2"/>
  <c r="JS194" i="2"/>
  <c r="JS100" i="2"/>
  <c r="JS97" i="2"/>
  <c r="JS94" i="2"/>
  <c r="JS102" i="2"/>
  <c r="JS99" i="2"/>
  <c r="JS96" i="2"/>
  <c r="JS93" i="2"/>
  <c r="JS98" i="2"/>
  <c r="JS101" i="2"/>
  <c r="JS95" i="2"/>
  <c r="JS55" i="2"/>
  <c r="JS51" i="2"/>
  <c r="PC3" i="2"/>
  <c r="PC92" i="2" s="1"/>
  <c r="JE53" i="2"/>
  <c r="BW82" i="4"/>
  <c r="CG136" i="2"/>
  <c r="CG135" i="2"/>
  <c r="CG137" i="2"/>
  <c r="CG89" i="2"/>
  <c r="CG88" i="2" s="1"/>
  <c r="AA82" i="4"/>
  <c r="AK124" i="2"/>
  <c r="AK136" i="2"/>
  <c r="AK135" i="2"/>
  <c r="AK125" i="2"/>
  <c r="AK123" i="2"/>
  <c r="AK137" i="2"/>
  <c r="AK134" i="2"/>
  <c r="AK89" i="2"/>
  <c r="AK88" i="2"/>
  <c r="FZ102" i="2"/>
  <c r="FN99" i="2"/>
  <c r="AE114" i="2"/>
  <c r="S113" i="2"/>
  <c r="C377" i="10"/>
  <c r="E377" i="10" s="1"/>
  <c r="G221" i="2"/>
  <c r="H164" i="2"/>
  <c r="D163" i="2"/>
  <c r="D164" i="2"/>
  <c r="DC70" i="9" s="1"/>
  <c r="C82" i="2"/>
  <c r="F15" i="1"/>
  <c r="E15" i="1"/>
  <c r="PG30" i="2"/>
  <c r="PG27" i="2"/>
  <c r="PG29" i="2"/>
  <c r="PG34" i="2"/>
  <c r="PG28" i="2"/>
  <c r="GK197" i="2"/>
  <c r="GK194" i="2"/>
  <c r="GK100" i="2"/>
  <c r="GK97" i="2"/>
  <c r="GK94" i="2"/>
  <c r="GK102" i="2"/>
  <c r="GK99" i="2"/>
  <c r="GK96" i="2"/>
  <c r="GK93" i="2"/>
  <c r="GK95" i="2"/>
  <c r="GK98" i="2"/>
  <c r="GK101" i="2"/>
  <c r="GK51" i="2"/>
  <c r="GK55" i="2"/>
  <c r="LU3" i="2"/>
  <c r="LU92" i="2" s="1"/>
  <c r="AD114" i="2"/>
  <c r="R108" i="2"/>
  <c r="CQ55" i="2"/>
  <c r="IA53" i="2"/>
  <c r="BI82" i="4"/>
  <c r="BS136" i="2"/>
  <c r="BS135" i="2"/>
  <c r="BS137" i="2"/>
  <c r="BS89" i="2"/>
  <c r="BS88" i="2" s="1"/>
  <c r="W55" i="2"/>
  <c r="FG53" i="2"/>
  <c r="AO116" i="2"/>
  <c r="FM136" i="2"/>
  <c r="FM137" i="2" s="1"/>
  <c r="Q116" i="2"/>
  <c r="BI64" i="9"/>
  <c r="FQ10" i="7"/>
  <c r="BO87" i="2"/>
  <c r="BO4" i="2"/>
  <c r="GY24" i="2"/>
  <c r="BH64" i="9"/>
  <c r="FP10" i="7"/>
  <c r="BN87" i="2"/>
  <c r="BN4" i="2"/>
  <c r="GX24" i="2"/>
  <c r="JK93" i="2"/>
  <c r="HS93" i="2"/>
  <c r="GF197" i="2"/>
  <c r="GF194" i="2"/>
  <c r="GF102" i="2"/>
  <c r="GF99" i="2"/>
  <c r="GF96" i="2"/>
  <c r="GF93" i="2"/>
  <c r="GF101" i="2"/>
  <c r="GF98" i="2"/>
  <c r="GF95" i="2"/>
  <c r="GF100" i="2"/>
  <c r="GF97" i="2"/>
  <c r="GF94" i="2"/>
  <c r="GF51" i="2"/>
  <c r="GF55" i="2"/>
  <c r="LP3" i="2"/>
  <c r="LP92" i="2" s="1"/>
  <c r="NH34" i="2"/>
  <c r="NH28" i="2"/>
  <c r="NH30" i="2"/>
  <c r="NH27" i="2"/>
  <c r="NH29" i="2"/>
  <c r="FI197" i="2"/>
  <c r="FI194" i="2"/>
  <c r="FI101" i="2"/>
  <c r="FI98" i="2"/>
  <c r="FI95" i="2"/>
  <c r="FI100" i="2"/>
  <c r="FI97" i="2"/>
  <c r="FI94" i="2"/>
  <c r="FI96" i="2"/>
  <c r="FI93" i="2"/>
  <c r="FI99" i="2"/>
  <c r="FI51" i="2"/>
  <c r="FI102" i="2"/>
  <c r="FI55" i="2"/>
  <c r="KS3" i="2"/>
  <c r="KS92" i="2" s="1"/>
  <c r="IB194" i="2"/>
  <c r="IB197" i="2"/>
  <c r="IB102" i="2"/>
  <c r="IB99" i="2"/>
  <c r="IB96" i="2"/>
  <c r="IB93" i="2"/>
  <c r="IB101" i="2"/>
  <c r="IB98" i="2"/>
  <c r="IB95" i="2"/>
  <c r="IB97" i="2"/>
  <c r="IB94" i="2"/>
  <c r="IB100" i="2"/>
  <c r="IB51" i="2"/>
  <c r="IB55" i="2"/>
  <c r="NL3" i="2"/>
  <c r="NL92" i="2" s="1"/>
  <c r="GH136" i="2"/>
  <c r="GH137" i="2" s="1"/>
  <c r="IM99" i="2"/>
  <c r="FS102" i="2"/>
  <c r="M117" i="2"/>
  <c r="L116" i="2"/>
  <c r="BH82" i="4"/>
  <c r="BR137" i="2"/>
  <c r="BR136" i="2"/>
  <c r="BR135" i="2"/>
  <c r="BR89" i="2"/>
  <c r="AJ82" i="4"/>
  <c r="AT137" i="2"/>
  <c r="AT124" i="2"/>
  <c r="AT136" i="2"/>
  <c r="AT123" i="2"/>
  <c r="AT134" i="2"/>
  <c r="AT135" i="2"/>
  <c r="AT88" i="2"/>
  <c r="AT89" i="2"/>
  <c r="AT125" i="2"/>
  <c r="GT197" i="2"/>
  <c r="GT194" i="2"/>
  <c r="GT101" i="2"/>
  <c r="GT98" i="2"/>
  <c r="GT95" i="2"/>
  <c r="GT100" i="2"/>
  <c r="GT97" i="2"/>
  <c r="GT94" i="2"/>
  <c r="GT96" i="2"/>
  <c r="GT93" i="2"/>
  <c r="GT99" i="2"/>
  <c r="GT102" i="2"/>
  <c r="GT51" i="2"/>
  <c r="GT55" i="2"/>
  <c r="MD3" i="2"/>
  <c r="MD92" i="2" s="1"/>
  <c r="FG93" i="2"/>
  <c r="BG82" i="4"/>
  <c r="BQ137" i="2"/>
  <c r="BQ136" i="2"/>
  <c r="BQ89" i="2"/>
  <c r="BQ123" i="2" s="1"/>
  <c r="BQ135" i="2"/>
  <c r="AI82" i="4"/>
  <c r="AS134" i="2"/>
  <c r="AS137" i="2"/>
  <c r="AS124" i="2"/>
  <c r="AS136" i="2"/>
  <c r="AS125" i="2"/>
  <c r="AS88" i="2"/>
  <c r="AS135" i="2"/>
  <c r="AS89" i="2"/>
  <c r="AS123" i="2"/>
  <c r="K82" i="4"/>
  <c r="U134" i="2"/>
  <c r="U137" i="2"/>
  <c r="U124" i="2"/>
  <c r="U136" i="2"/>
  <c r="U125" i="2"/>
  <c r="U88" i="2"/>
  <c r="U123" i="2"/>
  <c r="U89" i="2"/>
  <c r="U135" i="2"/>
  <c r="HO93" i="2"/>
  <c r="EG134" i="2"/>
  <c r="EG138" i="2" s="1"/>
  <c r="Z112" i="2"/>
  <c r="HQ136" i="2"/>
  <c r="HQ137" i="2" s="1"/>
  <c r="MH34" i="2"/>
  <c r="MH28" i="2"/>
  <c r="MH30" i="2"/>
  <c r="MH27" i="2"/>
  <c r="MH29" i="2"/>
  <c r="DN82" i="4"/>
  <c r="DX137" i="2"/>
  <c r="DX136" i="2"/>
  <c r="DX135" i="2"/>
  <c r="DX89" i="2"/>
  <c r="CP82" i="4"/>
  <c r="CZ137" i="2"/>
  <c r="CZ136" i="2"/>
  <c r="CZ135" i="2"/>
  <c r="CZ89" i="2"/>
  <c r="CZ88" i="2" s="1"/>
  <c r="BR82" i="4"/>
  <c r="CB137" i="2"/>
  <c r="CB136" i="2"/>
  <c r="CB135" i="2"/>
  <c r="CB89" i="2"/>
  <c r="CB124" i="2" s="1"/>
  <c r="AT82" i="4"/>
  <c r="BD137" i="2"/>
  <c r="BD136" i="2"/>
  <c r="BD135" i="2"/>
  <c r="BD89" i="2"/>
  <c r="BD123" i="2" s="1"/>
  <c r="V82" i="4"/>
  <c r="AF123" i="2"/>
  <c r="AF134" i="2"/>
  <c r="AF137" i="2"/>
  <c r="AF124" i="2"/>
  <c r="AF136" i="2"/>
  <c r="AF135" i="2"/>
  <c r="AF125" i="2"/>
  <c r="AF88" i="2"/>
  <c r="AF89" i="2"/>
  <c r="EH87" i="2"/>
  <c r="EH4" i="2"/>
  <c r="JR24" i="2"/>
  <c r="EI137" i="2"/>
  <c r="EI135" i="2"/>
  <c r="EI136" i="2"/>
  <c r="EI89" i="2"/>
  <c r="EI88" i="2" s="1"/>
  <c r="O64" i="9"/>
  <c r="DW10" i="7"/>
  <c r="U87" i="2"/>
  <c r="FE24" i="2"/>
  <c r="U4" i="2"/>
  <c r="AB64" i="9"/>
  <c r="EJ10" i="7"/>
  <c r="AH87" i="2"/>
  <c r="FR24" i="2"/>
  <c r="AH4" i="2"/>
  <c r="AO64" i="9"/>
  <c r="EW10" i="7"/>
  <c r="AU87" i="2"/>
  <c r="GE24" i="2"/>
  <c r="AU4" i="2"/>
  <c r="AD64" i="9"/>
  <c r="EL10" i="7"/>
  <c r="AJ87" i="2"/>
  <c r="FT24" i="2"/>
  <c r="AJ4" i="2"/>
  <c r="S64" i="9"/>
  <c r="EA10" i="7"/>
  <c r="Y87" i="2"/>
  <c r="FI24" i="2"/>
  <c r="Y4" i="2"/>
  <c r="AF64" i="9"/>
  <c r="EN10" i="7"/>
  <c r="AL87" i="2"/>
  <c r="AL4" i="2"/>
  <c r="FV24" i="2"/>
  <c r="IR136" i="2"/>
  <c r="IR137" i="2" s="1"/>
  <c r="HT197" i="2"/>
  <c r="HT194" i="2"/>
  <c r="HT101" i="2"/>
  <c r="HT98" i="2"/>
  <c r="HT95" i="2"/>
  <c r="HT100" i="2"/>
  <c r="HT97" i="2"/>
  <c r="HT94" i="2"/>
  <c r="HT96" i="2"/>
  <c r="HT93" i="2"/>
  <c r="HT99" i="2"/>
  <c r="HT102" i="2"/>
  <c r="HT51" i="2"/>
  <c r="HT55" i="2"/>
  <c r="ND3" i="2"/>
  <c r="ND92" i="2" s="1"/>
  <c r="GJ197" i="2"/>
  <c r="GJ194" i="2"/>
  <c r="GJ101" i="2"/>
  <c r="GJ98" i="2"/>
  <c r="GJ95" i="2"/>
  <c r="GJ100" i="2"/>
  <c r="GJ97" i="2"/>
  <c r="GJ94" i="2"/>
  <c r="GJ96" i="2"/>
  <c r="GJ93" i="2"/>
  <c r="GJ99" i="2"/>
  <c r="GJ102" i="2"/>
  <c r="GJ51" i="2"/>
  <c r="GJ55" i="2"/>
  <c r="LT3" i="2"/>
  <c r="LT92" i="2" s="1"/>
  <c r="AN114" i="2"/>
  <c r="AN117" i="2"/>
  <c r="EZ197" i="2"/>
  <c r="EZ194" i="2"/>
  <c r="EZ101" i="2"/>
  <c r="EZ98" i="2"/>
  <c r="EZ95" i="2"/>
  <c r="EZ100" i="2"/>
  <c r="EZ97" i="2"/>
  <c r="EZ94" i="2"/>
  <c r="EZ96" i="2"/>
  <c r="EZ93" i="2"/>
  <c r="EZ99" i="2"/>
  <c r="EZ102" i="2"/>
  <c r="EZ51" i="2"/>
  <c r="EZ55" i="2"/>
  <c r="KJ3" i="2"/>
  <c r="KJ92" i="2" s="1"/>
  <c r="DA64" i="9"/>
  <c r="DG87" i="2"/>
  <c r="DG4" i="2"/>
  <c r="IQ24" i="2"/>
  <c r="T82" i="4"/>
  <c r="AD135" i="2"/>
  <c r="AD125" i="2"/>
  <c r="AD123" i="2"/>
  <c r="AD134" i="2"/>
  <c r="AD137" i="2"/>
  <c r="AD124" i="2"/>
  <c r="AD89" i="2"/>
  <c r="AD88" i="2"/>
  <c r="AD136" i="2"/>
  <c r="HS136" i="2"/>
  <c r="HS137" i="2" s="1"/>
  <c r="AM113" i="2"/>
  <c r="AA108" i="2"/>
  <c r="N111" i="2"/>
  <c r="EX136" i="2"/>
  <c r="EX137" i="2" s="1"/>
  <c r="N114" i="2"/>
  <c r="FU136" i="2"/>
  <c r="FU137" i="2" s="1"/>
  <c r="Y113" i="2"/>
  <c r="IZ102" i="2"/>
  <c r="EV93" i="2"/>
  <c r="NU27" i="2"/>
  <c r="PA24" i="2"/>
  <c r="PC27" i="2"/>
  <c r="JB102" i="2"/>
  <c r="JA93" i="2"/>
  <c r="C158" i="10"/>
  <c r="H138" i="2" a="1"/>
  <c r="H138" i="2" s="1"/>
  <c r="C138" i="2"/>
  <c r="N39" i="4"/>
  <c r="F39" i="4"/>
  <c r="N41" i="4"/>
  <c r="F41" i="4"/>
  <c r="DD55" i="2"/>
  <c r="IN53" i="2"/>
  <c r="MF29" i="2"/>
  <c r="MF34" i="2"/>
  <c r="MF28" i="2"/>
  <c r="MF30" i="2"/>
  <c r="MF27" i="2"/>
  <c r="GD194" i="2"/>
  <c r="GD197" i="2"/>
  <c r="GD102" i="2"/>
  <c r="GD99" i="2"/>
  <c r="GD96" i="2"/>
  <c r="GD93" i="2"/>
  <c r="GD101" i="2"/>
  <c r="GD98" i="2"/>
  <c r="GD95" i="2"/>
  <c r="GD55" i="2"/>
  <c r="GD100" i="2"/>
  <c r="GD97" i="2"/>
  <c r="GD94" i="2"/>
  <c r="GD51" i="2"/>
  <c r="LN3" i="2"/>
  <c r="LN92" i="2" s="1"/>
  <c r="AI111" i="2"/>
  <c r="AI113" i="2"/>
  <c r="W116" i="2"/>
  <c r="ES43" i="2"/>
  <c r="ER43" i="2"/>
  <c r="KC43" i="2"/>
  <c r="AH117" i="2"/>
  <c r="AH113" i="2"/>
  <c r="V117" i="2"/>
  <c r="OL29" i="2"/>
  <c r="OL34" i="2"/>
  <c r="OL28" i="2"/>
  <c r="OL30" i="2"/>
  <c r="OL27" i="2"/>
  <c r="FK53" i="2"/>
  <c r="AA55" i="2"/>
  <c r="JH194" i="2"/>
  <c r="JH197" i="2"/>
  <c r="JH100" i="2"/>
  <c r="JH97" i="2"/>
  <c r="JH94" i="2"/>
  <c r="JH102" i="2"/>
  <c r="JH99" i="2"/>
  <c r="JH96" i="2"/>
  <c r="JH93" i="2"/>
  <c r="JH95" i="2"/>
  <c r="JH98" i="2"/>
  <c r="JH101" i="2"/>
  <c r="JH55" i="2"/>
  <c r="JH51" i="2"/>
  <c r="OR3" i="2"/>
  <c r="OR92" i="2" s="1"/>
  <c r="JI136" i="2"/>
  <c r="JI137" i="2" s="1"/>
  <c r="GC136" i="2"/>
  <c r="GC137" i="2" s="1"/>
  <c r="AG113" i="2"/>
  <c r="OK27" i="2"/>
  <c r="OK29" i="2"/>
  <c r="OK34" i="2"/>
  <c r="OK28" i="2"/>
  <c r="OK30" i="2"/>
  <c r="JG197" i="2"/>
  <c r="JG194" i="2"/>
  <c r="JG100" i="2"/>
  <c r="JG97" i="2"/>
  <c r="JG94" i="2"/>
  <c r="JG102" i="2"/>
  <c r="JG99" i="2"/>
  <c r="JG96" i="2"/>
  <c r="JG93" i="2"/>
  <c r="JG95" i="2"/>
  <c r="JG98" i="2"/>
  <c r="JG101" i="2"/>
  <c r="JG55" i="2"/>
  <c r="OQ3" i="2"/>
  <c r="OQ92" i="2" s="1"/>
  <c r="JG51" i="2"/>
  <c r="AF117" i="2"/>
  <c r="T114" i="2"/>
  <c r="HU53" i="2"/>
  <c r="EC136" i="2"/>
  <c r="EC135" i="2"/>
  <c r="EC137" i="2"/>
  <c r="EC89" i="2"/>
  <c r="EC88" i="2" s="1"/>
  <c r="CS55" i="2"/>
  <c r="IC53" i="2"/>
  <c r="AW55" i="2"/>
  <c r="GG53" i="2"/>
  <c r="JR99" i="2"/>
  <c r="HV99" i="2"/>
  <c r="FN102" i="2"/>
  <c r="FB93" i="2"/>
  <c r="FO136" i="2"/>
  <c r="FO137" i="2" s="1"/>
  <c r="G44" i="4"/>
  <c r="F103" i="2"/>
  <c r="ER103" i="2"/>
  <c r="GG103" i="2" s="1"/>
  <c r="OU30" i="2"/>
  <c r="OU27" i="2"/>
  <c r="OU29" i="2"/>
  <c r="OU34" i="2"/>
  <c r="OU28" i="2"/>
  <c r="AL82" i="4"/>
  <c r="AV124" i="2"/>
  <c r="AV136" i="2"/>
  <c r="AV135" i="2"/>
  <c r="AV125" i="2"/>
  <c r="AV137" i="2"/>
  <c r="AV134" i="2"/>
  <c r="AV123" i="2"/>
  <c r="AV89" i="2"/>
  <c r="AV88" i="2"/>
  <c r="FY197" i="2"/>
  <c r="FY194" i="2"/>
  <c r="FY100" i="2"/>
  <c r="FY97" i="2"/>
  <c r="FY94" i="2"/>
  <c r="FY102" i="2"/>
  <c r="FY99" i="2"/>
  <c r="FY96" i="2"/>
  <c r="FY93" i="2"/>
  <c r="FY101" i="2"/>
  <c r="FY98" i="2"/>
  <c r="FY95" i="2"/>
  <c r="FY51" i="2"/>
  <c r="FY55" i="2"/>
  <c r="LI3" i="2"/>
  <c r="LI92" i="2" s="1"/>
  <c r="FZ136" i="2"/>
  <c r="FZ137" i="2" s="1"/>
  <c r="AD116" i="2"/>
  <c r="AD113" i="2"/>
  <c r="R114" i="2"/>
  <c r="EM136" i="2"/>
  <c r="EM135" i="2"/>
  <c r="EM89" i="2"/>
  <c r="EM137" i="2"/>
  <c r="CG82" i="4"/>
  <c r="CQ136" i="2"/>
  <c r="CQ135" i="2"/>
  <c r="CQ89" i="2"/>
  <c r="CQ88" i="2" s="1"/>
  <c r="CQ137" i="2"/>
  <c r="GK136" i="2"/>
  <c r="GK137" i="2" s="1"/>
  <c r="BT89" i="2"/>
  <c r="DU55" i="2"/>
  <c r="AI64" i="9"/>
  <c r="EQ10" i="7"/>
  <c r="AO87" i="2"/>
  <c r="AO4" i="2"/>
  <c r="FY24" i="2"/>
  <c r="AH64" i="9"/>
  <c r="EP10" i="7"/>
  <c r="AN87" i="2"/>
  <c r="AN4" i="2"/>
  <c r="FX24" i="2"/>
  <c r="FJ197" i="2"/>
  <c r="FJ194" i="2"/>
  <c r="FJ101" i="2"/>
  <c r="FJ98" i="2"/>
  <c r="FJ95" i="2"/>
  <c r="FJ100" i="2"/>
  <c r="FJ97" i="2"/>
  <c r="FJ94" i="2"/>
  <c r="FJ96" i="2"/>
  <c r="FJ93" i="2"/>
  <c r="FJ99" i="2"/>
  <c r="FJ102" i="2"/>
  <c r="FJ51" i="2"/>
  <c r="FJ55" i="2"/>
  <c r="KT3" i="2"/>
  <c r="KT92" i="2" s="1"/>
  <c r="GF136" i="2"/>
  <c r="GF137" i="2" s="1"/>
  <c r="NC27" i="2"/>
  <c r="HE197" i="2"/>
  <c r="HE194" i="2"/>
  <c r="HE101" i="2"/>
  <c r="HE98" i="2"/>
  <c r="HE95" i="2"/>
  <c r="HE100" i="2"/>
  <c r="HE97" i="2"/>
  <c r="HE94" i="2"/>
  <c r="HE96" i="2"/>
  <c r="HE93" i="2"/>
  <c r="HE102" i="2"/>
  <c r="HE99" i="2"/>
  <c r="HE51" i="2"/>
  <c r="HE55" i="2"/>
  <c r="MO3" i="2"/>
  <c r="MO92" i="2" s="1"/>
  <c r="MQ24" i="2"/>
  <c r="IM102" i="2"/>
  <c r="DB55" i="2"/>
  <c r="IL53" i="2"/>
  <c r="KP30" i="2"/>
  <c r="KP27" i="2"/>
  <c r="KP29" i="2"/>
  <c r="KP34" i="2"/>
  <c r="KP28" i="2"/>
  <c r="V55" i="2"/>
  <c r="FF53" i="2"/>
  <c r="X114" i="2"/>
  <c r="DD64" i="9"/>
  <c r="DJ87" i="2"/>
  <c r="DJ4" i="2"/>
  <c r="IT24" i="2"/>
  <c r="EK137" i="2"/>
  <c r="EK136" i="2"/>
  <c r="EK135" i="2"/>
  <c r="EK89" i="2"/>
  <c r="EK134" i="2" s="1"/>
  <c r="JI53" i="2"/>
  <c r="DY55" i="2"/>
  <c r="IK53" i="2"/>
  <c r="DA55" i="2"/>
  <c r="HM53" i="2"/>
  <c r="CC55" i="2"/>
  <c r="GO53" i="2"/>
  <c r="BE55" i="2"/>
  <c r="FQ53" i="2"/>
  <c r="AG55" i="2"/>
  <c r="MB27" i="2"/>
  <c r="JO102" i="2"/>
  <c r="LL34" i="2"/>
  <c r="LL28" i="2"/>
  <c r="LL30" i="2"/>
  <c r="LL27" i="2"/>
  <c r="LL29" i="2"/>
  <c r="IE194" i="2"/>
  <c r="IE197" i="2"/>
  <c r="IE101" i="2"/>
  <c r="IE98" i="2"/>
  <c r="IE95" i="2"/>
  <c r="IE100" i="2"/>
  <c r="IE97" i="2"/>
  <c r="IE94" i="2"/>
  <c r="IE96" i="2"/>
  <c r="IE93" i="2"/>
  <c r="IE99" i="2"/>
  <c r="IE102" i="2"/>
  <c r="IE51" i="2"/>
  <c r="IE55" i="2"/>
  <c r="NO3" i="2"/>
  <c r="NO92" i="2" s="1"/>
  <c r="DB64" i="9"/>
  <c r="DH87" i="2"/>
  <c r="DH4" i="2"/>
  <c r="IR24" i="2"/>
  <c r="HK53" i="2"/>
  <c r="CA55" i="2"/>
  <c r="N64" i="9"/>
  <c r="DV10" i="7"/>
  <c r="T87" i="2"/>
  <c r="T4" i="2"/>
  <c r="FD24" i="2"/>
  <c r="AA64" i="9"/>
  <c r="EI10" i="7"/>
  <c r="AG87" i="2"/>
  <c r="FQ24" i="2"/>
  <c r="AG4" i="2"/>
  <c r="AN64" i="9"/>
  <c r="EV10" i="7"/>
  <c r="AT87" i="2"/>
  <c r="GD24" i="2"/>
  <c r="AT4" i="2"/>
  <c r="BA64" i="9"/>
  <c r="FI10" i="7"/>
  <c r="BG87" i="2"/>
  <c r="GQ24" i="2"/>
  <c r="BG4" i="2"/>
  <c r="AP64" i="9"/>
  <c r="EX10" i="7"/>
  <c r="AV87" i="2"/>
  <c r="GF24" i="2"/>
  <c r="AV4" i="2"/>
  <c r="AE64" i="9"/>
  <c r="EM10" i="7"/>
  <c r="AK87" i="2"/>
  <c r="FU24" i="2"/>
  <c r="AK4" i="2"/>
  <c r="AR64" i="9"/>
  <c r="EZ10" i="7"/>
  <c r="AX87" i="2"/>
  <c r="AX4" i="2"/>
  <c r="GH24" i="2"/>
  <c r="JD197" i="2"/>
  <c r="JD194" i="2"/>
  <c r="JD101" i="2"/>
  <c r="JD98" i="2"/>
  <c r="JD95" i="2"/>
  <c r="JD100" i="2"/>
  <c r="JD97" i="2"/>
  <c r="JD94" i="2"/>
  <c r="JD96" i="2"/>
  <c r="JD93" i="2"/>
  <c r="JD99" i="2"/>
  <c r="JD102" i="2"/>
  <c r="JD51" i="2"/>
  <c r="JD55" i="2"/>
  <c r="ON3" i="2"/>
  <c r="ON92" i="2" s="1"/>
  <c r="HH136" i="2"/>
  <c r="HH137" i="2" s="1"/>
  <c r="P111" i="2"/>
  <c r="BT64" i="9"/>
  <c r="BZ87" i="2"/>
  <c r="BZ4" i="2"/>
  <c r="HJ24" i="2"/>
  <c r="IY99" i="2"/>
  <c r="O111" i="2"/>
  <c r="N116" i="2"/>
  <c r="AJ112" i="2"/>
  <c r="Y117" i="2"/>
  <c r="FI136" i="2"/>
  <c r="FI137" i="2" s="1"/>
  <c r="LU27" i="2"/>
  <c r="KN27" i="2"/>
  <c r="JB99" i="2"/>
  <c r="DD36" i="7"/>
  <c r="CR36" i="7"/>
  <c r="CX36" i="7"/>
  <c r="CV36" i="7"/>
  <c r="CU36" i="7"/>
  <c r="J44" i="4"/>
  <c r="CT36" i="7"/>
  <c r="O164" i="2"/>
  <c r="P164" i="2" s="1"/>
  <c r="W164" i="2" s="1"/>
  <c r="KA103" i="2"/>
  <c r="E190" i="8"/>
  <c r="CX30" i="7"/>
  <c r="J38" i="4"/>
  <c r="CT30" i="7"/>
  <c r="CR30" i="7"/>
  <c r="DD30" i="7"/>
  <c r="KA97" i="2"/>
  <c r="AJ55" i="2"/>
  <c r="FT53" i="2"/>
  <c r="LH29" i="2"/>
  <c r="LH34" i="2"/>
  <c r="LH28" i="2"/>
  <c r="LH30" i="2"/>
  <c r="LH27" i="2"/>
  <c r="BC82" i="4"/>
  <c r="BM135" i="2"/>
  <c r="BM137" i="2"/>
  <c r="BM136" i="2"/>
  <c r="BM89" i="2"/>
  <c r="BM88" i="2" s="1"/>
  <c r="FF197" i="2"/>
  <c r="FF194" i="2"/>
  <c r="FF102" i="2"/>
  <c r="FF99" i="2"/>
  <c r="FF96" i="2"/>
  <c r="FF93" i="2"/>
  <c r="FF101" i="2"/>
  <c r="FF98" i="2"/>
  <c r="FF95" i="2"/>
  <c r="FF97" i="2"/>
  <c r="FF94" i="2"/>
  <c r="FF55" i="2"/>
  <c r="FF100" i="2"/>
  <c r="FF51" i="2"/>
  <c r="KP3" i="2"/>
  <c r="KP92" i="2" s="1"/>
  <c r="IY136" i="2"/>
  <c r="IY137" i="2" s="1"/>
  <c r="AI117" i="2"/>
  <c r="IW102" i="2"/>
  <c r="IK93" i="2"/>
  <c r="HA102" i="2"/>
  <c r="GO93" i="2"/>
  <c r="FE102" i="2"/>
  <c r="FR136" i="2"/>
  <c r="FR137" i="2" s="1"/>
  <c r="NN29" i="2"/>
  <c r="NN34" i="2"/>
  <c r="NN28" i="2"/>
  <c r="NN30" i="2"/>
  <c r="NN27" i="2"/>
  <c r="IE53" i="2"/>
  <c r="CU55" i="2"/>
  <c r="BA82" i="4"/>
  <c r="BK136" i="2"/>
  <c r="BK135" i="2"/>
  <c r="BK137" i="2"/>
  <c r="BK89" i="2"/>
  <c r="BK88" i="2" s="1"/>
  <c r="IJ197" i="2"/>
  <c r="IJ194" i="2"/>
  <c r="IJ100" i="2"/>
  <c r="IJ97" i="2"/>
  <c r="IJ94" i="2"/>
  <c r="IJ102" i="2"/>
  <c r="IJ99" i="2"/>
  <c r="IJ96" i="2"/>
  <c r="IJ93" i="2"/>
  <c r="IJ95" i="2"/>
  <c r="IJ101" i="2"/>
  <c r="IJ98" i="2"/>
  <c r="IJ55" i="2"/>
  <c r="IJ51" i="2"/>
  <c r="NT3" i="2"/>
  <c r="NT92" i="2" s="1"/>
  <c r="IK136" i="2"/>
  <c r="IK137" i="2" s="1"/>
  <c r="AG117" i="2"/>
  <c r="FE136" i="2"/>
  <c r="FE137" i="2" s="1"/>
  <c r="U114" i="2"/>
  <c r="NM27" i="2"/>
  <c r="NM29" i="2"/>
  <c r="NM34" i="2"/>
  <c r="NM28" i="2"/>
  <c r="NM30" i="2"/>
  <c r="HR53" i="2"/>
  <c r="CH55" i="2"/>
  <c r="FV53" i="2"/>
  <c r="AL55" i="2"/>
  <c r="II197" i="2"/>
  <c r="II194" i="2"/>
  <c r="II100" i="2"/>
  <c r="II97" i="2"/>
  <c r="II94" i="2"/>
  <c r="II102" i="2"/>
  <c r="II99" i="2"/>
  <c r="II96" i="2"/>
  <c r="II93" i="2"/>
  <c r="II98" i="2"/>
  <c r="II101" i="2"/>
  <c r="II55" i="2"/>
  <c r="II95" i="2"/>
  <c r="II51" i="2"/>
  <c r="NS3" i="2"/>
  <c r="NS92" i="2" s="1"/>
  <c r="T111" i="2"/>
  <c r="FA53" i="2"/>
  <c r="CI82" i="4"/>
  <c r="CS136" i="2"/>
  <c r="CS135" i="2"/>
  <c r="CS89" i="2"/>
  <c r="CS134" i="2" s="1"/>
  <c r="CS137" i="2"/>
  <c r="AM82" i="4"/>
  <c r="AW136" i="2"/>
  <c r="AW135" i="2"/>
  <c r="AW89" i="2"/>
  <c r="AW88" i="2" s="1"/>
  <c r="AW137" i="2"/>
  <c r="HJ93" i="2"/>
  <c r="FB99" i="2"/>
  <c r="JS136" i="2"/>
  <c r="JS137" i="2" s="1"/>
  <c r="S112" i="2"/>
  <c r="NW30" i="2"/>
  <c r="NW27" i="2"/>
  <c r="NW29" i="2"/>
  <c r="NW34" i="2"/>
  <c r="NW28" i="2"/>
  <c r="EN136" i="2"/>
  <c r="EN135" i="2"/>
  <c r="EN137" i="2"/>
  <c r="EN89" i="2"/>
  <c r="EN88" i="2" s="1"/>
  <c r="K54" i="2"/>
  <c r="FA197" i="2"/>
  <c r="FA194" i="2"/>
  <c r="FA100" i="2"/>
  <c r="FA97" i="2"/>
  <c r="FA94" i="2"/>
  <c r="FA102" i="2"/>
  <c r="FA99" i="2"/>
  <c r="FA96" i="2"/>
  <c r="FA93" i="2"/>
  <c r="FA95" i="2"/>
  <c r="FA98" i="2"/>
  <c r="FA101" i="2"/>
  <c r="FA51" i="2"/>
  <c r="FA55" i="2"/>
  <c r="KK3" i="2"/>
  <c r="KK92" i="2" s="1"/>
  <c r="R117" i="2"/>
  <c r="GF53" i="2"/>
  <c r="IG136" i="2"/>
  <c r="IG137" i="2" s="1"/>
  <c r="AC108" i="2"/>
  <c r="Q108" i="2"/>
  <c r="Q111" i="2"/>
  <c r="BA55" i="2"/>
  <c r="JK102" i="2"/>
  <c r="DM64" i="9"/>
  <c r="DS87" i="2"/>
  <c r="DS4" i="2"/>
  <c r="JC24" i="2"/>
  <c r="AL112" i="2"/>
  <c r="FV136" i="2"/>
  <c r="FV137" i="2" s="1"/>
  <c r="AL116" i="2"/>
  <c r="M114" i="2"/>
  <c r="PF30" i="2"/>
  <c r="PF27" i="2"/>
  <c r="PF29" i="2"/>
  <c r="PF34" i="2"/>
  <c r="PF28" i="2"/>
  <c r="CR82" i="4"/>
  <c r="DB137" i="2"/>
  <c r="DB136" i="2"/>
  <c r="DB135" i="2"/>
  <c r="DB89" i="2"/>
  <c r="DB88" i="2" s="1"/>
  <c r="FG102" i="2"/>
  <c r="X108" i="2"/>
  <c r="ME27" i="2"/>
  <c r="AW64" i="9"/>
  <c r="FE10" i="7"/>
  <c r="BC87" i="2"/>
  <c r="BC4" i="2"/>
  <c r="GM24" i="2"/>
  <c r="AU82" i="4"/>
  <c r="BE137" i="2"/>
  <c r="BE136" i="2"/>
  <c r="BE135" i="2"/>
  <c r="BE89" i="2"/>
  <c r="BE134" i="2" s="1"/>
  <c r="HO102" i="2"/>
  <c r="JO93" i="2"/>
  <c r="FJ136" i="2"/>
  <c r="FJ137" i="2" s="1"/>
  <c r="Z114" i="2"/>
  <c r="GI99" i="2"/>
  <c r="OF27" i="2"/>
  <c r="IQ99" i="2"/>
  <c r="GT136" i="2"/>
  <c r="GT137" i="2" s="1"/>
  <c r="J66" i="9"/>
  <c r="AU64" i="9"/>
  <c r="FC10" i="7"/>
  <c r="BA87" i="2"/>
  <c r="BA4" i="2"/>
  <c r="GK24" i="2"/>
  <c r="AL64" i="9"/>
  <c r="ET10" i="7"/>
  <c r="AR87" i="2"/>
  <c r="AR4" i="2"/>
  <c r="GB24" i="2"/>
  <c r="AY64" i="9"/>
  <c r="FG10" i="7"/>
  <c r="BE87" i="2"/>
  <c r="GO24" i="2"/>
  <c r="BE4" i="2"/>
  <c r="BL64" i="9"/>
  <c r="FT10" i="7"/>
  <c r="BR87" i="2"/>
  <c r="HB24" i="2"/>
  <c r="BR4" i="2"/>
  <c r="BY64" i="9"/>
  <c r="CE87" i="2"/>
  <c r="HO24" i="2"/>
  <c r="CE4" i="2"/>
  <c r="BN64" i="9"/>
  <c r="FV10" i="7"/>
  <c r="BT87" i="2"/>
  <c r="HD24" i="2"/>
  <c r="BT4" i="2"/>
  <c r="BC64" i="9"/>
  <c r="FK10" i="7"/>
  <c r="BI87" i="2"/>
  <c r="GS24" i="2"/>
  <c r="BI4" i="2"/>
  <c r="BP64" i="9"/>
  <c r="BV87" i="2"/>
  <c r="BV4" i="2"/>
  <c r="HF24" i="2"/>
  <c r="EY102" i="2"/>
  <c r="AB114" i="2"/>
  <c r="EZ136" i="2"/>
  <c r="EZ137" i="2" s="1"/>
  <c r="M64" i="9"/>
  <c r="DU10" i="7"/>
  <c r="S87" i="2"/>
  <c r="S4" i="2"/>
  <c r="FC24" i="2"/>
  <c r="BP82" i="4"/>
  <c r="BZ135" i="2"/>
  <c r="BZ137" i="2"/>
  <c r="BZ89" i="2"/>
  <c r="BZ134" i="2" s="1"/>
  <c r="BZ136" i="2"/>
  <c r="JC136" i="2"/>
  <c r="JC137" i="2" s="1"/>
  <c r="AA114" i="2"/>
  <c r="IP136" i="2"/>
  <c r="IP137" i="2" s="1"/>
  <c r="IC136" i="2"/>
  <c r="IC137" i="2" s="1"/>
  <c r="AV55" i="2"/>
  <c r="KK27" i="2"/>
  <c r="EV102" i="2"/>
  <c r="MV27" i="2"/>
  <c r="ID102" i="2"/>
  <c r="FV102" i="2"/>
  <c r="GS102" i="2"/>
  <c r="Y66" i="7"/>
  <c r="F44" i="4"/>
  <c r="N44" i="4"/>
  <c r="F38" i="4"/>
  <c r="N38" i="4"/>
  <c r="I119" i="2"/>
  <c r="H119" i="2" s="1"/>
  <c r="CS38" i="7"/>
  <c r="F6" i="1" s="1"/>
  <c r="KV29" i="2"/>
  <c r="KV34" i="2"/>
  <c r="KV28" i="2"/>
  <c r="KV30" i="2"/>
  <c r="KV27" i="2"/>
  <c r="DK82" i="4"/>
  <c r="DU135" i="2"/>
  <c r="DU137" i="2"/>
  <c r="DU136" i="2"/>
  <c r="DU89" i="2"/>
  <c r="DU134" i="2" s="1"/>
  <c r="IL136" i="2"/>
  <c r="IL137" i="2" s="1"/>
  <c r="HN136" i="2"/>
  <c r="HN137" i="2" s="1"/>
  <c r="NB29" i="2"/>
  <c r="NB34" i="2"/>
  <c r="NB28" i="2"/>
  <c r="NB30" i="2"/>
  <c r="NB27" i="2"/>
  <c r="JO53" i="2"/>
  <c r="EE55" i="2"/>
  <c r="CK82" i="4"/>
  <c r="CU136" i="2"/>
  <c r="CU135" i="2"/>
  <c r="CU137" i="2"/>
  <c r="CU89" i="2"/>
  <c r="CU88" i="2" s="1"/>
  <c r="HX194" i="2"/>
  <c r="HX197" i="2"/>
  <c r="HX100" i="2"/>
  <c r="HX97" i="2"/>
  <c r="HX94" i="2"/>
  <c r="HX102" i="2"/>
  <c r="HX99" i="2"/>
  <c r="HX96" i="2"/>
  <c r="HX93" i="2"/>
  <c r="HX95" i="2"/>
  <c r="HX98" i="2"/>
  <c r="HX101" i="2"/>
  <c r="HX55" i="2"/>
  <c r="HX51" i="2"/>
  <c r="NH3" i="2"/>
  <c r="NH92" i="2" s="1"/>
  <c r="U116" i="2"/>
  <c r="NA27" i="2"/>
  <c r="NA29" i="2"/>
  <c r="NA34" i="2"/>
  <c r="NA28" i="2"/>
  <c r="NA30" i="2"/>
  <c r="JN53" i="2"/>
  <c r="ED55" i="2"/>
  <c r="HW197" i="2"/>
  <c r="HW194" i="2"/>
  <c r="HW100" i="2"/>
  <c r="HW97" i="2"/>
  <c r="HW94" i="2"/>
  <c r="HW102" i="2"/>
  <c r="HW99" i="2"/>
  <c r="HW96" i="2"/>
  <c r="HW93" i="2"/>
  <c r="HW95" i="2"/>
  <c r="HW98" i="2"/>
  <c r="HW101" i="2"/>
  <c r="HW55" i="2"/>
  <c r="NG3" i="2"/>
  <c r="NG92" i="2" s="1"/>
  <c r="HW51" i="2"/>
  <c r="JH136" i="2"/>
  <c r="JH137" i="2" s="1"/>
  <c r="AF108" i="2"/>
  <c r="T113" i="2"/>
  <c r="JL53" i="2"/>
  <c r="EB55" i="2"/>
  <c r="DE55" i="2"/>
  <c r="IO53" i="2"/>
  <c r="BI55" i="2"/>
  <c r="GS53" i="2"/>
  <c r="M55" i="2"/>
  <c r="EW53" i="2"/>
  <c r="JF99" i="2"/>
  <c r="FB102" i="2"/>
  <c r="HK136" i="2"/>
  <c r="HK137" i="2" s="1"/>
  <c r="AQ117" i="2"/>
  <c r="AE112" i="2"/>
  <c r="S108" i="2"/>
  <c r="NK30" i="2"/>
  <c r="NK27" i="2"/>
  <c r="NK29" i="2"/>
  <c r="NK34" i="2"/>
  <c r="NK28" i="2"/>
  <c r="DR82" i="4"/>
  <c r="EB136" i="2"/>
  <c r="EB135" i="2"/>
  <c r="EB137" i="2"/>
  <c r="EB89" i="2"/>
  <c r="EB124" i="2" s="1"/>
  <c r="HV136" i="2"/>
  <c r="HV137" i="2" s="1"/>
  <c r="FN136" i="2"/>
  <c r="FN137" i="2" s="1"/>
  <c r="DO55" i="2"/>
  <c r="IY53" i="2"/>
  <c r="AU55" i="2"/>
  <c r="GE53" i="2"/>
  <c r="M82" i="4"/>
  <c r="W124" i="2"/>
  <c r="W136" i="2"/>
  <c r="W135" i="2"/>
  <c r="W134" i="2"/>
  <c r="W125" i="2"/>
  <c r="W123" i="2"/>
  <c r="W137" i="2"/>
  <c r="W89" i="2"/>
  <c r="W88" i="2"/>
  <c r="AO117" i="2"/>
  <c r="Q117" i="2"/>
  <c r="Q55" i="2"/>
  <c r="JB136" i="2"/>
  <c r="JB137" i="2" s="1"/>
  <c r="MG27" i="2"/>
  <c r="CF64" i="9"/>
  <c r="CL87" i="2"/>
  <c r="CL4" i="2"/>
  <c r="HV24" i="2"/>
  <c r="HQ194" i="2"/>
  <c r="HQ197" i="2"/>
  <c r="HQ101" i="2"/>
  <c r="HQ98" i="2"/>
  <c r="HQ95" i="2"/>
  <c r="HQ100" i="2"/>
  <c r="HQ97" i="2"/>
  <c r="HQ94" i="2"/>
  <c r="HQ96" i="2"/>
  <c r="HQ93" i="2"/>
  <c r="HQ102" i="2"/>
  <c r="HQ99" i="2"/>
  <c r="HQ51" i="2"/>
  <c r="HQ55" i="2"/>
  <c r="NA3" i="2"/>
  <c r="NA92" i="2" s="1"/>
  <c r="F36" i="1"/>
  <c r="M116" i="2"/>
  <c r="GH93" i="2"/>
  <c r="L108" i="2"/>
  <c r="EL55" i="2"/>
  <c r="JV53" i="2"/>
  <c r="MX30" i="2"/>
  <c r="MX27" i="2"/>
  <c r="MX29" i="2"/>
  <c r="MX34" i="2"/>
  <c r="MX28" i="2"/>
  <c r="LZ30" i="2"/>
  <c r="LZ27" i="2"/>
  <c r="LZ29" i="2"/>
  <c r="LZ34" i="2"/>
  <c r="LZ28" i="2"/>
  <c r="BF55" i="2"/>
  <c r="GP53" i="2"/>
  <c r="L82" i="4"/>
  <c r="V137" i="2"/>
  <c r="V124" i="2"/>
  <c r="V136" i="2"/>
  <c r="V123" i="2"/>
  <c r="V125" i="2"/>
  <c r="V135" i="2"/>
  <c r="V134" i="2"/>
  <c r="V89" i="2"/>
  <c r="V88" i="2"/>
  <c r="X112" i="2"/>
  <c r="X116" i="2"/>
  <c r="KU27" i="2"/>
  <c r="W64" i="9"/>
  <c r="EE10" i="7"/>
  <c r="AC87" i="2"/>
  <c r="AC4" i="2"/>
  <c r="FM24" i="2"/>
  <c r="Z116" i="2"/>
  <c r="CI89" i="2"/>
  <c r="IJ53" i="2"/>
  <c r="CZ55" i="2"/>
  <c r="FP53" i="2"/>
  <c r="AF55" i="2"/>
  <c r="U64" i="9"/>
  <c r="EC10" i="7"/>
  <c r="AA87" i="2"/>
  <c r="AA4" i="2"/>
  <c r="FK24" i="2"/>
  <c r="JG53" i="2"/>
  <c r="DW55" i="2"/>
  <c r="GY53" i="2"/>
  <c r="BO55" i="2"/>
  <c r="GM53" i="2"/>
  <c r="BC55" i="2"/>
  <c r="AX64" i="9"/>
  <c r="FF10" i="7"/>
  <c r="BD87" i="2"/>
  <c r="BD4" i="2"/>
  <c r="GN24" i="2"/>
  <c r="BK64" i="9"/>
  <c r="FS10" i="7"/>
  <c r="BQ87" i="2"/>
  <c r="HA24" i="2"/>
  <c r="BQ4" i="2"/>
  <c r="BX64" i="9"/>
  <c r="CD87" i="2"/>
  <c r="HN24" i="2"/>
  <c r="CD4" i="2"/>
  <c r="CK64" i="9"/>
  <c r="CQ87" i="2"/>
  <c r="IA24" i="2"/>
  <c r="CQ4" i="2"/>
  <c r="BZ64" i="9"/>
  <c r="CF87" i="2"/>
  <c r="HP24" i="2"/>
  <c r="CF4" i="2"/>
  <c r="BO64" i="9"/>
  <c r="FW10" i="7"/>
  <c r="FX10" i="7" s="1"/>
  <c r="FY10" i="7" s="1"/>
  <c r="FZ10" i="7" s="1"/>
  <c r="GA10" i="7" s="1"/>
  <c r="GB10" i="7" s="1"/>
  <c r="GC10" i="7" s="1"/>
  <c r="BU87" i="2"/>
  <c r="HE24" i="2"/>
  <c r="BU4" i="2"/>
  <c r="CB64" i="9"/>
  <c r="CH87" i="2"/>
  <c r="CH4" i="2"/>
  <c r="HR24" i="2"/>
  <c r="GQ93" i="2"/>
  <c r="JP197" i="2"/>
  <c r="JP194" i="2"/>
  <c r="JP101" i="2"/>
  <c r="JP98" i="2"/>
  <c r="JP95" i="2"/>
  <c r="JP100" i="2"/>
  <c r="JP97" i="2"/>
  <c r="JP94" i="2"/>
  <c r="JP99" i="2"/>
  <c r="JP102" i="2"/>
  <c r="JP93" i="2"/>
  <c r="JP51" i="2"/>
  <c r="JP55" i="2"/>
  <c r="JP96" i="2"/>
  <c r="OZ3" i="2"/>
  <c r="OZ92" i="2" s="1"/>
  <c r="IF197" i="2"/>
  <c r="IF194" i="2"/>
  <c r="IF101" i="2"/>
  <c r="IF98" i="2"/>
  <c r="IF95" i="2"/>
  <c r="IF100" i="2"/>
  <c r="IF97" i="2"/>
  <c r="IF94" i="2"/>
  <c r="IF99" i="2"/>
  <c r="IF102" i="2"/>
  <c r="IF96" i="2"/>
  <c r="IF51" i="2"/>
  <c r="IF93" i="2"/>
  <c r="IF55" i="2"/>
  <c r="NP3" i="2"/>
  <c r="NP92" i="2" s="1"/>
  <c r="GV197" i="2"/>
  <c r="GV194" i="2"/>
  <c r="GV101" i="2"/>
  <c r="GV98" i="2"/>
  <c r="GV95" i="2"/>
  <c r="GV100" i="2"/>
  <c r="GV97" i="2"/>
  <c r="GV94" i="2"/>
  <c r="GV99" i="2"/>
  <c r="GV102" i="2"/>
  <c r="GV51" i="2"/>
  <c r="GV96" i="2"/>
  <c r="GV55" i="2"/>
  <c r="GV93" i="2"/>
  <c r="MF3" i="2"/>
  <c r="MF92" i="2" s="1"/>
  <c r="AB111" i="2"/>
  <c r="P117" i="2"/>
  <c r="DL82" i="4"/>
  <c r="DV135" i="2"/>
  <c r="DV137" i="2"/>
  <c r="DV89" i="2"/>
  <c r="DV88" i="2" s="1"/>
  <c r="DV136" i="2"/>
  <c r="IT53" i="2"/>
  <c r="DJ55" i="2"/>
  <c r="CN82" i="4"/>
  <c r="CX135" i="2"/>
  <c r="CX137" i="2"/>
  <c r="CX89" i="2"/>
  <c r="CX124" i="2" s="1"/>
  <c r="CX136" i="2"/>
  <c r="HV53" i="2"/>
  <c r="CL55" i="2"/>
  <c r="GX53" i="2"/>
  <c r="BN55" i="2"/>
  <c r="FZ53" i="2"/>
  <c r="AP55" i="2"/>
  <c r="FB53" i="2"/>
  <c r="R55" i="2"/>
  <c r="AA116" i="2"/>
  <c r="O117" i="2"/>
  <c r="AJ117" i="2"/>
  <c r="AJ113" i="2"/>
  <c r="JX93" i="2"/>
  <c r="HD99" i="2"/>
  <c r="ID99" i="2"/>
  <c r="FV99" i="2"/>
  <c r="GS99" i="2"/>
  <c r="IB53" i="2"/>
  <c r="CR55" i="2"/>
  <c r="MY30" i="2"/>
  <c r="MY27" i="2"/>
  <c r="MY29" i="2"/>
  <c r="MY34" i="2"/>
  <c r="MY28" i="2"/>
  <c r="JQ197" i="2"/>
  <c r="JQ194" i="2"/>
  <c r="JQ100" i="2"/>
  <c r="JQ97" i="2"/>
  <c r="JQ94" i="2"/>
  <c r="JQ102" i="2"/>
  <c r="JQ99" i="2"/>
  <c r="JQ96" i="2"/>
  <c r="JQ93" i="2"/>
  <c r="JQ98" i="2"/>
  <c r="JQ101" i="2"/>
  <c r="JQ51" i="2"/>
  <c r="JQ95" i="2"/>
  <c r="JQ55" i="2"/>
  <c r="PA3" i="2"/>
  <c r="PA92" i="2" s="1"/>
  <c r="LA34" i="2"/>
  <c r="LA28" i="2"/>
  <c r="LA30" i="2"/>
  <c r="LA27" i="2"/>
  <c r="LA29" i="2"/>
  <c r="GG136" i="2"/>
  <c r="GG137" i="2" s="1"/>
  <c r="KK24" i="2"/>
  <c r="BF64" i="9"/>
  <c r="FN10" i="7"/>
  <c r="BL87" i="2"/>
  <c r="BL4" i="2"/>
  <c r="GV24" i="2"/>
  <c r="GU197" i="2"/>
  <c r="GU194" i="2"/>
  <c r="GU101" i="2"/>
  <c r="GU98" i="2"/>
  <c r="GU95" i="2"/>
  <c r="GU100" i="2"/>
  <c r="GU97" i="2"/>
  <c r="GU94" i="2"/>
  <c r="GU96" i="2"/>
  <c r="GU93" i="2"/>
  <c r="GU99" i="2"/>
  <c r="GU102" i="2"/>
  <c r="GU51" i="2"/>
  <c r="GU55" i="2"/>
  <c r="ME3" i="2"/>
  <c r="ME92" i="2" s="1"/>
  <c r="EW136" i="2"/>
  <c r="EW137" i="2" s="1"/>
  <c r="GR136" i="2"/>
  <c r="GR137" i="2" s="1"/>
  <c r="DP82" i="4"/>
  <c r="DZ137" i="2"/>
  <c r="DZ136" i="2"/>
  <c r="DZ135" i="2"/>
  <c r="DZ89" i="2"/>
  <c r="DZ124" i="2" s="1"/>
  <c r="DN55" i="2"/>
  <c r="IX53" i="2"/>
  <c r="BT82" i="4"/>
  <c r="CD137" i="2"/>
  <c r="CD136" i="2"/>
  <c r="CD135" i="2"/>
  <c r="CD89" i="2"/>
  <c r="CD124" i="2" s="1"/>
  <c r="LB30" i="2"/>
  <c r="LB27" i="2"/>
  <c r="LB29" i="2"/>
  <c r="LB34" i="2"/>
  <c r="LB28" i="2"/>
  <c r="L66" i="9"/>
  <c r="X113" i="2"/>
  <c r="GI102" i="2"/>
  <c r="EI87" i="2"/>
  <c r="EI4" i="2"/>
  <c r="JS24" i="2"/>
  <c r="HX53" i="2"/>
  <c r="CN55" i="2"/>
  <c r="FD53" i="2"/>
  <c r="T55" i="2"/>
  <c r="IO136" i="2"/>
  <c r="IO137" i="2" s="1"/>
  <c r="OP34" i="2"/>
  <c r="OP28" i="2"/>
  <c r="OP30" i="2"/>
  <c r="OP27" i="2"/>
  <c r="OP29" i="2"/>
  <c r="JS53" i="2"/>
  <c r="EI55" i="2"/>
  <c r="DM82" i="4"/>
  <c r="DW137" i="2"/>
  <c r="DW136" i="2"/>
  <c r="DW89" i="2"/>
  <c r="DW123" i="2" s="1"/>
  <c r="DW135" i="2"/>
  <c r="CO82" i="4"/>
  <c r="CY137" i="2"/>
  <c r="CY135" i="2"/>
  <c r="CY136" i="2"/>
  <c r="CY89" i="2"/>
  <c r="CY88" i="2" s="1"/>
  <c r="BQ82" i="4"/>
  <c r="CA137" i="2"/>
  <c r="CA135" i="2"/>
  <c r="CA136" i="2"/>
  <c r="CA89" i="2"/>
  <c r="AS82" i="4"/>
  <c r="BC137" i="2"/>
  <c r="BC135" i="2"/>
  <c r="BC136" i="2"/>
  <c r="BC89" i="2"/>
  <c r="BC134" i="2" s="1"/>
  <c r="U82" i="4"/>
  <c r="AE125" i="2"/>
  <c r="AE123" i="2"/>
  <c r="AE134" i="2"/>
  <c r="AE137" i="2"/>
  <c r="AE124" i="2"/>
  <c r="AE89" i="2"/>
  <c r="AE88" i="2"/>
  <c r="AE136" i="2"/>
  <c r="AE135" i="2"/>
  <c r="BJ64" i="9"/>
  <c r="FR10" i="7"/>
  <c r="BP87" i="2"/>
  <c r="BP4" i="2"/>
  <c r="GZ24" i="2"/>
  <c r="BW64" i="9"/>
  <c r="CC87" i="2"/>
  <c r="HM24" i="2"/>
  <c r="CC4" i="2"/>
  <c r="CJ64" i="9"/>
  <c r="CP87" i="2"/>
  <c r="HZ24" i="2"/>
  <c r="CP4" i="2"/>
  <c r="CW64" i="9"/>
  <c r="DC87" i="2"/>
  <c r="IM24" i="2"/>
  <c r="DC4" i="2"/>
  <c r="CL64" i="9"/>
  <c r="CR87" i="2"/>
  <c r="IB24" i="2"/>
  <c r="CR4" i="2"/>
  <c r="CA64" i="9"/>
  <c r="HQ24" i="2"/>
  <c r="CG87" i="2"/>
  <c r="CG4" i="2"/>
  <c r="CN64" i="9"/>
  <c r="CT87" i="2"/>
  <c r="CT4" i="2"/>
  <c r="ID24" i="2"/>
  <c r="EY93" i="2"/>
  <c r="GJ136" i="2"/>
  <c r="GJ137" i="2" s="1"/>
  <c r="AB113" i="2"/>
  <c r="JR53" i="2"/>
  <c r="EH55" i="2"/>
  <c r="IC194" i="2"/>
  <c r="IC197" i="2"/>
  <c r="IC101" i="2"/>
  <c r="IC98" i="2"/>
  <c r="IC95" i="2"/>
  <c r="IC100" i="2"/>
  <c r="IC97" i="2"/>
  <c r="IC94" i="2"/>
  <c r="IC96" i="2"/>
  <c r="IC93" i="2"/>
  <c r="IC99" i="2"/>
  <c r="IC51" i="2"/>
  <c r="IC102" i="2"/>
  <c r="IC55" i="2"/>
  <c r="NM3" i="2"/>
  <c r="NM92" i="2" s="1"/>
  <c r="FW136" i="2"/>
  <c r="FW137" i="2" s="1"/>
  <c r="AA111" i="2"/>
  <c r="N108" i="2"/>
  <c r="IA93" i="2"/>
  <c r="JM136" i="2"/>
  <c r="JM137" i="2" s="1"/>
  <c r="HD102" i="2"/>
  <c r="NO27" i="2"/>
  <c r="MW27" i="2"/>
  <c r="ID93" i="2"/>
  <c r="PB27" i="2"/>
  <c r="GS93" i="2"/>
  <c r="F36" i="4"/>
  <c r="N36" i="4"/>
  <c r="F45" i="4"/>
  <c r="N45" i="4"/>
  <c r="E192" i="8"/>
  <c r="CX29" i="7"/>
  <c r="J37" i="4"/>
  <c r="CT29" i="7"/>
  <c r="CR29" i="7"/>
  <c r="DD29" i="7"/>
  <c r="KA96" i="2"/>
  <c r="BY55" i="2"/>
  <c r="HI53" i="2"/>
  <c r="CM82" i="4"/>
  <c r="CW135" i="2"/>
  <c r="CW137" i="2"/>
  <c r="CW136" i="2"/>
  <c r="CW89" i="2"/>
  <c r="CW124" i="2" s="1"/>
  <c r="JJ197" i="2"/>
  <c r="JJ194" i="2"/>
  <c r="JJ102" i="2"/>
  <c r="JJ99" i="2"/>
  <c r="JJ96" i="2"/>
  <c r="JJ93" i="2"/>
  <c r="JJ101" i="2"/>
  <c r="JJ98" i="2"/>
  <c r="JJ95" i="2"/>
  <c r="JJ97" i="2"/>
  <c r="JJ94" i="2"/>
  <c r="JJ55" i="2"/>
  <c r="JJ100" i="2"/>
  <c r="JJ51" i="2"/>
  <c r="OT3" i="2"/>
  <c r="OT92" i="2" s="1"/>
  <c r="GE136" i="2"/>
  <c r="GE137" i="2" s="1"/>
  <c r="AI112" i="2"/>
  <c r="AI116" i="2"/>
  <c r="JD53" i="2"/>
  <c r="DT55" i="2"/>
  <c r="IR53" i="2"/>
  <c r="DH55" i="2"/>
  <c r="IF53" i="2"/>
  <c r="CV55" i="2"/>
  <c r="HT53" i="2"/>
  <c r="CJ55" i="2"/>
  <c r="GV53" i="2"/>
  <c r="BL55" i="2"/>
  <c r="GJ53" i="2"/>
  <c r="AZ55" i="2"/>
  <c r="FX53" i="2"/>
  <c r="AN55" i="2"/>
  <c r="EZ53" i="2"/>
  <c r="P55" i="2"/>
  <c r="JU93" i="2"/>
  <c r="IK102" i="2"/>
  <c r="HY93" i="2"/>
  <c r="GO102" i="2"/>
  <c r="GC93" i="2"/>
  <c r="AH114" i="2"/>
  <c r="FF136" i="2"/>
  <c r="FF137" i="2" s="1"/>
  <c r="MD29" i="2"/>
  <c r="MD34" i="2"/>
  <c r="MD28" i="2"/>
  <c r="MD30" i="2"/>
  <c r="MD27" i="2"/>
  <c r="HG53" i="2"/>
  <c r="BW55" i="2"/>
  <c r="FW53" i="2"/>
  <c r="AM55" i="2"/>
  <c r="GZ197" i="2"/>
  <c r="GZ194" i="2"/>
  <c r="GZ100" i="2"/>
  <c r="GZ97" i="2"/>
  <c r="GZ94" i="2"/>
  <c r="GZ102" i="2"/>
  <c r="GZ99" i="2"/>
  <c r="GZ96" i="2"/>
  <c r="GZ93" i="2"/>
  <c r="GZ95" i="2"/>
  <c r="GZ55" i="2"/>
  <c r="GZ101" i="2"/>
  <c r="GZ98" i="2"/>
  <c r="GZ51" i="2"/>
  <c r="MJ3" i="2"/>
  <c r="MJ92" i="2" s="1"/>
  <c r="JU136" i="2"/>
  <c r="JU137" i="2" s="1"/>
  <c r="GO136" i="2"/>
  <c r="GO137" i="2" s="1"/>
  <c r="EG55" i="2"/>
  <c r="JQ53" i="2"/>
  <c r="MC27" i="2"/>
  <c r="MC29" i="2"/>
  <c r="MC34" i="2"/>
  <c r="MC28" i="2"/>
  <c r="MC30" i="2"/>
  <c r="ED136" i="2"/>
  <c r="ED135" i="2"/>
  <c r="ED137" i="2"/>
  <c r="ED89" i="2"/>
  <c r="ED123" i="2" s="1"/>
  <c r="ID53" i="2"/>
  <c r="CT55" i="2"/>
  <c r="GH53" i="2"/>
  <c r="AX55" i="2"/>
  <c r="GY197" i="2"/>
  <c r="GY100" i="2"/>
  <c r="GY97" i="2"/>
  <c r="GY94" i="2"/>
  <c r="GY194" i="2"/>
  <c r="GY102" i="2"/>
  <c r="GY99" i="2"/>
  <c r="GY96" i="2"/>
  <c r="GY93" i="2"/>
  <c r="GY98" i="2"/>
  <c r="GY101" i="2"/>
  <c r="GY55" i="2"/>
  <c r="GY51" i="2"/>
  <c r="MI3" i="2"/>
  <c r="MI92" i="2" s="1"/>
  <c r="GY95" i="2"/>
  <c r="IV136" i="2"/>
  <c r="IV137" i="2" s="1"/>
  <c r="HX136" i="2"/>
  <c r="HX137" i="2" s="1"/>
  <c r="T117" i="2"/>
  <c r="GR53" i="2"/>
  <c r="BH55" i="2"/>
  <c r="CU82" i="4"/>
  <c r="DE136" i="2"/>
  <c r="DE135" i="2"/>
  <c r="DE89" i="2"/>
  <c r="DE134" i="2" s="1"/>
  <c r="DE137" i="2"/>
  <c r="AY82" i="4"/>
  <c r="BI136" i="2"/>
  <c r="BI135" i="2"/>
  <c r="BI89" i="2"/>
  <c r="BI137" i="2"/>
  <c r="C82" i="4"/>
  <c r="M124" i="2"/>
  <c r="M136" i="2"/>
  <c r="M135" i="2"/>
  <c r="M125" i="2"/>
  <c r="M123" i="2"/>
  <c r="M89" i="2"/>
  <c r="M137" i="2"/>
  <c r="M134" i="2"/>
  <c r="M88" i="2"/>
  <c r="IT93" i="2"/>
  <c r="HJ102" i="2"/>
  <c r="II136" i="2"/>
  <c r="II137" i="2" s="1"/>
  <c r="GA136" i="2"/>
  <c r="GA137" i="2" s="1"/>
  <c r="AE111" i="2"/>
  <c r="S114" i="2"/>
  <c r="MM30" i="2"/>
  <c r="MM27" i="2"/>
  <c r="MM29" i="2"/>
  <c r="MM34" i="2"/>
  <c r="MM28" i="2"/>
  <c r="B82" i="4"/>
  <c r="L124" i="2"/>
  <c r="L136" i="2"/>
  <c r="L135" i="2"/>
  <c r="L125" i="2"/>
  <c r="L137" i="2"/>
  <c r="L123" i="2"/>
  <c r="L89" i="2"/>
  <c r="B83" i="4" s="1"/>
  <c r="B84" i="4" s="1"/>
  <c r="L134" i="2"/>
  <c r="L88" i="2"/>
  <c r="JE197" i="2"/>
  <c r="JE194" i="2"/>
  <c r="JE100" i="2"/>
  <c r="JE97" i="2"/>
  <c r="JE94" i="2"/>
  <c r="JE102" i="2"/>
  <c r="JE99" i="2"/>
  <c r="JE96" i="2"/>
  <c r="JE93" i="2"/>
  <c r="JE95" i="2"/>
  <c r="JE98" i="2"/>
  <c r="JE101" i="2"/>
  <c r="JE51" i="2"/>
  <c r="JE55" i="2"/>
  <c r="OO3" i="2"/>
  <c r="OO92" i="2" s="1"/>
  <c r="AD108" i="2"/>
  <c r="R111" i="2"/>
  <c r="EA55" i="2"/>
  <c r="JK53" i="2"/>
  <c r="CS82" i="4"/>
  <c r="DC136" i="2"/>
  <c r="DC135" i="2"/>
  <c r="DC89" i="2"/>
  <c r="DC88" i="2" s="1"/>
  <c r="DC137" i="2"/>
  <c r="BG55" i="2"/>
  <c r="GQ53" i="2"/>
  <c r="Y82" i="4"/>
  <c r="AI124" i="2"/>
  <c r="AI136" i="2"/>
  <c r="AI135" i="2"/>
  <c r="AI134" i="2"/>
  <c r="AI137" i="2"/>
  <c r="AI89" i="2"/>
  <c r="AI88" i="2"/>
  <c r="AI125" i="2"/>
  <c r="AI123" i="2"/>
  <c r="AC116" i="2"/>
  <c r="FA136" i="2"/>
  <c r="FA137" i="2" s="1"/>
  <c r="FK102" i="2"/>
  <c r="IO194" i="2"/>
  <c r="IO197" i="2"/>
  <c r="IO101" i="2"/>
  <c r="IO98" i="2"/>
  <c r="IO95" i="2"/>
  <c r="IO100" i="2"/>
  <c r="IO97" i="2"/>
  <c r="IO94" i="2"/>
  <c r="IO96" i="2"/>
  <c r="IO93" i="2"/>
  <c r="IO102" i="2"/>
  <c r="IO51" i="2"/>
  <c r="IO55" i="2"/>
  <c r="IO99" i="2"/>
  <c r="NY3" i="2"/>
  <c r="NY92" i="2" s="1"/>
  <c r="DN64" i="9"/>
  <c r="DT87" i="2"/>
  <c r="DT4" i="2"/>
  <c r="JD24" i="2"/>
  <c r="IN194" i="2"/>
  <c r="IN197" i="2"/>
  <c r="IN102" i="2"/>
  <c r="IN99" i="2"/>
  <c r="IN96" i="2"/>
  <c r="IN93" i="2"/>
  <c r="IN101" i="2"/>
  <c r="IN98" i="2"/>
  <c r="IN95" i="2"/>
  <c r="IN100" i="2"/>
  <c r="IN51" i="2"/>
  <c r="IN97" i="2"/>
  <c r="IN55" i="2"/>
  <c r="IN94" i="2"/>
  <c r="NX3" i="2"/>
  <c r="NX92" i="2" s="1"/>
  <c r="GE93" i="2"/>
  <c r="Y64" i="9"/>
  <c r="EG10" i="7"/>
  <c r="AE87" i="2"/>
  <c r="AE4" i="2"/>
  <c r="FO24" i="2"/>
  <c r="FH197" i="2"/>
  <c r="FH194" i="2"/>
  <c r="FH102" i="2"/>
  <c r="FH99" i="2"/>
  <c r="FH96" i="2"/>
  <c r="FH93" i="2"/>
  <c r="FH101" i="2"/>
  <c r="FH98" i="2"/>
  <c r="FH95" i="2"/>
  <c r="FH97" i="2"/>
  <c r="FH94" i="2"/>
  <c r="FH100" i="2"/>
  <c r="FH51" i="2"/>
  <c r="FH55" i="2"/>
  <c r="KR3" i="2"/>
  <c r="KR92" i="2" s="1"/>
  <c r="HR136" i="2"/>
  <c r="HR137" i="2" s="1"/>
  <c r="M111" i="2"/>
  <c r="GH102" i="2"/>
  <c r="L113" i="2"/>
  <c r="L112" i="2"/>
  <c r="LP27" i="2"/>
  <c r="AH55" i="2"/>
  <c r="FR53" i="2"/>
  <c r="JC99" i="2"/>
  <c r="FH136" i="2"/>
  <c r="FH137" i="2" s="1"/>
  <c r="MI34" i="2"/>
  <c r="MI28" i="2"/>
  <c r="MI30" i="2"/>
  <c r="MI27" i="2"/>
  <c r="MI29" i="2"/>
  <c r="DO82" i="4"/>
  <c r="DY137" i="2"/>
  <c r="DY136" i="2"/>
  <c r="DY135" i="2"/>
  <c r="DY89" i="2"/>
  <c r="DY123" i="2" s="1"/>
  <c r="CQ82" i="4"/>
  <c r="DA137" i="2"/>
  <c r="DA136" i="2"/>
  <c r="DA135" i="2"/>
  <c r="DA89" i="2"/>
  <c r="DA124" i="2" s="1"/>
  <c r="BS82" i="4"/>
  <c r="CC137" i="2"/>
  <c r="CC136" i="2"/>
  <c r="CC135" i="2"/>
  <c r="CC89" i="2"/>
  <c r="CC124" i="2" s="1"/>
  <c r="W82" i="4"/>
  <c r="AG134" i="2"/>
  <c r="AG137" i="2"/>
  <c r="AG124" i="2"/>
  <c r="AG136" i="2"/>
  <c r="AG125" i="2"/>
  <c r="AG88" i="2"/>
  <c r="AG135" i="2"/>
  <c r="AG123" i="2"/>
  <c r="AG89" i="2"/>
  <c r="PE27" i="2"/>
  <c r="JN136" i="2"/>
  <c r="JN137" i="2" s="1"/>
  <c r="GI93" i="2"/>
  <c r="DC64" i="9"/>
  <c r="DI87" i="2"/>
  <c r="DI4" i="2"/>
  <c r="IS24" i="2"/>
  <c r="DB82" i="4"/>
  <c r="DL137" i="2"/>
  <c r="DL136" i="2"/>
  <c r="DL135" i="2"/>
  <c r="DL89" i="2"/>
  <c r="CD82" i="4"/>
  <c r="CN137" i="2"/>
  <c r="CN136" i="2"/>
  <c r="CN135" i="2"/>
  <c r="CN89" i="2"/>
  <c r="CN123" i="2" s="1"/>
  <c r="BF82" i="4"/>
  <c r="BP137" i="2"/>
  <c r="BP136" i="2"/>
  <c r="BP135" i="2"/>
  <c r="BP89" i="2"/>
  <c r="BP123" i="2" s="1"/>
  <c r="AH82" i="4"/>
  <c r="AR123" i="2"/>
  <c r="AR134" i="2"/>
  <c r="AR137" i="2"/>
  <c r="AR124" i="2"/>
  <c r="AR136" i="2"/>
  <c r="AR135" i="2"/>
  <c r="AR88" i="2"/>
  <c r="AR125" i="2"/>
  <c r="AR89" i="2"/>
  <c r="J82" i="4"/>
  <c r="T123" i="2"/>
  <c r="T134" i="2"/>
  <c r="T137" i="2"/>
  <c r="T124" i="2"/>
  <c r="T136" i="2"/>
  <c r="T135" i="2"/>
  <c r="T88" i="2"/>
  <c r="T125" i="2"/>
  <c r="T89" i="2"/>
  <c r="BV64" i="9"/>
  <c r="CB87" i="2"/>
  <c r="CB4" i="2"/>
  <c r="HL24" i="2"/>
  <c r="CI64" i="9"/>
  <c r="CO87" i="2"/>
  <c r="HY24" i="2"/>
  <c r="CO4" i="2"/>
  <c r="CV64" i="9"/>
  <c r="DB87" i="2"/>
  <c r="IL24" i="2"/>
  <c r="DB4" i="2"/>
  <c r="DI64" i="9"/>
  <c r="DO87" i="2"/>
  <c r="IY24" i="2"/>
  <c r="DO4" i="2"/>
  <c r="CX64" i="9"/>
  <c r="DD87" i="2"/>
  <c r="IN24" i="2"/>
  <c r="DD4" i="2"/>
  <c r="CM64" i="9"/>
  <c r="CS87" i="2"/>
  <c r="IC24" i="2"/>
  <c r="CS4" i="2"/>
  <c r="CZ64" i="9"/>
  <c r="DF87" i="2"/>
  <c r="DF4" i="2"/>
  <c r="IP24" i="2"/>
  <c r="GQ99" i="2"/>
  <c r="JD136" i="2"/>
  <c r="JD137" i="2" s="1"/>
  <c r="HT136" i="2"/>
  <c r="HT137" i="2" s="1"/>
  <c r="FL197" i="2"/>
  <c r="FL101" i="2"/>
  <c r="FL98" i="2"/>
  <c r="FL95" i="2"/>
  <c r="FL100" i="2"/>
  <c r="FL97" i="2"/>
  <c r="FL94" i="2"/>
  <c r="FL194" i="2"/>
  <c r="FL99" i="2"/>
  <c r="FL102" i="2"/>
  <c r="FL93" i="2"/>
  <c r="FL51" i="2"/>
  <c r="FL55" i="2"/>
  <c r="FL96" i="2"/>
  <c r="KV3" i="2"/>
  <c r="KV92" i="2" s="1"/>
  <c r="LJ34" i="2"/>
  <c r="LJ28" i="2"/>
  <c r="LJ30" i="2"/>
  <c r="LJ27" i="2"/>
  <c r="LJ29" i="2"/>
  <c r="HG194" i="2"/>
  <c r="HG197" i="2"/>
  <c r="HG101" i="2"/>
  <c r="HG98" i="2"/>
  <c r="HG95" i="2"/>
  <c r="HG100" i="2"/>
  <c r="HG97" i="2"/>
  <c r="HG94" i="2"/>
  <c r="HG96" i="2"/>
  <c r="HG93" i="2"/>
  <c r="HG102" i="2"/>
  <c r="HG99" i="2"/>
  <c r="HG51" i="2"/>
  <c r="HG55" i="2"/>
  <c r="MQ3" i="2"/>
  <c r="MQ92" i="2" s="1"/>
  <c r="AA113" i="2"/>
  <c r="AK113" i="2"/>
  <c r="AJ111" i="2"/>
  <c r="HP136" i="2"/>
  <c r="HP137" i="2" s="1"/>
  <c r="L34" i="1"/>
  <c r="KL27" i="2"/>
  <c r="OR27" i="2"/>
  <c r="KU35" i="2" l="1"/>
  <c r="LD35" i="2"/>
  <c r="PE35" i="2"/>
  <c r="NL35" i="2"/>
  <c r="MM46" i="2"/>
  <c r="AK68" i="9"/>
  <c r="KL35" i="2"/>
  <c r="ND35" i="2"/>
  <c r="KG35" i="2"/>
  <c r="KH35" i="2"/>
  <c r="ML35" i="2"/>
  <c r="NZ35" i="2"/>
  <c r="KK35" i="2"/>
  <c r="NC35" i="2"/>
  <c r="PF35" i="2"/>
  <c r="NN35" i="2"/>
  <c r="OG35" i="2"/>
  <c r="KN35" i="2"/>
  <c r="KM35" i="2"/>
  <c r="MP35" i="2"/>
  <c r="OO35" i="2"/>
  <c r="OY35" i="2"/>
  <c r="LL35" i="2"/>
  <c r="OK35" i="2"/>
  <c r="OQ35" i="2"/>
  <c r="LF35" i="2"/>
  <c r="MY35" i="2"/>
  <c r="LZ35" i="2"/>
  <c r="NE35" i="2"/>
  <c r="KV35" i="2"/>
  <c r="OJ35" i="2"/>
  <c r="KO35" i="2"/>
  <c r="LO35" i="2"/>
  <c r="LA35" i="2"/>
  <c r="NO35" i="2"/>
  <c r="NM35" i="2"/>
  <c r="LI35" i="2"/>
  <c r="KR35" i="2"/>
  <c r="KT35" i="2"/>
  <c r="LP35" i="2"/>
  <c r="LW35" i="2"/>
  <c r="MI35" i="2"/>
  <c r="OP35" i="2"/>
  <c r="OL35" i="2"/>
  <c r="MB35" i="2"/>
  <c r="NQ35" i="2"/>
  <c r="NS35" i="2"/>
  <c r="MD35" i="2"/>
  <c r="NB35" i="2"/>
  <c r="LY35" i="2"/>
  <c r="NH35" i="2"/>
  <c r="OW35" i="2"/>
  <c r="KQ35" i="2"/>
  <c r="NT35" i="2"/>
  <c r="LB35" i="2"/>
  <c r="MW35" i="2"/>
  <c r="PD35" i="2"/>
  <c r="LJ35" i="2"/>
  <c r="NK35" i="2"/>
  <c r="LH35" i="2"/>
  <c r="OC35" i="2"/>
  <c r="MF35" i="2"/>
  <c r="OM35" i="2"/>
  <c r="NF35" i="2"/>
  <c r="OB35" i="2"/>
  <c r="NX35" i="2"/>
  <c r="ON35" i="2"/>
  <c r="LM35" i="2"/>
  <c r="NJ35" i="2"/>
  <c r="LG35" i="2"/>
  <c r="PB35" i="2"/>
  <c r="MX35" i="2"/>
  <c r="LU35" i="2"/>
  <c r="LS35" i="2"/>
  <c r="MU35" i="2"/>
  <c r="OU35" i="2"/>
  <c r="OV35" i="2"/>
  <c r="LC35" i="2"/>
  <c r="NA35" i="2"/>
  <c r="MT35" i="2"/>
  <c r="MN35" i="2"/>
  <c r="MM35" i="2"/>
  <c r="MC35" i="2"/>
  <c r="OR35" i="2"/>
  <c r="NW35" i="2"/>
  <c r="MS35" i="2"/>
  <c r="KP35" i="2"/>
  <c r="PG35" i="2"/>
  <c r="MA35" i="2"/>
  <c r="LQ35" i="2"/>
  <c r="LX35" i="2"/>
  <c r="MH35" i="2"/>
  <c r="OX35" i="2"/>
  <c r="MZ35" i="2"/>
  <c r="NP35" i="2"/>
  <c r="KZ35" i="2"/>
  <c r="OZ35" i="2"/>
  <c r="MJ35" i="2"/>
  <c r="PC35" i="2"/>
  <c r="OD35" i="2"/>
  <c r="KI35" i="2"/>
  <c r="NR35" i="2"/>
  <c r="OF35" i="2"/>
  <c r="NU35" i="2"/>
  <c r="OT35" i="2"/>
  <c r="ME35" i="2"/>
  <c r="NG35" i="2"/>
  <c r="NY35" i="2"/>
  <c r="LK35" i="2"/>
  <c r="MR35" i="2"/>
  <c r="PA35" i="2"/>
  <c r="KF35" i="2"/>
  <c r="LE35" i="2"/>
  <c r="MO35" i="2"/>
  <c r="MK35" i="2"/>
  <c r="OH35" i="2"/>
  <c r="OI35" i="2"/>
  <c r="NI35" i="2"/>
  <c r="PH35" i="2"/>
  <c r="MQ35" i="2"/>
  <c r="LT35" i="2"/>
  <c r="KS35" i="2"/>
  <c r="LR35" i="2"/>
  <c r="KJ35" i="2"/>
  <c r="LV35" i="2"/>
  <c r="MV35" i="2"/>
  <c r="KW35" i="2"/>
  <c r="NV35" i="2"/>
  <c r="OS35" i="2"/>
  <c r="KX35" i="2"/>
  <c r="KY35" i="2"/>
  <c r="LN35" i="2"/>
  <c r="OE35" i="2"/>
  <c r="PG46" i="2"/>
  <c r="CA152" i="2"/>
  <c r="MG35" i="2"/>
  <c r="OA35" i="2"/>
  <c r="OL46" i="2"/>
  <c r="MC46" i="2"/>
  <c r="MX46" i="2"/>
  <c r="OD46" i="2"/>
  <c r="KP46" i="2"/>
  <c r="MD46" i="2"/>
  <c r="OS46" i="2"/>
  <c r="NG46" i="2"/>
  <c r="KH46" i="2"/>
  <c r="MR46" i="2"/>
  <c r="LM46" i="2"/>
  <c r="KU46" i="2"/>
  <c r="KX46" i="2"/>
  <c r="CS65" i="9"/>
  <c r="CS67" i="9"/>
  <c r="F69" i="8"/>
  <c r="HQ104" i="2"/>
  <c r="JQ104" i="2"/>
  <c r="J67" i="9"/>
  <c r="J68" i="9"/>
  <c r="HN104" i="2"/>
  <c r="IO104" i="2"/>
  <c r="F10" i="1"/>
  <c r="AQ152" i="2"/>
  <c r="BS68" i="9"/>
  <c r="GP104" i="2"/>
  <c r="IP104" i="2"/>
  <c r="HT104" i="2"/>
  <c r="FD104" i="2"/>
  <c r="HG104" i="2"/>
  <c r="GY104" i="2"/>
  <c r="IC104" i="2"/>
  <c r="IF104" i="2"/>
  <c r="JP104" i="2"/>
  <c r="HW104" i="2"/>
  <c r="FI104" i="2"/>
  <c r="FC104" i="2"/>
  <c r="HX104" i="2"/>
  <c r="EZ104" i="2"/>
  <c r="IJ104" i="2"/>
  <c r="IB104" i="2"/>
  <c r="JT104" i="2"/>
  <c r="FU104" i="2"/>
  <c r="HI104" i="2"/>
  <c r="IE104" i="2"/>
  <c r="GT104" i="2"/>
  <c r="GF104" i="2"/>
  <c r="FH104" i="2"/>
  <c r="GZ104" i="2"/>
  <c r="FL104" i="2"/>
  <c r="JE104" i="2"/>
  <c r="JJ104" i="2"/>
  <c r="GU104" i="2"/>
  <c r="I21" i="2"/>
  <c r="GV104" i="2"/>
  <c r="GK104" i="2"/>
  <c r="IR104" i="2"/>
  <c r="IN104" i="2"/>
  <c r="II104" i="2"/>
  <c r="HL104" i="2"/>
  <c r="CH152" i="2"/>
  <c r="CR83" i="9"/>
  <c r="FX104" i="2"/>
  <c r="IV104" i="2"/>
  <c r="DQ66" i="9"/>
  <c r="JL104" i="2"/>
  <c r="HH104" i="2"/>
  <c r="DQ83" i="9"/>
  <c r="BR67" i="9"/>
  <c r="CS66" i="9"/>
  <c r="GG104" i="2"/>
  <c r="GG105" i="2" s="1"/>
  <c r="CE88" i="2"/>
  <c r="EG112" i="2"/>
  <c r="K69" i="9"/>
  <c r="K121" i="9" s="1"/>
  <c r="L67" i="9"/>
  <c r="GM104" i="2"/>
  <c r="L68" i="9"/>
  <c r="K65" i="9"/>
  <c r="L69" i="9"/>
  <c r="L119" i="9" s="1"/>
  <c r="K66" i="9"/>
  <c r="X152" i="2"/>
  <c r="K67" i="9"/>
  <c r="K68" i="9"/>
  <c r="BS67" i="9"/>
  <c r="BR68" i="9"/>
  <c r="BS65" i="9"/>
  <c r="F66" i="8"/>
  <c r="CD88" i="2"/>
  <c r="BH152" i="2"/>
  <c r="BR83" i="9"/>
  <c r="F67" i="8"/>
  <c r="AI70" i="9"/>
  <c r="AI91" i="9" s="1"/>
  <c r="F65" i="8"/>
  <c r="F68" i="8"/>
  <c r="F64" i="8"/>
  <c r="BR69" i="9"/>
  <c r="BR117" i="9" s="1"/>
  <c r="LG46" i="2"/>
  <c r="EV214" i="2"/>
  <c r="EV215" i="2" s="1"/>
  <c r="BR65" i="9"/>
  <c r="MQ46" i="2"/>
  <c r="BR66" i="9"/>
  <c r="AM126" i="2"/>
  <c r="EF152" i="2"/>
  <c r="DC124" i="2"/>
  <c r="E57" i="2"/>
  <c r="D161" i="2" s="1"/>
  <c r="IN103" i="2"/>
  <c r="IN105" i="2" s="1"/>
  <c r="JE103" i="2"/>
  <c r="Q70" i="9"/>
  <c r="Q125" i="9" s="1"/>
  <c r="CA70" i="9"/>
  <c r="CA125" i="9" s="1"/>
  <c r="EV198" i="2"/>
  <c r="EV199" i="2" s="1"/>
  <c r="CK70" i="9"/>
  <c r="CK125" i="9" s="1"/>
  <c r="BL70" i="9"/>
  <c r="BL91" i="9" s="1"/>
  <c r="AK152" i="2"/>
  <c r="CV124" i="2"/>
  <c r="NS46" i="2"/>
  <c r="GZ103" i="2"/>
  <c r="AP152" i="2"/>
  <c r="GU103" i="2"/>
  <c r="IF103" i="2"/>
  <c r="BS123" i="2"/>
  <c r="CQ66" i="9"/>
  <c r="BJ152" i="2"/>
  <c r="BA152" i="2"/>
  <c r="H189" i="2"/>
  <c r="H216" i="2" s="1"/>
  <c r="R29" i="1" s="1"/>
  <c r="DX152" i="2"/>
  <c r="Y152" i="2"/>
  <c r="X126" i="2"/>
  <c r="AW70" i="9"/>
  <c r="AW125" i="9" s="1"/>
  <c r="AD152" i="2"/>
  <c r="AU152" i="2"/>
  <c r="IC103" i="2"/>
  <c r="DQ70" i="9"/>
  <c r="DQ125" i="9" s="1"/>
  <c r="Q152" i="2"/>
  <c r="AM152" i="2"/>
  <c r="GV103" i="2"/>
  <c r="CG152" i="2"/>
  <c r="AK69" i="9"/>
  <c r="AK120" i="9" s="1"/>
  <c r="M138" i="2"/>
  <c r="G140" i="9" s="1"/>
  <c r="JG34" i="2"/>
  <c r="DW34" i="2" s="1"/>
  <c r="CJ152" i="2"/>
  <c r="CA88" i="2"/>
  <c r="II28" i="2"/>
  <c r="CY28" i="2" s="1"/>
  <c r="DV124" i="2"/>
  <c r="DU123" i="2"/>
  <c r="CG124" i="2"/>
  <c r="DS88" i="2"/>
  <c r="FB29" i="2"/>
  <c r="R29" i="2" s="1"/>
  <c r="BA123" i="2"/>
  <c r="CA134" i="2"/>
  <c r="CA138" i="2" s="1"/>
  <c r="CA112" i="2" s="1"/>
  <c r="BQ134" i="2"/>
  <c r="BQ138" i="2" s="1"/>
  <c r="DT88" i="2"/>
  <c r="AK65" i="9"/>
  <c r="AW134" i="2"/>
  <c r="AW138" i="2" s="1"/>
  <c r="FB46" i="2"/>
  <c r="EZ35" i="2"/>
  <c r="DC134" i="2"/>
  <c r="DC138" i="2" s="1"/>
  <c r="AK67" i="9"/>
  <c r="AJ66" i="9"/>
  <c r="CD123" i="2"/>
  <c r="BP70" i="9"/>
  <c r="BP125" i="9" s="1"/>
  <c r="DY88" i="2"/>
  <c r="EV247" i="2"/>
  <c r="EV248" i="2" s="1"/>
  <c r="FA28" i="2"/>
  <c r="Q28" i="2" s="1"/>
  <c r="DB123" i="2"/>
  <c r="DJ70" i="9"/>
  <c r="DJ125" i="9" s="1"/>
  <c r="HG28" i="2"/>
  <c r="BW28" i="2" s="1"/>
  <c r="DM124" i="2"/>
  <c r="KW46" i="2"/>
  <c r="EV224" i="2"/>
  <c r="EV225" i="2" s="1"/>
  <c r="AF70" i="9"/>
  <c r="AF125" i="9" s="1"/>
  <c r="P70" i="9"/>
  <c r="P91" i="9" s="1"/>
  <c r="CM70" i="9"/>
  <c r="CM125" i="9" s="1"/>
  <c r="HG29" i="2"/>
  <c r="BW29" i="2" s="1"/>
  <c r="BM70" i="9"/>
  <c r="BM125" i="9" s="1"/>
  <c r="FA29" i="2"/>
  <c r="Q29" i="2" s="1"/>
  <c r="DG124" i="2"/>
  <c r="BH88" i="2"/>
  <c r="BU88" i="2"/>
  <c r="DT134" i="2"/>
  <c r="DT138" i="2" s="1"/>
  <c r="DN140" i="9" s="1"/>
  <c r="BS83" i="9"/>
  <c r="BX70" i="9"/>
  <c r="BX91" i="9" s="1"/>
  <c r="X70" i="9"/>
  <c r="X91" i="9" s="1"/>
  <c r="JO28" i="2"/>
  <c r="EE28" i="2" s="1"/>
  <c r="CV70" i="9"/>
  <c r="CV125" i="9" s="1"/>
  <c r="DL70" i="9"/>
  <c r="DL91" i="9" s="1"/>
  <c r="AX70" i="9"/>
  <c r="AX125" i="9" s="1"/>
  <c r="AM70" i="9"/>
  <c r="AM125" i="9" s="1"/>
  <c r="J69" i="9"/>
  <c r="J90" i="9" s="1"/>
  <c r="AV70" i="9"/>
  <c r="AV91" i="9" s="1"/>
  <c r="BE70" i="9"/>
  <c r="BE91" i="9" s="1"/>
  <c r="CT70" i="9"/>
  <c r="CT125" i="9" s="1"/>
  <c r="DD70" i="9"/>
  <c r="DD125" i="9" s="1"/>
  <c r="BU70" i="9"/>
  <c r="BU125" i="9" s="1"/>
  <c r="CB70" i="9"/>
  <c r="CB125" i="9" s="1"/>
  <c r="CR70" i="9"/>
  <c r="CR91" i="9" s="1"/>
  <c r="CG70" i="9"/>
  <c r="CG125" i="9" s="1"/>
  <c r="AO126" i="2"/>
  <c r="BU123" i="2"/>
  <c r="DI88" i="2"/>
  <c r="CJ88" i="2"/>
  <c r="BI70" i="9"/>
  <c r="BI125" i="9" s="1"/>
  <c r="CS70" i="9"/>
  <c r="CS125" i="9" s="1"/>
  <c r="DP70" i="9"/>
  <c r="DP125" i="9" s="1"/>
  <c r="CY124" i="2"/>
  <c r="EG116" i="2"/>
  <c r="U70" i="9"/>
  <c r="U125" i="9" s="1"/>
  <c r="S169" i="2"/>
  <c r="V169" i="2" s="1"/>
  <c r="AS66" i="9"/>
  <c r="BY124" i="2"/>
  <c r="CY134" i="2"/>
  <c r="CY138" i="2" s="1"/>
  <c r="HQ103" i="2"/>
  <c r="BG70" i="9"/>
  <c r="BG125" i="9" s="1"/>
  <c r="CW36" i="7"/>
  <c r="R70" i="9"/>
  <c r="R125" i="9" s="1"/>
  <c r="AY134" i="2"/>
  <c r="AY138" i="2" s="1"/>
  <c r="AY117" i="2" s="1"/>
  <c r="JG28" i="2"/>
  <c r="DW28" i="2" s="1"/>
  <c r="BU124" i="2"/>
  <c r="BE152" i="2"/>
  <c r="T70" i="9"/>
  <c r="T125" i="9" s="1"/>
  <c r="W70" i="9"/>
  <c r="W125" i="9" s="1"/>
  <c r="DP138" i="2"/>
  <c r="DP113" i="2" s="1"/>
  <c r="CA123" i="2"/>
  <c r="EC134" i="2"/>
  <c r="EC138" i="2" s="1"/>
  <c r="EC109" i="2" s="1"/>
  <c r="CP123" i="2"/>
  <c r="DO134" i="2"/>
  <c r="DO138" i="2" s="1"/>
  <c r="CW27" i="7"/>
  <c r="EZ29" i="2"/>
  <c r="P29" i="2" s="1"/>
  <c r="L126" i="2"/>
  <c r="IE103" i="2"/>
  <c r="DM70" i="9"/>
  <c r="DM91" i="9" s="1"/>
  <c r="AX152" i="2"/>
  <c r="CM124" i="2"/>
  <c r="AZ152" i="2"/>
  <c r="MU46" i="2"/>
  <c r="BC88" i="2"/>
  <c r="BP124" i="2"/>
  <c r="DY134" i="2"/>
  <c r="DY138" i="2" s="1"/>
  <c r="DY117" i="2" s="1"/>
  <c r="M126" i="2"/>
  <c r="GY103" i="2"/>
  <c r="EK152" i="2"/>
  <c r="JJ103" i="2"/>
  <c r="BC124" i="2"/>
  <c r="GA34" i="2"/>
  <c r="AQ34" i="2" s="1"/>
  <c r="II34" i="2"/>
  <c r="CY34" i="2" s="1"/>
  <c r="DB152" i="2"/>
  <c r="CQ124" i="2"/>
  <c r="FY103" i="2"/>
  <c r="BS124" i="2"/>
  <c r="EH123" i="2"/>
  <c r="DF123" i="2"/>
  <c r="CP124" i="2"/>
  <c r="EF124" i="2"/>
  <c r="IS104" i="2"/>
  <c r="LX46" i="2"/>
  <c r="CM123" i="2"/>
  <c r="DO124" i="2"/>
  <c r="EC124" i="2"/>
  <c r="JS103" i="2"/>
  <c r="BP134" i="2"/>
  <c r="BP138" i="2" s="1"/>
  <c r="BP117" i="2" s="1"/>
  <c r="FA34" i="2"/>
  <c r="Q34" i="2" s="1"/>
  <c r="DU88" i="2"/>
  <c r="BZ152" i="2"/>
  <c r="DZ88" i="2"/>
  <c r="HE103" i="2"/>
  <c r="JQ34" i="2"/>
  <c r="EG34" i="2" s="1"/>
  <c r="BO124" i="2"/>
  <c r="FA27" i="2"/>
  <c r="Q27" i="2" s="1"/>
  <c r="BL134" i="2"/>
  <c r="BL138" i="2" s="1"/>
  <c r="II103" i="2"/>
  <c r="HG34" i="2"/>
  <c r="BW34" i="2" s="1"/>
  <c r="BQ124" i="2"/>
  <c r="GA30" i="2"/>
  <c r="AQ30" i="2" s="1"/>
  <c r="AB126" i="2"/>
  <c r="CJ138" i="2"/>
  <c r="CJ114" i="2" s="1"/>
  <c r="BL123" i="2"/>
  <c r="AM138" i="2"/>
  <c r="AG140" i="9" s="1"/>
  <c r="DZ134" i="2"/>
  <c r="DZ138" i="2" s="1"/>
  <c r="BO134" i="2"/>
  <c r="BO138" i="2" s="1"/>
  <c r="DP88" i="2"/>
  <c r="CW37" i="7"/>
  <c r="DZ123" i="2"/>
  <c r="JO34" i="2"/>
  <c r="EE34" i="2" s="1"/>
  <c r="FA103" i="2"/>
  <c r="FF103" i="2"/>
  <c r="DM138" i="2"/>
  <c r="DG140" i="9" s="1"/>
  <c r="O126" i="2"/>
  <c r="CO123" i="2"/>
  <c r="Y126" i="2"/>
  <c r="ED88" i="2"/>
  <c r="EC152" i="2"/>
  <c r="AP126" i="2"/>
  <c r="X138" i="2"/>
  <c r="R140" i="9" s="1"/>
  <c r="AJ138" i="2"/>
  <c r="AD140" i="9" s="1"/>
  <c r="AT138" i="2"/>
  <c r="AT112" i="2" s="1"/>
  <c r="HI35" i="2"/>
  <c r="Y138" i="2"/>
  <c r="S140" i="9" s="1"/>
  <c r="ED124" i="2"/>
  <c r="CA124" i="2"/>
  <c r="CY123" i="2"/>
  <c r="CD134" i="2"/>
  <c r="CD138" i="2" s="1"/>
  <c r="CD117" i="2" s="1"/>
  <c r="AW152" i="2"/>
  <c r="II46" i="2"/>
  <c r="CX88" i="2"/>
  <c r="NA46" i="2"/>
  <c r="DF152" i="2"/>
  <c r="JH103" i="2"/>
  <c r="CM134" i="2"/>
  <c r="CM138" i="2" s="1"/>
  <c r="CM117" i="2" s="1"/>
  <c r="DM123" i="2"/>
  <c r="DF134" i="2"/>
  <c r="DF138" i="2" s="1"/>
  <c r="CW33" i="7"/>
  <c r="CL88" i="2"/>
  <c r="EZ27" i="2"/>
  <c r="P27" i="2" s="1"/>
  <c r="BO70" i="9"/>
  <c r="ON46" i="2"/>
  <c r="DD134" i="2"/>
  <c r="DD138" i="2" s="1"/>
  <c r="DD117" i="2" s="1"/>
  <c r="MO46" i="2"/>
  <c r="AG70" i="9"/>
  <c r="AG125" i="9" s="1"/>
  <c r="NY46" i="2"/>
  <c r="EZ34" i="2"/>
  <c r="P34" i="2" s="1"/>
  <c r="NO46" i="2"/>
  <c r="CQ70" i="9"/>
  <c r="CQ91" i="9" s="1"/>
  <c r="PD46" i="2"/>
  <c r="KO46" i="2"/>
  <c r="BW124" i="2"/>
  <c r="CX152" i="2"/>
  <c r="NW46" i="2"/>
  <c r="BD134" i="2"/>
  <c r="BD138" i="2" s="1"/>
  <c r="BD109" i="2" s="1"/>
  <c r="DS124" i="2"/>
  <c r="OX46" i="2"/>
  <c r="EA134" i="2"/>
  <c r="EA138" i="2" s="1"/>
  <c r="EA115" i="2" s="1"/>
  <c r="DI70" i="9"/>
  <c r="DI125" i="9" s="1"/>
  <c r="DT123" i="2"/>
  <c r="Z126" i="2"/>
  <c r="BB124" i="2"/>
  <c r="OA46" i="2"/>
  <c r="OM46" i="2"/>
  <c r="AP70" i="9"/>
  <c r="AP125" i="9" s="1"/>
  <c r="EJ124" i="2"/>
  <c r="DE138" i="2"/>
  <c r="DE115" i="2" s="1"/>
  <c r="DD123" i="2"/>
  <c r="I108" i="2"/>
  <c r="H108" i="2" s="1"/>
  <c r="LJ46" i="2"/>
  <c r="MI46" i="2"/>
  <c r="EG111" i="2"/>
  <c r="ED134" i="2"/>
  <c r="ED138" i="2" s="1"/>
  <c r="ED117" i="2" s="1"/>
  <c r="LZ46" i="2"/>
  <c r="CL152" i="2"/>
  <c r="NK46" i="2"/>
  <c r="EH73" i="2"/>
  <c r="BE138" i="2"/>
  <c r="AY140" i="9" s="1"/>
  <c r="EN123" i="2"/>
  <c r="CS138" i="2"/>
  <c r="CS108" i="2" s="1"/>
  <c r="LL46" i="2"/>
  <c r="MH46" i="2"/>
  <c r="AS138" i="2"/>
  <c r="AM140" i="9" s="1"/>
  <c r="AT152" i="2"/>
  <c r="CL123" i="2"/>
  <c r="JG27" i="2"/>
  <c r="DW27" i="2" s="1"/>
  <c r="JG46" i="2"/>
  <c r="EE124" i="2"/>
  <c r="NZ46" i="2"/>
  <c r="MZ46" i="2"/>
  <c r="MJ46" i="2"/>
  <c r="ME46" i="2"/>
  <c r="BW123" i="2"/>
  <c r="DE123" i="2"/>
  <c r="CW123" i="2"/>
  <c r="DW88" i="2"/>
  <c r="BZ88" i="2"/>
  <c r="CW152" i="2"/>
  <c r="EN134" i="2"/>
  <c r="EN138" i="2" s="1"/>
  <c r="NM46" i="2"/>
  <c r="OK46" i="2"/>
  <c r="CG134" i="2"/>
  <c r="CG138" i="2" s="1"/>
  <c r="CG113" i="2" s="1"/>
  <c r="OW46" i="2"/>
  <c r="EH88" i="2"/>
  <c r="BJ134" i="2"/>
  <c r="BJ138" i="2" s="1"/>
  <c r="BJ116" i="2" s="1"/>
  <c r="BQ152" i="2"/>
  <c r="EF134" i="2"/>
  <c r="EF138" i="2" s="1"/>
  <c r="LT46" i="2"/>
  <c r="AL126" i="2"/>
  <c r="OO46" i="2"/>
  <c r="OB46" i="2"/>
  <c r="BB134" i="2"/>
  <c r="BB138" i="2" s="1"/>
  <c r="NT46" i="2"/>
  <c r="NF46" i="2"/>
  <c r="EJ134" i="2"/>
  <c r="EJ138" i="2" s="1"/>
  <c r="CN134" i="2"/>
  <c r="CN138" i="2" s="1"/>
  <c r="DE124" i="2"/>
  <c r="DW124" i="2"/>
  <c r="GA46" i="2"/>
  <c r="KV46" i="2"/>
  <c r="FA35" i="2"/>
  <c r="NN46" i="2"/>
  <c r="EK138" i="2"/>
  <c r="EK108" i="2" s="1"/>
  <c r="OU46" i="2"/>
  <c r="AD138" i="2"/>
  <c r="X140" i="9" s="1"/>
  <c r="NH46" i="2"/>
  <c r="DK124" i="2"/>
  <c r="OT46" i="2"/>
  <c r="DU70" i="9"/>
  <c r="DU125" i="9" s="1"/>
  <c r="BJ123" i="2"/>
  <c r="KQ46" i="2"/>
  <c r="LO46" i="2"/>
  <c r="EF123" i="2"/>
  <c r="DD124" i="2"/>
  <c r="EE134" i="2"/>
  <c r="EE138" i="2" s="1"/>
  <c r="EE117" i="2" s="1"/>
  <c r="MA46" i="2"/>
  <c r="DR124" i="2"/>
  <c r="BB123" i="2"/>
  <c r="KN46" i="2"/>
  <c r="KR46" i="2"/>
  <c r="IH35" i="2"/>
  <c r="CN88" i="2"/>
  <c r="OP46" i="2"/>
  <c r="LA46" i="2"/>
  <c r="BZ124" i="2"/>
  <c r="BE124" i="2"/>
  <c r="DB134" i="2"/>
  <c r="DB138" i="2" s="1"/>
  <c r="DB109" i="2" s="1"/>
  <c r="EK123" i="2"/>
  <c r="CQ134" i="2"/>
  <c r="CQ138" i="2" s="1"/>
  <c r="CQ111" i="2" s="1"/>
  <c r="GJ103" i="2"/>
  <c r="BS134" i="2"/>
  <c r="BS138" i="2" s="1"/>
  <c r="BS117" i="2" s="1"/>
  <c r="CG123" i="2"/>
  <c r="EH124" i="2"/>
  <c r="BO152" i="2"/>
  <c r="AY88" i="2"/>
  <c r="CO124" i="2"/>
  <c r="BH138" i="2"/>
  <c r="BB140" i="9" s="1"/>
  <c r="EE123" i="2"/>
  <c r="MK46" i="2"/>
  <c r="DR134" i="2"/>
  <c r="DR138" i="2" s="1"/>
  <c r="LD46" i="2"/>
  <c r="LW46" i="2"/>
  <c r="LR46" i="2"/>
  <c r="DW134" i="2"/>
  <c r="DW138" i="2" s="1"/>
  <c r="DE152" i="2"/>
  <c r="LB46" i="2"/>
  <c r="MY46" i="2"/>
  <c r="II30" i="2"/>
  <c r="CY30" i="2" s="1"/>
  <c r="PF46" i="2"/>
  <c r="LH46" i="2"/>
  <c r="JG103" i="2"/>
  <c r="MF46" i="2"/>
  <c r="S126" i="2"/>
  <c r="DK134" i="2"/>
  <c r="DK138" i="2" s="1"/>
  <c r="DK108" i="2" s="1"/>
  <c r="BA134" i="2"/>
  <c r="BA138" i="2" s="1"/>
  <c r="BA108" i="2" s="1"/>
  <c r="AX138" i="2"/>
  <c r="AX113" i="2" s="1"/>
  <c r="ML46" i="2"/>
  <c r="HG27" i="2"/>
  <c r="BW27" i="2" s="1"/>
  <c r="DR123" i="2"/>
  <c r="OH46" i="2"/>
  <c r="LY46" i="2"/>
  <c r="PA46" i="2"/>
  <c r="NR46" i="2"/>
  <c r="DH88" i="2"/>
  <c r="BF123" i="2"/>
  <c r="GA27" i="2"/>
  <c r="AQ27" i="2" s="1"/>
  <c r="EK88" i="2"/>
  <c r="NV46" i="2"/>
  <c r="LS46" i="2"/>
  <c r="AJ126" i="2"/>
  <c r="PH46" i="2"/>
  <c r="KL46" i="2"/>
  <c r="MS46" i="2"/>
  <c r="BL124" i="2"/>
  <c r="NB46" i="2"/>
  <c r="AK126" i="2"/>
  <c r="N126" i="2"/>
  <c r="OQ46" i="2"/>
  <c r="CW31" i="7"/>
  <c r="HI27" i="2"/>
  <c r="BY27" i="2" s="1"/>
  <c r="MT46" i="2"/>
  <c r="NE46" i="2"/>
  <c r="OC46" i="2"/>
  <c r="AY83" i="4"/>
  <c r="AY84" i="4" s="1"/>
  <c r="CL83" i="9"/>
  <c r="CL65" i="9"/>
  <c r="CL69" i="9"/>
  <c r="CL68" i="9"/>
  <c r="CL67" i="9"/>
  <c r="CL66" i="9"/>
  <c r="IA29" i="2"/>
  <c r="CQ29" i="2" s="1"/>
  <c r="NK24" i="2"/>
  <c r="IA46" i="2"/>
  <c r="IA35" i="2"/>
  <c r="IA27" i="2"/>
  <c r="CQ27" i="2" s="1"/>
  <c r="IA30" i="2"/>
  <c r="CQ30" i="2" s="1"/>
  <c r="IA34" i="2"/>
  <c r="CQ34" i="2" s="1"/>
  <c r="IA28" i="2"/>
  <c r="CQ28" i="2" s="1"/>
  <c r="M83" i="4"/>
  <c r="M84" i="4" s="1"/>
  <c r="B89" i="4" s="1" a="1"/>
  <c r="B89" i="4" s="1"/>
  <c r="DU138" i="2"/>
  <c r="AI83" i="4"/>
  <c r="AI84" i="4" s="1"/>
  <c r="CQ83" i="4"/>
  <c r="CQ84" i="4" s="1"/>
  <c r="DA88" i="2"/>
  <c r="BF83" i="9"/>
  <c r="BF68" i="9"/>
  <c r="BF67" i="9"/>
  <c r="BF66" i="9"/>
  <c r="BF65" i="9"/>
  <c r="BF69" i="9"/>
  <c r="EB88" i="2"/>
  <c r="CK83" i="4"/>
  <c r="CK84" i="4" s="1"/>
  <c r="CU123" i="2"/>
  <c r="BC83" i="9"/>
  <c r="BC69" i="9"/>
  <c r="BC68" i="9"/>
  <c r="BC67" i="9"/>
  <c r="BC66" i="9"/>
  <c r="BC65" i="9"/>
  <c r="AW69" i="9"/>
  <c r="AW68" i="9"/>
  <c r="AW67" i="9"/>
  <c r="AW66" i="9"/>
  <c r="AW65" i="9"/>
  <c r="DM83" i="9"/>
  <c r="DM68" i="9"/>
  <c r="DM67" i="9"/>
  <c r="DM69" i="9"/>
  <c r="DM66" i="9"/>
  <c r="DM65" i="9"/>
  <c r="OX97" i="2"/>
  <c r="OL97" i="2"/>
  <c r="NZ97" i="2"/>
  <c r="NN97" i="2"/>
  <c r="NB97" i="2"/>
  <c r="MP97" i="2"/>
  <c r="MD97" i="2"/>
  <c r="LR97" i="2"/>
  <c r="LF97" i="2"/>
  <c r="KT97" i="2"/>
  <c r="KH97" i="2"/>
  <c r="OW97" i="2"/>
  <c r="OK97" i="2"/>
  <c r="NY97" i="2"/>
  <c r="NM97" i="2"/>
  <c r="NA97" i="2"/>
  <c r="MO97" i="2"/>
  <c r="MC97" i="2"/>
  <c r="LQ97" i="2"/>
  <c r="LE97" i="2"/>
  <c r="KS97" i="2"/>
  <c r="KG97" i="2"/>
  <c r="PH97" i="2"/>
  <c r="OV97" i="2"/>
  <c r="OJ97" i="2"/>
  <c r="NX97" i="2"/>
  <c r="NL97" i="2"/>
  <c r="MZ97" i="2"/>
  <c r="MN97" i="2"/>
  <c r="MB97" i="2"/>
  <c r="LP97" i="2"/>
  <c r="LD97" i="2"/>
  <c r="KR97" i="2"/>
  <c r="PG97" i="2"/>
  <c r="OU97" i="2"/>
  <c r="OI97" i="2"/>
  <c r="NW97" i="2"/>
  <c r="NK97" i="2"/>
  <c r="MY97" i="2"/>
  <c r="MM97" i="2"/>
  <c r="MA97" i="2"/>
  <c r="LO97" i="2"/>
  <c r="LC97" i="2"/>
  <c r="KQ97" i="2"/>
  <c r="PF97" i="2"/>
  <c r="OT97" i="2"/>
  <c r="OH97" i="2"/>
  <c r="NV97" i="2"/>
  <c r="NJ97" i="2"/>
  <c r="MX97" i="2"/>
  <c r="ML97" i="2"/>
  <c r="LZ97" i="2"/>
  <c r="LN97" i="2"/>
  <c r="LB97" i="2"/>
  <c r="KP97" i="2"/>
  <c r="PE97" i="2"/>
  <c r="OS97" i="2"/>
  <c r="OG97" i="2"/>
  <c r="NU97" i="2"/>
  <c r="NI97" i="2"/>
  <c r="MW97" i="2"/>
  <c r="MK97" i="2"/>
  <c r="LY97" i="2"/>
  <c r="LM97" i="2"/>
  <c r="LA97" i="2"/>
  <c r="KO97" i="2"/>
  <c r="PD97" i="2"/>
  <c r="OR97" i="2"/>
  <c r="OF97" i="2"/>
  <c r="NT97" i="2"/>
  <c r="NH97" i="2"/>
  <c r="MV97" i="2"/>
  <c r="MJ97" i="2"/>
  <c r="LX97" i="2"/>
  <c r="LL97" i="2"/>
  <c r="KZ97" i="2"/>
  <c r="KN97" i="2"/>
  <c r="PC97" i="2"/>
  <c r="OQ97" i="2"/>
  <c r="OE97" i="2"/>
  <c r="NS97" i="2"/>
  <c r="NG97" i="2"/>
  <c r="MU97" i="2"/>
  <c r="MI97" i="2"/>
  <c r="LW97" i="2"/>
  <c r="LK97" i="2"/>
  <c r="KY97" i="2"/>
  <c r="KM97" i="2"/>
  <c r="PA97" i="2"/>
  <c r="NQ97" i="2"/>
  <c r="MG97" i="2"/>
  <c r="KW97" i="2"/>
  <c r="OY97" i="2"/>
  <c r="NO97" i="2"/>
  <c r="ME97" i="2"/>
  <c r="KU97" i="2"/>
  <c r="OP97" i="2"/>
  <c r="NF97" i="2"/>
  <c r="LV97" i="2"/>
  <c r="KL97" i="2"/>
  <c r="OO97" i="2"/>
  <c r="NE97" i="2"/>
  <c r="LU97" i="2"/>
  <c r="KK97" i="2"/>
  <c r="ON97" i="2"/>
  <c r="ND97" i="2"/>
  <c r="LT97" i="2"/>
  <c r="KJ97" i="2"/>
  <c r="OM97" i="2"/>
  <c r="NC97" i="2"/>
  <c r="LS97" i="2"/>
  <c r="KI97" i="2"/>
  <c r="OC97" i="2"/>
  <c r="MS97" i="2"/>
  <c r="LI97" i="2"/>
  <c r="OA97" i="2"/>
  <c r="MQ97" i="2"/>
  <c r="LG97" i="2"/>
  <c r="OB97" i="2"/>
  <c r="NR97" i="2"/>
  <c r="NP97" i="2"/>
  <c r="MT97" i="2"/>
  <c r="MR97" i="2"/>
  <c r="MH97" i="2"/>
  <c r="MF97" i="2"/>
  <c r="LJ97" i="2"/>
  <c r="OZ97" i="2"/>
  <c r="KV97" i="2"/>
  <c r="PB97" i="2"/>
  <c r="OD97" i="2"/>
  <c r="LH97" i="2"/>
  <c r="KX97" i="2"/>
  <c r="GH46" i="2"/>
  <c r="LR24" i="2"/>
  <c r="GH29" i="2"/>
  <c r="AX29" i="2" s="1"/>
  <c r="GH28" i="2"/>
  <c r="AX28" i="2" s="1"/>
  <c r="GH35" i="2"/>
  <c r="GH34" i="2"/>
  <c r="AX34" i="2" s="1"/>
  <c r="GH30" i="2"/>
  <c r="AX30" i="2" s="1"/>
  <c r="GH27" i="2"/>
  <c r="AX27" i="2" s="1"/>
  <c r="DY152" i="2"/>
  <c r="O68" i="9"/>
  <c r="O67" i="9"/>
  <c r="O66" i="9"/>
  <c r="O65" i="9"/>
  <c r="O69" i="9"/>
  <c r="DN83" i="4"/>
  <c r="DN84" i="4" s="1"/>
  <c r="DX134" i="2"/>
  <c r="DX138" i="2" s="1"/>
  <c r="DX124" i="2"/>
  <c r="BH83" i="4"/>
  <c r="BH84" i="4" s="1"/>
  <c r="BR123" i="2"/>
  <c r="BR88" i="2"/>
  <c r="BR134" i="2"/>
  <c r="BR138" i="2" s="1"/>
  <c r="BR117" i="2" s="1"/>
  <c r="EH138" i="2"/>
  <c r="EH117" i="2" s="1"/>
  <c r="KP24" i="2"/>
  <c r="FF28" i="2"/>
  <c r="V28" i="2" s="1"/>
  <c r="FF27" i="2"/>
  <c r="V27" i="2" s="1"/>
  <c r="FF35" i="2"/>
  <c r="FF34" i="2"/>
  <c r="V34" i="2" s="1"/>
  <c r="FF29" i="2"/>
  <c r="V29" i="2" s="1"/>
  <c r="FF46" i="2"/>
  <c r="FF30" i="2"/>
  <c r="V30" i="2" s="1"/>
  <c r="CJ83" i="4"/>
  <c r="CJ84" i="4" s="1"/>
  <c r="CT88" i="2"/>
  <c r="CT123" i="2"/>
  <c r="CT124" i="2"/>
  <c r="C370" i="10"/>
  <c r="E370" i="10" s="1"/>
  <c r="C371" i="10"/>
  <c r="E371" i="10" s="1"/>
  <c r="C171" i="10"/>
  <c r="C11" i="7"/>
  <c r="B9" i="9"/>
  <c r="DA15" i="7"/>
  <c r="F191" i="2"/>
  <c r="F74" i="2"/>
  <c r="E221" i="2"/>
  <c r="HM29" i="2"/>
  <c r="CC29" i="2" s="1"/>
  <c r="MW24" i="2"/>
  <c r="HM30" i="2"/>
  <c r="CC30" i="2" s="1"/>
  <c r="HM27" i="2"/>
  <c r="CC27" i="2" s="1"/>
  <c r="HM28" i="2"/>
  <c r="CC28" i="2" s="1"/>
  <c r="HM46" i="2"/>
  <c r="HM35" i="2"/>
  <c r="HM34" i="2"/>
  <c r="CC34" i="2" s="1"/>
  <c r="U69" i="9"/>
  <c r="U68" i="9"/>
  <c r="U67" i="9"/>
  <c r="U66" i="9"/>
  <c r="U65" i="9"/>
  <c r="FC46" i="2"/>
  <c r="KM24" i="2"/>
  <c r="FC34" i="2"/>
  <c r="S34" i="2" s="1"/>
  <c r="FC28" i="2"/>
  <c r="S28" i="2" s="1"/>
  <c r="FC30" i="2"/>
  <c r="S30" i="2" s="1"/>
  <c r="FC27" i="2"/>
  <c r="S27" i="2" s="1"/>
  <c r="FC29" i="2"/>
  <c r="S29" i="2" s="1"/>
  <c r="FC35" i="2"/>
  <c r="CI83" i="4"/>
  <c r="CI84" i="4" s="1"/>
  <c r="CS124" i="2"/>
  <c r="HJ30" i="2"/>
  <c r="BZ30" i="2" s="1"/>
  <c r="HJ46" i="2"/>
  <c r="HJ29" i="2"/>
  <c r="BZ29" i="2" s="1"/>
  <c r="MT24" i="2"/>
  <c r="HJ34" i="2"/>
  <c r="BZ34" i="2" s="1"/>
  <c r="HJ28" i="2"/>
  <c r="BZ28" i="2" s="1"/>
  <c r="HJ27" i="2"/>
  <c r="BZ27" i="2" s="1"/>
  <c r="HJ35" i="2"/>
  <c r="DD69" i="9"/>
  <c r="DD68" i="9"/>
  <c r="DD67" i="9"/>
  <c r="DD66" i="9"/>
  <c r="DD83" i="9"/>
  <c r="DD65" i="9"/>
  <c r="L32" i="1"/>
  <c r="M36" i="1"/>
  <c r="K32" i="1" s="1"/>
  <c r="CI68" i="9"/>
  <c r="CI67" i="9"/>
  <c r="CI66" i="9"/>
  <c r="CI65" i="9"/>
  <c r="CI83" i="9"/>
  <c r="CI69" i="9"/>
  <c r="W83" i="4"/>
  <c r="W84" i="4" s="1"/>
  <c r="BI123" i="2"/>
  <c r="DI83" i="9"/>
  <c r="DI69" i="9"/>
  <c r="DI66" i="9"/>
  <c r="DI65" i="9"/>
  <c r="DI68" i="9"/>
  <c r="DI67" i="9"/>
  <c r="HL46" i="2"/>
  <c r="MV24" i="2"/>
  <c r="HL34" i="2"/>
  <c r="CB34" i="2" s="1"/>
  <c r="HL28" i="2"/>
  <c r="CB28" i="2" s="1"/>
  <c r="HL30" i="2"/>
  <c r="CB30" i="2" s="1"/>
  <c r="HL27" i="2"/>
  <c r="CB27" i="2" s="1"/>
  <c r="HL29" i="2"/>
  <c r="CB29" i="2" s="1"/>
  <c r="HL35" i="2"/>
  <c r="OC24" i="2"/>
  <c r="IS34" i="2"/>
  <c r="DI34" i="2" s="1"/>
  <c r="IS28" i="2"/>
  <c r="DI28" i="2" s="1"/>
  <c r="IS29" i="2"/>
  <c r="DI29" i="2" s="1"/>
  <c r="IS30" i="2"/>
  <c r="DI30" i="2" s="1"/>
  <c r="IS27" i="2"/>
  <c r="DI27" i="2" s="1"/>
  <c r="IS35" i="2"/>
  <c r="IS46" i="2"/>
  <c r="AG126" i="2"/>
  <c r="DA123" i="2"/>
  <c r="C83" i="4"/>
  <c r="C84" i="4" s="1"/>
  <c r="CN83" i="9"/>
  <c r="CN69" i="9"/>
  <c r="CN68" i="9"/>
  <c r="CN67" i="9"/>
  <c r="CN66" i="9"/>
  <c r="CN65" i="9"/>
  <c r="U83" i="4"/>
  <c r="U84" i="4" s="1"/>
  <c r="JS46" i="2"/>
  <c r="PC24" i="2"/>
  <c r="JS34" i="2"/>
  <c r="EI34" i="2" s="1"/>
  <c r="JS28" i="2"/>
  <c r="EI28" i="2" s="1"/>
  <c r="JS30" i="2"/>
  <c r="EI30" i="2" s="1"/>
  <c r="JS29" i="2"/>
  <c r="EI29" i="2" s="1"/>
  <c r="JS27" i="2"/>
  <c r="EI27" i="2" s="1"/>
  <c r="JS35" i="2"/>
  <c r="CN83" i="4"/>
  <c r="CN84" i="4" s="1"/>
  <c r="CX134" i="2"/>
  <c r="CX138" i="2" s="1"/>
  <c r="CX117" i="2" s="1"/>
  <c r="CX123" i="2"/>
  <c r="W126" i="2"/>
  <c r="EB123" i="2"/>
  <c r="CU124" i="2"/>
  <c r="CD152" i="2"/>
  <c r="BP83" i="4"/>
  <c r="BP84" i="4" s="1"/>
  <c r="HF46" i="2"/>
  <c r="MP24" i="2"/>
  <c r="HF29" i="2"/>
  <c r="BV29" i="2" s="1"/>
  <c r="HF27" i="2"/>
  <c r="BV27" i="2" s="1"/>
  <c r="HF35" i="2"/>
  <c r="HF30" i="2"/>
  <c r="BV30" i="2" s="1"/>
  <c r="HF28" i="2"/>
  <c r="BV28" i="2" s="1"/>
  <c r="HF34" i="2"/>
  <c r="BV34" i="2" s="1"/>
  <c r="BY83" i="9"/>
  <c r="BY66" i="9"/>
  <c r="BY65" i="9"/>
  <c r="BY69" i="9"/>
  <c r="BY68" i="9"/>
  <c r="BY67" i="9"/>
  <c r="AM83" i="4"/>
  <c r="AM84" i="4" s="1"/>
  <c r="AW124" i="2"/>
  <c r="CS123" i="2"/>
  <c r="FD46" i="2"/>
  <c r="KN24" i="2"/>
  <c r="FD34" i="2"/>
  <c r="T34" i="2" s="1"/>
  <c r="FD28" i="2"/>
  <c r="T28" i="2" s="1"/>
  <c r="FD30" i="2"/>
  <c r="T30" i="2" s="1"/>
  <c r="FD35" i="2"/>
  <c r="FD29" i="2"/>
  <c r="T29" i="2" s="1"/>
  <c r="FD27" i="2"/>
  <c r="T27" i="2" s="1"/>
  <c r="IR29" i="2"/>
  <c r="DH29" i="2" s="1"/>
  <c r="IR34" i="2"/>
  <c r="DH34" i="2" s="1"/>
  <c r="OB24" i="2"/>
  <c r="IR28" i="2"/>
  <c r="DH28" i="2" s="1"/>
  <c r="IR35" i="2"/>
  <c r="IR30" i="2"/>
  <c r="DH30" i="2" s="1"/>
  <c r="IR27" i="2"/>
  <c r="DH27" i="2" s="1"/>
  <c r="IR46" i="2"/>
  <c r="IQ34" i="2"/>
  <c r="DG34" i="2" s="1"/>
  <c r="IQ28" i="2"/>
  <c r="DG28" i="2" s="1"/>
  <c r="IQ29" i="2"/>
  <c r="DG29" i="2" s="1"/>
  <c r="OA24" i="2"/>
  <c r="IQ30" i="2"/>
  <c r="DG30" i="2" s="1"/>
  <c r="IQ27" i="2"/>
  <c r="DG27" i="2" s="1"/>
  <c r="IQ46" i="2"/>
  <c r="IQ35" i="2"/>
  <c r="S69" i="9"/>
  <c r="S68" i="9"/>
  <c r="S67" i="9"/>
  <c r="S66" i="9"/>
  <c r="S65" i="9"/>
  <c r="EI134" i="2"/>
  <c r="EI138" i="2" s="1"/>
  <c r="EI117" i="2" s="1"/>
  <c r="EI124" i="2"/>
  <c r="DX88" i="2"/>
  <c r="AA83" i="4"/>
  <c r="AA84" i="4" s="1"/>
  <c r="DC125" i="9"/>
  <c r="DC91" i="9"/>
  <c r="FH46" i="2"/>
  <c r="KR24" i="2"/>
  <c r="FH35" i="2"/>
  <c r="FH29" i="2"/>
  <c r="X29" i="2" s="1"/>
  <c r="FH30" i="2"/>
  <c r="X30" i="2" s="1"/>
  <c r="FH34" i="2"/>
  <c r="X34" i="2" s="1"/>
  <c r="FH27" i="2"/>
  <c r="X27" i="2" s="1"/>
  <c r="FH28" i="2"/>
  <c r="X28" i="2" s="1"/>
  <c r="EX103" i="2"/>
  <c r="CT134" i="2"/>
  <c r="CT138" i="2" s="1"/>
  <c r="CT117" i="2" s="1"/>
  <c r="PB102" i="2"/>
  <c r="OP102" i="2"/>
  <c r="OD102" i="2"/>
  <c r="NR102" i="2"/>
  <c r="NF102" i="2"/>
  <c r="MT102" i="2"/>
  <c r="MH102" i="2"/>
  <c r="LV102" i="2"/>
  <c r="LJ102" i="2"/>
  <c r="KX102" i="2"/>
  <c r="KL102" i="2"/>
  <c r="PA102" i="2"/>
  <c r="OO102" i="2"/>
  <c r="OC102" i="2"/>
  <c r="NQ102" i="2"/>
  <c r="NE102" i="2"/>
  <c r="MS102" i="2"/>
  <c r="MG102" i="2"/>
  <c r="LU102" i="2"/>
  <c r="LI102" i="2"/>
  <c r="KW102" i="2"/>
  <c r="KK102" i="2"/>
  <c r="OZ102" i="2"/>
  <c r="ON102" i="2"/>
  <c r="OB102" i="2"/>
  <c r="NP102" i="2"/>
  <c r="ND102" i="2"/>
  <c r="MR102" i="2"/>
  <c r="MF102" i="2"/>
  <c r="LT102" i="2"/>
  <c r="LH102" i="2"/>
  <c r="KV102" i="2"/>
  <c r="KJ102" i="2"/>
  <c r="OY102" i="2"/>
  <c r="OM102" i="2"/>
  <c r="OA102" i="2"/>
  <c r="NO102" i="2"/>
  <c r="NC102" i="2"/>
  <c r="MQ102" i="2"/>
  <c r="ME102" i="2"/>
  <c r="LS102" i="2"/>
  <c r="LG102" i="2"/>
  <c r="KU102" i="2"/>
  <c r="KI102" i="2"/>
  <c r="OX102" i="2"/>
  <c r="OL102" i="2"/>
  <c r="NZ102" i="2"/>
  <c r="NN102" i="2"/>
  <c r="NB102" i="2"/>
  <c r="MP102" i="2"/>
  <c r="MD102" i="2"/>
  <c r="LR102" i="2"/>
  <c r="LF102" i="2"/>
  <c r="KT102" i="2"/>
  <c r="KH102" i="2"/>
  <c r="OW102" i="2"/>
  <c r="OK102" i="2"/>
  <c r="NY102" i="2"/>
  <c r="NM102" i="2"/>
  <c r="NA102" i="2"/>
  <c r="MO102" i="2"/>
  <c r="MC102" i="2"/>
  <c r="LQ102" i="2"/>
  <c r="LE102" i="2"/>
  <c r="KS102" i="2"/>
  <c r="KG102" i="2"/>
  <c r="PH102" i="2"/>
  <c r="OV102" i="2"/>
  <c r="OJ102" i="2"/>
  <c r="NX102" i="2"/>
  <c r="NL102" i="2"/>
  <c r="MZ102" i="2"/>
  <c r="MN102" i="2"/>
  <c r="MB102" i="2"/>
  <c r="LP102" i="2"/>
  <c r="LD102" i="2"/>
  <c r="KR102" i="2"/>
  <c r="PG102" i="2"/>
  <c r="OU102" i="2"/>
  <c r="OI102" i="2"/>
  <c r="NW102" i="2"/>
  <c r="NK102" i="2"/>
  <c r="MY102" i="2"/>
  <c r="MM102" i="2"/>
  <c r="MA102" i="2"/>
  <c r="LO102" i="2"/>
  <c r="LC102" i="2"/>
  <c r="KQ102" i="2"/>
  <c r="OG102" i="2"/>
  <c r="MW102" i="2"/>
  <c r="LM102" i="2"/>
  <c r="OE102" i="2"/>
  <c r="MU102" i="2"/>
  <c r="LK102" i="2"/>
  <c r="PF102" i="2"/>
  <c r="NV102" i="2"/>
  <c r="ML102" i="2"/>
  <c r="LB102" i="2"/>
  <c r="PE102" i="2"/>
  <c r="NU102" i="2"/>
  <c r="MK102" i="2"/>
  <c r="LA102" i="2"/>
  <c r="PD102" i="2"/>
  <c r="NT102" i="2"/>
  <c r="MJ102" i="2"/>
  <c r="KZ102" i="2"/>
  <c r="PC102" i="2"/>
  <c r="NS102" i="2"/>
  <c r="MI102" i="2"/>
  <c r="KY102" i="2"/>
  <c r="OS102" i="2"/>
  <c r="NI102" i="2"/>
  <c r="LY102" i="2"/>
  <c r="KO102" i="2"/>
  <c r="OQ102" i="2"/>
  <c r="NG102" i="2"/>
  <c r="LW102" i="2"/>
  <c r="KM102" i="2"/>
  <c r="OT102" i="2"/>
  <c r="KP102" i="2"/>
  <c r="OR102" i="2"/>
  <c r="KN102" i="2"/>
  <c r="OH102" i="2"/>
  <c r="OF102" i="2"/>
  <c r="NJ102" i="2"/>
  <c r="NH102" i="2"/>
  <c r="MX102" i="2"/>
  <c r="MV102" i="2"/>
  <c r="LN102" i="2"/>
  <c r="LL102" i="2"/>
  <c r="LZ102" i="2"/>
  <c r="LX102" i="2"/>
  <c r="AP83" i="4"/>
  <c r="AP84" i="4" s="1"/>
  <c r="AZ124" i="2"/>
  <c r="AZ88" i="2"/>
  <c r="AZ123" i="2"/>
  <c r="AZ134" i="2"/>
  <c r="AZ138" i="2" s="1"/>
  <c r="AZ117" i="2" s="1"/>
  <c r="DG83" i="4"/>
  <c r="DG84" i="4" s="1"/>
  <c r="DQ124" i="2"/>
  <c r="DQ123" i="2"/>
  <c r="DQ134" i="2"/>
  <c r="DQ138" i="2" s="1"/>
  <c r="DQ88" i="2"/>
  <c r="L83" i="4"/>
  <c r="L84" i="4" s="1"/>
  <c r="V83" i="4"/>
  <c r="V84" i="4" s="1"/>
  <c r="KD42" i="2"/>
  <c r="NT42" i="2" s="1"/>
  <c r="CA83" i="4"/>
  <c r="CA84" i="4" s="1"/>
  <c r="CK123" i="2"/>
  <c r="CK134" i="2"/>
  <c r="CK138" i="2" s="1"/>
  <c r="CK117" i="2" s="1"/>
  <c r="CK124" i="2"/>
  <c r="HC29" i="2"/>
  <c r="BS29" i="2" s="1"/>
  <c r="MM24" i="2"/>
  <c r="HC46" i="2"/>
  <c r="HC35" i="2"/>
  <c r="HC27" i="2"/>
  <c r="BS27" i="2" s="1"/>
  <c r="HC30" i="2"/>
  <c r="BS30" i="2" s="1"/>
  <c r="HC34" i="2"/>
  <c r="BS34" i="2" s="1"/>
  <c r="HC28" i="2"/>
  <c r="BS28" i="2" s="1"/>
  <c r="DS83" i="9"/>
  <c r="DS68" i="9"/>
  <c r="DS67" i="9"/>
  <c r="DS66" i="9"/>
  <c r="DS65" i="9"/>
  <c r="DS69" i="9"/>
  <c r="NV24" i="2"/>
  <c r="IL35" i="2"/>
  <c r="IL34" i="2"/>
  <c r="DB34" i="2" s="1"/>
  <c r="IL29" i="2"/>
  <c r="DB29" i="2" s="1"/>
  <c r="IL46" i="2"/>
  <c r="IL28" i="2"/>
  <c r="DB28" i="2" s="1"/>
  <c r="IL27" i="2"/>
  <c r="DB27" i="2" s="1"/>
  <c r="IL30" i="2"/>
  <c r="DB30" i="2" s="1"/>
  <c r="CC123" i="2"/>
  <c r="FO46" i="2"/>
  <c r="KY24" i="2"/>
  <c r="FO34" i="2"/>
  <c r="AE34" i="2" s="1"/>
  <c r="FO28" i="2"/>
  <c r="AE28" i="2" s="1"/>
  <c r="FO30" i="2"/>
  <c r="AE30" i="2" s="1"/>
  <c r="FO29" i="2"/>
  <c r="AE29" i="2" s="1"/>
  <c r="FO27" i="2"/>
  <c r="AE27" i="2" s="1"/>
  <c r="FO35" i="2"/>
  <c r="V152" i="2"/>
  <c r="BW83" i="9"/>
  <c r="BW68" i="9"/>
  <c r="BW67" i="9"/>
  <c r="BW66" i="9"/>
  <c r="BW65" i="9"/>
  <c r="BW69" i="9"/>
  <c r="EI72" i="2"/>
  <c r="HR46" i="2"/>
  <c r="NB24" i="2"/>
  <c r="HR29" i="2"/>
  <c r="CH29" i="2" s="1"/>
  <c r="HR28" i="2"/>
  <c r="CH28" i="2" s="1"/>
  <c r="HR27" i="2"/>
  <c r="CH27" i="2" s="1"/>
  <c r="HR35" i="2"/>
  <c r="HR34" i="2"/>
  <c r="CH34" i="2" s="1"/>
  <c r="HR30" i="2"/>
  <c r="CH30" i="2" s="1"/>
  <c r="BK83" i="9"/>
  <c r="BK68" i="9"/>
  <c r="BK67" i="9"/>
  <c r="BK66" i="9"/>
  <c r="BK65" i="9"/>
  <c r="BK69" i="9"/>
  <c r="KW24" i="2"/>
  <c r="FM34" i="2"/>
  <c r="AC34" i="2" s="1"/>
  <c r="FM28" i="2"/>
  <c r="AC28" i="2" s="1"/>
  <c r="FM27" i="2"/>
  <c r="AC27" i="2" s="1"/>
  <c r="FM29" i="2"/>
  <c r="AC29" i="2" s="1"/>
  <c r="FM30" i="2"/>
  <c r="AC30" i="2" s="1"/>
  <c r="FM46" i="2"/>
  <c r="FM35" i="2"/>
  <c r="V138" i="2"/>
  <c r="P140" i="9" s="1"/>
  <c r="CF83" i="9"/>
  <c r="CF68" i="9"/>
  <c r="CF67" i="9"/>
  <c r="CF66" i="9"/>
  <c r="CF65" i="9"/>
  <c r="CF69" i="9"/>
  <c r="W138" i="2"/>
  <c r="Q140" i="9" s="1"/>
  <c r="EB134" i="2"/>
  <c r="EB138" i="2" s="1"/>
  <c r="EB117" i="2" s="1"/>
  <c r="CU134" i="2"/>
  <c r="CU138" i="2" s="1"/>
  <c r="ML24" i="2"/>
  <c r="HB35" i="2"/>
  <c r="HB34" i="2"/>
  <c r="BR34" i="2" s="1"/>
  <c r="HB29" i="2"/>
  <c r="BR29" i="2" s="1"/>
  <c r="HB46" i="2"/>
  <c r="HB27" i="2"/>
  <c r="BR27" i="2" s="1"/>
  <c r="HB30" i="2"/>
  <c r="BR30" i="2" s="1"/>
  <c r="HB28" i="2"/>
  <c r="BR28" i="2" s="1"/>
  <c r="AY68" i="9"/>
  <c r="AY67" i="9"/>
  <c r="AY66" i="9"/>
  <c r="AY65" i="9"/>
  <c r="AY69" i="9"/>
  <c r="LU24" i="2"/>
  <c r="GK34" i="2"/>
  <c r="BA34" i="2" s="1"/>
  <c r="GK28" i="2"/>
  <c r="BA28" i="2" s="1"/>
  <c r="GK27" i="2"/>
  <c r="BA27" i="2" s="1"/>
  <c r="GK35" i="2"/>
  <c r="GK30" i="2"/>
  <c r="BA30" i="2" s="1"/>
  <c r="GK46" i="2"/>
  <c r="GK29" i="2"/>
  <c r="BA29" i="2" s="1"/>
  <c r="AW123" i="2"/>
  <c r="BC83" i="4"/>
  <c r="BC84" i="4" s="1"/>
  <c r="BM123" i="2"/>
  <c r="BM134" i="2"/>
  <c r="BM138" i="2" s="1"/>
  <c r="BM117" i="2" s="1"/>
  <c r="BM124" i="2"/>
  <c r="BT83" i="9"/>
  <c r="BT68" i="9"/>
  <c r="BT67" i="9"/>
  <c r="BT66" i="9"/>
  <c r="BT65" i="9"/>
  <c r="BT69" i="9"/>
  <c r="EK124" i="2"/>
  <c r="BR124" i="2"/>
  <c r="GF103" i="2"/>
  <c r="N138" i="2"/>
  <c r="H140" i="9" s="1"/>
  <c r="Q66" i="9"/>
  <c r="Q65" i="9"/>
  <c r="Q69" i="9"/>
  <c r="Q68" i="9"/>
  <c r="Q67" i="9"/>
  <c r="JW29" i="2"/>
  <c r="EM29" i="2" s="1"/>
  <c r="PG24" i="2"/>
  <c r="JW46" i="2"/>
  <c r="JW35" i="2"/>
  <c r="JW34" i="2"/>
  <c r="EM34" i="2" s="1"/>
  <c r="JW28" i="2"/>
  <c r="EM28" i="2" s="1"/>
  <c r="JW27" i="2"/>
  <c r="EM27" i="2" s="1"/>
  <c r="JW30" i="2"/>
  <c r="EM30" i="2" s="1"/>
  <c r="BU138" i="2"/>
  <c r="BU117" i="2" s="1"/>
  <c r="F83" i="4"/>
  <c r="F84" i="4" s="1"/>
  <c r="EM72" i="2"/>
  <c r="OX94" i="2"/>
  <c r="OL94" i="2"/>
  <c r="NZ94" i="2"/>
  <c r="NN94" i="2"/>
  <c r="NB94" i="2"/>
  <c r="MP94" i="2"/>
  <c r="MD94" i="2"/>
  <c r="LR94" i="2"/>
  <c r="LF94" i="2"/>
  <c r="KT94" i="2"/>
  <c r="KH94" i="2"/>
  <c r="OW94" i="2"/>
  <c r="OK94" i="2"/>
  <c r="NY94" i="2"/>
  <c r="NM94" i="2"/>
  <c r="NA94" i="2"/>
  <c r="MO94" i="2"/>
  <c r="MC94" i="2"/>
  <c r="LQ94" i="2"/>
  <c r="LE94" i="2"/>
  <c r="KS94" i="2"/>
  <c r="KG94" i="2"/>
  <c r="PH94" i="2"/>
  <c r="OV94" i="2"/>
  <c r="OJ94" i="2"/>
  <c r="NX94" i="2"/>
  <c r="NL94" i="2"/>
  <c r="MZ94" i="2"/>
  <c r="MN94" i="2"/>
  <c r="MB94" i="2"/>
  <c r="LP94" i="2"/>
  <c r="LD94" i="2"/>
  <c r="KR94" i="2"/>
  <c r="PG94" i="2"/>
  <c r="OU94" i="2"/>
  <c r="OI94" i="2"/>
  <c r="NW94" i="2"/>
  <c r="NK94" i="2"/>
  <c r="MY94" i="2"/>
  <c r="MM94" i="2"/>
  <c r="MA94" i="2"/>
  <c r="LO94" i="2"/>
  <c r="LC94" i="2"/>
  <c r="KQ94" i="2"/>
  <c r="PF94" i="2"/>
  <c r="OT94" i="2"/>
  <c r="OH94" i="2"/>
  <c r="NV94" i="2"/>
  <c r="NJ94" i="2"/>
  <c r="MX94" i="2"/>
  <c r="ML94" i="2"/>
  <c r="LZ94" i="2"/>
  <c r="LN94" i="2"/>
  <c r="LB94" i="2"/>
  <c r="KP94" i="2"/>
  <c r="PE94" i="2"/>
  <c r="OS94" i="2"/>
  <c r="OG94" i="2"/>
  <c r="NU94" i="2"/>
  <c r="NI94" i="2"/>
  <c r="MW94" i="2"/>
  <c r="MK94" i="2"/>
  <c r="LY94" i="2"/>
  <c r="LM94" i="2"/>
  <c r="LA94" i="2"/>
  <c r="KO94" i="2"/>
  <c r="PD94" i="2"/>
  <c r="OR94" i="2"/>
  <c r="OF94" i="2"/>
  <c r="NT94" i="2"/>
  <c r="NH94" i="2"/>
  <c r="MV94" i="2"/>
  <c r="MJ94" i="2"/>
  <c r="LX94" i="2"/>
  <c r="LL94" i="2"/>
  <c r="KZ94" i="2"/>
  <c r="KN94" i="2"/>
  <c r="PC94" i="2"/>
  <c r="OQ94" i="2"/>
  <c r="OE94" i="2"/>
  <c r="NS94" i="2"/>
  <c r="NG94" i="2"/>
  <c r="MU94" i="2"/>
  <c r="MI94" i="2"/>
  <c r="LW94" i="2"/>
  <c r="LK94" i="2"/>
  <c r="KY94" i="2"/>
  <c r="KM94" i="2"/>
  <c r="PA94" i="2"/>
  <c r="NQ94" i="2"/>
  <c r="MG94" i="2"/>
  <c r="KW94" i="2"/>
  <c r="OY94" i="2"/>
  <c r="NO94" i="2"/>
  <c r="ME94" i="2"/>
  <c r="KU94" i="2"/>
  <c r="OP94" i="2"/>
  <c r="NF94" i="2"/>
  <c r="LV94" i="2"/>
  <c r="KL94" i="2"/>
  <c r="OO94" i="2"/>
  <c r="NE94" i="2"/>
  <c r="LU94" i="2"/>
  <c r="KK94" i="2"/>
  <c r="ON94" i="2"/>
  <c r="ND94" i="2"/>
  <c r="LT94" i="2"/>
  <c r="KJ94" i="2"/>
  <c r="OM94" i="2"/>
  <c r="NC94" i="2"/>
  <c r="LS94" i="2"/>
  <c r="KI94" i="2"/>
  <c r="OC94" i="2"/>
  <c r="MS94" i="2"/>
  <c r="LI94" i="2"/>
  <c r="OA94" i="2"/>
  <c r="MQ94" i="2"/>
  <c r="LG94" i="2"/>
  <c r="LH94" i="2"/>
  <c r="PB94" i="2"/>
  <c r="KX94" i="2"/>
  <c r="OZ94" i="2"/>
  <c r="KV94" i="2"/>
  <c r="OD94" i="2"/>
  <c r="NR94" i="2"/>
  <c r="NP94" i="2"/>
  <c r="MT94" i="2"/>
  <c r="MF94" i="2"/>
  <c r="OB94" i="2"/>
  <c r="MR94" i="2"/>
  <c r="MH94" i="2"/>
  <c r="LJ94" i="2"/>
  <c r="I233" i="2"/>
  <c r="EQ207" i="2"/>
  <c r="BC138" i="2"/>
  <c r="BC117" i="2" s="1"/>
  <c r="LB24" i="2"/>
  <c r="FR28" i="2"/>
  <c r="AH28" i="2" s="1"/>
  <c r="FR30" i="2"/>
  <c r="AH30" i="2" s="1"/>
  <c r="FR27" i="2"/>
  <c r="AH27" i="2" s="1"/>
  <c r="FR29" i="2"/>
  <c r="AH29" i="2" s="1"/>
  <c r="FR35" i="2"/>
  <c r="FR34" i="2"/>
  <c r="AH34" i="2" s="1"/>
  <c r="FR46" i="2"/>
  <c r="DB83" i="4"/>
  <c r="DB84" i="4" s="1"/>
  <c r="DL134" i="2"/>
  <c r="DL138" i="2" s="1"/>
  <c r="DL117" i="2" s="1"/>
  <c r="DL124" i="2"/>
  <c r="MX24" i="2"/>
  <c r="HN35" i="2"/>
  <c r="HN34" i="2"/>
  <c r="CD34" i="2" s="1"/>
  <c r="HN46" i="2"/>
  <c r="HN28" i="2"/>
  <c r="CD28" i="2" s="1"/>
  <c r="HN27" i="2"/>
  <c r="CD27" i="2" s="1"/>
  <c r="HN30" i="2"/>
  <c r="CD30" i="2" s="1"/>
  <c r="HN29" i="2"/>
  <c r="CD29" i="2" s="1"/>
  <c r="AI125" i="9"/>
  <c r="CW83" i="9"/>
  <c r="CW66" i="9"/>
  <c r="CW65" i="9"/>
  <c r="CW69" i="9"/>
  <c r="CW68" i="9"/>
  <c r="CW67" i="9"/>
  <c r="BQ83" i="4"/>
  <c r="BQ84" i="4" s="1"/>
  <c r="BZ123" i="2"/>
  <c r="BA83" i="4"/>
  <c r="BA84" i="4" s="1"/>
  <c r="BK123" i="2"/>
  <c r="BK134" i="2"/>
  <c r="BK138" i="2" s="1"/>
  <c r="BK124" i="2"/>
  <c r="AR68" i="9"/>
  <c r="AR67" i="9"/>
  <c r="AR69" i="9"/>
  <c r="AR66" i="9"/>
  <c r="AR65" i="9"/>
  <c r="AS68" i="9"/>
  <c r="AS67" i="9"/>
  <c r="AS69" i="9"/>
  <c r="AN67" i="9"/>
  <c r="AN69" i="9"/>
  <c r="AN66" i="9"/>
  <c r="AN65" i="9"/>
  <c r="AN68" i="9"/>
  <c r="IY103" i="2"/>
  <c r="HS103" i="2"/>
  <c r="HV103" i="2"/>
  <c r="JR103" i="2"/>
  <c r="IW103" i="2"/>
  <c r="JA103" i="2"/>
  <c r="JB103" i="2"/>
  <c r="FW103" i="2"/>
  <c r="JC103" i="2"/>
  <c r="FN103" i="2"/>
  <c r="IZ103" i="2"/>
  <c r="JN103" i="2"/>
  <c r="FG103" i="2"/>
  <c r="JK103" i="2"/>
  <c r="FZ103" i="2"/>
  <c r="FE103" i="2"/>
  <c r="HA103" i="2"/>
  <c r="EW103" i="2"/>
  <c r="HF103" i="2"/>
  <c r="JM103" i="2"/>
  <c r="FK103" i="2"/>
  <c r="GL103" i="2"/>
  <c r="IH103" i="2"/>
  <c r="HM103" i="2"/>
  <c r="FS103" i="2"/>
  <c r="GE103" i="2"/>
  <c r="IT103" i="2"/>
  <c r="FQ103" i="2"/>
  <c r="JI103" i="2"/>
  <c r="IQ103" i="2"/>
  <c r="GI103" i="2"/>
  <c r="HC103" i="2"/>
  <c r="GX103" i="2"/>
  <c r="GC103" i="2"/>
  <c r="JX103" i="2"/>
  <c r="EY103" i="2"/>
  <c r="JW103" i="2"/>
  <c r="GH103" i="2"/>
  <c r="GS103" i="2"/>
  <c r="ID103" i="2"/>
  <c r="HJ103" i="2"/>
  <c r="HY103" i="2"/>
  <c r="JU103" i="2"/>
  <c r="HD103" i="2"/>
  <c r="IA103" i="2"/>
  <c r="FV103" i="2"/>
  <c r="GQ103" i="2"/>
  <c r="FB103" i="2"/>
  <c r="GR103" i="2"/>
  <c r="HO103" i="2"/>
  <c r="IK103" i="2"/>
  <c r="JO103" i="2"/>
  <c r="JF103" i="2"/>
  <c r="IM103" i="2"/>
  <c r="GO103" i="2"/>
  <c r="EV103" i="2"/>
  <c r="FM103" i="2"/>
  <c r="IX103" i="2"/>
  <c r="IL103" i="2"/>
  <c r="GN103" i="2"/>
  <c r="IP103" i="2"/>
  <c r="FX103" i="2"/>
  <c r="IR103" i="2"/>
  <c r="FD103" i="2"/>
  <c r="FC103" i="2"/>
  <c r="HK103" i="2"/>
  <c r="HK105" i="2" s="1"/>
  <c r="GM103" i="2"/>
  <c r="HZ103" i="2"/>
  <c r="HL103" i="2"/>
  <c r="IV103" i="2"/>
  <c r="IS103" i="2"/>
  <c r="JD103" i="2"/>
  <c r="IJ103" i="2"/>
  <c r="JP103" i="2"/>
  <c r="IO103" i="2"/>
  <c r="FH103" i="2"/>
  <c r="HG103" i="2"/>
  <c r="JL103" i="2"/>
  <c r="FI103" i="2"/>
  <c r="HW103" i="2"/>
  <c r="JQ103" i="2"/>
  <c r="JQ105" i="2" s="1"/>
  <c r="FL103" i="2"/>
  <c r="HX103" i="2"/>
  <c r="FP103" i="2"/>
  <c r="HH103" i="2"/>
  <c r="GB103" i="2"/>
  <c r="HI103" i="2"/>
  <c r="GK103" i="2"/>
  <c r="HU103" i="2"/>
  <c r="HR103" i="2"/>
  <c r="GA103" i="2"/>
  <c r="HN103" i="2"/>
  <c r="GW103" i="2"/>
  <c r="FJ103" i="2"/>
  <c r="HB103" i="2"/>
  <c r="GP103" i="2"/>
  <c r="JV103" i="2"/>
  <c r="FT103" i="2"/>
  <c r="FO103" i="2"/>
  <c r="IG103" i="2"/>
  <c r="GD103" i="2"/>
  <c r="FR103" i="2"/>
  <c r="IU103" i="2"/>
  <c r="FU103" i="2"/>
  <c r="DX123" i="2"/>
  <c r="KD37" i="2"/>
  <c r="OY37" i="2" s="1"/>
  <c r="EW28" i="2"/>
  <c r="M28" i="2" s="1"/>
  <c r="EW46" i="2"/>
  <c r="EW29" i="2"/>
  <c r="M29" i="2" s="1"/>
  <c r="KG24" i="2"/>
  <c r="EW34" i="2"/>
  <c r="M34" i="2" s="1"/>
  <c r="EW35" i="2"/>
  <c r="EW30" i="2"/>
  <c r="M30" i="2" s="1"/>
  <c r="EW27" i="2"/>
  <c r="M27" i="2" s="1"/>
  <c r="E83" i="4"/>
  <c r="E84" i="4" s="1"/>
  <c r="AV68" i="9"/>
  <c r="AV67" i="9"/>
  <c r="AV69" i="9"/>
  <c r="AV66" i="9"/>
  <c r="AV65" i="9"/>
  <c r="BV83" i="4"/>
  <c r="BV84" i="4" s="1"/>
  <c r="CF124" i="2"/>
  <c r="CF134" i="2"/>
  <c r="CF138" i="2" s="1"/>
  <c r="CF88" i="2"/>
  <c r="AS65" i="9"/>
  <c r="BL83" i="4"/>
  <c r="BL84" i="4" s="1"/>
  <c r="BV123" i="2"/>
  <c r="BV134" i="2"/>
  <c r="BV138" i="2" s="1"/>
  <c r="BV124" i="2"/>
  <c r="CM83" i="9"/>
  <c r="CM69" i="9"/>
  <c r="CM68" i="9"/>
  <c r="CM67" i="9"/>
  <c r="CM66" i="9"/>
  <c r="CM65" i="9"/>
  <c r="IP46" i="2"/>
  <c r="IP29" i="2"/>
  <c r="DF29" i="2" s="1"/>
  <c r="NZ24" i="2"/>
  <c r="IP34" i="2"/>
  <c r="DF34" i="2" s="1"/>
  <c r="IP28" i="2"/>
  <c r="DF28" i="2" s="1"/>
  <c r="IP35" i="2"/>
  <c r="IP27" i="2"/>
  <c r="DF27" i="2" s="1"/>
  <c r="IP30" i="2"/>
  <c r="DF30" i="2" s="1"/>
  <c r="CP83" i="4"/>
  <c r="CP84" i="4" s="1"/>
  <c r="CZ123" i="2"/>
  <c r="GX30" i="2"/>
  <c r="BN30" i="2" s="1"/>
  <c r="GX46" i="2"/>
  <c r="GX29" i="2"/>
  <c r="BN29" i="2" s="1"/>
  <c r="MH24" i="2"/>
  <c r="GX34" i="2"/>
  <c r="BN34" i="2" s="1"/>
  <c r="GX28" i="2"/>
  <c r="BN28" i="2" s="1"/>
  <c r="GX27" i="2"/>
  <c r="BN27" i="2" s="1"/>
  <c r="GX35" i="2"/>
  <c r="DP68" i="9"/>
  <c r="DP83" i="9"/>
  <c r="DP67" i="9"/>
  <c r="DP69" i="9"/>
  <c r="DP66" i="9"/>
  <c r="DP65" i="9"/>
  <c r="DQ68" i="9"/>
  <c r="DQ67" i="9"/>
  <c r="BV83" i="9"/>
  <c r="BV69" i="9"/>
  <c r="BV68" i="9"/>
  <c r="BV67" i="9"/>
  <c r="BV66" i="9"/>
  <c r="BV65" i="9"/>
  <c r="AR138" i="2"/>
  <c r="DL88" i="2"/>
  <c r="DC83" i="9"/>
  <c r="DC69" i="9"/>
  <c r="DC68" i="9"/>
  <c r="DC67" i="9"/>
  <c r="DC66" i="9"/>
  <c r="DC65" i="9"/>
  <c r="DA134" i="2"/>
  <c r="DA138" i="2" s="1"/>
  <c r="DA117" i="2" s="1"/>
  <c r="AI126" i="2"/>
  <c r="GV29" i="2"/>
  <c r="BL29" i="2" s="1"/>
  <c r="GV34" i="2"/>
  <c r="BL34" i="2" s="1"/>
  <c r="GV28" i="2"/>
  <c r="BL28" i="2" s="1"/>
  <c r="MF24" i="2"/>
  <c r="GV46" i="2"/>
  <c r="GV27" i="2"/>
  <c r="BL27" i="2" s="1"/>
  <c r="GV35" i="2"/>
  <c r="GV30" i="2"/>
  <c r="BL30" i="2" s="1"/>
  <c r="V126" i="2"/>
  <c r="BP83" i="9"/>
  <c r="BP69" i="9"/>
  <c r="BP68" i="9"/>
  <c r="BP67" i="9"/>
  <c r="BP66" i="9"/>
  <c r="BP65" i="9"/>
  <c r="BQ68" i="9"/>
  <c r="BQ67" i="9"/>
  <c r="BQ65" i="9"/>
  <c r="DQ69" i="9"/>
  <c r="EN124" i="2"/>
  <c r="DA152" i="2"/>
  <c r="CY30" i="7"/>
  <c r="CZ30" i="7" s="1"/>
  <c r="GQ29" i="2"/>
  <c r="BG29" i="2" s="1"/>
  <c r="MA24" i="2"/>
  <c r="GQ46" i="2"/>
  <c r="GQ35" i="2"/>
  <c r="GQ34" i="2"/>
  <c r="BG34" i="2" s="1"/>
  <c r="GQ28" i="2"/>
  <c r="BG28" i="2" s="1"/>
  <c r="GQ30" i="2"/>
  <c r="BG30" i="2" s="1"/>
  <c r="GQ27" i="2"/>
  <c r="BG27" i="2" s="1"/>
  <c r="N69" i="9"/>
  <c r="N68" i="9"/>
  <c r="N67" i="9"/>
  <c r="N66" i="9"/>
  <c r="N65" i="9"/>
  <c r="AI69" i="9"/>
  <c r="AI68" i="9"/>
  <c r="AI67" i="9"/>
  <c r="AI66" i="9"/>
  <c r="AI65" i="9"/>
  <c r="AJ68" i="9"/>
  <c r="AJ67" i="9"/>
  <c r="DA83" i="9"/>
  <c r="DA69" i="9"/>
  <c r="DA68" i="9"/>
  <c r="DA67" i="9"/>
  <c r="DA66" i="9"/>
  <c r="DA65" i="9"/>
  <c r="EZ103" i="2"/>
  <c r="HT103" i="2"/>
  <c r="EI123" i="2"/>
  <c r="IB103" i="2"/>
  <c r="JT103" i="2"/>
  <c r="BD83" i="4"/>
  <c r="BD84" i="4" s="1"/>
  <c r="BN88" i="2"/>
  <c r="BN123" i="2"/>
  <c r="BN134" i="2"/>
  <c r="BN138" i="2" s="1"/>
  <c r="BN117" i="2" s="1"/>
  <c r="JP28" i="2"/>
  <c r="EF28" i="2" s="1"/>
  <c r="FZ28" i="2"/>
  <c r="AP28" i="2" s="1"/>
  <c r="HH28" i="2"/>
  <c r="BX28" i="2" s="1"/>
  <c r="EZ28" i="2"/>
  <c r="P28" i="2" s="1"/>
  <c r="FB28" i="2"/>
  <c r="R28" i="2" s="1"/>
  <c r="GA28" i="2"/>
  <c r="AQ28" i="2" s="1"/>
  <c r="IG28" i="2"/>
  <c r="CW28" i="2" s="1"/>
  <c r="GI28" i="2"/>
  <c r="AY28" i="2" s="1"/>
  <c r="HI28" i="2"/>
  <c r="BY28" i="2" s="1"/>
  <c r="IH28" i="2"/>
  <c r="CX28" i="2" s="1"/>
  <c r="JQ28" i="2"/>
  <c r="EG28" i="2" s="1"/>
  <c r="JA28" i="2"/>
  <c r="DQ28" i="2" s="1"/>
  <c r="JA46" i="2"/>
  <c r="OK24" i="2"/>
  <c r="JA29" i="2"/>
  <c r="DQ29" i="2" s="1"/>
  <c r="JA27" i="2"/>
  <c r="DQ27" i="2" s="1"/>
  <c r="JA30" i="2"/>
  <c r="DQ30" i="2" s="1"/>
  <c r="JA35" i="2"/>
  <c r="JA34" i="2"/>
  <c r="DQ34" i="2" s="1"/>
  <c r="AN83" i="4"/>
  <c r="AN84" i="4" s="1"/>
  <c r="AX88" i="2"/>
  <c r="AX123" i="2"/>
  <c r="AX124" i="2"/>
  <c r="N83" i="4"/>
  <c r="N84" i="4" s="1"/>
  <c r="CY29" i="7"/>
  <c r="CZ29" i="7" s="1"/>
  <c r="CK83" i="9"/>
  <c r="CK66" i="9"/>
  <c r="CK65" i="9"/>
  <c r="CK69" i="9"/>
  <c r="CK68" i="9"/>
  <c r="CK67" i="9"/>
  <c r="IN46" i="2"/>
  <c r="NX24" i="2"/>
  <c r="IN29" i="2"/>
  <c r="DD29" i="2" s="1"/>
  <c r="IN30" i="2"/>
  <c r="DD30" i="2" s="1"/>
  <c r="IN27" i="2"/>
  <c r="DD27" i="2" s="1"/>
  <c r="IN35" i="2"/>
  <c r="IN34" i="2"/>
  <c r="DD34" i="2" s="1"/>
  <c r="IN28" i="2"/>
  <c r="DD28" i="2" s="1"/>
  <c r="HP46" i="2"/>
  <c r="MZ24" i="2"/>
  <c r="HP29" i="2"/>
  <c r="CF29" i="2" s="1"/>
  <c r="HP35" i="2"/>
  <c r="HP28" i="2"/>
  <c r="CF28" i="2" s="1"/>
  <c r="HP27" i="2"/>
  <c r="CF27" i="2" s="1"/>
  <c r="HP30" i="2"/>
  <c r="CF30" i="2" s="1"/>
  <c r="HP34" i="2"/>
  <c r="CF34" i="2" s="1"/>
  <c r="AP65" i="9"/>
  <c r="AP68" i="9"/>
  <c r="AP67" i="9"/>
  <c r="AP69" i="9"/>
  <c r="AP66" i="9"/>
  <c r="CV83" i="9"/>
  <c r="CV67" i="9"/>
  <c r="CV66" i="9"/>
  <c r="CV65" i="9"/>
  <c r="CV69" i="9"/>
  <c r="CV68" i="9"/>
  <c r="AR126" i="2"/>
  <c r="CA83" i="9"/>
  <c r="CA69" i="9"/>
  <c r="CA68" i="9"/>
  <c r="CA67" i="9"/>
  <c r="CA66" i="9"/>
  <c r="CA65" i="9"/>
  <c r="BY83" i="4"/>
  <c r="BY84" i="4" s="1"/>
  <c r="CI124" i="2"/>
  <c r="CI88" i="2"/>
  <c r="CI134" i="2"/>
  <c r="CI138" i="2" s="1"/>
  <c r="CI117" i="2" s="1"/>
  <c r="CI123" i="2"/>
  <c r="AU68" i="9"/>
  <c r="AU67" i="9"/>
  <c r="AU69" i="9"/>
  <c r="AU66" i="9"/>
  <c r="AU65" i="9"/>
  <c r="AU83" i="4"/>
  <c r="AU84" i="4" s="1"/>
  <c r="BE88" i="2"/>
  <c r="JC34" i="2"/>
  <c r="DS34" i="2" s="1"/>
  <c r="JC28" i="2"/>
  <c r="DS28" i="2" s="1"/>
  <c r="JC29" i="2"/>
  <c r="DS29" i="2" s="1"/>
  <c r="OM24" i="2"/>
  <c r="JC35" i="2"/>
  <c r="JC30" i="2"/>
  <c r="DS30" i="2" s="1"/>
  <c r="JC46" i="2"/>
  <c r="JC27" i="2"/>
  <c r="DS27" i="2" s="1"/>
  <c r="FQ29" i="2"/>
  <c r="AG29" i="2" s="1"/>
  <c r="LA24" i="2"/>
  <c r="FQ30" i="2"/>
  <c r="AG30" i="2" s="1"/>
  <c r="FQ34" i="2"/>
  <c r="AG34" i="2" s="1"/>
  <c r="FQ35" i="2"/>
  <c r="FQ28" i="2"/>
  <c r="AG28" i="2" s="1"/>
  <c r="FQ27" i="2"/>
  <c r="AG27" i="2" s="1"/>
  <c r="FQ46" i="2"/>
  <c r="AF69" i="9"/>
  <c r="AF68" i="9"/>
  <c r="AF67" i="9"/>
  <c r="AF66" i="9"/>
  <c r="AF65" i="9"/>
  <c r="AD65" i="9"/>
  <c r="AD69" i="9"/>
  <c r="AD68" i="9"/>
  <c r="AD67" i="9"/>
  <c r="AD66" i="9"/>
  <c r="U138" i="2"/>
  <c r="O140" i="9" s="1"/>
  <c r="GT103" i="2"/>
  <c r="AT126" i="2"/>
  <c r="FZ34" i="2"/>
  <c r="AP34" i="2" s="1"/>
  <c r="HH34" i="2"/>
  <c r="BX34" i="2" s="1"/>
  <c r="JP34" i="2"/>
  <c r="EF34" i="2" s="1"/>
  <c r="FB34" i="2"/>
  <c r="R34" i="2" s="1"/>
  <c r="GI34" i="2"/>
  <c r="AY34" i="2" s="1"/>
  <c r="IG34" i="2"/>
  <c r="CW34" i="2" s="1"/>
  <c r="HI34" i="2"/>
  <c r="BY34" i="2" s="1"/>
  <c r="IH34" i="2"/>
  <c r="CX34" i="2" s="1"/>
  <c r="AG69" i="9"/>
  <c r="AG68" i="9"/>
  <c r="AG67" i="9"/>
  <c r="AG66" i="9"/>
  <c r="AG65" i="9"/>
  <c r="IM29" i="2"/>
  <c r="DC29" i="2" s="1"/>
  <c r="NW24" i="2"/>
  <c r="IM46" i="2"/>
  <c r="IM35" i="2"/>
  <c r="IM28" i="2"/>
  <c r="DC28" i="2" s="1"/>
  <c r="IM27" i="2"/>
  <c r="DC27" i="2" s="1"/>
  <c r="IM30" i="2"/>
  <c r="DC30" i="2" s="1"/>
  <c r="IM34" i="2"/>
  <c r="DC34" i="2" s="1"/>
  <c r="DR83" i="4"/>
  <c r="DR84" i="4" s="1"/>
  <c r="HD46" i="2"/>
  <c r="MN24" i="2"/>
  <c r="HD29" i="2"/>
  <c r="BT29" i="2" s="1"/>
  <c r="HD35" i="2"/>
  <c r="HD27" i="2"/>
  <c r="BT27" i="2" s="1"/>
  <c r="HD30" i="2"/>
  <c r="BT30" i="2" s="1"/>
  <c r="HD34" i="2"/>
  <c r="BT34" i="2" s="1"/>
  <c r="HD28" i="2"/>
  <c r="BT28" i="2" s="1"/>
  <c r="EM134" i="2"/>
  <c r="EM138" i="2" s="1"/>
  <c r="EM117" i="2" s="1"/>
  <c r="EM123" i="2"/>
  <c r="EM88" i="2"/>
  <c r="EM124" i="2"/>
  <c r="GN46" i="2"/>
  <c r="LX24" i="2"/>
  <c r="GN34" i="2"/>
  <c r="BD34" i="2" s="1"/>
  <c r="GN28" i="2"/>
  <c r="BD28" i="2" s="1"/>
  <c r="GN30" i="2"/>
  <c r="BD30" i="2" s="1"/>
  <c r="GN27" i="2"/>
  <c r="BD27" i="2" s="1"/>
  <c r="GN35" i="2"/>
  <c r="GN29" i="2"/>
  <c r="BD29" i="2" s="1"/>
  <c r="BZ138" i="2"/>
  <c r="BZ117" i="2" s="1"/>
  <c r="GB46" i="2"/>
  <c r="LL24" i="2"/>
  <c r="GB34" i="2"/>
  <c r="AR34" i="2" s="1"/>
  <c r="GB28" i="2"/>
  <c r="AR28" i="2" s="1"/>
  <c r="GB30" i="2"/>
  <c r="AR30" i="2" s="1"/>
  <c r="GB35" i="2"/>
  <c r="GB29" i="2"/>
  <c r="AR29" i="2" s="1"/>
  <c r="GB27" i="2"/>
  <c r="AR27" i="2" s="1"/>
  <c r="T83" i="4"/>
  <c r="T84" i="4" s="1"/>
  <c r="CX83" i="9"/>
  <c r="CX65" i="9"/>
  <c r="CX69" i="9"/>
  <c r="CX68" i="9"/>
  <c r="CX67" i="9"/>
  <c r="CX66" i="9"/>
  <c r="T138" i="2"/>
  <c r="N140" i="9" s="1"/>
  <c r="CD83" i="4"/>
  <c r="CD84" i="4" s="1"/>
  <c r="CN124" i="2"/>
  <c r="AG138" i="2"/>
  <c r="AA140" i="9" s="1"/>
  <c r="Y69" i="9"/>
  <c r="Y68" i="9"/>
  <c r="Y67" i="9"/>
  <c r="Y66" i="9"/>
  <c r="Y65" i="9"/>
  <c r="BI134" i="2"/>
  <c r="BI138" i="2" s="1"/>
  <c r="CU83" i="4"/>
  <c r="CU84" i="4" s="1"/>
  <c r="DE88" i="2"/>
  <c r="CN152" i="2"/>
  <c r="CW88" i="2"/>
  <c r="PB96" i="2"/>
  <c r="OP96" i="2"/>
  <c r="OD96" i="2"/>
  <c r="NR96" i="2"/>
  <c r="NF96" i="2"/>
  <c r="MT96" i="2"/>
  <c r="MH96" i="2"/>
  <c r="LV96" i="2"/>
  <c r="LJ96" i="2"/>
  <c r="KX96" i="2"/>
  <c r="KL96" i="2"/>
  <c r="PA96" i="2"/>
  <c r="OO96" i="2"/>
  <c r="OC96" i="2"/>
  <c r="NQ96" i="2"/>
  <c r="NE96" i="2"/>
  <c r="MS96" i="2"/>
  <c r="MG96" i="2"/>
  <c r="LU96" i="2"/>
  <c r="LI96" i="2"/>
  <c r="KW96" i="2"/>
  <c r="KK96" i="2"/>
  <c r="OZ96" i="2"/>
  <c r="ON96" i="2"/>
  <c r="OB96" i="2"/>
  <c r="NP96" i="2"/>
  <c r="ND96" i="2"/>
  <c r="MR96" i="2"/>
  <c r="MF96" i="2"/>
  <c r="LT96" i="2"/>
  <c r="LH96" i="2"/>
  <c r="KV96" i="2"/>
  <c r="KJ96" i="2"/>
  <c r="OY96" i="2"/>
  <c r="OM96" i="2"/>
  <c r="OA96" i="2"/>
  <c r="NO96" i="2"/>
  <c r="NC96" i="2"/>
  <c r="MQ96" i="2"/>
  <c r="ME96" i="2"/>
  <c r="LS96" i="2"/>
  <c r="LG96" i="2"/>
  <c r="KU96" i="2"/>
  <c r="KI96" i="2"/>
  <c r="OX96" i="2"/>
  <c r="OL96" i="2"/>
  <c r="NZ96" i="2"/>
  <c r="NN96" i="2"/>
  <c r="NB96" i="2"/>
  <c r="MP96" i="2"/>
  <c r="MD96" i="2"/>
  <c r="LR96" i="2"/>
  <c r="LF96" i="2"/>
  <c r="KT96" i="2"/>
  <c r="KH96" i="2"/>
  <c r="OW96" i="2"/>
  <c r="OK96" i="2"/>
  <c r="NY96" i="2"/>
  <c r="NM96" i="2"/>
  <c r="NA96" i="2"/>
  <c r="MO96" i="2"/>
  <c r="MC96" i="2"/>
  <c r="LQ96" i="2"/>
  <c r="LE96" i="2"/>
  <c r="KS96" i="2"/>
  <c r="KG96" i="2"/>
  <c r="PH96" i="2"/>
  <c r="OV96" i="2"/>
  <c r="OJ96" i="2"/>
  <c r="NX96" i="2"/>
  <c r="NL96" i="2"/>
  <c r="MZ96" i="2"/>
  <c r="MN96" i="2"/>
  <c r="MB96" i="2"/>
  <c r="LP96" i="2"/>
  <c r="LD96" i="2"/>
  <c r="KR96" i="2"/>
  <c r="PG96" i="2"/>
  <c r="OU96" i="2"/>
  <c r="OI96" i="2"/>
  <c r="NW96" i="2"/>
  <c r="NK96" i="2"/>
  <c r="MY96" i="2"/>
  <c r="MM96" i="2"/>
  <c r="MA96" i="2"/>
  <c r="LO96" i="2"/>
  <c r="LC96" i="2"/>
  <c r="KQ96" i="2"/>
  <c r="PE96" i="2"/>
  <c r="NU96" i="2"/>
  <c r="MK96" i="2"/>
  <c r="LA96" i="2"/>
  <c r="PC96" i="2"/>
  <c r="NS96" i="2"/>
  <c r="MI96" i="2"/>
  <c r="KY96" i="2"/>
  <c r="OT96" i="2"/>
  <c r="NJ96" i="2"/>
  <c r="LZ96" i="2"/>
  <c r="KP96" i="2"/>
  <c r="OS96" i="2"/>
  <c r="NI96" i="2"/>
  <c r="LY96" i="2"/>
  <c r="KO96" i="2"/>
  <c r="OR96" i="2"/>
  <c r="NH96" i="2"/>
  <c r="LX96" i="2"/>
  <c r="KN96" i="2"/>
  <c r="OQ96" i="2"/>
  <c r="NG96" i="2"/>
  <c r="LW96" i="2"/>
  <c r="KM96" i="2"/>
  <c r="OG96" i="2"/>
  <c r="MW96" i="2"/>
  <c r="LM96" i="2"/>
  <c r="OE96" i="2"/>
  <c r="MU96" i="2"/>
  <c r="LK96" i="2"/>
  <c r="MJ96" i="2"/>
  <c r="LN96" i="2"/>
  <c r="LL96" i="2"/>
  <c r="PF96" i="2"/>
  <c r="LB96" i="2"/>
  <c r="PD96" i="2"/>
  <c r="KZ96" i="2"/>
  <c r="OH96" i="2"/>
  <c r="OF96" i="2"/>
  <c r="NV96" i="2"/>
  <c r="MV96" i="2"/>
  <c r="NT96" i="2"/>
  <c r="MX96" i="2"/>
  <c r="ML96" i="2"/>
  <c r="BJ83" i="9"/>
  <c r="BJ69" i="9"/>
  <c r="BJ68" i="9"/>
  <c r="BJ67" i="9"/>
  <c r="BJ66" i="9"/>
  <c r="BJ65" i="9"/>
  <c r="AS83" i="4"/>
  <c r="AS84" i="4" s="1"/>
  <c r="BC123" i="2"/>
  <c r="DP83" i="4"/>
  <c r="DP84" i="4" s="1"/>
  <c r="DK83" i="4"/>
  <c r="DK84" i="4" s="1"/>
  <c r="DU124" i="2"/>
  <c r="BE123" i="2"/>
  <c r="FU28" i="2"/>
  <c r="AK28" i="2" s="1"/>
  <c r="FU46" i="2"/>
  <c r="LE24" i="2"/>
  <c r="FU29" i="2"/>
  <c r="AK29" i="2" s="1"/>
  <c r="FU30" i="2"/>
  <c r="AK30" i="2" s="1"/>
  <c r="FU34" i="2"/>
  <c r="AK34" i="2" s="1"/>
  <c r="FU35" i="2"/>
  <c r="FU27" i="2"/>
  <c r="AK27" i="2" s="1"/>
  <c r="AV126" i="2"/>
  <c r="CZ124" i="2"/>
  <c r="AJ65" i="9"/>
  <c r="KD41" i="2"/>
  <c r="LV41" i="2" s="1"/>
  <c r="H45" i="4"/>
  <c r="E119" i="2"/>
  <c r="KB104" i="2"/>
  <c r="LL104" i="2" s="1"/>
  <c r="BQ104" i="2"/>
  <c r="BO104" i="2"/>
  <c r="BC104" i="2"/>
  <c r="BW104" i="2"/>
  <c r="CU104" i="2"/>
  <c r="BL104" i="2"/>
  <c r="EB104" i="2"/>
  <c r="BV104" i="2"/>
  <c r="CW104" i="2"/>
  <c r="DK104" i="2"/>
  <c r="AF104" i="2"/>
  <c r="BP104" i="2"/>
  <c r="DM104" i="2"/>
  <c r="W104" i="2"/>
  <c r="DC104" i="2"/>
  <c r="EA104" i="2"/>
  <c r="AJ104" i="2"/>
  <c r="O104" i="2"/>
  <c r="CJ104" i="2"/>
  <c r="DT104" i="2"/>
  <c r="CR104" i="2"/>
  <c r="ED104" i="2"/>
  <c r="BI104" i="2"/>
  <c r="CH104" i="2"/>
  <c r="BT104" i="2"/>
  <c r="BU104" i="2"/>
  <c r="BY104" i="2"/>
  <c r="DU104" i="2"/>
  <c r="BZ104" i="2"/>
  <c r="CX104" i="2"/>
  <c r="DW104" i="2"/>
  <c r="CF104" i="2"/>
  <c r="AZ104" i="2"/>
  <c r="M104" i="2"/>
  <c r="AC104" i="2"/>
  <c r="BA104" i="2"/>
  <c r="BB104" i="2"/>
  <c r="AR104" i="2"/>
  <c r="CO104" i="2"/>
  <c r="AM104" i="2"/>
  <c r="DE104" i="2"/>
  <c r="BH104" i="2"/>
  <c r="AW104" i="2"/>
  <c r="EH104" i="2"/>
  <c r="CZ104" i="2"/>
  <c r="CC104" i="2"/>
  <c r="DB104" i="2"/>
  <c r="DZ104" i="2"/>
  <c r="DF104" i="2"/>
  <c r="BK104" i="2"/>
  <c r="P104" i="2"/>
  <c r="Z104" i="2"/>
  <c r="AL104" i="2"/>
  <c r="T104" i="2"/>
  <c r="DL104" i="2"/>
  <c r="CD104" i="2"/>
  <c r="DN104" i="2"/>
  <c r="CQ104" i="2"/>
  <c r="DO104" i="2"/>
  <c r="CS104" i="2"/>
  <c r="BM104" i="2"/>
  <c r="EG104" i="2"/>
  <c r="AP104" i="2"/>
  <c r="CL104" i="2"/>
  <c r="DJ104" i="2"/>
  <c r="BD104" i="2"/>
  <c r="EK104" i="2"/>
  <c r="AI104" i="2"/>
  <c r="CI104" i="2"/>
  <c r="AN104" i="2"/>
  <c r="AX104" i="2"/>
  <c r="AV104" i="2"/>
  <c r="CK104" i="2"/>
  <c r="DI104" i="2"/>
  <c r="BN104" i="2"/>
  <c r="EI104" i="2"/>
  <c r="AS104" i="2"/>
  <c r="BE104" i="2"/>
  <c r="AH104" i="2"/>
  <c r="EL104" i="2"/>
  <c r="BG104" i="2"/>
  <c r="CE104" i="2"/>
  <c r="Y104" i="2"/>
  <c r="N104" i="2"/>
  <c r="AA104" i="2"/>
  <c r="DG104" i="2"/>
  <c r="BX104" i="2"/>
  <c r="CG104" i="2"/>
  <c r="L104" i="2"/>
  <c r="Q104" i="2"/>
  <c r="AQ104" i="2"/>
  <c r="CN104" i="2"/>
  <c r="AK104" i="2"/>
  <c r="AY104" i="2"/>
  <c r="EE104" i="2"/>
  <c r="DH104" i="2"/>
  <c r="DV104" i="2"/>
  <c r="CM104" i="2"/>
  <c r="DX104" i="2"/>
  <c r="CT104" i="2"/>
  <c r="AD104" i="2"/>
  <c r="EF104" i="2"/>
  <c r="AO104" i="2"/>
  <c r="AE104" i="2"/>
  <c r="U104" i="2"/>
  <c r="CP104" i="2"/>
  <c r="EM104" i="2"/>
  <c r="EC104" i="2"/>
  <c r="DD104" i="2"/>
  <c r="CV104" i="2"/>
  <c r="R104" i="2"/>
  <c r="S104" i="2"/>
  <c r="BJ104" i="2"/>
  <c r="DR104" i="2"/>
  <c r="AT104" i="2"/>
  <c r="BF104" i="2"/>
  <c r="AB104" i="2"/>
  <c r="X104" i="2"/>
  <c r="V104" i="2"/>
  <c r="AU104" i="2"/>
  <c r="BS104" i="2"/>
  <c r="DQ104" i="2"/>
  <c r="EN104" i="2"/>
  <c r="CY104" i="2"/>
  <c r="CB104" i="2"/>
  <c r="DY104" i="2"/>
  <c r="BR104" i="2"/>
  <c r="DS104" i="2"/>
  <c r="CA104" i="2"/>
  <c r="DA104" i="2"/>
  <c r="DP104" i="2"/>
  <c r="EJ104" i="2"/>
  <c r="AG104" i="2"/>
  <c r="EU53" i="2"/>
  <c r="BS83" i="4"/>
  <c r="BS84" i="4" s="1"/>
  <c r="CC88" i="2"/>
  <c r="BI124" i="2"/>
  <c r="GZ46" i="2"/>
  <c r="MJ24" i="2"/>
  <c r="GZ34" i="2"/>
  <c r="BP34" i="2" s="1"/>
  <c r="GZ28" i="2"/>
  <c r="BP28" i="2" s="1"/>
  <c r="GZ30" i="2"/>
  <c r="BP30" i="2" s="1"/>
  <c r="GZ27" i="2"/>
  <c r="BP27" i="2" s="1"/>
  <c r="GZ35" i="2"/>
  <c r="GZ29" i="2"/>
  <c r="BP29" i="2" s="1"/>
  <c r="CZ83" i="9"/>
  <c r="CZ69" i="9"/>
  <c r="CZ68" i="9"/>
  <c r="CZ67" i="9"/>
  <c r="CZ66" i="9"/>
  <c r="CZ65" i="9"/>
  <c r="T126" i="2"/>
  <c r="BF83" i="4"/>
  <c r="BF84" i="4" s="1"/>
  <c r="BP88" i="2"/>
  <c r="CC134" i="2"/>
  <c r="CC138" i="2" s="1"/>
  <c r="CC117" i="2" s="1"/>
  <c r="JD29" i="2"/>
  <c r="DT29" i="2" s="1"/>
  <c r="JD34" i="2"/>
  <c r="DT34" i="2" s="1"/>
  <c r="ON24" i="2"/>
  <c r="JD28" i="2"/>
  <c r="DT28" i="2" s="1"/>
  <c r="JD35" i="2"/>
  <c r="JD30" i="2"/>
  <c r="DT30" i="2" s="1"/>
  <c r="JD27" i="2"/>
  <c r="DT27" i="2" s="1"/>
  <c r="JD46" i="2"/>
  <c r="Y83" i="4"/>
  <c r="Y84" i="4" s="1"/>
  <c r="BI88" i="2"/>
  <c r="CJ83" i="9"/>
  <c r="CJ67" i="9"/>
  <c r="CJ66" i="9"/>
  <c r="CJ65" i="9"/>
  <c r="CJ69" i="9"/>
  <c r="CJ68" i="9"/>
  <c r="BT83" i="4"/>
  <c r="BT84" i="4" s="1"/>
  <c r="M152" i="2"/>
  <c r="AX69" i="9"/>
  <c r="AX68" i="9"/>
  <c r="AX67" i="9"/>
  <c r="AX66" i="9"/>
  <c r="AX65" i="9"/>
  <c r="W69" i="9"/>
  <c r="W68" i="9"/>
  <c r="W67" i="9"/>
  <c r="W66" i="9"/>
  <c r="W65" i="9"/>
  <c r="AL69" i="9"/>
  <c r="AL68" i="9"/>
  <c r="AL67" i="9"/>
  <c r="AL66" i="9"/>
  <c r="AL65" i="9"/>
  <c r="CR83" i="4"/>
  <c r="CR84" i="4" s="1"/>
  <c r="DB124" i="2"/>
  <c r="AH69" i="9"/>
  <c r="AH68" i="9"/>
  <c r="AH67" i="9"/>
  <c r="AH66" i="9"/>
  <c r="AH65" i="9"/>
  <c r="AV138" i="2"/>
  <c r="AV117" i="2" s="1"/>
  <c r="AS152" i="2"/>
  <c r="EU43" i="2"/>
  <c r="IS43" i="2" s="1"/>
  <c r="FI28" i="2"/>
  <c r="Y28" i="2" s="1"/>
  <c r="FI46" i="2"/>
  <c r="FI29" i="2"/>
  <c r="Y29" i="2" s="1"/>
  <c r="KS24" i="2"/>
  <c r="FI35" i="2"/>
  <c r="FI27" i="2"/>
  <c r="Y27" i="2" s="1"/>
  <c r="FI34" i="2"/>
  <c r="Y34" i="2" s="1"/>
  <c r="FI30" i="2"/>
  <c r="Y30" i="2" s="1"/>
  <c r="GE46" i="2"/>
  <c r="GE29" i="2"/>
  <c r="AU29" i="2" s="1"/>
  <c r="LO24" i="2"/>
  <c r="GE35" i="2"/>
  <c r="GE27" i="2"/>
  <c r="AU27" i="2" s="1"/>
  <c r="GE30" i="2"/>
  <c r="AU30" i="2" s="1"/>
  <c r="GE34" i="2"/>
  <c r="AU34" i="2" s="1"/>
  <c r="GE28" i="2"/>
  <c r="AU28" i="2" s="1"/>
  <c r="AF138" i="2"/>
  <c r="Z140" i="9" s="1"/>
  <c r="BR83" i="4"/>
  <c r="BR84" i="4" s="1"/>
  <c r="CB123" i="2"/>
  <c r="CB134" i="2"/>
  <c r="CB138" i="2" s="1"/>
  <c r="CB117" i="2" s="1"/>
  <c r="EG110" i="2"/>
  <c r="EG113" i="2"/>
  <c r="EG108" i="2"/>
  <c r="EG115" i="2"/>
  <c r="EG114" i="2"/>
  <c r="EG109" i="2"/>
  <c r="AC66" i="9"/>
  <c r="AC65" i="9"/>
  <c r="AC69" i="9"/>
  <c r="AC68" i="9"/>
  <c r="AC67" i="9"/>
  <c r="AF83" i="4"/>
  <c r="AF84" i="4" s="1"/>
  <c r="EU41" i="2"/>
  <c r="IQ41" i="2" s="1"/>
  <c r="BX83" i="4"/>
  <c r="BX84" i="4" s="1"/>
  <c r="CH123" i="2"/>
  <c r="CH134" i="2"/>
  <c r="CH138" i="2" s="1"/>
  <c r="CH117" i="2" s="1"/>
  <c r="CH88" i="2"/>
  <c r="CH124" i="2"/>
  <c r="DN83" i="9"/>
  <c r="DN68" i="9"/>
  <c r="DN67" i="9"/>
  <c r="DN69" i="9"/>
  <c r="DN66" i="9"/>
  <c r="DN65" i="9"/>
  <c r="BO83" i="9"/>
  <c r="BO69" i="9"/>
  <c r="BO68" i="9"/>
  <c r="BO67" i="9"/>
  <c r="BO66" i="9"/>
  <c r="BO65" i="9"/>
  <c r="LI24" i="2"/>
  <c r="FY34" i="2"/>
  <c r="AO34" i="2" s="1"/>
  <c r="FY28" i="2"/>
  <c r="AO28" i="2" s="1"/>
  <c r="FY27" i="2"/>
  <c r="AO27" i="2" s="1"/>
  <c r="FY35" i="2"/>
  <c r="FY29" i="2"/>
  <c r="AO29" i="2" s="1"/>
  <c r="FY30" i="2"/>
  <c r="AO30" i="2" s="1"/>
  <c r="FY46" i="2"/>
  <c r="HQ28" i="2"/>
  <c r="CG28" i="2" s="1"/>
  <c r="HQ46" i="2"/>
  <c r="NA24" i="2"/>
  <c r="HQ29" i="2"/>
  <c r="CG29" i="2" s="1"/>
  <c r="HQ27" i="2"/>
  <c r="CG27" i="2" s="1"/>
  <c r="HQ34" i="2"/>
  <c r="CG34" i="2" s="1"/>
  <c r="HQ35" i="2"/>
  <c r="HQ30" i="2"/>
  <c r="CG30" i="2" s="1"/>
  <c r="M69" i="9"/>
  <c r="M68" i="9"/>
  <c r="M67" i="9"/>
  <c r="M66" i="9"/>
  <c r="M65" i="9"/>
  <c r="C157" i="10"/>
  <c r="G124" i="2"/>
  <c r="H105" i="2"/>
  <c r="G123" i="2"/>
  <c r="H166" i="2"/>
  <c r="C161" i="10"/>
  <c r="G105" i="2"/>
  <c r="G20" i="1" s="1"/>
  <c r="DL123" i="2"/>
  <c r="DO83" i="4"/>
  <c r="DO84" i="4" s="1"/>
  <c r="DY124" i="2"/>
  <c r="DL152" i="2"/>
  <c r="CM83" i="4"/>
  <c r="CM84" i="4" s="1"/>
  <c r="CW134" i="2"/>
  <c r="CW138" i="2" s="1"/>
  <c r="ID46" i="2"/>
  <c r="ID29" i="2"/>
  <c r="CT29" i="2" s="1"/>
  <c r="NN24" i="2"/>
  <c r="ID30" i="2"/>
  <c r="CT30" i="2" s="1"/>
  <c r="ID27" i="2"/>
  <c r="CT27" i="2" s="1"/>
  <c r="ID28" i="2"/>
  <c r="CT28" i="2" s="1"/>
  <c r="ID34" i="2"/>
  <c r="CT34" i="2" s="1"/>
  <c r="ID35" i="2"/>
  <c r="DL83" i="4"/>
  <c r="DL84" i="4" s="1"/>
  <c r="DV123" i="2"/>
  <c r="DV134" i="2"/>
  <c r="DV138" i="2" s="1"/>
  <c r="HE28" i="2"/>
  <c r="BU28" i="2" s="1"/>
  <c r="HE46" i="2"/>
  <c r="MO24" i="2"/>
  <c r="HE29" i="2"/>
  <c r="BU29" i="2" s="1"/>
  <c r="HE30" i="2"/>
  <c r="BU30" i="2" s="1"/>
  <c r="HE34" i="2"/>
  <c r="BU34" i="2" s="1"/>
  <c r="HE27" i="2"/>
  <c r="BU27" i="2" s="1"/>
  <c r="HE35" i="2"/>
  <c r="HA29" i="2"/>
  <c r="BQ29" i="2" s="1"/>
  <c r="MK24" i="2"/>
  <c r="HA30" i="2"/>
  <c r="BQ30" i="2" s="1"/>
  <c r="HA46" i="2"/>
  <c r="HA34" i="2"/>
  <c r="BQ34" i="2" s="1"/>
  <c r="HA28" i="2"/>
  <c r="BQ28" i="2" s="1"/>
  <c r="HA35" i="2"/>
  <c r="HA27" i="2"/>
  <c r="BQ27" i="2" s="1"/>
  <c r="HO46" i="2"/>
  <c r="HO29" i="2"/>
  <c r="CE29" i="2" s="1"/>
  <c r="MY24" i="2"/>
  <c r="HO35" i="2"/>
  <c r="HO28" i="2"/>
  <c r="CE28" i="2" s="1"/>
  <c r="HO30" i="2"/>
  <c r="CE30" i="2" s="1"/>
  <c r="HO27" i="2"/>
  <c r="CE27" i="2" s="1"/>
  <c r="HO34" i="2"/>
  <c r="CE34" i="2" s="1"/>
  <c r="GO29" i="2"/>
  <c r="BE29" i="2" s="1"/>
  <c r="LY24" i="2"/>
  <c r="GO30" i="2"/>
  <c r="BE30" i="2" s="1"/>
  <c r="GO27" i="2"/>
  <c r="BE27" i="2" s="1"/>
  <c r="GO34" i="2"/>
  <c r="BE34" i="2" s="1"/>
  <c r="GO35" i="2"/>
  <c r="GO28" i="2"/>
  <c r="BE28" i="2" s="1"/>
  <c r="GO46" i="2"/>
  <c r="CS88" i="2"/>
  <c r="EH72" i="2"/>
  <c r="CB88" i="2"/>
  <c r="CZ134" i="2"/>
  <c r="CZ138" i="2" s="1"/>
  <c r="CZ117" i="2" s="1"/>
  <c r="HP103" i="2"/>
  <c r="H182" i="2"/>
  <c r="DV152" i="2"/>
  <c r="EJ152" i="2"/>
  <c r="BC152" i="2"/>
  <c r="BV152" i="2"/>
  <c r="CB152" i="2"/>
  <c r="CP152" i="2"/>
  <c r="DQ152" i="2"/>
  <c r="EA152" i="2"/>
  <c r="EB152" i="2"/>
  <c r="EG152" i="2"/>
  <c r="DI152" i="2"/>
  <c r="DK152" i="2"/>
  <c r="DU152" i="2"/>
  <c r="DM152" i="2"/>
  <c r="CV152" i="2"/>
  <c r="EM152" i="2"/>
  <c r="CU152" i="2"/>
  <c r="DZ152" i="2"/>
  <c r="W152" i="2"/>
  <c r="BB152" i="2"/>
  <c r="AJ152" i="2"/>
  <c r="AO152" i="2"/>
  <c r="EN152" i="2"/>
  <c r="AA152" i="2"/>
  <c r="AH152" i="2"/>
  <c r="AL152" i="2"/>
  <c r="Z152" i="2"/>
  <c r="CS152" i="2"/>
  <c r="ED152" i="2"/>
  <c r="DT152" i="2"/>
  <c r="O152" i="2"/>
  <c r="CT152" i="2"/>
  <c r="DO152" i="2"/>
  <c r="U152" i="2"/>
  <c r="EI152" i="2"/>
  <c r="DS152" i="2"/>
  <c r="CF152" i="2"/>
  <c r="P152" i="2"/>
  <c r="DR152" i="2"/>
  <c r="CY152" i="2"/>
  <c r="CE152" i="2"/>
  <c r="AI152" i="2"/>
  <c r="AF152" i="2"/>
  <c r="BL152" i="2"/>
  <c r="EE152" i="2"/>
  <c r="BW152" i="2"/>
  <c r="EL152" i="2"/>
  <c r="AN152" i="2"/>
  <c r="CC152" i="2"/>
  <c r="BY152" i="2"/>
  <c r="AY152" i="2"/>
  <c r="CM152" i="2"/>
  <c r="DP152" i="2"/>
  <c r="CZ152" i="2"/>
  <c r="BK152" i="2"/>
  <c r="BP152" i="2"/>
  <c r="BD152" i="2"/>
  <c r="S152" i="2"/>
  <c r="CR152" i="2"/>
  <c r="AV152" i="2"/>
  <c r="BX152" i="2"/>
  <c r="DN152" i="2"/>
  <c r="T152" i="2"/>
  <c r="BS152" i="2"/>
  <c r="DJ152" i="2"/>
  <c r="AG152" i="2"/>
  <c r="BU152" i="2"/>
  <c r="BT152" i="2"/>
  <c r="CO152" i="2"/>
  <c r="EH152" i="2"/>
  <c r="AB152" i="2"/>
  <c r="BF152" i="2"/>
  <c r="R152" i="2"/>
  <c r="BN152" i="2"/>
  <c r="BR152" i="2"/>
  <c r="DG152" i="2"/>
  <c r="BG152" i="2"/>
  <c r="DH152" i="2"/>
  <c r="CI152" i="2"/>
  <c r="N152" i="2"/>
  <c r="AE152" i="2"/>
  <c r="CQ152" i="2"/>
  <c r="BI152" i="2"/>
  <c r="DC152" i="2"/>
  <c r="DD152" i="2"/>
  <c r="AR152" i="2"/>
  <c r="BM152" i="2"/>
  <c r="AC152" i="2"/>
  <c r="CZ83" i="4"/>
  <c r="CZ84" i="4" s="1"/>
  <c r="DJ88" i="2"/>
  <c r="DJ123" i="2"/>
  <c r="DJ134" i="2"/>
  <c r="DJ138" i="2" s="1"/>
  <c r="DJ117" i="2" s="1"/>
  <c r="CK152" i="2"/>
  <c r="DW152" i="2"/>
  <c r="AZ67" i="9"/>
  <c r="AZ66" i="9"/>
  <c r="AZ65" i="9"/>
  <c r="AZ69" i="9"/>
  <c r="AZ68" i="9"/>
  <c r="X83" i="4"/>
  <c r="X84" i="4" s="1"/>
  <c r="CI70" i="9"/>
  <c r="FX29" i="2"/>
  <c r="AN29" i="2" s="1"/>
  <c r="FX34" i="2"/>
  <c r="AN34" i="2" s="1"/>
  <c r="FX28" i="2"/>
  <c r="AN28" i="2" s="1"/>
  <c r="LH24" i="2"/>
  <c r="FX27" i="2"/>
  <c r="AN27" i="2" s="1"/>
  <c r="FX35" i="2"/>
  <c r="FX30" i="2"/>
  <c r="AN30" i="2" s="1"/>
  <c r="FX46" i="2"/>
  <c r="BJ83" i="4"/>
  <c r="BJ84" i="4" s="1"/>
  <c r="BT88" i="2"/>
  <c r="BT124" i="2"/>
  <c r="BT123" i="2"/>
  <c r="H44" i="4"/>
  <c r="E118" i="2"/>
  <c r="KB103" i="2"/>
  <c r="NM103" i="2" s="1"/>
  <c r="DD103" i="2"/>
  <c r="BK103" i="2"/>
  <c r="DG103" i="2"/>
  <c r="Z103" i="2"/>
  <c r="EN103" i="2"/>
  <c r="DI103" i="2"/>
  <c r="EG103" i="2"/>
  <c r="AQ103" i="2"/>
  <c r="DW103" i="2"/>
  <c r="BD103" i="2"/>
  <c r="DL103" i="2"/>
  <c r="CO103" i="2"/>
  <c r="W103" i="2"/>
  <c r="DC103" i="2"/>
  <c r="DS103" i="2"/>
  <c r="AN103" i="2"/>
  <c r="BX103" i="2"/>
  <c r="X103" i="2"/>
  <c r="M103" i="2"/>
  <c r="AV103" i="2"/>
  <c r="CK103" i="2"/>
  <c r="CL103" i="2"/>
  <c r="DJ103" i="2"/>
  <c r="EH103" i="2"/>
  <c r="DH103" i="2"/>
  <c r="DR103" i="2"/>
  <c r="AW103" i="2"/>
  <c r="Q103" i="2"/>
  <c r="AP103" i="2"/>
  <c r="S103" i="2"/>
  <c r="CA103" i="2"/>
  <c r="AG103" i="2"/>
  <c r="DM103" i="2"/>
  <c r="V103" i="2"/>
  <c r="EA103" i="2"/>
  <c r="CS103" i="2"/>
  <c r="EC103" i="2"/>
  <c r="AA103" i="2"/>
  <c r="CH103" i="2"/>
  <c r="AO103" i="2"/>
  <c r="CY103" i="2"/>
  <c r="AF103" i="2"/>
  <c r="CN103" i="2"/>
  <c r="DB103" i="2"/>
  <c r="BS103" i="2"/>
  <c r="CV103" i="2"/>
  <c r="EF103" i="2"/>
  <c r="CW103" i="2"/>
  <c r="BC103" i="2"/>
  <c r="BP103" i="2"/>
  <c r="CC103" i="2"/>
  <c r="EL103" i="2"/>
  <c r="Y103" i="2"/>
  <c r="EE103" i="2"/>
  <c r="BL103" i="2"/>
  <c r="BV103" i="2"/>
  <c r="AX103" i="2"/>
  <c r="EI103" i="2"/>
  <c r="CZ103" i="2"/>
  <c r="BF103" i="2"/>
  <c r="AI103" i="2"/>
  <c r="CQ103" i="2"/>
  <c r="DO103" i="2"/>
  <c r="N103" i="2"/>
  <c r="AM103" i="2"/>
  <c r="AY103" i="2"/>
  <c r="CR103" i="2"/>
  <c r="L103" i="2"/>
  <c r="BA103" i="2"/>
  <c r="BY103" i="2"/>
  <c r="DU103" i="2"/>
  <c r="AD103" i="2"/>
  <c r="AE103" i="2"/>
  <c r="DK103" i="2"/>
  <c r="U103" i="2"/>
  <c r="DA103" i="2"/>
  <c r="DN103" i="2"/>
  <c r="CU103" i="2"/>
  <c r="DT103" i="2"/>
  <c r="EB103" i="2"/>
  <c r="CT103" i="2"/>
  <c r="DQ103" i="2"/>
  <c r="BU103" i="2"/>
  <c r="AC103" i="2"/>
  <c r="BZ103" i="2"/>
  <c r="CM103" i="2"/>
  <c r="AR103" i="2"/>
  <c r="EJ103" i="2"/>
  <c r="CP103" i="2"/>
  <c r="BG103" i="2"/>
  <c r="CF103" i="2"/>
  <c r="O103" i="2"/>
  <c r="P103" i="2"/>
  <c r="BI103" i="2"/>
  <c r="CB103" i="2"/>
  <c r="DZ103" i="2"/>
  <c r="CJ103" i="2"/>
  <c r="DV103" i="2"/>
  <c r="DX103" i="2"/>
  <c r="BE103" i="2"/>
  <c r="AH103" i="2"/>
  <c r="BR103" i="2"/>
  <c r="AK103" i="2"/>
  <c r="CI103" i="2"/>
  <c r="T103" i="2"/>
  <c r="EK103" i="2"/>
  <c r="AZ103" i="2"/>
  <c r="AL103" i="2"/>
  <c r="BM103" i="2"/>
  <c r="DF103" i="2"/>
  <c r="BW103" i="2"/>
  <c r="BT103" i="2"/>
  <c r="CE103" i="2"/>
  <c r="DP103" i="2"/>
  <c r="CX103" i="2"/>
  <c r="AS103" i="2"/>
  <c r="BH103" i="2"/>
  <c r="AT103" i="2"/>
  <c r="CD103" i="2"/>
  <c r="BN103" i="2"/>
  <c r="BO103" i="2"/>
  <c r="AB103" i="2"/>
  <c r="ED103" i="2"/>
  <c r="BB103" i="2"/>
  <c r="EM103" i="2"/>
  <c r="AJ103" i="2"/>
  <c r="CG103" i="2"/>
  <c r="BQ103" i="2"/>
  <c r="DY103" i="2"/>
  <c r="F105" i="2"/>
  <c r="DE103" i="2"/>
  <c r="BJ103" i="2"/>
  <c r="R103" i="2"/>
  <c r="AU103" i="2"/>
  <c r="M70" i="9"/>
  <c r="AF126" i="2"/>
  <c r="GY46" i="2"/>
  <c r="MI24" i="2"/>
  <c r="GY34" i="2"/>
  <c r="BO34" i="2" s="1"/>
  <c r="GY28" i="2"/>
  <c r="BO28" i="2" s="1"/>
  <c r="GY30" i="2"/>
  <c r="BO30" i="2" s="1"/>
  <c r="GY27" i="2"/>
  <c r="BO27" i="2" s="1"/>
  <c r="GY35" i="2"/>
  <c r="GY29" i="2"/>
  <c r="BO29" i="2" s="1"/>
  <c r="S168" i="2"/>
  <c r="V168" i="2" s="1"/>
  <c r="BD70" i="9"/>
  <c r="DI83" i="4"/>
  <c r="DI84" i="4" s="1"/>
  <c r="EU37" i="2"/>
  <c r="IS37" i="2" s="1"/>
  <c r="AC126" i="2"/>
  <c r="I83" i="4"/>
  <c r="I84" i="4" s="1"/>
  <c r="BO88" i="2"/>
  <c r="BJ124" i="2"/>
  <c r="DF124" i="2"/>
  <c r="AY124" i="2"/>
  <c r="KD45" i="2"/>
  <c r="NC45" i="2" s="1"/>
  <c r="CY33" i="7"/>
  <c r="CZ33" i="7" s="1"/>
  <c r="CB83" i="4"/>
  <c r="CB84" i="4" s="1"/>
  <c r="EX46" i="2"/>
  <c r="EX29" i="2"/>
  <c r="N29" i="2" s="1"/>
  <c r="KH24" i="2"/>
  <c r="EX27" i="2"/>
  <c r="N27" i="2" s="1"/>
  <c r="EX35" i="2"/>
  <c r="EX30" i="2"/>
  <c r="N30" i="2" s="1"/>
  <c r="EX28" i="2"/>
  <c r="N28" i="2" s="1"/>
  <c r="EX34" i="2"/>
  <c r="N34" i="2" s="1"/>
  <c r="DR83" i="9"/>
  <c r="DR69" i="9"/>
  <c r="DR68" i="9"/>
  <c r="DR67" i="9"/>
  <c r="DR66" i="9"/>
  <c r="DR65" i="9"/>
  <c r="X69" i="9"/>
  <c r="X68" i="9"/>
  <c r="X67" i="9"/>
  <c r="X66" i="9"/>
  <c r="X65" i="9"/>
  <c r="JG30" i="2"/>
  <c r="DW30" i="2" s="1"/>
  <c r="IW29" i="2"/>
  <c r="DM29" i="2" s="1"/>
  <c r="OG24" i="2"/>
  <c r="IW30" i="2"/>
  <c r="DM30" i="2" s="1"/>
  <c r="IW27" i="2"/>
  <c r="DM27" i="2" s="1"/>
  <c r="IW34" i="2"/>
  <c r="DM34" i="2" s="1"/>
  <c r="IW28" i="2"/>
  <c r="DM28" i="2" s="1"/>
  <c r="IW46" i="2"/>
  <c r="IW35" i="2"/>
  <c r="AG83" i="4"/>
  <c r="AG84" i="4" s="1"/>
  <c r="CO138" i="2"/>
  <c r="CO117" i="2" s="1"/>
  <c r="BG124" i="2"/>
  <c r="CW83" i="4"/>
  <c r="CW84" i="4" s="1"/>
  <c r="J70" i="9"/>
  <c r="BF70" i="9"/>
  <c r="DB70" i="9"/>
  <c r="E260" i="10"/>
  <c r="BH123" i="2"/>
  <c r="AA126" i="2"/>
  <c r="GG28" i="2"/>
  <c r="AW28" i="2" s="1"/>
  <c r="GG46" i="2"/>
  <c r="LQ24" i="2"/>
  <c r="GG29" i="2"/>
  <c r="AW29" i="2" s="1"/>
  <c r="GG30" i="2"/>
  <c r="AW30" i="2" s="1"/>
  <c r="GG34" i="2"/>
  <c r="AW34" i="2" s="1"/>
  <c r="GG35" i="2"/>
  <c r="GG27" i="2"/>
  <c r="AW27" i="2" s="1"/>
  <c r="BB65" i="9"/>
  <c r="BB69" i="9"/>
  <c r="BB68" i="9"/>
  <c r="BB67" i="9"/>
  <c r="BB66" i="9"/>
  <c r="CH70" i="9"/>
  <c r="CD83" i="9"/>
  <c r="CD69" i="9"/>
  <c r="CD68" i="9"/>
  <c r="CD67" i="9"/>
  <c r="CD66" i="9"/>
  <c r="CD65" i="9"/>
  <c r="BN70" i="9"/>
  <c r="DI124" i="2"/>
  <c r="BZ83" i="4"/>
  <c r="BZ84" i="4" s="1"/>
  <c r="AL70" i="9"/>
  <c r="DH70" i="9"/>
  <c r="K55" i="2"/>
  <c r="G83" i="4"/>
  <c r="G84" i="4" s="1"/>
  <c r="PF95" i="2"/>
  <c r="OT95" i="2"/>
  <c r="OH95" i="2"/>
  <c r="NV95" i="2"/>
  <c r="NJ95" i="2"/>
  <c r="MX95" i="2"/>
  <c r="ML95" i="2"/>
  <c r="LZ95" i="2"/>
  <c r="LN95" i="2"/>
  <c r="LB95" i="2"/>
  <c r="KP95" i="2"/>
  <c r="PE95" i="2"/>
  <c r="OS95" i="2"/>
  <c r="OG95" i="2"/>
  <c r="NU95" i="2"/>
  <c r="NI95" i="2"/>
  <c r="MW95" i="2"/>
  <c r="MK95" i="2"/>
  <c r="LY95" i="2"/>
  <c r="LM95" i="2"/>
  <c r="LA95" i="2"/>
  <c r="KO95" i="2"/>
  <c r="PD95" i="2"/>
  <c r="OR95" i="2"/>
  <c r="OF95" i="2"/>
  <c r="NT95" i="2"/>
  <c r="NH95" i="2"/>
  <c r="MV95" i="2"/>
  <c r="MJ95" i="2"/>
  <c r="LX95" i="2"/>
  <c r="LL95" i="2"/>
  <c r="KZ95" i="2"/>
  <c r="KN95" i="2"/>
  <c r="PC95" i="2"/>
  <c r="OQ95" i="2"/>
  <c r="OE95" i="2"/>
  <c r="NS95" i="2"/>
  <c r="NG95" i="2"/>
  <c r="MU95" i="2"/>
  <c r="MI95" i="2"/>
  <c r="LW95" i="2"/>
  <c r="LK95" i="2"/>
  <c r="KY95" i="2"/>
  <c r="KM95" i="2"/>
  <c r="PB95" i="2"/>
  <c r="OP95" i="2"/>
  <c r="OD95" i="2"/>
  <c r="NR95" i="2"/>
  <c r="NF95" i="2"/>
  <c r="MT95" i="2"/>
  <c r="MH95" i="2"/>
  <c r="LV95" i="2"/>
  <c r="LJ95" i="2"/>
  <c r="KX95" i="2"/>
  <c r="KL95" i="2"/>
  <c r="PA95" i="2"/>
  <c r="OO95" i="2"/>
  <c r="OC95" i="2"/>
  <c r="NQ95" i="2"/>
  <c r="NE95" i="2"/>
  <c r="MS95" i="2"/>
  <c r="MG95" i="2"/>
  <c r="LU95" i="2"/>
  <c r="LI95" i="2"/>
  <c r="KW95" i="2"/>
  <c r="KK95" i="2"/>
  <c r="OZ95" i="2"/>
  <c r="ON95" i="2"/>
  <c r="OB95" i="2"/>
  <c r="NP95" i="2"/>
  <c r="ND95" i="2"/>
  <c r="MR95" i="2"/>
  <c r="MF95" i="2"/>
  <c r="LT95" i="2"/>
  <c r="LH95" i="2"/>
  <c r="KV95" i="2"/>
  <c r="KJ95" i="2"/>
  <c r="OY95" i="2"/>
  <c r="OM95" i="2"/>
  <c r="OA95" i="2"/>
  <c r="NO95" i="2"/>
  <c r="NC95" i="2"/>
  <c r="MQ95" i="2"/>
  <c r="ME95" i="2"/>
  <c r="LS95" i="2"/>
  <c r="LG95" i="2"/>
  <c r="KU95" i="2"/>
  <c r="KI95" i="2"/>
  <c r="PG95" i="2"/>
  <c r="NW95" i="2"/>
  <c r="MM95" i="2"/>
  <c r="LC95" i="2"/>
  <c r="OW95" i="2"/>
  <c r="NM95" i="2"/>
  <c r="MC95" i="2"/>
  <c r="KS95" i="2"/>
  <c r="OV95" i="2"/>
  <c r="NL95" i="2"/>
  <c r="MB95" i="2"/>
  <c r="KR95" i="2"/>
  <c r="OU95" i="2"/>
  <c r="NK95" i="2"/>
  <c r="MA95" i="2"/>
  <c r="KQ95" i="2"/>
  <c r="OL95" i="2"/>
  <c r="NB95" i="2"/>
  <c r="LR95" i="2"/>
  <c r="KH95" i="2"/>
  <c r="OK95" i="2"/>
  <c r="NA95" i="2"/>
  <c r="LQ95" i="2"/>
  <c r="KG95" i="2"/>
  <c r="OI95" i="2"/>
  <c r="MY95" i="2"/>
  <c r="LO95" i="2"/>
  <c r="NY95" i="2"/>
  <c r="MO95" i="2"/>
  <c r="LE95" i="2"/>
  <c r="NX95" i="2"/>
  <c r="NN95" i="2"/>
  <c r="MZ95" i="2"/>
  <c r="MP95" i="2"/>
  <c r="MD95" i="2"/>
  <c r="LP95" i="2"/>
  <c r="LF95" i="2"/>
  <c r="OJ95" i="2"/>
  <c r="OX95" i="2"/>
  <c r="NZ95" i="2"/>
  <c r="MN95" i="2"/>
  <c r="LD95" i="2"/>
  <c r="KT95" i="2"/>
  <c r="PH95" i="2"/>
  <c r="EN72" i="2"/>
  <c r="BE83" i="9"/>
  <c r="BE68" i="9"/>
  <c r="BE67" i="9"/>
  <c r="BE66" i="9"/>
  <c r="BE65" i="9"/>
  <c r="BE69" i="9"/>
  <c r="AH57" i="7"/>
  <c r="EN73" i="2"/>
  <c r="FM104" i="2"/>
  <c r="CX83" i="4"/>
  <c r="CX84" i="4" s="1"/>
  <c r="CY34" i="7"/>
  <c r="CZ34" i="7" s="1"/>
  <c r="IK29" i="2"/>
  <c r="DA29" i="2" s="1"/>
  <c r="NU24" i="2"/>
  <c r="IK30" i="2"/>
  <c r="DA30" i="2" s="1"/>
  <c r="IK27" i="2"/>
  <c r="DA27" i="2" s="1"/>
  <c r="IK35" i="2"/>
  <c r="IK28" i="2"/>
  <c r="DA28" i="2" s="1"/>
  <c r="IK46" i="2"/>
  <c r="IK34" i="2"/>
  <c r="DA34" i="2" s="1"/>
  <c r="BJ70" i="9"/>
  <c r="CC69" i="9"/>
  <c r="CC68" i="9"/>
  <c r="CC67" i="9"/>
  <c r="CC83" i="9"/>
  <c r="CC66" i="9"/>
  <c r="CC65" i="9"/>
  <c r="JK29" i="2"/>
  <c r="EA29" i="2" s="1"/>
  <c r="OU24" i="2"/>
  <c r="JK46" i="2"/>
  <c r="JK35" i="2"/>
  <c r="JK27" i="2"/>
  <c r="EA27" i="2" s="1"/>
  <c r="JK30" i="2"/>
  <c r="EA30" i="2" s="1"/>
  <c r="JK28" i="2"/>
  <c r="EA28" i="2" s="1"/>
  <c r="JK34" i="2"/>
  <c r="EA34" i="2" s="1"/>
  <c r="CH83" i="4"/>
  <c r="CH84" i="4" s="1"/>
  <c r="DR70" i="9"/>
  <c r="AD126" i="2"/>
  <c r="AB67" i="9"/>
  <c r="AB66" i="9"/>
  <c r="AB65" i="9"/>
  <c r="AB69" i="9"/>
  <c r="AB68" i="9"/>
  <c r="AT83" i="4"/>
  <c r="AT84" i="4" s="1"/>
  <c r="S172" i="2"/>
  <c r="DS134" i="2"/>
  <c r="DS138" i="2" s="1"/>
  <c r="CX38" i="7"/>
  <c r="CY26" i="7"/>
  <c r="CZ26" i="7" s="1"/>
  <c r="GI46" i="2"/>
  <c r="HG46" i="2"/>
  <c r="IG46" i="2"/>
  <c r="FZ46" i="2"/>
  <c r="JP46" i="2"/>
  <c r="JQ46" i="2"/>
  <c r="JO46" i="2"/>
  <c r="FA46" i="2"/>
  <c r="HH46" i="2"/>
  <c r="R65" i="9"/>
  <c r="R69" i="9"/>
  <c r="R68" i="9"/>
  <c r="R67" i="9"/>
  <c r="R66" i="9"/>
  <c r="H83" i="4"/>
  <c r="H84" i="4" s="1"/>
  <c r="CL134" i="2"/>
  <c r="CL138" i="2" s="1"/>
  <c r="CL117" i="2" s="1"/>
  <c r="JU29" i="2"/>
  <c r="EK29" i="2" s="1"/>
  <c r="PE24" i="2"/>
  <c r="JU30" i="2"/>
  <c r="EK30" i="2" s="1"/>
  <c r="JU27" i="2"/>
  <c r="EK27" i="2" s="1"/>
  <c r="JU34" i="2"/>
  <c r="EK34" i="2" s="1"/>
  <c r="JU28" i="2"/>
  <c r="EK28" i="2" s="1"/>
  <c r="JU35" i="2"/>
  <c r="JU46" i="2"/>
  <c r="DO83" i="9"/>
  <c r="DO68" i="9"/>
  <c r="DO67" i="9"/>
  <c r="DO69" i="9"/>
  <c r="DO66" i="9"/>
  <c r="DO65" i="9"/>
  <c r="L33" i="1"/>
  <c r="BX124" i="2"/>
  <c r="EU42" i="2"/>
  <c r="JP42" i="2" s="1"/>
  <c r="CQ65" i="9"/>
  <c r="EM73" i="2"/>
  <c r="BG83" i="9"/>
  <c r="BG68" i="9"/>
  <c r="BG67" i="9"/>
  <c r="BG66" i="9"/>
  <c r="BG65" i="9"/>
  <c r="BG69" i="9"/>
  <c r="DG134" i="2"/>
  <c r="DG138" i="2" s="1"/>
  <c r="DG117" i="2" s="1"/>
  <c r="V70" i="9"/>
  <c r="BR70" i="9"/>
  <c r="KD44" i="2"/>
  <c r="NS44" i="2" s="1"/>
  <c r="DI134" i="2"/>
  <c r="DI138" i="2" s="1"/>
  <c r="DI117" i="2" s="1"/>
  <c r="DF83" i="4"/>
  <c r="DF84" i="4" s="1"/>
  <c r="CJ123" i="2"/>
  <c r="Z83" i="4"/>
  <c r="Z84" i="4" s="1"/>
  <c r="GR104" i="2"/>
  <c r="JW104" i="2"/>
  <c r="JO104" i="2"/>
  <c r="GE104" i="2"/>
  <c r="IH104" i="2"/>
  <c r="IA104" i="2"/>
  <c r="GL104" i="2"/>
  <c r="IT104" i="2"/>
  <c r="JR104" i="2"/>
  <c r="JX104" i="2"/>
  <c r="GQ104" i="2"/>
  <c r="GH104" i="2"/>
  <c r="GS104" i="2"/>
  <c r="HD104" i="2"/>
  <c r="FW104" i="2"/>
  <c r="JC104" i="2"/>
  <c r="GX104" i="2"/>
  <c r="HJ104" i="2"/>
  <c r="FV104" i="2"/>
  <c r="EV104" i="2"/>
  <c r="HO104" i="2"/>
  <c r="FG104" i="2"/>
  <c r="JK104" i="2"/>
  <c r="FE104" i="2"/>
  <c r="HA104" i="2"/>
  <c r="IW104" i="2"/>
  <c r="IY104" i="2"/>
  <c r="FN104" i="2"/>
  <c r="FK104" i="2"/>
  <c r="JF104" i="2"/>
  <c r="JA104" i="2"/>
  <c r="JB104" i="2"/>
  <c r="IZ104" i="2"/>
  <c r="JN104" i="2"/>
  <c r="IQ104" i="2"/>
  <c r="GI104" i="2"/>
  <c r="FS104" i="2"/>
  <c r="FZ104" i="2"/>
  <c r="FQ104" i="2"/>
  <c r="HM104" i="2"/>
  <c r="JI104" i="2"/>
  <c r="HF104" i="2"/>
  <c r="ID104" i="2"/>
  <c r="IM104" i="2"/>
  <c r="GO104" i="2"/>
  <c r="FB104" i="2"/>
  <c r="GC104" i="2"/>
  <c r="EW104" i="2"/>
  <c r="JU104" i="2"/>
  <c r="HC104" i="2"/>
  <c r="EY104" i="2"/>
  <c r="JM104" i="2"/>
  <c r="HS104" i="2"/>
  <c r="HV104" i="2"/>
  <c r="IK104" i="2"/>
  <c r="HY104" i="2"/>
  <c r="CL83" i="4"/>
  <c r="CL84" i="4" s="1"/>
  <c r="IV46" i="2"/>
  <c r="OF24" i="2"/>
  <c r="IV34" i="2"/>
  <c r="DL34" i="2" s="1"/>
  <c r="IV28" i="2"/>
  <c r="DL28" i="2" s="1"/>
  <c r="IV30" i="2"/>
  <c r="DL30" i="2" s="1"/>
  <c r="IV27" i="2"/>
  <c r="DL27" i="2" s="1"/>
  <c r="IV29" i="2"/>
  <c r="DL29" i="2" s="1"/>
  <c r="IV35" i="2"/>
  <c r="AD83" i="4"/>
  <c r="AD84" i="4" s="1"/>
  <c r="FB30" i="2"/>
  <c r="R30" i="2" s="1"/>
  <c r="OZ46" i="2"/>
  <c r="MV46" i="2"/>
  <c r="IO28" i="2"/>
  <c r="DE28" i="2" s="1"/>
  <c r="IO46" i="2"/>
  <c r="IO29" i="2"/>
  <c r="DE29" i="2" s="1"/>
  <c r="NY24" i="2"/>
  <c r="IO27" i="2"/>
  <c r="DE27" i="2" s="1"/>
  <c r="IO30" i="2"/>
  <c r="DE30" i="2" s="1"/>
  <c r="IO34" i="2"/>
  <c r="DE34" i="2" s="1"/>
  <c r="IO35" i="2"/>
  <c r="CR123" i="2"/>
  <c r="BM83" i="4"/>
  <c r="BM84" i="4" s="1"/>
  <c r="O83" i="4"/>
  <c r="O84" i="4" s="1"/>
  <c r="HI46" i="2"/>
  <c r="CT38" i="7"/>
  <c r="BH70" i="9"/>
  <c r="AU70" i="9"/>
  <c r="M173" i="2"/>
  <c r="M174" i="2"/>
  <c r="II29" i="2"/>
  <c r="CY29" i="2" s="1"/>
  <c r="IG29" i="2"/>
  <c r="CW29" i="2" s="1"/>
  <c r="JG29" i="2"/>
  <c r="DW29" i="2" s="1"/>
  <c r="JP29" i="2"/>
  <c r="EF29" i="2" s="1"/>
  <c r="FZ29" i="2"/>
  <c r="AP29" i="2" s="1"/>
  <c r="HH29" i="2"/>
  <c r="BX29" i="2" s="1"/>
  <c r="JQ29" i="2"/>
  <c r="EG29" i="2" s="1"/>
  <c r="HI29" i="2"/>
  <c r="BY29" i="2" s="1"/>
  <c r="EK72" i="2"/>
  <c r="EA124" i="2"/>
  <c r="DG68" i="9"/>
  <c r="DG67" i="9"/>
  <c r="DG69" i="9"/>
  <c r="DG66" i="9"/>
  <c r="DG65" i="9"/>
  <c r="DG83" i="9"/>
  <c r="DG123" i="2"/>
  <c r="DN70" i="9"/>
  <c r="IL104" i="2"/>
  <c r="BO83" i="4"/>
  <c r="BO84" i="4" s="1"/>
  <c r="CW35" i="7"/>
  <c r="DT70" i="9"/>
  <c r="DE83" i="9"/>
  <c r="DE69" i="9"/>
  <c r="DE68" i="9"/>
  <c r="DE67" i="9"/>
  <c r="DE66" i="9"/>
  <c r="DE65" i="9"/>
  <c r="GT46" i="2"/>
  <c r="GT29" i="2"/>
  <c r="BJ29" i="2" s="1"/>
  <c r="MD24" i="2"/>
  <c r="GT28" i="2"/>
  <c r="BJ28" i="2" s="1"/>
  <c r="GT35" i="2"/>
  <c r="GT27" i="2"/>
  <c r="BJ27" i="2" s="1"/>
  <c r="GT34" i="2"/>
  <c r="BJ34" i="2" s="1"/>
  <c r="GT30" i="2"/>
  <c r="BJ30" i="2" s="1"/>
  <c r="GC29" i="2"/>
  <c r="AS29" i="2" s="1"/>
  <c r="LM24" i="2"/>
  <c r="GC30" i="2"/>
  <c r="AS30" i="2" s="1"/>
  <c r="GC27" i="2"/>
  <c r="AS27" i="2" s="1"/>
  <c r="GC46" i="2"/>
  <c r="GC34" i="2"/>
  <c r="AS34" i="2" s="1"/>
  <c r="GC35" i="2"/>
  <c r="GC28" i="2"/>
  <c r="AS28" i="2" s="1"/>
  <c r="Z69" i="9"/>
  <c r="Z68" i="9"/>
  <c r="Z67" i="9"/>
  <c r="Z66" i="9"/>
  <c r="Z65" i="9"/>
  <c r="DO70" i="9"/>
  <c r="I69" i="9"/>
  <c r="I68" i="9"/>
  <c r="I67" i="9"/>
  <c r="I66" i="9"/>
  <c r="I65" i="9"/>
  <c r="DP123" i="2"/>
  <c r="HZ104" i="2"/>
  <c r="EZ30" i="2"/>
  <c r="P30" i="2" s="1"/>
  <c r="EZ46" i="2"/>
  <c r="P46" i="2" s="1"/>
  <c r="IX104" i="2"/>
  <c r="Q138" i="2"/>
  <c r="K140" i="9" s="1"/>
  <c r="CY37" i="7"/>
  <c r="CZ37" i="7" s="1"/>
  <c r="BU83" i="4"/>
  <c r="BU84" i="4" s="1"/>
  <c r="NL46" i="2"/>
  <c r="MB46" i="2"/>
  <c r="KF46" i="2"/>
  <c r="LU46" i="2"/>
  <c r="OY46" i="2"/>
  <c r="OF46" i="2"/>
  <c r="V69" i="9"/>
  <c r="V68" i="9"/>
  <c r="V67" i="9"/>
  <c r="V66" i="9"/>
  <c r="V65" i="9"/>
  <c r="CR134" i="2"/>
  <c r="CR138" i="2" s="1"/>
  <c r="CR117" i="2" s="1"/>
  <c r="GN104" i="2"/>
  <c r="B29" i="9"/>
  <c r="DP105" i="9" s="1"/>
  <c r="DP106" i="9" s="1"/>
  <c r="CR145" i="7"/>
  <c r="B19" i="9"/>
  <c r="C160" i="10"/>
  <c r="B20" i="9"/>
  <c r="B52" i="9"/>
  <c r="CZ129" i="9" s="1"/>
  <c r="CZ127" i="9" s="1"/>
  <c r="CN70" i="9"/>
  <c r="JD104" i="2"/>
  <c r="AE69" i="9"/>
  <c r="AE68" i="9"/>
  <c r="AE67" i="9"/>
  <c r="AE66" i="9"/>
  <c r="AE65" i="9"/>
  <c r="BV70" i="9"/>
  <c r="DG70" i="9"/>
  <c r="FY104" i="2"/>
  <c r="JG104" i="2"/>
  <c r="KD43" i="2"/>
  <c r="KK43" i="2" s="1"/>
  <c r="FV46" i="2"/>
  <c r="LF24" i="2"/>
  <c r="FV29" i="2"/>
  <c r="AL29" i="2" s="1"/>
  <c r="FV34" i="2"/>
  <c r="AL34" i="2" s="1"/>
  <c r="FV30" i="2"/>
  <c r="AL30" i="2" s="1"/>
  <c r="FV27" i="2"/>
  <c r="AL27" i="2" s="1"/>
  <c r="FV28" i="2"/>
  <c r="AL28" i="2" s="1"/>
  <c r="FV35" i="2"/>
  <c r="FE29" i="2"/>
  <c r="U29" i="2" s="1"/>
  <c r="KO24" i="2"/>
  <c r="FE30" i="2"/>
  <c r="U30" i="2" s="1"/>
  <c r="FE35" i="2"/>
  <c r="FE28" i="2"/>
  <c r="U28" i="2" s="1"/>
  <c r="FE46" i="2"/>
  <c r="FE34" i="2"/>
  <c r="U34" i="2" s="1"/>
  <c r="FE27" i="2"/>
  <c r="U27" i="2" s="1"/>
  <c r="AK70" i="9"/>
  <c r="BD88" i="2"/>
  <c r="AS126" i="2"/>
  <c r="BG83" i="4"/>
  <c r="BG84" i="4" s="1"/>
  <c r="G83" i="2"/>
  <c r="G84" i="2"/>
  <c r="S170" i="2"/>
  <c r="V170" i="2" s="1"/>
  <c r="CZ70" i="9"/>
  <c r="FJ46" i="2"/>
  <c r="FJ29" i="2"/>
  <c r="Z29" i="2" s="1"/>
  <c r="KT24" i="2"/>
  <c r="FJ28" i="2"/>
  <c r="Z28" i="2" s="1"/>
  <c r="FJ35" i="2"/>
  <c r="FJ34" i="2"/>
  <c r="Z34" i="2" s="1"/>
  <c r="FJ30" i="2"/>
  <c r="Z30" i="2" s="1"/>
  <c r="FJ27" i="2"/>
  <c r="Z27" i="2" s="1"/>
  <c r="P67" i="9"/>
  <c r="P66" i="9"/>
  <c r="P65" i="9"/>
  <c r="P69" i="9"/>
  <c r="P68" i="9"/>
  <c r="S138" i="2"/>
  <c r="M140" i="9" s="1"/>
  <c r="DC83" i="4"/>
  <c r="DC84" i="4" s="1"/>
  <c r="HP104" i="2"/>
  <c r="OX100" i="2"/>
  <c r="OL100" i="2"/>
  <c r="NZ100" i="2"/>
  <c r="NN100" i="2"/>
  <c r="NB100" i="2"/>
  <c r="MP100" i="2"/>
  <c r="MD100" i="2"/>
  <c r="LR100" i="2"/>
  <c r="LF100" i="2"/>
  <c r="KT100" i="2"/>
  <c r="KH100" i="2"/>
  <c r="OW100" i="2"/>
  <c r="OK100" i="2"/>
  <c r="NY100" i="2"/>
  <c r="NM100" i="2"/>
  <c r="NA100" i="2"/>
  <c r="MO100" i="2"/>
  <c r="MC100" i="2"/>
  <c r="LQ100" i="2"/>
  <c r="LE100" i="2"/>
  <c r="KS100" i="2"/>
  <c r="KG100" i="2"/>
  <c r="PH100" i="2"/>
  <c r="OV100" i="2"/>
  <c r="OJ100" i="2"/>
  <c r="NX100" i="2"/>
  <c r="NL100" i="2"/>
  <c r="MZ100" i="2"/>
  <c r="MN100" i="2"/>
  <c r="MB100" i="2"/>
  <c r="LP100" i="2"/>
  <c r="LD100" i="2"/>
  <c r="KR100" i="2"/>
  <c r="PG100" i="2"/>
  <c r="OU100" i="2"/>
  <c r="OI100" i="2"/>
  <c r="NW100" i="2"/>
  <c r="NK100" i="2"/>
  <c r="MY100" i="2"/>
  <c r="MM100" i="2"/>
  <c r="MA100" i="2"/>
  <c r="LO100" i="2"/>
  <c r="LC100" i="2"/>
  <c r="KQ100" i="2"/>
  <c r="PF100" i="2"/>
  <c r="OT100" i="2"/>
  <c r="OH100" i="2"/>
  <c r="NV100" i="2"/>
  <c r="NJ100" i="2"/>
  <c r="MX100" i="2"/>
  <c r="ML100" i="2"/>
  <c r="LZ100" i="2"/>
  <c r="LN100" i="2"/>
  <c r="LB100" i="2"/>
  <c r="KP100" i="2"/>
  <c r="PE100" i="2"/>
  <c r="OS100" i="2"/>
  <c r="OG100" i="2"/>
  <c r="NU100" i="2"/>
  <c r="NI100" i="2"/>
  <c r="MW100" i="2"/>
  <c r="MK100" i="2"/>
  <c r="LY100" i="2"/>
  <c r="LM100" i="2"/>
  <c r="LA100" i="2"/>
  <c r="KO100" i="2"/>
  <c r="PD100" i="2"/>
  <c r="OR100" i="2"/>
  <c r="OF100" i="2"/>
  <c r="NT100" i="2"/>
  <c r="NH100" i="2"/>
  <c r="MV100" i="2"/>
  <c r="MJ100" i="2"/>
  <c r="LX100" i="2"/>
  <c r="LL100" i="2"/>
  <c r="KZ100" i="2"/>
  <c r="KN100" i="2"/>
  <c r="PC100" i="2"/>
  <c r="OQ100" i="2"/>
  <c r="OE100" i="2"/>
  <c r="NS100" i="2"/>
  <c r="NG100" i="2"/>
  <c r="MU100" i="2"/>
  <c r="MI100" i="2"/>
  <c r="LW100" i="2"/>
  <c r="LK100" i="2"/>
  <c r="KY100" i="2"/>
  <c r="KM100" i="2"/>
  <c r="OA100" i="2"/>
  <c r="MQ100" i="2"/>
  <c r="LG100" i="2"/>
  <c r="PA100" i="2"/>
  <c r="NQ100" i="2"/>
  <c r="MG100" i="2"/>
  <c r="KW100" i="2"/>
  <c r="OZ100" i="2"/>
  <c r="NP100" i="2"/>
  <c r="MF100" i="2"/>
  <c r="KV100" i="2"/>
  <c r="OY100" i="2"/>
  <c r="NO100" i="2"/>
  <c r="ME100" i="2"/>
  <c r="KU100" i="2"/>
  <c r="OP100" i="2"/>
  <c r="NF100" i="2"/>
  <c r="LV100" i="2"/>
  <c r="KL100" i="2"/>
  <c r="OO100" i="2"/>
  <c r="NE100" i="2"/>
  <c r="LU100" i="2"/>
  <c r="KK100" i="2"/>
  <c r="OM100" i="2"/>
  <c r="NC100" i="2"/>
  <c r="LS100" i="2"/>
  <c r="KI100" i="2"/>
  <c r="OC100" i="2"/>
  <c r="MS100" i="2"/>
  <c r="LI100" i="2"/>
  <c r="NR100" i="2"/>
  <c r="ND100" i="2"/>
  <c r="MT100" i="2"/>
  <c r="MR100" i="2"/>
  <c r="MH100" i="2"/>
  <c r="LT100" i="2"/>
  <c r="LJ100" i="2"/>
  <c r="LH100" i="2"/>
  <c r="OD100" i="2"/>
  <c r="PB100" i="2"/>
  <c r="ON100" i="2"/>
  <c r="OB100" i="2"/>
  <c r="KX100" i="2"/>
  <c r="KJ100" i="2"/>
  <c r="AP138" i="2"/>
  <c r="EK73" i="2"/>
  <c r="IG27" i="2"/>
  <c r="CW27" i="2" s="1"/>
  <c r="CF83" i="4"/>
  <c r="CF84" i="4" s="1"/>
  <c r="KG46" i="2"/>
  <c r="O138" i="2"/>
  <c r="I140" i="9" s="1"/>
  <c r="CY31" i="7"/>
  <c r="CZ31" i="7" s="1"/>
  <c r="CQ67" i="9"/>
  <c r="EX104" i="2"/>
  <c r="DK83" i="9"/>
  <c r="DK68" i="9"/>
  <c r="DK67" i="9"/>
  <c r="DK69" i="9"/>
  <c r="DK66" i="9"/>
  <c r="DK65" i="9"/>
  <c r="IJ46" i="2"/>
  <c r="NT24" i="2"/>
  <c r="IJ34" i="2"/>
  <c r="CZ34" i="2" s="1"/>
  <c r="IJ28" i="2"/>
  <c r="CZ28" i="2" s="1"/>
  <c r="IJ30" i="2"/>
  <c r="CZ30" i="2" s="1"/>
  <c r="IJ29" i="2"/>
  <c r="CZ29" i="2" s="1"/>
  <c r="IJ27" i="2"/>
  <c r="CZ27" i="2" s="1"/>
  <c r="IJ35" i="2"/>
  <c r="CE83" i="4"/>
  <c r="CE84" i="4" s="1"/>
  <c r="IG104" i="2"/>
  <c r="EU44" i="2"/>
  <c r="GA44" i="2" s="1"/>
  <c r="N70" i="9"/>
  <c r="AJ69" i="9"/>
  <c r="BH124" i="2"/>
  <c r="DA70" i="9"/>
  <c r="AQ68" i="9"/>
  <c r="AQ67" i="9"/>
  <c r="AQ69" i="9"/>
  <c r="AQ66" i="9"/>
  <c r="AQ65" i="9"/>
  <c r="HK46" i="2"/>
  <c r="MU24" i="2"/>
  <c r="HK34" i="2"/>
  <c r="CA34" i="2" s="1"/>
  <c r="HK28" i="2"/>
  <c r="CA28" i="2" s="1"/>
  <c r="HK30" i="2"/>
  <c r="CA30" i="2" s="1"/>
  <c r="HK27" i="2"/>
  <c r="CA27" i="2" s="1"/>
  <c r="HK35" i="2"/>
  <c r="HK29" i="2"/>
  <c r="CA29" i="2" s="1"/>
  <c r="IH27" i="2"/>
  <c r="CX27" i="2" s="1"/>
  <c r="AH138" i="2"/>
  <c r="AA70" i="9"/>
  <c r="KY46" i="2"/>
  <c r="P138" i="2"/>
  <c r="J140" i="9" s="1"/>
  <c r="LN46" i="2"/>
  <c r="BS69" i="9"/>
  <c r="G70" i="9"/>
  <c r="Q126" i="2"/>
  <c r="AY70" i="9"/>
  <c r="CY28" i="7"/>
  <c r="CZ28" i="7" s="1"/>
  <c r="EL88" i="2"/>
  <c r="IU104" i="2"/>
  <c r="CV134" i="2"/>
  <c r="CV138" i="2" s="1"/>
  <c r="CV117" i="2" s="1"/>
  <c r="PF24" i="2"/>
  <c r="JV30" i="2"/>
  <c r="EL30" i="2" s="1"/>
  <c r="JV29" i="2"/>
  <c r="EL29" i="2" s="1"/>
  <c r="JV35" i="2"/>
  <c r="JV34" i="2"/>
  <c r="EL34" i="2" s="1"/>
  <c r="JV28" i="2"/>
  <c r="EL28" i="2" s="1"/>
  <c r="JV46" i="2"/>
  <c r="JV27" i="2"/>
  <c r="EL27" i="2" s="1"/>
  <c r="LP46" i="2"/>
  <c r="OV46" i="2"/>
  <c r="PB46" i="2"/>
  <c r="KK46" i="2"/>
  <c r="AC70" i="9"/>
  <c r="AN138" i="2"/>
  <c r="DH134" i="2"/>
  <c r="DH138" i="2" s="1"/>
  <c r="AT68" i="9"/>
  <c r="AT67" i="9"/>
  <c r="AT69" i="9"/>
  <c r="AT66" i="9"/>
  <c r="AT65" i="9"/>
  <c r="CY83" i="9"/>
  <c r="CY69" i="9"/>
  <c r="CY68" i="9"/>
  <c r="CY67" i="9"/>
  <c r="CY66" i="9"/>
  <c r="CY65" i="9"/>
  <c r="DU83" i="9"/>
  <c r="DU66" i="9"/>
  <c r="DU65" i="9"/>
  <c r="DU69" i="9"/>
  <c r="DU68" i="9"/>
  <c r="DU67" i="9"/>
  <c r="CU83" i="9"/>
  <c r="CU69" i="9"/>
  <c r="CU68" i="9"/>
  <c r="CU67" i="9"/>
  <c r="CU66" i="9"/>
  <c r="CU65" i="9"/>
  <c r="NX46" i="2"/>
  <c r="CW70" i="9"/>
  <c r="LQ46" i="2"/>
  <c r="BQ66" i="9"/>
  <c r="OG46" i="2"/>
  <c r="S163" i="2"/>
  <c r="V163" i="2" s="1"/>
  <c r="AS70" i="9"/>
  <c r="L70" i="9"/>
  <c r="CJ70" i="9"/>
  <c r="IE34" i="2"/>
  <c r="CU34" i="2" s="1"/>
  <c r="IE28" i="2"/>
  <c r="CU28" i="2" s="1"/>
  <c r="IE29" i="2"/>
  <c r="CU29" i="2" s="1"/>
  <c r="NO24" i="2"/>
  <c r="IE27" i="2"/>
  <c r="CU27" i="2" s="1"/>
  <c r="IE35" i="2"/>
  <c r="IE30" i="2"/>
  <c r="CU30" i="2" s="1"/>
  <c r="IE46" i="2"/>
  <c r="R138" i="2"/>
  <c r="L140" i="9" s="1"/>
  <c r="H69" i="9"/>
  <c r="H68" i="9"/>
  <c r="H67" i="9"/>
  <c r="H66" i="9"/>
  <c r="H65" i="9"/>
  <c r="EV46" i="2"/>
  <c r="KF24" i="2"/>
  <c r="EV35" i="2"/>
  <c r="EV29" i="2"/>
  <c r="L29" i="2" s="1"/>
  <c r="EV30" i="2"/>
  <c r="L30" i="2" s="1"/>
  <c r="EV34" i="2"/>
  <c r="L34" i="2" s="1"/>
  <c r="EV28" i="2"/>
  <c r="L28" i="2" s="1"/>
  <c r="EV27" i="2"/>
  <c r="L27" i="2" s="1"/>
  <c r="F69" i="9"/>
  <c r="F68" i="9"/>
  <c r="F67" i="9"/>
  <c r="F66" i="9"/>
  <c r="EG73" i="2"/>
  <c r="EE72" i="2"/>
  <c r="EG72" i="2"/>
  <c r="EE73" i="2"/>
  <c r="EF72" i="2"/>
  <c r="EF73" i="2"/>
  <c r="FN30" i="2"/>
  <c r="AD30" i="2" s="1"/>
  <c r="FN46" i="2"/>
  <c r="FN29" i="2"/>
  <c r="AD29" i="2" s="1"/>
  <c r="KX24" i="2"/>
  <c r="FN34" i="2"/>
  <c r="AD34" i="2" s="1"/>
  <c r="FN28" i="2"/>
  <c r="AD28" i="2" s="1"/>
  <c r="FN27" i="2"/>
  <c r="AD27" i="2" s="1"/>
  <c r="FN35" i="2"/>
  <c r="BN83" i="4"/>
  <c r="BN84" i="4" s="1"/>
  <c r="OT24" i="2"/>
  <c r="JJ27" i="2"/>
  <c r="DZ27" i="2" s="1"/>
  <c r="JJ30" i="2"/>
  <c r="DZ30" i="2" s="1"/>
  <c r="JJ35" i="2"/>
  <c r="JJ34" i="2"/>
  <c r="DZ34" i="2" s="1"/>
  <c r="JJ29" i="2"/>
  <c r="DZ29" i="2" s="1"/>
  <c r="JJ46" i="2"/>
  <c r="JJ28" i="2"/>
  <c r="DZ28" i="2" s="1"/>
  <c r="AQ138" i="2"/>
  <c r="DD83" i="4"/>
  <c r="DD84" i="4" s="1"/>
  <c r="NE24" i="2"/>
  <c r="HU34" i="2"/>
  <c r="CK34" i="2" s="1"/>
  <c r="HU28" i="2"/>
  <c r="CK28" i="2" s="1"/>
  <c r="HU29" i="2"/>
  <c r="CK29" i="2" s="1"/>
  <c r="HU30" i="2"/>
  <c r="CK30" i="2" s="1"/>
  <c r="HU46" i="2"/>
  <c r="HU27" i="2"/>
  <c r="CK27" i="2" s="1"/>
  <c r="HU35" i="2"/>
  <c r="AW83" i="4"/>
  <c r="AW84" i="4" s="1"/>
  <c r="DE83" i="4"/>
  <c r="DE84" i="4" s="1"/>
  <c r="CD70" i="9"/>
  <c r="AH126" i="2"/>
  <c r="P126" i="2"/>
  <c r="NJ46" i="2"/>
  <c r="HW46" i="2"/>
  <c r="NG24" i="2"/>
  <c r="HW34" i="2"/>
  <c r="CM34" i="2" s="1"/>
  <c r="HW28" i="2"/>
  <c r="CM28" i="2" s="1"/>
  <c r="HW30" i="2"/>
  <c r="CM30" i="2" s="1"/>
  <c r="HW27" i="2"/>
  <c r="CM27" i="2" s="1"/>
  <c r="HW35" i="2"/>
  <c r="HW29" i="2"/>
  <c r="CM29" i="2" s="1"/>
  <c r="P83" i="4"/>
  <c r="P84" i="4" s="1"/>
  <c r="CE134" i="2"/>
  <c r="CE138" i="2" s="1"/>
  <c r="CV123" i="2"/>
  <c r="JM28" i="2"/>
  <c r="EC28" i="2" s="1"/>
  <c r="JM46" i="2"/>
  <c r="JM29" i="2"/>
  <c r="EC29" i="2" s="1"/>
  <c r="OW24" i="2"/>
  <c r="JM35" i="2"/>
  <c r="JM27" i="2"/>
  <c r="EC27" i="2" s="1"/>
  <c r="JM30" i="2"/>
  <c r="EC30" i="2" s="1"/>
  <c r="JM34" i="2"/>
  <c r="EC34" i="2" s="1"/>
  <c r="EL72" i="2"/>
  <c r="MG46" i="2"/>
  <c r="KZ46" i="2"/>
  <c r="NI46" i="2"/>
  <c r="OR46" i="2"/>
  <c r="AN126" i="2"/>
  <c r="DH123" i="2"/>
  <c r="PF101" i="2"/>
  <c r="OT101" i="2"/>
  <c r="OH101" i="2"/>
  <c r="NV101" i="2"/>
  <c r="NJ101" i="2"/>
  <c r="MX101" i="2"/>
  <c r="ML101" i="2"/>
  <c r="LZ101" i="2"/>
  <c r="LN101" i="2"/>
  <c r="LB101" i="2"/>
  <c r="KP101" i="2"/>
  <c r="PE101" i="2"/>
  <c r="OS101" i="2"/>
  <c r="OG101" i="2"/>
  <c r="NU101" i="2"/>
  <c r="NI101" i="2"/>
  <c r="MW101" i="2"/>
  <c r="MK101" i="2"/>
  <c r="LY101" i="2"/>
  <c r="LM101" i="2"/>
  <c r="LA101" i="2"/>
  <c r="KO101" i="2"/>
  <c r="PD101" i="2"/>
  <c r="OR101" i="2"/>
  <c r="OF101" i="2"/>
  <c r="NT101" i="2"/>
  <c r="NH101" i="2"/>
  <c r="MV101" i="2"/>
  <c r="MJ101" i="2"/>
  <c r="LX101" i="2"/>
  <c r="LL101" i="2"/>
  <c r="KZ101" i="2"/>
  <c r="KN101" i="2"/>
  <c r="PC101" i="2"/>
  <c r="OQ101" i="2"/>
  <c r="OE101" i="2"/>
  <c r="NS101" i="2"/>
  <c r="NG101" i="2"/>
  <c r="MU101" i="2"/>
  <c r="MI101" i="2"/>
  <c r="LW101" i="2"/>
  <c r="LK101" i="2"/>
  <c r="KY101" i="2"/>
  <c r="KM101" i="2"/>
  <c r="PB101" i="2"/>
  <c r="OP101" i="2"/>
  <c r="OD101" i="2"/>
  <c r="NR101" i="2"/>
  <c r="NF101" i="2"/>
  <c r="MT101" i="2"/>
  <c r="MH101" i="2"/>
  <c r="LV101" i="2"/>
  <c r="LJ101" i="2"/>
  <c r="KX101" i="2"/>
  <c r="KL101" i="2"/>
  <c r="PA101" i="2"/>
  <c r="OO101" i="2"/>
  <c r="OC101" i="2"/>
  <c r="NQ101" i="2"/>
  <c r="NE101" i="2"/>
  <c r="MS101" i="2"/>
  <c r="MG101" i="2"/>
  <c r="LU101" i="2"/>
  <c r="LI101" i="2"/>
  <c r="KW101" i="2"/>
  <c r="KK101" i="2"/>
  <c r="OZ101" i="2"/>
  <c r="ON101" i="2"/>
  <c r="OB101" i="2"/>
  <c r="NP101" i="2"/>
  <c r="ND101" i="2"/>
  <c r="MR101" i="2"/>
  <c r="MF101" i="2"/>
  <c r="LT101" i="2"/>
  <c r="LH101" i="2"/>
  <c r="KV101" i="2"/>
  <c r="KJ101" i="2"/>
  <c r="OY101" i="2"/>
  <c r="OM101" i="2"/>
  <c r="OA101" i="2"/>
  <c r="NO101" i="2"/>
  <c r="NC101" i="2"/>
  <c r="MQ101" i="2"/>
  <c r="ME101" i="2"/>
  <c r="LS101" i="2"/>
  <c r="LG101" i="2"/>
  <c r="KU101" i="2"/>
  <c r="KI101" i="2"/>
  <c r="NZ101" i="2"/>
  <c r="MP101" i="2"/>
  <c r="LF101" i="2"/>
  <c r="PH101" i="2"/>
  <c r="NX101" i="2"/>
  <c r="MN101" i="2"/>
  <c r="LD101" i="2"/>
  <c r="PG101" i="2"/>
  <c r="NW101" i="2"/>
  <c r="MM101" i="2"/>
  <c r="LC101" i="2"/>
  <c r="OX101" i="2"/>
  <c r="NN101" i="2"/>
  <c r="MD101" i="2"/>
  <c r="KT101" i="2"/>
  <c r="OW101" i="2"/>
  <c r="NM101" i="2"/>
  <c r="MC101" i="2"/>
  <c r="KS101" i="2"/>
  <c r="OV101" i="2"/>
  <c r="NL101" i="2"/>
  <c r="MB101" i="2"/>
  <c r="KR101" i="2"/>
  <c r="OL101" i="2"/>
  <c r="NB101" i="2"/>
  <c r="LR101" i="2"/>
  <c r="KH101" i="2"/>
  <c r="OJ101" i="2"/>
  <c r="MZ101" i="2"/>
  <c r="LP101" i="2"/>
  <c r="MO101" i="2"/>
  <c r="MA101" i="2"/>
  <c r="LQ101" i="2"/>
  <c r="LO101" i="2"/>
  <c r="LE101" i="2"/>
  <c r="OU101" i="2"/>
  <c r="KQ101" i="2"/>
  <c r="OK101" i="2"/>
  <c r="KG101" i="2"/>
  <c r="OI101" i="2"/>
  <c r="NA101" i="2"/>
  <c r="NY101" i="2"/>
  <c r="NK101" i="2"/>
  <c r="MY101" i="2"/>
  <c r="JB46" i="2"/>
  <c r="OL24" i="2"/>
  <c r="JB29" i="2"/>
  <c r="DR29" i="2" s="1"/>
  <c r="JB30" i="2"/>
  <c r="DR30" i="2" s="1"/>
  <c r="JB27" i="2"/>
  <c r="DR27" i="2" s="1"/>
  <c r="JB28" i="2"/>
  <c r="DR28" i="2" s="1"/>
  <c r="JB34" i="2"/>
  <c r="DR34" i="2" s="1"/>
  <c r="JB35" i="2"/>
  <c r="GU34" i="2"/>
  <c r="BK34" i="2" s="1"/>
  <c r="GU29" i="2"/>
  <c r="BK29" i="2" s="1"/>
  <c r="ME24" i="2"/>
  <c r="GU28" i="2"/>
  <c r="BK28" i="2" s="1"/>
  <c r="GU35" i="2"/>
  <c r="GU30" i="2"/>
  <c r="BK30" i="2" s="1"/>
  <c r="GU46" i="2"/>
  <c r="GU27" i="2"/>
  <c r="BK27" i="2" s="1"/>
  <c r="BW134" i="2"/>
  <c r="BW138" i="2" s="1"/>
  <c r="BW117" i="2" s="1"/>
  <c r="GM46" i="2"/>
  <c r="LW24" i="2"/>
  <c r="GM34" i="2"/>
  <c r="BC34" i="2" s="1"/>
  <c r="GM28" i="2"/>
  <c r="BC28" i="2" s="1"/>
  <c r="GM30" i="2"/>
  <c r="BC30" i="2" s="1"/>
  <c r="GM27" i="2"/>
  <c r="BC27" i="2" s="1"/>
  <c r="GM29" i="2"/>
  <c r="BC29" i="2" s="1"/>
  <c r="GM35" i="2"/>
  <c r="FA104" i="2"/>
  <c r="CL70" i="9"/>
  <c r="GF46" i="2"/>
  <c r="LP24" i="2"/>
  <c r="GF29" i="2"/>
  <c r="AV29" i="2" s="1"/>
  <c r="GF27" i="2"/>
  <c r="AV27" i="2" s="1"/>
  <c r="GF30" i="2"/>
  <c r="AV30" i="2" s="1"/>
  <c r="GF34" i="2"/>
  <c r="AV34" i="2" s="1"/>
  <c r="GF35" i="2"/>
  <c r="GF28" i="2"/>
  <c r="AV28" i="2" s="1"/>
  <c r="BA66" i="9"/>
  <c r="BA65" i="9"/>
  <c r="BA69" i="9"/>
  <c r="BA68" i="9"/>
  <c r="BA67" i="9"/>
  <c r="DB83" i="9"/>
  <c r="DB69" i="9"/>
  <c r="DB68" i="9"/>
  <c r="DB67" i="9"/>
  <c r="DB66" i="9"/>
  <c r="DB65" i="9"/>
  <c r="CG83" i="4"/>
  <c r="CG84" i="4" s="1"/>
  <c r="AE70" i="9"/>
  <c r="JH104" i="2"/>
  <c r="GD104" i="2"/>
  <c r="GJ104" i="2"/>
  <c r="DE70" i="9"/>
  <c r="K83" i="4"/>
  <c r="K84" i="4" s="1"/>
  <c r="BQ88" i="2"/>
  <c r="AJ83" i="4"/>
  <c r="AJ84" i="4" s="1"/>
  <c r="BH83" i="9"/>
  <c r="BH68" i="9"/>
  <c r="BH67" i="9"/>
  <c r="BH66" i="9"/>
  <c r="BH65" i="9"/>
  <c r="BH69" i="9"/>
  <c r="S171" i="2"/>
  <c r="V171" i="2" s="1"/>
  <c r="S165" i="2"/>
  <c r="V165" i="2" s="1"/>
  <c r="H70" i="9"/>
  <c r="G69" i="9"/>
  <c r="G68" i="9"/>
  <c r="G67" i="9"/>
  <c r="G66" i="9"/>
  <c r="G65" i="9"/>
  <c r="DA83" i="4"/>
  <c r="DA84" i="4" s="1"/>
  <c r="GW104" i="2"/>
  <c r="I70" i="9"/>
  <c r="R126" i="2"/>
  <c r="GA35" i="2"/>
  <c r="JO35" i="2"/>
  <c r="II35" i="2"/>
  <c r="GI35" i="2"/>
  <c r="FZ35" i="2"/>
  <c r="JG35" i="2"/>
  <c r="HG35" i="2"/>
  <c r="IG35" i="2"/>
  <c r="HH35" i="2"/>
  <c r="JP35" i="2"/>
  <c r="FB35" i="2"/>
  <c r="JQ35" i="2"/>
  <c r="JH46" i="2"/>
  <c r="OR24" i="2"/>
  <c r="JH28" i="2"/>
  <c r="DX28" i="2" s="1"/>
  <c r="JH30" i="2"/>
  <c r="DX30" i="2" s="1"/>
  <c r="JH34" i="2"/>
  <c r="DX34" i="2" s="1"/>
  <c r="JH27" i="2"/>
  <c r="DX27" i="2" s="1"/>
  <c r="JH35" i="2"/>
  <c r="JH29" i="2"/>
  <c r="DX29" i="2" s="1"/>
  <c r="NP46" i="2"/>
  <c r="CS83" i="9"/>
  <c r="CQ69" i="9"/>
  <c r="JN46" i="2"/>
  <c r="OX24" i="2"/>
  <c r="JN29" i="2"/>
  <c r="ED29" i="2" s="1"/>
  <c r="JN35" i="2"/>
  <c r="JN27" i="2"/>
  <c r="ED27" i="2" s="1"/>
  <c r="JN30" i="2"/>
  <c r="ED30" i="2" s="1"/>
  <c r="JN28" i="2"/>
  <c r="ED28" i="2" s="1"/>
  <c r="JN34" i="2"/>
  <c r="ED34" i="2" s="1"/>
  <c r="JL46" i="2"/>
  <c r="OV24" i="2"/>
  <c r="JL29" i="2"/>
  <c r="EB29" i="2" s="1"/>
  <c r="JL27" i="2"/>
  <c r="EB27" i="2" s="1"/>
  <c r="JL30" i="2"/>
  <c r="EB30" i="2" s="1"/>
  <c r="JL34" i="2"/>
  <c r="EB34" i="2" s="1"/>
  <c r="JL35" i="2"/>
  <c r="JL28" i="2"/>
  <c r="EB28" i="2" s="1"/>
  <c r="AQ126" i="2"/>
  <c r="GI27" i="2"/>
  <c r="AY27" i="2" s="1"/>
  <c r="CO88" i="2"/>
  <c r="DN134" i="2"/>
  <c r="DN138" i="2" s="1"/>
  <c r="BG123" i="2"/>
  <c r="AD70" i="9"/>
  <c r="AH70" i="9"/>
  <c r="BY134" i="2"/>
  <c r="BY138" i="2" s="1"/>
  <c r="LV46" i="2"/>
  <c r="GR46" i="2"/>
  <c r="MB24" i="2"/>
  <c r="GR29" i="2"/>
  <c r="BH29" i="2" s="1"/>
  <c r="GR35" i="2"/>
  <c r="GR28" i="2"/>
  <c r="BH28" i="2" s="1"/>
  <c r="GR27" i="2"/>
  <c r="BH27" i="2" s="1"/>
  <c r="GR30" i="2"/>
  <c r="BH30" i="2" s="1"/>
  <c r="GR34" i="2"/>
  <c r="BH34" i="2" s="1"/>
  <c r="BM83" i="9"/>
  <c r="BM66" i="9"/>
  <c r="BM65" i="9"/>
  <c r="BM69" i="9"/>
  <c r="BM68" i="9"/>
  <c r="BM67" i="9"/>
  <c r="HT29" i="2"/>
  <c r="CJ29" i="2" s="1"/>
  <c r="HT34" i="2"/>
  <c r="CJ34" i="2" s="1"/>
  <c r="ND24" i="2"/>
  <c r="HT28" i="2"/>
  <c r="CJ28" i="2" s="1"/>
  <c r="HT35" i="2"/>
  <c r="HT30" i="2"/>
  <c r="CJ30" i="2" s="1"/>
  <c r="HT46" i="2"/>
  <c r="HT27" i="2"/>
  <c r="CJ27" i="2" s="1"/>
  <c r="CE70" i="9"/>
  <c r="AB83" i="4"/>
  <c r="AB84" i="4" s="1"/>
  <c r="FO104" i="2"/>
  <c r="FW34" i="2"/>
  <c r="AM34" i="2" s="1"/>
  <c r="FW29" i="2"/>
  <c r="AM29" i="2" s="1"/>
  <c r="FW28" i="2"/>
  <c r="AM28" i="2" s="1"/>
  <c r="LG24" i="2"/>
  <c r="FW35" i="2"/>
  <c r="FW30" i="2"/>
  <c r="AM30" i="2" s="1"/>
  <c r="FW27" i="2"/>
  <c r="AM27" i="2" s="1"/>
  <c r="FW46" i="2"/>
  <c r="LK46" i="2"/>
  <c r="BS66" i="9"/>
  <c r="KT46" i="2"/>
  <c r="OE46" i="2"/>
  <c r="FT104" i="2"/>
  <c r="DH83" i="4"/>
  <c r="DH84" i="4" s="1"/>
  <c r="P4" i="5"/>
  <c r="EC73" i="2"/>
  <c r="EL73" i="2"/>
  <c r="NC46" i="2"/>
  <c r="PE46" i="2"/>
  <c r="KI46" i="2"/>
  <c r="OI46" i="2"/>
  <c r="IZ46" i="2"/>
  <c r="OJ24" i="2"/>
  <c r="IZ29" i="2"/>
  <c r="DP29" i="2" s="1"/>
  <c r="IZ27" i="2"/>
  <c r="DP27" i="2" s="1"/>
  <c r="IZ30" i="2"/>
  <c r="DP30" i="2" s="1"/>
  <c r="IZ34" i="2"/>
  <c r="DP34" i="2" s="1"/>
  <c r="IZ35" i="2"/>
  <c r="IZ28" i="2"/>
  <c r="DP28" i="2" s="1"/>
  <c r="OH24" i="2"/>
  <c r="IX30" i="2"/>
  <c r="DN30" i="2" s="1"/>
  <c r="IX46" i="2"/>
  <c r="IX28" i="2"/>
  <c r="DN28" i="2" s="1"/>
  <c r="IX27" i="2"/>
  <c r="DN27" i="2" s="1"/>
  <c r="IX35" i="2"/>
  <c r="IX34" i="2"/>
  <c r="DN34" i="2" s="1"/>
  <c r="IX29" i="2"/>
  <c r="DN29" i="2" s="1"/>
  <c r="HX46" i="2"/>
  <c r="NH24" i="2"/>
  <c r="HX34" i="2"/>
  <c r="CN34" i="2" s="1"/>
  <c r="HX28" i="2"/>
  <c r="CN28" i="2" s="1"/>
  <c r="HX30" i="2"/>
  <c r="CN30" i="2" s="1"/>
  <c r="HX27" i="2"/>
  <c r="CN27" i="2" s="1"/>
  <c r="HX35" i="2"/>
  <c r="HX29" i="2"/>
  <c r="CN29" i="2" s="1"/>
  <c r="AV83" i="4"/>
  <c r="AV84" i="4" s="1"/>
  <c r="FR104" i="2"/>
  <c r="BI83" i="9"/>
  <c r="BI69" i="9"/>
  <c r="BI68" i="9"/>
  <c r="BI67" i="9"/>
  <c r="BI66" i="9"/>
  <c r="BI65" i="9"/>
  <c r="FS29" i="2"/>
  <c r="AI29" i="2" s="1"/>
  <c r="LC24" i="2"/>
  <c r="FS46" i="2"/>
  <c r="FS35" i="2"/>
  <c r="FS30" i="2"/>
  <c r="AI30" i="2" s="1"/>
  <c r="FS34" i="2"/>
  <c r="AI34" i="2" s="1"/>
  <c r="FS28" i="2"/>
  <c r="AI28" i="2" s="1"/>
  <c r="FS27" i="2"/>
  <c r="AI27" i="2" s="1"/>
  <c r="JT46" i="2"/>
  <c r="PD24" i="2"/>
  <c r="JT28" i="2"/>
  <c r="EJ28" i="2" s="1"/>
  <c r="JT30" i="2"/>
  <c r="EJ30" i="2" s="1"/>
  <c r="JT35" i="2"/>
  <c r="JT34" i="2"/>
  <c r="EJ34" i="2" s="1"/>
  <c r="JT29" i="2"/>
  <c r="EJ29" i="2" s="1"/>
  <c r="JT27" i="2"/>
  <c r="EJ27" i="2" s="1"/>
  <c r="IF29" i="2"/>
  <c r="CV29" i="2" s="1"/>
  <c r="IF34" i="2"/>
  <c r="CV34" i="2" s="1"/>
  <c r="IF28" i="2"/>
  <c r="CV28" i="2" s="1"/>
  <c r="NP24" i="2"/>
  <c r="IF35" i="2"/>
  <c r="IF46" i="2"/>
  <c r="IF27" i="2"/>
  <c r="CV27" i="2" s="1"/>
  <c r="IF30" i="2"/>
  <c r="CV30" i="2" s="1"/>
  <c r="CS83" i="4"/>
  <c r="CS84" i="4" s="1"/>
  <c r="EI73" i="2"/>
  <c r="CB69" i="9"/>
  <c r="CB68" i="9"/>
  <c r="CB67" i="9"/>
  <c r="CB83" i="9"/>
  <c r="CB66" i="9"/>
  <c r="CB65" i="9"/>
  <c r="FK34" i="2"/>
  <c r="AA34" i="2" s="1"/>
  <c r="FK29" i="2"/>
  <c r="AA29" i="2" s="1"/>
  <c r="KU24" i="2"/>
  <c r="FK28" i="2"/>
  <c r="AA28" i="2" s="1"/>
  <c r="FK27" i="2"/>
  <c r="AA27" i="2" s="1"/>
  <c r="FK30" i="2"/>
  <c r="AA30" i="2" s="1"/>
  <c r="FK46" i="2"/>
  <c r="FK35" i="2"/>
  <c r="AA35" i="2" s="1"/>
  <c r="AQ70" i="9"/>
  <c r="IC28" i="2"/>
  <c r="CS28" i="2" s="1"/>
  <c r="IC46" i="2"/>
  <c r="NM24" i="2"/>
  <c r="IC29" i="2"/>
  <c r="CS29" i="2" s="1"/>
  <c r="IC30" i="2"/>
  <c r="CS30" i="2" s="1"/>
  <c r="IC34" i="2"/>
  <c r="CS34" i="2" s="1"/>
  <c r="IC35" i="2"/>
  <c r="IC27" i="2"/>
  <c r="CS27" i="2" s="1"/>
  <c r="HY29" i="2"/>
  <c r="CO29" i="2" s="1"/>
  <c r="NI24" i="2"/>
  <c r="HY30" i="2"/>
  <c r="CO30" i="2" s="1"/>
  <c r="HY27" i="2"/>
  <c r="CO27" i="2" s="1"/>
  <c r="HY28" i="2"/>
  <c r="CO28" i="2" s="1"/>
  <c r="HY34" i="2"/>
  <c r="CO34" i="2" s="1"/>
  <c r="HY46" i="2"/>
  <c r="HY35" i="2"/>
  <c r="Y70" i="9"/>
  <c r="AI138" i="2"/>
  <c r="DC123" i="2"/>
  <c r="EV256" i="2"/>
  <c r="AE138" i="2"/>
  <c r="Y140" i="9" s="1"/>
  <c r="DM83" i="4"/>
  <c r="DM84" i="4" s="1"/>
  <c r="BZ83" i="9"/>
  <c r="BZ65" i="9"/>
  <c r="BZ69" i="9"/>
  <c r="BZ68" i="9"/>
  <c r="BZ67" i="9"/>
  <c r="BZ66" i="9"/>
  <c r="BX83" i="9"/>
  <c r="BX67" i="9"/>
  <c r="BX66" i="9"/>
  <c r="BX65" i="9"/>
  <c r="BX69" i="9"/>
  <c r="BX68" i="9"/>
  <c r="JO29" i="2"/>
  <c r="EE29" i="2" s="1"/>
  <c r="HV30" i="2"/>
  <c r="CL30" i="2" s="1"/>
  <c r="HV29" i="2"/>
  <c r="CL29" i="2" s="1"/>
  <c r="NF24" i="2"/>
  <c r="HV46" i="2"/>
  <c r="HV34" i="2"/>
  <c r="CL34" i="2" s="1"/>
  <c r="HV28" i="2"/>
  <c r="CL28" i="2" s="1"/>
  <c r="HV27" i="2"/>
  <c r="CL27" i="2" s="1"/>
  <c r="HV35" i="2"/>
  <c r="GS28" i="2"/>
  <c r="BI28" i="2" s="1"/>
  <c r="GS46" i="2"/>
  <c r="MC24" i="2"/>
  <c r="GS29" i="2"/>
  <c r="BI29" i="2" s="1"/>
  <c r="GS30" i="2"/>
  <c r="BI30" i="2" s="1"/>
  <c r="GS35" i="2"/>
  <c r="GS27" i="2"/>
  <c r="BI27" i="2" s="1"/>
  <c r="GS34" i="2"/>
  <c r="BI34" i="2" s="1"/>
  <c r="BN83" i="9"/>
  <c r="BN65" i="9"/>
  <c r="BN69" i="9"/>
  <c r="BN68" i="9"/>
  <c r="BN67" i="9"/>
  <c r="BN66" i="9"/>
  <c r="AN70" i="9"/>
  <c r="FF104" i="2"/>
  <c r="O70" i="9"/>
  <c r="BK70" i="9"/>
  <c r="HE104" i="2"/>
  <c r="CQ123" i="2"/>
  <c r="EC123" i="2"/>
  <c r="FT46" i="2"/>
  <c r="LD24" i="2"/>
  <c r="FT29" i="2"/>
  <c r="AJ29" i="2" s="1"/>
  <c r="FT30" i="2"/>
  <c r="AJ30" i="2" s="1"/>
  <c r="FT34" i="2"/>
  <c r="AJ34" i="2" s="1"/>
  <c r="FT35" i="2"/>
  <c r="FT28" i="2"/>
  <c r="AJ28" i="2" s="1"/>
  <c r="FT27" i="2"/>
  <c r="AJ27" i="2" s="1"/>
  <c r="AO69" i="9"/>
  <c r="AO66" i="9"/>
  <c r="AO65" i="9"/>
  <c r="AO68" i="9"/>
  <c r="AO67" i="9"/>
  <c r="JR30" i="2"/>
  <c r="EH30" i="2" s="1"/>
  <c r="JR46" i="2"/>
  <c r="JR29" i="2"/>
  <c r="EH29" i="2" s="1"/>
  <c r="PB24" i="2"/>
  <c r="JR34" i="2"/>
  <c r="EH34" i="2" s="1"/>
  <c r="JR28" i="2"/>
  <c r="EH28" i="2" s="1"/>
  <c r="JR35" i="2"/>
  <c r="JR27" i="2"/>
  <c r="EH27" i="2" s="1"/>
  <c r="BD124" i="2"/>
  <c r="U126" i="2"/>
  <c r="S164" i="2"/>
  <c r="V164" i="2" s="1"/>
  <c r="JS104" i="2"/>
  <c r="CC70" i="9"/>
  <c r="S83" i="4"/>
  <c r="S84" i="4" s="1"/>
  <c r="EJ72" i="2"/>
  <c r="CC83" i="4"/>
  <c r="CC84" i="4" s="1"/>
  <c r="DM88" i="2"/>
  <c r="BA70" i="9"/>
  <c r="GA29" i="2"/>
  <c r="AQ29" i="2" s="1"/>
  <c r="ND46" i="2"/>
  <c r="FZ27" i="2"/>
  <c r="AP27" i="2" s="1"/>
  <c r="JO27" i="2"/>
  <c r="EE27" i="2" s="1"/>
  <c r="JQ27" i="2"/>
  <c r="EG27" i="2" s="1"/>
  <c r="II27" i="2"/>
  <c r="CY27" i="2" s="1"/>
  <c r="FB27" i="2"/>
  <c r="R27" i="2" s="1"/>
  <c r="JP27" i="2"/>
  <c r="EF27" i="2" s="1"/>
  <c r="HH27" i="2"/>
  <c r="BX27" i="2" s="1"/>
  <c r="EA88" i="2"/>
  <c r="DK70" i="9"/>
  <c r="R83" i="4"/>
  <c r="R84" i="4" s="1"/>
  <c r="BX134" i="2"/>
  <c r="BX138" i="2" s="1"/>
  <c r="BA88" i="2"/>
  <c r="CS69" i="9"/>
  <c r="CQ83" i="9"/>
  <c r="GL30" i="2"/>
  <c r="BB30" i="2" s="1"/>
  <c r="GL29" i="2"/>
  <c r="BB29" i="2" s="1"/>
  <c r="LV24" i="2"/>
  <c r="GL46" i="2"/>
  <c r="GL34" i="2"/>
  <c r="BB34" i="2" s="1"/>
  <c r="GL28" i="2"/>
  <c r="BB28" i="2" s="1"/>
  <c r="GL27" i="2"/>
  <c r="BB27" i="2" s="1"/>
  <c r="GL35" i="2"/>
  <c r="GI29" i="2"/>
  <c r="AY29" i="2" s="1"/>
  <c r="AK83" i="4"/>
  <c r="AK84" i="4" s="1"/>
  <c r="DO123" i="2"/>
  <c r="GB104" i="2"/>
  <c r="BQ70" i="9"/>
  <c r="LF46" i="2"/>
  <c r="BY123" i="2"/>
  <c r="CY27" i="7"/>
  <c r="CZ27" i="7" s="1"/>
  <c r="AO70" i="9"/>
  <c r="Q83" i="4"/>
  <c r="Q84" i="4" s="1"/>
  <c r="CY35" i="7"/>
  <c r="CZ35" i="7" s="1"/>
  <c r="LC46" i="2"/>
  <c r="EU36" i="2"/>
  <c r="FI36" i="2" s="1"/>
  <c r="BK83" i="4"/>
  <c r="BK84" i="4" s="1"/>
  <c r="KM46" i="2"/>
  <c r="CU70" i="9"/>
  <c r="N46" i="4"/>
  <c r="BC70" i="9"/>
  <c r="EL134" i="2"/>
  <c r="EL138" i="2" s="1"/>
  <c r="EL117" i="2" s="1"/>
  <c r="CX70" i="9"/>
  <c r="AR83" i="4"/>
  <c r="AR84" i="4" s="1"/>
  <c r="EC72" i="2"/>
  <c r="DF83" i="9"/>
  <c r="DF69" i="9"/>
  <c r="DF68" i="9"/>
  <c r="DF67" i="9"/>
  <c r="DF66" i="9"/>
  <c r="DF65" i="9"/>
  <c r="CR66" i="9"/>
  <c r="NQ46" i="2"/>
  <c r="LI46" i="2"/>
  <c r="MN46" i="2"/>
  <c r="JV104" i="2"/>
  <c r="DS70" i="9"/>
  <c r="BF134" i="2"/>
  <c r="BF138" i="2" s="1"/>
  <c r="BF117" i="2" s="1"/>
  <c r="BQ69" i="9"/>
  <c r="HS34" i="2"/>
  <c r="CI34" i="2" s="1"/>
  <c r="HS28" i="2"/>
  <c r="CI28" i="2" s="1"/>
  <c r="HS29" i="2"/>
  <c r="CI29" i="2" s="1"/>
  <c r="NC24" i="2"/>
  <c r="HS30" i="2"/>
  <c r="CI30" i="2" s="1"/>
  <c r="HS46" i="2"/>
  <c r="HS27" i="2"/>
  <c r="CI27" i="2" s="1"/>
  <c r="HS35" i="2"/>
  <c r="BW70" i="9"/>
  <c r="S166" i="2"/>
  <c r="AE83" i="4"/>
  <c r="AE84" i="4" s="1"/>
  <c r="AH83" i="4"/>
  <c r="AH84" i="4" s="1"/>
  <c r="CR62" i="7"/>
  <c r="BT70" i="9"/>
  <c r="IB46" i="2"/>
  <c r="NL24" i="2"/>
  <c r="IB29" i="2"/>
  <c r="CR29" i="2" s="1"/>
  <c r="IB30" i="2"/>
  <c r="CR30" i="2" s="1"/>
  <c r="IB34" i="2"/>
  <c r="CR34" i="2" s="1"/>
  <c r="IB35" i="2"/>
  <c r="IB28" i="2"/>
  <c r="CR28" i="2" s="1"/>
  <c r="IB27" i="2"/>
  <c r="CR27" i="2" s="1"/>
  <c r="NJ24" i="2"/>
  <c r="HZ35" i="2"/>
  <c r="HZ34" i="2"/>
  <c r="CP34" i="2" s="1"/>
  <c r="HZ29" i="2"/>
  <c r="CP29" i="2" s="1"/>
  <c r="HZ28" i="2"/>
  <c r="CP28" i="2" s="1"/>
  <c r="HZ30" i="2"/>
  <c r="CP30" i="2" s="1"/>
  <c r="HZ27" i="2"/>
  <c r="CP27" i="2" s="1"/>
  <c r="HZ46" i="2"/>
  <c r="IY46" i="2"/>
  <c r="IY29" i="2"/>
  <c r="DO29" i="2" s="1"/>
  <c r="OI24" i="2"/>
  <c r="IY35" i="2"/>
  <c r="IY34" i="2"/>
  <c r="DO34" i="2" s="1"/>
  <c r="IY28" i="2"/>
  <c r="DO28" i="2" s="1"/>
  <c r="IY27" i="2"/>
  <c r="DO27" i="2" s="1"/>
  <c r="IY30" i="2"/>
  <c r="DO30" i="2" s="1"/>
  <c r="J83" i="4"/>
  <c r="J84" i="4" s="1"/>
  <c r="L138" i="2"/>
  <c r="F140" i="9" s="1"/>
  <c r="EV204" i="2"/>
  <c r="EV238" i="2"/>
  <c r="AE126" i="2"/>
  <c r="CO83" i="4"/>
  <c r="CO84" i="4" s="1"/>
  <c r="BL83" i="9"/>
  <c r="BL67" i="9"/>
  <c r="BL66" i="9"/>
  <c r="BL65" i="9"/>
  <c r="BL69" i="9"/>
  <c r="BL68" i="9"/>
  <c r="BY70" i="9"/>
  <c r="CY36" i="7"/>
  <c r="CZ36" i="7" s="1"/>
  <c r="LN24" i="2"/>
  <c r="GD46" i="2"/>
  <c r="GD28" i="2"/>
  <c r="AT28" i="2" s="1"/>
  <c r="GD30" i="2"/>
  <c r="AT30" i="2" s="1"/>
  <c r="GD27" i="2"/>
  <c r="AT27" i="2" s="1"/>
  <c r="GD35" i="2"/>
  <c r="GD34" i="2"/>
  <c r="AT34" i="2" s="1"/>
  <c r="GD29" i="2"/>
  <c r="AT29" i="2" s="1"/>
  <c r="AA69" i="9"/>
  <c r="AA68" i="9"/>
  <c r="AA67" i="9"/>
  <c r="AA66" i="9"/>
  <c r="AA65" i="9"/>
  <c r="Z70" i="9"/>
  <c r="IT30" i="2"/>
  <c r="DJ30" i="2" s="1"/>
  <c r="IT46" i="2"/>
  <c r="IT29" i="2"/>
  <c r="DJ29" i="2" s="1"/>
  <c r="OD24" i="2"/>
  <c r="IT34" i="2"/>
  <c r="DJ34" i="2" s="1"/>
  <c r="IT28" i="2"/>
  <c r="DJ28" i="2" s="1"/>
  <c r="IT35" i="2"/>
  <c r="IT27" i="2"/>
  <c r="DJ27" i="2" s="1"/>
  <c r="FJ104" i="2"/>
  <c r="AL83" i="4"/>
  <c r="AL84" i="4" s="1"/>
  <c r="BT134" i="2"/>
  <c r="BT138" i="2" s="1"/>
  <c r="BI83" i="4"/>
  <c r="BI84" i="4" s="1"/>
  <c r="S162" i="2"/>
  <c r="BW83" i="4"/>
  <c r="BW84" i="4" s="1"/>
  <c r="AO138" i="2"/>
  <c r="G190" i="8"/>
  <c r="G189" i="8"/>
  <c r="G187" i="8"/>
  <c r="G192" i="8"/>
  <c r="G191" i="8"/>
  <c r="G188" i="8"/>
  <c r="CF70" i="9"/>
  <c r="EJ73" i="2"/>
  <c r="DK88" i="2"/>
  <c r="HB104" i="2"/>
  <c r="FG29" i="2"/>
  <c r="W29" i="2" s="1"/>
  <c r="KQ24" i="2"/>
  <c r="FG46" i="2"/>
  <c r="FG35" i="2"/>
  <c r="FG30" i="2"/>
  <c r="W30" i="2" s="1"/>
  <c r="FG28" i="2"/>
  <c r="W28" i="2" s="1"/>
  <c r="FG27" i="2"/>
  <c r="W27" i="2" s="1"/>
  <c r="FG34" i="2"/>
  <c r="W34" i="2" s="1"/>
  <c r="CP134" i="2"/>
  <c r="CP138" i="2" s="1"/>
  <c r="JF30" i="2"/>
  <c r="DV30" i="2" s="1"/>
  <c r="JF29" i="2"/>
  <c r="DV29" i="2" s="1"/>
  <c r="OP24" i="2"/>
  <c r="JF46" i="2"/>
  <c r="JF34" i="2"/>
  <c r="DV34" i="2" s="1"/>
  <c r="JF28" i="2"/>
  <c r="DV28" i="2" s="1"/>
  <c r="JF27" i="2"/>
  <c r="DV27" i="2" s="1"/>
  <c r="JF35" i="2"/>
  <c r="BX123" i="2"/>
  <c r="PF98" i="2"/>
  <c r="OT98" i="2"/>
  <c r="OH98" i="2"/>
  <c r="NV98" i="2"/>
  <c r="NJ98" i="2"/>
  <c r="MX98" i="2"/>
  <c r="ML98" i="2"/>
  <c r="LZ98" i="2"/>
  <c r="LN98" i="2"/>
  <c r="LB98" i="2"/>
  <c r="KP98" i="2"/>
  <c r="PE98" i="2"/>
  <c r="OS98" i="2"/>
  <c r="OG98" i="2"/>
  <c r="NU98" i="2"/>
  <c r="NI98" i="2"/>
  <c r="MW98" i="2"/>
  <c r="MK98" i="2"/>
  <c r="LY98" i="2"/>
  <c r="LM98" i="2"/>
  <c r="LA98" i="2"/>
  <c r="KO98" i="2"/>
  <c r="PD98" i="2"/>
  <c r="OR98" i="2"/>
  <c r="OF98" i="2"/>
  <c r="NT98" i="2"/>
  <c r="NH98" i="2"/>
  <c r="MV98" i="2"/>
  <c r="MJ98" i="2"/>
  <c r="LX98" i="2"/>
  <c r="LL98" i="2"/>
  <c r="KZ98" i="2"/>
  <c r="KN98" i="2"/>
  <c r="PC98" i="2"/>
  <c r="OQ98" i="2"/>
  <c r="OE98" i="2"/>
  <c r="NS98" i="2"/>
  <c r="NG98" i="2"/>
  <c r="MU98" i="2"/>
  <c r="MI98" i="2"/>
  <c r="LW98" i="2"/>
  <c r="LK98" i="2"/>
  <c r="KY98" i="2"/>
  <c r="KM98" i="2"/>
  <c r="PB98" i="2"/>
  <c r="OP98" i="2"/>
  <c r="OD98" i="2"/>
  <c r="NR98" i="2"/>
  <c r="NF98" i="2"/>
  <c r="MT98" i="2"/>
  <c r="MH98" i="2"/>
  <c r="LV98" i="2"/>
  <c r="LJ98" i="2"/>
  <c r="KX98" i="2"/>
  <c r="KL98" i="2"/>
  <c r="PA98" i="2"/>
  <c r="OO98" i="2"/>
  <c r="OC98" i="2"/>
  <c r="NQ98" i="2"/>
  <c r="NE98" i="2"/>
  <c r="MS98" i="2"/>
  <c r="MG98" i="2"/>
  <c r="LU98" i="2"/>
  <c r="LI98" i="2"/>
  <c r="KW98" i="2"/>
  <c r="KK98" i="2"/>
  <c r="OZ98" i="2"/>
  <c r="ON98" i="2"/>
  <c r="OB98" i="2"/>
  <c r="NP98" i="2"/>
  <c r="ND98" i="2"/>
  <c r="MR98" i="2"/>
  <c r="MF98" i="2"/>
  <c r="LT98" i="2"/>
  <c r="LH98" i="2"/>
  <c r="KV98" i="2"/>
  <c r="KJ98" i="2"/>
  <c r="OY98" i="2"/>
  <c r="OM98" i="2"/>
  <c r="OA98" i="2"/>
  <c r="NO98" i="2"/>
  <c r="NC98" i="2"/>
  <c r="MQ98" i="2"/>
  <c r="ME98" i="2"/>
  <c r="LS98" i="2"/>
  <c r="LG98" i="2"/>
  <c r="KU98" i="2"/>
  <c r="KI98" i="2"/>
  <c r="PH98" i="2"/>
  <c r="NX98" i="2"/>
  <c r="MN98" i="2"/>
  <c r="LD98" i="2"/>
  <c r="OX98" i="2"/>
  <c r="NN98" i="2"/>
  <c r="MD98" i="2"/>
  <c r="KT98" i="2"/>
  <c r="OW98" i="2"/>
  <c r="NM98" i="2"/>
  <c r="MC98" i="2"/>
  <c r="KS98" i="2"/>
  <c r="OV98" i="2"/>
  <c r="NL98" i="2"/>
  <c r="MB98" i="2"/>
  <c r="KR98" i="2"/>
  <c r="OU98" i="2"/>
  <c r="NK98" i="2"/>
  <c r="MA98" i="2"/>
  <c r="KQ98" i="2"/>
  <c r="OL98" i="2"/>
  <c r="NB98" i="2"/>
  <c r="LR98" i="2"/>
  <c r="KH98" i="2"/>
  <c r="OJ98" i="2"/>
  <c r="MZ98" i="2"/>
  <c r="LP98" i="2"/>
  <c r="NZ98" i="2"/>
  <c r="MP98" i="2"/>
  <c r="LF98" i="2"/>
  <c r="MY98" i="2"/>
  <c r="MO98" i="2"/>
  <c r="MM98" i="2"/>
  <c r="LQ98" i="2"/>
  <c r="LO98" i="2"/>
  <c r="LE98" i="2"/>
  <c r="PG98" i="2"/>
  <c r="LC98" i="2"/>
  <c r="OK98" i="2"/>
  <c r="KG98" i="2"/>
  <c r="NW98" i="2"/>
  <c r="NA98" i="2"/>
  <c r="OI98" i="2"/>
  <c r="NY98" i="2"/>
  <c r="ED73" i="2"/>
  <c r="DN88" i="2"/>
  <c r="MG24" i="2"/>
  <c r="GW34" i="2"/>
  <c r="BM34" i="2" s="1"/>
  <c r="GW28" i="2"/>
  <c r="BM28" i="2" s="1"/>
  <c r="GW46" i="2"/>
  <c r="GW35" i="2"/>
  <c r="GW29" i="2"/>
  <c r="BM29" i="2" s="1"/>
  <c r="GW30" i="2"/>
  <c r="BM30" i="2" s="1"/>
  <c r="GW27" i="2"/>
  <c r="BM27" i="2" s="1"/>
  <c r="AU126" i="2"/>
  <c r="BG134" i="2"/>
  <c r="BG138" i="2" s="1"/>
  <c r="BG117" i="2" s="1"/>
  <c r="BB70" i="9"/>
  <c r="GA104" i="2"/>
  <c r="LE46" i="2"/>
  <c r="CP70" i="9"/>
  <c r="HR104" i="2"/>
  <c r="HU104" i="2"/>
  <c r="CT83" i="4"/>
  <c r="CT84" i="4" s="1"/>
  <c r="NU46" i="2"/>
  <c r="LZ24" i="2"/>
  <c r="GP28" i="2"/>
  <c r="BF28" i="2" s="1"/>
  <c r="GP30" i="2"/>
  <c r="BF30" i="2" s="1"/>
  <c r="GP27" i="2"/>
  <c r="BF27" i="2" s="1"/>
  <c r="GP35" i="2"/>
  <c r="GP34" i="2"/>
  <c r="BF34" i="2" s="1"/>
  <c r="GP29" i="2"/>
  <c r="BF29" i="2" s="1"/>
  <c r="GP46" i="2"/>
  <c r="AM68" i="9"/>
  <c r="AM67" i="9"/>
  <c r="AM69" i="9"/>
  <c r="AM66" i="9"/>
  <c r="AM65" i="9"/>
  <c r="AL138" i="2"/>
  <c r="DP124" i="2"/>
  <c r="CJ124" i="2"/>
  <c r="PB99" i="2"/>
  <c r="OP99" i="2"/>
  <c r="OD99" i="2"/>
  <c r="NR99" i="2"/>
  <c r="NF99" i="2"/>
  <c r="MT99" i="2"/>
  <c r="MH99" i="2"/>
  <c r="LV99" i="2"/>
  <c r="LJ99" i="2"/>
  <c r="KX99" i="2"/>
  <c r="KL99" i="2"/>
  <c r="PA99" i="2"/>
  <c r="OO99" i="2"/>
  <c r="OC99" i="2"/>
  <c r="NQ99" i="2"/>
  <c r="NE99" i="2"/>
  <c r="MS99" i="2"/>
  <c r="MG99" i="2"/>
  <c r="LU99" i="2"/>
  <c r="LI99" i="2"/>
  <c r="KW99" i="2"/>
  <c r="KK99" i="2"/>
  <c r="OZ99" i="2"/>
  <c r="ON99" i="2"/>
  <c r="OB99" i="2"/>
  <c r="NP99" i="2"/>
  <c r="ND99" i="2"/>
  <c r="MR99" i="2"/>
  <c r="MF99" i="2"/>
  <c r="LT99" i="2"/>
  <c r="LH99" i="2"/>
  <c r="KV99" i="2"/>
  <c r="KJ99" i="2"/>
  <c r="OY99" i="2"/>
  <c r="OM99" i="2"/>
  <c r="OA99" i="2"/>
  <c r="NO99" i="2"/>
  <c r="NC99" i="2"/>
  <c r="MQ99" i="2"/>
  <c r="ME99" i="2"/>
  <c r="LS99" i="2"/>
  <c r="LG99" i="2"/>
  <c r="KU99" i="2"/>
  <c r="KI99" i="2"/>
  <c r="OX99" i="2"/>
  <c r="OL99" i="2"/>
  <c r="NZ99" i="2"/>
  <c r="NN99" i="2"/>
  <c r="NB99" i="2"/>
  <c r="MP99" i="2"/>
  <c r="MD99" i="2"/>
  <c r="LR99" i="2"/>
  <c r="LF99" i="2"/>
  <c r="KT99" i="2"/>
  <c r="KH99" i="2"/>
  <c r="OW99" i="2"/>
  <c r="OK99" i="2"/>
  <c r="NY99" i="2"/>
  <c r="NM99" i="2"/>
  <c r="NA99" i="2"/>
  <c r="MO99" i="2"/>
  <c r="MC99" i="2"/>
  <c r="LQ99" i="2"/>
  <c r="LE99" i="2"/>
  <c r="KS99" i="2"/>
  <c r="KG99" i="2"/>
  <c r="PH99" i="2"/>
  <c r="OV99" i="2"/>
  <c r="OJ99" i="2"/>
  <c r="NX99" i="2"/>
  <c r="NL99" i="2"/>
  <c r="MZ99" i="2"/>
  <c r="MN99" i="2"/>
  <c r="MB99" i="2"/>
  <c r="LP99" i="2"/>
  <c r="LD99" i="2"/>
  <c r="KR99" i="2"/>
  <c r="PG99" i="2"/>
  <c r="OU99" i="2"/>
  <c r="OI99" i="2"/>
  <c r="NW99" i="2"/>
  <c r="NK99" i="2"/>
  <c r="MY99" i="2"/>
  <c r="MM99" i="2"/>
  <c r="MA99" i="2"/>
  <c r="LO99" i="2"/>
  <c r="LC99" i="2"/>
  <c r="KQ99" i="2"/>
  <c r="OE99" i="2"/>
  <c r="MU99" i="2"/>
  <c r="LK99" i="2"/>
  <c r="PE99" i="2"/>
  <c r="NU99" i="2"/>
  <c r="MK99" i="2"/>
  <c r="LA99" i="2"/>
  <c r="PD99" i="2"/>
  <c r="NT99" i="2"/>
  <c r="MJ99" i="2"/>
  <c r="KZ99" i="2"/>
  <c r="PC99" i="2"/>
  <c r="NS99" i="2"/>
  <c r="MI99" i="2"/>
  <c r="KY99" i="2"/>
  <c r="OT99" i="2"/>
  <c r="NJ99" i="2"/>
  <c r="LZ99" i="2"/>
  <c r="KP99" i="2"/>
  <c r="OS99" i="2"/>
  <c r="NI99" i="2"/>
  <c r="LY99" i="2"/>
  <c r="KO99" i="2"/>
  <c r="OQ99" i="2"/>
  <c r="NG99" i="2"/>
  <c r="LW99" i="2"/>
  <c r="KM99" i="2"/>
  <c r="OG99" i="2"/>
  <c r="MW99" i="2"/>
  <c r="LM99" i="2"/>
  <c r="LN99" i="2"/>
  <c r="LL99" i="2"/>
  <c r="PF99" i="2"/>
  <c r="LB99" i="2"/>
  <c r="OR99" i="2"/>
  <c r="KN99" i="2"/>
  <c r="OH99" i="2"/>
  <c r="OF99" i="2"/>
  <c r="NV99" i="2"/>
  <c r="NH99" i="2"/>
  <c r="ML99" i="2"/>
  <c r="MX99" i="2"/>
  <c r="MV99" i="2"/>
  <c r="LX99" i="2"/>
  <c r="Z138" i="2"/>
  <c r="T140" i="9" s="1"/>
  <c r="EL123" i="2"/>
  <c r="IH29" i="2"/>
  <c r="CX29" i="2" s="1"/>
  <c r="CE124" i="2"/>
  <c r="MW46" i="2"/>
  <c r="PC46" i="2"/>
  <c r="OJ46" i="2"/>
  <c r="KS46" i="2"/>
  <c r="FP104" i="2"/>
  <c r="CO70" i="9"/>
  <c r="BF88" i="2"/>
  <c r="F70" i="9"/>
  <c r="CR124" i="2"/>
  <c r="BB83" i="4"/>
  <c r="BB84" i="4" s="1"/>
  <c r="I117" i="2"/>
  <c r="EG117" i="2"/>
  <c r="FZ30" i="2"/>
  <c r="AP30" i="2" s="1"/>
  <c r="JQ30" i="2"/>
  <c r="EG30" i="2" s="1"/>
  <c r="FA30" i="2"/>
  <c r="Q30" i="2" s="1"/>
  <c r="JO30" i="2"/>
  <c r="EE30" i="2" s="1"/>
  <c r="HI30" i="2"/>
  <c r="BY30" i="2" s="1"/>
  <c r="HH30" i="2"/>
  <c r="BX30" i="2" s="1"/>
  <c r="IG30" i="2"/>
  <c r="CW30" i="2" s="1"/>
  <c r="JP30" i="2"/>
  <c r="EF30" i="2" s="1"/>
  <c r="GI30" i="2"/>
  <c r="AY30" i="2" s="1"/>
  <c r="HG30" i="2"/>
  <c r="BW30" i="2" s="1"/>
  <c r="OO24" i="2"/>
  <c r="JE34" i="2"/>
  <c r="DU34" i="2" s="1"/>
  <c r="JE28" i="2"/>
  <c r="DU28" i="2" s="1"/>
  <c r="JE35" i="2"/>
  <c r="JE29" i="2"/>
  <c r="DU29" i="2" s="1"/>
  <c r="JE30" i="2"/>
  <c r="DU30" i="2" s="1"/>
  <c r="JE46" i="2"/>
  <c r="JE27" i="2"/>
  <c r="DU27" i="2" s="1"/>
  <c r="S70" i="9"/>
  <c r="AB138" i="2"/>
  <c r="V140" i="9" s="1"/>
  <c r="AQ83" i="4"/>
  <c r="AQ84" i="4" s="1"/>
  <c r="ED72" i="2"/>
  <c r="DT83" i="9"/>
  <c r="DT67" i="9"/>
  <c r="DT66" i="9"/>
  <c r="DT65" i="9"/>
  <c r="DT69" i="9"/>
  <c r="DT68" i="9"/>
  <c r="CT83" i="9"/>
  <c r="CT69" i="9"/>
  <c r="CT68" i="9"/>
  <c r="CT67" i="9"/>
  <c r="CT66" i="9"/>
  <c r="CT65" i="9"/>
  <c r="AT70" i="9"/>
  <c r="KD36" i="2"/>
  <c r="LM36" i="2" s="1"/>
  <c r="BZ70" i="9"/>
  <c r="BD68" i="9"/>
  <c r="BD67" i="9"/>
  <c r="BD66" i="9"/>
  <c r="BD83" i="9"/>
  <c r="BD65" i="9"/>
  <c r="BD69" i="9"/>
  <c r="FP46" i="2"/>
  <c r="KZ24" i="2"/>
  <c r="FP34" i="2"/>
  <c r="AF34" i="2" s="1"/>
  <c r="FP28" i="2"/>
  <c r="AF28" i="2" s="1"/>
  <c r="FP30" i="2"/>
  <c r="AF30" i="2" s="1"/>
  <c r="FP35" i="2"/>
  <c r="FP27" i="2"/>
  <c r="AF27" i="2" s="1"/>
  <c r="FP29" i="2"/>
  <c r="AF29" i="2" s="1"/>
  <c r="BU83" i="9"/>
  <c r="BU69" i="9"/>
  <c r="BU68" i="9"/>
  <c r="BU67" i="9"/>
  <c r="BU66" i="9"/>
  <c r="BU65" i="9"/>
  <c r="EY34" i="2"/>
  <c r="O34" i="2" s="1"/>
  <c r="EY29" i="2"/>
  <c r="O29" i="2" s="1"/>
  <c r="KI24" i="2"/>
  <c r="EY28" i="2"/>
  <c r="O28" i="2" s="1"/>
  <c r="EY27" i="2"/>
  <c r="O27" i="2" s="1"/>
  <c r="EY35" i="2"/>
  <c r="EY30" i="2"/>
  <c r="O30" i="2" s="1"/>
  <c r="EY46" i="2"/>
  <c r="CY32" i="7"/>
  <c r="CZ32" i="7" s="1"/>
  <c r="CG83" i="9"/>
  <c r="CG69" i="9"/>
  <c r="CG68" i="9"/>
  <c r="CG67" i="9"/>
  <c r="CG66" i="9"/>
  <c r="CG65" i="9"/>
  <c r="IH46" i="2"/>
  <c r="A9" i="8"/>
  <c r="E126" i="8"/>
  <c r="CS72" i="7"/>
  <c r="CV72" i="7"/>
  <c r="JI29" i="2"/>
  <c r="DY29" i="2" s="1"/>
  <c r="OS24" i="2"/>
  <c r="JI30" i="2"/>
  <c r="DY30" i="2" s="1"/>
  <c r="JI34" i="2"/>
  <c r="DY34" i="2" s="1"/>
  <c r="JI27" i="2"/>
  <c r="DY27" i="2" s="1"/>
  <c r="JI35" i="2"/>
  <c r="JI46" i="2"/>
  <c r="JI28" i="2"/>
  <c r="DY28" i="2" s="1"/>
  <c r="FL29" i="2"/>
  <c r="AB29" i="2" s="1"/>
  <c r="FL34" i="2"/>
  <c r="AB34" i="2" s="1"/>
  <c r="FL28" i="2"/>
  <c r="AB28" i="2" s="1"/>
  <c r="KV24" i="2"/>
  <c r="FL27" i="2"/>
  <c r="AB27" i="2" s="1"/>
  <c r="FL35" i="2"/>
  <c r="FL30" i="2"/>
  <c r="AB30" i="2" s="1"/>
  <c r="FL46" i="2"/>
  <c r="BQ83" i="9"/>
  <c r="I176" i="2"/>
  <c r="I174" i="2"/>
  <c r="I164" i="2"/>
  <c r="I175" i="2"/>
  <c r="E75" i="2"/>
  <c r="C83" i="2"/>
  <c r="W160" i="2"/>
  <c r="F5" i="2"/>
  <c r="I16" i="2"/>
  <c r="E16" i="1"/>
  <c r="AK138" i="2"/>
  <c r="AC138" i="2"/>
  <c r="W140" i="9" s="1"/>
  <c r="PB93" i="2"/>
  <c r="OP93" i="2"/>
  <c r="OD93" i="2"/>
  <c r="NR93" i="2"/>
  <c r="NF93" i="2"/>
  <c r="MT93" i="2"/>
  <c r="MH93" i="2"/>
  <c r="LV93" i="2"/>
  <c r="LJ93" i="2"/>
  <c r="KX93" i="2"/>
  <c r="KL93" i="2"/>
  <c r="PA93" i="2"/>
  <c r="OO93" i="2"/>
  <c r="OC93" i="2"/>
  <c r="NQ93" i="2"/>
  <c r="NE93" i="2"/>
  <c r="MS93" i="2"/>
  <c r="MG93" i="2"/>
  <c r="LU93" i="2"/>
  <c r="LI93" i="2"/>
  <c r="KW93" i="2"/>
  <c r="KK93" i="2"/>
  <c r="OZ93" i="2"/>
  <c r="ON93" i="2"/>
  <c r="OB93" i="2"/>
  <c r="NP93" i="2"/>
  <c r="ND93" i="2"/>
  <c r="MR93" i="2"/>
  <c r="MF93" i="2"/>
  <c r="LT93" i="2"/>
  <c r="LH93" i="2"/>
  <c r="KV93" i="2"/>
  <c r="KJ93" i="2"/>
  <c r="OY93" i="2"/>
  <c r="OM93" i="2"/>
  <c r="OA93" i="2"/>
  <c r="NO93" i="2"/>
  <c r="NC93" i="2"/>
  <c r="MQ93" i="2"/>
  <c r="ME93" i="2"/>
  <c r="LS93" i="2"/>
  <c r="LG93" i="2"/>
  <c r="KU93" i="2"/>
  <c r="KI93" i="2"/>
  <c r="OX93" i="2"/>
  <c r="OL93" i="2"/>
  <c r="NZ93" i="2"/>
  <c r="NN93" i="2"/>
  <c r="NB93" i="2"/>
  <c r="MP93" i="2"/>
  <c r="MD93" i="2"/>
  <c r="LR93" i="2"/>
  <c r="LF93" i="2"/>
  <c r="KT93" i="2"/>
  <c r="KH93" i="2"/>
  <c r="OW93" i="2"/>
  <c r="OK93" i="2"/>
  <c r="NY93" i="2"/>
  <c r="NM93" i="2"/>
  <c r="NA93" i="2"/>
  <c r="MO93" i="2"/>
  <c r="MC93" i="2"/>
  <c r="LQ93" i="2"/>
  <c r="LE93" i="2"/>
  <c r="KS93" i="2"/>
  <c r="KG93" i="2"/>
  <c r="PH93" i="2"/>
  <c r="OV93" i="2"/>
  <c r="OJ93" i="2"/>
  <c r="NX93" i="2"/>
  <c r="NL93" i="2"/>
  <c r="MZ93" i="2"/>
  <c r="MN93" i="2"/>
  <c r="MB93" i="2"/>
  <c r="LP93" i="2"/>
  <c r="LD93" i="2"/>
  <c r="KR93" i="2"/>
  <c r="PG93" i="2"/>
  <c r="OU93" i="2"/>
  <c r="OI93" i="2"/>
  <c r="NW93" i="2"/>
  <c r="NK93" i="2"/>
  <c r="MY93" i="2"/>
  <c r="MM93" i="2"/>
  <c r="MA93" i="2"/>
  <c r="LO93" i="2"/>
  <c r="LC93" i="2"/>
  <c r="KQ93" i="2"/>
  <c r="PE93" i="2"/>
  <c r="NU93" i="2"/>
  <c r="MK93" i="2"/>
  <c r="LA93" i="2"/>
  <c r="PC93" i="2"/>
  <c r="NS93" i="2"/>
  <c r="MI93" i="2"/>
  <c r="KY93" i="2"/>
  <c r="OT93" i="2"/>
  <c r="NJ93" i="2"/>
  <c r="LZ93" i="2"/>
  <c r="KP93" i="2"/>
  <c r="OS93" i="2"/>
  <c r="NI93" i="2"/>
  <c r="LY93" i="2"/>
  <c r="KO93" i="2"/>
  <c r="OR93" i="2"/>
  <c r="NH93" i="2"/>
  <c r="LX93" i="2"/>
  <c r="KN93" i="2"/>
  <c r="OQ93" i="2"/>
  <c r="NG93" i="2"/>
  <c r="LW93" i="2"/>
  <c r="KM93" i="2"/>
  <c r="OG93" i="2"/>
  <c r="MW93" i="2"/>
  <c r="LM93" i="2"/>
  <c r="OE93" i="2"/>
  <c r="MU93" i="2"/>
  <c r="LK93" i="2"/>
  <c r="NT93" i="2"/>
  <c r="MX93" i="2"/>
  <c r="MV93" i="2"/>
  <c r="ML93" i="2"/>
  <c r="LN93" i="2"/>
  <c r="LL93" i="2"/>
  <c r="PF93" i="2"/>
  <c r="LB93" i="2"/>
  <c r="OF93" i="2"/>
  <c r="PD93" i="2"/>
  <c r="OH93" i="2"/>
  <c r="NV93" i="2"/>
  <c r="MJ93" i="2"/>
  <c r="KZ93" i="2"/>
  <c r="AJ70" i="9"/>
  <c r="T69" i="9"/>
  <c r="T68" i="9"/>
  <c r="T67" i="9"/>
  <c r="T66" i="9"/>
  <c r="T65" i="9"/>
  <c r="BE83" i="4"/>
  <c r="BE84" i="4" s="1"/>
  <c r="CO83" i="9"/>
  <c r="CO69" i="9"/>
  <c r="CO68" i="9"/>
  <c r="CO67" i="9"/>
  <c r="CO66" i="9"/>
  <c r="CO65" i="9"/>
  <c r="CP83" i="9"/>
  <c r="CP69" i="9"/>
  <c r="CP68" i="9"/>
  <c r="CP67" i="9"/>
  <c r="CP66" i="9"/>
  <c r="CP65" i="9"/>
  <c r="D83" i="4"/>
  <c r="D84" i="4" s="1"/>
  <c r="AZ83" i="4"/>
  <c r="AZ84" i="4" s="1"/>
  <c r="CV83" i="4"/>
  <c r="CV84" i="4" s="1"/>
  <c r="AO83" i="4"/>
  <c r="AO84" i="4" s="1"/>
  <c r="EU45" i="2"/>
  <c r="FA45" i="2" s="1"/>
  <c r="AB70" i="9"/>
  <c r="DQ83" i="4"/>
  <c r="DQ84" i="4" s="1"/>
  <c r="DV83" i="9"/>
  <c r="DV65" i="9"/>
  <c r="DV69" i="9"/>
  <c r="DV68" i="9"/>
  <c r="DV67" i="9"/>
  <c r="DV66" i="9"/>
  <c r="AZ70" i="9"/>
  <c r="DN123" i="2"/>
  <c r="CE83" i="9"/>
  <c r="CE69" i="9"/>
  <c r="CE68" i="9"/>
  <c r="CE67" i="9"/>
  <c r="CE66" i="9"/>
  <c r="CE65" i="9"/>
  <c r="AU138" i="2"/>
  <c r="K70" i="9"/>
  <c r="AX83" i="4"/>
  <c r="AX84" i="4" s="1"/>
  <c r="AA138" i="2"/>
  <c r="U140" i="9" s="1"/>
  <c r="IU46" i="2"/>
  <c r="OE24" i="2"/>
  <c r="IU34" i="2"/>
  <c r="DK34" i="2" s="1"/>
  <c r="IU28" i="2"/>
  <c r="DK28" i="2" s="1"/>
  <c r="IU30" i="2"/>
  <c r="DK30" i="2" s="1"/>
  <c r="IU35" i="2"/>
  <c r="IU29" i="2"/>
  <c r="DK29" i="2" s="1"/>
  <c r="IU27" i="2"/>
  <c r="DK27" i="2" s="1"/>
  <c r="AR70" i="9"/>
  <c r="CY83" i="4"/>
  <c r="CY84" i="4" s="1"/>
  <c r="DJ83" i="4"/>
  <c r="DJ84" i="4" s="1"/>
  <c r="DV70" i="9"/>
  <c r="CY70" i="9"/>
  <c r="G120" i="2"/>
  <c r="IH30" i="2"/>
  <c r="CX30" i="2" s="1"/>
  <c r="JX46" i="2"/>
  <c r="PH24" i="2"/>
  <c r="JX29" i="2"/>
  <c r="EN29" i="2" s="1"/>
  <c r="JX27" i="2"/>
  <c r="EN27" i="2" s="1"/>
  <c r="JX35" i="2"/>
  <c r="JX28" i="2"/>
  <c r="EN28" i="2" s="1"/>
  <c r="JX30" i="2"/>
  <c r="EN30" i="2" s="1"/>
  <c r="JX34" i="2"/>
  <c r="EN34" i="2" s="1"/>
  <c r="DF70" i="9"/>
  <c r="CR121" i="9"/>
  <c r="CR120" i="9"/>
  <c r="CR119" i="9"/>
  <c r="CR118" i="9"/>
  <c r="CR117" i="9"/>
  <c r="CR90" i="9"/>
  <c r="BS70" i="9"/>
  <c r="GJ29" i="2"/>
  <c r="AZ29" i="2" s="1"/>
  <c r="GJ34" i="2"/>
  <c r="AZ34" i="2" s="1"/>
  <c r="LT24" i="2"/>
  <c r="GJ28" i="2"/>
  <c r="AZ28" i="2" s="1"/>
  <c r="GJ30" i="2"/>
  <c r="AZ30" i="2" s="1"/>
  <c r="GJ35" i="2"/>
  <c r="GJ46" i="2"/>
  <c r="GJ27" i="2"/>
  <c r="AZ27" i="2" s="1"/>
  <c r="DL83" i="9"/>
  <c r="DL68" i="9"/>
  <c r="DL67" i="9"/>
  <c r="DL69" i="9"/>
  <c r="DL66" i="9"/>
  <c r="DL65" i="9"/>
  <c r="DJ83" i="9"/>
  <c r="DJ65" i="9"/>
  <c r="DJ68" i="9"/>
  <c r="DJ67" i="9"/>
  <c r="DJ69" i="9"/>
  <c r="DJ66" i="9"/>
  <c r="DH83" i="9"/>
  <c r="DH67" i="9"/>
  <c r="DH69" i="9"/>
  <c r="DH66" i="9"/>
  <c r="DH65" i="9"/>
  <c r="DH68" i="9"/>
  <c r="CH83" i="9"/>
  <c r="CH69" i="9"/>
  <c r="CH68" i="9"/>
  <c r="CH67" i="9"/>
  <c r="CH66" i="9"/>
  <c r="CH65" i="9"/>
  <c r="MP46" i="2"/>
  <c r="EJ88" i="2"/>
  <c r="CM46" i="2" l="1"/>
  <c r="EK35" i="2"/>
  <c r="AJ35" i="2"/>
  <c r="BS46" i="2"/>
  <c r="R35" i="2"/>
  <c r="BC35" i="2"/>
  <c r="BH35" i="2"/>
  <c r="CR35" i="2"/>
  <c r="BQ35" i="2"/>
  <c r="EN35" i="2"/>
  <c r="BW35" i="2"/>
  <c r="DX35" i="2"/>
  <c r="AZ35" i="2"/>
  <c r="DC35" i="2"/>
  <c r="AP35" i="2"/>
  <c r="BX35" i="2"/>
  <c r="DJ35" i="2"/>
  <c r="BY35" i="2"/>
  <c r="BE35" i="2"/>
  <c r="Y35" i="2"/>
  <c r="AY35" i="2"/>
  <c r="AT35" i="2"/>
  <c r="CS35" i="2"/>
  <c r="BL35" i="2"/>
  <c r="AF35" i="2"/>
  <c r="DU35" i="2"/>
  <c r="BF35" i="2"/>
  <c r="DN35" i="2"/>
  <c r="EG35" i="2"/>
  <c r="BK35" i="2"/>
  <c r="AL35" i="2"/>
  <c r="CF35" i="2"/>
  <c r="DB35" i="2"/>
  <c r="BS35" i="2"/>
  <c r="AX35" i="2"/>
  <c r="AZ46" i="2"/>
  <c r="AG35" i="2"/>
  <c r="DO35" i="2"/>
  <c r="X35" i="2"/>
  <c r="CI35" i="2"/>
  <c r="BP35" i="2"/>
  <c r="CO35" i="2"/>
  <c r="N35" i="2"/>
  <c r="ED35" i="2"/>
  <c r="DY35" i="2"/>
  <c r="DZ35" i="2"/>
  <c r="BZ35" i="2"/>
  <c r="CC35" i="2"/>
  <c r="BI46" i="2"/>
  <c r="CW35" i="2"/>
  <c r="AD35" i="2"/>
  <c r="DA35" i="2"/>
  <c r="BN35" i="2"/>
  <c r="CJ35" i="2"/>
  <c r="DR35" i="2"/>
  <c r="DJ46" i="2"/>
  <c r="AM35" i="2"/>
  <c r="BV35" i="2"/>
  <c r="U35" i="2"/>
  <c r="EE35" i="2"/>
  <c r="AD46" i="2"/>
  <c r="AS35" i="2"/>
  <c r="BK46" i="2"/>
  <c r="CN35" i="2"/>
  <c r="AU35" i="2"/>
  <c r="CP35" i="2"/>
  <c r="EJ35" i="2"/>
  <c r="BT35" i="2"/>
  <c r="M35" i="2"/>
  <c r="DE35" i="2"/>
  <c r="BR35" i="2"/>
  <c r="CL35" i="2"/>
  <c r="DW35" i="2"/>
  <c r="AO35" i="2"/>
  <c r="CH35" i="2"/>
  <c r="BA35" i="2"/>
  <c r="AN35" i="2"/>
  <c r="DQ35" i="2"/>
  <c r="DF35" i="2"/>
  <c r="BJ35" i="2"/>
  <c r="CD35" i="2"/>
  <c r="BI35" i="2"/>
  <c r="EC35" i="2"/>
  <c r="EH35" i="2"/>
  <c r="CS117" i="2"/>
  <c r="CU35" i="2"/>
  <c r="EA35" i="2"/>
  <c r="AV35" i="2"/>
  <c r="L35" i="2"/>
  <c r="CT35" i="2"/>
  <c r="CQ35" i="2"/>
  <c r="CV35" i="2"/>
  <c r="CM35" i="2"/>
  <c r="AR35" i="2"/>
  <c r="CY35" i="2"/>
  <c r="CA35" i="2"/>
  <c r="W35" i="2"/>
  <c r="EL35" i="2"/>
  <c r="Z35" i="2"/>
  <c r="V35" i="2"/>
  <c r="CE35" i="2"/>
  <c r="DS35" i="2"/>
  <c r="EM46" i="2"/>
  <c r="DM35" i="2"/>
  <c r="EB35" i="2"/>
  <c r="CK35" i="2"/>
  <c r="BG35" i="2"/>
  <c r="Q35" i="2"/>
  <c r="DI35" i="2"/>
  <c r="DH35" i="2"/>
  <c r="EM35" i="2"/>
  <c r="T35" i="2"/>
  <c r="AB35" i="2"/>
  <c r="AI35" i="2"/>
  <c r="AS46" i="2"/>
  <c r="BO35" i="2"/>
  <c r="CZ35" i="2"/>
  <c r="AW35" i="2"/>
  <c r="BU35" i="2"/>
  <c r="CX35" i="2"/>
  <c r="DD35" i="2"/>
  <c r="CB35" i="2"/>
  <c r="DR46" i="2"/>
  <c r="DV35" i="2"/>
  <c r="S35" i="2"/>
  <c r="AA46" i="2"/>
  <c r="DT35" i="2"/>
  <c r="DL35" i="2"/>
  <c r="AC35" i="2"/>
  <c r="BD35" i="2"/>
  <c r="AH35" i="2"/>
  <c r="DP35" i="2"/>
  <c r="CG35" i="2"/>
  <c r="EF35" i="2"/>
  <c r="DK35" i="2"/>
  <c r="AE35" i="2"/>
  <c r="AQ35" i="2"/>
  <c r="P35" i="2"/>
  <c r="BB35" i="2"/>
  <c r="AK35" i="2"/>
  <c r="O35" i="2"/>
  <c r="BM35" i="2"/>
  <c r="EI35" i="2"/>
  <c r="CD46" i="2"/>
  <c r="K118" i="9"/>
  <c r="K90" i="9"/>
  <c r="K117" i="9"/>
  <c r="K119" i="9"/>
  <c r="GP105" i="2"/>
  <c r="K120" i="9"/>
  <c r="FL105" i="2"/>
  <c r="DG35" i="2"/>
  <c r="BJ46" i="2"/>
  <c r="CK46" i="2"/>
  <c r="FX105" i="2"/>
  <c r="V46" i="2"/>
  <c r="DY46" i="2"/>
  <c r="BX46" i="2"/>
  <c r="N46" i="2"/>
  <c r="JE43" i="2"/>
  <c r="GJ43" i="2"/>
  <c r="GK105" i="2"/>
  <c r="HQ105" i="2"/>
  <c r="AK118" i="9"/>
  <c r="IB105" i="2"/>
  <c r="JT105" i="2"/>
  <c r="FU105" i="2"/>
  <c r="W46" i="2"/>
  <c r="DV46" i="2"/>
  <c r="CE46" i="2"/>
  <c r="L118" i="9"/>
  <c r="EN46" i="2"/>
  <c r="AK119" i="9"/>
  <c r="MY42" i="2"/>
  <c r="HI105" i="2"/>
  <c r="J118" i="9"/>
  <c r="HH105" i="2"/>
  <c r="J121" i="9"/>
  <c r="AQ46" i="2"/>
  <c r="JJ105" i="2"/>
  <c r="BE117" i="2"/>
  <c r="JX41" i="2"/>
  <c r="JP41" i="2"/>
  <c r="E13" i="1"/>
  <c r="GW105" i="2"/>
  <c r="HN105" i="2"/>
  <c r="GV105" i="2"/>
  <c r="P125" i="9"/>
  <c r="GP43" i="2"/>
  <c r="T91" i="9"/>
  <c r="IP105" i="2"/>
  <c r="CP129" i="9"/>
  <c r="CP127" i="9" s="1"/>
  <c r="EZ105" i="2"/>
  <c r="DM125" i="9"/>
  <c r="CK91" i="9"/>
  <c r="EC46" i="2"/>
  <c r="CR125" i="9"/>
  <c r="IC105" i="2"/>
  <c r="HQ195" i="2"/>
  <c r="EA46" i="2"/>
  <c r="GS43" i="2"/>
  <c r="HV43" i="2"/>
  <c r="FK43" i="2"/>
  <c r="IT43" i="2"/>
  <c r="FM105" i="2"/>
  <c r="IO105" i="2"/>
  <c r="CZ46" i="2"/>
  <c r="DQ46" i="2"/>
  <c r="GN105" i="2"/>
  <c r="AB46" i="2"/>
  <c r="DN46" i="2"/>
  <c r="JE105" i="2"/>
  <c r="AU46" i="2"/>
  <c r="AG46" i="2"/>
  <c r="GJ42" i="2"/>
  <c r="IJ105" i="2"/>
  <c r="BW46" i="2"/>
  <c r="IV105" i="2"/>
  <c r="GB105" i="2"/>
  <c r="DP115" i="2"/>
  <c r="HT105" i="2"/>
  <c r="HX105" i="2"/>
  <c r="AY46" i="2"/>
  <c r="DJ140" i="9"/>
  <c r="FT105" i="2"/>
  <c r="AG91" i="9"/>
  <c r="GM105" i="2"/>
  <c r="DL125" i="9"/>
  <c r="II105" i="2"/>
  <c r="DP117" i="2"/>
  <c r="AK121" i="9"/>
  <c r="GH105" i="2"/>
  <c r="AK90" i="9"/>
  <c r="FD105" i="2"/>
  <c r="AK117" i="9"/>
  <c r="IU41" i="2"/>
  <c r="JQ41" i="2"/>
  <c r="GP41" i="2"/>
  <c r="IG41" i="2"/>
  <c r="HJ105" i="2"/>
  <c r="BM129" i="9"/>
  <c r="BM127" i="9" s="1"/>
  <c r="AJ126" i="9"/>
  <c r="AJ149" i="9" s="1"/>
  <c r="HF105" i="2"/>
  <c r="T126" i="9"/>
  <c r="T149" i="9" s="1"/>
  <c r="DT129" i="9"/>
  <c r="DT127" i="9" s="1"/>
  <c r="CT129" i="9"/>
  <c r="CT127" i="9" s="1"/>
  <c r="CH129" i="9"/>
  <c r="CH127" i="9" s="1"/>
  <c r="AM129" i="9"/>
  <c r="AM127" i="9" s="1"/>
  <c r="AN46" i="2"/>
  <c r="CE129" i="9"/>
  <c r="CE127" i="9" s="1"/>
  <c r="AO126" i="9"/>
  <c r="AO149" i="9" s="1"/>
  <c r="BU105" i="2"/>
  <c r="IX105" i="2"/>
  <c r="GF105" i="2"/>
  <c r="IE105" i="2"/>
  <c r="IF105" i="2"/>
  <c r="U46" i="2"/>
  <c r="CT91" i="9"/>
  <c r="DP91" i="9"/>
  <c r="HW105" i="2"/>
  <c r="GY105" i="2"/>
  <c r="IR105" i="2"/>
  <c r="BI91" i="9"/>
  <c r="DJ91" i="9"/>
  <c r="AV125" i="9"/>
  <c r="FI105" i="2"/>
  <c r="HL105" i="2"/>
  <c r="JD105" i="2"/>
  <c r="JM105" i="2"/>
  <c r="BE114" i="2"/>
  <c r="GU105" i="2"/>
  <c r="EY105" i="2"/>
  <c r="NH104" i="2"/>
  <c r="FP105" i="2"/>
  <c r="AX110" i="2"/>
  <c r="JL105" i="2"/>
  <c r="DP111" i="2"/>
  <c r="HG105" i="2"/>
  <c r="DP110" i="2"/>
  <c r="CB91" i="9"/>
  <c r="DP114" i="2"/>
  <c r="JN105" i="2"/>
  <c r="CQ110" i="2"/>
  <c r="DC46" i="2"/>
  <c r="CF46" i="2"/>
  <c r="CQ109" i="2"/>
  <c r="GL41" i="2"/>
  <c r="BB41" i="2" s="1"/>
  <c r="ID105" i="2"/>
  <c r="BD46" i="2"/>
  <c r="X46" i="2"/>
  <c r="JX43" i="2"/>
  <c r="FL43" i="2"/>
  <c r="FG43" i="2"/>
  <c r="HX43" i="2"/>
  <c r="HU43" i="2"/>
  <c r="HI43" i="2"/>
  <c r="IF43" i="2"/>
  <c r="JM43" i="2"/>
  <c r="CJ115" i="2"/>
  <c r="HH43" i="2"/>
  <c r="JF43" i="2"/>
  <c r="GD43" i="2"/>
  <c r="IH43" i="2"/>
  <c r="GL43" i="2"/>
  <c r="JB43" i="2"/>
  <c r="CJ113" i="2"/>
  <c r="BE125" i="9"/>
  <c r="EY43" i="2"/>
  <c r="JG43" i="2"/>
  <c r="IY43" i="2"/>
  <c r="HS43" i="2"/>
  <c r="JR43" i="2"/>
  <c r="FZ43" i="2"/>
  <c r="BF46" i="2"/>
  <c r="EJ46" i="2"/>
  <c r="IZ43" i="2"/>
  <c r="JP105" i="2"/>
  <c r="DU46" i="2"/>
  <c r="JP43" i="2"/>
  <c r="FT43" i="2"/>
  <c r="GR43" i="2"/>
  <c r="JI43" i="2"/>
  <c r="GI43" i="2"/>
  <c r="R91" i="9"/>
  <c r="IU43" i="2"/>
  <c r="FB43" i="2"/>
  <c r="BW31" i="2"/>
  <c r="FS43" i="2"/>
  <c r="CS91" i="9"/>
  <c r="IB43" i="2"/>
  <c r="FW43" i="2"/>
  <c r="GT105" i="2"/>
  <c r="AF46" i="2"/>
  <c r="DR105" i="2"/>
  <c r="CX46" i="2"/>
  <c r="BR118" i="9"/>
  <c r="HZ41" i="2"/>
  <c r="BR120" i="9"/>
  <c r="GA41" i="2"/>
  <c r="JI41" i="2"/>
  <c r="FP41" i="2"/>
  <c r="IY41" i="2"/>
  <c r="BR121" i="9"/>
  <c r="FW105" i="2"/>
  <c r="Q91" i="9"/>
  <c r="GJ41" i="2"/>
  <c r="FL41" i="2"/>
  <c r="FG41" i="2"/>
  <c r="IX41" i="2"/>
  <c r="HZ105" i="2"/>
  <c r="LC104" i="2"/>
  <c r="BQ46" i="2"/>
  <c r="JO41" i="2"/>
  <c r="GR41" i="2"/>
  <c r="LB104" i="2"/>
  <c r="FH105" i="2"/>
  <c r="FB41" i="2"/>
  <c r="FA41" i="2"/>
  <c r="JF41" i="2"/>
  <c r="JR41" i="2"/>
  <c r="FT41" i="2"/>
  <c r="GS41" i="2"/>
  <c r="NV104" i="2"/>
  <c r="FZ41" i="2"/>
  <c r="JE41" i="2"/>
  <c r="GD41" i="2"/>
  <c r="MB104" i="2"/>
  <c r="DB115" i="2"/>
  <c r="DQ91" i="9"/>
  <c r="AC46" i="2"/>
  <c r="IT41" i="2"/>
  <c r="HS41" i="2"/>
  <c r="JH41" i="2"/>
  <c r="LE104" i="2"/>
  <c r="DS46" i="2"/>
  <c r="HH41" i="2"/>
  <c r="GW41" i="2"/>
  <c r="HY41" i="2"/>
  <c r="GF41" i="2"/>
  <c r="GT41" i="2"/>
  <c r="KU104" i="2"/>
  <c r="JG41" i="2"/>
  <c r="BR90" i="9"/>
  <c r="BR93" i="9" s="1"/>
  <c r="BS73" i="9" s="1"/>
  <c r="HE105" i="2"/>
  <c r="HV41" i="2"/>
  <c r="IF41" i="2"/>
  <c r="EV105" i="2"/>
  <c r="ME104" i="2"/>
  <c r="DD91" i="9"/>
  <c r="EY41" i="2"/>
  <c r="BR119" i="9"/>
  <c r="KJ104" i="2"/>
  <c r="II41" i="2"/>
  <c r="JL41" i="2"/>
  <c r="FJ41" i="2"/>
  <c r="KX104" i="2"/>
  <c r="KS44" i="2"/>
  <c r="DB117" i="2"/>
  <c r="FA43" i="2"/>
  <c r="Q43" i="2" s="1"/>
  <c r="HY43" i="2"/>
  <c r="JL43" i="2"/>
  <c r="JH43" i="2"/>
  <c r="FB44" i="2"/>
  <c r="LJ104" i="2"/>
  <c r="DB114" i="2"/>
  <c r="FC105" i="2"/>
  <c r="BE109" i="2"/>
  <c r="DB111" i="2"/>
  <c r="EK109" i="2"/>
  <c r="NG44" i="2"/>
  <c r="JO43" i="2"/>
  <c r="JG105" i="2"/>
  <c r="OR104" i="2"/>
  <c r="DQ105" i="2"/>
  <c r="CV105" i="2"/>
  <c r="BD105" i="2"/>
  <c r="CV140" i="9"/>
  <c r="NV44" i="2"/>
  <c r="GZ105" i="2"/>
  <c r="FL42" i="2"/>
  <c r="OK44" i="2"/>
  <c r="KJ44" i="2"/>
  <c r="KT44" i="2"/>
  <c r="NJ44" i="2"/>
  <c r="OQ44" i="2"/>
  <c r="DB116" i="2"/>
  <c r="DB112" i="2"/>
  <c r="DG46" i="2"/>
  <c r="FP43" i="2"/>
  <c r="II43" i="2"/>
  <c r="GW43" i="2"/>
  <c r="HZ43" i="2"/>
  <c r="HW37" i="2"/>
  <c r="EZ41" i="2"/>
  <c r="CQ125" i="9"/>
  <c r="JU43" i="2"/>
  <c r="EV43" i="2"/>
  <c r="EZ43" i="2"/>
  <c r="JJ43" i="2"/>
  <c r="AJ108" i="2"/>
  <c r="GC42" i="2"/>
  <c r="BZ46" i="2"/>
  <c r="AH46" i="2"/>
  <c r="AM126" i="9"/>
  <c r="AM149" i="9" s="1"/>
  <c r="L120" i="9"/>
  <c r="BZ105" i="9"/>
  <c r="BZ106" i="9" s="1"/>
  <c r="CS46" i="2"/>
  <c r="EA110" i="2"/>
  <c r="BA111" i="2"/>
  <c r="L121" i="9"/>
  <c r="HW43" i="2"/>
  <c r="FJ43" i="2"/>
  <c r="FY105" i="2"/>
  <c r="IY105" i="2"/>
  <c r="AP46" i="2"/>
  <c r="DT46" i="2"/>
  <c r="AM91" i="9"/>
  <c r="EA109" i="2"/>
  <c r="BA115" i="2"/>
  <c r="EA108" i="2"/>
  <c r="CH105" i="9"/>
  <c r="CH106" i="9" s="1"/>
  <c r="BH46" i="2"/>
  <c r="R105" i="2"/>
  <c r="BC105" i="2"/>
  <c r="DU140" i="9"/>
  <c r="BA116" i="2"/>
  <c r="BA114" i="2"/>
  <c r="IE43" i="2"/>
  <c r="X125" i="9"/>
  <c r="BA113" i="2"/>
  <c r="AU140" i="9"/>
  <c r="DH105" i="9"/>
  <c r="DH106" i="9" s="1"/>
  <c r="HO105" i="2"/>
  <c r="BA112" i="2"/>
  <c r="EA114" i="2"/>
  <c r="BJ112" i="2"/>
  <c r="AP91" i="9"/>
  <c r="CP105" i="9"/>
  <c r="CP106" i="9" s="1"/>
  <c r="DL105" i="9"/>
  <c r="DL106" i="9" s="1"/>
  <c r="L117" i="9"/>
  <c r="BA117" i="2"/>
  <c r="EA113" i="2"/>
  <c r="L90" i="9"/>
  <c r="DF46" i="2"/>
  <c r="EA111" i="2"/>
  <c r="BA110" i="2"/>
  <c r="EK113" i="2"/>
  <c r="CY46" i="2"/>
  <c r="FA105" i="2"/>
  <c r="EA117" i="2"/>
  <c r="EG46" i="2"/>
  <c r="BA109" i="2"/>
  <c r="GR105" i="2"/>
  <c r="FL36" i="2"/>
  <c r="CO46" i="2"/>
  <c r="FG105" i="2"/>
  <c r="IX44" i="2"/>
  <c r="GD36" i="2"/>
  <c r="HY44" i="2"/>
  <c r="LC45" i="2"/>
  <c r="EC115" i="2"/>
  <c r="BM91" i="9"/>
  <c r="AX140" i="9"/>
  <c r="W91" i="9"/>
  <c r="JV105" i="2"/>
  <c r="GJ36" i="2"/>
  <c r="BU46" i="2"/>
  <c r="BE108" i="2"/>
  <c r="HS36" i="2"/>
  <c r="BE115" i="2"/>
  <c r="AA126" i="9"/>
  <c r="AA149" i="9" s="1"/>
  <c r="JX44" i="2"/>
  <c r="AA129" i="9"/>
  <c r="AA127" i="9" s="1"/>
  <c r="FT44" i="2"/>
  <c r="HX37" i="2"/>
  <c r="FO105" i="2"/>
  <c r="JB44" i="2"/>
  <c r="NR104" i="2"/>
  <c r="BF105" i="2"/>
  <c r="EH105" i="2"/>
  <c r="CA91" i="9"/>
  <c r="R46" i="2"/>
  <c r="FP44" i="2"/>
  <c r="GD37" i="2"/>
  <c r="HZ44" i="2"/>
  <c r="GU44" i="2"/>
  <c r="CT46" i="2"/>
  <c r="NZ42" i="2"/>
  <c r="MH42" i="2"/>
  <c r="BY46" i="2"/>
  <c r="AT105" i="2"/>
  <c r="EK105" i="2"/>
  <c r="BH115" i="2"/>
  <c r="NK42" i="2"/>
  <c r="LA42" i="2"/>
  <c r="LO42" i="2"/>
  <c r="GJ44" i="2"/>
  <c r="HZ37" i="2"/>
  <c r="JR44" i="2"/>
  <c r="JL37" i="2"/>
  <c r="GM37" i="2"/>
  <c r="IT105" i="2"/>
  <c r="BH112" i="2"/>
  <c r="NM42" i="2"/>
  <c r="AM46" i="2"/>
  <c r="FP36" i="2"/>
  <c r="JF44" i="2"/>
  <c r="AO129" i="9"/>
  <c r="AO127" i="9" s="1"/>
  <c r="HT42" i="2"/>
  <c r="IK105" i="2"/>
  <c r="KR104" i="2"/>
  <c r="BH110" i="2"/>
  <c r="OP42" i="2"/>
  <c r="PG42" i="2"/>
  <c r="GW44" i="2"/>
  <c r="JL44" i="2"/>
  <c r="EL46" i="2"/>
  <c r="HV105" i="2"/>
  <c r="BE46" i="2"/>
  <c r="BH116" i="2"/>
  <c r="PF42" i="2"/>
  <c r="BX125" i="9"/>
  <c r="CQ46" i="2"/>
  <c r="FL44" i="2"/>
  <c r="GP44" i="2"/>
  <c r="FG44" i="2"/>
  <c r="OK42" i="2"/>
  <c r="BH114" i="2"/>
  <c r="NH42" i="2"/>
  <c r="BU91" i="9"/>
  <c r="DI46" i="2"/>
  <c r="IU44" i="2"/>
  <c r="JI44" i="2"/>
  <c r="JE44" i="2"/>
  <c r="GS44" i="2"/>
  <c r="AH105" i="2"/>
  <c r="OU42" i="2"/>
  <c r="ML42" i="2"/>
  <c r="DH46" i="2"/>
  <c r="EK117" i="2"/>
  <c r="EY36" i="2"/>
  <c r="AT46" i="2"/>
  <c r="OT42" i="2"/>
  <c r="EC114" i="2"/>
  <c r="OX42" i="2"/>
  <c r="EK111" i="2"/>
  <c r="HV37" i="2"/>
  <c r="GS105" i="2"/>
  <c r="ON42" i="2"/>
  <c r="OD42" i="2"/>
  <c r="NV42" i="2"/>
  <c r="DE110" i="2"/>
  <c r="C8" i="7"/>
  <c r="C22" i="7" s="1"/>
  <c r="BL125" i="9"/>
  <c r="BD117" i="2"/>
  <c r="CD105" i="2"/>
  <c r="EC110" i="2"/>
  <c r="ND41" i="2"/>
  <c r="JI105" i="2"/>
  <c r="CG91" i="9"/>
  <c r="EC108" i="2"/>
  <c r="JR105" i="2"/>
  <c r="LM42" i="2"/>
  <c r="CV91" i="9"/>
  <c r="BV105" i="2"/>
  <c r="EC116" i="2"/>
  <c r="OQ42" i="2"/>
  <c r="ED46" i="2"/>
  <c r="BP46" i="2"/>
  <c r="OG42" i="2"/>
  <c r="BE110" i="2"/>
  <c r="EC117" i="2"/>
  <c r="DE117" i="2"/>
  <c r="IW105" i="2"/>
  <c r="BD114" i="2"/>
  <c r="BD108" i="2"/>
  <c r="PB42" i="2"/>
  <c r="EC111" i="2"/>
  <c r="CG114" i="2"/>
  <c r="HU105" i="2"/>
  <c r="JU105" i="2"/>
  <c r="HA105" i="2"/>
  <c r="BD110" i="2"/>
  <c r="BG46" i="2"/>
  <c r="CG109" i="2"/>
  <c r="BE113" i="2"/>
  <c r="JS105" i="2"/>
  <c r="GI105" i="2"/>
  <c r="CG46" i="2"/>
  <c r="CG108" i="2"/>
  <c r="BD115" i="2"/>
  <c r="CG111" i="2"/>
  <c r="DK111" i="2"/>
  <c r="CG110" i="2"/>
  <c r="DS105" i="2"/>
  <c r="EC113" i="2"/>
  <c r="BD112" i="2"/>
  <c r="DK113" i="2"/>
  <c r="BE116" i="2"/>
  <c r="CL46" i="2"/>
  <c r="GD105" i="2"/>
  <c r="BD111" i="2"/>
  <c r="L26" i="1"/>
  <c r="DE108" i="2"/>
  <c r="CG117" i="2"/>
  <c r="GA105" i="2"/>
  <c r="AE105" i="2"/>
  <c r="AI105" i="2"/>
  <c r="EC112" i="2"/>
  <c r="AX91" i="9"/>
  <c r="DE109" i="2"/>
  <c r="MO45" i="2"/>
  <c r="HX44" i="2"/>
  <c r="JM42" i="2"/>
  <c r="CM31" i="2"/>
  <c r="NY45" i="2"/>
  <c r="CU46" i="2"/>
  <c r="MJ45" i="2"/>
  <c r="BE105" i="2"/>
  <c r="EL105" i="2"/>
  <c r="Q105" i="2"/>
  <c r="AX115" i="2"/>
  <c r="DK110" i="2"/>
  <c r="AT116" i="2"/>
  <c r="DK112" i="2"/>
  <c r="J120" i="9"/>
  <c r="JA105" i="2"/>
  <c r="CA117" i="2"/>
  <c r="LQ45" i="2"/>
  <c r="AW91" i="9"/>
  <c r="AX112" i="2"/>
  <c r="DK109" i="2"/>
  <c r="AR140" i="9"/>
  <c r="DE140" i="9"/>
  <c r="NA45" i="2"/>
  <c r="AQ31" i="2"/>
  <c r="AX117" i="2"/>
  <c r="BC46" i="2"/>
  <c r="DK114" i="2"/>
  <c r="DB46" i="2"/>
  <c r="OO36" i="2"/>
  <c r="DK117" i="2"/>
  <c r="LN45" i="2"/>
  <c r="CA46" i="2"/>
  <c r="IG105" i="2"/>
  <c r="DU91" i="9"/>
  <c r="ME36" i="2"/>
  <c r="JH105" i="2"/>
  <c r="BG91" i="9"/>
  <c r="BE111" i="2"/>
  <c r="NU36" i="2"/>
  <c r="OQ45" i="2"/>
  <c r="CA116" i="2"/>
  <c r="PD36" i="2"/>
  <c r="ON45" i="2"/>
  <c r="OH45" i="2"/>
  <c r="FE105" i="2"/>
  <c r="HO43" i="2"/>
  <c r="AS110" i="2"/>
  <c r="J117" i="9"/>
  <c r="BE112" i="2"/>
  <c r="LB45" i="2"/>
  <c r="KP45" i="2"/>
  <c r="DK116" i="2"/>
  <c r="J119" i="9"/>
  <c r="NT36" i="2"/>
  <c r="AT117" i="2"/>
  <c r="KJ36" i="2"/>
  <c r="MQ36" i="2"/>
  <c r="FF105" i="2"/>
  <c r="LM44" i="2"/>
  <c r="DK115" i="2"/>
  <c r="AW116" i="2"/>
  <c r="AW114" i="2"/>
  <c r="AQ140" i="9"/>
  <c r="AW112" i="2"/>
  <c r="AW110" i="2"/>
  <c r="AW109" i="2"/>
  <c r="AW117" i="2"/>
  <c r="AW113" i="2"/>
  <c r="PG45" i="2"/>
  <c r="BX129" i="9"/>
  <c r="BX127" i="9" s="1"/>
  <c r="NZ45" i="2"/>
  <c r="ML45" i="2"/>
  <c r="ML104" i="2"/>
  <c r="OV104" i="2"/>
  <c r="OY104" i="2"/>
  <c r="MH104" i="2"/>
  <c r="PD104" i="2"/>
  <c r="PC45" i="2"/>
  <c r="MF103" i="2"/>
  <c r="LV45" i="2"/>
  <c r="MR103" i="2"/>
  <c r="LD104" i="2"/>
  <c r="NY104" i="2"/>
  <c r="LH104" i="2"/>
  <c r="OD104" i="2"/>
  <c r="NL45" i="2"/>
  <c r="KN103" i="2"/>
  <c r="KO41" i="2"/>
  <c r="EK110" i="2"/>
  <c r="MG45" i="2"/>
  <c r="CI105" i="2"/>
  <c r="MN103" i="2"/>
  <c r="EK115" i="2"/>
  <c r="NB45" i="2"/>
  <c r="LF45" i="2"/>
  <c r="NW45" i="2"/>
  <c r="PH104" i="2"/>
  <c r="MR104" i="2"/>
  <c r="KY104" i="2"/>
  <c r="DL129" i="9"/>
  <c r="DL127" i="9" s="1"/>
  <c r="MK36" i="2"/>
  <c r="EY42" i="2"/>
  <c r="OA36" i="2"/>
  <c r="OB45" i="2"/>
  <c r="Z126" i="9"/>
  <c r="Z149" i="9" s="1"/>
  <c r="CV46" i="2"/>
  <c r="GO105" i="2"/>
  <c r="OI104" i="2"/>
  <c r="KH104" i="2"/>
  <c r="ND104" i="2"/>
  <c r="LK104" i="2"/>
  <c r="PE45" i="2"/>
  <c r="EK112" i="2"/>
  <c r="IF42" i="2"/>
  <c r="OK104" i="2"/>
  <c r="BU129" i="9"/>
  <c r="BU127" i="9" s="1"/>
  <c r="OY36" i="2"/>
  <c r="OI45" i="2"/>
  <c r="IC42" i="2"/>
  <c r="LE45" i="2"/>
  <c r="P126" i="9"/>
  <c r="P149" i="9" s="1"/>
  <c r="JB105" i="2"/>
  <c r="LP104" i="2"/>
  <c r="LR104" i="2"/>
  <c r="OZ104" i="2"/>
  <c r="LW104" i="2"/>
  <c r="KM45" i="2"/>
  <c r="BR105" i="2"/>
  <c r="BG105" i="2"/>
  <c r="DI105" i="2"/>
  <c r="EK116" i="2"/>
  <c r="NU104" i="2"/>
  <c r="OJ104" i="2"/>
  <c r="MD104" i="2"/>
  <c r="KK104" i="2"/>
  <c r="MU104" i="2"/>
  <c r="EM105" i="2"/>
  <c r="Y105" i="2"/>
  <c r="AP105" i="2"/>
  <c r="BX105" i="2"/>
  <c r="NZ104" i="2"/>
  <c r="EJ105" i="2"/>
  <c r="LM45" i="2"/>
  <c r="F129" i="9"/>
  <c r="F127" i="9" s="1"/>
  <c r="OS45" i="2"/>
  <c r="KQ104" i="2"/>
  <c r="OS104" i="2"/>
  <c r="OL104" i="2"/>
  <c r="LU104" i="2"/>
  <c r="LX104" i="2"/>
  <c r="DX105" i="2"/>
  <c r="DO105" i="2"/>
  <c r="CR93" i="9"/>
  <c r="CS73" i="9" s="1"/>
  <c r="GS42" i="2"/>
  <c r="NW104" i="2"/>
  <c r="NI104" i="2"/>
  <c r="KW104" i="2"/>
  <c r="OE104" i="2"/>
  <c r="N105" i="2"/>
  <c r="CG129" i="9"/>
  <c r="CG127" i="9" s="1"/>
  <c r="LK45" i="2"/>
  <c r="NM45" i="2"/>
  <c r="BZ129" i="9"/>
  <c r="BZ127" i="9" s="1"/>
  <c r="NJ45" i="2"/>
  <c r="KG45" i="2"/>
  <c r="BL129" i="9"/>
  <c r="BL127" i="9" s="1"/>
  <c r="MD45" i="2"/>
  <c r="IU105" i="2"/>
  <c r="PE104" i="2"/>
  <c r="OT104" i="2"/>
  <c r="OX104" i="2"/>
  <c r="NE104" i="2"/>
  <c r="MJ104" i="2"/>
  <c r="AU105" i="2"/>
  <c r="AB105" i="2"/>
  <c r="CM105" i="2"/>
  <c r="BP105" i="2"/>
  <c r="DC105" i="2"/>
  <c r="BK105" i="2"/>
  <c r="HE43" i="2"/>
  <c r="EK114" i="2"/>
  <c r="DC112" i="2"/>
  <c r="DC114" i="2"/>
  <c r="DC117" i="2"/>
  <c r="DC108" i="2"/>
  <c r="CW140" i="9"/>
  <c r="DC110" i="2"/>
  <c r="DC116" i="2"/>
  <c r="DC111" i="2"/>
  <c r="DC115" i="2"/>
  <c r="DC109" i="2"/>
  <c r="DC113" i="2"/>
  <c r="HS42" i="2"/>
  <c r="IX42" i="2"/>
  <c r="GR42" i="2"/>
  <c r="G126" i="9"/>
  <c r="G149" i="9" s="1"/>
  <c r="HP105" i="2"/>
  <c r="W126" i="9"/>
  <c r="W149" i="9" s="1"/>
  <c r="BR46" i="2"/>
  <c r="IY42" i="2"/>
  <c r="DF105" i="9"/>
  <c r="DF106" i="9" s="1"/>
  <c r="JL42" i="2"/>
  <c r="DH129" i="9"/>
  <c r="DH127" i="9" s="1"/>
  <c r="NY44" i="2"/>
  <c r="DV105" i="9"/>
  <c r="DV106" i="9" s="1"/>
  <c r="CO105" i="9"/>
  <c r="CO106" i="9" s="1"/>
  <c r="JI42" i="2"/>
  <c r="GP42" i="2"/>
  <c r="BM46" i="2"/>
  <c r="JP37" i="2"/>
  <c r="DF129" i="9"/>
  <c r="DF127" i="9" s="1"/>
  <c r="LT44" i="2"/>
  <c r="BN129" i="9"/>
  <c r="BN127" i="9" s="1"/>
  <c r="BI129" i="9"/>
  <c r="BI127" i="9" s="1"/>
  <c r="JH42" i="2"/>
  <c r="CU105" i="9"/>
  <c r="CU106" i="9" s="1"/>
  <c r="LR45" i="2"/>
  <c r="JV42" i="2"/>
  <c r="LN104" i="2"/>
  <c r="LQ104" i="2"/>
  <c r="MQ104" i="2"/>
  <c r="NQ104" i="2"/>
  <c r="OQ104" i="2"/>
  <c r="KY45" i="2"/>
  <c r="LY45" i="2"/>
  <c r="CW105" i="2"/>
  <c r="LC42" i="2"/>
  <c r="CM91" i="9"/>
  <c r="DK46" i="2"/>
  <c r="DV129" i="9"/>
  <c r="DV127" i="9" s="1"/>
  <c r="CO129" i="9"/>
  <c r="CO127" i="9" s="1"/>
  <c r="FP42" i="2"/>
  <c r="FZ37" i="2"/>
  <c r="CY31" i="2"/>
  <c r="JR42" i="2"/>
  <c r="JT42" i="2"/>
  <c r="DB105" i="9"/>
  <c r="DB106" i="9" s="1"/>
  <c r="GF42" i="2"/>
  <c r="HU42" i="2"/>
  <c r="FN37" i="2"/>
  <c r="NP45" i="2"/>
  <c r="MM104" i="2"/>
  <c r="MY104" i="2"/>
  <c r="NM104" i="2"/>
  <c r="NM105" i="2" s="1"/>
  <c r="OM104" i="2"/>
  <c r="KL104" i="2"/>
  <c r="MQ45" i="2"/>
  <c r="AZ105" i="2"/>
  <c r="DU105" i="2"/>
  <c r="CZ105" i="2"/>
  <c r="EF105" i="2"/>
  <c r="EA105" i="2"/>
  <c r="DL105" i="2"/>
  <c r="CE105" i="9"/>
  <c r="CE106" i="9" s="1"/>
  <c r="BD129" i="9"/>
  <c r="BD127" i="9" s="1"/>
  <c r="JE42" i="2"/>
  <c r="F126" i="9"/>
  <c r="F149" i="9" s="1"/>
  <c r="JF42" i="2"/>
  <c r="MR44" i="2"/>
  <c r="IT42" i="2"/>
  <c r="Y126" i="9"/>
  <c r="Y149" i="9" s="1"/>
  <c r="DB129" i="9"/>
  <c r="DB127" i="9" s="1"/>
  <c r="GM42" i="2"/>
  <c r="GU42" i="2"/>
  <c r="CY129" i="9"/>
  <c r="CY127" i="9" s="1"/>
  <c r="MA45" i="2"/>
  <c r="ME45" i="2"/>
  <c r="BY105" i="2"/>
  <c r="IM105" i="2"/>
  <c r="HY105" i="2"/>
  <c r="CY105" i="9"/>
  <c r="CY106" i="9" s="1"/>
  <c r="LI103" i="2"/>
  <c r="KO42" i="2"/>
  <c r="U91" i="9"/>
  <c r="AX46" i="2"/>
  <c r="BP31" i="2"/>
  <c r="BU105" i="9"/>
  <c r="BU106" i="9" s="1"/>
  <c r="IB42" i="2"/>
  <c r="HY42" i="2"/>
  <c r="KQ44" i="2"/>
  <c r="G129" i="9"/>
  <c r="G127" i="9" s="1"/>
  <c r="BH129" i="9"/>
  <c r="BH127" i="9" s="1"/>
  <c r="L46" i="2"/>
  <c r="BP91" i="9"/>
  <c r="CS109" i="2"/>
  <c r="IU42" i="2"/>
  <c r="FG42" i="2"/>
  <c r="CB105" i="9"/>
  <c r="CB106" i="9" s="1"/>
  <c r="HW42" i="2"/>
  <c r="JJ42" i="2"/>
  <c r="HK42" i="2"/>
  <c r="FE42" i="2"/>
  <c r="IK42" i="2"/>
  <c r="PH103" i="2"/>
  <c r="NI41" i="2"/>
  <c r="DP116" i="2"/>
  <c r="CS115" i="2"/>
  <c r="DP108" i="2"/>
  <c r="DP109" i="2"/>
  <c r="DT105" i="9"/>
  <c r="DT106" i="9" s="1"/>
  <c r="IZ42" i="2"/>
  <c r="GD42" i="2"/>
  <c r="HZ42" i="2"/>
  <c r="CB129" i="9"/>
  <c r="CB127" i="9" s="1"/>
  <c r="DU105" i="9"/>
  <c r="DU106" i="9" s="1"/>
  <c r="FJ42" i="2"/>
  <c r="DN105" i="2"/>
  <c r="DP112" i="2"/>
  <c r="DJ105" i="9"/>
  <c r="DJ106" i="9" s="1"/>
  <c r="CG105" i="9"/>
  <c r="CG106" i="9" s="1"/>
  <c r="GL42" i="2"/>
  <c r="FT42" i="2"/>
  <c r="JX42" i="2"/>
  <c r="DJ129" i="9"/>
  <c r="DJ127" i="9" s="1"/>
  <c r="T129" i="9"/>
  <c r="T127" i="9" s="1"/>
  <c r="CT105" i="9"/>
  <c r="CT106" i="9" s="1"/>
  <c r="IB37" i="2"/>
  <c r="BX105" i="9"/>
  <c r="BX106" i="9" s="1"/>
  <c r="IZ37" i="2"/>
  <c r="JH37" i="2"/>
  <c r="BA129" i="9"/>
  <c r="BA127" i="9" s="1"/>
  <c r="EV37" i="2"/>
  <c r="AQ129" i="9"/>
  <c r="AQ127" i="9" s="1"/>
  <c r="Z31" i="2"/>
  <c r="LH44" i="2"/>
  <c r="PA45" i="2"/>
  <c r="AO105" i="2"/>
  <c r="GW42" i="2"/>
  <c r="EV42" i="2"/>
  <c r="AT129" i="9"/>
  <c r="AT127" i="9" s="1"/>
  <c r="IJ42" i="2"/>
  <c r="CZ42" i="2" s="1"/>
  <c r="DK105" i="9"/>
  <c r="DK106" i="9" s="1"/>
  <c r="BW105" i="2"/>
  <c r="U105" i="2"/>
  <c r="IS105" i="2"/>
  <c r="DB31" i="2"/>
  <c r="DO108" i="2"/>
  <c r="DO111" i="2"/>
  <c r="DO113" i="2"/>
  <c r="DI140" i="9"/>
  <c r="DO115" i="2"/>
  <c r="DO116" i="2"/>
  <c r="DO112" i="2"/>
  <c r="JI37" i="2"/>
  <c r="JO37" i="2"/>
  <c r="EE37" i="2" s="1"/>
  <c r="JR37" i="2"/>
  <c r="FT37" i="2"/>
  <c r="IC37" i="2"/>
  <c r="IF37" i="2"/>
  <c r="GR37" i="2"/>
  <c r="FJ37" i="2"/>
  <c r="FV37" i="2"/>
  <c r="DE46" i="2"/>
  <c r="EW105" i="2"/>
  <c r="IW37" i="2"/>
  <c r="EX37" i="2"/>
  <c r="GY37" i="2"/>
  <c r="DK105" i="2"/>
  <c r="CQ105" i="2"/>
  <c r="CD140" i="9"/>
  <c r="OP41" i="2"/>
  <c r="NS41" i="2"/>
  <c r="CQ113" i="2"/>
  <c r="AR46" i="2"/>
  <c r="AT115" i="2"/>
  <c r="HB105" i="2"/>
  <c r="HR105" i="2"/>
  <c r="FG37" i="2"/>
  <c r="HH37" i="2"/>
  <c r="GL37" i="2"/>
  <c r="GA37" i="2"/>
  <c r="IQ105" i="2"/>
  <c r="K33" i="1"/>
  <c r="NZ41" i="2"/>
  <c r="NE41" i="2"/>
  <c r="CK140" i="9"/>
  <c r="AT109" i="2"/>
  <c r="DT110" i="2"/>
  <c r="DM109" i="2"/>
  <c r="CS112" i="2"/>
  <c r="CJ111" i="2"/>
  <c r="JE37" i="2"/>
  <c r="II37" i="2"/>
  <c r="HT37" i="2"/>
  <c r="IE37" i="2"/>
  <c r="FE37" i="2"/>
  <c r="GC43" i="2"/>
  <c r="IK43" i="2"/>
  <c r="MU103" i="2"/>
  <c r="MH41" i="2"/>
  <c r="MQ41" i="2"/>
  <c r="AT113" i="2"/>
  <c r="AW108" i="2"/>
  <c r="DT114" i="2"/>
  <c r="DM108" i="2"/>
  <c r="CG115" i="2"/>
  <c r="CS110" i="2"/>
  <c r="CY140" i="9"/>
  <c r="CJ117" i="2"/>
  <c r="AF91" i="9"/>
  <c r="AT111" i="2"/>
  <c r="AW115" i="2"/>
  <c r="DT109" i="2"/>
  <c r="LV42" i="2"/>
  <c r="DM113" i="2"/>
  <c r="CG112" i="2"/>
  <c r="CS113" i="2"/>
  <c r="DW31" i="2"/>
  <c r="OH41" i="2"/>
  <c r="MW41" i="2"/>
  <c r="JX37" i="2"/>
  <c r="IU37" i="2"/>
  <c r="FC195" i="2"/>
  <c r="KZ36" i="2"/>
  <c r="GW37" i="2"/>
  <c r="JF45" i="2"/>
  <c r="FG36" i="2"/>
  <c r="JG37" i="2"/>
  <c r="GT37" i="2"/>
  <c r="EI105" i="2"/>
  <c r="CL105" i="2"/>
  <c r="FY41" i="2"/>
  <c r="LB103" i="2"/>
  <c r="LB105" i="2" s="1"/>
  <c r="ON41" i="2"/>
  <c r="MZ41" i="2"/>
  <c r="AT108" i="2"/>
  <c r="MX37" i="2"/>
  <c r="DT112" i="2"/>
  <c r="MB42" i="2"/>
  <c r="DM110" i="2"/>
  <c r="CG116" i="2"/>
  <c r="CS116" i="2"/>
  <c r="KO36" i="2"/>
  <c r="FW37" i="2"/>
  <c r="GU37" i="2"/>
  <c r="JB37" i="2"/>
  <c r="DM117" i="2"/>
  <c r="HI37" i="2"/>
  <c r="CT105" i="2"/>
  <c r="MX103" i="2"/>
  <c r="KZ41" i="2"/>
  <c r="LD41" i="2"/>
  <c r="CQ115" i="2"/>
  <c r="AN140" i="9"/>
  <c r="NT37" i="2"/>
  <c r="AW111" i="2"/>
  <c r="DT113" i="2"/>
  <c r="X31" i="2"/>
  <c r="DM111" i="2"/>
  <c r="CA140" i="9"/>
  <c r="CS111" i="2"/>
  <c r="DE113" i="2"/>
  <c r="IH105" i="2"/>
  <c r="DT115" i="2"/>
  <c r="DM114" i="2"/>
  <c r="CM140" i="9"/>
  <c r="DE116" i="2"/>
  <c r="FP37" i="2"/>
  <c r="GP37" i="2"/>
  <c r="IT37" i="2"/>
  <c r="IB45" i="2"/>
  <c r="IX37" i="2"/>
  <c r="GF37" i="2"/>
  <c r="IV37" i="2"/>
  <c r="CJ110" i="2"/>
  <c r="KP41" i="2"/>
  <c r="OJ41" i="2"/>
  <c r="CQ108" i="2"/>
  <c r="DM116" i="2"/>
  <c r="DE114" i="2"/>
  <c r="EY37" i="2"/>
  <c r="JF37" i="2"/>
  <c r="HG37" i="2"/>
  <c r="HS37" i="2"/>
  <c r="GS37" i="2"/>
  <c r="FK37" i="2"/>
  <c r="FS37" i="2"/>
  <c r="JM37" i="2"/>
  <c r="HU37" i="2"/>
  <c r="IH37" i="2"/>
  <c r="GC37" i="2"/>
  <c r="IO37" i="2"/>
  <c r="LS44" i="2"/>
  <c r="JK37" i="2"/>
  <c r="AY105" i="2"/>
  <c r="S105" i="2"/>
  <c r="X105" i="2"/>
  <c r="CJ109" i="2"/>
  <c r="MP41" i="2"/>
  <c r="OY41" i="2"/>
  <c r="CQ116" i="2"/>
  <c r="AT110" i="2"/>
  <c r="DM115" i="2"/>
  <c r="DE111" i="2"/>
  <c r="JQ37" i="2"/>
  <c r="IY37" i="2"/>
  <c r="CR46" i="2"/>
  <c r="JT37" i="2"/>
  <c r="JN37" i="2"/>
  <c r="DX46" i="2"/>
  <c r="JV37" i="2"/>
  <c r="HK37" i="2"/>
  <c r="FV43" i="2"/>
  <c r="IO43" i="2"/>
  <c r="JU37" i="2"/>
  <c r="CE105" i="2"/>
  <c r="CP105" i="2"/>
  <c r="AM105" i="2"/>
  <c r="CY105" i="2"/>
  <c r="EN105" i="2"/>
  <c r="CJ108" i="2"/>
  <c r="OL41" i="2"/>
  <c r="LW41" i="2"/>
  <c r="CQ114" i="2"/>
  <c r="AT114" i="2"/>
  <c r="DM112" i="2"/>
  <c r="CS114" i="2"/>
  <c r="DE112" i="2"/>
  <c r="GJ37" i="2"/>
  <c r="FL37" i="2"/>
  <c r="IG37" i="2"/>
  <c r="EH46" i="2"/>
  <c r="HY37" i="2"/>
  <c r="FR105" i="2"/>
  <c r="CN46" i="2"/>
  <c r="JJ37" i="2"/>
  <c r="IJ37" i="2"/>
  <c r="DA105" i="2"/>
  <c r="AN105" i="2"/>
  <c r="Z105" i="2"/>
  <c r="CJ112" i="2"/>
  <c r="OL103" i="2"/>
  <c r="OT41" i="2"/>
  <c r="LP41" i="2"/>
  <c r="AG31" i="2"/>
  <c r="MS44" i="2"/>
  <c r="M126" i="9"/>
  <c r="M149" i="9" s="1"/>
  <c r="LR103" i="2"/>
  <c r="OB103" i="2"/>
  <c r="NG103" i="2"/>
  <c r="LN103" i="2"/>
  <c r="NX103" i="2"/>
  <c r="NG37" i="2"/>
  <c r="KP37" i="2"/>
  <c r="MS37" i="2"/>
  <c r="LF42" i="2"/>
  <c r="OZ42" i="2"/>
  <c r="EF42" i="2" s="1"/>
  <c r="MT42" i="2"/>
  <c r="KM42" i="2"/>
  <c r="MZ42" i="2"/>
  <c r="GJ105" i="2"/>
  <c r="GM195" i="2"/>
  <c r="GW36" i="2"/>
  <c r="IY36" i="2"/>
  <c r="GK195" i="2"/>
  <c r="IL105" i="2"/>
  <c r="OQ37" i="2"/>
  <c r="GB37" i="2"/>
  <c r="OT37" i="2"/>
  <c r="KW37" i="2"/>
  <c r="JC105" i="2"/>
  <c r="HM37" i="2"/>
  <c r="EX105" i="2"/>
  <c r="NZ37" i="2"/>
  <c r="KK103" i="2"/>
  <c r="KI103" i="2"/>
  <c r="MJ103" i="2"/>
  <c r="NJ103" i="2"/>
  <c r="LQ103" i="2"/>
  <c r="AS108" i="2"/>
  <c r="LK37" i="2"/>
  <c r="MB37" i="2"/>
  <c r="AH31" i="2"/>
  <c r="DI91" i="9"/>
  <c r="OH42" i="2"/>
  <c r="LE42" i="2"/>
  <c r="MQ42" i="2"/>
  <c r="NL42" i="2"/>
  <c r="KK45" i="2"/>
  <c r="Q45" i="2" s="1"/>
  <c r="BZ105" i="2"/>
  <c r="M129" i="9"/>
  <c r="M127" i="9" s="1"/>
  <c r="LU103" i="2"/>
  <c r="NC103" i="2"/>
  <c r="MV103" i="2"/>
  <c r="OH103" i="2"/>
  <c r="MC103" i="2"/>
  <c r="AS111" i="2"/>
  <c r="OB37" i="2"/>
  <c r="MO37" i="2"/>
  <c r="MQ37" i="2"/>
  <c r="LH42" i="2"/>
  <c r="CH31" i="2"/>
  <c r="KJ42" i="2"/>
  <c r="KY42" i="2"/>
  <c r="OF42" i="2"/>
  <c r="LS42" i="2"/>
  <c r="AE129" i="9"/>
  <c r="AE127" i="9" s="1"/>
  <c r="V126" i="9"/>
  <c r="V149" i="9" s="1"/>
  <c r="JK42" i="2"/>
  <c r="KF45" i="2"/>
  <c r="NE103" i="2"/>
  <c r="KX103" i="2"/>
  <c r="NH103" i="2"/>
  <c r="OT103" i="2"/>
  <c r="MO103" i="2"/>
  <c r="GZ37" i="2"/>
  <c r="AF129" i="9"/>
  <c r="AF127" i="9" s="1"/>
  <c r="LN37" i="2"/>
  <c r="PE37" i="2"/>
  <c r="MN37" i="2"/>
  <c r="KH42" i="2"/>
  <c r="KS42" i="2"/>
  <c r="ME42" i="2"/>
  <c r="PH42" i="2"/>
  <c r="AM110" i="2"/>
  <c r="CJ116" i="2"/>
  <c r="GQ105" i="2"/>
  <c r="DE105" i="2"/>
  <c r="CB105" i="2"/>
  <c r="DJ105" i="2"/>
  <c r="ME103" i="2"/>
  <c r="MH103" i="2"/>
  <c r="NT103" i="2"/>
  <c r="MA103" i="2"/>
  <c r="NY103" i="2"/>
  <c r="BL46" i="2"/>
  <c r="OK37" i="2"/>
  <c r="MZ37" i="2"/>
  <c r="MW37" i="2"/>
  <c r="LQ42" i="2"/>
  <c r="NQ42" i="2"/>
  <c r="MV42" i="2"/>
  <c r="PA42" i="2"/>
  <c r="AM109" i="2"/>
  <c r="AJ46" i="2"/>
  <c r="GL36" i="2"/>
  <c r="NO103" i="2"/>
  <c r="OD103" i="2"/>
  <c r="PD103" i="2"/>
  <c r="NW103" i="2"/>
  <c r="OK103" i="2"/>
  <c r="KT37" i="2"/>
  <c r="KI37" i="2"/>
  <c r="LW37" i="2"/>
  <c r="OW42" i="2"/>
  <c r="MC42" i="2"/>
  <c r="PC42" i="2"/>
  <c r="MW42" i="2"/>
  <c r="KZ42" i="2"/>
  <c r="KW103" i="2"/>
  <c r="OP103" i="2"/>
  <c r="LA103" i="2"/>
  <c r="OI103" i="2"/>
  <c r="LE37" i="2"/>
  <c r="NF37" i="2"/>
  <c r="PH37" i="2"/>
  <c r="LR42" i="2"/>
  <c r="CH46" i="2"/>
  <c r="NY42" i="2"/>
  <c r="LN42" i="2"/>
  <c r="KR42" i="2"/>
  <c r="OC42" i="2"/>
  <c r="NC42" i="2"/>
  <c r="AM108" i="2"/>
  <c r="CV31" i="2"/>
  <c r="DE105" i="9"/>
  <c r="DE106" i="9" s="1"/>
  <c r="MS45" i="2"/>
  <c r="LS45" i="2"/>
  <c r="AS105" i="2"/>
  <c r="L105" i="2"/>
  <c r="HQ43" i="2"/>
  <c r="AU31" i="2"/>
  <c r="KJ103" i="2"/>
  <c r="MG103" i="2"/>
  <c r="PB103" i="2"/>
  <c r="MK103" i="2"/>
  <c r="OU103" i="2"/>
  <c r="IM42" i="2"/>
  <c r="LF37" i="2"/>
  <c r="NI37" i="2"/>
  <c r="NX37" i="2"/>
  <c r="MA42" i="2"/>
  <c r="OI42" i="2"/>
  <c r="LI42" i="2"/>
  <c r="MG42" i="2"/>
  <c r="NE42" i="2"/>
  <c r="IK37" i="2"/>
  <c r="GG37" i="2"/>
  <c r="OG45" i="2"/>
  <c r="NQ45" i="2"/>
  <c r="BO46" i="2"/>
  <c r="CG105" i="2"/>
  <c r="AK105" i="2"/>
  <c r="CF105" i="2"/>
  <c r="DT105" i="2"/>
  <c r="CR105" i="2"/>
  <c r="CN105" i="2"/>
  <c r="CA105" i="2"/>
  <c r="ID43" i="2"/>
  <c r="GE37" i="2"/>
  <c r="KT103" i="2"/>
  <c r="NZ103" i="2"/>
  <c r="LK103" i="2"/>
  <c r="NU103" i="2"/>
  <c r="PG103" i="2"/>
  <c r="KG41" i="2"/>
  <c r="NL41" i="2"/>
  <c r="OW37" i="2"/>
  <c r="PA37" i="2"/>
  <c r="LI37" i="2"/>
  <c r="KT42" i="2"/>
  <c r="MP42" i="2"/>
  <c r="KU42" i="2"/>
  <c r="OR42" i="2"/>
  <c r="KF42" i="2"/>
  <c r="MB36" i="2"/>
  <c r="CK31" i="2"/>
  <c r="DZ46" i="2"/>
  <c r="DG105" i="9"/>
  <c r="DG106" i="9" s="1"/>
  <c r="AJ105" i="2"/>
  <c r="CU105" i="2"/>
  <c r="GO37" i="2"/>
  <c r="HO37" i="2"/>
  <c r="OX103" i="2"/>
  <c r="LH103" i="2"/>
  <c r="LW103" i="2"/>
  <c r="KP103" i="2"/>
  <c r="LP103" i="2"/>
  <c r="LM37" i="2"/>
  <c r="MJ37" i="2"/>
  <c r="LS37" i="2"/>
  <c r="MR42" i="2"/>
  <c r="MD42" i="2"/>
  <c r="LD42" i="2"/>
  <c r="LW42" i="2"/>
  <c r="OA42" i="2"/>
  <c r="T46" i="2"/>
  <c r="DV31" i="2"/>
  <c r="Q31" i="2"/>
  <c r="GU41" i="2"/>
  <c r="EL31" i="2"/>
  <c r="PB43" i="2"/>
  <c r="GT44" i="2"/>
  <c r="LD44" i="2"/>
  <c r="NR44" i="2"/>
  <c r="BG129" i="9"/>
  <c r="BG127" i="9" s="1"/>
  <c r="IK44" i="2"/>
  <c r="BE129" i="9"/>
  <c r="BE127" i="9" s="1"/>
  <c r="CD105" i="9"/>
  <c r="CD106" i="9" s="1"/>
  <c r="DR129" i="9"/>
  <c r="DR127" i="9" s="1"/>
  <c r="HQ41" i="2"/>
  <c r="GZ43" i="2"/>
  <c r="CA113" i="2"/>
  <c r="JC37" i="2"/>
  <c r="BT105" i="9"/>
  <c r="BT106" i="9" s="1"/>
  <c r="CA109" i="2"/>
  <c r="BU140" i="9"/>
  <c r="JN44" i="2"/>
  <c r="JB41" i="2"/>
  <c r="HU44" i="2"/>
  <c r="DK129" i="9"/>
  <c r="DK127" i="9" s="1"/>
  <c r="P129" i="9"/>
  <c r="P127" i="9" s="1"/>
  <c r="LW43" i="2"/>
  <c r="DE129" i="9"/>
  <c r="DE127" i="9" s="1"/>
  <c r="IV41" i="2"/>
  <c r="NF44" i="2"/>
  <c r="KI44" i="2"/>
  <c r="LR44" i="2"/>
  <c r="OI44" i="2"/>
  <c r="JP36" i="2"/>
  <c r="PB45" i="2"/>
  <c r="KI45" i="2"/>
  <c r="OY45" i="2"/>
  <c r="DP105" i="2"/>
  <c r="EE105" i="2"/>
  <c r="AF105" i="2"/>
  <c r="NB103" i="2"/>
  <c r="OA103" i="2"/>
  <c r="MT103" i="2"/>
  <c r="LX103" i="2"/>
  <c r="OG103" i="2"/>
  <c r="NK103" i="2"/>
  <c r="KG103" i="2"/>
  <c r="JD37" i="2"/>
  <c r="AR31" i="2"/>
  <c r="GN37" i="2"/>
  <c r="KG37" i="2"/>
  <c r="CV105" i="9"/>
  <c r="CV106" i="9" s="1"/>
  <c r="HP37" i="2"/>
  <c r="CA110" i="2"/>
  <c r="BV105" i="9"/>
  <c r="BV106" i="9" s="1"/>
  <c r="GX37" i="2"/>
  <c r="M46" i="2"/>
  <c r="LT37" i="2"/>
  <c r="KX37" i="2"/>
  <c r="LP37" i="2"/>
  <c r="OA37" i="2"/>
  <c r="OO37" i="2"/>
  <c r="KU37" i="2"/>
  <c r="FV105" i="2"/>
  <c r="GC105" i="2"/>
  <c r="GL105" i="2"/>
  <c r="FN105" i="2"/>
  <c r="Q129" i="9"/>
  <c r="Q127" i="9" s="1"/>
  <c r="CQ112" i="2"/>
  <c r="CQ117" i="2"/>
  <c r="AS112" i="2"/>
  <c r="AS114" i="2"/>
  <c r="AS113" i="2"/>
  <c r="AS109" i="2"/>
  <c r="IU36" i="2"/>
  <c r="JI36" i="2"/>
  <c r="OG36" i="2"/>
  <c r="NS36" i="2"/>
  <c r="NL36" i="2"/>
  <c r="EV45" i="2"/>
  <c r="JQ36" i="2"/>
  <c r="JA36" i="2"/>
  <c r="N129" i="9"/>
  <c r="N127" i="9" s="1"/>
  <c r="BV129" i="9"/>
  <c r="BV127" i="9" s="1"/>
  <c r="IA105" i="2"/>
  <c r="BY129" i="9"/>
  <c r="BY127" i="9" s="1"/>
  <c r="GM41" i="2"/>
  <c r="JV41" i="2"/>
  <c r="OD36" i="2"/>
  <c r="NU44" i="2"/>
  <c r="X126" i="9"/>
  <c r="X149" i="9" s="1"/>
  <c r="NX45" i="2"/>
  <c r="KW45" i="2"/>
  <c r="MW45" i="2"/>
  <c r="NO45" i="2"/>
  <c r="BB105" i="2"/>
  <c r="BT105" i="2"/>
  <c r="ID42" i="2"/>
  <c r="AH129" i="9"/>
  <c r="AH127" i="9" s="1"/>
  <c r="BD31" i="2"/>
  <c r="AU129" i="9"/>
  <c r="AU127" i="9" s="1"/>
  <c r="BG31" i="2"/>
  <c r="BP105" i="9"/>
  <c r="BP106" i="9" s="1"/>
  <c r="IP37" i="2"/>
  <c r="KJ37" i="2"/>
  <c r="PF37" i="2"/>
  <c r="KZ37" i="2"/>
  <c r="NR37" i="2"/>
  <c r="NE37" i="2"/>
  <c r="LV37" i="2"/>
  <c r="HD105" i="2"/>
  <c r="HC105" i="2"/>
  <c r="DI105" i="9"/>
  <c r="DI106" i="9" s="1"/>
  <c r="BJ117" i="2"/>
  <c r="S31" i="2"/>
  <c r="BH117" i="2"/>
  <c r="BH113" i="2"/>
  <c r="BH109" i="2"/>
  <c r="BH111" i="2"/>
  <c r="DB110" i="2"/>
  <c r="DB113" i="2"/>
  <c r="DT117" i="2"/>
  <c r="DT116" i="2"/>
  <c r="CW46" i="2"/>
  <c r="NY36" i="2"/>
  <c r="HO45" i="2"/>
  <c r="HE41" i="2"/>
  <c r="CT31" i="2"/>
  <c r="FI44" i="2"/>
  <c r="BP129" i="9"/>
  <c r="BP127" i="9" s="1"/>
  <c r="BJ111" i="2"/>
  <c r="HJ37" i="2"/>
  <c r="DO110" i="2"/>
  <c r="DO109" i="2"/>
  <c r="DO114" i="2"/>
  <c r="DO117" i="2"/>
  <c r="EA116" i="2"/>
  <c r="EA112" i="2"/>
  <c r="MI36" i="2"/>
  <c r="HV44" i="2"/>
  <c r="FK44" i="2"/>
  <c r="FS44" i="2"/>
  <c r="FW44" i="2"/>
  <c r="HT41" i="2"/>
  <c r="JJ41" i="2"/>
  <c r="FN36" i="2"/>
  <c r="EV41" i="2"/>
  <c r="CU129" i="9"/>
  <c r="CU127" i="9" s="1"/>
  <c r="Z129" i="9"/>
  <c r="Z127" i="9" s="1"/>
  <c r="GC41" i="2"/>
  <c r="DG129" i="9"/>
  <c r="DG127" i="9" s="1"/>
  <c r="PB44" i="2"/>
  <c r="DO105" i="9"/>
  <c r="DO106" i="9" s="1"/>
  <c r="MP36" i="2"/>
  <c r="LT45" i="2"/>
  <c r="LW45" i="2"/>
  <c r="OO45" i="2"/>
  <c r="MZ45" i="2"/>
  <c r="KZ45" i="2"/>
  <c r="CJ129" i="9"/>
  <c r="CJ127" i="9" s="1"/>
  <c r="BJ129" i="9"/>
  <c r="BJ127" i="9" s="1"/>
  <c r="GB43" i="2"/>
  <c r="HD37" i="2"/>
  <c r="CA129" i="9"/>
  <c r="CA127" i="9" s="1"/>
  <c r="EZ42" i="2"/>
  <c r="BJ110" i="2"/>
  <c r="AX109" i="2"/>
  <c r="AX114" i="2"/>
  <c r="AX116" i="2"/>
  <c r="AX111" i="2"/>
  <c r="OV36" i="2"/>
  <c r="PB36" i="2"/>
  <c r="PA36" i="2"/>
  <c r="JO45" i="2"/>
  <c r="HP195" i="2"/>
  <c r="OF36" i="2"/>
  <c r="KU36" i="2"/>
  <c r="LX36" i="2"/>
  <c r="JT44" i="2"/>
  <c r="ED31" i="2"/>
  <c r="FN44" i="2"/>
  <c r="KP44" i="2"/>
  <c r="LV44" i="2"/>
  <c r="DO129" i="9"/>
  <c r="DO127" i="9" s="1"/>
  <c r="CC105" i="9"/>
  <c r="CC106" i="9" s="1"/>
  <c r="OA45" i="2"/>
  <c r="LU45" i="2"/>
  <c r="NI45" i="2"/>
  <c r="KO45" i="2"/>
  <c r="M31" i="2"/>
  <c r="OH37" i="2"/>
  <c r="MK37" i="2"/>
  <c r="OS37" i="2"/>
  <c r="KF37" i="2"/>
  <c r="OJ37" i="2"/>
  <c r="OV37" i="2"/>
  <c r="PD37" i="2"/>
  <c r="JF105" i="2"/>
  <c r="DI31" i="2"/>
  <c r="BJ115" i="2"/>
  <c r="KP42" i="2"/>
  <c r="HZ45" i="2"/>
  <c r="CR31" i="2"/>
  <c r="IB41" i="2"/>
  <c r="GS36" i="2"/>
  <c r="CL31" i="2"/>
  <c r="IG44" i="2"/>
  <c r="IC41" i="2"/>
  <c r="IF36" i="2"/>
  <c r="FS41" i="2"/>
  <c r="KQ45" i="2"/>
  <c r="KS45" i="2"/>
  <c r="KK44" i="2"/>
  <c r="MP45" i="2"/>
  <c r="BB129" i="9"/>
  <c r="BB127" i="9" s="1"/>
  <c r="HI41" i="2"/>
  <c r="KL45" i="2"/>
  <c r="NE45" i="2"/>
  <c r="OV45" i="2"/>
  <c r="LX45" i="2"/>
  <c r="BN105" i="2"/>
  <c r="CO105" i="2"/>
  <c r="GO43" i="2"/>
  <c r="BJ109" i="2"/>
  <c r="HQ37" i="2"/>
  <c r="FY37" i="2"/>
  <c r="BO129" i="9"/>
  <c r="BO127" i="9" s="1"/>
  <c r="KH103" i="2"/>
  <c r="OY103" i="2"/>
  <c r="LS103" i="2"/>
  <c r="MI103" i="2"/>
  <c r="KO103" i="2"/>
  <c r="NV103" i="2"/>
  <c r="MB103" i="2"/>
  <c r="OW103" i="2"/>
  <c r="AL129" i="9"/>
  <c r="AL127" i="9" s="1"/>
  <c r="CJ105" i="9"/>
  <c r="CJ106" i="9" s="1"/>
  <c r="IM37" i="2"/>
  <c r="AP129" i="9"/>
  <c r="AP127" i="9" s="1"/>
  <c r="BN46" i="2"/>
  <c r="AV129" i="9"/>
  <c r="AV127" i="9" s="1"/>
  <c r="LQ37" i="2"/>
  <c r="KS37" i="2"/>
  <c r="MP37" i="2"/>
  <c r="KK37" i="2"/>
  <c r="OG37" i="2"/>
  <c r="OF37" i="2"/>
  <c r="OE37" i="2"/>
  <c r="AC31" i="2"/>
  <c r="LT42" i="2"/>
  <c r="NN42" i="2"/>
  <c r="KW42" i="2"/>
  <c r="LP42" i="2"/>
  <c r="LU42" i="2"/>
  <c r="BJ113" i="2"/>
  <c r="CC31" i="2"/>
  <c r="CA111" i="2"/>
  <c r="BH108" i="2"/>
  <c r="BD113" i="2"/>
  <c r="BD116" i="2"/>
  <c r="DK31" i="2"/>
  <c r="O46" i="2"/>
  <c r="NF36" i="2"/>
  <c r="OR36" i="2"/>
  <c r="KL36" i="2"/>
  <c r="JE36" i="2"/>
  <c r="GP36" i="2"/>
  <c r="IT44" i="2"/>
  <c r="GD44" i="2"/>
  <c r="CI46" i="2"/>
  <c r="OZ36" i="2"/>
  <c r="MA44" i="2"/>
  <c r="GL44" i="2"/>
  <c r="OX43" i="2"/>
  <c r="HT44" i="2"/>
  <c r="JM41" i="2"/>
  <c r="HW44" i="2"/>
  <c r="HK41" i="2"/>
  <c r="AU126" i="9"/>
  <c r="AU149" i="9" s="1"/>
  <c r="KR44" i="2"/>
  <c r="R129" i="9"/>
  <c r="R127" i="9" s="1"/>
  <c r="AB129" i="9"/>
  <c r="AB127" i="9" s="1"/>
  <c r="I182" i="2"/>
  <c r="BE31" i="2"/>
  <c r="AP126" i="9"/>
  <c r="AP149" i="9" s="1"/>
  <c r="EW44" i="2"/>
  <c r="NH37" i="2"/>
  <c r="MH37" i="2"/>
  <c r="ML37" i="2"/>
  <c r="PB37" i="2"/>
  <c r="MT37" i="2"/>
  <c r="ME37" i="2"/>
  <c r="KM37" i="2"/>
  <c r="AN129" i="9"/>
  <c r="AN127" i="9" s="1"/>
  <c r="HF37" i="2"/>
  <c r="BJ108" i="2"/>
  <c r="CA115" i="2"/>
  <c r="AX108" i="2"/>
  <c r="JX36" i="2"/>
  <c r="KF36" i="2"/>
  <c r="KK36" i="2"/>
  <c r="LP36" i="2"/>
  <c r="LF36" i="2"/>
  <c r="MW36" i="2"/>
  <c r="IB44" i="2"/>
  <c r="IC44" i="2"/>
  <c r="IE41" i="2"/>
  <c r="PE44" i="2"/>
  <c r="R126" i="9"/>
  <c r="R149" i="9" s="1"/>
  <c r="BI105" i="2"/>
  <c r="V105" i="2"/>
  <c r="JK105" i="2"/>
  <c r="IR37" i="2"/>
  <c r="BD140" i="9"/>
  <c r="DM105" i="9"/>
  <c r="DM106" i="9" s="1"/>
  <c r="CA108" i="2"/>
  <c r="DW46" i="2"/>
  <c r="DT108" i="2"/>
  <c r="PE36" i="2"/>
  <c r="LI36" i="2"/>
  <c r="NC36" i="2"/>
  <c r="JF36" i="2"/>
  <c r="JX45" i="2"/>
  <c r="KW36" i="2"/>
  <c r="MU36" i="2"/>
  <c r="IU45" i="2"/>
  <c r="EY44" i="2"/>
  <c r="OM36" i="2"/>
  <c r="MG36" i="2"/>
  <c r="MJ36" i="2"/>
  <c r="IY44" i="2"/>
  <c r="HS44" i="2"/>
  <c r="JR36" i="2"/>
  <c r="FS36" i="2"/>
  <c r="IZ41" i="2"/>
  <c r="FW41" i="2"/>
  <c r="HT36" i="2"/>
  <c r="JM44" i="2"/>
  <c r="JV44" i="2"/>
  <c r="CA31" i="2"/>
  <c r="NE43" i="2"/>
  <c r="FK105" i="2"/>
  <c r="MO44" i="2"/>
  <c r="KF44" i="2"/>
  <c r="MN45" i="2"/>
  <c r="MT45" i="2"/>
  <c r="PD45" i="2"/>
  <c r="P105" i="2"/>
  <c r="ID41" i="2"/>
  <c r="FY45" i="2"/>
  <c r="AC129" i="9"/>
  <c r="AC127" i="9" s="1"/>
  <c r="LT103" i="2"/>
  <c r="LF103" i="2"/>
  <c r="LJ103" i="2"/>
  <c r="OQ103" i="2"/>
  <c r="MW103" i="2"/>
  <c r="LC103" i="2"/>
  <c r="OJ103" i="2"/>
  <c r="CZ105" i="9"/>
  <c r="CZ106" i="9" s="1"/>
  <c r="FU37" i="2"/>
  <c r="CX105" i="9"/>
  <c r="CX106" i="9" s="1"/>
  <c r="IN42" i="2"/>
  <c r="CK129" i="9"/>
  <c r="CK127" i="9" s="1"/>
  <c r="DA105" i="9"/>
  <c r="DA106" i="9" s="1"/>
  <c r="NJ37" i="2"/>
  <c r="MR37" i="2"/>
  <c r="OI37" i="2"/>
  <c r="KL37" i="2"/>
  <c r="OC37" i="2"/>
  <c r="DI37" i="2" s="1"/>
  <c r="MV37" i="2"/>
  <c r="NO37" i="2"/>
  <c r="GK41" i="2"/>
  <c r="BW105" i="9"/>
  <c r="BW106" i="9" s="1"/>
  <c r="CA114" i="2"/>
  <c r="FK41" i="2"/>
  <c r="DZ31" i="2"/>
  <c r="EV44" i="2"/>
  <c r="H129" i="9"/>
  <c r="H127" i="9" s="1"/>
  <c r="DU129" i="9"/>
  <c r="DU127" i="9" s="1"/>
  <c r="NZ36" i="2"/>
  <c r="FE41" i="2"/>
  <c r="PC43" i="2"/>
  <c r="V129" i="9"/>
  <c r="V127" i="9" s="1"/>
  <c r="OM44" i="2"/>
  <c r="Q46" i="2"/>
  <c r="KJ45" i="2"/>
  <c r="OZ45" i="2"/>
  <c r="DR105" i="9"/>
  <c r="DR106" i="9" s="1"/>
  <c r="LP45" i="2"/>
  <c r="MV45" i="2"/>
  <c r="OE45" i="2"/>
  <c r="GY36" i="2"/>
  <c r="MD103" i="2"/>
  <c r="MP103" i="2"/>
  <c r="LV103" i="2"/>
  <c r="PC103" i="2"/>
  <c r="NI103" i="2"/>
  <c r="LO103" i="2"/>
  <c r="OV103" i="2"/>
  <c r="JD45" i="2"/>
  <c r="FU43" i="2"/>
  <c r="HP44" i="2"/>
  <c r="EZ37" i="2"/>
  <c r="GV36" i="2"/>
  <c r="LL37" i="2"/>
  <c r="NY37" i="2"/>
  <c r="OZ37" i="2"/>
  <c r="LX37" i="2"/>
  <c r="MU37" i="2"/>
  <c r="LY37" i="2"/>
  <c r="NQ37" i="2"/>
  <c r="BJ114" i="2"/>
  <c r="EI31" i="2"/>
  <c r="KY37" i="2"/>
  <c r="DT111" i="2"/>
  <c r="DB108" i="2"/>
  <c r="AM120" i="9"/>
  <c r="AM119" i="9"/>
  <c r="AM118" i="9"/>
  <c r="AM117" i="9"/>
  <c r="AM121" i="9"/>
  <c r="AM90" i="9"/>
  <c r="EJ75" i="2"/>
  <c r="DA32" i="7"/>
  <c r="DB32" i="7" s="1"/>
  <c r="CO125" i="9"/>
  <c r="CO91" i="9"/>
  <c r="DH140" i="9"/>
  <c r="DN114" i="2"/>
  <c r="DN109" i="2"/>
  <c r="DN113" i="2"/>
  <c r="DN115" i="2"/>
  <c r="DN108" i="2"/>
  <c r="DN110" i="2"/>
  <c r="DN111" i="2"/>
  <c r="DN112" i="2"/>
  <c r="DN117" i="2"/>
  <c r="DN116" i="2"/>
  <c r="AQ121" i="9"/>
  <c r="AQ120" i="9"/>
  <c r="AQ119" i="9"/>
  <c r="AQ117" i="9"/>
  <c r="AQ90" i="9"/>
  <c r="AQ118" i="9"/>
  <c r="FJ45" i="2"/>
  <c r="AO46" i="2"/>
  <c r="GD195" i="2"/>
  <c r="FJ105" i="2"/>
  <c r="EM75" i="2"/>
  <c r="BS140" i="9"/>
  <c r="BY116" i="2"/>
  <c r="BY112" i="2"/>
  <c r="BY114" i="2"/>
  <c r="BY110" i="2"/>
  <c r="BY113" i="2"/>
  <c r="BY115" i="2"/>
  <c r="BY109" i="2"/>
  <c r="BY108" i="2"/>
  <c r="BY111" i="2"/>
  <c r="BY117" i="2"/>
  <c r="JP45" i="2"/>
  <c r="HZ195" i="2"/>
  <c r="AI140" i="9"/>
  <c r="AO109" i="2"/>
  <c r="AO112" i="2"/>
  <c r="AO111" i="2"/>
  <c r="AO110" i="2"/>
  <c r="AO108" i="2"/>
  <c r="DA36" i="7"/>
  <c r="DB36" i="7" s="1"/>
  <c r="DC36" i="7" s="1"/>
  <c r="MW43" i="2"/>
  <c r="DA37" i="7"/>
  <c r="DB37" i="7" s="1"/>
  <c r="DC37" i="7" s="1"/>
  <c r="EN75" i="2"/>
  <c r="JV195" i="2"/>
  <c r="EF108" i="2"/>
  <c r="EF116" i="2"/>
  <c r="EF115" i="2"/>
  <c r="EF112" i="2"/>
  <c r="EF110" i="2"/>
  <c r="EF109" i="2"/>
  <c r="EF111" i="2"/>
  <c r="EF113" i="2"/>
  <c r="EF114" i="2"/>
  <c r="EF117" i="2"/>
  <c r="H117" i="2"/>
  <c r="I120" i="2"/>
  <c r="II45" i="2"/>
  <c r="IG45" i="2"/>
  <c r="HL45" i="2"/>
  <c r="HR45" i="2"/>
  <c r="GQ45" i="2"/>
  <c r="FQ45" i="2"/>
  <c r="FU45" i="2"/>
  <c r="IW45" i="2"/>
  <c r="IV45" i="2"/>
  <c r="JQ45" i="2"/>
  <c r="JG45" i="2"/>
  <c r="GR45" i="2"/>
  <c r="IC45" i="2"/>
  <c r="HM45" i="2"/>
  <c r="IS45" i="2"/>
  <c r="EW45" i="2"/>
  <c r="HA45" i="2"/>
  <c r="HJ45" i="2"/>
  <c r="FH45" i="2"/>
  <c r="HP45" i="2"/>
  <c r="GB45" i="2"/>
  <c r="HQ45" i="2"/>
  <c r="ID45" i="2"/>
  <c r="JK45" i="2"/>
  <c r="IO45" i="2"/>
  <c r="GH45" i="2"/>
  <c r="IA45" i="2"/>
  <c r="FC45" i="2"/>
  <c r="IQ45" i="2"/>
  <c r="HB45" i="2"/>
  <c r="GK45" i="2"/>
  <c r="EZ45" i="2"/>
  <c r="HD45" i="2"/>
  <c r="IK45" i="2"/>
  <c r="FV45" i="2"/>
  <c r="HW45" i="2"/>
  <c r="JN45" i="2"/>
  <c r="HY45" i="2"/>
  <c r="FF45" i="2"/>
  <c r="HF45" i="2"/>
  <c r="JW45" i="2"/>
  <c r="HN45" i="2"/>
  <c r="GX45" i="2"/>
  <c r="JA45" i="2"/>
  <c r="GN45" i="2"/>
  <c r="GT45" i="2"/>
  <c r="IJ45" i="2"/>
  <c r="JM45" i="2"/>
  <c r="JT45" i="2"/>
  <c r="GA45" i="2"/>
  <c r="GD45" i="2"/>
  <c r="IL45" i="2"/>
  <c r="FO45" i="2"/>
  <c r="FM45" i="2"/>
  <c r="IP45" i="2"/>
  <c r="GV45" i="2"/>
  <c r="IN45" i="2"/>
  <c r="HC45" i="2"/>
  <c r="FI45" i="2"/>
  <c r="JU45" i="2"/>
  <c r="JS45" i="2"/>
  <c r="FD45" i="2"/>
  <c r="GY45" i="2"/>
  <c r="GC45" i="2"/>
  <c r="FN45" i="2"/>
  <c r="HV45" i="2"/>
  <c r="HG45" i="2"/>
  <c r="JC45" i="2"/>
  <c r="GM45" i="2"/>
  <c r="HT45" i="2"/>
  <c r="FK45" i="2"/>
  <c r="GS45" i="2"/>
  <c r="FT45" i="2"/>
  <c r="IR45" i="2"/>
  <c r="GE45" i="2"/>
  <c r="GO45" i="2"/>
  <c r="FB45" i="2"/>
  <c r="HK45" i="2"/>
  <c r="JV45" i="2"/>
  <c r="IE45" i="2"/>
  <c r="HU45" i="2"/>
  <c r="HE45" i="2"/>
  <c r="FX45" i="2"/>
  <c r="IH45" i="2"/>
  <c r="HI45" i="2"/>
  <c r="JR45" i="2"/>
  <c r="GW45" i="2"/>
  <c r="JI45" i="2"/>
  <c r="GZ45" i="2"/>
  <c r="JJ45" i="2"/>
  <c r="HS45" i="2"/>
  <c r="CI45" i="2" s="1"/>
  <c r="EY45" i="2"/>
  <c r="FR45" i="2"/>
  <c r="IM45" i="2"/>
  <c r="FE45" i="2"/>
  <c r="GL45" i="2"/>
  <c r="GP45" i="2"/>
  <c r="FP45" i="2"/>
  <c r="GG45" i="2"/>
  <c r="JL45" i="2"/>
  <c r="FW45" i="2"/>
  <c r="HX45" i="2"/>
  <c r="FS45" i="2"/>
  <c r="IY45" i="2"/>
  <c r="IT45" i="2"/>
  <c r="FZ45" i="2"/>
  <c r="GJ45" i="2"/>
  <c r="EX45" i="2"/>
  <c r="IX45" i="2"/>
  <c r="GI45" i="2"/>
  <c r="GU45" i="2"/>
  <c r="AV140" i="9"/>
  <c r="BB109" i="2"/>
  <c r="BB114" i="2"/>
  <c r="BB111" i="2"/>
  <c r="BB108" i="2"/>
  <c r="BB110" i="2"/>
  <c r="BB115" i="2"/>
  <c r="BB113" i="2"/>
  <c r="BB116" i="2"/>
  <c r="BB112" i="2"/>
  <c r="BB117" i="2"/>
  <c r="HH45" i="2"/>
  <c r="S125" i="9"/>
  <c r="S91" i="9"/>
  <c r="S126" i="9"/>
  <c r="S149" i="9" s="1"/>
  <c r="BI121" i="9"/>
  <c r="BI120" i="9"/>
  <c r="BI119" i="9"/>
  <c r="BI118" i="9"/>
  <c r="BI117" i="9"/>
  <c r="BI90" i="9"/>
  <c r="BI93" i="9" s="1"/>
  <c r="JH45" i="2"/>
  <c r="EL75" i="2"/>
  <c r="OV43" i="2"/>
  <c r="FL195" i="2"/>
  <c r="BS125" i="9"/>
  <c r="BS91" i="9"/>
  <c r="AR125" i="9"/>
  <c r="AR91" i="9"/>
  <c r="AR126" i="9"/>
  <c r="AR149" i="9" s="1"/>
  <c r="CT121" i="9"/>
  <c r="CT120" i="9"/>
  <c r="CT119" i="9"/>
  <c r="CT118" i="9"/>
  <c r="CT117" i="9"/>
  <c r="CT90" i="9"/>
  <c r="CT93" i="9" s="1"/>
  <c r="AO118" i="9"/>
  <c r="AO117" i="9"/>
  <c r="AO121" i="9"/>
  <c r="AO119" i="9"/>
  <c r="AO120" i="9"/>
  <c r="AO90" i="9"/>
  <c r="NU43" i="2"/>
  <c r="CI140" i="9"/>
  <c r="CO108" i="2"/>
  <c r="CO111" i="2"/>
  <c r="CO112" i="2"/>
  <c r="CO115" i="2"/>
  <c r="CO116" i="2"/>
  <c r="CO110" i="2"/>
  <c r="CO114" i="2"/>
  <c r="CO109" i="2"/>
  <c r="CO113" i="2"/>
  <c r="AX121" i="9"/>
  <c r="AX120" i="9"/>
  <c r="AX119" i="9"/>
  <c r="AX118" i="9"/>
  <c r="AX117" i="9"/>
  <c r="AX90" i="9"/>
  <c r="DV125" i="9"/>
  <c r="DV91" i="9"/>
  <c r="CG121" i="9"/>
  <c r="CG120" i="9"/>
  <c r="CG119" i="9"/>
  <c r="CG118" i="9"/>
  <c r="CG117" i="9"/>
  <c r="CG90" i="9"/>
  <c r="CG93" i="9" s="1"/>
  <c r="AT125" i="9"/>
  <c r="AT91" i="9"/>
  <c r="AT126" i="9"/>
  <c r="AT149" i="9" s="1"/>
  <c r="CF125" i="9"/>
  <c r="CF91" i="9"/>
  <c r="EF75" i="2"/>
  <c r="DO125" i="9"/>
  <c r="DO91" i="9"/>
  <c r="MZ43" i="2"/>
  <c r="DN91" i="9"/>
  <c r="DN125" i="9"/>
  <c r="R117" i="9"/>
  <c r="R121" i="9"/>
  <c r="R120" i="9"/>
  <c r="R118" i="9"/>
  <c r="R119" i="9"/>
  <c r="R90" i="9"/>
  <c r="DA27" i="7"/>
  <c r="DB27" i="7" s="1"/>
  <c r="DC27" i="7" s="1"/>
  <c r="JE45" i="2"/>
  <c r="FG45" i="2"/>
  <c r="HH195" i="2"/>
  <c r="FL45" i="2"/>
  <c r="F125" i="9"/>
  <c r="F91" i="9"/>
  <c r="GW195" i="2"/>
  <c r="GO195" i="2"/>
  <c r="IF45" i="2"/>
  <c r="IZ45" i="2"/>
  <c r="DE120" i="9"/>
  <c r="DE119" i="9"/>
  <c r="DE118" i="9"/>
  <c r="DE117" i="9"/>
  <c r="DE90" i="9"/>
  <c r="DE93" i="9" s="1"/>
  <c r="DE121" i="9"/>
  <c r="BJ125" i="9"/>
  <c r="BJ91" i="9"/>
  <c r="BZ125" i="9"/>
  <c r="BZ91" i="9"/>
  <c r="Q4" i="5"/>
  <c r="DN121" i="9"/>
  <c r="DN120" i="9"/>
  <c r="DN118" i="9"/>
  <c r="DN117" i="9"/>
  <c r="DN119" i="9"/>
  <c r="DN90" i="9"/>
  <c r="DN93" i="9" s="1"/>
  <c r="DH119" i="9"/>
  <c r="DH118" i="9"/>
  <c r="DH117" i="9"/>
  <c r="DH121" i="9"/>
  <c r="DH120" i="9"/>
  <c r="DH90" i="9"/>
  <c r="DH93" i="9" s="1"/>
  <c r="DF125" i="9"/>
  <c r="DF91" i="9"/>
  <c r="DV121" i="9"/>
  <c r="DV117" i="9"/>
  <c r="DV120" i="9"/>
  <c r="DV118" i="9"/>
  <c r="DV119" i="9"/>
  <c r="DV90" i="9"/>
  <c r="DV93" i="9" s="1"/>
  <c r="I173" i="2"/>
  <c r="I177" i="2" s="1"/>
  <c r="M22" i="1" s="1"/>
  <c r="DT119" i="9"/>
  <c r="DT118" i="9"/>
  <c r="DT117" i="9"/>
  <c r="DT121" i="9"/>
  <c r="DT120" i="9"/>
  <c r="DT90" i="9"/>
  <c r="DT93" i="9" s="1"/>
  <c r="GF45" i="2"/>
  <c r="AK140" i="9"/>
  <c r="AQ112" i="2"/>
  <c r="AQ109" i="2"/>
  <c r="AQ113" i="2"/>
  <c r="AQ110" i="2"/>
  <c r="AQ108" i="2"/>
  <c r="AQ114" i="2"/>
  <c r="AQ111" i="2"/>
  <c r="LK43" i="2"/>
  <c r="LT43" i="2"/>
  <c r="ML43" i="2"/>
  <c r="LR43" i="2"/>
  <c r="LH43" i="2"/>
  <c r="MX43" i="2"/>
  <c r="MY43" i="2"/>
  <c r="LZ43" i="2"/>
  <c r="OP43" i="2"/>
  <c r="KT43" i="2"/>
  <c r="OS43" i="2"/>
  <c r="NZ43" i="2"/>
  <c r="NG43" i="2"/>
  <c r="KH43" i="2"/>
  <c r="KG43" i="2"/>
  <c r="KJ43" i="2"/>
  <c r="LC43" i="2"/>
  <c r="MO43" i="2"/>
  <c r="KQ43" i="2"/>
  <c r="OD43" i="2"/>
  <c r="MD43" i="2"/>
  <c r="MC43" i="2"/>
  <c r="MM43" i="2"/>
  <c r="OQ43" i="2"/>
  <c r="KP43" i="2"/>
  <c r="PF43" i="2"/>
  <c r="LM43" i="2"/>
  <c r="MA43" i="2"/>
  <c r="NH43" i="2"/>
  <c r="LL43" i="2"/>
  <c r="NM43" i="2"/>
  <c r="NV43" i="2"/>
  <c r="MR43" i="2"/>
  <c r="OU43" i="2"/>
  <c r="KV43" i="2"/>
  <c r="OT43" i="2"/>
  <c r="OL43" i="2"/>
  <c r="NW43" i="2"/>
  <c r="NB43" i="2"/>
  <c r="LB43" i="2"/>
  <c r="MI43" i="2"/>
  <c r="KY43" i="2"/>
  <c r="NA43" i="2"/>
  <c r="LA43" i="2"/>
  <c r="OK43" i="2"/>
  <c r="LJ43" i="2"/>
  <c r="MK43" i="2"/>
  <c r="PG43" i="2"/>
  <c r="OH43" i="2"/>
  <c r="NN43" i="2"/>
  <c r="NK43" i="2"/>
  <c r="OE43" i="2"/>
  <c r="MN43" i="2"/>
  <c r="MU43" i="2"/>
  <c r="MJ43" i="2"/>
  <c r="OM43" i="2"/>
  <c r="NJ43" i="2"/>
  <c r="LI43" i="2"/>
  <c r="KL43" i="2"/>
  <c r="KF43" i="2"/>
  <c r="PA43" i="2"/>
  <c r="PH43" i="2"/>
  <c r="OI43" i="2"/>
  <c r="KO43" i="2"/>
  <c r="OJ43" i="2"/>
  <c r="MS43" i="2"/>
  <c r="NX43" i="2"/>
  <c r="NQ43" i="2"/>
  <c r="OZ43" i="2"/>
  <c r="KU43" i="2"/>
  <c r="NI43" i="2"/>
  <c r="MT43" i="2"/>
  <c r="NF43" i="2"/>
  <c r="NO43" i="2"/>
  <c r="NY43" i="2"/>
  <c r="NS43" i="2"/>
  <c r="KR43" i="2"/>
  <c r="LY43" i="2"/>
  <c r="ME43" i="2"/>
  <c r="KX43" i="2"/>
  <c r="KM43" i="2"/>
  <c r="KI43" i="2"/>
  <c r="NT43" i="2"/>
  <c r="MV43" i="2"/>
  <c r="PD43" i="2"/>
  <c r="LU43" i="2"/>
  <c r="NR43" i="2"/>
  <c r="OF43" i="2"/>
  <c r="OB43" i="2"/>
  <c r="MF43" i="2"/>
  <c r="ON43" i="2"/>
  <c r="MP43" i="2"/>
  <c r="MG43" i="2"/>
  <c r="LG43" i="2"/>
  <c r="LX43" i="2"/>
  <c r="LP43" i="2"/>
  <c r="LN43" i="2"/>
  <c r="LV43" i="2"/>
  <c r="OO43" i="2"/>
  <c r="NC43" i="2"/>
  <c r="MQ43" i="2"/>
  <c r="OW43" i="2"/>
  <c r="NL43" i="2"/>
  <c r="KW43" i="2"/>
  <c r="KZ43" i="2"/>
  <c r="OY43" i="2"/>
  <c r="ND43" i="2"/>
  <c r="LQ43" i="2"/>
  <c r="OR43" i="2"/>
  <c r="OC43" i="2"/>
  <c r="DI43" i="2" s="1"/>
  <c r="MB43" i="2"/>
  <c r="LE43" i="2"/>
  <c r="MH43" i="2"/>
  <c r="OG43" i="2"/>
  <c r="KN43" i="2"/>
  <c r="OA43" i="2"/>
  <c r="LF43" i="2"/>
  <c r="PE43" i="2"/>
  <c r="LD43" i="2"/>
  <c r="LS43" i="2"/>
  <c r="KS43" i="2"/>
  <c r="NP43" i="2"/>
  <c r="LO43" i="2"/>
  <c r="CD121" i="9"/>
  <c r="CD120" i="9"/>
  <c r="CD118" i="9"/>
  <c r="CD117" i="9"/>
  <c r="CD90" i="9"/>
  <c r="CD93" i="9" s="1"/>
  <c r="CD119" i="9"/>
  <c r="AU121" i="9"/>
  <c r="AU120" i="9"/>
  <c r="AU119" i="9"/>
  <c r="AU117" i="9"/>
  <c r="AU90" i="9"/>
  <c r="AU118" i="9"/>
  <c r="K125" i="9"/>
  <c r="K91" i="9"/>
  <c r="K126" i="9"/>
  <c r="K149" i="9" s="1"/>
  <c r="I136" i="8"/>
  <c r="I138" i="8"/>
  <c r="E123" i="8"/>
  <c r="I137" i="8"/>
  <c r="Q20" i="8"/>
  <c r="H68" i="8"/>
  <c r="H65" i="8"/>
  <c r="H66" i="8"/>
  <c r="H69" i="8"/>
  <c r="H67" i="8"/>
  <c r="H64" i="8"/>
  <c r="CY121" i="9"/>
  <c r="CY119" i="9"/>
  <c r="CY117" i="9"/>
  <c r="CY118" i="9"/>
  <c r="CY120" i="9"/>
  <c r="CY90" i="9"/>
  <c r="CY93" i="9" s="1"/>
  <c r="DA28" i="7"/>
  <c r="DB28" i="7" s="1"/>
  <c r="CH121" i="9"/>
  <c r="CH120" i="9"/>
  <c r="CH119" i="9"/>
  <c r="CH118" i="9"/>
  <c r="CH117" i="9"/>
  <c r="CH90" i="9"/>
  <c r="CH93" i="9" s="1"/>
  <c r="B86" i="4"/>
  <c r="C87" i="4" s="1"/>
  <c r="I15" i="2"/>
  <c r="CR159" i="7" s="1"/>
  <c r="CF194" i="2"/>
  <c r="O194" i="2"/>
  <c r="BW194" i="2"/>
  <c r="CJ194" i="2"/>
  <c r="R194" i="2"/>
  <c r="CY194" i="2"/>
  <c r="CN194" i="2"/>
  <c r="AG194" i="2"/>
  <c r="DM194" i="2"/>
  <c r="CP194" i="2"/>
  <c r="CE194" i="2"/>
  <c r="CS194" i="2"/>
  <c r="EC194" i="2"/>
  <c r="DT194" i="2"/>
  <c r="AV194" i="2"/>
  <c r="AP194" i="2"/>
  <c r="CL194" i="2"/>
  <c r="DJ194" i="2"/>
  <c r="S194" i="2"/>
  <c r="CA194" i="2"/>
  <c r="AM194" i="2"/>
  <c r="ED194" i="2"/>
  <c r="CH194" i="2"/>
  <c r="BY194" i="2"/>
  <c r="CW194" i="2"/>
  <c r="DU194" i="2"/>
  <c r="BN194" i="2"/>
  <c r="AF194" i="2"/>
  <c r="DX194" i="2"/>
  <c r="BE194" i="2"/>
  <c r="EK194" i="2"/>
  <c r="AT194" i="2"/>
  <c r="DZ194" i="2"/>
  <c r="W194" i="2"/>
  <c r="DD194" i="2"/>
  <c r="DF194" i="2"/>
  <c r="DG194" i="2"/>
  <c r="BL194" i="2"/>
  <c r="CV194" i="2"/>
  <c r="EN194" i="2"/>
  <c r="AX194" i="2"/>
  <c r="EI194" i="2"/>
  <c r="BP194" i="2"/>
  <c r="CC194" i="2"/>
  <c r="BR194" i="2"/>
  <c r="EA194" i="2"/>
  <c r="Y194" i="2"/>
  <c r="AK194" i="2"/>
  <c r="BX194" i="2"/>
  <c r="Z194" i="2"/>
  <c r="AL194" i="2"/>
  <c r="AC194" i="2"/>
  <c r="DV194" i="2"/>
  <c r="EJ194" i="2"/>
  <c r="U194" i="2"/>
  <c r="DA194" i="2"/>
  <c r="DB194" i="2"/>
  <c r="BS194" i="2"/>
  <c r="CI194" i="2"/>
  <c r="CR194" i="2"/>
  <c r="CG194" i="2"/>
  <c r="DP194" i="2"/>
  <c r="BT194" i="2"/>
  <c r="AD194" i="2"/>
  <c r="AE194" i="2"/>
  <c r="CM194" i="2"/>
  <c r="DK194" i="2"/>
  <c r="AR194" i="2"/>
  <c r="AJ194" i="2"/>
  <c r="N194" i="2"/>
  <c r="P194" i="2"/>
  <c r="AZ194" i="2"/>
  <c r="DQ194" i="2"/>
  <c r="AS194" i="2"/>
  <c r="DY194" i="2"/>
  <c r="CD194" i="2"/>
  <c r="CQ194" i="2"/>
  <c r="AA194" i="2"/>
  <c r="EF194" i="2"/>
  <c r="EB194" i="2"/>
  <c r="CT194" i="2"/>
  <c r="BI194" i="2"/>
  <c r="BM194" i="2"/>
  <c r="CK194" i="2"/>
  <c r="DI194" i="2"/>
  <c r="EG194" i="2"/>
  <c r="BB194" i="2"/>
  <c r="BZ194" i="2"/>
  <c r="CX194" i="2"/>
  <c r="CB194" i="2"/>
  <c r="AH194" i="2"/>
  <c r="EL194" i="2"/>
  <c r="DO194" i="2"/>
  <c r="AY194" i="2"/>
  <c r="EE194" i="2"/>
  <c r="DE194" i="2"/>
  <c r="BH194" i="2"/>
  <c r="BU194" i="2"/>
  <c r="EH194" i="2"/>
  <c r="BD194" i="2"/>
  <c r="DL194" i="2"/>
  <c r="CO194" i="2"/>
  <c r="BG194" i="2"/>
  <c r="BF194" i="2"/>
  <c r="DS194" i="2"/>
  <c r="V194" i="2"/>
  <c r="BK194" i="2"/>
  <c r="BV194" i="2"/>
  <c r="AQ194" i="2"/>
  <c r="BO194" i="2"/>
  <c r="BQ194" i="2"/>
  <c r="DW194" i="2"/>
  <c r="EM194" i="2"/>
  <c r="AW194" i="2"/>
  <c r="BA194" i="2"/>
  <c r="T194" i="2"/>
  <c r="DC194" i="2"/>
  <c r="CU194" i="2"/>
  <c r="AU194" i="2"/>
  <c r="AB194" i="2"/>
  <c r="BJ194" i="2"/>
  <c r="DH194" i="2"/>
  <c r="CZ194" i="2"/>
  <c r="M194" i="2"/>
  <c r="Q194" i="2"/>
  <c r="BC194" i="2"/>
  <c r="AN194" i="2"/>
  <c r="X194" i="2"/>
  <c r="L194" i="2"/>
  <c r="DN194" i="2"/>
  <c r="AI194" i="2"/>
  <c r="DR194" i="2"/>
  <c r="AO194" i="2"/>
  <c r="JO195" i="2"/>
  <c r="HJ195" i="2"/>
  <c r="GR195" i="2"/>
  <c r="IK195" i="2"/>
  <c r="JN195" i="2"/>
  <c r="GE195" i="2"/>
  <c r="JC195" i="2"/>
  <c r="FG195" i="2"/>
  <c r="JK195" i="2"/>
  <c r="GS195" i="2"/>
  <c r="HF195" i="2"/>
  <c r="IQ195" i="2"/>
  <c r="JA195" i="2"/>
  <c r="FS195" i="2"/>
  <c r="GQ195" i="2"/>
  <c r="JI195" i="2"/>
  <c r="FV195" i="2"/>
  <c r="JU195" i="2"/>
  <c r="JM195" i="2"/>
  <c r="IM195" i="2"/>
  <c r="JW195" i="2"/>
  <c r="GX195" i="2"/>
  <c r="EY195" i="2"/>
  <c r="JR195" i="2"/>
  <c r="IT195" i="2"/>
  <c r="GC195" i="2"/>
  <c r="GI195" i="2"/>
  <c r="HY195" i="2"/>
  <c r="FK195" i="2"/>
  <c r="IH195" i="2"/>
  <c r="GH195" i="2"/>
  <c r="IA195" i="2"/>
  <c r="HC195" i="2"/>
  <c r="GL195" i="2"/>
  <c r="HO195" i="2"/>
  <c r="EV195" i="2"/>
  <c r="IZ195" i="2"/>
  <c r="FN195" i="2"/>
  <c r="HD195" i="2"/>
  <c r="JB195" i="2"/>
  <c r="FB195" i="2"/>
  <c r="FE195" i="2"/>
  <c r="IY195" i="2"/>
  <c r="HS195" i="2"/>
  <c r="FZ195" i="2"/>
  <c r="ID195" i="2"/>
  <c r="HN195" i="2"/>
  <c r="FM195" i="2"/>
  <c r="FU195" i="2"/>
  <c r="EX195" i="2"/>
  <c r="GG195" i="2"/>
  <c r="JD195" i="2"/>
  <c r="HT195" i="2"/>
  <c r="IG195" i="2"/>
  <c r="JP195" i="2"/>
  <c r="GZ195" i="2"/>
  <c r="GN195" i="2"/>
  <c r="FR195" i="2"/>
  <c r="IJ195" i="2"/>
  <c r="FF195" i="2"/>
  <c r="IR195" i="2"/>
  <c r="JE195" i="2"/>
  <c r="FX195" i="2"/>
  <c r="FH195" i="2"/>
  <c r="FJ195" i="2"/>
  <c r="IF195" i="2"/>
  <c r="FI195" i="2"/>
  <c r="FY195" i="2"/>
  <c r="IP195" i="2"/>
  <c r="GU195" i="2"/>
  <c r="HL195" i="2"/>
  <c r="GP195" i="2"/>
  <c r="FO195" i="2"/>
  <c r="JQ195" i="2"/>
  <c r="IU195" i="2"/>
  <c r="HG195" i="2"/>
  <c r="FA195" i="2"/>
  <c r="GY195" i="2"/>
  <c r="EW195" i="2"/>
  <c r="JT195" i="2"/>
  <c r="JH195" i="2"/>
  <c r="JG195" i="2"/>
  <c r="GA195" i="2"/>
  <c r="FW195" i="2"/>
  <c r="JF195" i="2"/>
  <c r="JJ195" i="2"/>
  <c r="IN195" i="2"/>
  <c r="JX195" i="2"/>
  <c r="IS195" i="2"/>
  <c r="FT195" i="2"/>
  <c r="GB195" i="2"/>
  <c r="IC195" i="2"/>
  <c r="HR195" i="2"/>
  <c r="HK195" i="2"/>
  <c r="FP195" i="2"/>
  <c r="JL195" i="2"/>
  <c r="GF195" i="2"/>
  <c r="FQ195" i="2"/>
  <c r="IX195" i="2"/>
  <c r="FD195" i="2"/>
  <c r="JS195" i="2"/>
  <c r="IW195" i="2"/>
  <c r="IB195" i="2"/>
  <c r="IO195" i="2"/>
  <c r="GJ195" i="2"/>
  <c r="HM195" i="2"/>
  <c r="HA195" i="2"/>
  <c r="IE195" i="2"/>
  <c r="GT195" i="2"/>
  <c r="HB195" i="2"/>
  <c r="HU195" i="2"/>
  <c r="HW195" i="2"/>
  <c r="HW210" i="2" s="1"/>
  <c r="IL195" i="2"/>
  <c r="II195" i="2"/>
  <c r="HV195" i="2"/>
  <c r="IV195" i="2"/>
  <c r="GV195" i="2"/>
  <c r="EZ195" i="2"/>
  <c r="EZ210" i="2" s="1"/>
  <c r="HI195" i="2"/>
  <c r="HX195" i="2"/>
  <c r="HE195" i="2"/>
  <c r="CS121" i="9"/>
  <c r="CS120" i="9"/>
  <c r="CS119" i="9"/>
  <c r="CS118" i="9"/>
  <c r="CS117" i="9"/>
  <c r="CS90" i="9"/>
  <c r="CS93" i="9" s="1"/>
  <c r="JB45" i="2"/>
  <c r="AI57" i="7"/>
  <c r="ED75" i="2"/>
  <c r="LZ36" i="2"/>
  <c r="BW125" i="9"/>
  <c r="BW91" i="9"/>
  <c r="DS125" i="9"/>
  <c r="DS91" i="9"/>
  <c r="CX125" i="9"/>
  <c r="CX91" i="9"/>
  <c r="BQ125" i="9"/>
  <c r="BQ91" i="9"/>
  <c r="BB46" i="2"/>
  <c r="BX31" i="2"/>
  <c r="OP36" i="2"/>
  <c r="AI46" i="2"/>
  <c r="CE125" i="9"/>
  <c r="CE91" i="9"/>
  <c r="BH31" i="2"/>
  <c r="AH125" i="9"/>
  <c r="AH91" i="9"/>
  <c r="AY31" i="2"/>
  <c r="EB31" i="2"/>
  <c r="AV31" i="2"/>
  <c r="JJ36" i="2"/>
  <c r="DU118" i="9"/>
  <c r="DU117" i="9"/>
  <c r="DU121" i="9"/>
  <c r="DU120" i="9"/>
  <c r="DU119" i="9"/>
  <c r="DU90" i="9"/>
  <c r="DU93" i="9" s="1"/>
  <c r="HK36" i="2"/>
  <c r="AL46" i="2"/>
  <c r="JU44" i="2"/>
  <c r="KS36" i="2"/>
  <c r="Y36" i="2" s="1"/>
  <c r="LR36" i="2"/>
  <c r="AW46" i="2"/>
  <c r="EE109" i="2"/>
  <c r="EE111" i="2"/>
  <c r="EE108" i="2"/>
  <c r="EE110" i="2"/>
  <c r="EE115" i="2"/>
  <c r="EE114" i="2"/>
  <c r="EE116" i="2"/>
  <c r="EE112" i="2"/>
  <c r="EE113" i="2"/>
  <c r="DB125" i="9"/>
  <c r="DB91" i="9"/>
  <c r="IG36" i="2"/>
  <c r="HA42" i="2"/>
  <c r="BV140" i="9"/>
  <c r="CB113" i="2"/>
  <c r="CB111" i="2"/>
  <c r="CB110" i="2"/>
  <c r="CB114" i="2"/>
  <c r="CB115" i="2"/>
  <c r="CB108" i="2"/>
  <c r="CB109" i="2"/>
  <c r="CB116" i="2"/>
  <c r="CB112" i="2"/>
  <c r="CJ119" i="9"/>
  <c r="CJ118" i="9"/>
  <c r="CJ117" i="9"/>
  <c r="CJ120" i="9"/>
  <c r="CJ121" i="9"/>
  <c r="CJ90" i="9"/>
  <c r="CJ93" i="9" s="1"/>
  <c r="FQ44" i="2"/>
  <c r="AP117" i="9"/>
  <c r="AP121" i="9"/>
  <c r="AP120" i="9"/>
  <c r="AP118" i="9"/>
  <c r="AP119" i="9"/>
  <c r="AP90" i="9"/>
  <c r="P31" i="2"/>
  <c r="GX41" i="2"/>
  <c r="HN44" i="2"/>
  <c r="AE140" i="9"/>
  <c r="AK108" i="2"/>
  <c r="AK110" i="2"/>
  <c r="AK109" i="2"/>
  <c r="DL140" i="9"/>
  <c r="DR111" i="2"/>
  <c r="DR109" i="2"/>
  <c r="DR115" i="2"/>
  <c r="DR113" i="2"/>
  <c r="DR110" i="2"/>
  <c r="DR112" i="2"/>
  <c r="DR114" i="2"/>
  <c r="DR108" i="2"/>
  <c r="DR116" i="2"/>
  <c r="DR117" i="2"/>
  <c r="DJ31" i="2"/>
  <c r="AA120" i="9"/>
  <c r="AA119" i="9"/>
  <c r="AA118" i="9"/>
  <c r="AA117" i="9"/>
  <c r="AA121" i="9"/>
  <c r="AA90" i="9"/>
  <c r="DO31" i="2"/>
  <c r="CP31" i="2"/>
  <c r="EF31" i="2"/>
  <c r="BA125" i="9"/>
  <c r="BA91" i="9"/>
  <c r="AN125" i="9"/>
  <c r="AN91" i="9"/>
  <c r="AN126" i="9"/>
  <c r="AN149" i="9" s="1"/>
  <c r="BZ117" i="9"/>
  <c r="BZ120" i="9"/>
  <c r="BZ118" i="9"/>
  <c r="BZ119" i="9"/>
  <c r="BZ121" i="9"/>
  <c r="BZ90" i="9"/>
  <c r="BZ93" i="9" s="1"/>
  <c r="AI31" i="2"/>
  <c r="FW36" i="2"/>
  <c r="I125" i="9"/>
  <c r="I91" i="9"/>
  <c r="I126" i="9"/>
  <c r="I149" i="9" s="1"/>
  <c r="BH121" i="9"/>
  <c r="BH120" i="9"/>
  <c r="BH119" i="9"/>
  <c r="BH118" i="9"/>
  <c r="BH90" i="9"/>
  <c r="BH93" i="9" s="1"/>
  <c r="BH117" i="9"/>
  <c r="GU36" i="2"/>
  <c r="AD31" i="2"/>
  <c r="AT121" i="9"/>
  <c r="AT120" i="9"/>
  <c r="AT118" i="9"/>
  <c r="AT117" i="9"/>
  <c r="AT119" i="9"/>
  <c r="AT90" i="9"/>
  <c r="DB140" i="9"/>
  <c r="DH111" i="2"/>
  <c r="DH113" i="2"/>
  <c r="DH109" i="2"/>
  <c r="DH114" i="2"/>
  <c r="DH112" i="2"/>
  <c r="DH110" i="2"/>
  <c r="DH116" i="2"/>
  <c r="DH108" i="2"/>
  <c r="DH115" i="2"/>
  <c r="DH117" i="2"/>
  <c r="AY125" i="9"/>
  <c r="AY91" i="9"/>
  <c r="AY126" i="9"/>
  <c r="AY149" i="9" s="1"/>
  <c r="AJ121" i="9"/>
  <c r="AJ120" i="9"/>
  <c r="AJ119" i="9"/>
  <c r="AJ118" i="9"/>
  <c r="AJ90" i="9"/>
  <c r="AJ117" i="9"/>
  <c r="U31" i="2"/>
  <c r="DG125" i="9"/>
  <c r="DG91" i="9"/>
  <c r="AE121" i="9"/>
  <c r="AE119" i="9"/>
  <c r="AE118" i="9"/>
  <c r="AE117" i="9"/>
  <c r="AE90" i="9"/>
  <c r="AE120" i="9"/>
  <c r="LC36" i="2"/>
  <c r="IV44" i="2"/>
  <c r="DL46" i="2"/>
  <c r="OC44" i="2"/>
  <c r="OR44" i="2"/>
  <c r="MJ44" i="2"/>
  <c r="GI36" i="2"/>
  <c r="GY44" i="2"/>
  <c r="CQ140" i="9"/>
  <c r="CW116" i="2"/>
  <c r="CW112" i="2"/>
  <c r="CW109" i="2"/>
  <c r="CW111" i="2"/>
  <c r="CW108" i="2"/>
  <c r="CW113" i="2"/>
  <c r="CW115" i="2"/>
  <c r="CW114" i="2"/>
  <c r="CW110" i="2"/>
  <c r="CW117" i="2"/>
  <c r="HG41" i="2"/>
  <c r="IR41" i="2"/>
  <c r="HR41" i="2"/>
  <c r="FM41" i="2"/>
  <c r="GB41" i="2"/>
  <c r="FC41" i="2"/>
  <c r="HJ41" i="2"/>
  <c r="JD41" i="2"/>
  <c r="HO41" i="2"/>
  <c r="IW41" i="2"/>
  <c r="EW41" i="2"/>
  <c r="HD41" i="2"/>
  <c r="FO41" i="2"/>
  <c r="GH41" i="2"/>
  <c r="HC41" i="2"/>
  <c r="GV41" i="2"/>
  <c r="IN41" i="2"/>
  <c r="GN41" i="2"/>
  <c r="FU41" i="2"/>
  <c r="FX41" i="2"/>
  <c r="EX41" i="2"/>
  <c r="IJ41" i="2"/>
  <c r="FN41" i="2"/>
  <c r="HW41" i="2"/>
  <c r="JT41" i="2"/>
  <c r="HB41" i="2"/>
  <c r="GI41" i="2"/>
  <c r="GO41" i="2"/>
  <c r="GG41" i="2"/>
  <c r="JK41" i="2"/>
  <c r="IO41" i="2"/>
  <c r="FV41" i="2"/>
  <c r="HU41" i="2"/>
  <c r="JN41" i="2"/>
  <c r="HX41" i="2"/>
  <c r="IA41" i="2"/>
  <c r="FF41" i="2"/>
  <c r="HM41" i="2"/>
  <c r="HF41" i="2"/>
  <c r="HN41" i="2"/>
  <c r="IM41" i="2"/>
  <c r="GE41" i="2"/>
  <c r="IL41" i="2"/>
  <c r="IP41" i="2"/>
  <c r="JA41" i="2"/>
  <c r="JC41" i="2"/>
  <c r="IH41" i="2"/>
  <c r="GY41" i="2"/>
  <c r="IK41" i="2"/>
  <c r="JU41" i="2"/>
  <c r="IS41" i="2"/>
  <c r="FD41" i="2"/>
  <c r="JS41" i="2"/>
  <c r="FI41" i="2"/>
  <c r="BT46" i="2"/>
  <c r="GQ41" i="2"/>
  <c r="AR120" i="9"/>
  <c r="AR119" i="9"/>
  <c r="AR118" i="9"/>
  <c r="AR121" i="9"/>
  <c r="AR117" i="9"/>
  <c r="AR90" i="9"/>
  <c r="HN43" i="2"/>
  <c r="FH41" i="2"/>
  <c r="HL41" i="2"/>
  <c r="DD120" i="9"/>
  <c r="DD119" i="9"/>
  <c r="DD118" i="9"/>
  <c r="DD121" i="9"/>
  <c r="DD90" i="9"/>
  <c r="DD93" i="9" s="1"/>
  <c r="DD117" i="9"/>
  <c r="BB125" i="9"/>
  <c r="BB91" i="9"/>
  <c r="DJ121" i="9"/>
  <c r="DJ117" i="9"/>
  <c r="DJ120" i="9"/>
  <c r="DJ118" i="9"/>
  <c r="DJ119" i="9"/>
  <c r="DJ90" i="9"/>
  <c r="DJ93" i="9" s="1"/>
  <c r="LE36" i="2"/>
  <c r="O31" i="2"/>
  <c r="OC36" i="2"/>
  <c r="LU36" i="2"/>
  <c r="OJ36" i="2"/>
  <c r="NR36" i="2"/>
  <c r="LW36" i="2"/>
  <c r="BA140" i="9"/>
  <c r="BG116" i="2"/>
  <c r="BG112" i="2"/>
  <c r="BG110" i="2"/>
  <c r="BG108" i="2"/>
  <c r="BG109" i="2"/>
  <c r="BG115" i="2"/>
  <c r="BG113" i="2"/>
  <c r="BG111" i="2"/>
  <c r="BG114" i="2"/>
  <c r="BY125" i="9"/>
  <c r="BY91" i="9"/>
  <c r="IB36" i="2"/>
  <c r="BT91" i="9"/>
  <c r="BT125" i="9"/>
  <c r="EL109" i="2"/>
  <c r="EL116" i="2"/>
  <c r="EL112" i="2"/>
  <c r="EL113" i="2"/>
  <c r="EL110" i="2"/>
  <c r="EL115" i="2"/>
  <c r="EL108" i="2"/>
  <c r="EL111" i="2"/>
  <c r="EL114" i="2"/>
  <c r="CS31" i="2"/>
  <c r="BC31" i="2"/>
  <c r="JB36" i="2"/>
  <c r="JJ44" i="2"/>
  <c r="EG75" i="2"/>
  <c r="CU120" i="9"/>
  <c r="CU119" i="9"/>
  <c r="CU118" i="9"/>
  <c r="CU117" i="9"/>
  <c r="CU121" i="9"/>
  <c r="CU90" i="9"/>
  <c r="CU93" i="9" s="1"/>
  <c r="AH140" i="9"/>
  <c r="AN111" i="2"/>
  <c r="AN112" i="2"/>
  <c r="AN110" i="2"/>
  <c r="AN109" i="2"/>
  <c r="AN108" i="2"/>
  <c r="JV36" i="2"/>
  <c r="HK44" i="2"/>
  <c r="LO44" i="2"/>
  <c r="CZ31" i="2"/>
  <c r="DK121" i="9"/>
  <c r="DK120" i="9"/>
  <c r="DK119" i="9"/>
  <c r="DK117" i="9"/>
  <c r="DK118" i="9"/>
  <c r="DK90" i="9"/>
  <c r="DK93" i="9" s="1"/>
  <c r="NN36" i="2"/>
  <c r="IV42" i="2"/>
  <c r="DC140" i="9"/>
  <c r="DI114" i="2"/>
  <c r="DI109" i="2"/>
  <c r="DI113" i="2"/>
  <c r="DI112" i="2"/>
  <c r="DI115" i="2"/>
  <c r="DI116" i="2"/>
  <c r="DI108" i="2"/>
  <c r="DI110" i="2"/>
  <c r="DI111" i="2"/>
  <c r="OG44" i="2"/>
  <c r="MW44" i="2"/>
  <c r="KO44" i="2"/>
  <c r="BG121" i="9"/>
  <c r="BG120" i="9"/>
  <c r="BG119" i="9"/>
  <c r="BG117" i="9"/>
  <c r="BG90" i="9"/>
  <c r="BG93" i="9" s="1"/>
  <c r="BG118" i="9"/>
  <c r="NG36" i="2"/>
  <c r="DR125" i="9"/>
  <c r="DR91" i="9"/>
  <c r="CC121" i="9"/>
  <c r="CC119" i="9"/>
  <c r="CC117" i="9"/>
  <c r="CC90" i="9"/>
  <c r="CC93" i="9" s="1"/>
  <c r="CC118" i="9"/>
  <c r="CC120" i="9"/>
  <c r="DA34" i="7"/>
  <c r="DB34" i="7" s="1"/>
  <c r="HG36" i="2"/>
  <c r="DF105" i="2"/>
  <c r="DV105" i="2"/>
  <c r="AA105" i="2"/>
  <c r="HA36" i="2"/>
  <c r="FY36" i="2"/>
  <c r="KZ104" i="2"/>
  <c r="KM104" i="2"/>
  <c r="PA104" i="2"/>
  <c r="ON104" i="2"/>
  <c r="OA104" i="2"/>
  <c r="NN104" i="2"/>
  <c r="NA104" i="2"/>
  <c r="NJ104" i="2"/>
  <c r="LO104" i="2"/>
  <c r="MA104" i="2"/>
  <c r="MK104" i="2"/>
  <c r="KN104" i="2"/>
  <c r="PB104" i="2"/>
  <c r="OO104" i="2"/>
  <c r="OB104" i="2"/>
  <c r="NO104" i="2"/>
  <c r="NB104" i="2"/>
  <c r="MO104" i="2"/>
  <c r="LZ104" i="2"/>
  <c r="OH104" i="2"/>
  <c r="LM104" i="2"/>
  <c r="NK104" i="2"/>
  <c r="PC104" i="2"/>
  <c r="OP104" i="2"/>
  <c r="OC104" i="2"/>
  <c r="NP104" i="2"/>
  <c r="NC104" i="2"/>
  <c r="MP104" i="2"/>
  <c r="MC104" i="2"/>
  <c r="KP104" i="2"/>
  <c r="MX104" i="2"/>
  <c r="PG104" i="2"/>
  <c r="MW104" i="2"/>
  <c r="OF104" i="2"/>
  <c r="NS104" i="2"/>
  <c r="NF104" i="2"/>
  <c r="MS104" i="2"/>
  <c r="MF104" i="2"/>
  <c r="LS104" i="2"/>
  <c r="LF104" i="2"/>
  <c r="KS104" i="2"/>
  <c r="LY104" i="2"/>
  <c r="NX104" i="2"/>
  <c r="LA104" i="2"/>
  <c r="NT104" i="2"/>
  <c r="NG104" i="2"/>
  <c r="MT104" i="2"/>
  <c r="MG104" i="2"/>
  <c r="LT104" i="2"/>
  <c r="LG104" i="2"/>
  <c r="KT104" i="2"/>
  <c r="KG104" i="2"/>
  <c r="KO104" i="2"/>
  <c r="MN104" i="2"/>
  <c r="OU104" i="2"/>
  <c r="MV104" i="2"/>
  <c r="MI104" i="2"/>
  <c r="LV104" i="2"/>
  <c r="LI104" i="2"/>
  <c r="KV104" i="2"/>
  <c r="KI104" i="2"/>
  <c r="OW104" i="2"/>
  <c r="NL104" i="2"/>
  <c r="MZ104" i="2"/>
  <c r="PF104" i="2"/>
  <c r="OG104" i="2"/>
  <c r="LE41" i="2"/>
  <c r="LX41" i="2"/>
  <c r="MB41" i="2"/>
  <c r="Y121" i="9"/>
  <c r="Y120" i="9"/>
  <c r="Y119" i="9"/>
  <c r="Y118" i="9"/>
  <c r="Y117" i="9"/>
  <c r="Y90" i="9"/>
  <c r="IN44" i="2"/>
  <c r="GA42" i="2"/>
  <c r="JW41" i="2"/>
  <c r="DA29" i="7"/>
  <c r="DB29" i="7" s="1"/>
  <c r="LQ36" i="2"/>
  <c r="CE121" i="9"/>
  <c r="CE120" i="9"/>
  <c r="CE119" i="9"/>
  <c r="CE117" i="9"/>
  <c r="CE90" i="9"/>
  <c r="CE93" i="9" s="1"/>
  <c r="CE118" i="9"/>
  <c r="AZ125" i="9"/>
  <c r="AZ91" i="9"/>
  <c r="CP121" i="9"/>
  <c r="CP120" i="9"/>
  <c r="CP118" i="9"/>
  <c r="CP117" i="9"/>
  <c r="CP119" i="9"/>
  <c r="CP90" i="9"/>
  <c r="CP93" i="9" s="1"/>
  <c r="LY36" i="2"/>
  <c r="MV36" i="2"/>
  <c r="PH36" i="2"/>
  <c r="LD36" i="2"/>
  <c r="PC36" i="2"/>
  <c r="DU31" i="2"/>
  <c r="AF140" i="9"/>
  <c r="AL108" i="2"/>
  <c r="AL109" i="2"/>
  <c r="AL110" i="2"/>
  <c r="CP125" i="9"/>
  <c r="CP91" i="9"/>
  <c r="BM31" i="2"/>
  <c r="EV239" i="2"/>
  <c r="HZ36" i="2"/>
  <c r="EG31" i="2"/>
  <c r="CC125" i="9"/>
  <c r="CC91" i="9"/>
  <c r="HV36" i="2"/>
  <c r="HY36" i="2"/>
  <c r="IC36" i="2"/>
  <c r="EB46" i="2"/>
  <c r="JH36" i="2"/>
  <c r="AE125" i="9"/>
  <c r="AE91" i="9"/>
  <c r="G125" i="9"/>
  <c r="G91" i="9"/>
  <c r="AA125" i="9"/>
  <c r="AA91" i="9"/>
  <c r="N125" i="9"/>
  <c r="N91" i="9"/>
  <c r="N126" i="9"/>
  <c r="N149" i="9" s="1"/>
  <c r="IJ36" i="2"/>
  <c r="KH36" i="2"/>
  <c r="AL31" i="2"/>
  <c r="AE126" i="9"/>
  <c r="AE149" i="9" s="1"/>
  <c r="OY44" i="2"/>
  <c r="MG44" i="2"/>
  <c r="CH125" i="9"/>
  <c r="CH91" i="9"/>
  <c r="BB126" i="9"/>
  <c r="BB149" i="9" s="1"/>
  <c r="IW36" i="2"/>
  <c r="FA44" i="2"/>
  <c r="GY42" i="2"/>
  <c r="IG43" i="2"/>
  <c r="JQ43" i="2"/>
  <c r="HG43" i="2"/>
  <c r="HJ43" i="2"/>
  <c r="IL43" i="2"/>
  <c r="JW43" i="2"/>
  <c r="IN43" i="2"/>
  <c r="GN43" i="2"/>
  <c r="HA43" i="2"/>
  <c r="JV43" i="2"/>
  <c r="FN43" i="2"/>
  <c r="IC43" i="2"/>
  <c r="FO43" i="2"/>
  <c r="JD43" i="2"/>
  <c r="GT43" i="2"/>
  <c r="HC43" i="2"/>
  <c r="IM43" i="2"/>
  <c r="IW43" i="2"/>
  <c r="GG43" i="2"/>
  <c r="FC43" i="2"/>
  <c r="FR43" i="2"/>
  <c r="HL43" i="2"/>
  <c r="GK43" i="2"/>
  <c r="GA43" i="2"/>
  <c r="HF43" i="2"/>
  <c r="JC43" i="2"/>
  <c r="FI43" i="2"/>
  <c r="GY43" i="2"/>
  <c r="EX43" i="2"/>
  <c r="JK43" i="2"/>
  <c r="FE43" i="2"/>
  <c r="IJ43" i="2"/>
  <c r="GU43" i="2"/>
  <c r="GM43" i="2"/>
  <c r="GF43" i="2"/>
  <c r="JN43" i="2"/>
  <c r="HT43" i="2"/>
  <c r="JT43" i="2"/>
  <c r="HR43" i="2"/>
  <c r="HP43" i="2"/>
  <c r="FX43" i="2"/>
  <c r="HK43" i="2"/>
  <c r="IX43" i="2"/>
  <c r="HM43" i="2"/>
  <c r="JS43" i="2"/>
  <c r="FD43" i="2"/>
  <c r="GQ43" i="2"/>
  <c r="JA43" i="2"/>
  <c r="FQ43" i="2"/>
  <c r="FY43" i="2"/>
  <c r="FM43" i="2"/>
  <c r="GE43" i="2"/>
  <c r="IV43" i="2"/>
  <c r="IA43" i="2"/>
  <c r="IQ43" i="2"/>
  <c r="FH43" i="2"/>
  <c r="IP43" i="2"/>
  <c r="FF43" i="2"/>
  <c r="IR43" i="2"/>
  <c r="JD42" i="2"/>
  <c r="KS41" i="2"/>
  <c r="LS41" i="2"/>
  <c r="KK41" i="2"/>
  <c r="FU36" i="2"/>
  <c r="AD117" i="9"/>
  <c r="AD120" i="9"/>
  <c r="AD118" i="9"/>
  <c r="AD119" i="9"/>
  <c r="AD121" i="9"/>
  <c r="AD90" i="9"/>
  <c r="FQ41" i="2"/>
  <c r="DQ120" i="9"/>
  <c r="DQ119" i="9"/>
  <c r="DQ118" i="9"/>
  <c r="DQ117" i="9"/>
  <c r="DQ121" i="9"/>
  <c r="DQ90" i="9"/>
  <c r="DQ93" i="9" s="1"/>
  <c r="KY36" i="2"/>
  <c r="JO105" i="2"/>
  <c r="FM44" i="2"/>
  <c r="GH43" i="2"/>
  <c r="BU121" i="9"/>
  <c r="BU120" i="9"/>
  <c r="BU119" i="9"/>
  <c r="BU118" i="9"/>
  <c r="BU117" i="9"/>
  <c r="BU90" i="9"/>
  <c r="BU93" i="9" s="1"/>
  <c r="W31" i="2"/>
  <c r="EV205" i="2"/>
  <c r="BQ121" i="9"/>
  <c r="BQ119" i="9"/>
  <c r="BQ118" i="9"/>
  <c r="BQ117" i="9"/>
  <c r="BQ120" i="9"/>
  <c r="BQ90" i="9"/>
  <c r="BQ93" i="9" s="1"/>
  <c r="EC75" i="2"/>
  <c r="KT36" i="2"/>
  <c r="DA35" i="7"/>
  <c r="DB35" i="7" s="1"/>
  <c r="DC35" i="7" s="1"/>
  <c r="EE31" i="2"/>
  <c r="AC140" i="9"/>
  <c r="AI108" i="2"/>
  <c r="IX36" i="2"/>
  <c r="IZ36" i="2"/>
  <c r="JL36" i="2"/>
  <c r="BA126" i="9"/>
  <c r="BA149" i="9" s="1"/>
  <c r="GF36" i="2"/>
  <c r="EC31" i="2"/>
  <c r="BY140" i="9"/>
  <c r="CE111" i="2"/>
  <c r="CE109" i="2"/>
  <c r="CE113" i="2"/>
  <c r="CE110" i="2"/>
  <c r="CE114" i="2"/>
  <c r="CE115" i="2"/>
  <c r="CE108" i="2"/>
  <c r="CE112" i="2"/>
  <c r="CE116" i="2"/>
  <c r="CE117" i="2"/>
  <c r="K28" i="2"/>
  <c r="CJ125" i="9"/>
  <c r="CJ91" i="9"/>
  <c r="FJ36" i="2"/>
  <c r="CL140" i="9"/>
  <c r="CR113" i="2"/>
  <c r="CR116" i="2"/>
  <c r="CR110" i="2"/>
  <c r="CR112" i="2"/>
  <c r="CR108" i="2"/>
  <c r="CR115" i="2"/>
  <c r="CR111" i="2"/>
  <c r="CR109" i="2"/>
  <c r="CR114" i="2"/>
  <c r="OX44" i="2"/>
  <c r="OW44" i="2"/>
  <c r="LC44" i="2"/>
  <c r="LF44" i="2"/>
  <c r="LE44" i="2"/>
  <c r="MC44" i="2"/>
  <c r="NZ44" i="2"/>
  <c r="KH44" i="2"/>
  <c r="KG44" i="2"/>
  <c r="OD44" i="2"/>
  <c r="OS44" i="2"/>
  <c r="KX44" i="2"/>
  <c r="MF44" i="2"/>
  <c r="NH44" i="2"/>
  <c r="MX44" i="2"/>
  <c r="LZ44" i="2"/>
  <c r="KY44" i="2"/>
  <c r="PG44" i="2"/>
  <c r="OL44" i="2"/>
  <c r="MM44" i="2"/>
  <c r="LK44" i="2"/>
  <c r="AQ44" i="2" s="1"/>
  <c r="OT44" i="2"/>
  <c r="NB44" i="2"/>
  <c r="LB44" i="2"/>
  <c r="NM44" i="2"/>
  <c r="PF44" i="2"/>
  <c r="LL44" i="2"/>
  <c r="NA44" i="2"/>
  <c r="MI44" i="2"/>
  <c r="ND44" i="2"/>
  <c r="NK44" i="2"/>
  <c r="OP44" i="2"/>
  <c r="LJ44" i="2"/>
  <c r="OB44" i="2"/>
  <c r="NW44" i="2"/>
  <c r="MH44" i="2"/>
  <c r="KV44" i="2"/>
  <c r="OU44" i="2"/>
  <c r="NN44" i="2"/>
  <c r="MY44" i="2"/>
  <c r="LA44" i="2"/>
  <c r="MD44" i="2"/>
  <c r="ML44" i="2"/>
  <c r="MK44" i="2"/>
  <c r="ME44" i="2"/>
  <c r="MU44" i="2"/>
  <c r="LP44" i="2"/>
  <c r="OO44" i="2"/>
  <c r="KU44" i="2"/>
  <c r="LN44" i="2"/>
  <c r="MZ44" i="2"/>
  <c r="MT44" i="2"/>
  <c r="OA44" i="2"/>
  <c r="NO44" i="2"/>
  <c r="OJ44" i="2"/>
  <c r="MB44" i="2"/>
  <c r="PH44" i="2"/>
  <c r="MN44" i="2"/>
  <c r="LY44" i="2"/>
  <c r="KN44" i="2"/>
  <c r="PA44" i="2"/>
  <c r="MQ44" i="2"/>
  <c r="NI44" i="2"/>
  <c r="NC44" i="2"/>
  <c r="KW44" i="2"/>
  <c r="PD44" i="2"/>
  <c r="NP44" i="2"/>
  <c r="ON44" i="2"/>
  <c r="LQ44" i="2"/>
  <c r="OV44" i="2"/>
  <c r="LX44" i="2"/>
  <c r="NL44" i="2"/>
  <c r="NE44" i="2"/>
  <c r="OE44" i="2"/>
  <c r="OH44" i="2"/>
  <c r="MP44" i="2"/>
  <c r="OZ44" i="2"/>
  <c r="NT44" i="2"/>
  <c r="LG44" i="2"/>
  <c r="KM44" i="2"/>
  <c r="MV44" i="2"/>
  <c r="KL44" i="2"/>
  <c r="JG36" i="2"/>
  <c r="AW31" i="2"/>
  <c r="DF118" i="2"/>
  <c r="CI118" i="2"/>
  <c r="DE118" i="2"/>
  <c r="BJ118" i="2"/>
  <c r="BH118" i="2"/>
  <c r="BU118" i="2"/>
  <c r="AR118" i="2"/>
  <c r="BG118" i="2"/>
  <c r="EM118" i="2"/>
  <c r="AA118" i="2"/>
  <c r="DT118" i="2"/>
  <c r="Z118" i="2"/>
  <c r="X118" i="2"/>
  <c r="M118" i="2"/>
  <c r="AW118" i="2"/>
  <c r="CM118" i="2"/>
  <c r="CY118" i="2"/>
  <c r="CF118" i="2"/>
  <c r="DG118" i="2"/>
  <c r="AN118" i="2"/>
  <c r="BX118" i="2"/>
  <c r="AL118" i="2"/>
  <c r="BM118" i="2"/>
  <c r="CK118" i="2"/>
  <c r="DI118" i="2"/>
  <c r="EG118" i="2"/>
  <c r="DK118" i="2"/>
  <c r="CB118" i="2"/>
  <c r="CP118" i="2"/>
  <c r="CE118" i="2"/>
  <c r="CS118" i="2"/>
  <c r="EC118" i="2"/>
  <c r="AY118" i="2"/>
  <c r="CV118" i="2"/>
  <c r="AV118" i="2"/>
  <c r="T118" i="2"/>
  <c r="AS118" i="2"/>
  <c r="DY118" i="2"/>
  <c r="DC118" i="2"/>
  <c r="DD118" i="2"/>
  <c r="BW118" i="2"/>
  <c r="CJ118" i="2"/>
  <c r="L118" i="2"/>
  <c r="Q118" i="2"/>
  <c r="AO118" i="2"/>
  <c r="R118" i="2"/>
  <c r="DV118" i="2"/>
  <c r="EH118" i="2"/>
  <c r="AQ118" i="2"/>
  <c r="BO118" i="2"/>
  <c r="BQ118" i="2"/>
  <c r="BR118" i="2"/>
  <c r="EA118" i="2"/>
  <c r="O118" i="2"/>
  <c r="BV118" i="2"/>
  <c r="CN118" i="2"/>
  <c r="CO118" i="2"/>
  <c r="V118" i="2"/>
  <c r="AU118" i="2"/>
  <c r="Y118" i="2"/>
  <c r="AK118" i="2"/>
  <c r="CU118" i="2"/>
  <c r="AB118" i="2"/>
  <c r="AZ118" i="2"/>
  <c r="AP118" i="2"/>
  <c r="CL118" i="2"/>
  <c r="DJ118" i="2"/>
  <c r="AE118" i="2"/>
  <c r="CA118" i="2"/>
  <c r="DB118" i="2"/>
  <c r="BS118" i="2"/>
  <c r="AM118" i="2"/>
  <c r="DH118" i="2"/>
  <c r="CR118" i="2"/>
  <c r="CG118" i="2"/>
  <c r="DP118" i="2"/>
  <c r="BT118" i="2"/>
  <c r="BY118" i="2"/>
  <c r="CW118" i="2"/>
  <c r="DU118" i="2"/>
  <c r="BB118" i="2"/>
  <c r="BN118" i="2"/>
  <c r="S118" i="2"/>
  <c r="AF118" i="2"/>
  <c r="DX118" i="2"/>
  <c r="AG118" i="2"/>
  <c r="DM118" i="2"/>
  <c r="AJ118" i="2"/>
  <c r="DS118" i="2"/>
  <c r="BK118" i="2"/>
  <c r="EB118" i="2"/>
  <c r="ED118" i="2"/>
  <c r="BI118" i="2"/>
  <c r="CH118" i="2"/>
  <c r="BA118" i="2"/>
  <c r="EI118" i="2"/>
  <c r="CZ118" i="2"/>
  <c r="BE118" i="2"/>
  <c r="EK118" i="2"/>
  <c r="AH118" i="2"/>
  <c r="EL118" i="2"/>
  <c r="DO118" i="2"/>
  <c r="BZ118" i="2"/>
  <c r="EJ118" i="2"/>
  <c r="W118" i="2"/>
  <c r="AD118" i="2"/>
  <c r="BD118" i="2"/>
  <c r="BF118" i="2"/>
  <c r="CT118" i="2"/>
  <c r="AT118" i="2"/>
  <c r="AX118" i="2"/>
  <c r="BC118" i="2"/>
  <c r="DL118" i="2"/>
  <c r="CC118" i="2"/>
  <c r="DA118" i="2"/>
  <c r="EN118" i="2"/>
  <c r="DQ118" i="2"/>
  <c r="AC118" i="2"/>
  <c r="CX118" i="2"/>
  <c r="CD118" i="2"/>
  <c r="DZ118" i="2"/>
  <c r="N118" i="2"/>
  <c r="EE118" i="2"/>
  <c r="DW118" i="2"/>
  <c r="DN118" i="2"/>
  <c r="AI118" i="2"/>
  <c r="BL118" i="2"/>
  <c r="BP118" i="2"/>
  <c r="P118" i="2"/>
  <c r="EF118" i="2"/>
  <c r="DR118" i="2"/>
  <c r="U118" i="2"/>
  <c r="CQ118" i="2"/>
  <c r="E120" i="2"/>
  <c r="FX36" i="2"/>
  <c r="AZ126" i="9"/>
  <c r="AZ149" i="9" s="1"/>
  <c r="E145" i="2"/>
  <c r="D145" i="2"/>
  <c r="G21" i="1"/>
  <c r="CG31" i="2"/>
  <c r="AH126" i="9"/>
  <c r="AH149" i="9" s="1"/>
  <c r="FR41" i="2"/>
  <c r="CN120" i="9"/>
  <c r="CN119" i="9"/>
  <c r="CN118" i="9"/>
  <c r="CN121" i="9"/>
  <c r="CN117" i="9"/>
  <c r="CN90" i="9"/>
  <c r="CN93" i="9" s="1"/>
  <c r="DL121" i="9"/>
  <c r="DL120" i="9"/>
  <c r="DL119" i="9"/>
  <c r="DL118" i="9"/>
  <c r="DL117" i="9"/>
  <c r="DL90" i="9"/>
  <c r="DL93" i="9" s="1"/>
  <c r="T120" i="9"/>
  <c r="T119" i="9"/>
  <c r="T118" i="9"/>
  <c r="T121" i="9"/>
  <c r="T117" i="9"/>
  <c r="T90" i="9"/>
  <c r="AJ125" i="9"/>
  <c r="AJ91" i="9"/>
  <c r="AB31" i="2"/>
  <c r="LT36" i="2"/>
  <c r="MN36" i="2"/>
  <c r="NE36" i="2"/>
  <c r="NO36" i="2"/>
  <c r="KR36" i="2"/>
  <c r="KN36" i="2"/>
  <c r="AT31" i="2"/>
  <c r="BC125" i="9"/>
  <c r="BC91" i="9"/>
  <c r="BC126" i="9"/>
  <c r="BC149" i="9" s="1"/>
  <c r="AP31" i="2"/>
  <c r="BK125" i="9"/>
  <c r="BK91" i="9"/>
  <c r="CO31" i="2"/>
  <c r="CJ31" i="2"/>
  <c r="CX140" i="9"/>
  <c r="DD111" i="2"/>
  <c r="DD116" i="2"/>
  <c r="DD108" i="2"/>
  <c r="DD115" i="2"/>
  <c r="DD112" i="2"/>
  <c r="DD110" i="2"/>
  <c r="DD109" i="2"/>
  <c r="DD114" i="2"/>
  <c r="DD113" i="2"/>
  <c r="AD125" i="9"/>
  <c r="AD91" i="9"/>
  <c r="G121" i="9"/>
  <c r="G119" i="9"/>
  <c r="G117" i="9"/>
  <c r="G118" i="9"/>
  <c r="G120" i="9"/>
  <c r="G90" i="9"/>
  <c r="JQ44" i="2"/>
  <c r="HF44" i="2"/>
  <c r="HC44" i="2"/>
  <c r="HB44" i="2"/>
  <c r="GV44" i="2"/>
  <c r="GE44" i="2"/>
  <c r="JP44" i="2"/>
  <c r="GC44" i="2"/>
  <c r="FV44" i="2"/>
  <c r="GM44" i="2"/>
  <c r="GF44" i="2"/>
  <c r="IZ44" i="2"/>
  <c r="IQ44" i="2"/>
  <c r="IL44" i="2"/>
  <c r="HQ44" i="2"/>
  <c r="FX44" i="2"/>
  <c r="HH44" i="2"/>
  <c r="HI44" i="2"/>
  <c r="GH44" i="2"/>
  <c r="FF44" i="2"/>
  <c r="GK44" i="2"/>
  <c r="GQ44" i="2"/>
  <c r="EX44" i="2"/>
  <c r="EZ44" i="2"/>
  <c r="FE44" i="2"/>
  <c r="IJ44" i="2"/>
  <c r="IA44" i="2"/>
  <c r="IS44" i="2"/>
  <c r="JS44" i="2"/>
  <c r="FO44" i="2"/>
  <c r="FU44" i="2"/>
  <c r="FC44" i="2"/>
  <c r="FD44" i="2"/>
  <c r="IR44" i="2"/>
  <c r="FR44" i="2"/>
  <c r="HM44" i="2"/>
  <c r="HR44" i="2"/>
  <c r="GX44" i="2"/>
  <c r="GN44" i="2"/>
  <c r="FY44" i="2"/>
  <c r="GO44" i="2"/>
  <c r="JG44" i="2"/>
  <c r="IO44" i="2"/>
  <c r="IE44" i="2"/>
  <c r="HL44" i="2"/>
  <c r="FH44" i="2"/>
  <c r="IP44" i="2"/>
  <c r="HE44" i="2"/>
  <c r="HG44" i="2"/>
  <c r="GG44" i="2"/>
  <c r="IH44" i="2"/>
  <c r="FJ44" i="2"/>
  <c r="JH44" i="2"/>
  <c r="GR44" i="2"/>
  <c r="IF44" i="2"/>
  <c r="JW44" i="2"/>
  <c r="GB44" i="2"/>
  <c r="GZ44" i="2"/>
  <c r="JD44" i="2"/>
  <c r="ID44" i="2"/>
  <c r="JC44" i="2"/>
  <c r="IM44" i="2"/>
  <c r="HD44" i="2"/>
  <c r="HA44" i="2"/>
  <c r="HO44" i="2"/>
  <c r="FZ44" i="2"/>
  <c r="JK44" i="2"/>
  <c r="HJ44" i="2"/>
  <c r="OH36" i="2"/>
  <c r="I121" i="9"/>
  <c r="I119" i="9"/>
  <c r="I117" i="9"/>
  <c r="I118" i="9"/>
  <c r="I120" i="9"/>
  <c r="I90" i="9"/>
  <c r="GT36" i="2"/>
  <c r="DG120" i="9"/>
  <c r="DG119" i="9"/>
  <c r="DG118" i="9"/>
  <c r="DG117" i="9"/>
  <c r="DG121" i="9"/>
  <c r="DG90" i="9"/>
  <c r="DG93" i="9" s="1"/>
  <c r="AU125" i="9"/>
  <c r="AU91" i="9"/>
  <c r="IV36" i="2"/>
  <c r="OF44" i="2"/>
  <c r="LI44" i="2"/>
  <c r="FH42" i="2"/>
  <c r="FO42" i="2"/>
  <c r="HB42" i="2"/>
  <c r="FA42" i="2"/>
  <c r="HQ42" i="2"/>
  <c r="IO42" i="2"/>
  <c r="JN42" i="2"/>
  <c r="HX42" i="2"/>
  <c r="FS42" i="2"/>
  <c r="HJ42" i="2"/>
  <c r="IG42" i="2"/>
  <c r="JC42" i="2"/>
  <c r="FQ42" i="2"/>
  <c r="HD42" i="2"/>
  <c r="FY42" i="2"/>
  <c r="GO42" i="2"/>
  <c r="JU42" i="2"/>
  <c r="HF42" i="2"/>
  <c r="HN42" i="2"/>
  <c r="FZ42" i="2"/>
  <c r="HI42" i="2"/>
  <c r="FU42" i="2"/>
  <c r="IH42" i="2"/>
  <c r="HE42" i="2"/>
  <c r="HM42" i="2"/>
  <c r="IL42" i="2"/>
  <c r="FM42" i="2"/>
  <c r="GK42" i="2"/>
  <c r="EW42" i="2"/>
  <c r="JO42" i="2"/>
  <c r="JG42" i="2"/>
  <c r="JA42" i="2"/>
  <c r="GH42" i="2"/>
  <c r="FC42" i="2"/>
  <c r="GV42" i="2"/>
  <c r="GQ42" i="2"/>
  <c r="HH42" i="2"/>
  <c r="FX42" i="2"/>
  <c r="GG42" i="2"/>
  <c r="GT42" i="2"/>
  <c r="FV42" i="2"/>
  <c r="IS42" i="2"/>
  <c r="JS42" i="2"/>
  <c r="FR42" i="2"/>
  <c r="HG42" i="2"/>
  <c r="GN42" i="2"/>
  <c r="GB42" i="2"/>
  <c r="IE42" i="2"/>
  <c r="FN42" i="2"/>
  <c r="JB42" i="2"/>
  <c r="FW42" i="2"/>
  <c r="FK42" i="2"/>
  <c r="HV42" i="2"/>
  <c r="GI42" i="2"/>
  <c r="IR42" i="2"/>
  <c r="IQ42" i="2"/>
  <c r="HC42" i="2"/>
  <c r="II42" i="2"/>
  <c r="IP42" i="2"/>
  <c r="GX42" i="2"/>
  <c r="JQ42" i="2"/>
  <c r="FI42" i="2"/>
  <c r="IW42" i="2"/>
  <c r="FF42" i="2"/>
  <c r="HL42" i="2"/>
  <c r="FD42" i="2"/>
  <c r="JW42" i="2"/>
  <c r="FB42" i="2"/>
  <c r="HP42" i="2"/>
  <c r="IA42" i="2"/>
  <c r="HR42" i="2"/>
  <c r="AB119" i="9"/>
  <c r="AB118" i="9"/>
  <c r="AB117" i="9"/>
  <c r="AB120" i="9"/>
  <c r="AB121" i="9"/>
  <c r="AB90" i="9"/>
  <c r="BF140" i="9"/>
  <c r="BL116" i="2"/>
  <c r="BL112" i="2"/>
  <c r="BL115" i="2"/>
  <c r="BL110" i="2"/>
  <c r="BL114" i="2"/>
  <c r="BL113" i="2"/>
  <c r="BL109" i="2"/>
  <c r="BL108" i="2"/>
  <c r="BL111" i="2"/>
  <c r="BL117" i="2"/>
  <c r="NP36" i="2"/>
  <c r="II44" i="2"/>
  <c r="CY44" i="2" s="1"/>
  <c r="CE31" i="2"/>
  <c r="HA41" i="2"/>
  <c r="GZ41" i="2"/>
  <c r="KT41" i="2"/>
  <c r="MK41" i="2"/>
  <c r="MN41" i="2"/>
  <c r="HP41" i="2"/>
  <c r="JA44" i="2"/>
  <c r="CG140" i="9"/>
  <c r="CM109" i="2"/>
  <c r="CM113" i="2"/>
  <c r="CM112" i="2"/>
  <c r="CM110" i="2"/>
  <c r="CM115" i="2"/>
  <c r="CM116" i="2"/>
  <c r="CM108" i="2"/>
  <c r="CM114" i="2"/>
  <c r="CM111" i="2"/>
  <c r="GX43" i="2"/>
  <c r="GE105" i="2"/>
  <c r="HS105" i="2"/>
  <c r="AZ31" i="2"/>
  <c r="EN31" i="2"/>
  <c r="AO140" i="9"/>
  <c r="AU110" i="2"/>
  <c r="AU115" i="2"/>
  <c r="AU109" i="2"/>
  <c r="AU116" i="2"/>
  <c r="AU114" i="2"/>
  <c r="AU108" i="2"/>
  <c r="AU112" i="2"/>
  <c r="AU113" i="2"/>
  <c r="AU111" i="2"/>
  <c r="AU117" i="2"/>
  <c r="AB125" i="9"/>
  <c r="AB91" i="9"/>
  <c r="AB126" i="9"/>
  <c r="AB149" i="9" s="1"/>
  <c r="CO121" i="9"/>
  <c r="CO119" i="9"/>
  <c r="CO118" i="9"/>
  <c r="CO117" i="9"/>
  <c r="CO120" i="9"/>
  <c r="CO90" i="9"/>
  <c r="CO93" i="9" s="1"/>
  <c r="AF31" i="2"/>
  <c r="MS36" i="2"/>
  <c r="NI36" i="2"/>
  <c r="KI36" i="2"/>
  <c r="NX36" i="2"/>
  <c r="LG36" i="2"/>
  <c r="KM36" i="2"/>
  <c r="BN140" i="9"/>
  <c r="BT116" i="2"/>
  <c r="BT111" i="2"/>
  <c r="BT114" i="2"/>
  <c r="BT109" i="2"/>
  <c r="BT115" i="2"/>
  <c r="BT108" i="2"/>
  <c r="BT117" i="2"/>
  <c r="BT113" i="2"/>
  <c r="BT110" i="2"/>
  <c r="BT112" i="2"/>
  <c r="Z125" i="9"/>
  <c r="Z91" i="9"/>
  <c r="BL119" i="9"/>
  <c r="BL118" i="9"/>
  <c r="BL117" i="9"/>
  <c r="BL120" i="9"/>
  <c r="BL121" i="9"/>
  <c r="BL90" i="9"/>
  <c r="BL93" i="9" s="1"/>
  <c r="AZ140" i="9"/>
  <c r="BF113" i="2"/>
  <c r="BF114" i="2"/>
  <c r="BF108" i="2"/>
  <c r="BF115" i="2"/>
  <c r="BF110" i="2"/>
  <c r="BF109" i="2"/>
  <c r="BF112" i="2"/>
  <c r="BF111" i="2"/>
  <c r="BF116" i="2"/>
  <c r="DF120" i="9"/>
  <c r="DF119" i="9"/>
  <c r="DF118" i="9"/>
  <c r="DF117" i="9"/>
  <c r="DF121" i="9"/>
  <c r="DF90" i="9"/>
  <c r="DF93" i="9" s="1"/>
  <c r="O125" i="9"/>
  <c r="O91" i="9"/>
  <c r="O126" i="9"/>
  <c r="O149" i="9" s="1"/>
  <c r="BN117" i="9"/>
  <c r="BN121" i="9"/>
  <c r="BN120" i="9"/>
  <c r="BN118" i="9"/>
  <c r="BN119" i="9"/>
  <c r="BN90" i="9"/>
  <c r="BN93" i="9" s="1"/>
  <c r="FK36" i="2"/>
  <c r="BK31" i="2"/>
  <c r="CD125" i="9"/>
  <c r="CD91" i="9"/>
  <c r="K30" i="2"/>
  <c r="L125" i="9"/>
  <c r="L91" i="9"/>
  <c r="L126" i="9"/>
  <c r="L149" i="9" s="1"/>
  <c r="EJ115" i="2"/>
  <c r="EJ110" i="2"/>
  <c r="EJ108" i="2"/>
  <c r="EJ111" i="2"/>
  <c r="EJ114" i="2"/>
  <c r="EJ109" i="2"/>
  <c r="EJ112" i="2"/>
  <c r="EJ113" i="2"/>
  <c r="EJ116" i="2"/>
  <c r="EJ117" i="2"/>
  <c r="DE31" i="2"/>
  <c r="LU44" i="2"/>
  <c r="KZ44" i="2"/>
  <c r="CF140" i="9"/>
  <c r="CL109" i="2"/>
  <c r="CL108" i="2"/>
  <c r="CL115" i="2"/>
  <c r="CL113" i="2"/>
  <c r="CL110" i="2"/>
  <c r="CL112" i="2"/>
  <c r="CL111" i="2"/>
  <c r="CL114" i="2"/>
  <c r="CL116" i="2"/>
  <c r="IW44" i="2"/>
  <c r="X121" i="9"/>
  <c r="X120" i="9"/>
  <c r="X119" i="9"/>
  <c r="X118" i="9"/>
  <c r="X117" i="9"/>
  <c r="X90" i="9"/>
  <c r="JO44" i="2"/>
  <c r="AN31" i="2"/>
  <c r="EH75" i="2"/>
  <c r="HO42" i="2"/>
  <c r="DT31" i="2"/>
  <c r="GZ42" i="2"/>
  <c r="MO41" i="2"/>
  <c r="NN41" i="2"/>
  <c r="NJ41" i="2"/>
  <c r="LH41" i="2"/>
  <c r="NK41" i="2"/>
  <c r="MD41" i="2"/>
  <c r="LZ41" i="2"/>
  <c r="MY41" i="2"/>
  <c r="NH41" i="2"/>
  <c r="NM41" i="2"/>
  <c r="NA41" i="2"/>
  <c r="MX41" i="2"/>
  <c r="OS41" i="2"/>
  <c r="MI41" i="2"/>
  <c r="OD41" i="2"/>
  <c r="LT41" i="2"/>
  <c r="PF41" i="2"/>
  <c r="MC41" i="2"/>
  <c r="PC41" i="2"/>
  <c r="LY41" i="2"/>
  <c r="OC41" i="2"/>
  <c r="OR41" i="2"/>
  <c r="LU41" i="2"/>
  <c r="KW41" i="2"/>
  <c r="LM41" i="2"/>
  <c r="NG41" i="2"/>
  <c r="OK41" i="2"/>
  <c r="KJ41" i="2"/>
  <c r="OE41" i="2"/>
  <c r="KF41" i="2"/>
  <c r="PD41" i="2"/>
  <c r="NR41" i="2"/>
  <c r="NF41" i="2"/>
  <c r="LN41" i="2"/>
  <c r="NY41" i="2"/>
  <c r="KX41" i="2"/>
  <c r="OI41" i="2"/>
  <c r="OZ41" i="2"/>
  <c r="NU41" i="2"/>
  <c r="KI41" i="2"/>
  <c r="MU41" i="2"/>
  <c r="PA41" i="2"/>
  <c r="NC41" i="2"/>
  <c r="LK41" i="2"/>
  <c r="KQ41" i="2"/>
  <c r="OU41" i="2"/>
  <c r="LR41" i="2"/>
  <c r="LF41" i="2"/>
  <c r="KU41" i="2"/>
  <c r="NT41" i="2"/>
  <c r="MS41" i="2"/>
  <c r="OA41" i="2"/>
  <c r="DG41" i="2" s="1"/>
  <c r="OO41" i="2"/>
  <c r="LO41" i="2"/>
  <c r="OW41" i="2"/>
  <c r="NB41" i="2"/>
  <c r="NP41" i="2"/>
  <c r="NV41" i="2"/>
  <c r="KN41" i="2"/>
  <c r="MJ41" i="2"/>
  <c r="OG41" i="2"/>
  <c r="MV41" i="2"/>
  <c r="LI41" i="2"/>
  <c r="PG41" i="2"/>
  <c r="NW41" i="2"/>
  <c r="KV41" i="2"/>
  <c r="MR41" i="2"/>
  <c r="LL41" i="2"/>
  <c r="OV41" i="2"/>
  <c r="ME41" i="2"/>
  <c r="KR41" i="2"/>
  <c r="NQ41" i="2"/>
  <c r="PH41" i="2"/>
  <c r="OB41" i="2"/>
  <c r="LA41" i="2"/>
  <c r="MM41" i="2"/>
  <c r="OX41" i="2"/>
  <c r="PB41" i="2"/>
  <c r="OM41" i="2"/>
  <c r="PE41" i="2"/>
  <c r="OF41" i="2"/>
  <c r="MG41" i="2"/>
  <c r="MA41" i="2"/>
  <c r="LB41" i="2"/>
  <c r="LC41" i="2"/>
  <c r="MF41" i="2"/>
  <c r="KL41" i="2"/>
  <c r="NX41" i="2"/>
  <c r="KM41" i="2"/>
  <c r="NO41" i="2"/>
  <c r="LG41" i="2"/>
  <c r="KY41" i="2"/>
  <c r="LJ41" i="2"/>
  <c r="OQ41" i="2"/>
  <c r="LQ41" i="2"/>
  <c r="BY31" i="2"/>
  <c r="GV43" i="2"/>
  <c r="HJ36" i="2"/>
  <c r="BD120" i="9"/>
  <c r="BD118" i="9"/>
  <c r="BD117" i="9"/>
  <c r="BD121" i="9"/>
  <c r="BD119" i="9"/>
  <c r="BD90" i="9"/>
  <c r="MZ36" i="2"/>
  <c r="LS36" i="2"/>
  <c r="OE36" i="2"/>
  <c r="NQ36" i="2"/>
  <c r="MT36" i="2"/>
  <c r="LV36" i="2"/>
  <c r="BF31" i="2"/>
  <c r="CJ140" i="9"/>
  <c r="CP114" i="2"/>
  <c r="CP111" i="2"/>
  <c r="CP115" i="2"/>
  <c r="CP110" i="2"/>
  <c r="CP108" i="2"/>
  <c r="CP109" i="2"/>
  <c r="CP117" i="2"/>
  <c r="CP113" i="2"/>
  <c r="CP116" i="2"/>
  <c r="CP112" i="2"/>
  <c r="CP46" i="2"/>
  <c r="BR140" i="9"/>
  <c r="BX108" i="2"/>
  <c r="BX109" i="2"/>
  <c r="BX113" i="2"/>
  <c r="BX111" i="2"/>
  <c r="BX110" i="2"/>
  <c r="BX114" i="2"/>
  <c r="BX115" i="2"/>
  <c r="BX116" i="2"/>
  <c r="BX112" i="2"/>
  <c r="BX117" i="2"/>
  <c r="DK125" i="9"/>
  <c r="DK91" i="9"/>
  <c r="NV36" i="2"/>
  <c r="EV257" i="2"/>
  <c r="JT36" i="2"/>
  <c r="BA118" i="9"/>
  <c r="BA117" i="9"/>
  <c r="BA121" i="9"/>
  <c r="BA119" i="9"/>
  <c r="BA120" i="9"/>
  <c r="BA90" i="9"/>
  <c r="HW36" i="2"/>
  <c r="H120" i="9"/>
  <c r="H118" i="9"/>
  <c r="H117" i="9"/>
  <c r="H121" i="9"/>
  <c r="H119" i="9"/>
  <c r="H90" i="9"/>
  <c r="CU31" i="2"/>
  <c r="CW125" i="9"/>
  <c r="CW91" i="9"/>
  <c r="CP140" i="9"/>
  <c r="CV112" i="2"/>
  <c r="CV113" i="2"/>
  <c r="CV116" i="2"/>
  <c r="CV111" i="2"/>
  <c r="CV114" i="2"/>
  <c r="CV110" i="2"/>
  <c r="CV115" i="2"/>
  <c r="CV108" i="2"/>
  <c r="CV109" i="2"/>
  <c r="AB140" i="9"/>
  <c r="AH108" i="2"/>
  <c r="CN125" i="9"/>
  <c r="CN91" i="9"/>
  <c r="Z121" i="9"/>
  <c r="Z120" i="9"/>
  <c r="Z119" i="9"/>
  <c r="Z118" i="9"/>
  <c r="Z117" i="9"/>
  <c r="Z90" i="9"/>
  <c r="BJ31" i="2"/>
  <c r="IH36" i="2"/>
  <c r="EZ36" i="2"/>
  <c r="PC44" i="2"/>
  <c r="NX44" i="2"/>
  <c r="EK46" i="2"/>
  <c r="JK36" i="2"/>
  <c r="AL125" i="9"/>
  <c r="AL91" i="9"/>
  <c r="GI44" i="2"/>
  <c r="EX42" i="2"/>
  <c r="DA33" i="7"/>
  <c r="DB33" i="7" s="1"/>
  <c r="DC33" i="7" s="1"/>
  <c r="BD125" i="9"/>
  <c r="BD91" i="9"/>
  <c r="BQ31" i="2"/>
  <c r="HE36" i="2"/>
  <c r="AP140" i="9"/>
  <c r="AV111" i="2"/>
  <c r="AV116" i="2"/>
  <c r="AV115" i="2"/>
  <c r="AV109" i="2"/>
  <c r="AV114" i="2"/>
  <c r="AV112" i="2"/>
  <c r="AV110" i="2"/>
  <c r="AV108" i="2"/>
  <c r="AV113" i="2"/>
  <c r="AL126" i="9"/>
  <c r="AL149" i="9" s="1"/>
  <c r="EN109" i="2"/>
  <c r="EN113" i="2"/>
  <c r="EN110" i="2"/>
  <c r="EN115" i="2"/>
  <c r="EN108" i="2"/>
  <c r="EN111" i="2"/>
  <c r="EN116" i="2"/>
  <c r="EN117" i="2"/>
  <c r="EN112" i="2"/>
  <c r="EN114" i="2"/>
  <c r="BC140" i="9"/>
  <c r="BI116" i="2"/>
  <c r="BI111" i="2"/>
  <c r="BI110" i="2"/>
  <c r="BI109" i="2"/>
  <c r="BI113" i="2"/>
  <c r="BI114" i="2"/>
  <c r="BI108" i="2"/>
  <c r="BI117" i="2"/>
  <c r="BI112" i="2"/>
  <c r="BI115" i="2"/>
  <c r="AG121" i="9"/>
  <c r="AG119" i="9"/>
  <c r="AG117" i="9"/>
  <c r="AG120" i="9"/>
  <c r="AG118" i="9"/>
  <c r="AG90" i="9"/>
  <c r="AD126" i="9"/>
  <c r="AD149" i="9" s="1"/>
  <c r="FB105" i="2"/>
  <c r="HM105" i="2"/>
  <c r="HB43" i="2"/>
  <c r="CY125" i="9"/>
  <c r="CY91" i="9"/>
  <c r="DY31" i="2"/>
  <c r="KG36" i="2"/>
  <c r="LO36" i="2"/>
  <c r="ND36" i="2"/>
  <c r="OS36" i="2"/>
  <c r="OT36" i="2"/>
  <c r="OU36" i="2"/>
  <c r="ML36" i="2"/>
  <c r="KV36" i="2"/>
  <c r="MA36" i="2"/>
  <c r="NW36" i="2"/>
  <c r="MX36" i="2"/>
  <c r="OL36" i="2"/>
  <c r="KX36" i="2"/>
  <c r="NB36" i="2"/>
  <c r="LB36" i="2"/>
  <c r="KQ36" i="2"/>
  <c r="PF36" i="2"/>
  <c r="LJ36" i="2"/>
  <c r="NH36" i="2"/>
  <c r="LL36" i="2"/>
  <c r="MC36" i="2"/>
  <c r="MY36" i="2"/>
  <c r="MM36" i="2"/>
  <c r="OB36" i="2"/>
  <c r="OW36" i="2"/>
  <c r="OQ36" i="2"/>
  <c r="MH36" i="2"/>
  <c r="MF36" i="2"/>
  <c r="OK36" i="2"/>
  <c r="KP36" i="2"/>
  <c r="LH36" i="2"/>
  <c r="NK36" i="2"/>
  <c r="LA36" i="2"/>
  <c r="MD36" i="2"/>
  <c r="OX36" i="2"/>
  <c r="NM36" i="2"/>
  <c r="NA36" i="2"/>
  <c r="LN36" i="2"/>
  <c r="MO36" i="2"/>
  <c r="OI36" i="2"/>
  <c r="LK36" i="2"/>
  <c r="ON36" i="2"/>
  <c r="NJ36" i="2"/>
  <c r="CU125" i="9"/>
  <c r="CU91" i="9"/>
  <c r="II36" i="2"/>
  <c r="GA36" i="2"/>
  <c r="IA36" i="2"/>
  <c r="IR36" i="2"/>
  <c r="HR36" i="2"/>
  <c r="HP36" i="2"/>
  <c r="FQ36" i="2"/>
  <c r="IM36" i="2"/>
  <c r="HO36" i="2"/>
  <c r="GO36" i="2"/>
  <c r="EX36" i="2"/>
  <c r="FZ36" i="2"/>
  <c r="IK36" i="2"/>
  <c r="JU36" i="2"/>
  <c r="FE36" i="2"/>
  <c r="IE36" i="2"/>
  <c r="HU36" i="2"/>
  <c r="HB36" i="2"/>
  <c r="JW36" i="2"/>
  <c r="IP36" i="2"/>
  <c r="ID36" i="2"/>
  <c r="JO36" i="2"/>
  <c r="FD36" i="2"/>
  <c r="IL36" i="2"/>
  <c r="GN36" i="2"/>
  <c r="JD36" i="2"/>
  <c r="FA36" i="2"/>
  <c r="IO36" i="2"/>
  <c r="GQ36" i="2"/>
  <c r="HM36" i="2"/>
  <c r="FC36" i="2"/>
  <c r="HL36" i="2"/>
  <c r="FH36" i="2"/>
  <c r="FR36" i="2"/>
  <c r="HN36" i="2"/>
  <c r="GB36" i="2"/>
  <c r="GZ36" i="2"/>
  <c r="HI36" i="2"/>
  <c r="EV36" i="2"/>
  <c r="JM36" i="2"/>
  <c r="GR36" i="2"/>
  <c r="HX36" i="2"/>
  <c r="GH36" i="2"/>
  <c r="IQ36" i="2"/>
  <c r="FO36" i="2"/>
  <c r="JC36" i="2"/>
  <c r="GE36" i="2"/>
  <c r="HQ36" i="2"/>
  <c r="GC36" i="2"/>
  <c r="AS36" i="2" s="1"/>
  <c r="GM36" i="2"/>
  <c r="JN36" i="2"/>
  <c r="FT36" i="2"/>
  <c r="IT36" i="2"/>
  <c r="FM36" i="2"/>
  <c r="GK36" i="2"/>
  <c r="GX36" i="2"/>
  <c r="HD36" i="2"/>
  <c r="HF36" i="2"/>
  <c r="HH36" i="2"/>
  <c r="GG36" i="2"/>
  <c r="FF36" i="2"/>
  <c r="JS36" i="2"/>
  <c r="EW36" i="2"/>
  <c r="IN36" i="2"/>
  <c r="IS36" i="2"/>
  <c r="HC36" i="2"/>
  <c r="AO125" i="9"/>
  <c r="AO91" i="9"/>
  <c r="MR36" i="2"/>
  <c r="PG36" i="2"/>
  <c r="AJ31" i="2"/>
  <c r="BI31" i="2"/>
  <c r="BX119" i="9"/>
  <c r="BX118" i="9"/>
  <c r="BX117" i="9"/>
  <c r="BX120" i="9"/>
  <c r="BX121" i="9"/>
  <c r="BX90" i="9"/>
  <c r="BX93" i="9" s="1"/>
  <c r="Y125" i="9"/>
  <c r="Y91" i="9"/>
  <c r="AQ125" i="9"/>
  <c r="AQ91" i="9"/>
  <c r="AQ126" i="9"/>
  <c r="AQ149" i="9" s="1"/>
  <c r="CN31" i="2"/>
  <c r="DN31" i="2"/>
  <c r="H125" i="9"/>
  <c r="H91" i="9"/>
  <c r="H126" i="9"/>
  <c r="H149" i="9" s="1"/>
  <c r="DE125" i="9"/>
  <c r="DE91" i="9"/>
  <c r="DB121" i="9"/>
  <c r="DB120" i="9"/>
  <c r="DB118" i="9"/>
  <c r="DB119" i="9"/>
  <c r="DB117" i="9"/>
  <c r="DB90" i="9"/>
  <c r="DB93" i="9" s="1"/>
  <c r="K29" i="2"/>
  <c r="AC125" i="9"/>
  <c r="AC91" i="9"/>
  <c r="AC126" i="9"/>
  <c r="AC149" i="9" s="1"/>
  <c r="CX31" i="2"/>
  <c r="DA31" i="7"/>
  <c r="DB31" i="7" s="1"/>
  <c r="DC31" i="7" s="1"/>
  <c r="AJ140" i="9"/>
  <c r="AP109" i="2"/>
  <c r="AP108" i="2"/>
  <c r="AP111" i="2"/>
  <c r="AP110" i="2"/>
  <c r="AP112" i="2"/>
  <c r="P119" i="9"/>
  <c r="P118" i="9"/>
  <c r="P117" i="9"/>
  <c r="P120" i="9"/>
  <c r="P121" i="9"/>
  <c r="P90" i="9"/>
  <c r="Z46" i="2"/>
  <c r="FV36" i="2"/>
  <c r="LW44" i="2"/>
  <c r="NQ44" i="2"/>
  <c r="EF46" i="2"/>
  <c r="DM140" i="9"/>
  <c r="DS111" i="2"/>
  <c r="DS113" i="2"/>
  <c r="DS112" i="2"/>
  <c r="DS110" i="2"/>
  <c r="DS114" i="2"/>
  <c r="DS115" i="2"/>
  <c r="DS108" i="2"/>
  <c r="DS109" i="2"/>
  <c r="DS116" i="2"/>
  <c r="DS117" i="2"/>
  <c r="FB36" i="2"/>
  <c r="N31" i="2"/>
  <c r="GE42" i="2"/>
  <c r="ML41" i="2"/>
  <c r="KH41" i="2"/>
  <c r="MT41" i="2"/>
  <c r="HD43" i="2"/>
  <c r="EW43" i="2"/>
  <c r="JX105" i="2"/>
  <c r="IZ105" i="2"/>
  <c r="BA31" i="2"/>
  <c r="DS120" i="9"/>
  <c r="DS119" i="9"/>
  <c r="DS118" i="9"/>
  <c r="DS117" i="9"/>
  <c r="DS121" i="9"/>
  <c r="DS90" i="9"/>
  <c r="DS93" i="9" s="1"/>
  <c r="NG42" i="2"/>
  <c r="MK42" i="2"/>
  <c r="OB42" i="2"/>
  <c r="KQ42" i="2"/>
  <c r="OJ42" i="2"/>
  <c r="OM42" i="2"/>
  <c r="KL42" i="2"/>
  <c r="NO42" i="2"/>
  <c r="NF42" i="2"/>
  <c r="CN140" i="9"/>
  <c r="CT110" i="2"/>
  <c r="CT113" i="2"/>
  <c r="CT114" i="2"/>
  <c r="CT109" i="2"/>
  <c r="CT112" i="2"/>
  <c r="CT116" i="2"/>
  <c r="CT108" i="2"/>
  <c r="CT115" i="2"/>
  <c r="CT111" i="2"/>
  <c r="FH37" i="2"/>
  <c r="T31" i="2"/>
  <c r="CH140" i="9"/>
  <c r="CN112" i="2"/>
  <c r="CN113" i="2"/>
  <c r="CN115" i="2"/>
  <c r="CN114" i="2"/>
  <c r="CN111" i="2"/>
  <c r="CN116" i="2"/>
  <c r="CN110" i="2"/>
  <c r="CN109" i="2"/>
  <c r="CN108" i="2"/>
  <c r="CN117" i="2"/>
  <c r="CI105" i="9"/>
  <c r="CI106" i="9" s="1"/>
  <c r="FC37" i="2"/>
  <c r="DM129" i="9"/>
  <c r="DM127" i="9" s="1"/>
  <c r="DT140" i="9"/>
  <c r="DZ108" i="2"/>
  <c r="DZ113" i="2"/>
  <c r="DZ110" i="2"/>
  <c r="DZ115" i="2"/>
  <c r="DZ109" i="2"/>
  <c r="DZ117" i="2"/>
  <c r="DZ111" i="2"/>
  <c r="DZ112" i="2"/>
  <c r="DZ116" i="2"/>
  <c r="DZ114" i="2"/>
  <c r="AI121" i="9"/>
  <c r="AI120" i="9"/>
  <c r="AI119" i="9"/>
  <c r="AI117" i="9"/>
  <c r="AI90" i="9"/>
  <c r="AI118" i="9"/>
  <c r="GX105" i="2"/>
  <c r="BR31" i="2"/>
  <c r="AT140" i="9"/>
  <c r="AZ111" i="2"/>
  <c r="AZ110" i="2"/>
  <c r="AZ112" i="2"/>
  <c r="AZ114" i="2"/>
  <c r="AZ108" i="2"/>
  <c r="AZ115" i="2"/>
  <c r="AZ116" i="2"/>
  <c r="AZ113" i="2"/>
  <c r="AZ109" i="2"/>
  <c r="BY118" i="9"/>
  <c r="BY117" i="9"/>
  <c r="BY121" i="9"/>
  <c r="BY120" i="9"/>
  <c r="BY119" i="9"/>
  <c r="BY90" i="9"/>
  <c r="BY93" i="9" s="1"/>
  <c r="U121" i="9"/>
  <c r="U119" i="9"/>
  <c r="U118" i="9"/>
  <c r="U117" i="9"/>
  <c r="U120" i="9"/>
  <c r="U90" i="9"/>
  <c r="A146" i="8"/>
  <c r="BX140" i="9"/>
  <c r="CD114" i="2"/>
  <c r="CD115" i="2"/>
  <c r="CD109" i="2"/>
  <c r="CD108" i="2"/>
  <c r="CD113" i="2"/>
  <c r="CD116" i="2"/>
  <c r="CD110" i="2"/>
  <c r="CD112" i="2"/>
  <c r="CD111" i="2"/>
  <c r="BK140" i="9"/>
  <c r="BQ109" i="2"/>
  <c r="BQ108" i="2"/>
  <c r="BQ116" i="2"/>
  <c r="BQ115" i="2"/>
  <c r="BQ110" i="2"/>
  <c r="BQ112" i="2"/>
  <c r="BQ114" i="2"/>
  <c r="BQ113" i="2"/>
  <c r="BQ117" i="2"/>
  <c r="BQ111" i="2"/>
  <c r="ED105" i="2"/>
  <c r="AR105" i="2"/>
  <c r="CC105" i="2"/>
  <c r="CH105" i="2"/>
  <c r="AW105" i="2"/>
  <c r="DG105" i="2"/>
  <c r="AZ119" i="2"/>
  <c r="CR119" i="2"/>
  <c r="BV119" i="2"/>
  <c r="EH119" i="2"/>
  <c r="BD119" i="2"/>
  <c r="DL119" i="2"/>
  <c r="CO119" i="2"/>
  <c r="DD119" i="2"/>
  <c r="EC119" i="2"/>
  <c r="O119" i="2"/>
  <c r="BW119" i="2"/>
  <c r="CU119" i="2"/>
  <c r="P119" i="2"/>
  <c r="CJ119" i="2"/>
  <c r="CT119" i="2"/>
  <c r="L119" i="2"/>
  <c r="BU119" i="2"/>
  <c r="Q119" i="2"/>
  <c r="AO119" i="2"/>
  <c r="AQ119" i="2"/>
  <c r="DW119" i="2"/>
  <c r="DT119" i="2"/>
  <c r="AW119" i="2"/>
  <c r="R119" i="2"/>
  <c r="CY119" i="2"/>
  <c r="CN119" i="2"/>
  <c r="AG119" i="2"/>
  <c r="DM119" i="2"/>
  <c r="AI119" i="2"/>
  <c r="DO119" i="2"/>
  <c r="AJ119" i="2"/>
  <c r="AK119" i="2"/>
  <c r="AM119" i="2"/>
  <c r="ED119" i="2"/>
  <c r="X119" i="2"/>
  <c r="CH119" i="2"/>
  <c r="AP119" i="2"/>
  <c r="CL119" i="2"/>
  <c r="DJ119" i="2"/>
  <c r="S119" i="2"/>
  <c r="CA119" i="2"/>
  <c r="CD119" i="2"/>
  <c r="BG119" i="2"/>
  <c r="CS119" i="2"/>
  <c r="DF119" i="2"/>
  <c r="BK119" i="2"/>
  <c r="DS119" i="2"/>
  <c r="AN119" i="2"/>
  <c r="DH119" i="2"/>
  <c r="BI119" i="2"/>
  <c r="DR119" i="2"/>
  <c r="EI119" i="2"/>
  <c r="BP119" i="2"/>
  <c r="CC119" i="2"/>
  <c r="EL119" i="2"/>
  <c r="CE119" i="2"/>
  <c r="BX119" i="2"/>
  <c r="Z119" i="2"/>
  <c r="AL119" i="2"/>
  <c r="AV119" i="2"/>
  <c r="BA119" i="2"/>
  <c r="BC119" i="2"/>
  <c r="CZ119" i="2"/>
  <c r="DN119" i="2"/>
  <c r="CI119" i="2"/>
  <c r="DE119" i="2"/>
  <c r="BH119" i="2"/>
  <c r="M119" i="2"/>
  <c r="AX119" i="2"/>
  <c r="AC119" i="2"/>
  <c r="DV119" i="2"/>
  <c r="EJ119" i="2"/>
  <c r="U119" i="2"/>
  <c r="DA119" i="2"/>
  <c r="W119" i="2"/>
  <c r="DC119" i="2"/>
  <c r="N119" i="2"/>
  <c r="CV119" i="2"/>
  <c r="CG119" i="2"/>
  <c r="AD119" i="2"/>
  <c r="AE119" i="2"/>
  <c r="CM119" i="2"/>
  <c r="DK119" i="2"/>
  <c r="AR119" i="2"/>
  <c r="AA119" i="2"/>
  <c r="AY119" i="2"/>
  <c r="DG119" i="2"/>
  <c r="AB119" i="2"/>
  <c r="DP119" i="2"/>
  <c r="BT119" i="2"/>
  <c r="BM119" i="2"/>
  <c r="CK119" i="2"/>
  <c r="DI119" i="2"/>
  <c r="EG119" i="2"/>
  <c r="BB119" i="2"/>
  <c r="BZ119" i="2"/>
  <c r="CX119" i="2"/>
  <c r="CB119" i="2"/>
  <c r="BS119" i="2"/>
  <c r="EK119" i="2"/>
  <c r="BL119" i="2"/>
  <c r="BR119" i="2"/>
  <c r="AS119" i="2"/>
  <c r="CF119" i="2"/>
  <c r="EB119" i="2"/>
  <c r="CW119" i="2"/>
  <c r="DU119" i="2"/>
  <c r="AF119" i="2"/>
  <c r="CQ119" i="2"/>
  <c r="BY119" i="2"/>
  <c r="BO119" i="2"/>
  <c r="BQ119" i="2"/>
  <c r="DY119" i="2"/>
  <c r="AT119" i="2"/>
  <c r="DB119" i="2"/>
  <c r="DZ119" i="2"/>
  <c r="Y119" i="2"/>
  <c r="EE119" i="2"/>
  <c r="EF119" i="2"/>
  <c r="DQ119" i="2"/>
  <c r="BN119" i="2"/>
  <c r="T119" i="2"/>
  <c r="DX119" i="2"/>
  <c r="V119" i="2"/>
  <c r="EM119" i="2"/>
  <c r="AH119" i="2"/>
  <c r="EA119" i="2"/>
  <c r="BF119" i="2"/>
  <c r="AU119" i="2"/>
  <c r="BE119" i="2"/>
  <c r="BJ119" i="2"/>
  <c r="EN119" i="2"/>
  <c r="CP119" i="2"/>
  <c r="BJ121" i="9"/>
  <c r="BJ120" i="9"/>
  <c r="BJ119" i="9"/>
  <c r="BJ118" i="9"/>
  <c r="BJ117" i="9"/>
  <c r="BJ90" i="9"/>
  <c r="BJ93" i="9" s="1"/>
  <c r="Y129" i="9"/>
  <c r="Y127" i="9" s="1"/>
  <c r="BT140" i="9"/>
  <c r="BZ111" i="2"/>
  <c r="BZ116" i="2"/>
  <c r="BZ113" i="2"/>
  <c r="BZ114" i="2"/>
  <c r="BZ112" i="2"/>
  <c r="BZ108" i="2"/>
  <c r="BZ110" i="2"/>
  <c r="BZ115" i="2"/>
  <c r="BZ109" i="2"/>
  <c r="EM109" i="2"/>
  <c r="EM116" i="2"/>
  <c r="EM112" i="2"/>
  <c r="EM113" i="2"/>
  <c r="EM115" i="2"/>
  <c r="EM110" i="2"/>
  <c r="EM108" i="2"/>
  <c r="EM111" i="2"/>
  <c r="EM114" i="2"/>
  <c r="CC140" i="9"/>
  <c r="CI111" i="2"/>
  <c r="CI110" i="2"/>
  <c r="CI113" i="2"/>
  <c r="CI114" i="2"/>
  <c r="CI115" i="2"/>
  <c r="CI108" i="2"/>
  <c r="CI109" i="2"/>
  <c r="CI112" i="2"/>
  <c r="CI116" i="2"/>
  <c r="CF31" i="2"/>
  <c r="CZ140" i="9"/>
  <c r="DF109" i="2"/>
  <c r="DF111" i="2"/>
  <c r="DF108" i="2"/>
  <c r="DF114" i="2"/>
  <c r="DF116" i="2"/>
  <c r="DF110" i="2"/>
  <c r="DF115" i="2"/>
  <c r="DF113" i="2"/>
  <c r="DF117" i="2"/>
  <c r="DF112" i="2"/>
  <c r="N121" i="9"/>
  <c r="N120" i="9"/>
  <c r="N119" i="9"/>
  <c r="N118" i="9"/>
  <c r="N117" i="9"/>
  <c r="N90" i="9"/>
  <c r="DP121" i="9"/>
  <c r="DP120" i="9"/>
  <c r="DP119" i="9"/>
  <c r="DP118" i="9"/>
  <c r="DP117" i="9"/>
  <c r="DP90" i="9"/>
  <c r="DP93" i="9" s="1"/>
  <c r="CM105" i="9"/>
  <c r="CM106" i="9" s="1"/>
  <c r="BP140" i="9"/>
  <c r="BV112" i="2"/>
  <c r="BV109" i="2"/>
  <c r="BV110" i="2"/>
  <c r="BV111" i="2"/>
  <c r="BV114" i="2"/>
  <c r="BV108" i="2"/>
  <c r="BV116" i="2"/>
  <c r="BV115" i="2"/>
  <c r="BV113" i="2"/>
  <c r="BV117" i="2"/>
  <c r="BE140" i="9"/>
  <c r="BK111" i="2"/>
  <c r="BK116" i="2"/>
  <c r="BK109" i="2"/>
  <c r="BK113" i="2"/>
  <c r="BK114" i="2"/>
  <c r="BK115" i="2"/>
  <c r="BK110" i="2"/>
  <c r="BK112" i="2"/>
  <c r="BK117" i="2"/>
  <c r="BK108" i="2"/>
  <c r="DF140" i="9"/>
  <c r="DL111" i="2"/>
  <c r="DL109" i="2"/>
  <c r="DL115" i="2"/>
  <c r="DL116" i="2"/>
  <c r="DL108" i="2"/>
  <c r="DL112" i="2"/>
  <c r="DL114" i="2"/>
  <c r="DL113" i="2"/>
  <c r="DL110" i="2"/>
  <c r="JW37" i="2"/>
  <c r="HB37" i="2"/>
  <c r="EI75" i="2"/>
  <c r="DS129" i="9"/>
  <c r="DS127" i="9" s="1"/>
  <c r="IQ37" i="2"/>
  <c r="DH31" i="2"/>
  <c r="BV46" i="2"/>
  <c r="EI46" i="2"/>
  <c r="CN105" i="9"/>
  <c r="CN106" i="9" s="1"/>
  <c r="HL37" i="2"/>
  <c r="CI120" i="9"/>
  <c r="CI119" i="9"/>
  <c r="CI118" i="9"/>
  <c r="CI117" i="9"/>
  <c r="CI121" i="9"/>
  <c r="CI90" i="9"/>
  <c r="CI93" i="9" s="1"/>
  <c r="DD105" i="9"/>
  <c r="DD106" i="9" s="1"/>
  <c r="C383" i="10"/>
  <c r="E383" i="10" s="1"/>
  <c r="C372" i="10"/>
  <c r="E372" i="10" s="1"/>
  <c r="F179" i="9"/>
  <c r="D178" i="9"/>
  <c r="E181" i="9"/>
  <c r="D181" i="9"/>
  <c r="C181" i="9"/>
  <c r="F178" i="9"/>
  <c r="F182" i="9"/>
  <c r="B181" i="9"/>
  <c r="E178" i="9"/>
  <c r="E182" i="9"/>
  <c r="C178" i="9"/>
  <c r="D182" i="9"/>
  <c r="E179" i="9"/>
  <c r="B178" i="9"/>
  <c r="C182" i="9"/>
  <c r="D179" i="9"/>
  <c r="B182" i="9"/>
  <c r="F180" i="9"/>
  <c r="C179" i="9"/>
  <c r="C180" i="9"/>
  <c r="B179" i="9"/>
  <c r="D180" i="9"/>
  <c r="F181" i="9"/>
  <c r="E180" i="9"/>
  <c r="B180" i="9"/>
  <c r="C166" i="10"/>
  <c r="F73" i="9"/>
  <c r="CL117" i="9"/>
  <c r="CL121" i="9"/>
  <c r="CL120" i="9"/>
  <c r="CL118" i="9"/>
  <c r="CL119" i="9"/>
  <c r="CL90" i="9"/>
  <c r="CL93" i="9" s="1"/>
  <c r="Y31" i="2"/>
  <c r="CX121" i="9"/>
  <c r="CX117" i="9"/>
  <c r="CX120" i="9"/>
  <c r="CX119" i="9"/>
  <c r="CX118" i="9"/>
  <c r="CX90" i="9"/>
  <c r="CX93" i="9" s="1"/>
  <c r="DS31" i="2"/>
  <c r="CA121" i="9"/>
  <c r="CA119" i="9"/>
  <c r="CA118" i="9"/>
  <c r="CA117" i="9"/>
  <c r="CA90" i="9"/>
  <c r="CA93" i="9" s="1"/>
  <c r="CA120" i="9"/>
  <c r="DA30" i="7"/>
  <c r="DB30" i="7" s="1"/>
  <c r="DC121" i="9"/>
  <c r="DC120" i="9"/>
  <c r="DC119" i="9"/>
  <c r="DC117" i="9"/>
  <c r="DC90" i="9"/>
  <c r="DC93" i="9" s="1"/>
  <c r="DC118" i="9"/>
  <c r="AL140" i="9"/>
  <c r="AR109" i="2"/>
  <c r="AR112" i="2"/>
  <c r="AR113" i="2"/>
  <c r="AR111" i="2"/>
  <c r="AR110" i="2"/>
  <c r="AR108" i="2"/>
  <c r="AR114" i="2"/>
  <c r="AV121" i="9"/>
  <c r="AV120" i="9"/>
  <c r="AV119" i="9"/>
  <c r="AV118" i="9"/>
  <c r="AV117" i="9"/>
  <c r="AV90" i="9"/>
  <c r="CW118" i="9"/>
  <c r="CW117" i="9"/>
  <c r="CW121" i="9"/>
  <c r="CW119" i="9"/>
  <c r="CW120" i="9"/>
  <c r="CW90" i="9"/>
  <c r="CW93" i="9" s="1"/>
  <c r="HR37" i="2"/>
  <c r="BW120" i="9"/>
  <c r="BW119" i="9"/>
  <c r="BW118" i="9"/>
  <c r="BW117" i="9"/>
  <c r="BW121" i="9"/>
  <c r="BW90" i="9"/>
  <c r="BW93" i="9" s="1"/>
  <c r="FO37" i="2"/>
  <c r="S121" i="9"/>
  <c r="S120" i="9"/>
  <c r="S119" i="9"/>
  <c r="S117" i="9"/>
  <c r="S118" i="9"/>
  <c r="S90" i="9"/>
  <c r="CB46" i="2"/>
  <c r="EH112" i="2"/>
  <c r="EH109" i="2"/>
  <c r="EH116" i="2"/>
  <c r="EH110" i="2"/>
  <c r="EH115" i="2"/>
  <c r="EH108" i="2"/>
  <c r="EH113" i="2"/>
  <c r="EH111" i="2"/>
  <c r="EH114" i="2"/>
  <c r="DR140" i="9"/>
  <c r="DX109" i="2"/>
  <c r="DX116" i="2"/>
  <c r="DX112" i="2"/>
  <c r="DX115" i="2"/>
  <c r="DX110" i="2"/>
  <c r="DX111" i="2"/>
  <c r="DX113" i="2"/>
  <c r="DX108" i="2"/>
  <c r="DX114" i="2"/>
  <c r="DX117" i="2"/>
  <c r="DO46" i="2"/>
  <c r="CI31" i="2"/>
  <c r="BB31" i="2"/>
  <c r="R31" i="2"/>
  <c r="EH31" i="2"/>
  <c r="EJ31" i="2"/>
  <c r="DP31" i="2"/>
  <c r="BQ140" i="9"/>
  <c r="BW113" i="2"/>
  <c r="BW110" i="2"/>
  <c r="BW112" i="2"/>
  <c r="BW108" i="2"/>
  <c r="BW115" i="2"/>
  <c r="BW114" i="2"/>
  <c r="BW116" i="2"/>
  <c r="BW109" i="2"/>
  <c r="BW111" i="2"/>
  <c r="EE75" i="2"/>
  <c r="F117" i="9"/>
  <c r="F120" i="9"/>
  <c r="F119" i="9"/>
  <c r="F118" i="9"/>
  <c r="F121" i="9"/>
  <c r="F90" i="9"/>
  <c r="L31" i="2"/>
  <c r="K27" i="2"/>
  <c r="BS121" i="9"/>
  <c r="BS120" i="9"/>
  <c r="BS119" i="9"/>
  <c r="BS117" i="9"/>
  <c r="BS118" i="9"/>
  <c r="BS90" i="9"/>
  <c r="BS93" i="9" s="1"/>
  <c r="BV125" i="9"/>
  <c r="BV91" i="9"/>
  <c r="DO121" i="9"/>
  <c r="DO120" i="9"/>
  <c r="DO119" i="9"/>
  <c r="DO117" i="9"/>
  <c r="DO118" i="9"/>
  <c r="DO90" i="9"/>
  <c r="DO93" i="9" s="1"/>
  <c r="DA46" i="2"/>
  <c r="BN125" i="9"/>
  <c r="BN91" i="9"/>
  <c r="BB117" i="9"/>
  <c r="BB120" i="9"/>
  <c r="BB119" i="9"/>
  <c r="BB118" i="9"/>
  <c r="BB121" i="9"/>
  <c r="BB90" i="9"/>
  <c r="DM31" i="2"/>
  <c r="KN45" i="2"/>
  <c r="KR45" i="2"/>
  <c r="NF45" i="2"/>
  <c r="NR45" i="2"/>
  <c r="OJ45" i="2"/>
  <c r="FA37" i="2"/>
  <c r="GI37" i="2"/>
  <c r="BO31" i="2"/>
  <c r="M125" i="9"/>
  <c r="M91" i="9"/>
  <c r="BO105" i="2"/>
  <c r="BM105" i="2"/>
  <c r="CJ105" i="2"/>
  <c r="EC105" i="2"/>
  <c r="DH105" i="2"/>
  <c r="W105" i="2"/>
  <c r="DD105" i="2"/>
  <c r="BO126" i="9"/>
  <c r="BO149" i="9" s="1"/>
  <c r="DN105" i="9"/>
  <c r="DN106" i="9" s="1"/>
  <c r="CB140" i="9"/>
  <c r="CH116" i="2"/>
  <c r="CH110" i="2"/>
  <c r="CH113" i="2"/>
  <c r="CH111" i="2"/>
  <c r="CH109" i="2"/>
  <c r="CH114" i="2"/>
  <c r="CH108" i="2"/>
  <c r="CH115" i="2"/>
  <c r="CH112" i="2"/>
  <c r="AC118" i="9"/>
  <c r="AC117" i="9"/>
  <c r="AC121" i="9"/>
  <c r="AC120" i="9"/>
  <c r="AC119" i="9"/>
  <c r="AC90" i="9"/>
  <c r="FI37" i="2"/>
  <c r="NP103" i="2"/>
  <c r="ND103" i="2"/>
  <c r="NQ103" i="2"/>
  <c r="MS103" i="2"/>
  <c r="NF103" i="2"/>
  <c r="NS103" i="2"/>
  <c r="OF103" i="2"/>
  <c r="OS103" i="2"/>
  <c r="PF103" i="2"/>
  <c r="KR103" i="2"/>
  <c r="KS103" i="2"/>
  <c r="W129" i="9"/>
  <c r="W127" i="9" s="1"/>
  <c r="CV129" i="9"/>
  <c r="CV127" i="9" s="1"/>
  <c r="DD46" i="2"/>
  <c r="DA121" i="9"/>
  <c r="DA119" i="9"/>
  <c r="DA117" i="9"/>
  <c r="DA118" i="9"/>
  <c r="DA120" i="9"/>
  <c r="DA90" i="9"/>
  <c r="DA93" i="9" s="1"/>
  <c r="GV37" i="2"/>
  <c r="CM129" i="9"/>
  <c r="CM127" i="9" s="1"/>
  <c r="AS140" i="9"/>
  <c r="AY116" i="2"/>
  <c r="AY109" i="2"/>
  <c r="AY115" i="2"/>
  <c r="AY110" i="2"/>
  <c r="AY108" i="2"/>
  <c r="AY111" i="2"/>
  <c r="AY112" i="2"/>
  <c r="AY113" i="2"/>
  <c r="AY114" i="2"/>
  <c r="KQ37" i="2"/>
  <c r="LC37" i="2"/>
  <c r="NK37" i="2"/>
  <c r="OD37" i="2"/>
  <c r="NC37" i="2"/>
  <c r="PC37" i="2"/>
  <c r="LG37" i="2"/>
  <c r="NU37" i="2"/>
  <c r="NS37" i="2"/>
  <c r="Q126" i="9"/>
  <c r="Q149" i="9" s="1"/>
  <c r="CO140" i="9"/>
  <c r="CU113" i="2"/>
  <c r="CU114" i="2"/>
  <c r="CU112" i="2"/>
  <c r="CU116" i="2"/>
  <c r="CU115" i="2"/>
  <c r="CU111" i="2"/>
  <c r="CU117" i="2"/>
  <c r="CU110" i="2"/>
  <c r="CU108" i="2"/>
  <c r="CU109" i="2"/>
  <c r="CF105" i="9"/>
  <c r="CF106" i="9" s="1"/>
  <c r="AE46" i="2"/>
  <c r="LL42" i="2"/>
  <c r="OS42" i="2"/>
  <c r="LB42" i="2"/>
  <c r="KK42" i="2"/>
  <c r="PE42" i="2"/>
  <c r="KI42" i="2"/>
  <c r="PD42" i="2"/>
  <c r="NX42" i="2"/>
  <c r="MJ42" i="2"/>
  <c r="CN129" i="9"/>
  <c r="CN127" i="9" s="1"/>
  <c r="DI129" i="9"/>
  <c r="DI127" i="9" s="1"/>
  <c r="CI129" i="9"/>
  <c r="CI127" i="9" s="1"/>
  <c r="DD129" i="9"/>
  <c r="DD127" i="9" s="1"/>
  <c r="D19" i="7"/>
  <c r="GF26" i="7"/>
  <c r="GH26" i="7" s="1"/>
  <c r="DM121" i="9"/>
  <c r="DM119" i="9"/>
  <c r="DM118" i="9"/>
  <c r="DM117" i="9"/>
  <c r="DM120" i="9"/>
  <c r="DM90" i="9"/>
  <c r="DM93" i="9" s="1"/>
  <c r="AW126" i="9"/>
  <c r="AW149" i="9" s="1"/>
  <c r="AM31" i="2"/>
  <c r="CQ121" i="9"/>
  <c r="CQ120" i="9"/>
  <c r="CQ119" i="9"/>
  <c r="CQ117" i="9"/>
  <c r="CQ118" i="9"/>
  <c r="CQ90" i="9"/>
  <c r="CQ93" i="9" s="1"/>
  <c r="DX31" i="2"/>
  <c r="DR31" i="2"/>
  <c r="AS125" i="9"/>
  <c r="AS91" i="9"/>
  <c r="AS126" i="9"/>
  <c r="AS149" i="9" s="1"/>
  <c r="CW31" i="2"/>
  <c r="Q37" i="9"/>
  <c r="Q38" i="9"/>
  <c r="K22" i="9"/>
  <c r="Q39" i="9"/>
  <c r="AS129" i="9"/>
  <c r="AS127" i="9" s="1"/>
  <c r="AJ129" i="9"/>
  <c r="AJ127" i="9" s="1"/>
  <c r="BR129" i="9"/>
  <c r="BR127" i="9" s="1"/>
  <c r="K129" i="9"/>
  <c r="K127" i="9" s="1"/>
  <c r="CR129" i="9"/>
  <c r="CR127" i="9" s="1"/>
  <c r="DQ129" i="9"/>
  <c r="DQ127" i="9" s="1"/>
  <c r="BS129" i="9"/>
  <c r="BS127" i="9" s="1"/>
  <c r="CS129" i="9"/>
  <c r="CS127" i="9" s="1"/>
  <c r="BQ129" i="9"/>
  <c r="BQ127" i="9" s="1"/>
  <c r="AK129" i="9"/>
  <c r="AK127" i="9" s="1"/>
  <c r="J129" i="9"/>
  <c r="J127" i="9" s="1"/>
  <c r="CQ129" i="9"/>
  <c r="CQ127" i="9" s="1"/>
  <c r="L129" i="9"/>
  <c r="L127" i="9" s="1"/>
  <c r="CC129" i="9"/>
  <c r="CC127" i="9" s="1"/>
  <c r="DH125" i="9"/>
  <c r="DH91" i="9"/>
  <c r="X129" i="9"/>
  <c r="X127" i="9" s="1"/>
  <c r="OC45" i="2"/>
  <c r="LG45" i="2"/>
  <c r="PH45" i="2"/>
  <c r="LI45" i="2"/>
  <c r="BJ105" i="2"/>
  <c r="AL105" i="2"/>
  <c r="DZ105" i="2"/>
  <c r="AC105" i="2"/>
  <c r="AD105" i="2"/>
  <c r="CS105" i="2"/>
  <c r="CT140" i="9"/>
  <c r="CZ112" i="2"/>
  <c r="CZ111" i="2"/>
  <c r="CZ108" i="2"/>
  <c r="CZ113" i="2"/>
  <c r="CZ116" i="2"/>
  <c r="CZ115" i="2"/>
  <c r="CZ109" i="2"/>
  <c r="CZ114" i="2"/>
  <c r="CZ110" i="2"/>
  <c r="HA37" i="2"/>
  <c r="HE37" i="2"/>
  <c r="M121" i="9"/>
  <c r="M120" i="9"/>
  <c r="M119" i="9"/>
  <c r="M118" i="9"/>
  <c r="M117" i="9"/>
  <c r="M90" i="9"/>
  <c r="AH121" i="9"/>
  <c r="AH120" i="9"/>
  <c r="AH118" i="9"/>
  <c r="AH117" i="9"/>
  <c r="AH90" i="9"/>
  <c r="AH119" i="9"/>
  <c r="ON103" i="2"/>
  <c r="NN103" i="2"/>
  <c r="PA103" i="2"/>
  <c r="OC103" i="2"/>
  <c r="NR103" i="2"/>
  <c r="OE103" i="2"/>
  <c r="OR103" i="2"/>
  <c r="PE103" i="2"/>
  <c r="KQ103" i="2"/>
  <c r="LD103" i="2"/>
  <c r="LE103" i="2"/>
  <c r="AL121" i="9"/>
  <c r="AL120" i="9"/>
  <c r="AL119" i="9"/>
  <c r="AL118" i="9"/>
  <c r="AL117" i="9"/>
  <c r="AL90" i="9"/>
  <c r="CS140" i="9"/>
  <c r="CY112" i="2"/>
  <c r="CY113" i="2"/>
  <c r="CY109" i="2"/>
  <c r="CY115" i="2"/>
  <c r="CY108" i="2"/>
  <c r="CY110" i="2"/>
  <c r="CY116" i="2"/>
  <c r="CY114" i="2"/>
  <c r="CY111" i="2"/>
  <c r="CY117" i="2"/>
  <c r="ED116" i="2"/>
  <c r="ED111" i="2"/>
  <c r="ED112" i="2"/>
  <c r="ED114" i="2"/>
  <c r="ED110" i="2"/>
  <c r="ED115" i="2"/>
  <c r="ED108" i="2"/>
  <c r="ED113" i="2"/>
  <c r="ED109" i="2"/>
  <c r="DC31" i="2"/>
  <c r="AG126" i="9"/>
  <c r="AG149" i="9" s="1"/>
  <c r="AF120" i="9"/>
  <c r="AF118" i="9"/>
  <c r="AF117" i="9"/>
  <c r="AF119" i="9"/>
  <c r="AF121" i="9"/>
  <c r="AF90" i="9"/>
  <c r="FQ37" i="2"/>
  <c r="CK105" i="9"/>
  <c r="CK106" i="9" s="1"/>
  <c r="AI126" i="9"/>
  <c r="AI149" i="9" s="1"/>
  <c r="DF31" i="2"/>
  <c r="LO37" i="2"/>
  <c r="MA37" i="2"/>
  <c r="NW37" i="2"/>
  <c r="ND37" i="2"/>
  <c r="KO37" i="2"/>
  <c r="NL37" i="2"/>
  <c r="LU37" i="2"/>
  <c r="OR37" i="2"/>
  <c r="AR129" i="9"/>
  <c r="AR127" i="9" s="1"/>
  <c r="AW140" i="9"/>
  <c r="BC112" i="2"/>
  <c r="BC113" i="2"/>
  <c r="BC116" i="2"/>
  <c r="BC110" i="2"/>
  <c r="BC115" i="2"/>
  <c r="BC109" i="2"/>
  <c r="BC111" i="2"/>
  <c r="BC114" i="2"/>
  <c r="BC108" i="2"/>
  <c r="EM31" i="2"/>
  <c r="Q118" i="9"/>
  <c r="Q117" i="9"/>
  <c r="Q121" i="9"/>
  <c r="Q119" i="9"/>
  <c r="Q120" i="9"/>
  <c r="Q90" i="9"/>
  <c r="BA46" i="2"/>
  <c r="BK120" i="9"/>
  <c r="BK119" i="9"/>
  <c r="BK118" i="9"/>
  <c r="BK117" i="9"/>
  <c r="BK121" i="9"/>
  <c r="BK90" i="9"/>
  <c r="BK93" i="9" s="1"/>
  <c r="BW129" i="9"/>
  <c r="BW127" i="9" s="1"/>
  <c r="AE31" i="2"/>
  <c r="DS140" i="9"/>
  <c r="DY111" i="2"/>
  <c r="DY116" i="2"/>
  <c r="DY114" i="2"/>
  <c r="DY108" i="2"/>
  <c r="DY115" i="2"/>
  <c r="DY110" i="2"/>
  <c r="DY113" i="2"/>
  <c r="DY109" i="2"/>
  <c r="DY112" i="2"/>
  <c r="CE140" i="9"/>
  <c r="CK114" i="2"/>
  <c r="CK110" i="2"/>
  <c r="CK115" i="2"/>
  <c r="CK109" i="2"/>
  <c r="CK111" i="2"/>
  <c r="CK116" i="2"/>
  <c r="CK113" i="2"/>
  <c r="CK108" i="2"/>
  <c r="CK112" i="2"/>
  <c r="OL42" i="2"/>
  <c r="KG42" i="2"/>
  <c r="MM42" i="2"/>
  <c r="OV42" i="2"/>
  <c r="KN42" i="2"/>
  <c r="MS42" i="2"/>
  <c r="OE42" i="2"/>
  <c r="OO42" i="2"/>
  <c r="BM140" i="9"/>
  <c r="BS114" i="2"/>
  <c r="BS113" i="2"/>
  <c r="BS110" i="2"/>
  <c r="BS116" i="2"/>
  <c r="BS115" i="2"/>
  <c r="BS112" i="2"/>
  <c r="BS108" i="2"/>
  <c r="BS111" i="2"/>
  <c r="BS109" i="2"/>
  <c r="FD37" i="2"/>
  <c r="GH37" i="2"/>
  <c r="AW129" i="9"/>
  <c r="AW127" i="9" s="1"/>
  <c r="FQ105" i="2"/>
  <c r="AN119" i="9"/>
  <c r="AN118" i="9"/>
  <c r="AN117" i="9"/>
  <c r="AN120" i="9"/>
  <c r="AN121" i="9"/>
  <c r="AN90" i="9"/>
  <c r="AS121" i="9"/>
  <c r="AS119" i="9"/>
  <c r="AS118" i="9"/>
  <c r="AS117" i="9"/>
  <c r="AS120" i="9"/>
  <c r="AS90" i="9"/>
  <c r="BT129" i="9"/>
  <c r="BT127" i="9" s="1"/>
  <c r="DV140" i="9"/>
  <c r="EB112" i="2"/>
  <c r="EB113" i="2"/>
  <c r="EB116" i="2"/>
  <c r="EB109" i="2"/>
  <c r="EB115" i="2"/>
  <c r="EB111" i="2"/>
  <c r="EB108" i="2"/>
  <c r="EB110" i="2"/>
  <c r="EB114" i="2"/>
  <c r="CF129" i="9"/>
  <c r="CF127" i="9" s="1"/>
  <c r="LJ42" i="2"/>
  <c r="MI42" i="2"/>
  <c r="KV42" i="2"/>
  <c r="LZ42" i="2"/>
  <c r="NW42" i="2"/>
  <c r="NB42" i="2"/>
  <c r="MX42" i="2"/>
  <c r="DK140" i="9"/>
  <c r="DQ114" i="2"/>
  <c r="DQ112" i="2"/>
  <c r="DQ108" i="2"/>
  <c r="DQ110" i="2"/>
  <c r="DQ115" i="2"/>
  <c r="DQ116" i="2"/>
  <c r="DQ111" i="2"/>
  <c r="DQ113" i="2"/>
  <c r="DQ109" i="2"/>
  <c r="DQ117" i="2"/>
  <c r="CR140" i="9"/>
  <c r="CX109" i="2"/>
  <c r="CX113" i="2"/>
  <c r="CX114" i="2"/>
  <c r="CX108" i="2"/>
  <c r="CX112" i="2"/>
  <c r="CX110" i="2"/>
  <c r="CX115" i="2"/>
  <c r="CX111" i="2"/>
  <c r="CX116" i="2"/>
  <c r="JS37" i="2"/>
  <c r="U129" i="9"/>
  <c r="U127" i="9" s="1"/>
  <c r="IA37" i="2"/>
  <c r="NP42" i="2"/>
  <c r="DD31" i="2"/>
  <c r="DQ140" i="9"/>
  <c r="DW112" i="2"/>
  <c r="DW113" i="2"/>
  <c r="DW110" i="2"/>
  <c r="DW115" i="2"/>
  <c r="DW108" i="2"/>
  <c r="DW109" i="2"/>
  <c r="DW117" i="2"/>
  <c r="DW114" i="2"/>
  <c r="DW111" i="2"/>
  <c r="DW116" i="2"/>
  <c r="FZ105" i="2"/>
  <c r="BT121" i="9"/>
  <c r="BT120" i="9"/>
  <c r="BT119" i="9"/>
  <c r="BT118" i="9"/>
  <c r="BT90" i="9"/>
  <c r="BT93" i="9" s="1"/>
  <c r="BT117" i="9"/>
  <c r="AY120" i="9"/>
  <c r="AY119" i="9"/>
  <c r="AY118" i="9"/>
  <c r="AY117" i="9"/>
  <c r="AY121" i="9"/>
  <c r="AY90" i="9"/>
  <c r="BK129" i="9"/>
  <c r="BK127" i="9" s="1"/>
  <c r="BJ140" i="9"/>
  <c r="BP111" i="2"/>
  <c r="BP109" i="2"/>
  <c r="BP110" i="2"/>
  <c r="BP114" i="2"/>
  <c r="BP116" i="2"/>
  <c r="BP115" i="2"/>
  <c r="BP113" i="2"/>
  <c r="BP112" i="2"/>
  <c r="BP108" i="2"/>
  <c r="BS31" i="2"/>
  <c r="FB37" i="2"/>
  <c r="DG31" i="2"/>
  <c r="BY105" i="9"/>
  <c r="BY106" i="9" s="1"/>
  <c r="BZ31" i="2"/>
  <c r="S46" i="2"/>
  <c r="U126" i="9"/>
  <c r="U149" i="9" s="1"/>
  <c r="O120" i="9"/>
  <c r="O119" i="9"/>
  <c r="O118" i="9"/>
  <c r="O117" i="9"/>
  <c r="O121" i="9"/>
  <c r="O90" i="9"/>
  <c r="AX31" i="2"/>
  <c r="CZ125" i="9"/>
  <c r="CZ91" i="9"/>
  <c r="V121" i="9"/>
  <c r="V120" i="9"/>
  <c r="V118" i="9"/>
  <c r="V117" i="9"/>
  <c r="V119" i="9"/>
  <c r="V90" i="9"/>
  <c r="AS31" i="2"/>
  <c r="DT125" i="9"/>
  <c r="DT91" i="9"/>
  <c r="DL31" i="2"/>
  <c r="BR125" i="9"/>
  <c r="BR91" i="9"/>
  <c r="EK31" i="2"/>
  <c r="CZ38" i="7"/>
  <c r="DA26" i="7"/>
  <c r="DB26" i="7" s="1"/>
  <c r="CD129" i="9"/>
  <c r="CD127" i="9" s="1"/>
  <c r="BF125" i="9"/>
  <c r="BF91" i="9"/>
  <c r="NV45" i="2"/>
  <c r="KH45" i="2"/>
  <c r="LJ45" i="2"/>
  <c r="ND45" i="2"/>
  <c r="MR45" i="2"/>
  <c r="OX45" i="2"/>
  <c r="OT45" i="2"/>
  <c r="MH45" i="2"/>
  <c r="OK45" i="2"/>
  <c r="MY45" i="2"/>
  <c r="LA45" i="2"/>
  <c r="OU45" i="2"/>
  <c r="PF45" i="2"/>
  <c r="KX45" i="2"/>
  <c r="MM45" i="2"/>
  <c r="NG45" i="2"/>
  <c r="NH45" i="2"/>
  <c r="LL45" i="2"/>
  <c r="NN45" i="2"/>
  <c r="OL45" i="2"/>
  <c r="MK45" i="2"/>
  <c r="KT45" i="2"/>
  <c r="LH45" i="2"/>
  <c r="MC45" i="2"/>
  <c r="OW45" i="2"/>
  <c r="MF45" i="2"/>
  <c r="OP45" i="2"/>
  <c r="NK45" i="2"/>
  <c r="OD45" i="2"/>
  <c r="KV45" i="2"/>
  <c r="MI45" i="2"/>
  <c r="LO45" i="2"/>
  <c r="MX45" i="2"/>
  <c r="LZ45" i="2"/>
  <c r="DY105" i="2"/>
  <c r="BH105" i="2"/>
  <c r="T105" i="2"/>
  <c r="BA105" i="2"/>
  <c r="AX105" i="2"/>
  <c r="BS105" i="2"/>
  <c r="DM105" i="2"/>
  <c r="CK105" i="2"/>
  <c r="DW105" i="2"/>
  <c r="DD140" i="9"/>
  <c r="DJ112" i="2"/>
  <c r="DJ111" i="2"/>
  <c r="DJ115" i="2"/>
  <c r="DJ116" i="2"/>
  <c r="DJ114" i="2"/>
  <c r="DJ110" i="2"/>
  <c r="DJ108" i="2"/>
  <c r="DJ113" i="2"/>
  <c r="DJ109" i="2"/>
  <c r="DP140" i="9"/>
  <c r="DV114" i="2"/>
  <c r="DV116" i="2"/>
  <c r="DV109" i="2"/>
  <c r="DV113" i="2"/>
  <c r="DV115" i="2"/>
  <c r="DV108" i="2"/>
  <c r="DV110" i="2"/>
  <c r="DV117" i="2"/>
  <c r="DV111" i="2"/>
  <c r="DV112" i="2"/>
  <c r="ID37" i="2"/>
  <c r="AO31" i="2"/>
  <c r="AK46" i="2"/>
  <c r="CA105" i="9"/>
  <c r="CA106" i="9" s="1"/>
  <c r="DQ31" i="2"/>
  <c r="BH140" i="9"/>
  <c r="BN109" i="2"/>
  <c r="BN112" i="2"/>
  <c r="BN114" i="2"/>
  <c r="BN111" i="2"/>
  <c r="BN108" i="2"/>
  <c r="BN115" i="2"/>
  <c r="BN113" i="2"/>
  <c r="BN110" i="2"/>
  <c r="BN116" i="2"/>
  <c r="DA129" i="9"/>
  <c r="DA127" i="9" s="1"/>
  <c r="AI129" i="9"/>
  <c r="AI127" i="9" s="1"/>
  <c r="DC105" i="9"/>
  <c r="DC106" i="9" s="1"/>
  <c r="DP129" i="9"/>
  <c r="DP127" i="9" s="1"/>
  <c r="BN31" i="2"/>
  <c r="CW129" i="9"/>
  <c r="CW127" i="9" s="1"/>
  <c r="BO140" i="9"/>
  <c r="BU111" i="2"/>
  <c r="BU112" i="2"/>
  <c r="BU110" i="2"/>
  <c r="BU113" i="2"/>
  <c r="BU115" i="2"/>
  <c r="BU109" i="2"/>
  <c r="BU108" i="2"/>
  <c r="BU114" i="2"/>
  <c r="BU116" i="2"/>
  <c r="FM37" i="2"/>
  <c r="DS105" i="9"/>
  <c r="DS106" i="9" s="1"/>
  <c r="MO42" i="2"/>
  <c r="NA42" i="2"/>
  <c r="NJ42" i="2"/>
  <c r="NR42" i="2"/>
  <c r="MU42" i="2"/>
  <c r="MN42" i="2"/>
  <c r="NS42" i="2"/>
  <c r="LX42" i="2"/>
  <c r="EI116" i="2"/>
  <c r="EI112" i="2"/>
  <c r="EI111" i="2"/>
  <c r="EI115" i="2"/>
  <c r="EI113" i="2"/>
  <c r="EI108" i="2"/>
  <c r="EI114" i="2"/>
  <c r="EI110" i="2"/>
  <c r="EI109" i="2"/>
  <c r="S129" i="9"/>
  <c r="S127" i="9" s="1"/>
  <c r="CB31" i="2"/>
  <c r="DI118" i="9"/>
  <c r="DI117" i="9"/>
  <c r="DI121" i="9"/>
  <c r="DI119" i="9"/>
  <c r="DI120" i="9"/>
  <c r="DI90" i="9"/>
  <c r="DI93" i="9" s="1"/>
  <c r="K36" i="1"/>
  <c r="K35" i="1"/>
  <c r="K34" i="1"/>
  <c r="CC46" i="2"/>
  <c r="DO140" i="9"/>
  <c r="DU112" i="2"/>
  <c r="DU116" i="2"/>
  <c r="DU108" i="2"/>
  <c r="DU113" i="2"/>
  <c r="DU114" i="2"/>
  <c r="DU110" i="2"/>
  <c r="DU109" i="2"/>
  <c r="DU115" i="2"/>
  <c r="DU117" i="2"/>
  <c r="DU111" i="2"/>
  <c r="B88" i="4"/>
  <c r="E8" i="4" s="1"/>
  <c r="B90" i="4"/>
  <c r="E6" i="4" s="1"/>
  <c r="E7" i="4" s="1"/>
  <c r="CQ31" i="2"/>
  <c r="CL105" i="9"/>
  <c r="CL106" i="9" s="1"/>
  <c r="CS145" i="7"/>
  <c r="CT145" i="7" s="1"/>
  <c r="CU145" i="7" s="1"/>
  <c r="CV145" i="7" s="1"/>
  <c r="CW145" i="7" s="1"/>
  <c r="CX145" i="7" s="1"/>
  <c r="CY145" i="7" s="1"/>
  <c r="CZ145" i="7" s="1"/>
  <c r="DA145" i="7" s="1"/>
  <c r="DB145" i="7" s="1"/>
  <c r="BI140" i="9"/>
  <c r="BO109" i="2"/>
  <c r="BO112" i="2"/>
  <c r="BO110" i="2"/>
  <c r="BO108" i="2"/>
  <c r="BO114" i="2"/>
  <c r="BO113" i="2"/>
  <c r="BO115" i="2"/>
  <c r="BO111" i="2"/>
  <c r="BO117" i="2"/>
  <c r="BO116" i="2"/>
  <c r="V125" i="9"/>
  <c r="V91" i="9"/>
  <c r="EE46" i="2"/>
  <c r="EA31" i="2"/>
  <c r="DA31" i="2"/>
  <c r="J125" i="9"/>
  <c r="J91" i="9"/>
  <c r="J126" i="9"/>
  <c r="J149" i="9" s="1"/>
  <c r="DM46" i="2"/>
  <c r="DR120" i="9"/>
  <c r="DR119" i="9"/>
  <c r="DR118" i="9"/>
  <c r="DR117" i="9"/>
  <c r="DR121" i="9"/>
  <c r="DR90" i="9"/>
  <c r="DR93" i="9" s="1"/>
  <c r="OR45" i="2"/>
  <c r="NU45" i="2"/>
  <c r="OM45" i="2"/>
  <c r="KU45" i="2"/>
  <c r="NS45" i="2"/>
  <c r="BQ105" i="2"/>
  <c r="O105" i="2"/>
  <c r="EB105" i="2"/>
  <c r="DB105" i="2"/>
  <c r="AG105" i="2"/>
  <c r="AV105" i="2"/>
  <c r="AQ105" i="2"/>
  <c r="CI125" i="9"/>
  <c r="CI91" i="9"/>
  <c r="AZ129" i="9"/>
  <c r="AZ127" i="9" s="1"/>
  <c r="BU31" i="2"/>
  <c r="BO121" i="9"/>
  <c r="BO120" i="9"/>
  <c r="BO119" i="9"/>
  <c r="BO117" i="9"/>
  <c r="BO118" i="9"/>
  <c r="BO90" i="9"/>
  <c r="BO93" i="9" s="1"/>
  <c r="DN129" i="9"/>
  <c r="DN127" i="9" s="1"/>
  <c r="KV103" i="2"/>
  <c r="OO103" i="2"/>
  <c r="LG103" i="2"/>
  <c r="OM103" i="2"/>
  <c r="KM103" i="2"/>
  <c r="KZ103" i="2"/>
  <c r="LM103" i="2"/>
  <c r="LZ103" i="2"/>
  <c r="MM103" i="2"/>
  <c r="MZ103" i="2"/>
  <c r="NA103" i="2"/>
  <c r="W121" i="9"/>
  <c r="W120" i="9"/>
  <c r="W119" i="9"/>
  <c r="W117" i="9"/>
  <c r="W118" i="9"/>
  <c r="W90" i="9"/>
  <c r="AX126" i="9"/>
  <c r="AX149" i="9" s="1"/>
  <c r="CZ120" i="9"/>
  <c r="CZ118" i="9"/>
  <c r="CZ117" i="9"/>
  <c r="CZ90" i="9"/>
  <c r="CZ93" i="9" s="1"/>
  <c r="CZ119" i="9"/>
  <c r="CZ121" i="9"/>
  <c r="AK31" i="2"/>
  <c r="CX129" i="9"/>
  <c r="CX127" i="9" s="1"/>
  <c r="AG129" i="9"/>
  <c r="AG127" i="9" s="1"/>
  <c r="AD129" i="9"/>
  <c r="AD127" i="9" s="1"/>
  <c r="AF126" i="9"/>
  <c r="AF149" i="9" s="1"/>
  <c r="CV119" i="9"/>
  <c r="CV118" i="9"/>
  <c r="CV117" i="9"/>
  <c r="CV121" i="9"/>
  <c r="CV120" i="9"/>
  <c r="CV90" i="9"/>
  <c r="CV93" i="9" s="1"/>
  <c r="IN37" i="2"/>
  <c r="CK118" i="9"/>
  <c r="CK117" i="9"/>
  <c r="CK121" i="9"/>
  <c r="CK119" i="9"/>
  <c r="CK120" i="9"/>
  <c r="CK90" i="9"/>
  <c r="CK93" i="9" s="1"/>
  <c r="JA37" i="2"/>
  <c r="GQ37" i="2"/>
  <c r="BP120" i="9"/>
  <c r="BP119" i="9"/>
  <c r="BP118" i="9"/>
  <c r="BP117" i="9"/>
  <c r="BP121" i="9"/>
  <c r="BP90" i="9"/>
  <c r="BP93" i="9" s="1"/>
  <c r="BL31" i="2"/>
  <c r="BV121" i="9"/>
  <c r="BV120" i="9"/>
  <c r="BV119" i="9"/>
  <c r="BV118" i="9"/>
  <c r="BV117" i="9"/>
  <c r="BV90" i="9"/>
  <c r="BV93" i="9" s="1"/>
  <c r="BZ140" i="9"/>
  <c r="CF111" i="2"/>
  <c r="CF110" i="2"/>
  <c r="CF114" i="2"/>
  <c r="CF108" i="2"/>
  <c r="CF115" i="2"/>
  <c r="CF117" i="2"/>
  <c r="CF116" i="2"/>
  <c r="CF113" i="2"/>
  <c r="CF112" i="2"/>
  <c r="CF109" i="2"/>
  <c r="EW37" i="2"/>
  <c r="NN37" i="2"/>
  <c r="OP37" i="2"/>
  <c r="MF37" i="2"/>
  <c r="MD37" i="2"/>
  <c r="MC37" i="2"/>
  <c r="LZ37" i="2"/>
  <c r="MI37" i="2"/>
  <c r="LA37" i="2"/>
  <c r="NB37" i="2"/>
  <c r="LB37" i="2"/>
  <c r="OL37" i="2"/>
  <c r="MM37" i="2"/>
  <c r="NA37" i="2"/>
  <c r="PG37" i="2"/>
  <c r="NM37" i="2"/>
  <c r="NP37" i="2"/>
  <c r="LJ37" i="2"/>
  <c r="OU37" i="2"/>
  <c r="KH37" i="2"/>
  <c r="KV37" i="2"/>
  <c r="ON37" i="2"/>
  <c r="LH37" i="2"/>
  <c r="MY37" i="2"/>
  <c r="JW105" i="2"/>
  <c r="FS105" i="2"/>
  <c r="CD31" i="2"/>
  <c r="GK37" i="2"/>
  <c r="AY129" i="9"/>
  <c r="AY127" i="9" s="1"/>
  <c r="CF121" i="9"/>
  <c r="CF120" i="9"/>
  <c r="CF119" i="9"/>
  <c r="CF118" i="9"/>
  <c r="CF90" i="9"/>
  <c r="CF93" i="9" s="1"/>
  <c r="CF117" i="9"/>
  <c r="HC37" i="2"/>
  <c r="BV31" i="2"/>
  <c r="L36" i="1"/>
  <c r="V31" i="2"/>
  <c r="BL140" i="9"/>
  <c r="BR110" i="2"/>
  <c r="BR115" i="2"/>
  <c r="BR111" i="2"/>
  <c r="BR112" i="2"/>
  <c r="BR116" i="2"/>
  <c r="BR114" i="2"/>
  <c r="BR108" i="2"/>
  <c r="BR109" i="2"/>
  <c r="BR113" i="2"/>
  <c r="O129" i="9"/>
  <c r="O127" i="9" s="1"/>
  <c r="AW121" i="9"/>
  <c r="AW120" i="9"/>
  <c r="AW119" i="9"/>
  <c r="AW118" i="9"/>
  <c r="AW117" i="9"/>
  <c r="AW90" i="9"/>
  <c r="BC129" i="9"/>
  <c r="BC127" i="9" s="1"/>
  <c r="BF121" i="9"/>
  <c r="BF120" i="9"/>
  <c r="BF118" i="9"/>
  <c r="BF119" i="9"/>
  <c r="BF90" i="9"/>
  <c r="BF93" i="9" s="1"/>
  <c r="BF117" i="9"/>
  <c r="BF129" i="9"/>
  <c r="BF127" i="9" s="1"/>
  <c r="AA31" i="2"/>
  <c r="CB120" i="9"/>
  <c r="CB118" i="9"/>
  <c r="CB117" i="9"/>
  <c r="CB119" i="9"/>
  <c r="CB90" i="9"/>
  <c r="CB93" i="9" s="1"/>
  <c r="CB121" i="9"/>
  <c r="DP46" i="2"/>
  <c r="CJ46" i="2"/>
  <c r="BM118" i="9"/>
  <c r="BM117" i="9"/>
  <c r="BM121" i="9"/>
  <c r="BM119" i="9"/>
  <c r="BM120" i="9"/>
  <c r="BM90" i="9"/>
  <c r="BM93" i="9" s="1"/>
  <c r="AV46" i="2"/>
  <c r="CL125" i="9"/>
  <c r="CL91" i="9"/>
  <c r="K34" i="2"/>
  <c r="DA125" i="9"/>
  <c r="DA91" i="9"/>
  <c r="AK125" i="9"/>
  <c r="AK91" i="9"/>
  <c r="AK126" i="9"/>
  <c r="AK149" i="9" s="1"/>
  <c r="BQ105" i="9"/>
  <c r="BQ106" i="9" s="1"/>
  <c r="CQ105" i="9"/>
  <c r="CQ106" i="9" s="1"/>
  <c r="CS105" i="9"/>
  <c r="CS106" i="9" s="1"/>
  <c r="BR105" i="9"/>
  <c r="BR106" i="9" s="1"/>
  <c r="DQ105" i="9"/>
  <c r="DQ106" i="9" s="1"/>
  <c r="BS105" i="9"/>
  <c r="BS106" i="9" s="1"/>
  <c r="CR105" i="9"/>
  <c r="CR106" i="9" s="1"/>
  <c r="I129" i="9"/>
  <c r="I127" i="9" s="1"/>
  <c r="EK75" i="2"/>
  <c r="BH125" i="9"/>
  <c r="BH91" i="9"/>
  <c r="DA140" i="9"/>
  <c r="DG115" i="2"/>
  <c r="DG114" i="2"/>
  <c r="DG110" i="2"/>
  <c r="DG109" i="2"/>
  <c r="DG113" i="2"/>
  <c r="DG108" i="2"/>
  <c r="DG116" i="2"/>
  <c r="DG112" i="2"/>
  <c r="DG111" i="2"/>
  <c r="DC92" i="7"/>
  <c r="CZ93" i="7"/>
  <c r="DC93" i="7"/>
  <c r="DA92" i="7"/>
  <c r="DB95" i="7"/>
  <c r="DA95" i="7"/>
  <c r="CZ94" i="7"/>
  <c r="DD94" i="7"/>
  <c r="DD96" i="7"/>
  <c r="DB92" i="7"/>
  <c r="DC95" i="7"/>
  <c r="DB96" i="7"/>
  <c r="DB94" i="7"/>
  <c r="CZ95" i="7"/>
  <c r="DD93" i="7"/>
  <c r="CZ92" i="7"/>
  <c r="DB93" i="7"/>
  <c r="CZ96" i="7"/>
  <c r="DC94" i="7"/>
  <c r="DA96" i="7"/>
  <c r="DD92" i="7"/>
  <c r="DA93" i="7"/>
  <c r="DC96" i="7"/>
  <c r="DD95" i="7"/>
  <c r="DA94" i="7"/>
  <c r="BE121" i="9"/>
  <c r="BE119" i="9"/>
  <c r="BE117" i="9"/>
  <c r="BE118" i="9"/>
  <c r="BE90" i="9"/>
  <c r="BE120" i="9"/>
  <c r="NT45" i="2"/>
  <c r="MU45" i="2"/>
  <c r="OF45" i="2"/>
  <c r="MB45" i="2"/>
  <c r="LD45" i="2"/>
  <c r="CX105" i="2"/>
  <c r="BL105" i="2"/>
  <c r="M105" i="2"/>
  <c r="EG105" i="2"/>
  <c r="FX37" i="2"/>
  <c r="AZ119" i="9"/>
  <c r="AZ118" i="9"/>
  <c r="AZ117" i="9"/>
  <c r="AZ121" i="9"/>
  <c r="AZ120" i="9"/>
  <c r="AZ90" i="9"/>
  <c r="Y46" i="2"/>
  <c r="OZ103" i="2"/>
  <c r="KU103" i="2"/>
  <c r="MQ103" i="2"/>
  <c r="KL103" i="2"/>
  <c r="KY103" i="2"/>
  <c r="LL103" i="2"/>
  <c r="LL105" i="2" s="1"/>
  <c r="LY103" i="2"/>
  <c r="ML103" i="2"/>
  <c r="MY103" i="2"/>
  <c r="NL103" i="2"/>
  <c r="AX129" i="9"/>
  <c r="AX127" i="9" s="1"/>
  <c r="BW140" i="9"/>
  <c r="CC111" i="2"/>
  <c r="CC108" i="2"/>
  <c r="CC116" i="2"/>
  <c r="CC114" i="2"/>
  <c r="CC110" i="2"/>
  <c r="CC109" i="2"/>
  <c r="CC115" i="2"/>
  <c r="CC113" i="2"/>
  <c r="CC112" i="2"/>
  <c r="BT31" i="2"/>
  <c r="CU140" i="9"/>
  <c r="DA111" i="2"/>
  <c r="DA112" i="2"/>
  <c r="DA110" i="2"/>
  <c r="DA109" i="2"/>
  <c r="DA113" i="2"/>
  <c r="DA108" i="2"/>
  <c r="DA115" i="2"/>
  <c r="DA114" i="2"/>
  <c r="DA116" i="2"/>
  <c r="DC129" i="9"/>
  <c r="DC127" i="9" s="1"/>
  <c r="CM121" i="9"/>
  <c r="CM120" i="9"/>
  <c r="CM119" i="9"/>
  <c r="CM117" i="9"/>
  <c r="CM118" i="9"/>
  <c r="CM90" i="9"/>
  <c r="CM93" i="9" s="1"/>
  <c r="AV126" i="9"/>
  <c r="AV149" i="9" s="1"/>
  <c r="NV37" i="2"/>
  <c r="OX37" i="2"/>
  <c r="LR37" i="2"/>
  <c r="KR37" i="2"/>
  <c r="LD37" i="2"/>
  <c r="KN37" i="2"/>
  <c r="OM37" i="2"/>
  <c r="MG37" i="2"/>
  <c r="CW105" i="9"/>
  <c r="CW106" i="9" s="1"/>
  <c r="HN37" i="2"/>
  <c r="FR37" i="2"/>
  <c r="BG140" i="9"/>
  <c r="BM114" i="2"/>
  <c r="BM109" i="2"/>
  <c r="BM116" i="2"/>
  <c r="BM115" i="2"/>
  <c r="BM110" i="2"/>
  <c r="BM112" i="2"/>
  <c r="BM113" i="2"/>
  <c r="BM108" i="2"/>
  <c r="BM111" i="2"/>
  <c r="IL37" i="2"/>
  <c r="MF42" i="2"/>
  <c r="KX42" i="2"/>
  <c r="LK42" i="2"/>
  <c r="ND42" i="2"/>
  <c r="NU42" i="2"/>
  <c r="LG42" i="2"/>
  <c r="LY42" i="2"/>
  <c r="OY42" i="2"/>
  <c r="NI42" i="2"/>
  <c r="FF37" i="2"/>
  <c r="CL129" i="9"/>
  <c r="CL127" i="9" s="1"/>
  <c r="CR42" i="2" l="1"/>
  <c r="DP37" i="2"/>
  <c r="OL105" i="2"/>
  <c r="HC210" i="2"/>
  <c r="DZ41" i="2"/>
  <c r="GU210" i="2"/>
  <c r="JW210" i="2"/>
  <c r="IT210" i="2"/>
  <c r="GJ210" i="2"/>
  <c r="FN210" i="2"/>
  <c r="GS210" i="2"/>
  <c r="HN210" i="2"/>
  <c r="FF210" i="2"/>
  <c r="JK210" i="2"/>
  <c r="FK210" i="2"/>
  <c r="ND105" i="2"/>
  <c r="CE42" i="2"/>
  <c r="CL37" i="2"/>
  <c r="GC210" i="2"/>
  <c r="JB210" i="2"/>
  <c r="K35" i="2"/>
  <c r="HO210" i="2"/>
  <c r="EN41" i="2"/>
  <c r="HH210" i="2"/>
  <c r="JI210" i="2"/>
  <c r="DU43" i="2"/>
  <c r="EX210" i="2"/>
  <c r="GA210" i="2"/>
  <c r="HU210" i="2"/>
  <c r="GT210" i="2"/>
  <c r="AZ43" i="2"/>
  <c r="DR43" i="2"/>
  <c r="JF210" i="2"/>
  <c r="FG210" i="2"/>
  <c r="OO105" i="2"/>
  <c r="BG45" i="2"/>
  <c r="MD105" i="2"/>
  <c r="JX210" i="2"/>
  <c r="EF41" i="2"/>
  <c r="DB42" i="2"/>
  <c r="DY41" i="2"/>
  <c r="JM210" i="2"/>
  <c r="JC210" i="2"/>
  <c r="CX43" i="2"/>
  <c r="KM105" i="2"/>
  <c r="EN43" i="2"/>
  <c r="LC105" i="2"/>
  <c r="HY210" i="2"/>
  <c r="DJ43" i="2"/>
  <c r="BF43" i="2"/>
  <c r="AZ42" i="2"/>
  <c r="BF41" i="2"/>
  <c r="EC43" i="2"/>
  <c r="EG41" i="2"/>
  <c r="GE210" i="2"/>
  <c r="CV43" i="2"/>
  <c r="BI43" i="2"/>
  <c r="CL43" i="2"/>
  <c r="CW41" i="2"/>
  <c r="FQ210" i="2"/>
  <c r="AA43" i="2"/>
  <c r="R44" i="2"/>
  <c r="HQ210" i="2"/>
  <c r="BU41" i="2"/>
  <c r="AF44" i="2"/>
  <c r="Z44" i="2"/>
  <c r="IX210" i="2"/>
  <c r="GI210" i="2"/>
  <c r="HE210" i="2"/>
  <c r="EE43" i="2"/>
  <c r="BM44" i="2"/>
  <c r="IJ210" i="2"/>
  <c r="AQ41" i="2"/>
  <c r="CO44" i="2"/>
  <c r="AE37" i="2"/>
  <c r="BP36" i="2"/>
  <c r="DE42" i="2"/>
  <c r="IC210" i="2"/>
  <c r="JT210" i="2"/>
  <c r="BQ43" i="2"/>
  <c r="CO43" i="2"/>
  <c r="AB43" i="2"/>
  <c r="JA210" i="2"/>
  <c r="EK43" i="2"/>
  <c r="AP41" i="2"/>
  <c r="EK36" i="2"/>
  <c r="BX41" i="2"/>
  <c r="DE44" i="2"/>
  <c r="CM43" i="2"/>
  <c r="EF43" i="2"/>
  <c r="DO41" i="2"/>
  <c r="FL210" i="2"/>
  <c r="DO36" i="2"/>
  <c r="KQ105" i="2"/>
  <c r="CN43" i="2"/>
  <c r="HG210" i="2"/>
  <c r="X42" i="2"/>
  <c r="L43" i="2"/>
  <c r="EB43" i="2"/>
  <c r="CS42" i="2"/>
  <c r="EE41" i="2"/>
  <c r="NV105" i="2"/>
  <c r="ME105" i="2"/>
  <c r="AF41" i="2"/>
  <c r="OR105" i="2"/>
  <c r="HA210" i="2"/>
  <c r="NU105" i="2"/>
  <c r="DN44" i="2"/>
  <c r="BS43" i="2"/>
  <c r="W43" i="2"/>
  <c r="BU45" i="2"/>
  <c r="IP210" i="2"/>
  <c r="DU41" i="2"/>
  <c r="DP43" i="2"/>
  <c r="AI43" i="2"/>
  <c r="CP44" i="2"/>
  <c r="CG37" i="2"/>
  <c r="CJ43" i="2"/>
  <c r="HV210" i="2"/>
  <c r="BM41" i="2"/>
  <c r="FE210" i="2"/>
  <c r="DW44" i="2"/>
  <c r="Q44" i="2"/>
  <c r="BB43" i="2"/>
  <c r="CI36" i="2"/>
  <c r="DK44" i="2"/>
  <c r="DK41" i="2"/>
  <c r="LA105" i="2"/>
  <c r="LQ105" i="2"/>
  <c r="EA37" i="2"/>
  <c r="AU37" i="2"/>
  <c r="NE105" i="2"/>
  <c r="BF42" i="2"/>
  <c r="W44" i="2"/>
  <c r="BC37" i="2"/>
  <c r="CY41" i="2"/>
  <c r="OA105" i="2"/>
  <c r="M41" i="2"/>
  <c r="OT105" i="2"/>
  <c r="AI41" i="2"/>
  <c r="KU105" i="2"/>
  <c r="DQ36" i="2"/>
  <c r="BR42" i="2"/>
  <c r="BH43" i="2"/>
  <c r="DE37" i="2"/>
  <c r="AF37" i="2"/>
  <c r="NH105" i="2"/>
  <c r="MM105" i="2"/>
  <c r="DX43" i="2"/>
  <c r="DS37" i="2"/>
  <c r="FX210" i="2"/>
  <c r="DW43" i="2"/>
  <c r="U37" i="2"/>
  <c r="OE105" i="2"/>
  <c r="AT41" i="2"/>
  <c r="JJ210" i="2"/>
  <c r="JE210" i="2"/>
  <c r="HP210" i="2"/>
  <c r="AF43" i="2"/>
  <c r="HI210" i="2"/>
  <c r="FP210" i="2"/>
  <c r="AM37" i="2"/>
  <c r="EM42" i="2"/>
  <c r="CR43" i="2"/>
  <c r="BH41" i="2"/>
  <c r="R41" i="2"/>
  <c r="AO41" i="2"/>
  <c r="AS42" i="2"/>
  <c r="DJ41" i="2"/>
  <c r="BA42" i="2"/>
  <c r="IB210" i="2"/>
  <c r="CI43" i="2"/>
  <c r="CY43" i="2"/>
  <c r="AW42" i="2"/>
  <c r="IH210" i="2"/>
  <c r="DO43" i="2"/>
  <c r="V44" i="2"/>
  <c r="BV45" i="2"/>
  <c r="DV41" i="2"/>
  <c r="AY43" i="2"/>
  <c r="DY43" i="2"/>
  <c r="Z41" i="2"/>
  <c r="BM43" i="2"/>
  <c r="BR37" i="2"/>
  <c r="AB41" i="2"/>
  <c r="FR210" i="2"/>
  <c r="IS210" i="2"/>
  <c r="KJ105" i="2"/>
  <c r="C21" i="7"/>
  <c r="CT76" i="7" s="1"/>
  <c r="DZ43" i="2"/>
  <c r="AT42" i="2"/>
  <c r="GM210" i="2"/>
  <c r="DF41" i="2"/>
  <c r="DN42" i="2"/>
  <c r="C381" i="10"/>
  <c r="E381" i="10" s="1"/>
  <c r="DC37" i="2"/>
  <c r="BW42" i="2"/>
  <c r="KI105" i="2"/>
  <c r="AM43" i="2"/>
  <c r="CK43" i="2"/>
  <c r="MB105" i="2"/>
  <c r="AO36" i="2"/>
  <c r="EC42" i="2"/>
  <c r="BV36" i="2"/>
  <c r="BG44" i="2"/>
  <c r="CI44" i="2"/>
  <c r="OV105" i="2"/>
  <c r="DI42" i="2"/>
  <c r="AI44" i="2"/>
  <c r="EG45" i="2"/>
  <c r="GD210" i="2"/>
  <c r="CO41" i="2"/>
  <c r="BU37" i="2"/>
  <c r="O41" i="2"/>
  <c r="GV210" i="2"/>
  <c r="AH45" i="2"/>
  <c r="AV41" i="2"/>
  <c r="BJ42" i="2"/>
  <c r="CC41" i="2"/>
  <c r="CR45" i="2"/>
  <c r="NX105" i="2"/>
  <c r="DY42" i="2"/>
  <c r="OY105" i="2"/>
  <c r="CP42" i="2"/>
  <c r="OS105" i="2"/>
  <c r="EN44" i="2"/>
  <c r="II210" i="2"/>
  <c r="AS43" i="2"/>
  <c r="AI45" i="2"/>
  <c r="BF37" i="2"/>
  <c r="AU42" i="2"/>
  <c r="DA36" i="2"/>
  <c r="CK41" i="2"/>
  <c r="AZ37" i="2"/>
  <c r="KY105" i="2"/>
  <c r="AJ43" i="2"/>
  <c r="BK45" i="2"/>
  <c r="V45" i="2"/>
  <c r="BJ41" i="2"/>
  <c r="DW42" i="2"/>
  <c r="KN105" i="2"/>
  <c r="O43" i="2"/>
  <c r="Z43" i="2"/>
  <c r="LJ105" i="2"/>
  <c r="AY44" i="2"/>
  <c r="IQ210" i="2"/>
  <c r="GO210" i="2"/>
  <c r="HT210" i="2"/>
  <c r="CM44" i="2"/>
  <c r="R43" i="2"/>
  <c r="FH210" i="2"/>
  <c r="CO42" i="2"/>
  <c r="FJ210" i="2"/>
  <c r="CE37" i="2"/>
  <c r="BY43" i="2"/>
  <c r="EH43" i="2"/>
  <c r="MY105" i="2"/>
  <c r="DQ37" i="2"/>
  <c r="CA42" i="2"/>
  <c r="AN42" i="2"/>
  <c r="IM210" i="2"/>
  <c r="DK43" i="2"/>
  <c r="GN210" i="2"/>
  <c r="DT42" i="2"/>
  <c r="N37" i="2"/>
  <c r="BO37" i="2"/>
  <c r="DV45" i="2"/>
  <c r="NR105" i="2"/>
  <c r="AP43" i="2"/>
  <c r="DV43" i="2"/>
  <c r="AZ36" i="2"/>
  <c r="GQ210" i="2"/>
  <c r="BW41" i="2"/>
  <c r="IA210" i="2"/>
  <c r="NZ105" i="2"/>
  <c r="DV42" i="2"/>
  <c r="CV41" i="2"/>
  <c r="W41" i="2"/>
  <c r="P44" i="2"/>
  <c r="CD37" i="2"/>
  <c r="EE36" i="2"/>
  <c r="EE38" i="2" s="1"/>
  <c r="CI41" i="2"/>
  <c r="AB36" i="2"/>
  <c r="EH41" i="2"/>
  <c r="BI41" i="2"/>
  <c r="BF44" i="2"/>
  <c r="AT43" i="2"/>
  <c r="EM45" i="2"/>
  <c r="KX105" i="2"/>
  <c r="LE105" i="2"/>
  <c r="P41" i="2"/>
  <c r="AB42" i="2"/>
  <c r="EA42" i="2"/>
  <c r="KR105" i="2"/>
  <c r="GP210" i="2"/>
  <c r="BX43" i="2"/>
  <c r="CM37" i="2"/>
  <c r="Y44" i="2"/>
  <c r="DN41" i="2"/>
  <c r="LZ105" i="2"/>
  <c r="DX37" i="2"/>
  <c r="AB44" i="2"/>
  <c r="CP41" i="2"/>
  <c r="AJ41" i="2"/>
  <c r="AA41" i="2"/>
  <c r="DQ44" i="2"/>
  <c r="DX41" i="2"/>
  <c r="HS210" i="2"/>
  <c r="CL41" i="2"/>
  <c r="DR44" i="2"/>
  <c r="DY37" i="2"/>
  <c r="PD105" i="2"/>
  <c r="BN42" i="2"/>
  <c r="AP37" i="2"/>
  <c r="DW41" i="2"/>
  <c r="DB44" i="2"/>
  <c r="DU36" i="2"/>
  <c r="L42" i="2"/>
  <c r="MQ105" i="2"/>
  <c r="EB41" i="2"/>
  <c r="IO210" i="2"/>
  <c r="GZ210" i="2"/>
  <c r="LU105" i="2"/>
  <c r="OZ105" i="2"/>
  <c r="ED42" i="2"/>
  <c r="MJ105" i="2"/>
  <c r="FC210" i="2"/>
  <c r="CF43" i="2"/>
  <c r="EL42" i="2"/>
  <c r="AZ41" i="2"/>
  <c r="Q41" i="2"/>
  <c r="BQ36" i="2"/>
  <c r="HJ210" i="2"/>
  <c r="AW45" i="2"/>
  <c r="AJ44" i="2"/>
  <c r="CR37" i="2"/>
  <c r="AQ45" i="2"/>
  <c r="DA42" i="2"/>
  <c r="DY44" i="2"/>
  <c r="IE210" i="2"/>
  <c r="FM210" i="2"/>
  <c r="CP37" i="2"/>
  <c r="CJ42" i="2"/>
  <c r="OM105" i="2"/>
  <c r="CF41" i="2"/>
  <c r="GW210" i="2"/>
  <c r="BK44" i="2"/>
  <c r="CW37" i="2"/>
  <c r="BI44" i="2"/>
  <c r="BM37" i="2"/>
  <c r="DG36" i="2"/>
  <c r="BW45" i="2"/>
  <c r="OK105" i="2"/>
  <c r="MF105" i="2"/>
  <c r="CU43" i="2"/>
  <c r="JD210" i="2"/>
  <c r="S45" i="2"/>
  <c r="HB210" i="2"/>
  <c r="AT45" i="2"/>
  <c r="EH42" i="2"/>
  <c r="OQ105" i="2"/>
  <c r="BX44" i="2"/>
  <c r="EV210" i="2"/>
  <c r="CP43" i="2"/>
  <c r="DM37" i="2"/>
  <c r="DF42" i="2"/>
  <c r="DT45" i="2"/>
  <c r="ED37" i="2"/>
  <c r="BI37" i="2"/>
  <c r="EB37" i="2"/>
  <c r="CN44" i="2"/>
  <c r="GR210" i="2"/>
  <c r="C20" i="7"/>
  <c r="P20" i="7" s="1"/>
  <c r="AT36" i="2"/>
  <c r="AX44" i="2"/>
  <c r="NF105" i="2"/>
  <c r="JV210" i="2"/>
  <c r="CZ37" i="2"/>
  <c r="AS37" i="2"/>
  <c r="AS38" i="2" s="1"/>
  <c r="CQ42" i="2"/>
  <c r="DJ42" i="2"/>
  <c r="DP42" i="2"/>
  <c r="CN42" i="2"/>
  <c r="P43" i="2"/>
  <c r="CU41" i="2"/>
  <c r="AF36" i="2"/>
  <c r="FB210" i="2"/>
  <c r="PE105" i="2"/>
  <c r="O36" i="2"/>
  <c r="T44" i="2"/>
  <c r="LT105" i="2"/>
  <c r="KL105" i="2"/>
  <c r="DG37" i="2"/>
  <c r="AA42" i="2"/>
  <c r="IL210" i="2"/>
  <c r="JN210" i="2"/>
  <c r="EF37" i="2"/>
  <c r="CN37" i="2"/>
  <c r="CJ41" i="2"/>
  <c r="FD210" i="2"/>
  <c r="BP45" i="2"/>
  <c r="DN37" i="2"/>
  <c r="DM42" i="2"/>
  <c r="DU44" i="2"/>
  <c r="DT41" i="2"/>
  <c r="PC105" i="2"/>
  <c r="JQ210" i="2"/>
  <c r="BM45" i="2"/>
  <c r="CB45" i="2"/>
  <c r="CV42" i="2"/>
  <c r="NQ105" i="2"/>
  <c r="CZ36" i="2"/>
  <c r="EH44" i="2"/>
  <c r="CL44" i="2"/>
  <c r="LX105" i="2"/>
  <c r="EI45" i="2"/>
  <c r="DE45" i="2"/>
  <c r="CS45" i="2"/>
  <c r="O42" i="2"/>
  <c r="CI37" i="2"/>
  <c r="EJ36" i="2"/>
  <c r="MH105" i="2"/>
  <c r="DS44" i="2"/>
  <c r="AM44" i="2"/>
  <c r="BN41" i="2"/>
  <c r="ID210" i="2"/>
  <c r="AZ45" i="2"/>
  <c r="DW45" i="2"/>
  <c r="LR105" i="2"/>
  <c r="FZ210" i="2"/>
  <c r="AZ44" i="2"/>
  <c r="KG105" i="2"/>
  <c r="GB210" i="2"/>
  <c r="LF105" i="2"/>
  <c r="Z37" i="2"/>
  <c r="EC44" i="2"/>
  <c r="EI36" i="2"/>
  <c r="BZ44" i="2"/>
  <c r="OX105" i="2"/>
  <c r="DG45" i="2"/>
  <c r="AE36" i="2"/>
  <c r="KK105" i="2"/>
  <c r="DZ42" i="2"/>
  <c r="LN105" i="2"/>
  <c r="KW105" i="2"/>
  <c r="PH105" i="2"/>
  <c r="OD105" i="2"/>
  <c r="HL210" i="2"/>
  <c r="KS105" i="2"/>
  <c r="CB43" i="2"/>
  <c r="BK37" i="2"/>
  <c r="L41" i="2"/>
  <c r="HF210" i="2"/>
  <c r="LP105" i="2"/>
  <c r="EN37" i="2"/>
  <c r="AT37" i="2"/>
  <c r="BH42" i="2"/>
  <c r="LK105" i="2"/>
  <c r="O37" i="2"/>
  <c r="LD105" i="2"/>
  <c r="EG120" i="2"/>
  <c r="AS44" i="2"/>
  <c r="KO105" i="2"/>
  <c r="HR210" i="2"/>
  <c r="CG43" i="2"/>
  <c r="CE43" i="2"/>
  <c r="AG42" i="2"/>
  <c r="AK43" i="2"/>
  <c r="AV45" i="2"/>
  <c r="DH37" i="2"/>
  <c r="CV37" i="2"/>
  <c r="DF45" i="2"/>
  <c r="BB37" i="2"/>
  <c r="AA37" i="2"/>
  <c r="EK37" i="2"/>
  <c r="DD37" i="2"/>
  <c r="CM42" i="2"/>
  <c r="AE43" i="2"/>
  <c r="CU37" i="2"/>
  <c r="DP41" i="2"/>
  <c r="AV42" i="2"/>
  <c r="DJ36" i="2"/>
  <c r="EB44" i="2"/>
  <c r="AV36" i="2"/>
  <c r="OJ105" i="2"/>
  <c r="KH105" i="2"/>
  <c r="CR41" i="2"/>
  <c r="NL105" i="2"/>
  <c r="Q37" i="2"/>
  <c r="DE36" i="2"/>
  <c r="MA105" i="2"/>
  <c r="DY45" i="2"/>
  <c r="AS45" i="2"/>
  <c r="EH36" i="2"/>
  <c r="CX36" i="2"/>
  <c r="NN105" i="2"/>
  <c r="U36" i="2"/>
  <c r="HZ210" i="2"/>
  <c r="DQ42" i="2"/>
  <c r="DV44" i="2"/>
  <c r="IR210" i="2"/>
  <c r="BO36" i="2"/>
  <c r="CI42" i="2"/>
  <c r="PG105" i="2"/>
  <c r="BK36" i="2"/>
  <c r="FW210" i="2"/>
  <c r="CV45" i="2"/>
  <c r="ML105" i="2"/>
  <c r="LY105" i="2"/>
  <c r="X44" i="2"/>
  <c r="DM36" i="2"/>
  <c r="FA210" i="2"/>
  <c r="BB44" i="2"/>
  <c r="BP43" i="2"/>
  <c r="BH37" i="2"/>
  <c r="MR105" i="2"/>
  <c r="LW105" i="2"/>
  <c r="DR41" i="2"/>
  <c r="DL37" i="2"/>
  <c r="Z42" i="2"/>
  <c r="BV42" i="2"/>
  <c r="AL42" i="2"/>
  <c r="BW37" i="2"/>
  <c r="EJ37" i="2"/>
  <c r="CA36" i="2"/>
  <c r="DU45" i="2"/>
  <c r="BC41" i="2"/>
  <c r="M45" i="2"/>
  <c r="EJ42" i="2"/>
  <c r="IK210" i="2"/>
  <c r="AC42" i="2"/>
  <c r="OU105" i="2"/>
  <c r="BW36" i="2"/>
  <c r="BV41" i="2"/>
  <c r="EY210" i="2"/>
  <c r="BE45" i="2"/>
  <c r="BJ37" i="2"/>
  <c r="JO210" i="2"/>
  <c r="W36" i="2"/>
  <c r="EC41" i="2"/>
  <c r="BY44" i="2"/>
  <c r="Y37" i="2"/>
  <c r="Y38" i="2" s="1"/>
  <c r="MC105" i="2"/>
  <c r="DV36" i="2"/>
  <c r="HK210" i="2"/>
  <c r="GX210" i="2"/>
  <c r="AL43" i="2"/>
  <c r="DN45" i="2"/>
  <c r="EL37" i="2"/>
  <c r="NW105" i="2"/>
  <c r="EB45" i="2"/>
  <c r="JH210" i="2"/>
  <c r="DA43" i="2"/>
  <c r="MU105" i="2"/>
  <c r="AI37" i="2"/>
  <c r="KT105" i="2"/>
  <c r="AL45" i="2"/>
  <c r="CK37" i="2"/>
  <c r="W37" i="2"/>
  <c r="BZ42" i="2"/>
  <c r="BJ45" i="2"/>
  <c r="CG45" i="2"/>
  <c r="EE45" i="2"/>
  <c r="BT37" i="2"/>
  <c r="NY105" i="2"/>
  <c r="CW44" i="2"/>
  <c r="CT41" i="2"/>
  <c r="AX42" i="2"/>
  <c r="DL42" i="2"/>
  <c r="LM105" i="2"/>
  <c r="P36" i="2"/>
  <c r="LH105" i="2"/>
  <c r="MS105" i="2"/>
  <c r="AL36" i="2"/>
  <c r="BX42" i="2"/>
  <c r="EJ44" i="2"/>
  <c r="LI105" i="2"/>
  <c r="MK105" i="2"/>
  <c r="AY45" i="2"/>
  <c r="DH45" i="2"/>
  <c r="CW45" i="2"/>
  <c r="U41" i="2"/>
  <c r="AL37" i="2"/>
  <c r="BI42" i="2"/>
  <c r="KV105" i="2"/>
  <c r="CS37" i="2"/>
  <c r="DF36" i="2"/>
  <c r="CQ44" i="2"/>
  <c r="NT105" i="2"/>
  <c r="LO105" i="2"/>
  <c r="FT210" i="2"/>
  <c r="IF210" i="2"/>
  <c r="BU43" i="2"/>
  <c r="BB45" i="2"/>
  <c r="EK45" i="2"/>
  <c r="DO37" i="2"/>
  <c r="CP45" i="2"/>
  <c r="CT36" i="2"/>
  <c r="DV37" i="2"/>
  <c r="BA36" i="2"/>
  <c r="OH105" i="2"/>
  <c r="DZ37" i="2"/>
  <c r="MZ105" i="2"/>
  <c r="CJ37" i="2"/>
  <c r="DJ37" i="2"/>
  <c r="CF42" i="2"/>
  <c r="FV210" i="2"/>
  <c r="DC45" i="2"/>
  <c r="DK37" i="2"/>
  <c r="AD37" i="2"/>
  <c r="OI105" i="2"/>
  <c r="CO37" i="2"/>
  <c r="NG105" i="2"/>
  <c r="DU42" i="2"/>
  <c r="OC105" i="2"/>
  <c r="N42" i="2"/>
  <c r="DM44" i="2"/>
  <c r="BU44" i="2"/>
  <c r="BJ43" i="2"/>
  <c r="BW43" i="2"/>
  <c r="MN105" i="2"/>
  <c r="BC45" i="2"/>
  <c r="ED44" i="2"/>
  <c r="AJ42" i="2"/>
  <c r="DR37" i="2"/>
  <c r="FU210" i="2"/>
  <c r="DK42" i="2"/>
  <c r="EI42" i="2"/>
  <c r="DF44" i="2"/>
  <c r="DT43" i="2"/>
  <c r="DO45" i="2"/>
  <c r="CF45" i="2"/>
  <c r="BM42" i="2"/>
  <c r="AK45" i="2"/>
  <c r="GF210" i="2"/>
  <c r="ON105" i="2"/>
  <c r="AD36" i="2"/>
  <c r="CV36" i="2"/>
  <c r="AR44" i="2"/>
  <c r="DJ44" i="2"/>
  <c r="DQ43" i="2"/>
  <c r="ED43" i="2"/>
  <c r="CS43" i="2"/>
  <c r="NC105" i="2"/>
  <c r="BR45" i="2"/>
  <c r="NI105" i="2"/>
  <c r="O44" i="2"/>
  <c r="DO42" i="2"/>
  <c r="EC37" i="2"/>
  <c r="AB37" i="2"/>
  <c r="DC42" i="2"/>
  <c r="EB42" i="2"/>
  <c r="OF105" i="2"/>
  <c r="S44" i="2"/>
  <c r="M44" i="2"/>
  <c r="R45" i="2"/>
  <c r="AE45" i="2"/>
  <c r="DA44" i="2"/>
  <c r="AF42" i="2"/>
  <c r="BK42" i="2"/>
  <c r="CH45" i="2"/>
  <c r="LV105" i="2"/>
  <c r="AW37" i="2"/>
  <c r="L37" i="2"/>
  <c r="CK42" i="2"/>
  <c r="CA41" i="2"/>
  <c r="IW210" i="2"/>
  <c r="EN45" i="2"/>
  <c r="CQ120" i="2"/>
  <c r="BA120" i="2"/>
  <c r="AE42" i="2"/>
  <c r="OG105" i="2"/>
  <c r="EW210" i="2"/>
  <c r="GH210" i="2"/>
  <c r="EH45" i="2"/>
  <c r="AX45" i="2"/>
  <c r="CC45" i="2"/>
  <c r="AR37" i="2"/>
  <c r="EG37" i="2"/>
  <c r="BQ44" i="2"/>
  <c r="AN44" i="2"/>
  <c r="DP36" i="2"/>
  <c r="DU37" i="2"/>
  <c r="EH37" i="2"/>
  <c r="DT120" i="2"/>
  <c r="AJ36" i="2"/>
  <c r="BL36" i="2"/>
  <c r="BS44" i="2"/>
  <c r="T43" i="2"/>
  <c r="LS105" i="2"/>
  <c r="OB105" i="2"/>
  <c r="V41" i="2"/>
  <c r="CF44" i="2"/>
  <c r="DO44" i="2"/>
  <c r="BX37" i="2"/>
  <c r="BS37" i="2"/>
  <c r="AY37" i="2"/>
  <c r="EC120" i="2"/>
  <c r="L36" i="2"/>
  <c r="Q36" i="2"/>
  <c r="S42" i="2"/>
  <c r="DC44" i="2"/>
  <c r="BK43" i="2"/>
  <c r="IU210" i="2"/>
  <c r="DW37" i="2"/>
  <c r="BB42" i="2"/>
  <c r="EG42" i="2"/>
  <c r="AJ37" i="2"/>
  <c r="CY37" i="2"/>
  <c r="CS120" i="2"/>
  <c r="R36" i="2"/>
  <c r="BC36" i="2"/>
  <c r="AI42" i="2"/>
  <c r="CH44" i="2"/>
  <c r="EG44" i="2"/>
  <c r="CZ43" i="2"/>
  <c r="S43" i="2"/>
  <c r="BD43" i="2"/>
  <c r="PB105" i="2"/>
  <c r="DE43" i="2"/>
  <c r="CK45" i="2"/>
  <c r="DD45" i="2"/>
  <c r="BT45" i="2"/>
  <c r="BV37" i="2"/>
  <c r="EN42" i="2"/>
  <c r="BY37" i="2"/>
  <c r="DD43" i="2"/>
  <c r="CL36" i="2"/>
  <c r="OP105" i="2"/>
  <c r="CT43" i="2"/>
  <c r="AC36" i="2"/>
  <c r="DA37" i="2"/>
  <c r="AC37" i="2"/>
  <c r="DT44" i="2"/>
  <c r="N44" i="2"/>
  <c r="HX210" i="2"/>
  <c r="AT44" i="2"/>
  <c r="CX37" i="2"/>
  <c r="DX42" i="2"/>
  <c r="CS41" i="2"/>
  <c r="NA105" i="2"/>
  <c r="W42" i="2"/>
  <c r="N36" i="2"/>
  <c r="JU210" i="2"/>
  <c r="AY42" i="2"/>
  <c r="NK105" i="2"/>
  <c r="CA37" i="2"/>
  <c r="U42" i="2"/>
  <c r="R37" i="2"/>
  <c r="CB42" i="2"/>
  <c r="MI105" i="2"/>
  <c r="MW105" i="2"/>
  <c r="AK37" i="2"/>
  <c r="BC42" i="2"/>
  <c r="OW105" i="2"/>
  <c r="DH36" i="2"/>
  <c r="DY36" i="2"/>
  <c r="BB36" i="2"/>
  <c r="EA43" i="2"/>
  <c r="MG105" i="2"/>
  <c r="CQ36" i="2"/>
  <c r="CJ36" i="2"/>
  <c r="AO42" i="2"/>
  <c r="EA44" i="2"/>
  <c r="CV44" i="2"/>
  <c r="MT105" i="2"/>
  <c r="BE43" i="2"/>
  <c r="BF36" i="2"/>
  <c r="DF37" i="2"/>
  <c r="BM36" i="2"/>
  <c r="CE45" i="2"/>
  <c r="DM120" i="2"/>
  <c r="BY36" i="2"/>
  <c r="DT36" i="2"/>
  <c r="Y42" i="2"/>
  <c r="BH44" i="2"/>
  <c r="FS210" i="2"/>
  <c r="V36" i="2"/>
  <c r="BD36" i="2"/>
  <c r="CY36" i="2"/>
  <c r="CC42" i="2"/>
  <c r="AC43" i="2"/>
  <c r="MV105" i="2"/>
  <c r="PA105" i="2"/>
  <c r="AO43" i="2"/>
  <c r="DS43" i="2"/>
  <c r="NJ105" i="2"/>
  <c r="AV37" i="2"/>
  <c r="CK44" i="2"/>
  <c r="I166" i="2"/>
  <c r="CA120" i="2"/>
  <c r="AG43" i="2"/>
  <c r="BV43" i="2"/>
  <c r="CW43" i="2"/>
  <c r="MX105" i="2"/>
  <c r="BE36" i="2"/>
  <c r="BA41" i="2"/>
  <c r="JR210" i="2"/>
  <c r="AQ37" i="2"/>
  <c r="F93" i="9"/>
  <c r="G73" i="9" s="1"/>
  <c r="G93" i="9" s="1"/>
  <c r="AW120" i="2"/>
  <c r="AD43" i="2"/>
  <c r="NB105" i="2"/>
  <c r="W45" i="2"/>
  <c r="L45" i="2"/>
  <c r="DL41" i="2"/>
  <c r="CC44" i="2"/>
  <c r="BJ44" i="2"/>
  <c r="JG210" i="2"/>
  <c r="AO37" i="2"/>
  <c r="BQ37" i="2"/>
  <c r="BJ120" i="2"/>
  <c r="DS36" i="2"/>
  <c r="AS41" i="2"/>
  <c r="AA36" i="2"/>
  <c r="AL44" i="2"/>
  <c r="DH43" i="2"/>
  <c r="AV43" i="2"/>
  <c r="U45" i="2"/>
  <c r="Y45" i="2"/>
  <c r="AA44" i="2"/>
  <c r="V42" i="2"/>
  <c r="JL210" i="2"/>
  <c r="CJ45" i="2"/>
  <c r="DB37" i="2"/>
  <c r="S37" i="2"/>
  <c r="CG41" i="2"/>
  <c r="AM42" i="2"/>
  <c r="DF43" i="2"/>
  <c r="EI43" i="2"/>
  <c r="P37" i="2"/>
  <c r="V37" i="2"/>
  <c r="AR120" i="2"/>
  <c r="AR128" i="2" s="1"/>
  <c r="S36" i="2"/>
  <c r="EM36" i="2"/>
  <c r="EL44" i="2"/>
  <c r="AC44" i="2"/>
  <c r="X43" i="2"/>
  <c r="HD210" i="2"/>
  <c r="O45" i="2"/>
  <c r="P45" i="2"/>
  <c r="DM45" i="2"/>
  <c r="EF45" i="2"/>
  <c r="BN37" i="2"/>
  <c r="NS105" i="2"/>
  <c r="BG37" i="2"/>
  <c r="DD42" i="2"/>
  <c r="AS120" i="2"/>
  <c r="AS128" i="2" s="1"/>
  <c r="AS129" i="2" s="1"/>
  <c r="AS130" i="2" s="1"/>
  <c r="BS36" i="2"/>
  <c r="CC36" i="2"/>
  <c r="CF36" i="2"/>
  <c r="BN43" i="2"/>
  <c r="AW43" i="2"/>
  <c r="KP105" i="2"/>
  <c r="MO105" i="2"/>
  <c r="EA41" i="2"/>
  <c r="BD41" i="2"/>
  <c r="S41" i="2"/>
  <c r="BA45" i="2"/>
  <c r="GK210" i="2"/>
  <c r="AO45" i="2"/>
  <c r="IN210" i="2"/>
  <c r="DO120" i="2"/>
  <c r="BH36" i="2"/>
  <c r="CK36" i="2"/>
  <c r="CM36" i="2"/>
  <c r="BG42" i="2"/>
  <c r="EM43" i="2"/>
  <c r="PF105" i="2"/>
  <c r="AI36" i="2"/>
  <c r="GY210" i="2"/>
  <c r="AC45" i="2"/>
  <c r="BZ45" i="2"/>
  <c r="NP105" i="2"/>
  <c r="CW42" i="2"/>
  <c r="AN43" i="2"/>
  <c r="MP105" i="2"/>
  <c r="NO105" i="2"/>
  <c r="CF37" i="2"/>
  <c r="DT37" i="2"/>
  <c r="AK42" i="2"/>
  <c r="AC120" i="2"/>
  <c r="AC128" i="2" s="1"/>
  <c r="DB120" i="2"/>
  <c r="R120" i="2"/>
  <c r="R128" i="2" s="1"/>
  <c r="R129" i="2" s="1"/>
  <c r="R130" i="2" s="1"/>
  <c r="BO43" i="2"/>
  <c r="BZ43" i="2"/>
  <c r="GG210" i="2"/>
  <c r="AR43" i="2"/>
  <c r="BE37" i="2"/>
  <c r="AD44" i="2"/>
  <c r="P42" i="2"/>
  <c r="EI37" i="2"/>
  <c r="CJ120" i="2"/>
  <c r="DG42" i="2"/>
  <c r="CT44" i="2"/>
  <c r="DP44" i="2"/>
  <c r="EB36" i="2"/>
  <c r="CS44" i="2"/>
  <c r="EF36" i="2"/>
  <c r="LG105" i="2"/>
  <c r="BT43" i="2"/>
  <c r="GL210" i="2"/>
  <c r="BY45" i="2"/>
  <c r="DK45" i="2"/>
  <c r="BP37" i="2"/>
  <c r="CC37" i="2"/>
  <c r="CN36" i="2"/>
  <c r="BR36" i="2"/>
  <c r="AG120" i="2"/>
  <c r="AG128" i="2" s="1"/>
  <c r="AG129" i="2" s="1"/>
  <c r="AG130" i="2" s="1"/>
  <c r="Y41" i="2"/>
  <c r="CW120" i="2"/>
  <c r="AP45" i="2"/>
  <c r="BS45" i="2"/>
  <c r="DA45" i="2"/>
  <c r="EM37" i="2"/>
  <c r="EA36" i="2"/>
  <c r="BE120" i="2"/>
  <c r="M37" i="2"/>
  <c r="T37" i="2"/>
  <c r="DI36" i="2"/>
  <c r="DI38" i="2" s="1"/>
  <c r="BG36" i="2"/>
  <c r="CH36" i="2"/>
  <c r="AV44" i="2"/>
  <c r="AQ43" i="2"/>
  <c r="EI41" i="2"/>
  <c r="AW41" i="2"/>
  <c r="DD41" i="2"/>
  <c r="AR41" i="2"/>
  <c r="IV210" i="2"/>
  <c r="BD45" i="2"/>
  <c r="AR45" i="2"/>
  <c r="BZ37" i="2"/>
  <c r="DH44" i="2"/>
  <c r="CR44" i="2"/>
  <c r="AG41" i="2"/>
  <c r="BA43" i="2"/>
  <c r="CR36" i="2"/>
  <c r="X41" i="2"/>
  <c r="EK44" i="2"/>
  <c r="BB120" i="2"/>
  <c r="CU45" i="2"/>
  <c r="CT42" i="2"/>
  <c r="CZ120" i="2"/>
  <c r="DX120" i="2"/>
  <c r="EH120" i="2"/>
  <c r="EC36" i="2"/>
  <c r="CB37" i="2"/>
  <c r="M36" i="2"/>
  <c r="BU36" i="2"/>
  <c r="BK41" i="2"/>
  <c r="CB44" i="2"/>
  <c r="BA44" i="2"/>
  <c r="BD120" i="2"/>
  <c r="V43" i="2"/>
  <c r="BC43" i="2"/>
  <c r="EL43" i="2"/>
  <c r="DX36" i="2"/>
  <c r="CD43" i="2"/>
  <c r="V120" i="2"/>
  <c r="V128" i="2" s="1"/>
  <c r="V129" i="2" s="1"/>
  <c r="V130" i="2" s="1"/>
  <c r="AA120" i="2"/>
  <c r="AA128" i="2" s="1"/>
  <c r="AA129" i="2" s="1"/>
  <c r="AA130" i="2" s="1"/>
  <c r="KZ105" i="2"/>
  <c r="CG36" i="2"/>
  <c r="AR36" i="2"/>
  <c r="AP36" i="2"/>
  <c r="AM41" i="2"/>
  <c r="BL120" i="2"/>
  <c r="DR42" i="2"/>
  <c r="AP44" i="2"/>
  <c r="AU44" i="2"/>
  <c r="DG43" i="2"/>
  <c r="DN43" i="2"/>
  <c r="BO41" i="2"/>
  <c r="CM41" i="2"/>
  <c r="IG210" i="2"/>
  <c r="BD37" i="2"/>
  <c r="AH37" i="2"/>
  <c r="BX36" i="2"/>
  <c r="AU36" i="2"/>
  <c r="T36" i="2"/>
  <c r="BE44" i="2"/>
  <c r="BL44" i="2"/>
  <c r="CA43" i="2"/>
  <c r="DM43" i="2"/>
  <c r="EN36" i="2"/>
  <c r="AH36" i="2"/>
  <c r="EL41" i="2"/>
  <c r="DI44" i="2"/>
  <c r="CJ44" i="2"/>
  <c r="DB43" i="2"/>
  <c r="AB45" i="2"/>
  <c r="AF45" i="2"/>
  <c r="CO45" i="2"/>
  <c r="L44" i="2"/>
  <c r="BW120" i="2"/>
  <c r="AT120" i="2"/>
  <c r="AT128" i="2" s="1"/>
  <c r="AT129" i="2" s="1"/>
  <c r="AT130" i="2" s="1"/>
  <c r="JP210" i="2"/>
  <c r="X36" i="2"/>
  <c r="BI36" i="2"/>
  <c r="BT44" i="2"/>
  <c r="CX44" i="2"/>
  <c r="BD44" i="2"/>
  <c r="CG44" i="2"/>
  <c r="EA120" i="2"/>
  <c r="AK36" i="2"/>
  <c r="EJ45" i="2"/>
  <c r="BA37" i="2"/>
  <c r="AN37" i="2"/>
  <c r="CT37" i="2"/>
  <c r="IY210" i="2"/>
  <c r="BN36" i="2"/>
  <c r="BL43" i="2"/>
  <c r="BY41" i="2"/>
  <c r="DL36" i="2"/>
  <c r="AW44" i="2"/>
  <c r="AJ120" i="2"/>
  <c r="AJ128" i="2" s="1"/>
  <c r="AJ129" i="2" s="1"/>
  <c r="AJ130" i="2" s="1"/>
  <c r="DP120" i="2"/>
  <c r="Y43" i="2"/>
  <c r="DI120" i="2"/>
  <c r="EG36" i="2"/>
  <c r="DK36" i="2"/>
  <c r="BS42" i="2"/>
  <c r="BY42" i="2"/>
  <c r="BW44" i="2"/>
  <c r="U44" i="2"/>
  <c r="AN36" i="2"/>
  <c r="AX120" i="2"/>
  <c r="EK120" i="2"/>
  <c r="CG120" i="2"/>
  <c r="AB120" i="2"/>
  <c r="AB128" i="2" s="1"/>
  <c r="AB129" i="2" s="1"/>
  <c r="AB130" i="2" s="1"/>
  <c r="DC120" i="2"/>
  <c r="DK120" i="2"/>
  <c r="DE120" i="2"/>
  <c r="EJ43" i="2"/>
  <c r="EG43" i="2"/>
  <c r="EM41" i="2"/>
  <c r="BM120" i="2"/>
  <c r="BX73" i="9"/>
  <c r="CU36" i="2"/>
  <c r="BT120" i="2"/>
  <c r="AD42" i="2"/>
  <c r="AK44" i="2"/>
  <c r="EF44" i="2"/>
  <c r="N120" i="2"/>
  <c r="N128" i="2" s="1"/>
  <c r="M120" i="2"/>
  <c r="M128" i="2" s="1"/>
  <c r="CE120" i="2"/>
  <c r="T41" i="2"/>
  <c r="CD41" i="2"/>
  <c r="BE41" i="2"/>
  <c r="BL41" i="2"/>
  <c r="AC41" i="2"/>
  <c r="AM36" i="2"/>
  <c r="DR120" i="2"/>
  <c r="AK120" i="2"/>
  <c r="AK128" i="2" s="1"/>
  <c r="BQ42" i="2"/>
  <c r="CT73" i="9"/>
  <c r="BC227" i="2"/>
  <c r="BC195" i="2"/>
  <c r="AX47" i="3" s="1"/>
  <c r="BK227" i="2"/>
  <c r="BK195" i="2"/>
  <c r="BF47" i="3" s="1"/>
  <c r="BI227" i="2"/>
  <c r="BI195" i="2"/>
  <c r="BD47" i="3" s="1"/>
  <c r="DY227" i="2"/>
  <c r="DY208" i="2"/>
  <c r="DY211" i="2"/>
  <c r="DY207" i="2"/>
  <c r="DY212" i="2"/>
  <c r="JI196" i="2" s="1"/>
  <c r="DY206" i="2"/>
  <c r="DY196" i="2"/>
  <c r="DS75" i="9" s="1"/>
  <c r="DY205" i="2"/>
  <c r="DY200" i="2"/>
  <c r="DY199" i="2"/>
  <c r="DY203" i="2"/>
  <c r="DY197" i="2"/>
  <c r="DY202" i="2"/>
  <c r="DY195" i="2"/>
  <c r="DT47" i="3" s="1"/>
  <c r="AD227" i="2"/>
  <c r="AD195" i="2"/>
  <c r="Y47" i="3" s="1"/>
  <c r="BX211" i="2"/>
  <c r="BX227" i="2"/>
  <c r="BX212" i="2"/>
  <c r="HH196" i="2" s="1"/>
  <c r="BX199" i="2"/>
  <c r="BX208" i="2"/>
  <c r="BX202" i="2"/>
  <c r="BX197" i="2"/>
  <c r="BX196" i="2"/>
  <c r="BR75" i="9" s="1"/>
  <c r="BX205" i="2"/>
  <c r="BX207" i="2"/>
  <c r="BX195" i="2"/>
  <c r="BS47" i="3" s="1"/>
  <c r="BX203" i="2"/>
  <c r="BX200" i="2"/>
  <c r="BX206" i="2"/>
  <c r="S227" i="2"/>
  <c r="S195" i="2"/>
  <c r="N47" i="3" s="1"/>
  <c r="CS208" i="2"/>
  <c r="CS211" i="2"/>
  <c r="CS227" i="2"/>
  <c r="CS200" i="2"/>
  <c r="CS199" i="2"/>
  <c r="CS203" i="2"/>
  <c r="CS207" i="2"/>
  <c r="CS202" i="2"/>
  <c r="CS197" i="2"/>
  <c r="CS212" i="2"/>
  <c r="IC196" i="2" s="1"/>
  <c r="CS206" i="2"/>
  <c r="CS196" i="2"/>
  <c r="CM75" i="9" s="1"/>
  <c r="CS205" i="2"/>
  <c r="CS195" i="2"/>
  <c r="CN47" i="3" s="1"/>
  <c r="C89" i="4" a="1"/>
  <c r="C89" i="4" s="1"/>
  <c r="C90" i="4" s="1"/>
  <c r="F6" i="4" s="1"/>
  <c r="F5" i="4"/>
  <c r="D87" i="4"/>
  <c r="DS45" i="2"/>
  <c r="BL45" i="2"/>
  <c r="DQ45" i="2"/>
  <c r="H167" i="2"/>
  <c r="H120" i="2"/>
  <c r="G23" i="1"/>
  <c r="I125" i="2"/>
  <c r="DL73" i="9"/>
  <c r="BV227" i="2"/>
  <c r="BV212" i="2"/>
  <c r="HF196" i="2" s="1"/>
  <c r="BV207" i="2"/>
  <c r="BV195" i="2"/>
  <c r="BQ47" i="3" s="1"/>
  <c r="BV199" i="2"/>
  <c r="BV208" i="2"/>
  <c r="BV203" i="2"/>
  <c r="BV202" i="2"/>
  <c r="BV197" i="2"/>
  <c r="BV206" i="2"/>
  <c r="BV205" i="2"/>
  <c r="BV200" i="2"/>
  <c r="BV211" i="2"/>
  <c r="BV196" i="2"/>
  <c r="BP75" i="9" s="1"/>
  <c r="CW227" i="2"/>
  <c r="CW211" i="2"/>
  <c r="CW207" i="2"/>
  <c r="CW212" i="2"/>
  <c r="IG196" i="2" s="1"/>
  <c r="CW208" i="2"/>
  <c r="CW203" i="2"/>
  <c r="CW202" i="2"/>
  <c r="CW197" i="2"/>
  <c r="CW206" i="2"/>
  <c r="CW196" i="2"/>
  <c r="CQ75" i="9" s="1"/>
  <c r="CW205" i="2"/>
  <c r="CW200" i="2"/>
  <c r="CW195" i="2"/>
  <c r="CR47" i="3" s="1"/>
  <c r="CW199" i="2"/>
  <c r="BX120" i="2"/>
  <c r="BG43" i="2"/>
  <c r="AH227" i="2"/>
  <c r="AH195" i="2"/>
  <c r="AC47" i="3" s="1"/>
  <c r="CV211" i="2"/>
  <c r="CV227" i="2"/>
  <c r="CV212" i="2"/>
  <c r="IF196" i="2" s="1"/>
  <c r="CV199" i="2"/>
  <c r="CV208" i="2"/>
  <c r="CV207" i="2"/>
  <c r="CV202" i="2"/>
  <c r="CV197" i="2"/>
  <c r="CV196" i="2"/>
  <c r="CP75" i="9" s="1"/>
  <c r="CV205" i="2"/>
  <c r="CV195" i="2"/>
  <c r="CQ47" i="3" s="1"/>
  <c r="CV206" i="2"/>
  <c r="CV200" i="2"/>
  <c r="CV203" i="2"/>
  <c r="BY227" i="2"/>
  <c r="BY211" i="2"/>
  <c r="BY207" i="2"/>
  <c r="BY212" i="2"/>
  <c r="HI196" i="2" s="1"/>
  <c r="BY208" i="2"/>
  <c r="BY203" i="2"/>
  <c r="BY202" i="2"/>
  <c r="BY197" i="2"/>
  <c r="BY206" i="2"/>
  <c r="BY196" i="2"/>
  <c r="BS75" i="9" s="1"/>
  <c r="BY205" i="2"/>
  <c r="BY200" i="2"/>
  <c r="BY195" i="2"/>
  <c r="BT47" i="3" s="1"/>
  <c r="BY199" i="2"/>
  <c r="EC208" i="2"/>
  <c r="EC211" i="2"/>
  <c r="EC227" i="2"/>
  <c r="EC200" i="2"/>
  <c r="EC199" i="2"/>
  <c r="EC203" i="2"/>
  <c r="EC202" i="2"/>
  <c r="EC197" i="2"/>
  <c r="EC207" i="2"/>
  <c r="EC206" i="2"/>
  <c r="EC196" i="2"/>
  <c r="EC69" i="2" s="1"/>
  <c r="EC77" i="2" s="1"/>
  <c r="EC212" i="2"/>
  <c r="JM196" i="2" s="1"/>
  <c r="EC205" i="2"/>
  <c r="EC195" i="2"/>
  <c r="DX47" i="3" s="1"/>
  <c r="BU120" i="2"/>
  <c r="ED120" i="2"/>
  <c r="DS120" i="2"/>
  <c r="CQ37" i="2"/>
  <c r="CY120" i="2"/>
  <c r="CX73" i="9"/>
  <c r="BZ120" i="2"/>
  <c r="ED36" i="2"/>
  <c r="CP120" i="2"/>
  <c r="DG73" i="9"/>
  <c r="CM120" i="2"/>
  <c r="CU42" i="2"/>
  <c r="BU42" i="2"/>
  <c r="DS42" i="2"/>
  <c r="BJ36" i="2"/>
  <c r="AE44" i="2"/>
  <c r="CO73" i="9"/>
  <c r="X120" i="2"/>
  <c r="X128" i="2" s="1"/>
  <c r="BV73" i="9"/>
  <c r="AH43" i="2"/>
  <c r="BO42" i="2"/>
  <c r="CS36" i="2"/>
  <c r="CF73" i="9"/>
  <c r="CD73" i="9"/>
  <c r="DI41" i="2"/>
  <c r="AY41" i="2"/>
  <c r="BS41" i="2"/>
  <c r="CH41" i="2"/>
  <c r="Q227" i="2"/>
  <c r="Q195" i="2"/>
  <c r="L47" i="3" s="1"/>
  <c r="BJ227" i="2"/>
  <c r="BJ195" i="2"/>
  <c r="BE47" i="3" s="1"/>
  <c r="BQ227" i="2"/>
  <c r="BQ195" i="2"/>
  <c r="BL47" i="3" s="1"/>
  <c r="V227" i="2"/>
  <c r="V195" i="2"/>
  <c r="Q47" i="3" s="1"/>
  <c r="DE208" i="2"/>
  <c r="DE211" i="2"/>
  <c r="DE227" i="2"/>
  <c r="DE200" i="2"/>
  <c r="DE199" i="2"/>
  <c r="DE203" i="2"/>
  <c r="DE202" i="2"/>
  <c r="DE197" i="2"/>
  <c r="DE206" i="2"/>
  <c r="DE196" i="2"/>
  <c r="CY75" i="9" s="1"/>
  <c r="DE207" i="2"/>
  <c r="DE205" i="2"/>
  <c r="DE212" i="2"/>
  <c r="IO196" i="2" s="1"/>
  <c r="DE195" i="2"/>
  <c r="CZ47" i="3" s="1"/>
  <c r="CB227" i="2"/>
  <c r="CB212" i="2"/>
  <c r="HL196" i="2" s="1"/>
  <c r="CB208" i="2"/>
  <c r="CB202" i="2"/>
  <c r="CB197" i="2"/>
  <c r="CB196" i="2"/>
  <c r="BV75" i="9" s="1"/>
  <c r="CB205" i="2"/>
  <c r="CB195" i="2"/>
  <c r="BW47" i="3" s="1"/>
  <c r="CB211" i="2"/>
  <c r="CB207" i="2"/>
  <c r="CB199" i="2"/>
  <c r="CB203" i="2"/>
  <c r="CB200" i="2"/>
  <c r="CB206" i="2"/>
  <c r="CT212" i="2"/>
  <c r="ID196" i="2" s="1"/>
  <c r="CT195" i="2"/>
  <c r="CO47" i="3" s="1"/>
  <c r="CT199" i="2"/>
  <c r="CT211" i="2"/>
  <c r="CT203" i="2"/>
  <c r="CT207" i="2"/>
  <c r="CT202" i="2"/>
  <c r="CT197" i="2"/>
  <c r="CT206" i="2"/>
  <c r="CT205" i="2"/>
  <c r="CT196" i="2"/>
  <c r="CN75" i="9" s="1"/>
  <c r="CT200" i="2"/>
  <c r="CT208" i="2"/>
  <c r="CT227" i="2"/>
  <c r="AS227" i="2"/>
  <c r="AS195" i="2"/>
  <c r="AN47" i="3" s="1"/>
  <c r="DA227" i="2"/>
  <c r="DA208" i="2"/>
  <c r="DA211" i="2"/>
  <c r="DA207" i="2"/>
  <c r="DA206" i="2"/>
  <c r="DA196" i="2"/>
  <c r="CU75" i="9" s="1"/>
  <c r="DA205" i="2"/>
  <c r="DA200" i="2"/>
  <c r="DA212" i="2"/>
  <c r="IK196" i="2" s="1"/>
  <c r="DA199" i="2"/>
  <c r="DA203" i="2"/>
  <c r="DA195" i="2"/>
  <c r="CV47" i="3" s="1"/>
  <c r="DA202" i="2"/>
  <c r="DA197" i="2"/>
  <c r="CC227" i="2"/>
  <c r="CC208" i="2"/>
  <c r="CC211" i="2"/>
  <c r="CC212" i="2"/>
  <c r="HM196" i="2" s="1"/>
  <c r="CC206" i="2"/>
  <c r="CC196" i="2"/>
  <c r="BW75" i="9" s="1"/>
  <c r="CC205" i="2"/>
  <c r="CC200" i="2"/>
  <c r="CC207" i="2"/>
  <c r="CC199" i="2"/>
  <c r="CC203" i="2"/>
  <c r="CC195" i="2"/>
  <c r="BX47" i="3" s="1"/>
  <c r="CC197" i="2"/>
  <c r="CC202" i="2"/>
  <c r="BL227" i="2"/>
  <c r="BL195" i="2"/>
  <c r="BG47" i="3" s="1"/>
  <c r="AT227" i="2"/>
  <c r="AT195" i="2"/>
  <c r="AO47" i="3" s="1"/>
  <c r="DJ227" i="2"/>
  <c r="DJ212" i="2"/>
  <c r="IT196" i="2" s="1"/>
  <c r="DJ202" i="2"/>
  <c r="DJ197" i="2"/>
  <c r="DJ206" i="2"/>
  <c r="DJ205" i="2"/>
  <c r="DJ207" i="2"/>
  <c r="DJ200" i="2"/>
  <c r="DJ195" i="2"/>
  <c r="DE47" i="3" s="1"/>
  <c r="DJ208" i="2"/>
  <c r="DJ199" i="2"/>
  <c r="DJ211" i="2"/>
  <c r="DJ203" i="2"/>
  <c r="DJ196" i="2"/>
  <c r="DD75" i="9" s="1"/>
  <c r="R227" i="2"/>
  <c r="R195" i="2"/>
  <c r="M47" i="3" s="1"/>
  <c r="CF227" i="2"/>
  <c r="CF212" i="2"/>
  <c r="HP196" i="2" s="1"/>
  <c r="CF211" i="2"/>
  <c r="CF207" i="2"/>
  <c r="CF205" i="2"/>
  <c r="CF195" i="2"/>
  <c r="CA47" i="3" s="1"/>
  <c r="CF199" i="2"/>
  <c r="CF202" i="2"/>
  <c r="CF197" i="2"/>
  <c r="CF203" i="2"/>
  <c r="CF206" i="2"/>
  <c r="CF208" i="2"/>
  <c r="CF200" i="2"/>
  <c r="CF196" i="2"/>
  <c r="BZ75" i="9" s="1"/>
  <c r="CI73" i="9"/>
  <c r="DF73" i="9"/>
  <c r="BX45" i="2"/>
  <c r="EL45" i="2"/>
  <c r="BN45" i="2"/>
  <c r="X45" i="2"/>
  <c r="DN120" i="2"/>
  <c r="DA73" i="9"/>
  <c r="AU41" i="2"/>
  <c r="DG120" i="2"/>
  <c r="BN120" i="2"/>
  <c r="K46" i="2"/>
  <c r="CU44" i="2"/>
  <c r="EE120" i="2"/>
  <c r="AN227" i="2"/>
  <c r="AN195" i="2"/>
  <c r="AI47" i="3" s="1"/>
  <c r="DC227" i="2"/>
  <c r="DC212" i="2"/>
  <c r="IM196" i="2" s="1"/>
  <c r="DC208" i="2"/>
  <c r="DC211" i="2"/>
  <c r="DC207" i="2"/>
  <c r="DC196" i="2"/>
  <c r="CW75" i="9" s="1"/>
  <c r="DC200" i="2"/>
  <c r="DC195" i="2"/>
  <c r="CX47" i="3" s="1"/>
  <c r="DC203" i="2"/>
  <c r="DC206" i="2"/>
  <c r="DC205" i="2"/>
  <c r="DC199" i="2"/>
  <c r="DC197" i="2"/>
  <c r="DC202" i="2"/>
  <c r="AJ227" i="2"/>
  <c r="AJ195" i="2"/>
  <c r="AE47" i="3" s="1"/>
  <c r="DB227" i="2"/>
  <c r="DB212" i="2"/>
  <c r="IL196" i="2" s="1"/>
  <c r="DB211" i="2"/>
  <c r="DB207" i="2"/>
  <c r="DB208" i="2"/>
  <c r="DB205" i="2"/>
  <c r="DB200" i="2"/>
  <c r="DB195" i="2"/>
  <c r="CW47" i="3" s="1"/>
  <c r="DB199" i="2"/>
  <c r="DB203" i="2"/>
  <c r="DB202" i="2"/>
  <c r="DB197" i="2"/>
  <c r="DB196" i="2"/>
  <c r="CV75" i="9" s="1"/>
  <c r="DB206" i="2"/>
  <c r="BR227" i="2"/>
  <c r="BR195" i="2"/>
  <c r="BM47" i="3" s="1"/>
  <c r="DZ227" i="2"/>
  <c r="DZ212" i="2"/>
  <c r="JJ196" i="2" s="1"/>
  <c r="DZ211" i="2"/>
  <c r="DZ205" i="2"/>
  <c r="DZ200" i="2"/>
  <c r="DZ208" i="2"/>
  <c r="DZ195" i="2"/>
  <c r="DU47" i="3" s="1"/>
  <c r="DZ199" i="2"/>
  <c r="DZ203" i="2"/>
  <c r="DZ202" i="2"/>
  <c r="DZ197" i="2"/>
  <c r="DZ206" i="2"/>
  <c r="DZ196" i="2"/>
  <c r="DT75" i="9" s="1"/>
  <c r="DZ207" i="2"/>
  <c r="CY212" i="2"/>
  <c r="II196" i="2" s="1"/>
  <c r="CY227" i="2"/>
  <c r="CY208" i="2"/>
  <c r="CY211" i="2"/>
  <c r="CY207" i="2"/>
  <c r="CY206" i="2"/>
  <c r="CY196" i="2"/>
  <c r="CS75" i="9" s="1"/>
  <c r="CY200" i="2"/>
  <c r="CY195" i="2"/>
  <c r="CT47" i="3" s="1"/>
  <c r="CY203" i="2"/>
  <c r="CY202" i="2"/>
  <c r="CY205" i="2"/>
  <c r="CY199" i="2"/>
  <c r="CY197" i="2"/>
  <c r="DJ45" i="2"/>
  <c r="DU120" i="2"/>
  <c r="DD36" i="2"/>
  <c r="AV120" i="2"/>
  <c r="AV128" i="2" s="1"/>
  <c r="AX37" i="2"/>
  <c r="BS120" i="2"/>
  <c r="BC120" i="2"/>
  <c r="FO210" i="2"/>
  <c r="DB73" i="9"/>
  <c r="CY73" i="9"/>
  <c r="JS210" i="2"/>
  <c r="DF120" i="2"/>
  <c r="CI120" i="2"/>
  <c r="EM120" i="2"/>
  <c r="DT73" i="9"/>
  <c r="AQ36" i="2"/>
  <c r="BI120" i="2"/>
  <c r="K23" i="9"/>
  <c r="EE44" i="2"/>
  <c r="BO73" i="9"/>
  <c r="BF120" i="2"/>
  <c r="CH42" i="2"/>
  <c r="AR42" i="2"/>
  <c r="BL42" i="2"/>
  <c r="CX42" i="2"/>
  <c r="CE44" i="2"/>
  <c r="DX44" i="2"/>
  <c r="EI44" i="2"/>
  <c r="U120" i="2"/>
  <c r="U128" i="2" s="1"/>
  <c r="AF120" i="2"/>
  <c r="AF128" i="2" s="1"/>
  <c r="AM120" i="2"/>
  <c r="AM128" i="2" s="1"/>
  <c r="Y120" i="2"/>
  <c r="Y128" i="2" s="1"/>
  <c r="T120" i="2"/>
  <c r="T128" i="2" s="1"/>
  <c r="Z120" i="2"/>
  <c r="Z128" i="2" s="1"/>
  <c r="DN36" i="2"/>
  <c r="CC43" i="2"/>
  <c r="CO36" i="2"/>
  <c r="CP36" i="2"/>
  <c r="CQ73" i="9"/>
  <c r="EK41" i="2"/>
  <c r="BR41" i="2"/>
  <c r="AX41" i="2"/>
  <c r="DH41" i="2"/>
  <c r="CD44" i="2"/>
  <c r="AG44" i="2"/>
  <c r="CW36" i="2"/>
  <c r="DV73" i="9"/>
  <c r="AJ57" i="7"/>
  <c r="AO227" i="2"/>
  <c r="AO195" i="2"/>
  <c r="AJ47" i="3" s="1"/>
  <c r="AB227" i="2"/>
  <c r="AB195" i="2"/>
  <c r="W47" i="3" s="1"/>
  <c r="T227" i="2"/>
  <c r="T195" i="2"/>
  <c r="O47" i="3" s="1"/>
  <c r="BO227" i="2"/>
  <c r="BO195" i="2"/>
  <c r="BJ47" i="3" s="1"/>
  <c r="CO227" i="2"/>
  <c r="CO208" i="2"/>
  <c r="CO211" i="2"/>
  <c r="CO206" i="2"/>
  <c r="CO196" i="2"/>
  <c r="CI75" i="9" s="1"/>
  <c r="CO205" i="2"/>
  <c r="CO200" i="2"/>
  <c r="CO199" i="2"/>
  <c r="CO203" i="2"/>
  <c r="CO197" i="2"/>
  <c r="CO202" i="2"/>
  <c r="CO212" i="2"/>
  <c r="HY196" i="2" s="1"/>
  <c r="CO207" i="2"/>
  <c r="CO195" i="2"/>
  <c r="CJ47" i="3" s="1"/>
  <c r="EE211" i="2"/>
  <c r="EE207" i="2"/>
  <c r="EE227" i="2"/>
  <c r="EE208" i="2"/>
  <c r="EE203" i="2"/>
  <c r="EE206" i="2"/>
  <c r="EE196" i="2"/>
  <c r="EE69" i="2" s="1"/>
  <c r="EE77" i="2" s="1"/>
  <c r="EE212" i="2"/>
  <c r="JO196" i="2" s="1"/>
  <c r="EE200" i="2"/>
  <c r="EE202" i="2"/>
  <c r="EE205" i="2"/>
  <c r="EE195" i="2"/>
  <c r="DZ47" i="3" s="1"/>
  <c r="EE197" i="2"/>
  <c r="EE199" i="2"/>
  <c r="EB227" i="2"/>
  <c r="EB212" i="2"/>
  <c r="JL196" i="2" s="1"/>
  <c r="EB211" i="2"/>
  <c r="EB207" i="2"/>
  <c r="EB205" i="2"/>
  <c r="EB195" i="2"/>
  <c r="DW47" i="3" s="1"/>
  <c r="EB208" i="2"/>
  <c r="EB199" i="2"/>
  <c r="EB202" i="2"/>
  <c r="EB197" i="2"/>
  <c r="EB206" i="2"/>
  <c r="EB196" i="2"/>
  <c r="DV75" i="9" s="1"/>
  <c r="EB200" i="2"/>
  <c r="EB203" i="2"/>
  <c r="BP227" i="2"/>
  <c r="BP195" i="2"/>
  <c r="BK47" i="3" s="1"/>
  <c r="CH227" i="2"/>
  <c r="CH212" i="2"/>
  <c r="HR196" i="2" s="1"/>
  <c r="CH195" i="2"/>
  <c r="CC47" i="3" s="1"/>
  <c r="CH199" i="2"/>
  <c r="CH207" i="2"/>
  <c r="CH203" i="2"/>
  <c r="CH211" i="2"/>
  <c r="CH202" i="2"/>
  <c r="CH197" i="2"/>
  <c r="CH206" i="2"/>
  <c r="CH208" i="2"/>
  <c r="CH205" i="2"/>
  <c r="CH196" i="2"/>
  <c r="CB75" i="9" s="1"/>
  <c r="CH200" i="2"/>
  <c r="CL227" i="2"/>
  <c r="CL212" i="2"/>
  <c r="HV196" i="2" s="1"/>
  <c r="CL207" i="2"/>
  <c r="CL202" i="2"/>
  <c r="CL197" i="2"/>
  <c r="CL206" i="2"/>
  <c r="CL205" i="2"/>
  <c r="CL200" i="2"/>
  <c r="CL208" i="2"/>
  <c r="CL195" i="2"/>
  <c r="CG47" i="3" s="1"/>
  <c r="CL199" i="2"/>
  <c r="CL211" i="2"/>
  <c r="CL196" i="2"/>
  <c r="CF75" i="9" s="1"/>
  <c r="CL203" i="2"/>
  <c r="CE227" i="2"/>
  <c r="CE212" i="2"/>
  <c r="HO196" i="2" s="1"/>
  <c r="CE208" i="2"/>
  <c r="CE211" i="2"/>
  <c r="CE207" i="2"/>
  <c r="CE196" i="2"/>
  <c r="BY75" i="9" s="1"/>
  <c r="CE200" i="2"/>
  <c r="CE195" i="2"/>
  <c r="BZ47" i="3" s="1"/>
  <c r="CE203" i="2"/>
  <c r="CE206" i="2"/>
  <c r="CE205" i="2"/>
  <c r="CE199" i="2"/>
  <c r="CE197" i="2"/>
  <c r="CE202" i="2"/>
  <c r="C14" i="7"/>
  <c r="C45" i="7" s="1"/>
  <c r="AI65" i="7" s="1"/>
  <c r="F16" i="1"/>
  <c r="C479" i="10"/>
  <c r="H6" i="6"/>
  <c r="C481" i="10"/>
  <c r="DU73" i="9"/>
  <c r="CH73" i="9"/>
  <c r="CU73" i="9"/>
  <c r="CN45" i="2"/>
  <c r="DZ45" i="2"/>
  <c r="CA45" i="2"/>
  <c r="CL45" i="2"/>
  <c r="CD45" i="2"/>
  <c r="AG45" i="2"/>
  <c r="EF120" i="2"/>
  <c r="BM73" i="9"/>
  <c r="CF120" i="2"/>
  <c r="AY120" i="2"/>
  <c r="BZ36" i="2"/>
  <c r="EJ120" i="2"/>
  <c r="BT42" i="2"/>
  <c r="CA227" i="2"/>
  <c r="CA212" i="2"/>
  <c r="HK196" i="2" s="1"/>
  <c r="CA208" i="2"/>
  <c r="CA211" i="2"/>
  <c r="CA206" i="2"/>
  <c r="CA196" i="2"/>
  <c r="BU75" i="9" s="1"/>
  <c r="CA200" i="2"/>
  <c r="CA195" i="2"/>
  <c r="BV47" i="3" s="1"/>
  <c r="CA207" i="2"/>
  <c r="CA203" i="2"/>
  <c r="CA205" i="2"/>
  <c r="CA199" i="2"/>
  <c r="CA197" i="2"/>
  <c r="CA202" i="2"/>
  <c r="BJ73" i="9"/>
  <c r="DL45" i="2"/>
  <c r="AO120" i="2"/>
  <c r="AO128" i="2" s="1"/>
  <c r="CC120" i="2"/>
  <c r="BK120" i="2"/>
  <c r="BR120" i="2"/>
  <c r="CG73" i="9"/>
  <c r="BP73" i="9"/>
  <c r="CN73" i="9"/>
  <c r="BQ73" i="9"/>
  <c r="CW73" i="9"/>
  <c r="BO120" i="2"/>
  <c r="DJ73" i="9"/>
  <c r="EI120" i="2"/>
  <c r="CH120" i="2"/>
  <c r="BQ120" i="2"/>
  <c r="CD120" i="2"/>
  <c r="AP120" i="2"/>
  <c r="AP128" i="2" s="1"/>
  <c r="EN120" i="2"/>
  <c r="AH120" i="2"/>
  <c r="AH128" i="2" s="1"/>
  <c r="BP41" i="2"/>
  <c r="CY42" i="2"/>
  <c r="BD42" i="2"/>
  <c r="AO44" i="2"/>
  <c r="BR44" i="2"/>
  <c r="S120" i="2"/>
  <c r="S128" i="2" s="1"/>
  <c r="Z36" i="2"/>
  <c r="DR73" i="9"/>
  <c r="U43" i="2"/>
  <c r="AL120" i="2"/>
  <c r="AL128" i="2" s="1"/>
  <c r="CV73" i="9"/>
  <c r="DZ44" i="2"/>
  <c r="DK73" i="9"/>
  <c r="DA41" i="2"/>
  <c r="EJ41" i="2"/>
  <c r="AE41" i="2"/>
  <c r="DL44" i="2"/>
  <c r="DH120" i="2"/>
  <c r="BI73" i="9"/>
  <c r="M227" i="2"/>
  <c r="M195" i="2"/>
  <c r="BA227" i="2"/>
  <c r="BA195" i="2"/>
  <c r="AV47" i="3" s="1"/>
  <c r="AQ227" i="2"/>
  <c r="AQ195" i="2"/>
  <c r="AL47" i="3" s="1"/>
  <c r="DS211" i="2"/>
  <c r="DS207" i="2"/>
  <c r="DS227" i="2"/>
  <c r="DS208" i="2"/>
  <c r="DS203" i="2"/>
  <c r="DS206" i="2"/>
  <c r="DS196" i="2"/>
  <c r="DM75" i="9" s="1"/>
  <c r="DS200" i="2"/>
  <c r="DS195" i="2"/>
  <c r="DN47" i="3" s="1"/>
  <c r="DS199" i="2"/>
  <c r="DS197" i="2"/>
  <c r="DS212" i="2"/>
  <c r="JC196" i="2" s="1"/>
  <c r="DS202" i="2"/>
  <c r="DS205" i="2"/>
  <c r="CX227" i="2"/>
  <c r="CX212" i="2"/>
  <c r="IH196" i="2" s="1"/>
  <c r="CX211" i="2"/>
  <c r="CX202" i="2"/>
  <c r="CX197" i="2"/>
  <c r="CX208" i="2"/>
  <c r="CX207" i="2"/>
  <c r="CX206" i="2"/>
  <c r="CX205" i="2"/>
  <c r="CX200" i="2"/>
  <c r="CX195" i="2"/>
  <c r="CS47" i="3" s="1"/>
  <c r="CX199" i="2"/>
  <c r="CX196" i="2"/>
  <c r="CR75" i="9" s="1"/>
  <c r="CX203" i="2"/>
  <c r="BT227" i="2"/>
  <c r="BT195" i="2"/>
  <c r="BO47" i="3" s="1"/>
  <c r="U227" i="2"/>
  <c r="U195" i="2"/>
  <c r="P47" i="3" s="1"/>
  <c r="EI212" i="2"/>
  <c r="JS196" i="2" s="1"/>
  <c r="EI208" i="2"/>
  <c r="EI211" i="2"/>
  <c r="EI206" i="2"/>
  <c r="EI207" i="2"/>
  <c r="EI196" i="2"/>
  <c r="EI69" i="2" s="1"/>
  <c r="EI77" i="2" s="1"/>
  <c r="EI200" i="2"/>
  <c r="EI195" i="2"/>
  <c r="ED47" i="3" s="1"/>
  <c r="EI203" i="2"/>
  <c r="EI202" i="2"/>
  <c r="EI205" i="2"/>
  <c r="EI199" i="2"/>
  <c r="EI227" i="2"/>
  <c r="EI197" i="2"/>
  <c r="EK227" i="2"/>
  <c r="EK208" i="2"/>
  <c r="EK211" i="2"/>
  <c r="EK207" i="2"/>
  <c r="EK206" i="2"/>
  <c r="EK196" i="2"/>
  <c r="EK69" i="2" s="1"/>
  <c r="EK77" i="2" s="1"/>
  <c r="EK205" i="2"/>
  <c r="EK200" i="2"/>
  <c r="EK199" i="2"/>
  <c r="EK203" i="2"/>
  <c r="EK212" i="2"/>
  <c r="JU196" i="2" s="1"/>
  <c r="EK195" i="2"/>
  <c r="EF47" i="3" s="1"/>
  <c r="EK202" i="2"/>
  <c r="EK197" i="2"/>
  <c r="AP227" i="2"/>
  <c r="AP195" i="2"/>
  <c r="AK47" i="3" s="1"/>
  <c r="DO73" i="9"/>
  <c r="AM45" i="2"/>
  <c r="AD45" i="2"/>
  <c r="BQ45" i="2"/>
  <c r="BY120" i="2"/>
  <c r="FY210" i="2"/>
  <c r="X227" i="2"/>
  <c r="X195" i="2"/>
  <c r="S47" i="3" s="1"/>
  <c r="N227" i="2"/>
  <c r="N195" i="2"/>
  <c r="I47" i="3" s="1"/>
  <c r="CT77" i="7"/>
  <c r="P22" i="7"/>
  <c r="F123" i="9"/>
  <c r="F124" i="9"/>
  <c r="F128" i="9" s="1"/>
  <c r="BH73" i="9"/>
  <c r="CN120" i="2"/>
  <c r="CP73" i="9"/>
  <c r="CQ41" i="2"/>
  <c r="BT41" i="2"/>
  <c r="DR212" i="2"/>
  <c r="JB196" i="2" s="1"/>
  <c r="DR195" i="2"/>
  <c r="DM47" i="3" s="1"/>
  <c r="DR207" i="2"/>
  <c r="DR199" i="2"/>
  <c r="DR203" i="2"/>
  <c r="DR202" i="2"/>
  <c r="DR197" i="2"/>
  <c r="DR227" i="2"/>
  <c r="DR208" i="2"/>
  <c r="DR206" i="2"/>
  <c r="DR205" i="2"/>
  <c r="DR211" i="2"/>
  <c r="DR196" i="2"/>
  <c r="DL75" i="9" s="1"/>
  <c r="DR200" i="2"/>
  <c r="AU227" i="2"/>
  <c r="AU195" i="2"/>
  <c r="AP47" i="3" s="1"/>
  <c r="AW227" i="2"/>
  <c r="AW195" i="2"/>
  <c r="AR47" i="3" s="1"/>
  <c r="DL227" i="2"/>
  <c r="DL212" i="2"/>
  <c r="IV196" i="2" s="1"/>
  <c r="DL208" i="2"/>
  <c r="DL202" i="2"/>
  <c r="DL197" i="2"/>
  <c r="DL196" i="2"/>
  <c r="DF75" i="9" s="1"/>
  <c r="DL205" i="2"/>
  <c r="DL195" i="2"/>
  <c r="DG47" i="3" s="1"/>
  <c r="DL199" i="2"/>
  <c r="DL211" i="2"/>
  <c r="DL207" i="2"/>
  <c r="DL203" i="2"/>
  <c r="DL200" i="2"/>
  <c r="DL206" i="2"/>
  <c r="BZ227" i="2"/>
  <c r="BZ212" i="2"/>
  <c r="HJ196" i="2" s="1"/>
  <c r="BZ202" i="2"/>
  <c r="BZ197" i="2"/>
  <c r="BZ206" i="2"/>
  <c r="BZ205" i="2"/>
  <c r="BZ200" i="2"/>
  <c r="BZ211" i="2"/>
  <c r="BZ195" i="2"/>
  <c r="BU47" i="3" s="1"/>
  <c r="BZ199" i="2"/>
  <c r="BZ203" i="2"/>
  <c r="BZ208" i="2"/>
  <c r="BZ207" i="2"/>
  <c r="BZ196" i="2"/>
  <c r="BT75" i="9" s="1"/>
  <c r="EF211" i="2"/>
  <c r="EF227" i="2"/>
  <c r="EF212" i="2"/>
  <c r="JP196" i="2" s="1"/>
  <c r="EF199" i="2"/>
  <c r="EF202" i="2"/>
  <c r="EF197" i="2"/>
  <c r="EF207" i="2"/>
  <c r="EF196" i="2"/>
  <c r="EF69" i="2" s="1"/>
  <c r="EF77" i="2" s="1"/>
  <c r="EF205" i="2"/>
  <c r="EF195" i="2"/>
  <c r="EA47" i="3" s="1"/>
  <c r="EF208" i="2"/>
  <c r="EF206" i="2"/>
  <c r="EF200" i="2"/>
  <c r="EF203" i="2"/>
  <c r="DP227" i="2"/>
  <c r="DP212" i="2"/>
  <c r="IZ196" i="2" s="1"/>
  <c r="DP211" i="2"/>
  <c r="DP207" i="2"/>
  <c r="DP205" i="2"/>
  <c r="DP195" i="2"/>
  <c r="DK47" i="3" s="1"/>
  <c r="DP199" i="2"/>
  <c r="DP208" i="2"/>
  <c r="DP202" i="2"/>
  <c r="DP197" i="2"/>
  <c r="DP203" i="2"/>
  <c r="DP206" i="2"/>
  <c r="DP196" i="2"/>
  <c r="DJ75" i="9" s="1"/>
  <c r="DP200" i="2"/>
  <c r="EJ227" i="2"/>
  <c r="EJ212" i="2"/>
  <c r="JT196" i="2" s="1"/>
  <c r="EJ208" i="2"/>
  <c r="EJ202" i="2"/>
  <c r="EJ197" i="2"/>
  <c r="EJ207" i="2"/>
  <c r="EJ196" i="2"/>
  <c r="EJ69" i="2" s="1"/>
  <c r="EJ77" i="2" s="1"/>
  <c r="EJ211" i="2"/>
  <c r="EJ205" i="2"/>
  <c r="EJ195" i="2"/>
  <c r="EE47" i="3" s="1"/>
  <c r="EJ199" i="2"/>
  <c r="EJ206" i="2"/>
  <c r="EJ200" i="2"/>
  <c r="EJ203" i="2"/>
  <c r="DG211" i="2"/>
  <c r="DG208" i="2"/>
  <c r="DG203" i="2"/>
  <c r="DG212" i="2"/>
  <c r="IQ196" i="2" s="1"/>
  <c r="DG206" i="2"/>
  <c r="DG227" i="2"/>
  <c r="DG196" i="2"/>
  <c r="DA75" i="9" s="1"/>
  <c r="DG200" i="2"/>
  <c r="DG207" i="2"/>
  <c r="DG205" i="2"/>
  <c r="DG195" i="2"/>
  <c r="DB47" i="3" s="1"/>
  <c r="DG199" i="2"/>
  <c r="DG197" i="2"/>
  <c r="DG202" i="2"/>
  <c r="BE227" i="2"/>
  <c r="BE195" i="2"/>
  <c r="AZ47" i="3" s="1"/>
  <c r="CP227" i="2"/>
  <c r="CP212" i="2"/>
  <c r="HZ196" i="2" s="1"/>
  <c r="CP211" i="2"/>
  <c r="CP205" i="2"/>
  <c r="CP200" i="2"/>
  <c r="CP195" i="2"/>
  <c r="CK47" i="3" s="1"/>
  <c r="CP199" i="2"/>
  <c r="CP208" i="2"/>
  <c r="CP203" i="2"/>
  <c r="CP207" i="2"/>
  <c r="CP202" i="2"/>
  <c r="CP197" i="2"/>
  <c r="CP206" i="2"/>
  <c r="CP196" i="2"/>
  <c r="CJ75" i="9" s="1"/>
  <c r="AQ120" i="2"/>
  <c r="AQ128" i="2" s="1"/>
  <c r="DB45" i="2"/>
  <c r="DB38" i="7"/>
  <c r="CU211" i="2"/>
  <c r="CU227" i="2"/>
  <c r="CU208" i="2"/>
  <c r="CU203" i="2"/>
  <c r="CU206" i="2"/>
  <c r="CU212" i="2"/>
  <c r="IE196" i="2" s="1"/>
  <c r="CU196" i="2"/>
  <c r="CO75" i="9" s="1"/>
  <c r="CU200" i="2"/>
  <c r="CU202" i="2"/>
  <c r="CU207" i="2"/>
  <c r="CU205" i="2"/>
  <c r="CU195" i="2"/>
  <c r="CP47" i="3" s="1"/>
  <c r="CU197" i="2"/>
  <c r="CU199" i="2"/>
  <c r="CD227" i="2"/>
  <c r="CD212" i="2"/>
  <c r="HN196" i="2" s="1"/>
  <c r="CD211" i="2"/>
  <c r="CD208" i="2"/>
  <c r="CD205" i="2"/>
  <c r="CD200" i="2"/>
  <c r="CD195" i="2"/>
  <c r="BY47" i="3" s="1"/>
  <c r="CD199" i="2"/>
  <c r="CD203" i="2"/>
  <c r="CD202" i="2"/>
  <c r="CD197" i="2"/>
  <c r="CD206" i="2"/>
  <c r="CD207" i="2"/>
  <c r="CD196" i="2"/>
  <c r="BX75" i="9" s="1"/>
  <c r="EM44" i="2"/>
  <c r="CJ73" i="9"/>
  <c r="AD120" i="2"/>
  <c r="AD128" i="2" s="1"/>
  <c r="CQ43" i="2"/>
  <c r="DA120" i="2"/>
  <c r="BW73" i="9"/>
  <c r="K31" i="2"/>
  <c r="DL120" i="2"/>
  <c r="CD36" i="2"/>
  <c r="BR43" i="2"/>
  <c r="BP42" i="2"/>
  <c r="BQ41" i="2"/>
  <c r="R42" i="2"/>
  <c r="AH42" i="2"/>
  <c r="AP42" i="2"/>
  <c r="BN44" i="2"/>
  <c r="CZ44" i="2"/>
  <c r="BV44" i="2"/>
  <c r="DD120" i="2"/>
  <c r="P120" i="2"/>
  <c r="P128" i="2" s="1"/>
  <c r="W120" i="2"/>
  <c r="W128" i="2" s="1"/>
  <c r="DW36" i="2"/>
  <c r="DL43" i="2"/>
  <c r="N43" i="2"/>
  <c r="DC43" i="2"/>
  <c r="DR36" i="2"/>
  <c r="CX41" i="2"/>
  <c r="CN41" i="2"/>
  <c r="AD41" i="2"/>
  <c r="BO44" i="2"/>
  <c r="CB120" i="2"/>
  <c r="AI227" i="2"/>
  <c r="AI195" i="2"/>
  <c r="AD47" i="3" s="1"/>
  <c r="BF227" i="2"/>
  <c r="BF195" i="2"/>
  <c r="BA47" i="3" s="1"/>
  <c r="BD227" i="2"/>
  <c r="BD195" i="2"/>
  <c r="AY47" i="3" s="1"/>
  <c r="BB227" i="2"/>
  <c r="BB195" i="2"/>
  <c r="AW47" i="3" s="1"/>
  <c r="DQ227" i="2"/>
  <c r="DQ208" i="2"/>
  <c r="DQ211" i="2"/>
  <c r="DQ200" i="2"/>
  <c r="DQ212" i="2"/>
  <c r="JA196" i="2" s="1"/>
  <c r="DQ207" i="2"/>
  <c r="DQ199" i="2"/>
  <c r="DQ203" i="2"/>
  <c r="DQ202" i="2"/>
  <c r="DQ197" i="2"/>
  <c r="DQ206" i="2"/>
  <c r="DQ196" i="2"/>
  <c r="DK75" i="9" s="1"/>
  <c r="DQ195" i="2"/>
  <c r="DL47" i="3" s="1"/>
  <c r="DQ205" i="2"/>
  <c r="AR227" i="2"/>
  <c r="AR195" i="2"/>
  <c r="AM47" i="3" s="1"/>
  <c r="CG208" i="2"/>
  <c r="CG211" i="2"/>
  <c r="CG200" i="2"/>
  <c r="CG199" i="2"/>
  <c r="CG207" i="2"/>
  <c r="CG203" i="2"/>
  <c r="CG202" i="2"/>
  <c r="CG197" i="2"/>
  <c r="CG206" i="2"/>
  <c r="CG196" i="2"/>
  <c r="CA75" i="9" s="1"/>
  <c r="CG195" i="2"/>
  <c r="CB47" i="3" s="1"/>
  <c r="CG212" i="2"/>
  <c r="HQ196" i="2" s="1"/>
  <c r="CG205" i="2"/>
  <c r="CG227" i="2"/>
  <c r="DV227" i="2"/>
  <c r="DV212" i="2"/>
  <c r="JF196" i="2" s="1"/>
  <c r="DV207" i="2"/>
  <c r="DV202" i="2"/>
  <c r="DV197" i="2"/>
  <c r="DV206" i="2"/>
  <c r="DV205" i="2"/>
  <c r="DV200" i="2"/>
  <c r="DV211" i="2"/>
  <c r="DV195" i="2"/>
  <c r="DQ47" i="3" s="1"/>
  <c r="DV199" i="2"/>
  <c r="DV208" i="2"/>
  <c r="DV196" i="2"/>
  <c r="DP75" i="9" s="1"/>
  <c r="DV203" i="2"/>
  <c r="AK227" i="2"/>
  <c r="AK195" i="2"/>
  <c r="AF47" i="3" s="1"/>
  <c r="DX227" i="2"/>
  <c r="DX212" i="2"/>
  <c r="JH196" i="2" s="1"/>
  <c r="DX208" i="2"/>
  <c r="DX202" i="2"/>
  <c r="DX197" i="2"/>
  <c r="DX196" i="2"/>
  <c r="DR75" i="9" s="1"/>
  <c r="DX205" i="2"/>
  <c r="DX195" i="2"/>
  <c r="DS47" i="3" s="1"/>
  <c r="DX211" i="2"/>
  <c r="DX199" i="2"/>
  <c r="DX207" i="2"/>
  <c r="DX206" i="2"/>
  <c r="DX200" i="2"/>
  <c r="DX203" i="2"/>
  <c r="ED227" i="2"/>
  <c r="ED212" i="2"/>
  <c r="JN196" i="2" s="1"/>
  <c r="ED195" i="2"/>
  <c r="DY47" i="3" s="1"/>
  <c r="ED208" i="2"/>
  <c r="ED199" i="2"/>
  <c r="ED203" i="2"/>
  <c r="ED211" i="2"/>
  <c r="ED202" i="2"/>
  <c r="ED197" i="2"/>
  <c r="ED207" i="2"/>
  <c r="ED206" i="2"/>
  <c r="ED205" i="2"/>
  <c r="ED196" i="2"/>
  <c r="ED69" i="2" s="1"/>
  <c r="ED77" i="2" s="1"/>
  <c r="ED200" i="2"/>
  <c r="AV227" i="2"/>
  <c r="AV195" i="2"/>
  <c r="AQ47" i="3" s="1"/>
  <c r="CO120" i="2"/>
  <c r="AU45" i="2"/>
  <c r="BO45" i="2"/>
  <c r="CQ45" i="2"/>
  <c r="DI45" i="2"/>
  <c r="BM227" i="2"/>
  <c r="BM195" i="2"/>
  <c r="BH47" i="3" s="1"/>
  <c r="Z195" i="2"/>
  <c r="U47" i="3" s="1"/>
  <c r="Z227" i="2"/>
  <c r="AM227" i="2"/>
  <c r="AM195" i="2"/>
  <c r="AH47" i="3" s="1"/>
  <c r="IZ210" i="2"/>
  <c r="DW120" i="2"/>
  <c r="AW36" i="2"/>
  <c r="DB36" i="2"/>
  <c r="EL120" i="2"/>
  <c r="DE73" i="9"/>
  <c r="BU73" i="9"/>
  <c r="BL73" i="9"/>
  <c r="CR73" i="9"/>
  <c r="CU120" i="2"/>
  <c r="DD73" i="9"/>
  <c r="CB73" i="9"/>
  <c r="BV120" i="2"/>
  <c r="DZ120" i="2"/>
  <c r="X37" i="2"/>
  <c r="CV120" i="2"/>
  <c r="AU120" i="2"/>
  <c r="AU128" i="2" s="1"/>
  <c r="DH42" i="2"/>
  <c r="CD42" i="2"/>
  <c r="DH73" i="9"/>
  <c r="DG44" i="2"/>
  <c r="DM73" i="9"/>
  <c r="AE120" i="2"/>
  <c r="AE128" i="2" s="1"/>
  <c r="Q120" i="2"/>
  <c r="Q128" i="2" s="1"/>
  <c r="AI120" i="2"/>
  <c r="AI128" i="2" s="1"/>
  <c r="BR73" i="9"/>
  <c r="AU43" i="2"/>
  <c r="DS41" i="2"/>
  <c r="ED41" i="2"/>
  <c r="CZ41" i="2"/>
  <c r="DM41" i="2"/>
  <c r="AY36" i="2"/>
  <c r="CA73" i="9"/>
  <c r="DN227" i="2"/>
  <c r="DN212" i="2"/>
  <c r="IX196" i="2" s="1"/>
  <c r="DN211" i="2"/>
  <c r="DN205" i="2"/>
  <c r="DN200" i="2"/>
  <c r="DN207" i="2"/>
  <c r="DN195" i="2"/>
  <c r="DI47" i="3" s="1"/>
  <c r="DN199" i="2"/>
  <c r="DN203" i="2"/>
  <c r="DN202" i="2"/>
  <c r="DN197" i="2"/>
  <c r="DN208" i="2"/>
  <c r="DN206" i="2"/>
  <c r="DN196" i="2"/>
  <c r="DH75" i="9" s="1"/>
  <c r="EH227" i="2"/>
  <c r="EH212" i="2"/>
  <c r="JR196" i="2" s="1"/>
  <c r="EH208" i="2"/>
  <c r="EH202" i="2"/>
  <c r="EH197" i="2"/>
  <c r="EH206" i="2"/>
  <c r="EH205" i="2"/>
  <c r="EH200" i="2"/>
  <c r="EH195" i="2"/>
  <c r="EC47" i="3" s="1"/>
  <c r="EH199" i="2"/>
  <c r="EH211" i="2"/>
  <c r="EH196" i="2"/>
  <c r="EH69" i="2" s="1"/>
  <c r="EH77" i="2" s="1"/>
  <c r="EH203" i="2"/>
  <c r="EH207" i="2"/>
  <c r="AY227" i="2"/>
  <c r="AY195" i="2"/>
  <c r="AT47" i="3" s="1"/>
  <c r="AA227" i="2"/>
  <c r="AA195" i="2"/>
  <c r="V47" i="3" s="1"/>
  <c r="DK227" i="2"/>
  <c r="DK212" i="2"/>
  <c r="IU196" i="2" s="1"/>
  <c r="DK208" i="2"/>
  <c r="DK211" i="2"/>
  <c r="DK206" i="2"/>
  <c r="DK196" i="2"/>
  <c r="DE75" i="9" s="1"/>
  <c r="DK207" i="2"/>
  <c r="DK200" i="2"/>
  <c r="DK195" i="2"/>
  <c r="DF47" i="3" s="1"/>
  <c r="DK203" i="2"/>
  <c r="DK205" i="2"/>
  <c r="DK199" i="2"/>
  <c r="DK197" i="2"/>
  <c r="DK202" i="2"/>
  <c r="CR227" i="2"/>
  <c r="CR212" i="2"/>
  <c r="IB196" i="2" s="1"/>
  <c r="CR211" i="2"/>
  <c r="CR207" i="2"/>
  <c r="CR205" i="2"/>
  <c r="CR195" i="2"/>
  <c r="CM47" i="3" s="1"/>
  <c r="CR199" i="2"/>
  <c r="CR208" i="2"/>
  <c r="CR202" i="2"/>
  <c r="CR197" i="2"/>
  <c r="CR206" i="2"/>
  <c r="CR196" i="2"/>
  <c r="CL75" i="9" s="1"/>
  <c r="CR200" i="2"/>
  <c r="CR203" i="2"/>
  <c r="AC227" i="2"/>
  <c r="AC195" i="2"/>
  <c r="X47" i="3" s="1"/>
  <c r="DF227" i="2"/>
  <c r="DF212" i="2"/>
  <c r="IP196" i="2" s="1"/>
  <c r="DF211" i="2"/>
  <c r="DF208" i="2"/>
  <c r="DF195" i="2"/>
  <c r="DA47" i="3" s="1"/>
  <c r="DF199" i="2"/>
  <c r="DF203" i="2"/>
  <c r="DF202" i="2"/>
  <c r="DF197" i="2"/>
  <c r="DF206" i="2"/>
  <c r="DF207" i="2"/>
  <c r="DF205" i="2"/>
  <c r="DF200" i="2"/>
  <c r="DF196" i="2"/>
  <c r="CZ75" i="9" s="1"/>
  <c r="AF227" i="2"/>
  <c r="AF195" i="2"/>
  <c r="AA47" i="3" s="1"/>
  <c r="CE73" i="9"/>
  <c r="T45" i="2"/>
  <c r="DH211" i="2"/>
  <c r="DH227" i="2"/>
  <c r="DH212" i="2"/>
  <c r="IR196" i="2" s="1"/>
  <c r="DH199" i="2"/>
  <c r="DH202" i="2"/>
  <c r="DH197" i="2"/>
  <c r="DH196" i="2"/>
  <c r="DB75" i="9" s="1"/>
  <c r="DH207" i="2"/>
  <c r="DH205" i="2"/>
  <c r="DH195" i="2"/>
  <c r="DC47" i="3" s="1"/>
  <c r="DH208" i="2"/>
  <c r="DH203" i="2"/>
  <c r="DH200" i="2"/>
  <c r="DH206" i="2"/>
  <c r="BH227" i="2"/>
  <c r="BH195" i="2"/>
  <c r="BC47" i="3" s="1"/>
  <c r="BS227" i="2"/>
  <c r="BS195" i="2"/>
  <c r="BN47" i="3" s="1"/>
  <c r="O227" i="2"/>
  <c r="O195" i="2"/>
  <c r="J47" i="3" s="1"/>
  <c r="DY120" i="2"/>
  <c r="DQ73" i="9"/>
  <c r="FI210" i="2"/>
  <c r="CL73" i="9"/>
  <c r="BP120" i="2"/>
  <c r="CX120" i="2"/>
  <c r="CK120" i="2"/>
  <c r="L19" i="7"/>
  <c r="F19" i="7"/>
  <c r="E19" i="8"/>
  <c r="CH37" i="2"/>
  <c r="F82" i="9"/>
  <c r="M43" i="2"/>
  <c r="BT36" i="2"/>
  <c r="CE36" i="2"/>
  <c r="CL120" i="2"/>
  <c r="T42" i="2"/>
  <c r="EE42" i="2"/>
  <c r="H144" i="2"/>
  <c r="H146" i="2"/>
  <c r="L120" i="2"/>
  <c r="L128" i="2" s="1"/>
  <c r="CH43" i="2"/>
  <c r="AQ42" i="2"/>
  <c r="CA44" i="2"/>
  <c r="BG120" i="2"/>
  <c r="BG41" i="2"/>
  <c r="DQ41" i="2"/>
  <c r="N41" i="2"/>
  <c r="CE41" i="2"/>
  <c r="CK73" i="9"/>
  <c r="DR45" i="2"/>
  <c r="EM227" i="2"/>
  <c r="EM212" i="2"/>
  <c r="JW196" i="2" s="1"/>
  <c r="EM208" i="2"/>
  <c r="EM211" i="2"/>
  <c r="EM207" i="2"/>
  <c r="EM196" i="2"/>
  <c r="EM69" i="2" s="1"/>
  <c r="EM77" i="2" s="1"/>
  <c r="EM200" i="2"/>
  <c r="EM195" i="2"/>
  <c r="EH47" i="3" s="1"/>
  <c r="EM203" i="2"/>
  <c r="EM206" i="2"/>
  <c r="EM205" i="2"/>
  <c r="EM199" i="2"/>
  <c r="EM197" i="2"/>
  <c r="EM202" i="2"/>
  <c r="BU227" i="2"/>
  <c r="BU195" i="2"/>
  <c r="BP47" i="3" s="1"/>
  <c r="EG227" i="2"/>
  <c r="EG211" i="2"/>
  <c r="EG207" i="2"/>
  <c r="EG212" i="2"/>
  <c r="JQ196" i="2" s="1"/>
  <c r="EG208" i="2"/>
  <c r="EG203" i="2"/>
  <c r="EG202" i="2"/>
  <c r="EG197" i="2"/>
  <c r="EG206" i="2"/>
  <c r="EG196" i="2"/>
  <c r="EG69" i="2" s="1"/>
  <c r="EG77" i="2" s="1"/>
  <c r="EG205" i="2"/>
  <c r="EG200" i="2"/>
  <c r="EG195" i="2"/>
  <c r="EB47" i="3" s="1"/>
  <c r="EG199" i="2"/>
  <c r="AZ227" i="2"/>
  <c r="AZ195" i="2"/>
  <c r="AU47" i="3" s="1"/>
  <c r="CM212" i="2"/>
  <c r="HW196" i="2" s="1"/>
  <c r="CM208" i="2"/>
  <c r="CM211" i="2"/>
  <c r="CM206" i="2"/>
  <c r="CM196" i="2"/>
  <c r="CG75" i="9" s="1"/>
  <c r="CM200" i="2"/>
  <c r="CM195" i="2"/>
  <c r="CH47" i="3" s="1"/>
  <c r="CM227" i="2"/>
  <c r="CM203" i="2"/>
  <c r="CM197" i="2"/>
  <c r="CM202" i="2"/>
  <c r="CM207" i="2"/>
  <c r="CM199" i="2"/>
  <c r="CM205" i="2"/>
  <c r="CI227" i="2"/>
  <c r="CI211" i="2"/>
  <c r="CI208" i="2"/>
  <c r="CI207" i="2"/>
  <c r="CI203" i="2"/>
  <c r="CI206" i="2"/>
  <c r="CI196" i="2"/>
  <c r="CC75" i="9" s="1"/>
  <c r="CI212" i="2"/>
  <c r="HS196" i="2" s="1"/>
  <c r="CI200" i="2"/>
  <c r="CI195" i="2"/>
  <c r="CD47" i="3" s="1"/>
  <c r="CI199" i="2"/>
  <c r="CI197" i="2"/>
  <c r="CI202" i="2"/>
  <c r="CI205" i="2"/>
  <c r="AL227" i="2"/>
  <c r="AL195" i="2"/>
  <c r="AG47" i="3" s="1"/>
  <c r="Y227" i="2"/>
  <c r="Y195" i="2"/>
  <c r="T47" i="3" s="1"/>
  <c r="AX227" i="2"/>
  <c r="AX195" i="2"/>
  <c r="AS47" i="3" s="1"/>
  <c r="DD227" i="2"/>
  <c r="DD212" i="2"/>
  <c r="IN196" i="2" s="1"/>
  <c r="DD211" i="2"/>
  <c r="DD207" i="2"/>
  <c r="DD205" i="2"/>
  <c r="DD195" i="2"/>
  <c r="CY47" i="3" s="1"/>
  <c r="DD199" i="2"/>
  <c r="DD202" i="2"/>
  <c r="DD197" i="2"/>
  <c r="DD196" i="2"/>
  <c r="CX75" i="9" s="1"/>
  <c r="DD200" i="2"/>
  <c r="DD208" i="2"/>
  <c r="DD203" i="2"/>
  <c r="DD206" i="2"/>
  <c r="DM227" i="2"/>
  <c r="DM208" i="2"/>
  <c r="DM211" i="2"/>
  <c r="DM207" i="2"/>
  <c r="DM206" i="2"/>
  <c r="DM196" i="2"/>
  <c r="DG75" i="9" s="1"/>
  <c r="DM212" i="2"/>
  <c r="IW196" i="2" s="1"/>
  <c r="DM205" i="2"/>
  <c r="DM200" i="2"/>
  <c r="DM199" i="2"/>
  <c r="DM203" i="2"/>
  <c r="DM195" i="2"/>
  <c r="DH47" i="3" s="1"/>
  <c r="DM197" i="2"/>
  <c r="DM202" i="2"/>
  <c r="CJ227" i="2"/>
  <c r="CJ211" i="2"/>
  <c r="CJ212" i="2"/>
  <c r="HT196" i="2" s="1"/>
  <c r="CJ199" i="2"/>
  <c r="CJ202" i="2"/>
  <c r="CJ197" i="2"/>
  <c r="CJ196" i="2"/>
  <c r="CD75" i="9" s="1"/>
  <c r="CJ205" i="2"/>
  <c r="CJ195" i="2"/>
  <c r="CE47" i="3" s="1"/>
  <c r="CJ203" i="2"/>
  <c r="CJ206" i="2"/>
  <c r="CJ208" i="2"/>
  <c r="CJ200" i="2"/>
  <c r="CJ207" i="2"/>
  <c r="BF45" i="2"/>
  <c r="AJ45" i="2"/>
  <c r="ED45" i="2"/>
  <c r="CY45" i="2"/>
  <c r="BT73" i="9"/>
  <c r="BZ73" i="9"/>
  <c r="DC73" i="9"/>
  <c r="BY73" i="9"/>
  <c r="CB36" i="2"/>
  <c r="DC36" i="2"/>
  <c r="CL42" i="2"/>
  <c r="M42" i="2"/>
  <c r="EK42" i="2"/>
  <c r="CG42" i="2"/>
  <c r="AH44" i="2"/>
  <c r="I144" i="2"/>
  <c r="I146" i="2"/>
  <c r="O120" i="2"/>
  <c r="O128" i="2" s="1"/>
  <c r="DD44" i="2"/>
  <c r="EL36" i="2"/>
  <c r="AL41" i="2"/>
  <c r="AN41" i="2"/>
  <c r="CZ227" i="2"/>
  <c r="CZ212" i="2"/>
  <c r="IJ196" i="2" s="1"/>
  <c r="CZ208" i="2"/>
  <c r="CZ202" i="2"/>
  <c r="CZ197" i="2"/>
  <c r="CZ196" i="2"/>
  <c r="CT75" i="9" s="1"/>
  <c r="CZ205" i="2"/>
  <c r="CZ195" i="2"/>
  <c r="CU47" i="3" s="1"/>
  <c r="CZ199" i="2"/>
  <c r="CZ206" i="2"/>
  <c r="CZ200" i="2"/>
  <c r="CZ211" i="2"/>
  <c r="CZ207" i="2"/>
  <c r="CZ203" i="2"/>
  <c r="DO227" i="2"/>
  <c r="DO212" i="2"/>
  <c r="IY196" i="2" s="1"/>
  <c r="DO208" i="2"/>
  <c r="DO211" i="2"/>
  <c r="DO207" i="2"/>
  <c r="DO196" i="2"/>
  <c r="DI75" i="9" s="1"/>
  <c r="DO200" i="2"/>
  <c r="DO195" i="2"/>
  <c r="DJ47" i="3" s="1"/>
  <c r="DO203" i="2"/>
  <c r="DO206" i="2"/>
  <c r="DO205" i="2"/>
  <c r="DO199" i="2"/>
  <c r="DO197" i="2"/>
  <c r="DO202" i="2"/>
  <c r="DI227" i="2"/>
  <c r="DI211" i="2"/>
  <c r="DI207" i="2"/>
  <c r="DI212" i="2"/>
  <c r="IS196" i="2" s="1"/>
  <c r="DI208" i="2"/>
  <c r="DI203" i="2"/>
  <c r="DI202" i="2"/>
  <c r="DI197" i="2"/>
  <c r="DI206" i="2"/>
  <c r="DI196" i="2"/>
  <c r="DC75" i="9" s="1"/>
  <c r="DI205" i="2"/>
  <c r="DI200" i="2"/>
  <c r="DI195" i="2"/>
  <c r="DD47" i="3" s="1"/>
  <c r="DI199" i="2"/>
  <c r="CQ227" i="2"/>
  <c r="CQ212" i="2"/>
  <c r="IA196" i="2" s="1"/>
  <c r="CQ208" i="2"/>
  <c r="CQ211" i="2"/>
  <c r="CQ207" i="2"/>
  <c r="CQ196" i="2"/>
  <c r="CK75" i="9" s="1"/>
  <c r="CQ200" i="2"/>
  <c r="CQ195" i="2"/>
  <c r="CL47" i="3" s="1"/>
  <c r="CQ203" i="2"/>
  <c r="CQ206" i="2"/>
  <c r="CQ202" i="2"/>
  <c r="CQ197" i="2"/>
  <c r="CQ199" i="2"/>
  <c r="CQ205" i="2"/>
  <c r="P227" i="2"/>
  <c r="P195" i="2"/>
  <c r="K47" i="3" s="1"/>
  <c r="AE227" i="2"/>
  <c r="AE195" i="2"/>
  <c r="Z47" i="3" s="1"/>
  <c r="EN227" i="2"/>
  <c r="EN212" i="2"/>
  <c r="JX196" i="2" s="1"/>
  <c r="EN211" i="2"/>
  <c r="EN207" i="2"/>
  <c r="EN205" i="2"/>
  <c r="EN195" i="2"/>
  <c r="EI47" i="3" s="1"/>
  <c r="EN199" i="2"/>
  <c r="EN202" i="2"/>
  <c r="EN197" i="2"/>
  <c r="EN208" i="2"/>
  <c r="EN196" i="2"/>
  <c r="EN69" i="2" s="1"/>
  <c r="EN77" i="2" s="1"/>
  <c r="EN200" i="2"/>
  <c r="EN203" i="2"/>
  <c r="EN206" i="2"/>
  <c r="BN227" i="2"/>
  <c r="BN195" i="2"/>
  <c r="BI47" i="3" s="1"/>
  <c r="DI73" i="9"/>
  <c r="R4" i="5"/>
  <c r="DX45" i="2"/>
  <c r="N45" i="2"/>
  <c r="CX45" i="2"/>
  <c r="BI45" i="2"/>
  <c r="EC45" i="2"/>
  <c r="CM45" i="2"/>
  <c r="EA45" i="2"/>
  <c r="BH45" i="2"/>
  <c r="EL227" i="2"/>
  <c r="EL212" i="2"/>
  <c r="JV196" i="2" s="1"/>
  <c r="EL211" i="2"/>
  <c r="EL207" i="2"/>
  <c r="EL205" i="2"/>
  <c r="EL200" i="2"/>
  <c r="EL195" i="2"/>
  <c r="EG47" i="3" s="1"/>
  <c r="EL199" i="2"/>
  <c r="EL203" i="2"/>
  <c r="EL202" i="2"/>
  <c r="EL197" i="2"/>
  <c r="EL196" i="2"/>
  <c r="EL69" i="2" s="1"/>
  <c r="EL77" i="2" s="1"/>
  <c r="EL208" i="2"/>
  <c r="EL206" i="2"/>
  <c r="CN227" i="2"/>
  <c r="CN212" i="2"/>
  <c r="HX196" i="2" s="1"/>
  <c r="CN208" i="2"/>
  <c r="CN202" i="2"/>
  <c r="CN197" i="2"/>
  <c r="CN196" i="2"/>
  <c r="CH75" i="9" s="1"/>
  <c r="CN211" i="2"/>
  <c r="CN205" i="2"/>
  <c r="CN195" i="2"/>
  <c r="CI47" i="3" s="1"/>
  <c r="CN199" i="2"/>
  <c r="CN207" i="2"/>
  <c r="CN206" i="2"/>
  <c r="CN200" i="2"/>
  <c r="CN203" i="2"/>
  <c r="DC41" i="2"/>
  <c r="EB120" i="2"/>
  <c r="CM73" i="9"/>
  <c r="BN73" i="9"/>
  <c r="CC73" i="9"/>
  <c r="BG73" i="9"/>
  <c r="HM210" i="2"/>
  <c r="DJ120" i="2"/>
  <c r="DS73" i="9"/>
  <c r="DV120" i="2"/>
  <c r="DQ120" i="2"/>
  <c r="AG37" i="2"/>
  <c r="DN73" i="9"/>
  <c r="BL37" i="2"/>
  <c r="DP73" i="9"/>
  <c r="BK73" i="9"/>
  <c r="AZ120" i="2"/>
  <c r="CT120" i="2"/>
  <c r="AX36" i="2"/>
  <c r="AG36" i="2"/>
  <c r="BE42" i="2"/>
  <c r="Q42" i="2"/>
  <c r="BP44" i="2"/>
  <c r="BC44" i="2"/>
  <c r="AH41" i="2"/>
  <c r="BH120" i="2"/>
  <c r="CR120" i="2"/>
  <c r="AX43" i="2"/>
  <c r="AN120" i="2"/>
  <c r="AN128" i="2" s="1"/>
  <c r="CB41" i="2"/>
  <c r="DB41" i="2"/>
  <c r="DE41" i="2"/>
  <c r="AK41" i="2"/>
  <c r="BZ41" i="2"/>
  <c r="DZ36" i="2"/>
  <c r="L227" i="2"/>
  <c r="L195" i="2"/>
  <c r="G47" i="3" s="1"/>
  <c r="L202" i="2"/>
  <c r="L197" i="2"/>
  <c r="L203" i="2"/>
  <c r="DW212" i="2"/>
  <c r="JG196" i="2" s="1"/>
  <c r="DW208" i="2"/>
  <c r="DW227" i="2"/>
  <c r="DW211" i="2"/>
  <c r="DW206" i="2"/>
  <c r="DW196" i="2"/>
  <c r="DQ75" i="9" s="1"/>
  <c r="DW200" i="2"/>
  <c r="DW195" i="2"/>
  <c r="DR47" i="3" s="1"/>
  <c r="DW203" i="2"/>
  <c r="DW197" i="2"/>
  <c r="DW202" i="2"/>
  <c r="DW207" i="2"/>
  <c r="DW199" i="2"/>
  <c r="DW205" i="2"/>
  <c r="BG227" i="2"/>
  <c r="BG195" i="2"/>
  <c r="BB47" i="3" s="1"/>
  <c r="CK227" i="2"/>
  <c r="CK211" i="2"/>
  <c r="CK207" i="2"/>
  <c r="CK212" i="2"/>
  <c r="HU196" i="2" s="1"/>
  <c r="CK208" i="2"/>
  <c r="CK203" i="2"/>
  <c r="CK202" i="2"/>
  <c r="CK197" i="2"/>
  <c r="CK206" i="2"/>
  <c r="CK196" i="2"/>
  <c r="CE75" i="9" s="1"/>
  <c r="CK205" i="2"/>
  <c r="CK200" i="2"/>
  <c r="CK199" i="2"/>
  <c r="CK195" i="2"/>
  <c r="CF47" i="3" s="1"/>
  <c r="EA227" i="2"/>
  <c r="EA212" i="2"/>
  <c r="JK196" i="2" s="1"/>
  <c r="EA208" i="2"/>
  <c r="EA211" i="2"/>
  <c r="EA207" i="2"/>
  <c r="EA196" i="2"/>
  <c r="DU75" i="9" s="1"/>
  <c r="EA200" i="2"/>
  <c r="EA195" i="2"/>
  <c r="DV47" i="3" s="1"/>
  <c r="EA203" i="2"/>
  <c r="EA206" i="2"/>
  <c r="EA202" i="2"/>
  <c r="EA197" i="2"/>
  <c r="EA205" i="2"/>
  <c r="EA199" i="2"/>
  <c r="W227" i="2"/>
  <c r="W195" i="2"/>
  <c r="R47" i="3" s="1"/>
  <c r="DU227" i="2"/>
  <c r="DU211" i="2"/>
  <c r="DU207" i="2"/>
  <c r="DU212" i="2"/>
  <c r="JE196" i="2" s="1"/>
  <c r="DU208" i="2"/>
  <c r="DU203" i="2"/>
  <c r="DU202" i="2"/>
  <c r="DU197" i="2"/>
  <c r="DU206" i="2"/>
  <c r="DU196" i="2"/>
  <c r="DO75" i="9" s="1"/>
  <c r="DU205" i="2"/>
  <c r="DU200" i="2"/>
  <c r="DU199" i="2"/>
  <c r="DU195" i="2"/>
  <c r="DP47" i="3" s="1"/>
  <c r="DT211" i="2"/>
  <c r="DT212" i="2"/>
  <c r="JD196" i="2" s="1"/>
  <c r="DT199" i="2"/>
  <c r="DT202" i="2"/>
  <c r="DT197" i="2"/>
  <c r="DT227" i="2"/>
  <c r="DT208" i="2"/>
  <c r="DT196" i="2"/>
  <c r="DN75" i="9" s="1"/>
  <c r="DT205" i="2"/>
  <c r="DT195" i="2"/>
  <c r="DO47" i="3" s="1"/>
  <c r="DT207" i="2"/>
  <c r="DT203" i="2"/>
  <c r="DT206" i="2"/>
  <c r="DT200" i="2"/>
  <c r="AG227" i="2"/>
  <c r="AG195" i="2"/>
  <c r="AB47" i="3" s="1"/>
  <c r="BW211" i="2"/>
  <c r="BW227" i="2"/>
  <c r="BW208" i="2"/>
  <c r="BW203" i="2"/>
  <c r="BW206" i="2"/>
  <c r="BW196" i="2"/>
  <c r="BQ75" i="9" s="1"/>
  <c r="BW200" i="2"/>
  <c r="BW205" i="2"/>
  <c r="BW195" i="2"/>
  <c r="BR47" i="3" s="1"/>
  <c r="BW199" i="2"/>
  <c r="BW197" i="2"/>
  <c r="BW207" i="2"/>
  <c r="BW212" i="2"/>
  <c r="HG196" i="2" s="1"/>
  <c r="BW202" i="2"/>
  <c r="CZ73" i="9"/>
  <c r="DP45" i="2"/>
  <c r="AN45" i="2"/>
  <c r="AA45" i="2"/>
  <c r="CZ45" i="2"/>
  <c r="CT45" i="2"/>
  <c r="Z45" i="2"/>
  <c r="DP38" i="2" l="1"/>
  <c r="P21" i="7"/>
  <c r="CL38" i="2"/>
  <c r="BP38" i="2"/>
  <c r="BK49" i="3" s="1"/>
  <c r="AE38" i="2"/>
  <c r="Z49" i="3" s="1"/>
  <c r="EK38" i="2"/>
  <c r="CI38" i="2"/>
  <c r="DO38" i="2"/>
  <c r="CG38" i="2"/>
  <c r="CM38" i="2"/>
  <c r="BY38" i="2"/>
  <c r="DS38" i="2"/>
  <c r="AM38" i="2"/>
  <c r="AH49" i="3" s="1"/>
  <c r="DC38" i="2"/>
  <c r="DA38" i="2"/>
  <c r="BR38" i="2"/>
  <c r="BM49" i="3" s="1"/>
  <c r="EA38" i="2"/>
  <c r="DY38" i="2"/>
  <c r="DG38" i="2"/>
  <c r="DE38" i="2"/>
  <c r="U38" i="2"/>
  <c r="P49" i="3" s="1"/>
  <c r="BC38" i="2"/>
  <c r="AX49" i="3" s="1"/>
  <c r="BU38" i="2"/>
  <c r="BP49" i="3" s="1"/>
  <c r="CW38" i="2"/>
  <c r="AU38" i="2"/>
  <c r="AP49" i="3" s="1"/>
  <c r="DE47" i="2"/>
  <c r="DQ38" i="2"/>
  <c r="AF38" i="2"/>
  <c r="AA49" i="3" s="1"/>
  <c r="AP38" i="2"/>
  <c r="AK49" i="3" s="1"/>
  <c r="CE38" i="2"/>
  <c r="BM38" i="2"/>
  <c r="BH49" i="3" s="1"/>
  <c r="BF38" i="2"/>
  <c r="DZ38" i="2"/>
  <c r="DH38" i="2"/>
  <c r="EH38" i="2"/>
  <c r="CN38" i="2"/>
  <c r="BO38" i="2"/>
  <c r="BJ49" i="3" s="1"/>
  <c r="N38" i="2"/>
  <c r="I49" i="3" s="1"/>
  <c r="AI47" i="2"/>
  <c r="AD50" i="3" s="1"/>
  <c r="CT75" i="7"/>
  <c r="DX38" i="2"/>
  <c r="EB38" i="2"/>
  <c r="AO38" i="2"/>
  <c r="AJ49" i="3" s="1"/>
  <c r="CR38" i="2"/>
  <c r="BV38" i="2"/>
  <c r="CO38" i="2"/>
  <c r="BA38" i="2"/>
  <c r="AV49" i="3" s="1"/>
  <c r="BF47" i="2"/>
  <c r="BA50" i="3" s="1"/>
  <c r="AT38" i="2"/>
  <c r="AO49" i="3" s="1"/>
  <c r="AZ38" i="2"/>
  <c r="AU49" i="3" s="1"/>
  <c r="EN47" i="2"/>
  <c r="CO47" i="2"/>
  <c r="BX47" i="2"/>
  <c r="CP47" i="2"/>
  <c r="Q47" i="2"/>
  <c r="L50" i="3" s="1"/>
  <c r="AJ47" i="2"/>
  <c r="AE50" i="3" s="1"/>
  <c r="Z38" i="2"/>
  <c r="U49" i="3" s="1"/>
  <c r="DV47" i="2"/>
  <c r="R47" i="2"/>
  <c r="M50" i="3" s="1"/>
  <c r="AB47" i="2"/>
  <c r="CJ38" i="2"/>
  <c r="AB38" i="2"/>
  <c r="W49" i="3" s="1"/>
  <c r="CV38" i="2"/>
  <c r="BW47" i="2"/>
  <c r="AW38" i="2"/>
  <c r="CD38" i="2"/>
  <c r="BI38" i="2"/>
  <c r="BD49" i="3" s="1"/>
  <c r="BK38" i="2"/>
  <c r="BF49" i="3" s="1"/>
  <c r="BS38" i="2"/>
  <c r="BN49" i="3" s="1"/>
  <c r="DY47" i="2"/>
  <c r="DK47" i="2"/>
  <c r="BL38" i="2"/>
  <c r="BG49" i="3" s="1"/>
  <c r="CE47" i="2"/>
  <c r="AL47" i="2"/>
  <c r="AG50" i="3" s="1"/>
  <c r="CI47" i="2"/>
  <c r="CP38" i="2"/>
  <c r="DW47" i="2"/>
  <c r="DN38" i="2"/>
  <c r="R38" i="2"/>
  <c r="M49" i="3" s="1"/>
  <c r="DM38" i="2"/>
  <c r="BB38" i="2"/>
  <c r="AW49" i="3" s="1"/>
  <c r="ED38" i="2"/>
  <c r="AA38" i="2"/>
  <c r="AA47" i="2"/>
  <c r="V50" i="3" s="1"/>
  <c r="DU38" i="2"/>
  <c r="CQ38" i="2"/>
  <c r="BQ38" i="2"/>
  <c r="BL49" i="3" s="1"/>
  <c r="AP47" i="2"/>
  <c r="BM47" i="2"/>
  <c r="AF47" i="2"/>
  <c r="CU38" i="2"/>
  <c r="AT47" i="2"/>
  <c r="EJ38" i="2"/>
  <c r="DW38" i="2"/>
  <c r="CS38" i="2"/>
  <c r="EF38" i="2"/>
  <c r="BH38" i="2"/>
  <c r="BC49" i="3" s="1"/>
  <c r="EN38" i="2"/>
  <c r="AS47" i="2"/>
  <c r="AS57" i="2" s="1"/>
  <c r="DT47" i="2"/>
  <c r="AZ47" i="2"/>
  <c r="AU50" i="3" s="1"/>
  <c r="AJ38" i="2"/>
  <c r="EH47" i="2"/>
  <c r="DU47" i="2"/>
  <c r="CZ38" i="2"/>
  <c r="O38" i="2"/>
  <c r="J49" i="3" s="1"/>
  <c r="CR47" i="2"/>
  <c r="Z47" i="2"/>
  <c r="U50" i="3" s="1"/>
  <c r="EI38" i="2"/>
  <c r="AI38" i="2"/>
  <c r="AV38" i="2"/>
  <c r="AQ49" i="3" s="1"/>
  <c r="DD38" i="2"/>
  <c r="BW38" i="2"/>
  <c r="BT38" i="2"/>
  <c r="BO49" i="3" s="1"/>
  <c r="AL38" i="2"/>
  <c r="AG49" i="3" s="1"/>
  <c r="CA38" i="2"/>
  <c r="DF38" i="2"/>
  <c r="Q38" i="2"/>
  <c r="DK38" i="2"/>
  <c r="CT38" i="2"/>
  <c r="DV38" i="2"/>
  <c r="P47" i="2"/>
  <c r="K50" i="3" s="1"/>
  <c r="V38" i="2"/>
  <c r="Q49" i="3" s="1"/>
  <c r="AD38" i="2"/>
  <c r="Y49" i="3" s="1"/>
  <c r="CX38" i="2"/>
  <c r="EC47" i="2"/>
  <c r="BJ38" i="2"/>
  <c r="EL38" i="2"/>
  <c r="DL38" i="2"/>
  <c r="DN47" i="2"/>
  <c r="L47" i="2"/>
  <c r="CV47" i="2"/>
  <c r="CB47" i="2"/>
  <c r="AY38" i="2"/>
  <c r="AT49" i="3" s="1"/>
  <c r="DR38" i="2"/>
  <c r="P38" i="2"/>
  <c r="K49" i="3" s="1"/>
  <c r="CH38" i="2"/>
  <c r="W38" i="2"/>
  <c r="R49" i="3" s="1"/>
  <c r="DB38" i="2"/>
  <c r="L38" i="2"/>
  <c r="G49" i="3" s="1"/>
  <c r="EB47" i="2"/>
  <c r="DJ38" i="2"/>
  <c r="CK38" i="2"/>
  <c r="CK47" i="2"/>
  <c r="S38" i="2"/>
  <c r="N49" i="3" s="1"/>
  <c r="BN38" i="2"/>
  <c r="BI49" i="3" s="1"/>
  <c r="BG47" i="2"/>
  <c r="BB50" i="3" s="1"/>
  <c r="EM38" i="2"/>
  <c r="AQ38" i="2"/>
  <c r="AL49" i="3" s="1"/>
  <c r="BZ38" i="2"/>
  <c r="BH47" i="2"/>
  <c r="EC38" i="2"/>
  <c r="O47" i="2"/>
  <c r="EA47" i="2"/>
  <c r="CY38" i="2"/>
  <c r="AC38" i="2"/>
  <c r="X49" i="3" s="1"/>
  <c r="CF47" i="2"/>
  <c r="BB47" i="2"/>
  <c r="AW50" i="3" s="1"/>
  <c r="BV47" i="2"/>
  <c r="AW47" i="2"/>
  <c r="AR50" i="3" s="1"/>
  <c r="DO47" i="2"/>
  <c r="BI47" i="2"/>
  <c r="DG47" i="2"/>
  <c r="BD38" i="2"/>
  <c r="AY49" i="3" s="1"/>
  <c r="CW47" i="2"/>
  <c r="DP47" i="2"/>
  <c r="V47" i="2"/>
  <c r="W47" i="2"/>
  <c r="AR38" i="2"/>
  <c r="AM49" i="3" s="1"/>
  <c r="BK47" i="2"/>
  <c r="CJ47" i="2"/>
  <c r="BJ47" i="2"/>
  <c r="BE50" i="3" s="1"/>
  <c r="DT38" i="2"/>
  <c r="DJ47" i="2"/>
  <c r="BS47" i="2"/>
  <c r="AM47" i="2"/>
  <c r="EL47" i="2"/>
  <c r="AY47" i="2"/>
  <c r="EG38" i="2"/>
  <c r="BU47" i="2"/>
  <c r="DF47" i="2"/>
  <c r="CS47" i="2"/>
  <c r="BD47" i="2"/>
  <c r="AY50" i="3" s="1"/>
  <c r="EF47" i="2"/>
  <c r="AK38" i="2"/>
  <c r="AF49" i="3" s="1"/>
  <c r="BZ47" i="2"/>
  <c r="BE38" i="2"/>
  <c r="AZ49" i="3" s="1"/>
  <c r="AO47" i="2"/>
  <c r="CC38" i="2"/>
  <c r="AG38" i="2"/>
  <c r="AB49" i="3" s="1"/>
  <c r="EG47" i="2"/>
  <c r="S47" i="2"/>
  <c r="N50" i="3" s="1"/>
  <c r="CG47" i="2"/>
  <c r="DL47" i="2"/>
  <c r="CT47" i="2"/>
  <c r="BX38" i="2"/>
  <c r="CA47" i="2"/>
  <c r="EI47" i="2"/>
  <c r="DZ47" i="2"/>
  <c r="AV47" i="2"/>
  <c r="AQ50" i="3" s="1"/>
  <c r="DS47" i="2"/>
  <c r="AQ47" i="2"/>
  <c r="AL50" i="3" s="1"/>
  <c r="CL47" i="2"/>
  <c r="BG38" i="2"/>
  <c r="CC47" i="2"/>
  <c r="BA47" i="2"/>
  <c r="DQ47" i="2"/>
  <c r="CF38" i="2"/>
  <c r="CM47" i="2"/>
  <c r="BN47" i="2"/>
  <c r="AH38" i="2"/>
  <c r="AC49" i="3" s="1"/>
  <c r="M47" i="2"/>
  <c r="AC47" i="2"/>
  <c r="EJ47" i="2"/>
  <c r="AN38" i="2"/>
  <c r="AI49" i="3" s="1"/>
  <c r="X38" i="2"/>
  <c r="S49" i="3" s="1"/>
  <c r="X47" i="2"/>
  <c r="S50" i="3" s="1"/>
  <c r="BY47" i="2"/>
  <c r="BC47" i="2"/>
  <c r="EE47" i="2"/>
  <c r="EE49" i="2" s="1"/>
  <c r="AR47" i="2"/>
  <c r="U47" i="2"/>
  <c r="M38" i="2"/>
  <c r="K41" i="2"/>
  <c r="BQ47" i="2"/>
  <c r="BL50" i="3" s="1"/>
  <c r="K43" i="2"/>
  <c r="AE47" i="2"/>
  <c r="CU47" i="2"/>
  <c r="EM47" i="2"/>
  <c r="DX47" i="2"/>
  <c r="T38" i="2"/>
  <c r="O49" i="3" s="1"/>
  <c r="Y47" i="2"/>
  <c r="T50" i="3" s="1"/>
  <c r="AG47" i="2"/>
  <c r="AK47" i="2"/>
  <c r="AF50" i="3" s="1"/>
  <c r="K45" i="2"/>
  <c r="DA47" i="2"/>
  <c r="CY47" i="2"/>
  <c r="CB38" i="2"/>
  <c r="BO47" i="2"/>
  <c r="BP47" i="2"/>
  <c r="AI62" i="7"/>
  <c r="C88" i="4"/>
  <c r="F8" i="4" s="1"/>
  <c r="AD47" i="2"/>
  <c r="DR47" i="2"/>
  <c r="DD47" i="2"/>
  <c r="CN47" i="2"/>
  <c r="K44" i="2"/>
  <c r="DM47" i="2"/>
  <c r="AA140" i="2"/>
  <c r="U139" i="9"/>
  <c r="AA291" i="2"/>
  <c r="AB140" i="2"/>
  <c r="V139" i="9"/>
  <c r="AB291" i="2"/>
  <c r="AJ140" i="2"/>
  <c r="AD139" i="9"/>
  <c r="AJ291" i="2"/>
  <c r="AG140" i="2"/>
  <c r="AA139" i="9"/>
  <c r="AG291" i="2"/>
  <c r="AT140" i="2"/>
  <c r="AN139" i="9"/>
  <c r="AT291" i="2"/>
  <c r="AS140" i="2"/>
  <c r="AM139" i="9"/>
  <c r="AS291" i="2"/>
  <c r="G116" i="9"/>
  <c r="F135" i="9"/>
  <c r="M129" i="2"/>
  <c r="M130" i="2" s="1"/>
  <c r="V140" i="2"/>
  <c r="P139" i="9"/>
  <c r="V291" i="2"/>
  <c r="O129" i="2"/>
  <c r="O130" i="2" s="1"/>
  <c r="AL129" i="2"/>
  <c r="AL130" i="2" s="1"/>
  <c r="T129" i="2"/>
  <c r="T130" i="2" s="1"/>
  <c r="BI53" i="3"/>
  <c r="BI48" i="3"/>
  <c r="BI60" i="3"/>
  <c r="BI46" i="3"/>
  <c r="CM267" i="2"/>
  <c r="CM262" i="2"/>
  <c r="CM265" i="2"/>
  <c r="CM261" i="2"/>
  <c r="CM266" i="2"/>
  <c r="CM251" i="2"/>
  <c r="CM257" i="2"/>
  <c r="CM254" i="2"/>
  <c r="CM248" i="2"/>
  <c r="CM250" i="2"/>
  <c r="HW240" i="2" s="1"/>
  <c r="CM260" i="2"/>
  <c r="CM256" i="2"/>
  <c r="CM255" i="2"/>
  <c r="CM249" i="2"/>
  <c r="CM245" i="2"/>
  <c r="CM246" i="2"/>
  <c r="CM228" i="2"/>
  <c r="HW206" i="2" s="1"/>
  <c r="CM236" i="2"/>
  <c r="CM234" i="2"/>
  <c r="CM240" i="2"/>
  <c r="CM230" i="2"/>
  <c r="CM244" i="2"/>
  <c r="CM239" i="2"/>
  <c r="CM235" i="2"/>
  <c r="CM233" i="2"/>
  <c r="CM229" i="2"/>
  <c r="HW200" i="2" s="1"/>
  <c r="CM241" i="2"/>
  <c r="AD129" i="2"/>
  <c r="AD130" i="2" s="1"/>
  <c r="BR248" i="2"/>
  <c r="CW260" i="2"/>
  <c r="CW267" i="2"/>
  <c r="CW262" i="2"/>
  <c r="CW265" i="2"/>
  <c r="CW261" i="2"/>
  <c r="CW255" i="2"/>
  <c r="CW249" i="2"/>
  <c r="CW251" i="2"/>
  <c r="CW257" i="2"/>
  <c r="CW254" i="2"/>
  <c r="CW248" i="2"/>
  <c r="CW266" i="2"/>
  <c r="CW250" i="2"/>
  <c r="IG240" i="2" s="1"/>
  <c r="CW256" i="2"/>
  <c r="CW246" i="2"/>
  <c r="CW245" i="2"/>
  <c r="CW241" i="2"/>
  <c r="CW244" i="2"/>
  <c r="CW228" i="2"/>
  <c r="IG206" i="2" s="1"/>
  <c r="CW236" i="2"/>
  <c r="CW234" i="2"/>
  <c r="CW240" i="2"/>
  <c r="CW230" i="2"/>
  <c r="CW235" i="2"/>
  <c r="CW239" i="2"/>
  <c r="CW229" i="2"/>
  <c r="IG200" i="2" s="1"/>
  <c r="CW233" i="2"/>
  <c r="BH53" i="3"/>
  <c r="BH60" i="3"/>
  <c r="BH48" i="3"/>
  <c r="BH46" i="3"/>
  <c r="CQ60" i="3"/>
  <c r="CQ59" i="3"/>
  <c r="CQ58" i="3"/>
  <c r="CQ57" i="3"/>
  <c r="CQ55" i="3"/>
  <c r="CQ53" i="3"/>
  <c r="CQ51" i="3"/>
  <c r="CQ50" i="3"/>
  <c r="CQ48" i="3"/>
  <c r="CQ46" i="3"/>
  <c r="CQ49" i="3"/>
  <c r="EL261" i="2"/>
  <c r="EL266" i="2"/>
  <c r="EL262" i="2"/>
  <c r="EL260" i="2"/>
  <c r="EL248" i="2"/>
  <c r="EL267" i="2"/>
  <c r="EL250" i="2"/>
  <c r="JV240" i="2" s="1"/>
  <c r="EL256" i="2"/>
  <c r="EL246" i="2"/>
  <c r="EL255" i="2"/>
  <c r="EL254" i="2"/>
  <c r="EL265" i="2"/>
  <c r="EL251" i="2"/>
  <c r="EL249" i="2"/>
  <c r="EL244" i="2"/>
  <c r="EL257" i="2"/>
  <c r="EL241" i="2"/>
  <c r="EL240" i="2"/>
  <c r="EL245" i="2"/>
  <c r="EL239" i="2"/>
  <c r="EL235" i="2"/>
  <c r="EL233" i="2"/>
  <c r="EL229" i="2"/>
  <c r="JV200" i="2" s="1"/>
  <c r="EL228" i="2"/>
  <c r="JV206" i="2" s="1"/>
  <c r="EL230" i="2"/>
  <c r="EL236" i="2"/>
  <c r="EL234" i="2"/>
  <c r="DE186" i="9"/>
  <c r="DE76" i="9"/>
  <c r="BY186" i="9"/>
  <c r="BY76" i="9"/>
  <c r="AS248" i="2"/>
  <c r="I167" i="2"/>
  <c r="DU260" i="2"/>
  <c r="DU267" i="2"/>
  <c r="DU262" i="2"/>
  <c r="DU265" i="2"/>
  <c r="DU261" i="2"/>
  <c r="DU255" i="2"/>
  <c r="DU266" i="2"/>
  <c r="DU249" i="2"/>
  <c r="DU251" i="2"/>
  <c r="DU257" i="2"/>
  <c r="DU254" i="2"/>
  <c r="DU248" i="2"/>
  <c r="DU250" i="2"/>
  <c r="JE240" i="2" s="1"/>
  <c r="DU245" i="2"/>
  <c r="DU256" i="2"/>
  <c r="DU246" i="2"/>
  <c r="DU228" i="2"/>
  <c r="JE206" i="2" s="1"/>
  <c r="DU236" i="2"/>
  <c r="DU234" i="2"/>
  <c r="DU241" i="2"/>
  <c r="DU230" i="2"/>
  <c r="DU244" i="2"/>
  <c r="DU240" i="2"/>
  <c r="DU229" i="2"/>
  <c r="JE200" i="2" s="1"/>
  <c r="DU235" i="2"/>
  <c r="DU233" i="2"/>
  <c r="DU239" i="2"/>
  <c r="AC248" i="2"/>
  <c r="DB60" i="3"/>
  <c r="DB59" i="3"/>
  <c r="DB58" i="3"/>
  <c r="DB57" i="3"/>
  <c r="DB55" i="3"/>
  <c r="DB53" i="3"/>
  <c r="DB51" i="3"/>
  <c r="DB46" i="3"/>
  <c r="DB48" i="3"/>
  <c r="DB49" i="3"/>
  <c r="DB50" i="3"/>
  <c r="EE260" i="2"/>
  <c r="EE267" i="2"/>
  <c r="EE262" i="2"/>
  <c r="EE265" i="2"/>
  <c r="EE266" i="2"/>
  <c r="EE246" i="2"/>
  <c r="EE255" i="2"/>
  <c r="EE249" i="2"/>
  <c r="EE251" i="2"/>
  <c r="EE257" i="2"/>
  <c r="EE254" i="2"/>
  <c r="EE248" i="2"/>
  <c r="EE250" i="2"/>
  <c r="JO240" i="2" s="1"/>
  <c r="EE261" i="2"/>
  <c r="EE256" i="2"/>
  <c r="EE245" i="2"/>
  <c r="EE244" i="2"/>
  <c r="EE228" i="2"/>
  <c r="JO206" i="2" s="1"/>
  <c r="EE236" i="2"/>
  <c r="EE234" i="2"/>
  <c r="EE230" i="2"/>
  <c r="EE235" i="2"/>
  <c r="EE233" i="2"/>
  <c r="EE239" i="2"/>
  <c r="EE229" i="2"/>
  <c r="JO200" i="2" s="1"/>
  <c r="EE241" i="2"/>
  <c r="EE240" i="2"/>
  <c r="AO248" i="2"/>
  <c r="CT260" i="2"/>
  <c r="CT267" i="2"/>
  <c r="CT262" i="2"/>
  <c r="CT265" i="2"/>
  <c r="CT261" i="2"/>
  <c r="CT246" i="2"/>
  <c r="CT255" i="2"/>
  <c r="CT249" i="2"/>
  <c r="CT251" i="2"/>
  <c r="CT257" i="2"/>
  <c r="CT254" i="2"/>
  <c r="CT250" i="2"/>
  <c r="ID240" i="2" s="1"/>
  <c r="CT248" i="2"/>
  <c r="CT244" i="2"/>
  <c r="CT256" i="2"/>
  <c r="CT245" i="2"/>
  <c r="CT239" i="2"/>
  <c r="CT235" i="2"/>
  <c r="CT233" i="2"/>
  <c r="CT229" i="2"/>
  <c r="ID200" i="2" s="1"/>
  <c r="CT241" i="2"/>
  <c r="CT236" i="2"/>
  <c r="CT234" i="2"/>
  <c r="CT240" i="2"/>
  <c r="CT230" i="2"/>
  <c r="CT228" i="2"/>
  <c r="ID206" i="2" s="1"/>
  <c r="CT266" i="2"/>
  <c r="L53" i="3"/>
  <c r="L48" i="3"/>
  <c r="L46" i="3"/>
  <c r="L60" i="3"/>
  <c r="BQ186" i="9"/>
  <c r="BQ76" i="9"/>
  <c r="DO60" i="3"/>
  <c r="DO59" i="3"/>
  <c r="DO58" i="3"/>
  <c r="DO57" i="3"/>
  <c r="DO55" i="3"/>
  <c r="DO53" i="3"/>
  <c r="DO51" i="3"/>
  <c r="DO50" i="3"/>
  <c r="DO49" i="3"/>
  <c r="DO46" i="3"/>
  <c r="DO48" i="3"/>
  <c r="BB48" i="3"/>
  <c r="BB60" i="3"/>
  <c r="BB46" i="3"/>
  <c r="BB53" i="3"/>
  <c r="CI55" i="3"/>
  <c r="CI53" i="3"/>
  <c r="CI51" i="3"/>
  <c r="CI50" i="3"/>
  <c r="CI49" i="3"/>
  <c r="CI48" i="3"/>
  <c r="CI59" i="3"/>
  <c r="CI46" i="3"/>
  <c r="CI60" i="3"/>
  <c r="CI57" i="3"/>
  <c r="CI58" i="3"/>
  <c r="DI186" i="9"/>
  <c r="DI76" i="9"/>
  <c r="CU55" i="3"/>
  <c r="CU53" i="3"/>
  <c r="CU51" i="3"/>
  <c r="CU50" i="3"/>
  <c r="CU49" i="3"/>
  <c r="CU48" i="3"/>
  <c r="CU60" i="3"/>
  <c r="CU57" i="3"/>
  <c r="CU46" i="3"/>
  <c r="CU58" i="3"/>
  <c r="CU59" i="3"/>
  <c r="CY49" i="3"/>
  <c r="CY48" i="3"/>
  <c r="CY46" i="3"/>
  <c r="CY60" i="3"/>
  <c r="CY59" i="3"/>
  <c r="CY58" i="3"/>
  <c r="CY57" i="3"/>
  <c r="CY50" i="3"/>
  <c r="CY51" i="3"/>
  <c r="CY53" i="3"/>
  <c r="CY55" i="3"/>
  <c r="J60" i="3"/>
  <c r="J53" i="3"/>
  <c r="J48" i="3"/>
  <c r="J46" i="3"/>
  <c r="BH248" i="2"/>
  <c r="AA53" i="3"/>
  <c r="AA60" i="3"/>
  <c r="AA46" i="3"/>
  <c r="AA48" i="3"/>
  <c r="ED260" i="2"/>
  <c r="ED267" i="2"/>
  <c r="ED262" i="2"/>
  <c r="ED265" i="2"/>
  <c r="ED261" i="2"/>
  <c r="ED266" i="2"/>
  <c r="ED246" i="2"/>
  <c r="ED255" i="2"/>
  <c r="ED249" i="2"/>
  <c r="ED251" i="2"/>
  <c r="ED257" i="2"/>
  <c r="ED254" i="2"/>
  <c r="ED250" i="2"/>
  <c r="JN240" i="2" s="1"/>
  <c r="ED248" i="2"/>
  <c r="ED244" i="2"/>
  <c r="ED256" i="2"/>
  <c r="ED245" i="2"/>
  <c r="ED239" i="2"/>
  <c r="ED235" i="2"/>
  <c r="ED233" i="2"/>
  <c r="ED229" i="2"/>
  <c r="JN200" i="2" s="1"/>
  <c r="ED228" i="2"/>
  <c r="JN206" i="2" s="1"/>
  <c r="ED236" i="2"/>
  <c r="ED234" i="2"/>
  <c r="ED230" i="2"/>
  <c r="ED240" i="2"/>
  <c r="ED241" i="2"/>
  <c r="AK248" i="2"/>
  <c r="DL48" i="3"/>
  <c r="DL60" i="3"/>
  <c r="DL59" i="3"/>
  <c r="DL58" i="3"/>
  <c r="DL57" i="3"/>
  <c r="DL55" i="3"/>
  <c r="DL53" i="3"/>
  <c r="DL49" i="3"/>
  <c r="DL46" i="3"/>
  <c r="DL50" i="3"/>
  <c r="DL51" i="3"/>
  <c r="DQ266" i="2"/>
  <c r="DQ260" i="2"/>
  <c r="DQ267" i="2"/>
  <c r="DQ262" i="2"/>
  <c r="DQ265" i="2"/>
  <c r="DQ256" i="2"/>
  <c r="DQ261" i="2"/>
  <c r="DQ246" i="2"/>
  <c r="DQ255" i="2"/>
  <c r="DQ249" i="2"/>
  <c r="DQ251" i="2"/>
  <c r="DQ257" i="2"/>
  <c r="DQ244" i="2"/>
  <c r="DQ250" i="2"/>
  <c r="JA240" i="2" s="1"/>
  <c r="DQ248" i="2"/>
  <c r="DQ239" i="2"/>
  <c r="DQ235" i="2"/>
  <c r="DQ233" i="2"/>
  <c r="DQ229" i="2"/>
  <c r="JA200" i="2" s="1"/>
  <c r="DQ228" i="2"/>
  <c r="JA206" i="2" s="1"/>
  <c r="DQ245" i="2"/>
  <c r="DQ236" i="2"/>
  <c r="DQ234" i="2"/>
  <c r="DQ240" i="2"/>
  <c r="DQ241" i="2"/>
  <c r="DQ230" i="2"/>
  <c r="DQ254" i="2"/>
  <c r="CK51" i="3"/>
  <c r="CK50" i="3"/>
  <c r="CK49" i="3"/>
  <c r="CK48" i="3"/>
  <c r="CK60" i="3"/>
  <c r="CK59" i="3"/>
  <c r="CK53" i="3"/>
  <c r="CK55" i="3"/>
  <c r="CK46" i="3"/>
  <c r="CK57" i="3"/>
  <c r="CK58" i="3"/>
  <c r="DG55" i="3"/>
  <c r="DG53" i="3"/>
  <c r="DG51" i="3"/>
  <c r="DG50" i="3"/>
  <c r="DG49" i="3"/>
  <c r="DG48" i="3"/>
  <c r="DG57" i="3"/>
  <c r="DG58" i="3"/>
  <c r="DG59" i="3"/>
  <c r="DG46" i="3"/>
  <c r="DG60" i="3"/>
  <c r="DM60" i="3"/>
  <c r="DM59" i="3"/>
  <c r="DM58" i="3"/>
  <c r="DM57" i="3"/>
  <c r="DM55" i="3"/>
  <c r="DM53" i="3"/>
  <c r="DM48" i="3"/>
  <c r="DM49" i="3"/>
  <c r="DM46" i="3"/>
  <c r="DM50" i="3"/>
  <c r="DM51" i="3"/>
  <c r="F197" i="9"/>
  <c r="F196" i="9"/>
  <c r="F154" i="9"/>
  <c r="F130" i="9"/>
  <c r="AP248" i="2"/>
  <c r="CS58" i="3"/>
  <c r="CS57" i="3"/>
  <c r="CS55" i="3"/>
  <c r="CS53" i="3"/>
  <c r="CS51" i="3"/>
  <c r="CS50" i="3"/>
  <c r="CS49" i="3"/>
  <c r="CS48" i="3"/>
  <c r="CS59" i="3"/>
  <c r="CS60" i="3"/>
  <c r="CS46" i="3"/>
  <c r="AQ248" i="2"/>
  <c r="DV186" i="9"/>
  <c r="DV76" i="9"/>
  <c r="U129" i="2"/>
  <c r="U130" i="2" s="1"/>
  <c r="DU51" i="3"/>
  <c r="DU50" i="3"/>
  <c r="DU49" i="3"/>
  <c r="DU48" i="3"/>
  <c r="DU60" i="3"/>
  <c r="DU59" i="3"/>
  <c r="DU53" i="3"/>
  <c r="DU55" i="3"/>
  <c r="DU57" i="3"/>
  <c r="DU58" i="3"/>
  <c r="DU46" i="3"/>
  <c r="AJ248" i="2"/>
  <c r="DJ260" i="2"/>
  <c r="DJ267" i="2"/>
  <c r="DJ262" i="2"/>
  <c r="DJ265" i="2"/>
  <c r="DJ261" i="2"/>
  <c r="DJ266" i="2"/>
  <c r="DJ249" i="2"/>
  <c r="DJ251" i="2"/>
  <c r="DJ257" i="2"/>
  <c r="DJ254" i="2"/>
  <c r="DJ248" i="2"/>
  <c r="DJ250" i="2"/>
  <c r="IT240" i="2" s="1"/>
  <c r="DJ256" i="2"/>
  <c r="DJ246" i="2"/>
  <c r="DJ244" i="2"/>
  <c r="DJ245" i="2"/>
  <c r="DJ255" i="2"/>
  <c r="DJ241" i="2"/>
  <c r="DJ228" i="2"/>
  <c r="IT206" i="2" s="1"/>
  <c r="DJ236" i="2"/>
  <c r="DJ234" i="2"/>
  <c r="DJ230" i="2"/>
  <c r="DJ240" i="2"/>
  <c r="DJ235" i="2"/>
  <c r="DJ233" i="2"/>
  <c r="DJ229" i="2"/>
  <c r="IT200" i="2" s="1"/>
  <c r="DJ239" i="2"/>
  <c r="Q248" i="2"/>
  <c r="CN48" i="3"/>
  <c r="CN60" i="3"/>
  <c r="CN59" i="3"/>
  <c r="CN58" i="3"/>
  <c r="CN57" i="3"/>
  <c r="CN55" i="3"/>
  <c r="CN49" i="3"/>
  <c r="CN46" i="3"/>
  <c r="CN50" i="3"/>
  <c r="CN51" i="3"/>
  <c r="CN53" i="3"/>
  <c r="BF60" i="3"/>
  <c r="BF53" i="3"/>
  <c r="BF48" i="3"/>
  <c r="BF46" i="3"/>
  <c r="DQ58" i="3"/>
  <c r="DQ57" i="3"/>
  <c r="DQ55" i="3"/>
  <c r="DQ53" i="3"/>
  <c r="DQ51" i="3"/>
  <c r="DQ50" i="3"/>
  <c r="DQ49" i="3"/>
  <c r="DQ48" i="3"/>
  <c r="DQ59" i="3"/>
  <c r="DQ60" i="3"/>
  <c r="DQ46" i="3"/>
  <c r="BL53" i="3"/>
  <c r="BL48" i="3"/>
  <c r="BL60" i="3"/>
  <c r="BL46" i="3"/>
  <c r="CB48" i="3"/>
  <c r="CB60" i="3"/>
  <c r="CB59" i="3"/>
  <c r="CB58" i="3"/>
  <c r="CB57" i="3"/>
  <c r="CB55" i="3"/>
  <c r="CB53" i="3"/>
  <c r="CB49" i="3"/>
  <c r="CB50" i="3"/>
  <c r="CB51" i="3"/>
  <c r="CB46" i="3"/>
  <c r="BJ53" i="3"/>
  <c r="BJ48" i="3"/>
  <c r="BJ60" i="3"/>
  <c r="BJ46" i="3"/>
  <c r="DB261" i="2"/>
  <c r="DB266" i="2"/>
  <c r="DB260" i="2"/>
  <c r="DB248" i="2"/>
  <c r="DB250" i="2"/>
  <c r="IL240" i="2" s="1"/>
  <c r="DB256" i="2"/>
  <c r="DB265" i="2"/>
  <c r="DB246" i="2"/>
  <c r="DB255" i="2"/>
  <c r="DB267" i="2"/>
  <c r="DB254" i="2"/>
  <c r="DB251" i="2"/>
  <c r="DB249" i="2"/>
  <c r="DB244" i="2"/>
  <c r="DB262" i="2"/>
  <c r="DB257" i="2"/>
  <c r="DB245" i="2"/>
  <c r="DB239" i="2"/>
  <c r="DB235" i="2"/>
  <c r="DB233" i="2"/>
  <c r="DB229" i="2"/>
  <c r="IL200" i="2" s="1"/>
  <c r="DB228" i="2"/>
  <c r="IL206" i="2" s="1"/>
  <c r="DB230" i="2"/>
  <c r="DB236" i="2"/>
  <c r="DB234" i="2"/>
  <c r="DB240" i="2"/>
  <c r="DB241" i="2"/>
  <c r="CI186" i="9"/>
  <c r="CI76" i="9"/>
  <c r="CQ186" i="9"/>
  <c r="CQ76" i="9"/>
  <c r="CS266" i="2"/>
  <c r="CS260" i="2"/>
  <c r="CS267" i="2"/>
  <c r="CS262" i="2"/>
  <c r="CS256" i="2"/>
  <c r="CS246" i="2"/>
  <c r="CS255" i="2"/>
  <c r="CS249" i="2"/>
  <c r="CS265" i="2"/>
  <c r="CS251" i="2"/>
  <c r="CS261" i="2"/>
  <c r="CS257" i="2"/>
  <c r="CS250" i="2"/>
  <c r="IC240" i="2" s="1"/>
  <c r="CS248" i="2"/>
  <c r="CS244" i="2"/>
  <c r="CS254" i="2"/>
  <c r="CS245" i="2"/>
  <c r="CS239" i="2"/>
  <c r="CS235" i="2"/>
  <c r="CS233" i="2"/>
  <c r="CS229" i="2"/>
  <c r="IC200" i="2" s="1"/>
  <c r="CS241" i="2"/>
  <c r="CS228" i="2"/>
  <c r="IC206" i="2" s="1"/>
  <c r="CS236" i="2"/>
  <c r="CS234" i="2"/>
  <c r="CS240" i="2"/>
  <c r="CS230" i="2"/>
  <c r="K60" i="3"/>
  <c r="K53" i="3"/>
  <c r="K48" i="3"/>
  <c r="K46" i="3"/>
  <c r="CI260" i="2"/>
  <c r="CI267" i="2"/>
  <c r="CI262" i="2"/>
  <c r="CI265" i="2"/>
  <c r="CI266" i="2"/>
  <c r="CI246" i="2"/>
  <c r="CI255" i="2"/>
  <c r="CI249" i="2"/>
  <c r="CI251" i="2"/>
  <c r="CI257" i="2"/>
  <c r="CI254" i="2"/>
  <c r="CI248" i="2"/>
  <c r="CI250" i="2"/>
  <c r="HS240" i="2" s="1"/>
  <c r="CI245" i="2"/>
  <c r="CI261" i="2"/>
  <c r="CI256" i="2"/>
  <c r="CI241" i="2"/>
  <c r="CI228" i="2"/>
  <c r="HS206" i="2" s="1"/>
  <c r="CI236" i="2"/>
  <c r="CI234" i="2"/>
  <c r="CI240" i="2"/>
  <c r="CI230" i="2"/>
  <c r="CI244" i="2"/>
  <c r="CI229" i="2"/>
  <c r="HS200" i="2" s="1"/>
  <c r="CI235" i="2"/>
  <c r="CI239" i="2"/>
  <c r="CI233" i="2"/>
  <c r="AZ248" i="2"/>
  <c r="DH260" i="2"/>
  <c r="DH267" i="2"/>
  <c r="DH262" i="2"/>
  <c r="DH265" i="2"/>
  <c r="DH255" i="2"/>
  <c r="DH261" i="2"/>
  <c r="DH249" i="2"/>
  <c r="DH251" i="2"/>
  <c r="DH257" i="2"/>
  <c r="DH266" i="2"/>
  <c r="DH254" i="2"/>
  <c r="DH248" i="2"/>
  <c r="DH256" i="2"/>
  <c r="DH246" i="2"/>
  <c r="DH244" i="2"/>
  <c r="DH240" i="2"/>
  <c r="DH245" i="2"/>
  <c r="DH250" i="2"/>
  <c r="IR240" i="2" s="1"/>
  <c r="DH241" i="2"/>
  <c r="DH228" i="2"/>
  <c r="IR206" i="2" s="1"/>
  <c r="DH236" i="2"/>
  <c r="DH234" i="2"/>
  <c r="DH230" i="2"/>
  <c r="DH233" i="2"/>
  <c r="DH239" i="2"/>
  <c r="DH229" i="2"/>
  <c r="IR200" i="2" s="1"/>
  <c r="DH235" i="2"/>
  <c r="CR261" i="2"/>
  <c r="CR266" i="2"/>
  <c r="CR260" i="2"/>
  <c r="CR267" i="2"/>
  <c r="CR262" i="2"/>
  <c r="CR250" i="2"/>
  <c r="IB240" i="2" s="1"/>
  <c r="CR256" i="2"/>
  <c r="CR246" i="2"/>
  <c r="CR255" i="2"/>
  <c r="CR249" i="2"/>
  <c r="CR265" i="2"/>
  <c r="CR251" i="2"/>
  <c r="CR248" i="2"/>
  <c r="CR244" i="2"/>
  <c r="CR254" i="2"/>
  <c r="CR257" i="2"/>
  <c r="CR245" i="2"/>
  <c r="CR239" i="2"/>
  <c r="CR235" i="2"/>
  <c r="CR233" i="2"/>
  <c r="CR229" i="2"/>
  <c r="IB200" i="2" s="1"/>
  <c r="CR241" i="2"/>
  <c r="CR228" i="2"/>
  <c r="IB206" i="2" s="1"/>
  <c r="CR240" i="2"/>
  <c r="CR230" i="2"/>
  <c r="CR236" i="2"/>
  <c r="CR234" i="2"/>
  <c r="EC58" i="3"/>
  <c r="EC57" i="3"/>
  <c r="EC55" i="3"/>
  <c r="EC53" i="3"/>
  <c r="EC51" i="3"/>
  <c r="EC50" i="3"/>
  <c r="EC49" i="3"/>
  <c r="EC48" i="3"/>
  <c r="EC59" i="3"/>
  <c r="EC60" i="3"/>
  <c r="EC46" i="3"/>
  <c r="AU129" i="2"/>
  <c r="AU130" i="2" s="1"/>
  <c r="AM248" i="2"/>
  <c r="DK186" i="9"/>
  <c r="DK76" i="9"/>
  <c r="BA48" i="3"/>
  <c r="BA60" i="3"/>
  <c r="BA53" i="3"/>
  <c r="BA46" i="3"/>
  <c r="AD48" i="3"/>
  <c r="AD60" i="3"/>
  <c r="AD46" i="3"/>
  <c r="AD53" i="3"/>
  <c r="BX186" i="9"/>
  <c r="BX76" i="9"/>
  <c r="DJ186" i="9"/>
  <c r="DJ76" i="9"/>
  <c r="DP261" i="2"/>
  <c r="DP266" i="2"/>
  <c r="DP260" i="2"/>
  <c r="DP267" i="2"/>
  <c r="DP262" i="2"/>
  <c r="DP250" i="2"/>
  <c r="IZ240" i="2" s="1"/>
  <c r="DP265" i="2"/>
  <c r="DP256" i="2"/>
  <c r="DP246" i="2"/>
  <c r="DP255" i="2"/>
  <c r="DP249" i="2"/>
  <c r="DP251" i="2"/>
  <c r="DP257" i="2"/>
  <c r="DP244" i="2"/>
  <c r="DP248" i="2"/>
  <c r="DP254" i="2"/>
  <c r="DP239" i="2"/>
  <c r="DP235" i="2"/>
  <c r="DP233" i="2"/>
  <c r="DP229" i="2"/>
  <c r="IZ200" i="2" s="1"/>
  <c r="DP228" i="2"/>
  <c r="IZ206" i="2" s="1"/>
  <c r="DP234" i="2"/>
  <c r="DP240" i="2"/>
  <c r="DP241" i="2"/>
  <c r="DP230" i="2"/>
  <c r="DP245" i="2"/>
  <c r="DP236" i="2"/>
  <c r="DL186" i="9"/>
  <c r="DL76" i="9"/>
  <c r="M248" i="2"/>
  <c r="BV57" i="3"/>
  <c r="BV55" i="3"/>
  <c r="BV53" i="3"/>
  <c r="BV51" i="3"/>
  <c r="BV50" i="3"/>
  <c r="BV49" i="3"/>
  <c r="BV48" i="3"/>
  <c r="BV58" i="3"/>
  <c r="BV46" i="3"/>
  <c r="BV59" i="3"/>
  <c r="BV60" i="3"/>
  <c r="D43" i="8"/>
  <c r="S15" i="8"/>
  <c r="D57" i="8"/>
  <c r="M3" i="8"/>
  <c r="Z68" i="7"/>
  <c r="C46" i="7"/>
  <c r="AF57" i="7"/>
  <c r="AC57" i="7"/>
  <c r="GL57" i="7"/>
  <c r="Z57" i="7"/>
  <c r="AG63" i="7"/>
  <c r="AG62" i="7"/>
  <c r="AG59" i="7"/>
  <c r="AG61" i="7"/>
  <c r="AG64" i="7"/>
  <c r="AG60" i="7"/>
  <c r="AG58" i="7"/>
  <c r="AH62" i="7"/>
  <c r="AH64" i="7"/>
  <c r="AH65" i="7"/>
  <c r="AH60" i="7"/>
  <c r="AH63" i="7"/>
  <c r="AH61" i="7"/>
  <c r="AH59" i="7"/>
  <c r="AH58" i="7"/>
  <c r="BK53" i="3"/>
  <c r="BK60" i="3"/>
  <c r="BK46" i="3"/>
  <c r="BK48" i="3"/>
  <c r="AI64" i="7"/>
  <c r="M53" i="3"/>
  <c r="M48" i="3"/>
  <c r="M46" i="3"/>
  <c r="M60" i="3"/>
  <c r="BW186" i="9"/>
  <c r="BW76" i="9"/>
  <c r="AN53" i="3"/>
  <c r="AN49" i="3"/>
  <c r="AN48" i="3"/>
  <c r="AN60" i="3"/>
  <c r="AN46" i="3"/>
  <c r="EC266" i="2"/>
  <c r="EC260" i="2"/>
  <c r="EC267" i="2"/>
  <c r="EC262" i="2"/>
  <c r="EC256" i="2"/>
  <c r="EC246" i="2"/>
  <c r="EC255" i="2"/>
  <c r="EC249" i="2"/>
  <c r="EC251" i="2"/>
  <c r="EC257" i="2"/>
  <c r="EC250" i="2"/>
  <c r="JM240" i="2" s="1"/>
  <c r="EC248" i="2"/>
  <c r="EC244" i="2"/>
  <c r="EC261" i="2"/>
  <c r="EC254" i="2"/>
  <c r="EC265" i="2"/>
  <c r="EC239" i="2"/>
  <c r="EC235" i="2"/>
  <c r="EC233" i="2"/>
  <c r="EC229" i="2"/>
  <c r="JM200" i="2" s="1"/>
  <c r="EC245" i="2"/>
  <c r="EC228" i="2"/>
  <c r="JM206" i="2" s="1"/>
  <c r="EC236" i="2"/>
  <c r="EC234" i="2"/>
  <c r="EC240" i="2"/>
  <c r="EC241" i="2"/>
  <c r="EC230" i="2"/>
  <c r="BL47" i="2"/>
  <c r="AB53" i="3"/>
  <c r="AB48" i="3"/>
  <c r="AB60" i="3"/>
  <c r="AB46" i="3"/>
  <c r="DV50" i="3"/>
  <c r="DV49" i="3"/>
  <c r="DV48" i="3"/>
  <c r="DV46" i="3"/>
  <c r="DV60" i="3"/>
  <c r="DV59" i="3"/>
  <c r="DV58" i="3"/>
  <c r="DV55" i="3"/>
  <c r="DV57" i="3"/>
  <c r="DV53" i="3"/>
  <c r="DV51" i="3"/>
  <c r="CN265" i="2"/>
  <c r="CN261" i="2"/>
  <c r="CN266" i="2"/>
  <c r="CN260" i="2"/>
  <c r="CN257" i="2"/>
  <c r="CN262" i="2"/>
  <c r="CN254" i="2"/>
  <c r="CN248" i="2"/>
  <c r="CN267" i="2"/>
  <c r="CN250" i="2"/>
  <c r="HX240" i="2" s="1"/>
  <c r="CN256" i="2"/>
  <c r="CN246" i="2"/>
  <c r="CN251" i="2"/>
  <c r="CN245" i="2"/>
  <c r="CN236" i="2"/>
  <c r="CN234" i="2"/>
  <c r="CN240" i="2"/>
  <c r="CN230" i="2"/>
  <c r="CN255" i="2"/>
  <c r="CN249" i="2"/>
  <c r="CN244" i="2"/>
  <c r="CN239" i="2"/>
  <c r="CN235" i="2"/>
  <c r="CN233" i="2"/>
  <c r="CN229" i="2"/>
  <c r="HX200" i="2" s="1"/>
  <c r="CN241" i="2"/>
  <c r="CN228" i="2"/>
  <c r="HX206" i="2" s="1"/>
  <c r="CK186" i="9"/>
  <c r="CK76" i="9"/>
  <c r="CX186" i="9"/>
  <c r="CX76" i="9"/>
  <c r="CZ186" i="9"/>
  <c r="CZ76" i="9"/>
  <c r="DK49" i="3"/>
  <c r="DK48" i="3"/>
  <c r="DK46" i="3"/>
  <c r="DK60" i="3"/>
  <c r="DK59" i="3"/>
  <c r="DK58" i="3"/>
  <c r="DK57" i="3"/>
  <c r="DK53" i="3"/>
  <c r="DK55" i="3"/>
  <c r="DK51" i="3"/>
  <c r="DK50" i="3"/>
  <c r="CG58" i="3"/>
  <c r="CG57" i="3"/>
  <c r="CG55" i="3"/>
  <c r="CG53" i="3"/>
  <c r="CG51" i="3"/>
  <c r="CG50" i="3"/>
  <c r="CG49" i="3"/>
  <c r="CG48" i="3"/>
  <c r="CG59" i="3"/>
  <c r="CG46" i="3"/>
  <c r="CG60" i="3"/>
  <c r="DA265" i="2"/>
  <c r="DA261" i="2"/>
  <c r="DA266" i="2"/>
  <c r="DA267" i="2"/>
  <c r="DA262" i="2"/>
  <c r="DA254" i="2"/>
  <c r="DA260" i="2"/>
  <c r="DA248" i="2"/>
  <c r="DA250" i="2"/>
  <c r="IK240" i="2" s="1"/>
  <c r="DA256" i="2"/>
  <c r="DA246" i="2"/>
  <c r="DA245" i="2"/>
  <c r="DA251" i="2"/>
  <c r="DA241" i="2"/>
  <c r="DA255" i="2"/>
  <c r="DA249" i="2"/>
  <c r="DA244" i="2"/>
  <c r="DA257" i="2"/>
  <c r="DA240" i="2"/>
  <c r="DA230" i="2"/>
  <c r="DA239" i="2"/>
  <c r="DA235" i="2"/>
  <c r="DA233" i="2"/>
  <c r="DA229" i="2"/>
  <c r="IK200" i="2" s="1"/>
  <c r="DA228" i="2"/>
  <c r="IK206" i="2" s="1"/>
  <c r="DA236" i="2"/>
  <c r="DA234" i="2"/>
  <c r="DT53" i="3"/>
  <c r="DT51" i="3"/>
  <c r="DT50" i="3"/>
  <c r="DT49" i="3"/>
  <c r="DT48" i="3"/>
  <c r="DT46" i="3"/>
  <c r="DT60" i="3"/>
  <c r="DT59" i="3"/>
  <c r="DT55" i="3"/>
  <c r="DT57" i="3"/>
  <c r="DT58" i="3"/>
  <c r="AG60" i="3"/>
  <c r="AG53" i="3"/>
  <c r="AG46" i="3"/>
  <c r="AG48" i="3"/>
  <c r="Z248" i="2"/>
  <c r="ED57" i="3"/>
  <c r="ED55" i="3"/>
  <c r="ED53" i="3"/>
  <c r="ED51" i="3"/>
  <c r="ED50" i="3"/>
  <c r="ED49" i="3"/>
  <c r="ED48" i="3"/>
  <c r="ED60" i="3"/>
  <c r="ED46" i="3"/>
  <c r="ED58" i="3"/>
  <c r="ED59" i="3"/>
  <c r="BP248" i="2"/>
  <c r="AB248" i="2"/>
  <c r="CV53" i="3"/>
  <c r="CV51" i="3"/>
  <c r="CV50" i="3"/>
  <c r="CV49" i="3"/>
  <c r="CV48" i="3"/>
  <c r="CV46" i="3"/>
  <c r="CV60" i="3"/>
  <c r="CV55" i="3"/>
  <c r="CV57" i="3"/>
  <c r="CV58" i="3"/>
  <c r="CV59" i="3"/>
  <c r="AH248" i="2"/>
  <c r="DY265" i="2"/>
  <c r="DY261" i="2"/>
  <c r="DY266" i="2"/>
  <c r="DY267" i="2"/>
  <c r="DY262" i="2"/>
  <c r="DY254" i="2"/>
  <c r="DY248" i="2"/>
  <c r="DY250" i="2"/>
  <c r="JI240" i="2" s="1"/>
  <c r="DY256" i="2"/>
  <c r="DY260" i="2"/>
  <c r="DY246" i="2"/>
  <c r="DY255" i="2"/>
  <c r="DY249" i="2"/>
  <c r="DY257" i="2"/>
  <c r="DY245" i="2"/>
  <c r="DY241" i="2"/>
  <c r="DY244" i="2"/>
  <c r="DY230" i="2"/>
  <c r="DY240" i="2"/>
  <c r="DY239" i="2"/>
  <c r="DY235" i="2"/>
  <c r="DY233" i="2"/>
  <c r="DY229" i="2"/>
  <c r="JI200" i="2" s="1"/>
  <c r="DY251" i="2"/>
  <c r="DY234" i="2"/>
  <c r="DY228" i="2"/>
  <c r="JI206" i="2" s="1"/>
  <c r="DY236" i="2"/>
  <c r="DU186" i="9"/>
  <c r="DU76" i="9"/>
  <c r="DJ50" i="3"/>
  <c r="DJ49" i="3"/>
  <c r="DJ48" i="3"/>
  <c r="DJ60" i="3"/>
  <c r="DJ59" i="3"/>
  <c r="DJ58" i="3"/>
  <c r="DJ51" i="3"/>
  <c r="DJ53" i="3"/>
  <c r="DJ46" i="3"/>
  <c r="DJ55" i="3"/>
  <c r="DJ57" i="3"/>
  <c r="DG186" i="9"/>
  <c r="DG76" i="9"/>
  <c r="AR248" i="2"/>
  <c r="AV129" i="2"/>
  <c r="AV130" i="2" s="1"/>
  <c r="DS260" i="2"/>
  <c r="DS267" i="2"/>
  <c r="DS262" i="2"/>
  <c r="DS265" i="2"/>
  <c r="DS266" i="2"/>
  <c r="DS261" i="2"/>
  <c r="DS246" i="2"/>
  <c r="DS255" i="2"/>
  <c r="DS249" i="2"/>
  <c r="DS251" i="2"/>
  <c r="DS257" i="2"/>
  <c r="DS254" i="2"/>
  <c r="DS248" i="2"/>
  <c r="DS250" i="2"/>
  <c r="JC240" i="2" s="1"/>
  <c r="DS245" i="2"/>
  <c r="DS256" i="2"/>
  <c r="DS228" i="2"/>
  <c r="JC206" i="2" s="1"/>
  <c r="DS236" i="2"/>
  <c r="DS234" i="2"/>
  <c r="DS241" i="2"/>
  <c r="DS230" i="2"/>
  <c r="DS244" i="2"/>
  <c r="DS240" i="2"/>
  <c r="DS229" i="2"/>
  <c r="JC200" i="2" s="1"/>
  <c r="DS235" i="2"/>
  <c r="DS239" i="2"/>
  <c r="DS233" i="2"/>
  <c r="DA11" i="7"/>
  <c r="CR138" i="7"/>
  <c r="E267" i="10" s="1"/>
  <c r="CV186" i="9"/>
  <c r="CV76" i="9"/>
  <c r="BJ248" i="2"/>
  <c r="BI248" i="2"/>
  <c r="S4" i="5"/>
  <c r="AL248" i="2"/>
  <c r="W60" i="3"/>
  <c r="W53" i="3"/>
  <c r="W48" i="3"/>
  <c r="W46" i="3"/>
  <c r="DD186" i="9"/>
  <c r="DD76" i="9"/>
  <c r="AH47" i="2"/>
  <c r="CQ261" i="2"/>
  <c r="CQ266" i="2"/>
  <c r="CQ265" i="2"/>
  <c r="CQ267" i="2"/>
  <c r="CQ250" i="2"/>
  <c r="IA240" i="2" s="1"/>
  <c r="CQ256" i="2"/>
  <c r="CQ260" i="2"/>
  <c r="CQ246" i="2"/>
  <c r="CQ255" i="2"/>
  <c r="CQ249" i="2"/>
  <c r="CQ257" i="2"/>
  <c r="CQ245" i="2"/>
  <c r="CQ241" i="2"/>
  <c r="CQ248" i="2"/>
  <c r="CQ244" i="2"/>
  <c r="CQ254" i="2"/>
  <c r="CQ251" i="2"/>
  <c r="CQ239" i="2"/>
  <c r="CQ235" i="2"/>
  <c r="CQ233" i="2"/>
  <c r="CQ229" i="2"/>
  <c r="IA200" i="2" s="1"/>
  <c r="CQ262" i="2"/>
  <c r="CQ240" i="2"/>
  <c r="CQ230" i="2"/>
  <c r="CQ228" i="2"/>
  <c r="IA206" i="2" s="1"/>
  <c r="CQ236" i="2"/>
  <c r="CQ234" i="2"/>
  <c r="AC129" i="2"/>
  <c r="AC130" i="2" s="1"/>
  <c r="CJ260" i="2"/>
  <c r="CJ267" i="2"/>
  <c r="CJ262" i="2"/>
  <c r="CJ265" i="2"/>
  <c r="CJ255" i="2"/>
  <c r="CJ249" i="2"/>
  <c r="CJ251" i="2"/>
  <c r="CJ257" i="2"/>
  <c r="CJ254" i="2"/>
  <c r="CJ248" i="2"/>
  <c r="CJ266" i="2"/>
  <c r="CJ244" i="2"/>
  <c r="CJ250" i="2"/>
  <c r="HT240" i="2" s="1"/>
  <c r="CJ245" i="2"/>
  <c r="CJ261" i="2"/>
  <c r="CJ256" i="2"/>
  <c r="CJ228" i="2"/>
  <c r="HT206" i="2" s="1"/>
  <c r="CJ236" i="2"/>
  <c r="CJ234" i="2"/>
  <c r="CJ240" i="2"/>
  <c r="CJ230" i="2"/>
  <c r="CJ246" i="2"/>
  <c r="CJ229" i="2"/>
  <c r="HT200" i="2" s="1"/>
  <c r="CJ235" i="2"/>
  <c r="CJ241" i="2"/>
  <c r="CJ233" i="2"/>
  <c r="CJ239" i="2"/>
  <c r="DN186" i="9"/>
  <c r="DN76" i="9"/>
  <c r="DO186" i="9"/>
  <c r="DO76" i="9"/>
  <c r="DR57" i="3"/>
  <c r="DR55" i="3"/>
  <c r="DR53" i="3"/>
  <c r="DR51" i="3"/>
  <c r="DR50" i="3"/>
  <c r="DR49" i="3"/>
  <c r="DR48" i="3"/>
  <c r="DR58" i="3"/>
  <c r="DR59" i="3"/>
  <c r="DR60" i="3"/>
  <c r="DR46" i="3"/>
  <c r="EI49" i="3"/>
  <c r="EI48" i="3"/>
  <c r="EI46" i="3"/>
  <c r="EI60" i="3"/>
  <c r="EI59" i="3"/>
  <c r="EI58" i="3"/>
  <c r="EI57" i="3"/>
  <c r="EI50" i="3"/>
  <c r="EI51" i="3"/>
  <c r="EI53" i="3"/>
  <c r="EI55" i="3"/>
  <c r="Z53" i="3"/>
  <c r="Z48" i="3"/>
  <c r="Z60" i="3"/>
  <c r="Z46" i="3"/>
  <c r="CT186" i="9"/>
  <c r="CT76" i="9"/>
  <c r="CL186" i="9"/>
  <c r="CL76" i="9"/>
  <c r="DX265" i="2"/>
  <c r="DX261" i="2"/>
  <c r="DX266" i="2"/>
  <c r="DX260" i="2"/>
  <c r="DX257" i="2"/>
  <c r="DX254" i="2"/>
  <c r="DX248" i="2"/>
  <c r="DX262" i="2"/>
  <c r="DX250" i="2"/>
  <c r="JH240" i="2" s="1"/>
  <c r="DX256" i="2"/>
  <c r="DX267" i="2"/>
  <c r="DX246" i="2"/>
  <c r="DX251" i="2"/>
  <c r="DX245" i="2"/>
  <c r="DX236" i="2"/>
  <c r="DX234" i="2"/>
  <c r="DX241" i="2"/>
  <c r="DX230" i="2"/>
  <c r="DX240" i="2"/>
  <c r="DX244" i="2"/>
  <c r="DX239" i="2"/>
  <c r="DX235" i="2"/>
  <c r="DX233" i="2"/>
  <c r="DX229" i="2"/>
  <c r="JH200" i="2" s="1"/>
  <c r="DX255" i="2"/>
  <c r="DX249" i="2"/>
  <c r="DX228" i="2"/>
  <c r="JH206" i="2" s="1"/>
  <c r="AM53" i="3"/>
  <c r="AM48" i="3"/>
  <c r="AM46" i="3"/>
  <c r="AM60" i="3"/>
  <c r="BB248" i="2"/>
  <c r="CD261" i="2"/>
  <c r="CD266" i="2"/>
  <c r="CD248" i="2"/>
  <c r="CD250" i="2"/>
  <c r="HN240" i="2" s="1"/>
  <c r="CD262" i="2"/>
  <c r="CD256" i="2"/>
  <c r="CD267" i="2"/>
  <c r="CD246" i="2"/>
  <c r="CD255" i="2"/>
  <c r="CD260" i="2"/>
  <c r="CD251" i="2"/>
  <c r="CD249" i="2"/>
  <c r="CD257" i="2"/>
  <c r="CD244" i="2"/>
  <c r="CD254" i="2"/>
  <c r="CD241" i="2"/>
  <c r="CD239" i="2"/>
  <c r="CD235" i="2"/>
  <c r="CD233" i="2"/>
  <c r="CD229" i="2"/>
  <c r="HN200" i="2" s="1"/>
  <c r="CD245" i="2"/>
  <c r="CD236" i="2"/>
  <c r="CD240" i="2"/>
  <c r="CD265" i="2"/>
  <c r="CD230" i="2"/>
  <c r="CD228" i="2"/>
  <c r="HN206" i="2" s="1"/>
  <c r="CD234" i="2"/>
  <c r="EE55" i="3"/>
  <c r="EE53" i="3"/>
  <c r="EE51" i="3"/>
  <c r="EE50" i="3"/>
  <c r="EE49" i="3"/>
  <c r="EE48" i="3"/>
  <c r="EE60" i="3"/>
  <c r="EE46" i="3"/>
  <c r="EE57" i="3"/>
  <c r="EE58" i="3"/>
  <c r="EE59" i="3"/>
  <c r="EF260" i="2"/>
  <c r="EF267" i="2"/>
  <c r="EF262" i="2"/>
  <c r="EF265" i="2"/>
  <c r="EF255" i="2"/>
  <c r="EF249" i="2"/>
  <c r="EF251" i="2"/>
  <c r="EF257" i="2"/>
  <c r="EF254" i="2"/>
  <c r="EF248" i="2"/>
  <c r="EF244" i="2"/>
  <c r="EF261" i="2"/>
  <c r="EF256" i="2"/>
  <c r="EF240" i="2"/>
  <c r="EF246" i="2"/>
  <c r="EF245" i="2"/>
  <c r="EF266" i="2"/>
  <c r="EF228" i="2"/>
  <c r="JP206" i="2" s="1"/>
  <c r="EF236" i="2"/>
  <c r="EF234" i="2"/>
  <c r="EF230" i="2"/>
  <c r="EF241" i="2"/>
  <c r="EF235" i="2"/>
  <c r="EF233" i="2"/>
  <c r="EF239" i="2"/>
  <c r="EF250" i="2"/>
  <c r="JP240" i="2" s="1"/>
  <c r="EF229" i="2"/>
  <c r="JP200" i="2" s="1"/>
  <c r="DF186" i="9"/>
  <c r="DF76" i="9"/>
  <c r="EK265" i="2"/>
  <c r="EK261" i="2"/>
  <c r="EK266" i="2"/>
  <c r="EK267" i="2"/>
  <c r="EK262" i="2"/>
  <c r="EK254" i="2"/>
  <c r="EK260" i="2"/>
  <c r="EK248" i="2"/>
  <c r="EK250" i="2"/>
  <c r="JU240" i="2" s="1"/>
  <c r="EK256" i="2"/>
  <c r="EK246" i="2"/>
  <c r="EK245" i="2"/>
  <c r="EK251" i="2"/>
  <c r="EK241" i="2"/>
  <c r="EK255" i="2"/>
  <c r="EK249" i="2"/>
  <c r="EK244" i="2"/>
  <c r="EK230" i="2"/>
  <c r="EK240" i="2"/>
  <c r="EK239" i="2"/>
  <c r="EK235" i="2"/>
  <c r="EK233" i="2"/>
  <c r="EK229" i="2"/>
  <c r="JU200" i="2" s="1"/>
  <c r="EK228" i="2"/>
  <c r="JU206" i="2" s="1"/>
  <c r="EK236" i="2"/>
  <c r="EK257" i="2"/>
  <c r="EK234" i="2"/>
  <c r="AP129" i="2"/>
  <c r="AP130" i="2" s="1"/>
  <c r="DZ46" i="3"/>
  <c r="DZ60" i="3"/>
  <c r="DZ59" i="3"/>
  <c r="DZ58" i="3"/>
  <c r="DZ57" i="3"/>
  <c r="DZ55" i="3"/>
  <c r="DZ53" i="3"/>
  <c r="DZ51" i="3"/>
  <c r="DZ50" i="3"/>
  <c r="DZ48" i="3"/>
  <c r="DZ49" i="3"/>
  <c r="CJ53" i="3"/>
  <c r="CJ51" i="3"/>
  <c r="CJ50" i="3"/>
  <c r="CJ49" i="3"/>
  <c r="CJ48" i="3"/>
  <c r="CJ46" i="3"/>
  <c r="CJ60" i="3"/>
  <c r="CJ59" i="3"/>
  <c r="CJ55" i="3"/>
  <c r="CJ57" i="3"/>
  <c r="CJ58" i="3"/>
  <c r="BO248" i="2"/>
  <c r="AI60" i="7"/>
  <c r="BM48" i="3"/>
  <c r="BM60" i="3"/>
  <c r="BM46" i="3"/>
  <c r="BM53" i="3"/>
  <c r="DC261" i="2"/>
  <c r="DC266" i="2"/>
  <c r="DC265" i="2"/>
  <c r="DC250" i="2"/>
  <c r="IM240" i="2" s="1"/>
  <c r="DC256" i="2"/>
  <c r="DC246" i="2"/>
  <c r="DC255" i="2"/>
  <c r="DC249" i="2"/>
  <c r="DC245" i="2"/>
  <c r="DC248" i="2"/>
  <c r="DC254" i="2"/>
  <c r="DC251" i="2"/>
  <c r="DC241" i="2"/>
  <c r="DC244" i="2"/>
  <c r="DC262" i="2"/>
  <c r="DC257" i="2"/>
  <c r="DC260" i="2"/>
  <c r="DC239" i="2"/>
  <c r="DC235" i="2"/>
  <c r="DC233" i="2"/>
  <c r="DC229" i="2"/>
  <c r="IM200" i="2" s="1"/>
  <c r="DC267" i="2"/>
  <c r="DC228" i="2"/>
  <c r="IM206" i="2" s="1"/>
  <c r="DC230" i="2"/>
  <c r="DC236" i="2"/>
  <c r="DC234" i="2"/>
  <c r="DC240" i="2"/>
  <c r="AT248" i="2"/>
  <c r="BL248" i="2"/>
  <c r="CN186" i="9"/>
  <c r="CN76" i="9"/>
  <c r="CB265" i="2"/>
  <c r="CB261" i="2"/>
  <c r="CB266" i="2"/>
  <c r="CB260" i="2"/>
  <c r="CB257" i="2"/>
  <c r="CB254" i="2"/>
  <c r="CB248" i="2"/>
  <c r="CB262" i="2"/>
  <c r="CB250" i="2"/>
  <c r="HL240" i="2" s="1"/>
  <c r="CB256" i="2"/>
  <c r="CB267" i="2"/>
  <c r="CB246" i="2"/>
  <c r="CB245" i="2"/>
  <c r="CB251" i="2"/>
  <c r="CB255" i="2"/>
  <c r="CB249" i="2"/>
  <c r="CB236" i="2"/>
  <c r="CB234" i="2"/>
  <c r="CB240" i="2"/>
  <c r="CB230" i="2"/>
  <c r="CB241" i="2"/>
  <c r="CB239" i="2"/>
  <c r="CB235" i="2"/>
  <c r="CB233" i="2"/>
  <c r="CB229" i="2"/>
  <c r="HL200" i="2" s="1"/>
  <c r="CB228" i="2"/>
  <c r="HL206" i="2" s="1"/>
  <c r="CB244" i="2"/>
  <c r="DE266" i="2"/>
  <c r="DE260" i="2"/>
  <c r="DE267" i="2"/>
  <c r="DE262" i="2"/>
  <c r="DE256" i="2"/>
  <c r="DE246" i="2"/>
  <c r="DE265" i="2"/>
  <c r="DE261" i="2"/>
  <c r="DE255" i="2"/>
  <c r="DE249" i="2"/>
  <c r="DE251" i="2"/>
  <c r="DE257" i="2"/>
  <c r="DE250" i="2"/>
  <c r="IO240" i="2" s="1"/>
  <c r="DE248" i="2"/>
  <c r="DE254" i="2"/>
  <c r="DE244" i="2"/>
  <c r="DE239" i="2"/>
  <c r="DE235" i="2"/>
  <c r="DE233" i="2"/>
  <c r="DE229" i="2"/>
  <c r="IO200" i="2" s="1"/>
  <c r="DE241" i="2"/>
  <c r="DE228" i="2"/>
  <c r="IO206" i="2" s="1"/>
  <c r="DE236" i="2"/>
  <c r="DE234" i="2"/>
  <c r="DE245" i="2"/>
  <c r="DE240" i="2"/>
  <c r="DE230" i="2"/>
  <c r="CH47" i="2"/>
  <c r="DX48" i="3"/>
  <c r="DX46" i="3"/>
  <c r="DX60" i="3"/>
  <c r="DX59" i="3"/>
  <c r="DX58" i="3"/>
  <c r="DX57" i="3"/>
  <c r="DX55" i="3"/>
  <c r="DX49" i="3"/>
  <c r="DX50" i="3"/>
  <c r="DX51" i="3"/>
  <c r="DX53" i="3"/>
  <c r="CM186" i="9"/>
  <c r="CM76" i="9"/>
  <c r="BE47" i="2"/>
  <c r="AZ50" i="3" s="1"/>
  <c r="BT248" i="2"/>
  <c r="CA267" i="2"/>
  <c r="CA262" i="2"/>
  <c r="CA265" i="2"/>
  <c r="CA261" i="2"/>
  <c r="CA266" i="2"/>
  <c r="CA251" i="2"/>
  <c r="CA257" i="2"/>
  <c r="CA254" i="2"/>
  <c r="CA248" i="2"/>
  <c r="CA250" i="2"/>
  <c r="HK240" i="2" s="1"/>
  <c r="CA256" i="2"/>
  <c r="CA260" i="2"/>
  <c r="CA245" i="2"/>
  <c r="CA255" i="2"/>
  <c r="CA249" i="2"/>
  <c r="CA228" i="2"/>
  <c r="HK206" i="2" s="1"/>
  <c r="CA236" i="2"/>
  <c r="CA234" i="2"/>
  <c r="CA240" i="2"/>
  <c r="CA230" i="2"/>
  <c r="CA241" i="2"/>
  <c r="CA239" i="2"/>
  <c r="CA235" i="2"/>
  <c r="CA233" i="2"/>
  <c r="CA229" i="2"/>
  <c r="HK200" i="2" s="1"/>
  <c r="CA246" i="2"/>
  <c r="CA244" i="2"/>
  <c r="AO48" i="3"/>
  <c r="AO60" i="3"/>
  <c r="AO46" i="3"/>
  <c r="AO53" i="3"/>
  <c r="BQ248" i="2"/>
  <c r="G125" i="2"/>
  <c r="H125" i="2"/>
  <c r="I126" i="2"/>
  <c r="H126" i="2"/>
  <c r="EG125" i="2"/>
  <c r="EG126" i="2" s="1"/>
  <c r="EG128" i="2" s="1"/>
  <c r="CI125" i="2"/>
  <c r="CI126" i="2" s="1"/>
  <c r="CI128" i="2" s="1"/>
  <c r="BT125" i="2"/>
  <c r="BT126" i="2" s="1"/>
  <c r="BT128" i="2" s="1"/>
  <c r="BU125" i="2"/>
  <c r="BU126" i="2" s="1"/>
  <c r="BU128" i="2" s="1"/>
  <c r="EJ125" i="2"/>
  <c r="EJ126" i="2" s="1"/>
  <c r="EJ128" i="2" s="1"/>
  <c r="BF125" i="2"/>
  <c r="BF126" i="2" s="1"/>
  <c r="BF128" i="2" s="1"/>
  <c r="DN125" i="2"/>
  <c r="DN126" i="2" s="1"/>
  <c r="DN128" i="2" s="1"/>
  <c r="BX125" i="2"/>
  <c r="BX126" i="2" s="1"/>
  <c r="BX128" i="2" s="1"/>
  <c r="EA125" i="2"/>
  <c r="EA126" i="2" s="1"/>
  <c r="EA128" i="2" s="1"/>
  <c r="BY125" i="2"/>
  <c r="BY126" i="2" s="1"/>
  <c r="BY128" i="2" s="1"/>
  <c r="DO125" i="2"/>
  <c r="DO126" i="2" s="1"/>
  <c r="DO128" i="2" s="1"/>
  <c r="DM125" i="2"/>
  <c r="DM126" i="2" s="1"/>
  <c r="DM128" i="2" s="1"/>
  <c r="EC125" i="2"/>
  <c r="EC126" i="2" s="1"/>
  <c r="EC128" i="2" s="1"/>
  <c r="CQ125" i="2"/>
  <c r="CQ126" i="2" s="1"/>
  <c r="CQ128" i="2" s="1"/>
  <c r="BK125" i="2"/>
  <c r="BK126" i="2" s="1"/>
  <c r="BK128" i="2" s="1"/>
  <c r="BE125" i="2"/>
  <c r="BE126" i="2" s="1"/>
  <c r="BE128" i="2" s="1"/>
  <c r="DV125" i="2"/>
  <c r="DV126" i="2" s="1"/>
  <c r="DV128" i="2" s="1"/>
  <c r="CX125" i="2"/>
  <c r="CX126" i="2" s="1"/>
  <c r="CX128" i="2" s="1"/>
  <c r="CD125" i="2"/>
  <c r="CD126" i="2" s="1"/>
  <c r="CD128" i="2" s="1"/>
  <c r="DC125" i="2"/>
  <c r="DC126" i="2" s="1"/>
  <c r="DC128" i="2" s="1"/>
  <c r="CC125" i="2"/>
  <c r="CC126" i="2" s="1"/>
  <c r="CC128" i="2" s="1"/>
  <c r="DY125" i="2"/>
  <c r="DY126" i="2" s="1"/>
  <c r="DY128" i="2" s="1"/>
  <c r="BW125" i="2"/>
  <c r="BW126" i="2" s="1"/>
  <c r="BW128" i="2" s="1"/>
  <c r="BG125" i="2"/>
  <c r="BG126" i="2" s="1"/>
  <c r="BG128" i="2" s="1"/>
  <c r="CO125" i="2"/>
  <c r="CO126" i="2" s="1"/>
  <c r="CO128" i="2" s="1"/>
  <c r="BR125" i="2"/>
  <c r="BR126" i="2" s="1"/>
  <c r="BR128" i="2" s="1"/>
  <c r="BQ125" i="2"/>
  <c r="BQ126" i="2" s="1"/>
  <c r="BQ128" i="2" s="1"/>
  <c r="EM125" i="2"/>
  <c r="EM126" i="2" s="1"/>
  <c r="EM128" i="2" s="1"/>
  <c r="CU125" i="2"/>
  <c r="CU126" i="2" s="1"/>
  <c r="CU128" i="2" s="1"/>
  <c r="EB125" i="2"/>
  <c r="EB126" i="2" s="1"/>
  <c r="EB128" i="2" s="1"/>
  <c r="BC125" i="2"/>
  <c r="BC126" i="2" s="1"/>
  <c r="BC128" i="2" s="1"/>
  <c r="DA125" i="2"/>
  <c r="DA126" i="2" s="1"/>
  <c r="DA128" i="2" s="1"/>
  <c r="CA125" i="2"/>
  <c r="CA126" i="2" s="1"/>
  <c r="CA128" i="2" s="1"/>
  <c r="BO125" i="2"/>
  <c r="BO126" i="2" s="1"/>
  <c r="BO128" i="2" s="1"/>
  <c r="DH125" i="2"/>
  <c r="DH126" i="2" s="1"/>
  <c r="DH128" i="2" s="1"/>
  <c r="CV125" i="2"/>
  <c r="CV126" i="2" s="1"/>
  <c r="CV128" i="2" s="1"/>
  <c r="BV125" i="2"/>
  <c r="BV126" i="2" s="1"/>
  <c r="BV128" i="2" s="1"/>
  <c r="CK125" i="2"/>
  <c r="CK126" i="2" s="1"/>
  <c r="CK128" i="2" s="1"/>
  <c r="CP125" i="2"/>
  <c r="CP126" i="2" s="1"/>
  <c r="CP128" i="2" s="1"/>
  <c r="EI125" i="2"/>
  <c r="EI126" i="2" s="1"/>
  <c r="EI128" i="2" s="1"/>
  <c r="CR125" i="2"/>
  <c r="CR126" i="2" s="1"/>
  <c r="CR128" i="2" s="1"/>
  <c r="CH125" i="2"/>
  <c r="CH126" i="2" s="1"/>
  <c r="CH128" i="2" s="1"/>
  <c r="EL125" i="2"/>
  <c r="EL126" i="2" s="1"/>
  <c r="EL128" i="2" s="1"/>
  <c r="DP125" i="2"/>
  <c r="DP126" i="2" s="1"/>
  <c r="DP128" i="2" s="1"/>
  <c r="DJ125" i="2"/>
  <c r="DJ126" i="2" s="1"/>
  <c r="DJ128" i="2" s="1"/>
  <c r="BN125" i="2"/>
  <c r="BN126" i="2" s="1"/>
  <c r="BN128" i="2" s="1"/>
  <c r="DQ125" i="2"/>
  <c r="DQ126" i="2" s="1"/>
  <c r="DQ128" i="2" s="1"/>
  <c r="AZ125" i="2"/>
  <c r="AZ126" i="2" s="1"/>
  <c r="AZ128" i="2" s="1"/>
  <c r="DI125" i="2"/>
  <c r="DI126" i="2" s="1"/>
  <c r="DI128" i="2" s="1"/>
  <c r="DG125" i="2"/>
  <c r="DG126" i="2" s="1"/>
  <c r="DG128" i="2" s="1"/>
  <c r="CF125" i="2"/>
  <c r="CF126" i="2" s="1"/>
  <c r="CF128" i="2" s="1"/>
  <c r="CL125" i="2"/>
  <c r="CL126" i="2" s="1"/>
  <c r="CL128" i="2" s="1"/>
  <c r="DS125" i="2"/>
  <c r="DS126" i="2" s="1"/>
  <c r="DS128" i="2" s="1"/>
  <c r="CJ125" i="2"/>
  <c r="CJ126" i="2" s="1"/>
  <c r="CJ128" i="2" s="1"/>
  <c r="CT125" i="2"/>
  <c r="CT126" i="2" s="1"/>
  <c r="CT128" i="2" s="1"/>
  <c r="AX125" i="2"/>
  <c r="AX126" i="2" s="1"/>
  <c r="AX128" i="2" s="1"/>
  <c r="AY125" i="2"/>
  <c r="AY126" i="2" s="1"/>
  <c r="AY128" i="2" s="1"/>
  <c r="CM125" i="2"/>
  <c r="CM126" i="2" s="1"/>
  <c r="CM128" i="2" s="1"/>
  <c r="BL125" i="2"/>
  <c r="BL126" i="2" s="1"/>
  <c r="BL128" i="2" s="1"/>
  <c r="CE125" i="2"/>
  <c r="CE126" i="2" s="1"/>
  <c r="CE128" i="2" s="1"/>
  <c r="DT125" i="2"/>
  <c r="DT126" i="2" s="1"/>
  <c r="DT128" i="2" s="1"/>
  <c r="BA125" i="2"/>
  <c r="BA126" i="2" s="1"/>
  <c r="BA128" i="2" s="1"/>
  <c r="DF125" i="2"/>
  <c r="DF126" i="2" s="1"/>
  <c r="DF128" i="2" s="1"/>
  <c r="BJ125" i="2"/>
  <c r="BJ126" i="2" s="1"/>
  <c r="BJ128" i="2" s="1"/>
  <c r="DK125" i="2"/>
  <c r="DK126" i="2" s="1"/>
  <c r="DK128" i="2" s="1"/>
  <c r="CB125" i="2"/>
  <c r="CB126" i="2" s="1"/>
  <c r="CB128" i="2" s="1"/>
  <c r="BB125" i="2"/>
  <c r="BB126" i="2" s="1"/>
  <c r="BB128" i="2" s="1"/>
  <c r="DR125" i="2"/>
  <c r="DR126" i="2" s="1"/>
  <c r="DR128" i="2" s="1"/>
  <c r="DD125" i="2"/>
  <c r="DD126" i="2" s="1"/>
  <c r="DD128" i="2" s="1"/>
  <c r="EH125" i="2"/>
  <c r="EH126" i="2" s="1"/>
  <c r="EH128" i="2" s="1"/>
  <c r="BS125" i="2"/>
  <c r="BS126" i="2" s="1"/>
  <c r="BS128" i="2" s="1"/>
  <c r="DX125" i="2"/>
  <c r="DX126" i="2" s="1"/>
  <c r="DX128" i="2" s="1"/>
  <c r="CZ125" i="2"/>
  <c r="CZ126" i="2" s="1"/>
  <c r="CZ128" i="2" s="1"/>
  <c r="EN125" i="2"/>
  <c r="EN126" i="2" s="1"/>
  <c r="EN128" i="2" s="1"/>
  <c r="DZ125" i="2"/>
  <c r="DZ126" i="2" s="1"/>
  <c r="DZ128" i="2" s="1"/>
  <c r="CY125" i="2"/>
  <c r="CY126" i="2" s="1"/>
  <c r="CY128" i="2" s="1"/>
  <c r="ED125" i="2"/>
  <c r="ED126" i="2" s="1"/>
  <c r="ED128" i="2" s="1"/>
  <c r="DE125" i="2"/>
  <c r="DE126" i="2" s="1"/>
  <c r="DE128" i="2" s="1"/>
  <c r="BP125" i="2"/>
  <c r="BP126" i="2" s="1"/>
  <c r="BP128" i="2" s="1"/>
  <c r="CW125" i="2"/>
  <c r="CW126" i="2" s="1"/>
  <c r="CW128" i="2" s="1"/>
  <c r="DW125" i="2"/>
  <c r="DW126" i="2" s="1"/>
  <c r="DW128" i="2" s="1"/>
  <c r="CN125" i="2"/>
  <c r="CN126" i="2" s="1"/>
  <c r="CN128" i="2" s="1"/>
  <c r="AW125" i="2"/>
  <c r="AW126" i="2" s="1"/>
  <c r="AW128" i="2" s="1"/>
  <c r="BM125" i="2"/>
  <c r="BM126" i="2" s="1"/>
  <c r="BM128" i="2" s="1"/>
  <c r="BZ125" i="2"/>
  <c r="BZ126" i="2" s="1"/>
  <c r="BZ128" i="2" s="1"/>
  <c r="DL125" i="2"/>
  <c r="DL126" i="2" s="1"/>
  <c r="DL128" i="2" s="1"/>
  <c r="EF125" i="2"/>
  <c r="EF126" i="2" s="1"/>
  <c r="EF128" i="2" s="1"/>
  <c r="CG125" i="2"/>
  <c r="CG126" i="2" s="1"/>
  <c r="CG128" i="2" s="1"/>
  <c r="BD125" i="2"/>
  <c r="BD126" i="2" s="1"/>
  <c r="BD128" i="2" s="1"/>
  <c r="CS125" i="2"/>
  <c r="CS126" i="2" s="1"/>
  <c r="CS128" i="2" s="1"/>
  <c r="EK125" i="2"/>
  <c r="EK126" i="2" s="1"/>
  <c r="EK128" i="2" s="1"/>
  <c r="DU125" i="2"/>
  <c r="DU126" i="2" s="1"/>
  <c r="DU128" i="2" s="1"/>
  <c r="BI125" i="2"/>
  <c r="BI126" i="2" s="1"/>
  <c r="BI128" i="2" s="1"/>
  <c r="EE125" i="2"/>
  <c r="EE126" i="2" s="1"/>
  <c r="EE128" i="2" s="1"/>
  <c r="DB125" i="2"/>
  <c r="DB126" i="2" s="1"/>
  <c r="DB128" i="2" s="1"/>
  <c r="BH125" i="2"/>
  <c r="BH126" i="2" s="1"/>
  <c r="BH128" i="2" s="1"/>
  <c r="BU58" i="3"/>
  <c r="BU57" i="3"/>
  <c r="BU55" i="3"/>
  <c r="BU53" i="3"/>
  <c r="BU51" i="3"/>
  <c r="BU50" i="3"/>
  <c r="BU49" i="3"/>
  <c r="BU48" i="3"/>
  <c r="BU46" i="3"/>
  <c r="BU59" i="3"/>
  <c r="BU60" i="3"/>
  <c r="DP59" i="3"/>
  <c r="DP58" i="3"/>
  <c r="DP57" i="3"/>
  <c r="DP55" i="3"/>
  <c r="DP53" i="3"/>
  <c r="DP51" i="3"/>
  <c r="DP50" i="3"/>
  <c r="DP49" i="3"/>
  <c r="DP46" i="3"/>
  <c r="DP60" i="3"/>
  <c r="DP48" i="3"/>
  <c r="P248" i="2"/>
  <c r="I6" i="6"/>
  <c r="L248" i="2"/>
  <c r="EM261" i="2"/>
  <c r="EM266" i="2"/>
  <c r="EM265" i="2"/>
  <c r="EM267" i="2"/>
  <c r="EM250" i="2"/>
  <c r="JW240" i="2" s="1"/>
  <c r="EM256" i="2"/>
  <c r="EM246" i="2"/>
  <c r="EM255" i="2"/>
  <c r="EM249" i="2"/>
  <c r="EM245" i="2"/>
  <c r="EM248" i="2"/>
  <c r="EM254" i="2"/>
  <c r="EM251" i="2"/>
  <c r="EM241" i="2"/>
  <c r="EM262" i="2"/>
  <c r="EM244" i="2"/>
  <c r="EM257" i="2"/>
  <c r="EM260" i="2"/>
  <c r="EM240" i="2"/>
  <c r="EM239" i="2"/>
  <c r="EM235" i="2"/>
  <c r="EM233" i="2"/>
  <c r="EM229" i="2"/>
  <c r="JW200" i="2" s="1"/>
  <c r="EM230" i="2"/>
  <c r="EM236" i="2"/>
  <c r="EM234" i="2"/>
  <c r="EM228" i="2"/>
  <c r="JW206" i="2" s="1"/>
  <c r="X53" i="3"/>
  <c r="X60" i="3"/>
  <c r="X46" i="3"/>
  <c r="X48" i="3"/>
  <c r="CA186" i="9"/>
  <c r="CA76" i="9"/>
  <c r="AU248" i="2"/>
  <c r="AH129" i="2"/>
  <c r="AH130" i="2" s="1"/>
  <c r="EB261" i="2"/>
  <c r="EB266" i="2"/>
  <c r="EB260" i="2"/>
  <c r="EB267" i="2"/>
  <c r="EB262" i="2"/>
  <c r="EB250" i="2"/>
  <c r="JL240" i="2" s="1"/>
  <c r="EB256" i="2"/>
  <c r="EB246" i="2"/>
  <c r="EB255" i="2"/>
  <c r="EB249" i="2"/>
  <c r="EB251" i="2"/>
  <c r="EB248" i="2"/>
  <c r="EB244" i="2"/>
  <c r="EB254" i="2"/>
  <c r="EB265" i="2"/>
  <c r="EB239" i="2"/>
  <c r="EB235" i="2"/>
  <c r="EB233" i="2"/>
  <c r="EB229" i="2"/>
  <c r="JL200" i="2" s="1"/>
  <c r="EB245" i="2"/>
  <c r="EB228" i="2"/>
  <c r="JL206" i="2" s="1"/>
  <c r="EB240" i="2"/>
  <c r="EB230" i="2"/>
  <c r="EB241" i="2"/>
  <c r="EB236" i="2"/>
  <c r="EB257" i="2"/>
  <c r="EB234" i="2"/>
  <c r="Y53" i="3"/>
  <c r="Y48" i="3"/>
  <c r="Y60" i="3"/>
  <c r="Y46" i="3"/>
  <c r="DC47" i="2"/>
  <c r="CH186" i="9"/>
  <c r="CH76" i="9"/>
  <c r="DD59" i="3"/>
  <c r="DD58" i="3"/>
  <c r="DD57" i="3"/>
  <c r="DD55" i="3"/>
  <c r="DD53" i="3"/>
  <c r="DD51" i="3"/>
  <c r="DD50" i="3"/>
  <c r="DD49" i="3"/>
  <c r="DD60" i="3"/>
  <c r="DD48" i="3"/>
  <c r="DD46" i="3"/>
  <c r="DI260" i="2"/>
  <c r="DI267" i="2"/>
  <c r="DI262" i="2"/>
  <c r="DI265" i="2"/>
  <c r="DI261" i="2"/>
  <c r="DI255" i="2"/>
  <c r="DI249" i="2"/>
  <c r="DI251" i="2"/>
  <c r="DI257" i="2"/>
  <c r="DI266" i="2"/>
  <c r="DI254" i="2"/>
  <c r="DI248" i="2"/>
  <c r="DI250" i="2"/>
  <c r="IS240" i="2" s="1"/>
  <c r="DI245" i="2"/>
  <c r="DI256" i="2"/>
  <c r="DI241" i="2"/>
  <c r="DI228" i="2"/>
  <c r="IS206" i="2" s="1"/>
  <c r="DI236" i="2"/>
  <c r="DI234" i="2"/>
  <c r="DI230" i="2"/>
  <c r="DI240" i="2"/>
  <c r="DI246" i="2"/>
  <c r="DI239" i="2"/>
  <c r="DI229" i="2"/>
  <c r="IS200" i="2" s="1"/>
  <c r="DI244" i="2"/>
  <c r="DI235" i="2"/>
  <c r="DI233" i="2"/>
  <c r="DM265" i="2"/>
  <c r="DM261" i="2"/>
  <c r="DM266" i="2"/>
  <c r="DM267" i="2"/>
  <c r="DM262" i="2"/>
  <c r="DM254" i="2"/>
  <c r="DM248" i="2"/>
  <c r="DM250" i="2"/>
  <c r="IW240" i="2" s="1"/>
  <c r="DM256" i="2"/>
  <c r="DM246" i="2"/>
  <c r="DM245" i="2"/>
  <c r="DM251" i="2"/>
  <c r="DM255" i="2"/>
  <c r="DM249" i="2"/>
  <c r="DM257" i="2"/>
  <c r="DM241" i="2"/>
  <c r="DM244" i="2"/>
  <c r="DM260" i="2"/>
  <c r="DM230" i="2"/>
  <c r="DM240" i="2"/>
  <c r="DM239" i="2"/>
  <c r="DM235" i="2"/>
  <c r="DM233" i="2"/>
  <c r="DM229" i="2"/>
  <c r="IW200" i="2" s="1"/>
  <c r="DM236" i="2"/>
  <c r="DM234" i="2"/>
  <c r="DM228" i="2"/>
  <c r="IW206" i="2" s="1"/>
  <c r="AQ129" i="2"/>
  <c r="AQ130" i="2" s="1"/>
  <c r="BN48" i="3"/>
  <c r="BN60" i="3"/>
  <c r="BN46" i="3"/>
  <c r="BN53" i="3"/>
  <c r="DK267" i="2"/>
  <c r="DK262" i="2"/>
  <c r="DK265" i="2"/>
  <c r="DK261" i="2"/>
  <c r="DK266" i="2"/>
  <c r="DK251" i="2"/>
  <c r="DK257" i="2"/>
  <c r="DK254" i="2"/>
  <c r="DK248" i="2"/>
  <c r="DK250" i="2"/>
  <c r="IU240" i="2" s="1"/>
  <c r="DK256" i="2"/>
  <c r="DK260" i="2"/>
  <c r="DK245" i="2"/>
  <c r="DK255" i="2"/>
  <c r="DK249" i="2"/>
  <c r="DK241" i="2"/>
  <c r="DK228" i="2"/>
  <c r="IU206" i="2" s="1"/>
  <c r="DK236" i="2"/>
  <c r="DK234" i="2"/>
  <c r="DK230" i="2"/>
  <c r="DK240" i="2"/>
  <c r="DK239" i="2"/>
  <c r="DK235" i="2"/>
  <c r="DK233" i="2"/>
  <c r="DK229" i="2"/>
  <c r="IU200" i="2" s="1"/>
  <c r="DK244" i="2"/>
  <c r="DK246" i="2"/>
  <c r="AI129" i="2"/>
  <c r="AI130" i="2" s="1"/>
  <c r="CU260" i="2"/>
  <c r="CU267" i="2"/>
  <c r="CU262" i="2"/>
  <c r="CU265" i="2"/>
  <c r="CU266" i="2"/>
  <c r="CU246" i="2"/>
  <c r="CU255" i="2"/>
  <c r="CU249" i="2"/>
  <c r="CU251" i="2"/>
  <c r="CU257" i="2"/>
  <c r="CU261" i="2"/>
  <c r="CU254" i="2"/>
  <c r="CU248" i="2"/>
  <c r="CU250" i="2"/>
  <c r="IE240" i="2" s="1"/>
  <c r="CU256" i="2"/>
  <c r="CU245" i="2"/>
  <c r="CU241" i="2"/>
  <c r="CU244" i="2"/>
  <c r="CU228" i="2"/>
  <c r="IE206" i="2" s="1"/>
  <c r="CU236" i="2"/>
  <c r="CU234" i="2"/>
  <c r="CU240" i="2"/>
  <c r="CU230" i="2"/>
  <c r="CU235" i="2"/>
  <c r="CU233" i="2"/>
  <c r="CU239" i="2"/>
  <c r="CU229" i="2"/>
  <c r="IE200" i="2" s="1"/>
  <c r="DA186" i="9"/>
  <c r="DA76" i="9"/>
  <c r="I60" i="3"/>
  <c r="I53" i="3"/>
  <c r="I48" i="3"/>
  <c r="I46" i="3"/>
  <c r="S48" i="3"/>
  <c r="S60" i="3"/>
  <c r="S46" i="3"/>
  <c r="S53" i="3"/>
  <c r="AK53" i="3"/>
  <c r="AK48" i="3"/>
  <c r="AK46" i="3"/>
  <c r="AK60" i="3"/>
  <c r="EF53" i="3"/>
  <c r="EF51" i="3"/>
  <c r="EF50" i="3"/>
  <c r="EF49" i="3"/>
  <c r="EF48" i="3"/>
  <c r="EF46" i="3"/>
  <c r="EF60" i="3"/>
  <c r="EF55" i="3"/>
  <c r="EF57" i="3"/>
  <c r="EF58" i="3"/>
  <c r="EF59" i="3"/>
  <c r="BO48" i="3"/>
  <c r="BO60" i="3"/>
  <c r="BO46" i="3"/>
  <c r="BO53" i="3"/>
  <c r="AV53" i="3"/>
  <c r="AV48" i="3"/>
  <c r="AV46" i="3"/>
  <c r="AV60" i="3"/>
  <c r="AO129" i="2"/>
  <c r="AO130" i="2" s="1"/>
  <c r="BU186" i="9"/>
  <c r="BU76" i="9"/>
  <c r="CE261" i="2"/>
  <c r="CE266" i="2"/>
  <c r="CE265" i="2"/>
  <c r="CE250" i="2"/>
  <c r="HO240" i="2" s="1"/>
  <c r="CE262" i="2"/>
  <c r="CE256" i="2"/>
  <c r="CE267" i="2"/>
  <c r="CE246" i="2"/>
  <c r="CE255" i="2"/>
  <c r="CE260" i="2"/>
  <c r="CE249" i="2"/>
  <c r="CE254" i="2"/>
  <c r="CE245" i="2"/>
  <c r="CE257" i="2"/>
  <c r="CE241" i="2"/>
  <c r="CE244" i="2"/>
  <c r="CE248" i="2"/>
  <c r="CE251" i="2"/>
  <c r="CE239" i="2"/>
  <c r="CE235" i="2"/>
  <c r="CE233" i="2"/>
  <c r="CE229" i="2"/>
  <c r="HO200" i="2" s="1"/>
  <c r="CE236" i="2"/>
  <c r="CE234" i="2"/>
  <c r="CE240" i="2"/>
  <c r="CE228" i="2"/>
  <c r="HO206" i="2" s="1"/>
  <c r="CE230" i="2"/>
  <c r="CO265" i="2"/>
  <c r="CO261" i="2"/>
  <c r="CO266" i="2"/>
  <c r="CO267" i="2"/>
  <c r="CO262" i="2"/>
  <c r="CO254" i="2"/>
  <c r="CO248" i="2"/>
  <c r="CO250" i="2"/>
  <c r="HY240" i="2" s="1"/>
  <c r="CO256" i="2"/>
  <c r="CO260" i="2"/>
  <c r="CO246" i="2"/>
  <c r="CO255" i="2"/>
  <c r="CO249" i="2"/>
  <c r="CO257" i="2"/>
  <c r="CO245" i="2"/>
  <c r="CO241" i="2"/>
  <c r="CO244" i="2"/>
  <c r="CO240" i="2"/>
  <c r="CO230" i="2"/>
  <c r="CO251" i="2"/>
  <c r="CO239" i="2"/>
  <c r="CO235" i="2"/>
  <c r="CO233" i="2"/>
  <c r="CO229" i="2"/>
  <c r="HY200" i="2" s="1"/>
  <c r="CO234" i="2"/>
  <c r="CO228" i="2"/>
  <c r="HY206" i="2" s="1"/>
  <c r="CO236" i="2"/>
  <c r="AI61" i="7"/>
  <c r="CY267" i="2"/>
  <c r="CY262" i="2"/>
  <c r="CY265" i="2"/>
  <c r="CY261" i="2"/>
  <c r="CY266" i="2"/>
  <c r="CY251" i="2"/>
  <c r="CY257" i="2"/>
  <c r="CY260" i="2"/>
  <c r="CY254" i="2"/>
  <c r="CY248" i="2"/>
  <c r="CY250" i="2"/>
  <c r="II240" i="2" s="1"/>
  <c r="CY256" i="2"/>
  <c r="CY246" i="2"/>
  <c r="CY245" i="2"/>
  <c r="CY255" i="2"/>
  <c r="CY249" i="2"/>
  <c r="CY228" i="2"/>
  <c r="II206" i="2" s="1"/>
  <c r="CY244" i="2"/>
  <c r="CY236" i="2"/>
  <c r="CY234" i="2"/>
  <c r="CY240" i="2"/>
  <c r="CY230" i="2"/>
  <c r="CY239" i="2"/>
  <c r="CY235" i="2"/>
  <c r="CY233" i="2"/>
  <c r="CY229" i="2"/>
  <c r="II200" i="2" s="1"/>
  <c r="CY241" i="2"/>
  <c r="CW51" i="3"/>
  <c r="CW50" i="3"/>
  <c r="CW49" i="3"/>
  <c r="CW48" i="3"/>
  <c r="CW60" i="3"/>
  <c r="CW59" i="3"/>
  <c r="CW57" i="3"/>
  <c r="CW46" i="3"/>
  <c r="CW58" i="3"/>
  <c r="CW53" i="3"/>
  <c r="CW55" i="3"/>
  <c r="AN248" i="2"/>
  <c r="AU47" i="2"/>
  <c r="AP50" i="3" s="1"/>
  <c r="CA49" i="3"/>
  <c r="CA48" i="3"/>
  <c r="CA60" i="3"/>
  <c r="CA59" i="3"/>
  <c r="CA58" i="3"/>
  <c r="CA57" i="3"/>
  <c r="CA46" i="3"/>
  <c r="CA53" i="3"/>
  <c r="CA55" i="3"/>
  <c r="CA50" i="3"/>
  <c r="CA51" i="3"/>
  <c r="CU186" i="9"/>
  <c r="CU76" i="9"/>
  <c r="CZ48" i="3"/>
  <c r="CZ60" i="3"/>
  <c r="CZ59" i="3"/>
  <c r="CZ58" i="3"/>
  <c r="CZ57" i="3"/>
  <c r="CZ55" i="3"/>
  <c r="CZ51" i="3"/>
  <c r="CZ46" i="3"/>
  <c r="CZ53" i="3"/>
  <c r="CZ50" i="3"/>
  <c r="CZ49" i="3"/>
  <c r="S248" i="2"/>
  <c r="DS186" i="9"/>
  <c r="DS76" i="9"/>
  <c r="BK248" i="2"/>
  <c r="BC248" i="2"/>
  <c r="CD47" i="2"/>
  <c r="R140" i="2"/>
  <c r="L139" i="9"/>
  <c r="R291" i="2"/>
  <c r="AN129" i="2"/>
  <c r="AN130" i="2" s="1"/>
  <c r="BP48" i="3"/>
  <c r="BP60" i="3"/>
  <c r="BP53" i="3"/>
  <c r="BP46" i="3"/>
  <c r="X248" i="2"/>
  <c r="BZ50" i="3"/>
  <c r="BZ49" i="3"/>
  <c r="BZ48" i="3"/>
  <c r="BZ60" i="3"/>
  <c r="BZ59" i="3"/>
  <c r="BZ58" i="3"/>
  <c r="BZ51" i="3"/>
  <c r="BZ46" i="3"/>
  <c r="BZ53" i="3"/>
  <c r="BZ55" i="3"/>
  <c r="BZ57" i="3"/>
  <c r="CF261" i="2"/>
  <c r="CF266" i="2"/>
  <c r="CF260" i="2"/>
  <c r="CF267" i="2"/>
  <c r="CF262" i="2"/>
  <c r="CF250" i="2"/>
  <c r="HP240" i="2" s="1"/>
  <c r="CF256" i="2"/>
  <c r="CF246" i="2"/>
  <c r="CF255" i="2"/>
  <c r="CF249" i="2"/>
  <c r="CF251" i="2"/>
  <c r="CF265" i="2"/>
  <c r="CF257" i="2"/>
  <c r="CF244" i="2"/>
  <c r="CF248" i="2"/>
  <c r="CF239" i="2"/>
  <c r="CF235" i="2"/>
  <c r="CF233" i="2"/>
  <c r="CF229" i="2"/>
  <c r="HP200" i="2" s="1"/>
  <c r="CF254" i="2"/>
  <c r="CF241" i="2"/>
  <c r="CF245" i="2"/>
  <c r="CF228" i="2"/>
  <c r="HP206" i="2" s="1"/>
  <c r="CF234" i="2"/>
  <c r="CF240" i="2"/>
  <c r="CF230" i="2"/>
  <c r="CF236" i="2"/>
  <c r="BR60" i="3"/>
  <c r="BR59" i="3"/>
  <c r="BR58" i="3"/>
  <c r="BR57" i="3"/>
  <c r="BR55" i="3"/>
  <c r="BR53" i="3"/>
  <c r="BR51" i="3"/>
  <c r="BR48" i="3"/>
  <c r="BR49" i="3"/>
  <c r="BR50" i="3"/>
  <c r="BR46" i="3"/>
  <c r="AE248" i="2"/>
  <c r="EH260" i="2"/>
  <c r="EH267" i="2"/>
  <c r="EH262" i="2"/>
  <c r="EH265" i="2"/>
  <c r="EH261" i="2"/>
  <c r="EH266" i="2"/>
  <c r="EH249" i="2"/>
  <c r="EH251" i="2"/>
  <c r="EH257" i="2"/>
  <c r="EH254" i="2"/>
  <c r="EH248" i="2"/>
  <c r="EH250" i="2"/>
  <c r="JR240" i="2" s="1"/>
  <c r="EH256" i="2"/>
  <c r="EH244" i="2"/>
  <c r="EH246" i="2"/>
  <c r="EH245" i="2"/>
  <c r="EH228" i="2"/>
  <c r="JR206" i="2" s="1"/>
  <c r="EH236" i="2"/>
  <c r="EH234" i="2"/>
  <c r="EH230" i="2"/>
  <c r="EH241" i="2"/>
  <c r="EH240" i="2"/>
  <c r="EH255" i="2"/>
  <c r="EH233" i="2"/>
  <c r="EH229" i="2"/>
  <c r="JR200" i="2" s="1"/>
  <c r="EH235" i="2"/>
  <c r="EH239" i="2"/>
  <c r="BM248" i="2"/>
  <c r="BP186" i="9"/>
  <c r="BP76" i="9"/>
  <c r="BS248" i="2"/>
  <c r="AV248" i="2"/>
  <c r="AM129" i="2"/>
  <c r="AM130" i="2" s="1"/>
  <c r="R248" i="2"/>
  <c r="AT60" i="3"/>
  <c r="AT53" i="3"/>
  <c r="AT48" i="3"/>
  <c r="AT46" i="3"/>
  <c r="AF129" i="2"/>
  <c r="AF130" i="2" s="1"/>
  <c r="EA261" i="2"/>
  <c r="EA266" i="2"/>
  <c r="EA265" i="2"/>
  <c r="EA250" i="2"/>
  <c r="JK240" i="2" s="1"/>
  <c r="EA262" i="2"/>
  <c r="EA256" i="2"/>
  <c r="EA260" i="2"/>
  <c r="EA267" i="2"/>
  <c r="EA246" i="2"/>
  <c r="EA255" i="2"/>
  <c r="EA249" i="2"/>
  <c r="EA257" i="2"/>
  <c r="EA245" i="2"/>
  <c r="EA241" i="2"/>
  <c r="EA248" i="2"/>
  <c r="EA244" i="2"/>
  <c r="EA254" i="2"/>
  <c r="EA251" i="2"/>
  <c r="EA240" i="2"/>
  <c r="EA239" i="2"/>
  <c r="EA235" i="2"/>
  <c r="EA233" i="2"/>
  <c r="EA229" i="2"/>
  <c r="JK200" i="2" s="1"/>
  <c r="EA230" i="2"/>
  <c r="EA236" i="2"/>
  <c r="EA234" i="2"/>
  <c r="EA228" i="2"/>
  <c r="JK206" i="2" s="1"/>
  <c r="DQ186" i="9"/>
  <c r="DQ76" i="9"/>
  <c r="EG51" i="3"/>
  <c r="EG50" i="3"/>
  <c r="EG49" i="3"/>
  <c r="EG48" i="3"/>
  <c r="EG60" i="3"/>
  <c r="EG59" i="3"/>
  <c r="EG57" i="3"/>
  <c r="EG46" i="3"/>
  <c r="EG58" i="3"/>
  <c r="EG55" i="3"/>
  <c r="EG53" i="3"/>
  <c r="DH53" i="3"/>
  <c r="DH51" i="3"/>
  <c r="DH50" i="3"/>
  <c r="DH49" i="3"/>
  <c r="DH48" i="3"/>
  <c r="DH46" i="3"/>
  <c r="DH60" i="3"/>
  <c r="DH58" i="3"/>
  <c r="DH59" i="3"/>
  <c r="DH55" i="3"/>
  <c r="DH57" i="3"/>
  <c r="CD60" i="3"/>
  <c r="CD59" i="3"/>
  <c r="CD58" i="3"/>
  <c r="CD57" i="3"/>
  <c r="CD55" i="3"/>
  <c r="CD53" i="3"/>
  <c r="CD51" i="3"/>
  <c r="CD49" i="3"/>
  <c r="CD50" i="3"/>
  <c r="CD48" i="3"/>
  <c r="CD46" i="3"/>
  <c r="EH50" i="3"/>
  <c r="EH49" i="3"/>
  <c r="EH48" i="3"/>
  <c r="EH46" i="3"/>
  <c r="EH60" i="3"/>
  <c r="EH59" i="3"/>
  <c r="EH58" i="3"/>
  <c r="EH57" i="3"/>
  <c r="EH51" i="3"/>
  <c r="EH53" i="3"/>
  <c r="EH55" i="3"/>
  <c r="V60" i="3"/>
  <c r="V53" i="3"/>
  <c r="V48" i="3"/>
  <c r="V46" i="3"/>
  <c r="Q129" i="2"/>
  <c r="Q130" i="2" s="1"/>
  <c r="U60" i="3"/>
  <c r="U53" i="3"/>
  <c r="U48" i="3"/>
  <c r="U46" i="3"/>
  <c r="AQ48" i="3"/>
  <c r="AQ60" i="3"/>
  <c r="AQ46" i="3"/>
  <c r="AQ53" i="3"/>
  <c r="AF48" i="3"/>
  <c r="AF60" i="3"/>
  <c r="AF53" i="3"/>
  <c r="AF46" i="3"/>
  <c r="BD248" i="2"/>
  <c r="CJ186" i="9"/>
  <c r="CJ76" i="9"/>
  <c r="DG260" i="2"/>
  <c r="DG267" i="2"/>
  <c r="DG262" i="2"/>
  <c r="DG265" i="2"/>
  <c r="DG266" i="2"/>
  <c r="DG246" i="2"/>
  <c r="DG255" i="2"/>
  <c r="DG261" i="2"/>
  <c r="DG249" i="2"/>
  <c r="DG251" i="2"/>
  <c r="DG257" i="2"/>
  <c r="DG254" i="2"/>
  <c r="DG248" i="2"/>
  <c r="DG245" i="2"/>
  <c r="DG256" i="2"/>
  <c r="DG241" i="2"/>
  <c r="DG228" i="2"/>
  <c r="IQ206" i="2" s="1"/>
  <c r="DG236" i="2"/>
  <c r="DG234" i="2"/>
  <c r="DG240" i="2"/>
  <c r="DG230" i="2"/>
  <c r="DG233" i="2"/>
  <c r="DG239" i="2"/>
  <c r="DG244" i="2"/>
  <c r="DG229" i="2"/>
  <c r="IQ200" i="2" s="1"/>
  <c r="DG250" i="2"/>
  <c r="IQ240" i="2" s="1"/>
  <c r="DG235" i="2"/>
  <c r="BT186" i="9"/>
  <c r="BT76" i="9"/>
  <c r="AP48" i="3"/>
  <c r="AP60" i="3"/>
  <c r="AP46" i="3"/>
  <c r="AP53" i="3"/>
  <c r="BT47" i="2"/>
  <c r="EI267" i="2"/>
  <c r="EI262" i="2"/>
  <c r="EI265" i="2"/>
  <c r="EI261" i="2"/>
  <c r="EI266" i="2"/>
  <c r="EI251" i="2"/>
  <c r="EI257" i="2"/>
  <c r="EI260" i="2"/>
  <c r="EI254" i="2"/>
  <c r="EI248" i="2"/>
  <c r="EI250" i="2"/>
  <c r="JS240" i="2" s="1"/>
  <c r="EI256" i="2"/>
  <c r="EI246" i="2"/>
  <c r="EI245" i="2"/>
  <c r="EI228" i="2"/>
  <c r="JS206" i="2" s="1"/>
  <c r="EI244" i="2"/>
  <c r="EI236" i="2"/>
  <c r="EI234" i="2"/>
  <c r="EI230" i="2"/>
  <c r="EI241" i="2"/>
  <c r="EI240" i="2"/>
  <c r="EI239" i="2"/>
  <c r="EI235" i="2"/>
  <c r="EI233" i="2"/>
  <c r="EI229" i="2"/>
  <c r="JS200" i="2" s="1"/>
  <c r="EI249" i="2"/>
  <c r="EI255" i="2"/>
  <c r="DN60" i="3"/>
  <c r="DN59" i="3"/>
  <c r="DN58" i="3"/>
  <c r="DN57" i="3"/>
  <c r="DN55" i="3"/>
  <c r="DN53" i="3"/>
  <c r="DN51" i="3"/>
  <c r="DN49" i="3"/>
  <c r="DN46" i="3"/>
  <c r="DN50" i="3"/>
  <c r="DN48" i="3"/>
  <c r="BA248" i="2"/>
  <c r="S129" i="2"/>
  <c r="S130" i="2" s="1"/>
  <c r="AJ62" i="7"/>
  <c r="AJ59" i="7"/>
  <c r="AJ63" i="7"/>
  <c r="AJ64" i="7"/>
  <c r="AJ58" i="7"/>
  <c r="AK57" i="7"/>
  <c r="AJ61" i="7"/>
  <c r="AJ60" i="7"/>
  <c r="AJ65" i="7"/>
  <c r="DH47" i="2"/>
  <c r="DE58" i="3"/>
  <c r="DE57" i="3"/>
  <c r="DE55" i="3"/>
  <c r="DE53" i="3"/>
  <c r="DE51" i="3"/>
  <c r="DE50" i="3"/>
  <c r="DE49" i="3"/>
  <c r="DE48" i="3"/>
  <c r="DE46" i="3"/>
  <c r="DE59" i="3"/>
  <c r="DE60" i="3"/>
  <c r="X129" i="2"/>
  <c r="X130" i="2" s="1"/>
  <c r="AC48" i="3"/>
  <c r="AC60" i="3"/>
  <c r="AC46" i="3"/>
  <c r="AC53" i="3"/>
  <c r="BX260" i="2"/>
  <c r="BX267" i="2"/>
  <c r="BX262" i="2"/>
  <c r="BX265" i="2"/>
  <c r="BX255" i="2"/>
  <c r="BX266" i="2"/>
  <c r="BX249" i="2"/>
  <c r="BX251" i="2"/>
  <c r="BX257" i="2"/>
  <c r="BX254" i="2"/>
  <c r="BX248" i="2"/>
  <c r="BX256" i="2"/>
  <c r="BX246" i="2"/>
  <c r="BX244" i="2"/>
  <c r="BX245" i="2"/>
  <c r="BX250" i="2"/>
  <c r="HH240" i="2" s="1"/>
  <c r="BX228" i="2"/>
  <c r="HH206" i="2" s="1"/>
  <c r="BX261" i="2"/>
  <c r="BX236" i="2"/>
  <c r="BX234" i="2"/>
  <c r="BX240" i="2"/>
  <c r="BX230" i="2"/>
  <c r="BX233" i="2"/>
  <c r="BX239" i="2"/>
  <c r="BX229" i="2"/>
  <c r="HH200" i="2" s="1"/>
  <c r="BX241" i="2"/>
  <c r="BX235" i="2"/>
  <c r="T47" i="2"/>
  <c r="CM49" i="3"/>
  <c r="CM48" i="3"/>
  <c r="CM60" i="3"/>
  <c r="CM59" i="3"/>
  <c r="CM58" i="3"/>
  <c r="CM57" i="3"/>
  <c r="CM55" i="3"/>
  <c r="CM46" i="3"/>
  <c r="CM50" i="3"/>
  <c r="CM51" i="3"/>
  <c r="CM53" i="3"/>
  <c r="N53" i="3"/>
  <c r="N48" i="3"/>
  <c r="N46" i="3"/>
  <c r="N60" i="3"/>
  <c r="K42" i="2"/>
  <c r="DF260" i="2"/>
  <c r="DF267" i="2"/>
  <c r="DF262" i="2"/>
  <c r="DF265" i="2"/>
  <c r="DF261" i="2"/>
  <c r="DF246" i="2"/>
  <c r="DF255" i="2"/>
  <c r="DF249" i="2"/>
  <c r="DF251" i="2"/>
  <c r="DF266" i="2"/>
  <c r="DF257" i="2"/>
  <c r="DF254" i="2"/>
  <c r="DF256" i="2"/>
  <c r="DF244" i="2"/>
  <c r="DF245" i="2"/>
  <c r="DF239" i="2"/>
  <c r="DF235" i="2"/>
  <c r="DF233" i="2"/>
  <c r="DF229" i="2"/>
  <c r="IP200" i="2" s="1"/>
  <c r="DF241" i="2"/>
  <c r="DF236" i="2"/>
  <c r="DF234" i="2"/>
  <c r="DF240" i="2"/>
  <c r="DF230" i="2"/>
  <c r="DF248" i="2"/>
  <c r="DF228" i="2"/>
  <c r="IP206" i="2" s="1"/>
  <c r="DF250" i="2"/>
  <c r="IP240" i="2" s="1"/>
  <c r="AR48" i="3"/>
  <c r="AR60" i="3"/>
  <c r="AR53" i="3"/>
  <c r="AR46" i="3"/>
  <c r="Y129" i="2"/>
  <c r="Y130" i="2" s="1"/>
  <c r="BV186" i="9"/>
  <c r="BV76" i="9"/>
  <c r="H147" i="2"/>
  <c r="H148" i="2" s="1"/>
  <c r="DH186" i="9"/>
  <c r="DH76" i="9"/>
  <c r="DY46" i="3"/>
  <c r="DY60" i="3"/>
  <c r="DY59" i="3"/>
  <c r="DY58" i="3"/>
  <c r="DY57" i="3"/>
  <c r="DY55" i="3"/>
  <c r="DY53" i="3"/>
  <c r="DY50" i="3"/>
  <c r="DY51" i="3"/>
  <c r="DY48" i="3"/>
  <c r="DY49" i="3"/>
  <c r="CS186" i="9"/>
  <c r="CS76" i="9"/>
  <c r="AX38" i="2"/>
  <c r="EJ265" i="2"/>
  <c r="EJ261" i="2"/>
  <c r="EJ266" i="2"/>
  <c r="EJ260" i="2"/>
  <c r="EJ257" i="2"/>
  <c r="EJ262" i="2"/>
  <c r="EJ254" i="2"/>
  <c r="EJ248" i="2"/>
  <c r="EJ267" i="2"/>
  <c r="EJ250" i="2"/>
  <c r="JT240" i="2" s="1"/>
  <c r="EJ256" i="2"/>
  <c r="EJ246" i="2"/>
  <c r="EJ245" i="2"/>
  <c r="EJ251" i="2"/>
  <c r="EJ255" i="2"/>
  <c r="EJ249" i="2"/>
  <c r="EJ244" i="2"/>
  <c r="EJ236" i="2"/>
  <c r="EJ234" i="2"/>
  <c r="EJ230" i="2"/>
  <c r="EJ241" i="2"/>
  <c r="EJ240" i="2"/>
  <c r="EJ239" i="2"/>
  <c r="EJ235" i="2"/>
  <c r="EJ233" i="2"/>
  <c r="EJ229" i="2"/>
  <c r="JT200" i="2" s="1"/>
  <c r="EJ228" i="2"/>
  <c r="JT206" i="2" s="1"/>
  <c r="O53" i="3"/>
  <c r="O48" i="3"/>
  <c r="O46" i="3"/>
  <c r="O60" i="3"/>
  <c r="Q48" i="3"/>
  <c r="Q60" i="3"/>
  <c r="Q53" i="3"/>
  <c r="Q46" i="3"/>
  <c r="CP186" i="9"/>
  <c r="CP76" i="9"/>
  <c r="W248" i="2"/>
  <c r="DT260" i="2"/>
  <c r="DT267" i="2"/>
  <c r="DT262" i="2"/>
  <c r="DT265" i="2"/>
  <c r="DT255" i="2"/>
  <c r="DT266" i="2"/>
  <c r="DT249" i="2"/>
  <c r="DT251" i="2"/>
  <c r="DT257" i="2"/>
  <c r="DT254" i="2"/>
  <c r="DT248" i="2"/>
  <c r="DT244" i="2"/>
  <c r="DT250" i="2"/>
  <c r="JD240" i="2" s="1"/>
  <c r="DT240" i="2"/>
  <c r="DT261" i="2"/>
  <c r="DT245" i="2"/>
  <c r="DT256" i="2"/>
  <c r="DT228" i="2"/>
  <c r="JD206" i="2" s="1"/>
  <c r="DT236" i="2"/>
  <c r="DT234" i="2"/>
  <c r="DT241" i="2"/>
  <c r="DT230" i="2"/>
  <c r="DT246" i="2"/>
  <c r="DT229" i="2"/>
  <c r="JD200" i="2" s="1"/>
  <c r="DT235" i="2"/>
  <c r="DT233" i="2"/>
  <c r="DT239" i="2"/>
  <c r="CK260" i="2"/>
  <c r="CK267" i="2"/>
  <c r="CK262" i="2"/>
  <c r="CK265" i="2"/>
  <c r="CK261" i="2"/>
  <c r="CK255" i="2"/>
  <c r="CK249" i="2"/>
  <c r="CK251" i="2"/>
  <c r="CK257" i="2"/>
  <c r="CK254" i="2"/>
  <c r="CK248" i="2"/>
  <c r="CK250" i="2"/>
  <c r="HU240" i="2" s="1"/>
  <c r="CK245" i="2"/>
  <c r="CK256" i="2"/>
  <c r="CK246" i="2"/>
  <c r="CK266" i="2"/>
  <c r="CK228" i="2"/>
  <c r="HU206" i="2" s="1"/>
  <c r="CK236" i="2"/>
  <c r="CK234" i="2"/>
  <c r="CK240" i="2"/>
  <c r="CK230" i="2"/>
  <c r="CK244" i="2"/>
  <c r="CK229" i="2"/>
  <c r="HU200" i="2" s="1"/>
  <c r="CK235" i="2"/>
  <c r="CK241" i="2"/>
  <c r="CK233" i="2"/>
  <c r="CK239" i="2"/>
  <c r="BN248" i="2"/>
  <c r="DO261" i="2"/>
  <c r="DO266" i="2"/>
  <c r="DO265" i="2"/>
  <c r="DO250" i="2"/>
  <c r="IY240" i="2" s="1"/>
  <c r="DO256" i="2"/>
  <c r="DO246" i="2"/>
  <c r="DO262" i="2"/>
  <c r="DO255" i="2"/>
  <c r="DO267" i="2"/>
  <c r="DO260" i="2"/>
  <c r="DO249" i="2"/>
  <c r="DO254" i="2"/>
  <c r="DO245" i="2"/>
  <c r="DO257" i="2"/>
  <c r="DO241" i="2"/>
  <c r="DO244" i="2"/>
  <c r="DO239" i="2"/>
  <c r="DO235" i="2"/>
  <c r="DO233" i="2"/>
  <c r="DO229" i="2"/>
  <c r="IY200" i="2" s="1"/>
  <c r="DO236" i="2"/>
  <c r="DO251" i="2"/>
  <c r="DO248" i="2"/>
  <c r="DO234" i="2"/>
  <c r="DO240" i="2"/>
  <c r="DO228" i="2"/>
  <c r="IY206" i="2" s="1"/>
  <c r="DO230" i="2"/>
  <c r="I147" i="2"/>
  <c r="I148" i="2" s="1"/>
  <c r="CE60" i="3"/>
  <c r="CE59" i="3"/>
  <c r="CE58" i="3"/>
  <c r="CE57" i="3"/>
  <c r="CE55" i="3"/>
  <c r="CE53" i="3"/>
  <c r="CE51" i="3"/>
  <c r="CE50" i="3"/>
  <c r="CE49" i="3"/>
  <c r="CE48" i="3"/>
  <c r="CE46" i="3"/>
  <c r="DD261" i="2"/>
  <c r="DD266" i="2"/>
  <c r="DD260" i="2"/>
  <c r="DD267" i="2"/>
  <c r="DD262" i="2"/>
  <c r="DD250" i="2"/>
  <c r="IN240" i="2" s="1"/>
  <c r="DD256" i="2"/>
  <c r="DD246" i="2"/>
  <c r="DD265" i="2"/>
  <c r="DD255" i="2"/>
  <c r="DD249" i="2"/>
  <c r="DD251" i="2"/>
  <c r="DD254" i="2"/>
  <c r="DD244" i="2"/>
  <c r="DD257" i="2"/>
  <c r="DD248" i="2"/>
  <c r="DD239" i="2"/>
  <c r="DD235" i="2"/>
  <c r="DD233" i="2"/>
  <c r="DD229" i="2"/>
  <c r="IN200" i="2" s="1"/>
  <c r="DD241" i="2"/>
  <c r="DD228" i="2"/>
  <c r="IN206" i="2" s="1"/>
  <c r="DD230" i="2"/>
  <c r="DD234" i="2"/>
  <c r="DD245" i="2"/>
  <c r="DD240" i="2"/>
  <c r="DD236" i="2"/>
  <c r="AS60" i="3"/>
  <c r="AS53" i="3"/>
  <c r="AS48" i="3"/>
  <c r="AS46" i="3"/>
  <c r="N47" i="2"/>
  <c r="I19" i="7"/>
  <c r="J19" i="7" s="1"/>
  <c r="DC60" i="3"/>
  <c r="DC59" i="3"/>
  <c r="DC58" i="3"/>
  <c r="DC57" i="3"/>
  <c r="DC55" i="3"/>
  <c r="DC53" i="3"/>
  <c r="DC51" i="3"/>
  <c r="DC50" i="3"/>
  <c r="DC48" i="3"/>
  <c r="DC49" i="3"/>
  <c r="DC46" i="3"/>
  <c r="DA60" i="3"/>
  <c r="DA59" i="3"/>
  <c r="DA58" i="3"/>
  <c r="DA57" i="3"/>
  <c r="DA55" i="3"/>
  <c r="DA53" i="3"/>
  <c r="DA51" i="3"/>
  <c r="DA46" i="3"/>
  <c r="DA48" i="3"/>
  <c r="DA49" i="3"/>
  <c r="DA50" i="3"/>
  <c r="AA248" i="2"/>
  <c r="DI51" i="3"/>
  <c r="DI50" i="3"/>
  <c r="DI49" i="3"/>
  <c r="DI48" i="3"/>
  <c r="DI60" i="3"/>
  <c r="DI59" i="3"/>
  <c r="DI58" i="3"/>
  <c r="DI53" i="3"/>
  <c r="DI46" i="3"/>
  <c r="DI55" i="3"/>
  <c r="DI57" i="3"/>
  <c r="AE129" i="2"/>
  <c r="AE130" i="2" s="1"/>
  <c r="AW53" i="3"/>
  <c r="AW48" i="3"/>
  <c r="AW46" i="3"/>
  <c r="AW60" i="3"/>
  <c r="CX47" i="2"/>
  <c r="P129" i="2"/>
  <c r="P130" i="2" s="1"/>
  <c r="CP60" i="3"/>
  <c r="CP59" i="3"/>
  <c r="CP58" i="3"/>
  <c r="CP57" i="3"/>
  <c r="CP55" i="3"/>
  <c r="CP53" i="3"/>
  <c r="CP51" i="3"/>
  <c r="CP50" i="3"/>
  <c r="CP48" i="3"/>
  <c r="CP49" i="3"/>
  <c r="CP46" i="3"/>
  <c r="CP261" i="2"/>
  <c r="CP266" i="2"/>
  <c r="CP262" i="2"/>
  <c r="CP248" i="2"/>
  <c r="CP267" i="2"/>
  <c r="CP250" i="2"/>
  <c r="HZ240" i="2" s="1"/>
  <c r="CP256" i="2"/>
  <c r="CP260" i="2"/>
  <c r="CP246" i="2"/>
  <c r="CP255" i="2"/>
  <c r="CP244" i="2"/>
  <c r="CP254" i="2"/>
  <c r="CP251" i="2"/>
  <c r="CP249" i="2"/>
  <c r="CP257" i="2"/>
  <c r="CP245" i="2"/>
  <c r="CP239" i="2"/>
  <c r="CP235" i="2"/>
  <c r="CP233" i="2"/>
  <c r="CP229" i="2"/>
  <c r="HZ200" i="2" s="1"/>
  <c r="CP241" i="2"/>
  <c r="CP265" i="2"/>
  <c r="CP240" i="2"/>
  <c r="CP230" i="2"/>
  <c r="CP228" i="2"/>
  <c r="HZ206" i="2" s="1"/>
  <c r="CP236" i="2"/>
  <c r="CP234" i="2"/>
  <c r="BZ260" i="2"/>
  <c r="BZ267" i="2"/>
  <c r="BZ262" i="2"/>
  <c r="BZ265" i="2"/>
  <c r="BZ261" i="2"/>
  <c r="BZ266" i="2"/>
  <c r="BZ249" i="2"/>
  <c r="BZ251" i="2"/>
  <c r="BZ257" i="2"/>
  <c r="BZ254" i="2"/>
  <c r="BZ248" i="2"/>
  <c r="BZ250" i="2"/>
  <c r="HJ240" i="2" s="1"/>
  <c r="BZ256" i="2"/>
  <c r="BZ246" i="2"/>
  <c r="BZ244" i="2"/>
  <c r="BZ245" i="2"/>
  <c r="BZ255" i="2"/>
  <c r="BZ228" i="2"/>
  <c r="HJ206" i="2" s="1"/>
  <c r="BZ236" i="2"/>
  <c r="BZ234" i="2"/>
  <c r="BZ240" i="2"/>
  <c r="BZ230" i="2"/>
  <c r="BZ241" i="2"/>
  <c r="BZ235" i="2"/>
  <c r="BZ233" i="2"/>
  <c r="BZ239" i="2"/>
  <c r="BZ229" i="2"/>
  <c r="HJ200" i="2" s="1"/>
  <c r="P53" i="3"/>
  <c r="P48" i="3"/>
  <c r="P60" i="3"/>
  <c r="P46" i="3"/>
  <c r="AR129" i="2"/>
  <c r="AR130" i="2" s="1"/>
  <c r="CF186" i="9"/>
  <c r="CF76" i="9"/>
  <c r="CL260" i="2"/>
  <c r="CL267" i="2"/>
  <c r="CL262" i="2"/>
  <c r="CL265" i="2"/>
  <c r="CL261" i="2"/>
  <c r="CL266" i="2"/>
  <c r="CL249" i="2"/>
  <c r="CL251" i="2"/>
  <c r="CL257" i="2"/>
  <c r="CL254" i="2"/>
  <c r="CL248" i="2"/>
  <c r="CL250" i="2"/>
  <c r="HV240" i="2" s="1"/>
  <c r="CL256" i="2"/>
  <c r="CL244" i="2"/>
  <c r="CL255" i="2"/>
  <c r="CL245" i="2"/>
  <c r="CL246" i="2"/>
  <c r="CL228" i="2"/>
  <c r="HV206" i="2" s="1"/>
  <c r="CL236" i="2"/>
  <c r="CL234" i="2"/>
  <c r="CL240" i="2"/>
  <c r="CL230" i="2"/>
  <c r="CL241" i="2"/>
  <c r="CL233" i="2"/>
  <c r="CL239" i="2"/>
  <c r="CL229" i="2"/>
  <c r="HV200" i="2" s="1"/>
  <c r="CL235" i="2"/>
  <c r="CC60" i="3"/>
  <c r="CC59" i="3"/>
  <c r="CC58" i="3"/>
  <c r="CC57" i="3"/>
  <c r="CC55" i="3"/>
  <c r="CC53" i="3"/>
  <c r="CC48" i="3"/>
  <c r="CC49" i="3"/>
  <c r="CC50" i="3"/>
  <c r="CC46" i="3"/>
  <c r="CC51" i="3"/>
  <c r="AI58" i="7"/>
  <c r="AX47" i="2"/>
  <c r="AS50" i="3" s="1"/>
  <c r="BT59" i="3"/>
  <c r="BT58" i="3"/>
  <c r="BT57" i="3"/>
  <c r="BT55" i="3"/>
  <c r="BT53" i="3"/>
  <c r="BT51" i="3"/>
  <c r="BT50" i="3"/>
  <c r="BT49" i="3"/>
  <c r="BT60" i="3"/>
  <c r="BT48" i="3"/>
  <c r="BT46" i="3"/>
  <c r="BY260" i="2"/>
  <c r="BY267" i="2"/>
  <c r="BY262" i="2"/>
  <c r="BY265" i="2"/>
  <c r="BY261" i="2"/>
  <c r="BY255" i="2"/>
  <c r="BY266" i="2"/>
  <c r="BY249" i="2"/>
  <c r="BY251" i="2"/>
  <c r="BY257" i="2"/>
  <c r="BY254" i="2"/>
  <c r="BY248" i="2"/>
  <c r="BY250" i="2"/>
  <c r="HI240" i="2" s="1"/>
  <c r="BY245" i="2"/>
  <c r="BY246" i="2"/>
  <c r="BY228" i="2"/>
  <c r="HI206" i="2" s="1"/>
  <c r="BY236" i="2"/>
  <c r="BY234" i="2"/>
  <c r="BY256" i="2"/>
  <c r="BY240" i="2"/>
  <c r="BY230" i="2"/>
  <c r="BY239" i="2"/>
  <c r="BY229" i="2"/>
  <c r="HI200" i="2" s="1"/>
  <c r="BY241" i="2"/>
  <c r="BY235" i="2"/>
  <c r="BY244" i="2"/>
  <c r="BY233" i="2"/>
  <c r="T48" i="3"/>
  <c r="T60" i="3"/>
  <c r="T49" i="3"/>
  <c r="T46" i="3"/>
  <c r="T53" i="3"/>
  <c r="AI248" i="2"/>
  <c r="CT57" i="3"/>
  <c r="CT55" i="3"/>
  <c r="CT53" i="3"/>
  <c r="CT51" i="3"/>
  <c r="CT50" i="3"/>
  <c r="CT49" i="3"/>
  <c r="CT48" i="3"/>
  <c r="CT60" i="3"/>
  <c r="CT46" i="3"/>
  <c r="CT58" i="3"/>
  <c r="CT59" i="3"/>
  <c r="AI60" i="3"/>
  <c r="AI53" i="3"/>
  <c r="AI48" i="3"/>
  <c r="AI46" i="3"/>
  <c r="BS186" i="9"/>
  <c r="BS76" i="9"/>
  <c r="AY53" i="3"/>
  <c r="AY46" i="3"/>
  <c r="AY60" i="3"/>
  <c r="AY48" i="3"/>
  <c r="F136" i="9"/>
  <c r="CW186" i="9"/>
  <c r="CW76" i="9"/>
  <c r="F7" i="4"/>
  <c r="AN47" i="2"/>
  <c r="AI50" i="3" s="1"/>
  <c r="CX260" i="2"/>
  <c r="CX267" i="2"/>
  <c r="CX262" i="2"/>
  <c r="CX265" i="2"/>
  <c r="CX261" i="2"/>
  <c r="CX266" i="2"/>
  <c r="CX249" i="2"/>
  <c r="CX251" i="2"/>
  <c r="CX257" i="2"/>
  <c r="CX254" i="2"/>
  <c r="CX248" i="2"/>
  <c r="CX250" i="2"/>
  <c r="IH240" i="2" s="1"/>
  <c r="CX256" i="2"/>
  <c r="CX244" i="2"/>
  <c r="CX246" i="2"/>
  <c r="CX245" i="2"/>
  <c r="CX255" i="2"/>
  <c r="CX228" i="2"/>
  <c r="IH206" i="2" s="1"/>
  <c r="CX236" i="2"/>
  <c r="CX234" i="2"/>
  <c r="CX240" i="2"/>
  <c r="CX230" i="2"/>
  <c r="CX241" i="2"/>
  <c r="CX233" i="2"/>
  <c r="CX229" i="2"/>
  <c r="IH200" i="2" s="1"/>
  <c r="CX235" i="2"/>
  <c r="CX239" i="2"/>
  <c r="BR186" i="9"/>
  <c r="BR76" i="9"/>
  <c r="DN261" i="2"/>
  <c r="DN266" i="2"/>
  <c r="DN248" i="2"/>
  <c r="DN265" i="2"/>
  <c r="DN250" i="2"/>
  <c r="IX240" i="2" s="1"/>
  <c r="DN256" i="2"/>
  <c r="DN246" i="2"/>
  <c r="DN262" i="2"/>
  <c r="DN255" i="2"/>
  <c r="DN251" i="2"/>
  <c r="DN249" i="2"/>
  <c r="DN257" i="2"/>
  <c r="DN244" i="2"/>
  <c r="DN267" i="2"/>
  <c r="DN240" i="2"/>
  <c r="DN254" i="2"/>
  <c r="DN239" i="2"/>
  <c r="DN235" i="2"/>
  <c r="DN233" i="2"/>
  <c r="DN229" i="2"/>
  <c r="IX200" i="2" s="1"/>
  <c r="DN236" i="2"/>
  <c r="DN245" i="2"/>
  <c r="DN260" i="2"/>
  <c r="DN228" i="2"/>
  <c r="IX206" i="2" s="1"/>
  <c r="DN230" i="2"/>
  <c r="DN234" i="2"/>
  <c r="DN241" i="2"/>
  <c r="CO60" i="3"/>
  <c r="CO59" i="3"/>
  <c r="CO58" i="3"/>
  <c r="CO57" i="3"/>
  <c r="CO55" i="3"/>
  <c r="CO53" i="3"/>
  <c r="CO50" i="3"/>
  <c r="CO51" i="3"/>
  <c r="CO49" i="3"/>
  <c r="CO46" i="3"/>
  <c r="CO48" i="3"/>
  <c r="BW260" i="2"/>
  <c r="BW267" i="2"/>
  <c r="BW262" i="2"/>
  <c r="BW265" i="2"/>
  <c r="BW266" i="2"/>
  <c r="BW261" i="2"/>
  <c r="BW246" i="2"/>
  <c r="BW255" i="2"/>
  <c r="BW249" i="2"/>
  <c r="BW251" i="2"/>
  <c r="BW257" i="2"/>
  <c r="BW254" i="2"/>
  <c r="BW248" i="2"/>
  <c r="BW245" i="2"/>
  <c r="BW250" i="2"/>
  <c r="HG240" i="2" s="1"/>
  <c r="BW228" i="2"/>
  <c r="HG206" i="2" s="1"/>
  <c r="BW256" i="2"/>
  <c r="BW236" i="2"/>
  <c r="BW234" i="2"/>
  <c r="BW240" i="2"/>
  <c r="BW230" i="2"/>
  <c r="BW233" i="2"/>
  <c r="BW239" i="2"/>
  <c r="BW229" i="2"/>
  <c r="HG200" i="2" s="1"/>
  <c r="BW244" i="2"/>
  <c r="BW235" i="2"/>
  <c r="BW241" i="2"/>
  <c r="CF59" i="3"/>
  <c r="CF58" i="3"/>
  <c r="CF57" i="3"/>
  <c r="CF55" i="3"/>
  <c r="CF53" i="3"/>
  <c r="CF51" i="3"/>
  <c r="CF50" i="3"/>
  <c r="CF49" i="3"/>
  <c r="CF46" i="3"/>
  <c r="CF60" i="3"/>
  <c r="CF48" i="3"/>
  <c r="R48" i="3"/>
  <c r="R60" i="3"/>
  <c r="R46" i="3"/>
  <c r="R53" i="3"/>
  <c r="G48" i="3"/>
  <c r="G60" i="3"/>
  <c r="G46" i="3"/>
  <c r="G53" i="3"/>
  <c r="DB47" i="2"/>
  <c r="CL50" i="3"/>
  <c r="CL49" i="3"/>
  <c r="CL48" i="3"/>
  <c r="CL60" i="3"/>
  <c r="CL59" i="3"/>
  <c r="CL58" i="3"/>
  <c r="CL55" i="3"/>
  <c r="CL46" i="3"/>
  <c r="CL57" i="3"/>
  <c r="CL51" i="3"/>
  <c r="CL53" i="3"/>
  <c r="DC186" i="9"/>
  <c r="DC76" i="9"/>
  <c r="H73" i="9"/>
  <c r="AY248" i="2"/>
  <c r="CZ47" i="2"/>
  <c r="DP186" i="9"/>
  <c r="DP76" i="9"/>
  <c r="DV260" i="2"/>
  <c r="DV267" i="2"/>
  <c r="DV262" i="2"/>
  <c r="DV265" i="2"/>
  <c r="DV261" i="2"/>
  <c r="DV266" i="2"/>
  <c r="DV249" i="2"/>
  <c r="DV251" i="2"/>
  <c r="DV257" i="2"/>
  <c r="DV254" i="2"/>
  <c r="DV248" i="2"/>
  <c r="DV250" i="2"/>
  <c r="JF240" i="2" s="1"/>
  <c r="DV256" i="2"/>
  <c r="DV244" i="2"/>
  <c r="DV255" i="2"/>
  <c r="DV245" i="2"/>
  <c r="DV246" i="2"/>
  <c r="DV228" i="2"/>
  <c r="JF206" i="2" s="1"/>
  <c r="DV236" i="2"/>
  <c r="DV234" i="2"/>
  <c r="DV241" i="2"/>
  <c r="DV230" i="2"/>
  <c r="DV240" i="2"/>
  <c r="DV233" i="2"/>
  <c r="DV239" i="2"/>
  <c r="DV229" i="2"/>
  <c r="JF200" i="2" s="1"/>
  <c r="DV235" i="2"/>
  <c r="BF248" i="2"/>
  <c r="AZ53" i="3"/>
  <c r="AZ48" i="3"/>
  <c r="AZ60" i="3"/>
  <c r="AZ46" i="3"/>
  <c r="EA60" i="3"/>
  <c r="EA59" i="3"/>
  <c r="EA58" i="3"/>
  <c r="EA57" i="3"/>
  <c r="EA55" i="3"/>
  <c r="EA53" i="3"/>
  <c r="EA51" i="3"/>
  <c r="EA50" i="3"/>
  <c r="EA48" i="3"/>
  <c r="EA46" i="3"/>
  <c r="EA49" i="3"/>
  <c r="DR260" i="2"/>
  <c r="DR267" i="2"/>
  <c r="DR262" i="2"/>
  <c r="DR265" i="2"/>
  <c r="DR261" i="2"/>
  <c r="DR246" i="2"/>
  <c r="DR266" i="2"/>
  <c r="DR255" i="2"/>
  <c r="DR249" i="2"/>
  <c r="DR251" i="2"/>
  <c r="DR257" i="2"/>
  <c r="DR254" i="2"/>
  <c r="DR244" i="2"/>
  <c r="DR250" i="2"/>
  <c r="JB240" i="2" s="1"/>
  <c r="DR248" i="2"/>
  <c r="DR245" i="2"/>
  <c r="DR256" i="2"/>
  <c r="DR239" i="2"/>
  <c r="DR235" i="2"/>
  <c r="DR233" i="2"/>
  <c r="DR229" i="2"/>
  <c r="JB200" i="2" s="1"/>
  <c r="DR228" i="2"/>
  <c r="JB206" i="2" s="1"/>
  <c r="DR236" i="2"/>
  <c r="DR234" i="2"/>
  <c r="DR241" i="2"/>
  <c r="DR230" i="2"/>
  <c r="DR240" i="2"/>
  <c r="CQ47" i="2"/>
  <c r="N248" i="2"/>
  <c r="U248" i="2"/>
  <c r="DM186" i="9"/>
  <c r="DM76" i="9"/>
  <c r="H47" i="3"/>
  <c r="M6" i="3"/>
  <c r="G6" i="3"/>
  <c r="H6" i="3" s="1"/>
  <c r="I6" i="3" s="1"/>
  <c r="J6" i="3" s="1"/>
  <c r="K6" i="3" s="1"/>
  <c r="L6" i="3" s="1"/>
  <c r="DW49" i="3"/>
  <c r="DW48" i="3"/>
  <c r="DW46" i="3"/>
  <c r="DW60" i="3"/>
  <c r="DW59" i="3"/>
  <c r="DW58" i="3"/>
  <c r="DW57" i="3"/>
  <c r="DW55" i="3"/>
  <c r="DW50" i="3"/>
  <c r="DW51" i="3"/>
  <c r="DW53" i="3"/>
  <c r="AI63" i="7"/>
  <c r="BR47" i="2"/>
  <c r="BM50" i="3" s="1"/>
  <c r="DT186" i="9"/>
  <c r="DT76" i="9"/>
  <c r="DZ261" i="2"/>
  <c r="DZ266" i="2"/>
  <c r="DZ248" i="2"/>
  <c r="DZ250" i="2"/>
  <c r="JJ240" i="2" s="1"/>
  <c r="DZ262" i="2"/>
  <c r="DZ256" i="2"/>
  <c r="DZ260" i="2"/>
  <c r="DZ267" i="2"/>
  <c r="DZ246" i="2"/>
  <c r="DZ255" i="2"/>
  <c r="DZ244" i="2"/>
  <c r="DZ265" i="2"/>
  <c r="DZ254" i="2"/>
  <c r="DZ241" i="2"/>
  <c r="DZ240" i="2"/>
  <c r="DZ239" i="2"/>
  <c r="DZ235" i="2"/>
  <c r="DZ233" i="2"/>
  <c r="DZ229" i="2"/>
  <c r="JJ200" i="2" s="1"/>
  <c r="DZ245" i="2"/>
  <c r="DZ228" i="2"/>
  <c r="JJ206" i="2" s="1"/>
  <c r="DZ249" i="2"/>
  <c r="DZ230" i="2"/>
  <c r="DZ251" i="2"/>
  <c r="DZ234" i="2"/>
  <c r="DZ257" i="2"/>
  <c r="DZ236" i="2"/>
  <c r="BG60" i="3"/>
  <c r="BG53" i="3"/>
  <c r="BG48" i="3"/>
  <c r="BG46" i="3"/>
  <c r="CC265" i="2"/>
  <c r="CC261" i="2"/>
  <c r="CC266" i="2"/>
  <c r="CC267" i="2"/>
  <c r="CC262" i="2"/>
  <c r="CC254" i="2"/>
  <c r="CC248" i="2"/>
  <c r="CC250" i="2"/>
  <c r="HM240" i="2" s="1"/>
  <c r="CC256" i="2"/>
  <c r="CC246" i="2"/>
  <c r="CC245" i="2"/>
  <c r="CC260" i="2"/>
  <c r="CC251" i="2"/>
  <c r="CC255" i="2"/>
  <c r="CC249" i="2"/>
  <c r="CC257" i="2"/>
  <c r="CC241" i="2"/>
  <c r="CC244" i="2"/>
  <c r="CC240" i="2"/>
  <c r="CC230" i="2"/>
  <c r="CC239" i="2"/>
  <c r="CC235" i="2"/>
  <c r="CC233" i="2"/>
  <c r="CC229" i="2"/>
  <c r="HM200" i="2" s="1"/>
  <c r="CC228" i="2"/>
  <c r="HM206" i="2" s="1"/>
  <c r="CC236" i="2"/>
  <c r="CC234" i="2"/>
  <c r="V248" i="2"/>
  <c r="DI47" i="2"/>
  <c r="K36" i="2"/>
  <c r="CV260" i="2"/>
  <c r="CV267" i="2"/>
  <c r="CV262" i="2"/>
  <c r="CV265" i="2"/>
  <c r="CV255" i="2"/>
  <c r="CV249" i="2"/>
  <c r="CV251" i="2"/>
  <c r="CV257" i="2"/>
  <c r="CV261" i="2"/>
  <c r="CV254" i="2"/>
  <c r="CV248" i="2"/>
  <c r="CV244" i="2"/>
  <c r="CV256" i="2"/>
  <c r="CV246" i="2"/>
  <c r="CV245" i="2"/>
  <c r="CV266" i="2"/>
  <c r="CV250" i="2"/>
  <c r="IF240" i="2" s="1"/>
  <c r="CV241" i="2"/>
  <c r="CV228" i="2"/>
  <c r="IF206" i="2" s="1"/>
  <c r="CV236" i="2"/>
  <c r="CV234" i="2"/>
  <c r="CV240" i="2"/>
  <c r="CV230" i="2"/>
  <c r="CV235" i="2"/>
  <c r="CV233" i="2"/>
  <c r="CV239" i="2"/>
  <c r="CV229" i="2"/>
  <c r="IF200" i="2" s="1"/>
  <c r="CE186" i="9"/>
  <c r="CE76" i="9"/>
  <c r="Y248" i="2"/>
  <c r="L129" i="2"/>
  <c r="L130" i="2" s="1"/>
  <c r="DB186" i="9"/>
  <c r="DB76" i="9"/>
  <c r="BY51" i="3"/>
  <c r="BY50" i="3"/>
  <c r="BY49" i="3"/>
  <c r="BY48" i="3"/>
  <c r="BY60" i="3"/>
  <c r="BY59" i="3"/>
  <c r="BY58" i="3"/>
  <c r="BY46" i="3"/>
  <c r="BY53" i="3"/>
  <c r="BY55" i="3"/>
  <c r="BY57" i="3"/>
  <c r="EK47" i="2"/>
  <c r="CR59" i="3"/>
  <c r="CR58" i="3"/>
  <c r="CR57" i="3"/>
  <c r="CR55" i="3"/>
  <c r="CR53" i="3"/>
  <c r="CR51" i="3"/>
  <c r="CR50" i="3"/>
  <c r="CR49" i="3"/>
  <c r="CR60" i="3"/>
  <c r="CR48" i="3"/>
  <c r="CR46" i="3"/>
  <c r="CH57" i="3"/>
  <c r="CH55" i="3"/>
  <c r="CH53" i="3"/>
  <c r="CH51" i="3"/>
  <c r="CH50" i="3"/>
  <c r="CH49" i="3"/>
  <c r="CH48" i="3"/>
  <c r="CH58" i="3"/>
  <c r="CH59" i="3"/>
  <c r="CH46" i="3"/>
  <c r="CH60" i="3"/>
  <c r="DR186" i="9"/>
  <c r="DR76" i="9"/>
  <c r="W129" i="2"/>
  <c r="W130" i="2" s="1"/>
  <c r="N129" i="2"/>
  <c r="N130" i="2" s="1"/>
  <c r="L73" i="2"/>
  <c r="CO186" i="9"/>
  <c r="CO76" i="9"/>
  <c r="CR186" i="9"/>
  <c r="CR76" i="9"/>
  <c r="BV260" i="2"/>
  <c r="BV267" i="2"/>
  <c r="BV262" i="2"/>
  <c r="BV265" i="2"/>
  <c r="BV261" i="2"/>
  <c r="BV246" i="2"/>
  <c r="BV266" i="2"/>
  <c r="BV255" i="2"/>
  <c r="BV249" i="2"/>
  <c r="BV251" i="2"/>
  <c r="BV257" i="2"/>
  <c r="BV254" i="2"/>
  <c r="BV256" i="2"/>
  <c r="BV244" i="2"/>
  <c r="BV245" i="2"/>
  <c r="BV239" i="2"/>
  <c r="BV235" i="2"/>
  <c r="BV233" i="2"/>
  <c r="BV229" i="2"/>
  <c r="HF200" i="2" s="1"/>
  <c r="BV250" i="2"/>
  <c r="HF240" i="2" s="1"/>
  <c r="BV248" i="2"/>
  <c r="BV236" i="2"/>
  <c r="BV234" i="2"/>
  <c r="BV240" i="2"/>
  <c r="BV230" i="2"/>
  <c r="BV228" i="2"/>
  <c r="HF206" i="2" s="1"/>
  <c r="BV241" i="2"/>
  <c r="BD48" i="3"/>
  <c r="BD60" i="3"/>
  <c r="BD46" i="3"/>
  <c r="BD53" i="3"/>
  <c r="CG186" i="9"/>
  <c r="CG76" i="9"/>
  <c r="AJ53" i="3"/>
  <c r="AJ60" i="3"/>
  <c r="AJ48" i="3"/>
  <c r="AJ46" i="3"/>
  <c r="AG248" i="2"/>
  <c r="BG248" i="2"/>
  <c r="DW267" i="2"/>
  <c r="DW262" i="2"/>
  <c r="DW265" i="2"/>
  <c r="DW261" i="2"/>
  <c r="DW266" i="2"/>
  <c r="DW251" i="2"/>
  <c r="DW257" i="2"/>
  <c r="DW254" i="2"/>
  <c r="DW248" i="2"/>
  <c r="DW250" i="2"/>
  <c r="JG240" i="2" s="1"/>
  <c r="DW260" i="2"/>
  <c r="DW256" i="2"/>
  <c r="DW255" i="2"/>
  <c r="DW249" i="2"/>
  <c r="DW245" i="2"/>
  <c r="DW246" i="2"/>
  <c r="DW228" i="2"/>
  <c r="JG206" i="2" s="1"/>
  <c r="DW236" i="2"/>
  <c r="DW234" i="2"/>
  <c r="DW241" i="2"/>
  <c r="DW230" i="2"/>
  <c r="DW240" i="2"/>
  <c r="DW244" i="2"/>
  <c r="DW239" i="2"/>
  <c r="DW235" i="2"/>
  <c r="DW233" i="2"/>
  <c r="DW229" i="2"/>
  <c r="JG200" i="2" s="1"/>
  <c r="EN261" i="2"/>
  <c r="EN266" i="2"/>
  <c r="EN260" i="2"/>
  <c r="EN267" i="2"/>
  <c r="EN262" i="2"/>
  <c r="EN250" i="2"/>
  <c r="JX240" i="2" s="1"/>
  <c r="EN256" i="2"/>
  <c r="EN246" i="2"/>
  <c r="EN255" i="2"/>
  <c r="EN249" i="2"/>
  <c r="EN265" i="2"/>
  <c r="EN251" i="2"/>
  <c r="EN254" i="2"/>
  <c r="EN244" i="2"/>
  <c r="EN257" i="2"/>
  <c r="EN240" i="2"/>
  <c r="EN241" i="2"/>
  <c r="EN245" i="2"/>
  <c r="EN239" i="2"/>
  <c r="EN235" i="2"/>
  <c r="EN233" i="2"/>
  <c r="EN229" i="2"/>
  <c r="JX200" i="2" s="1"/>
  <c r="EN228" i="2"/>
  <c r="JX206" i="2" s="1"/>
  <c r="EN248" i="2"/>
  <c r="EN230" i="2"/>
  <c r="EN234" i="2"/>
  <c r="EN236" i="2"/>
  <c r="CZ265" i="2"/>
  <c r="CZ261" i="2"/>
  <c r="CZ266" i="2"/>
  <c r="CZ260" i="2"/>
  <c r="CZ267" i="2"/>
  <c r="CZ257" i="2"/>
  <c r="CZ254" i="2"/>
  <c r="CZ248" i="2"/>
  <c r="CZ250" i="2"/>
  <c r="IJ240" i="2" s="1"/>
  <c r="CZ256" i="2"/>
  <c r="CZ246" i="2"/>
  <c r="CZ245" i="2"/>
  <c r="CZ251" i="2"/>
  <c r="CZ255" i="2"/>
  <c r="CZ249" i="2"/>
  <c r="CZ244" i="2"/>
  <c r="CZ236" i="2"/>
  <c r="CZ234" i="2"/>
  <c r="CZ240" i="2"/>
  <c r="CZ230" i="2"/>
  <c r="CZ239" i="2"/>
  <c r="CZ235" i="2"/>
  <c r="CZ233" i="2"/>
  <c r="CZ229" i="2"/>
  <c r="IJ200" i="2" s="1"/>
  <c r="CZ241" i="2"/>
  <c r="CZ262" i="2"/>
  <c r="CZ228" i="2"/>
  <c r="IJ206" i="2" s="1"/>
  <c r="CD186" i="9"/>
  <c r="CD76" i="9"/>
  <c r="AX248" i="2"/>
  <c r="CC186" i="9"/>
  <c r="CC76" i="9"/>
  <c r="AU60" i="3"/>
  <c r="AU53" i="3"/>
  <c r="AU48" i="3"/>
  <c r="AU46" i="3"/>
  <c r="EB59" i="3"/>
  <c r="EB58" i="3"/>
  <c r="EB57" i="3"/>
  <c r="EB55" i="3"/>
  <c r="EB53" i="3"/>
  <c r="EB51" i="3"/>
  <c r="EB50" i="3"/>
  <c r="EB49" i="3"/>
  <c r="EB60" i="3"/>
  <c r="EB48" i="3"/>
  <c r="EB46" i="3"/>
  <c r="EG260" i="2"/>
  <c r="EG267" i="2"/>
  <c r="EG262" i="2"/>
  <c r="EG265" i="2"/>
  <c r="EG261" i="2"/>
  <c r="EG255" i="2"/>
  <c r="EG249" i="2"/>
  <c r="EG251" i="2"/>
  <c r="EG257" i="2"/>
  <c r="EG254" i="2"/>
  <c r="EG248" i="2"/>
  <c r="EG250" i="2"/>
  <c r="JQ240" i="2" s="1"/>
  <c r="EG256" i="2"/>
  <c r="EG246" i="2"/>
  <c r="EG245" i="2"/>
  <c r="EG266" i="2"/>
  <c r="EG244" i="2"/>
  <c r="EG228" i="2"/>
  <c r="JQ206" i="2" s="1"/>
  <c r="EG236" i="2"/>
  <c r="EG234" i="2"/>
  <c r="EG230" i="2"/>
  <c r="EG241" i="2"/>
  <c r="EG240" i="2"/>
  <c r="EG235" i="2"/>
  <c r="EG239" i="2"/>
  <c r="EG229" i="2"/>
  <c r="JQ200" i="2" s="1"/>
  <c r="EG233" i="2"/>
  <c r="BU248" i="2"/>
  <c r="O248" i="2"/>
  <c r="BC48" i="3"/>
  <c r="BC60" i="3"/>
  <c r="BC46" i="3"/>
  <c r="BC53" i="3"/>
  <c r="AF248" i="2"/>
  <c r="DF57" i="3"/>
  <c r="DF55" i="3"/>
  <c r="DF53" i="3"/>
  <c r="DF51" i="3"/>
  <c r="DF50" i="3"/>
  <c r="DF49" i="3"/>
  <c r="DF48" i="3"/>
  <c r="DF58" i="3"/>
  <c r="DF59" i="3"/>
  <c r="DF60" i="3"/>
  <c r="DF46" i="3"/>
  <c r="ED47" i="2"/>
  <c r="AH60" i="3"/>
  <c r="AH53" i="3"/>
  <c r="AH48" i="3"/>
  <c r="AH46" i="3"/>
  <c r="DS55" i="3"/>
  <c r="DS53" i="3"/>
  <c r="DS51" i="3"/>
  <c r="DS50" i="3"/>
  <c r="DS49" i="3"/>
  <c r="DS48" i="3"/>
  <c r="DS59" i="3"/>
  <c r="DS60" i="3"/>
  <c r="DS57" i="3"/>
  <c r="DS58" i="3"/>
  <c r="DS46" i="3"/>
  <c r="CG266" i="2"/>
  <c r="CG260" i="2"/>
  <c r="CG267" i="2"/>
  <c r="CG262" i="2"/>
  <c r="CG256" i="2"/>
  <c r="CG246" i="2"/>
  <c r="CG255" i="2"/>
  <c r="CG249" i="2"/>
  <c r="CG251" i="2"/>
  <c r="CG257" i="2"/>
  <c r="CG244" i="2"/>
  <c r="CG250" i="2"/>
  <c r="HQ240" i="2" s="1"/>
  <c r="CG248" i="2"/>
  <c r="CG239" i="2"/>
  <c r="CG235" i="2"/>
  <c r="CG233" i="2"/>
  <c r="CG229" i="2"/>
  <c r="HQ200" i="2" s="1"/>
  <c r="CG254" i="2"/>
  <c r="CG241" i="2"/>
  <c r="CG261" i="2"/>
  <c r="CG245" i="2"/>
  <c r="CG228" i="2"/>
  <c r="HQ206" i="2" s="1"/>
  <c r="CG236" i="2"/>
  <c r="CG234" i="2"/>
  <c r="CG265" i="2"/>
  <c r="CG230" i="2"/>
  <c r="CG240" i="2"/>
  <c r="CR43" i="7"/>
  <c r="K82" i="7" s="1"/>
  <c r="C447" i="10"/>
  <c r="CR121" i="7"/>
  <c r="BE248" i="2"/>
  <c r="DL265" i="2"/>
  <c r="DL261" i="2"/>
  <c r="DL266" i="2"/>
  <c r="DL260" i="2"/>
  <c r="DL257" i="2"/>
  <c r="DL254" i="2"/>
  <c r="DL248" i="2"/>
  <c r="DL250" i="2"/>
  <c r="IV240" i="2" s="1"/>
  <c r="DL256" i="2"/>
  <c r="DL262" i="2"/>
  <c r="DL246" i="2"/>
  <c r="DL245" i="2"/>
  <c r="DL251" i="2"/>
  <c r="DL255" i="2"/>
  <c r="DL249" i="2"/>
  <c r="DL236" i="2"/>
  <c r="DL234" i="2"/>
  <c r="DL230" i="2"/>
  <c r="DL240" i="2"/>
  <c r="DL267" i="2"/>
  <c r="DL239" i="2"/>
  <c r="DL235" i="2"/>
  <c r="DL233" i="2"/>
  <c r="DL229" i="2"/>
  <c r="IV200" i="2" s="1"/>
  <c r="DL241" i="2"/>
  <c r="DL228" i="2"/>
  <c r="IV206" i="2" s="1"/>
  <c r="DL244" i="2"/>
  <c r="AW248" i="2"/>
  <c r="AL53" i="3"/>
  <c r="AL48" i="3"/>
  <c r="AL46" i="3"/>
  <c r="AL60" i="3"/>
  <c r="CB186" i="9"/>
  <c r="CB76" i="9"/>
  <c r="CH260" i="2"/>
  <c r="CH267" i="2"/>
  <c r="CH262" i="2"/>
  <c r="CH265" i="2"/>
  <c r="CH261" i="2"/>
  <c r="CH266" i="2"/>
  <c r="CH246" i="2"/>
  <c r="CH255" i="2"/>
  <c r="CH249" i="2"/>
  <c r="CH251" i="2"/>
  <c r="CH257" i="2"/>
  <c r="CH254" i="2"/>
  <c r="CH244" i="2"/>
  <c r="CH250" i="2"/>
  <c r="HR240" i="2" s="1"/>
  <c r="CH248" i="2"/>
  <c r="CH245" i="2"/>
  <c r="CH239" i="2"/>
  <c r="CH235" i="2"/>
  <c r="CH233" i="2"/>
  <c r="CH229" i="2"/>
  <c r="HR200" i="2" s="1"/>
  <c r="CH241" i="2"/>
  <c r="CH256" i="2"/>
  <c r="CH236" i="2"/>
  <c r="CH234" i="2"/>
  <c r="CH240" i="2"/>
  <c r="CH230" i="2"/>
  <c r="CH228" i="2"/>
  <c r="HR206" i="2" s="1"/>
  <c r="T248" i="2"/>
  <c r="AI59" i="7"/>
  <c r="Z129" i="2"/>
  <c r="Z130" i="2" s="1"/>
  <c r="AE48" i="3"/>
  <c r="AE60" i="3"/>
  <c r="AE46" i="3"/>
  <c r="AE53" i="3"/>
  <c r="CX50" i="3"/>
  <c r="CX49" i="3"/>
  <c r="CX48" i="3"/>
  <c r="CX60" i="3"/>
  <c r="CX59" i="3"/>
  <c r="CX58" i="3"/>
  <c r="CX57" i="3"/>
  <c r="CX46" i="3"/>
  <c r="CX51" i="3"/>
  <c r="CX53" i="3"/>
  <c r="CX55" i="3"/>
  <c r="BZ186" i="9"/>
  <c r="BZ76" i="9"/>
  <c r="BX53" i="3"/>
  <c r="BX51" i="3"/>
  <c r="BX50" i="3"/>
  <c r="BX49" i="3"/>
  <c r="BX48" i="3"/>
  <c r="BX60" i="3"/>
  <c r="BX58" i="3"/>
  <c r="BX46" i="3"/>
  <c r="BX59" i="3"/>
  <c r="BX55" i="3"/>
  <c r="BX57" i="3"/>
  <c r="BW55" i="3"/>
  <c r="BW53" i="3"/>
  <c r="BW51" i="3"/>
  <c r="BW50" i="3"/>
  <c r="BW49" i="3"/>
  <c r="BW57" i="3"/>
  <c r="BW48" i="3"/>
  <c r="BW58" i="3"/>
  <c r="BW46" i="3"/>
  <c r="BW59" i="3"/>
  <c r="BW60" i="3"/>
  <c r="CY186" i="9"/>
  <c r="CY76" i="9"/>
  <c r="BE60" i="3"/>
  <c r="BE53" i="3"/>
  <c r="BE48" i="3"/>
  <c r="BE46" i="3"/>
  <c r="BQ60" i="3"/>
  <c r="BQ59" i="3"/>
  <c r="BQ58" i="3"/>
  <c r="BQ57" i="3"/>
  <c r="BQ55" i="3"/>
  <c r="BQ53" i="3"/>
  <c r="BQ51" i="3"/>
  <c r="BQ48" i="3"/>
  <c r="BQ49" i="3"/>
  <c r="BQ50" i="3"/>
  <c r="BQ46" i="3"/>
  <c r="D89" i="4" a="1"/>
  <c r="D89" i="4" s="1"/>
  <c r="D88" i="4" s="1"/>
  <c r="G8" i="4" s="1"/>
  <c r="G5" i="4"/>
  <c r="E87" i="4"/>
  <c r="BS60" i="3"/>
  <c r="BS59" i="3"/>
  <c r="BS58" i="3"/>
  <c r="BS57" i="3"/>
  <c r="BS55" i="3"/>
  <c r="BS53" i="3"/>
  <c r="BS51" i="3"/>
  <c r="BS50" i="3"/>
  <c r="BS48" i="3"/>
  <c r="BS49" i="3"/>
  <c r="BS46" i="3"/>
  <c r="AD248" i="2"/>
  <c r="AX53" i="3"/>
  <c r="AX48" i="3"/>
  <c r="AX46" i="3"/>
  <c r="AX60" i="3"/>
  <c r="AK129" i="2"/>
  <c r="AK130" i="2" s="1"/>
  <c r="K37" i="2"/>
  <c r="IZ52" i="2" l="1"/>
  <c r="AE196" i="2"/>
  <c r="Y75" i="9" s="1"/>
  <c r="Y186" i="9" s="1"/>
  <c r="AA187" i="9" s="1"/>
  <c r="BP196" i="2"/>
  <c r="BJ75" i="9" s="1"/>
  <c r="BJ186" i="9" s="1"/>
  <c r="HV52" i="2"/>
  <c r="BZ57" i="2"/>
  <c r="HJ54" i="2" s="1"/>
  <c r="Z57" i="2"/>
  <c r="FJ54" i="2" s="1"/>
  <c r="IO52" i="2"/>
  <c r="HS52" i="2"/>
  <c r="CM49" i="2"/>
  <c r="BY49" i="2"/>
  <c r="HQ52" i="2"/>
  <c r="JA52" i="2"/>
  <c r="HX52" i="2"/>
  <c r="IY52" i="2"/>
  <c r="DE49" i="2"/>
  <c r="BO49" i="2"/>
  <c r="AL49" i="2"/>
  <c r="DE57" i="2"/>
  <c r="IO54" i="2" s="1"/>
  <c r="BK50" i="3"/>
  <c r="BK51" i="3" s="1"/>
  <c r="BK55" i="3" s="1"/>
  <c r="AB57" i="2"/>
  <c r="FL54" i="2" s="1"/>
  <c r="Y49" i="2"/>
  <c r="FJ52" i="2"/>
  <c r="BP57" i="2"/>
  <c r="GZ54" i="2" s="1"/>
  <c r="GZ52" i="2"/>
  <c r="JC52" i="2"/>
  <c r="DA57" i="2"/>
  <c r="IK54" i="2" s="1"/>
  <c r="BP49" i="2"/>
  <c r="BF57" i="2"/>
  <c r="GP54" i="2" s="1"/>
  <c r="JK52" i="2"/>
  <c r="GS52" i="2"/>
  <c r="DY49" i="2"/>
  <c r="IQ52" i="2"/>
  <c r="AO196" i="2"/>
  <c r="AI75" i="9" s="1"/>
  <c r="AI186" i="9" s="1"/>
  <c r="FE52" i="2"/>
  <c r="BS57" i="2"/>
  <c r="HC54" i="2" s="1"/>
  <c r="JJ52" i="2"/>
  <c r="BS196" i="2"/>
  <c r="BM75" i="9" s="1"/>
  <c r="BM186" i="9" s="1"/>
  <c r="BO187" i="9" s="1"/>
  <c r="Z196" i="2"/>
  <c r="T75" i="9" s="1"/>
  <c r="BU57" i="2"/>
  <c r="HE54" i="2" s="1"/>
  <c r="N49" i="2"/>
  <c r="BU196" i="2"/>
  <c r="BO75" i="9" s="1"/>
  <c r="DY57" i="2"/>
  <c r="JI54" i="2" s="1"/>
  <c r="JI52" i="2"/>
  <c r="BM196" i="2"/>
  <c r="BG75" i="9" s="1"/>
  <c r="BG186" i="9" s="1"/>
  <c r="BI187" i="9" s="1"/>
  <c r="BC196" i="2"/>
  <c r="AW75" i="9" s="1"/>
  <c r="AW186" i="9" s="1"/>
  <c r="AY187" i="9" s="1"/>
  <c r="CJ49" i="2"/>
  <c r="EY52" i="2"/>
  <c r="BJ57" i="2"/>
  <c r="GT54" i="2" s="1"/>
  <c r="CW49" i="2"/>
  <c r="AF57" i="2"/>
  <c r="FP54" i="2" s="1"/>
  <c r="CE57" i="2"/>
  <c r="HO54" i="2" s="1"/>
  <c r="BF196" i="2"/>
  <c r="AZ75" i="9" s="1"/>
  <c r="CE49" i="2"/>
  <c r="HO52" i="2"/>
  <c r="HJ52" i="2"/>
  <c r="BF49" i="2"/>
  <c r="AP57" i="2"/>
  <c r="FZ54" i="2" s="1"/>
  <c r="BZ49" i="2"/>
  <c r="GP52" i="2"/>
  <c r="FP52" i="2"/>
  <c r="JH52" i="2"/>
  <c r="AH49" i="2"/>
  <c r="DO57" i="2"/>
  <c r="IY54" i="2" s="1"/>
  <c r="DO49" i="2"/>
  <c r="BA49" i="3"/>
  <c r="BA51" i="3" s="1"/>
  <c r="BA55" i="3" s="1"/>
  <c r="EV52" i="2"/>
  <c r="CR49" i="2"/>
  <c r="Q196" i="2"/>
  <c r="K75" i="9" s="1"/>
  <c r="JL52" i="2"/>
  <c r="O196" i="2"/>
  <c r="I75" i="9" s="1"/>
  <c r="I186" i="9" s="1"/>
  <c r="K187" i="9" s="1"/>
  <c r="HY52" i="2"/>
  <c r="GT52" i="2"/>
  <c r="AL57" i="2"/>
  <c r="FV54" i="2" s="1"/>
  <c r="AK49" i="2"/>
  <c r="FV52" i="2"/>
  <c r="AK50" i="3"/>
  <c r="AK51" i="3" s="1"/>
  <c r="AK55" i="3" s="1"/>
  <c r="CO57" i="2"/>
  <c r="HY54" i="2" s="1"/>
  <c r="CO49" i="2"/>
  <c r="EH57" i="2"/>
  <c r="JR54" i="2" s="1"/>
  <c r="AA49" i="2"/>
  <c r="FL52" i="2"/>
  <c r="G50" i="3"/>
  <c r="G51" i="3" s="1"/>
  <c r="G55" i="3" s="1"/>
  <c r="HF52" i="2"/>
  <c r="JX52" i="2"/>
  <c r="GK52" i="2"/>
  <c r="GJ52" i="2"/>
  <c r="BX49" i="2"/>
  <c r="AB196" i="2"/>
  <c r="V75" i="9" s="1"/>
  <c r="V186" i="9" s="1"/>
  <c r="X187" i="9" s="1"/>
  <c r="U49" i="2"/>
  <c r="EN57" i="2"/>
  <c r="JX54" i="2" s="1"/>
  <c r="GI52" i="2"/>
  <c r="EN49" i="2"/>
  <c r="IP52" i="2"/>
  <c r="DU49" i="2"/>
  <c r="AT57" i="2"/>
  <c r="AO58" i="3" s="1"/>
  <c r="BJ49" i="2"/>
  <c r="DG49" i="2"/>
  <c r="BE49" i="3"/>
  <c r="BE51" i="3" s="1"/>
  <c r="BE55" i="3" s="1"/>
  <c r="O57" i="2"/>
  <c r="EY54" i="2" s="1"/>
  <c r="IW52" i="2"/>
  <c r="FK52" i="2"/>
  <c r="IU52" i="2"/>
  <c r="AO50" i="3"/>
  <c r="AO51" i="3" s="1"/>
  <c r="AO55" i="3" s="1"/>
  <c r="W50" i="3"/>
  <c r="W51" i="3" s="1"/>
  <c r="W55" i="3" s="1"/>
  <c r="GD52" i="2"/>
  <c r="BS49" i="2"/>
  <c r="V196" i="2"/>
  <c r="P75" i="9" s="1"/>
  <c r="Q50" i="3"/>
  <c r="Q51" i="3" s="1"/>
  <c r="Q55" i="3" s="1"/>
  <c r="HC52" i="2"/>
  <c r="BL196" i="2"/>
  <c r="BF75" i="9" s="1"/>
  <c r="AT49" i="2"/>
  <c r="DS57" i="2"/>
  <c r="JC54" i="2" s="1"/>
  <c r="DF57" i="2"/>
  <c r="IP54" i="2" s="1"/>
  <c r="BJ196" i="2"/>
  <c r="BD75" i="9" s="1"/>
  <c r="BD76" i="9" s="1"/>
  <c r="HG52" i="2"/>
  <c r="BN50" i="3"/>
  <c r="BN51" i="3" s="1"/>
  <c r="BN55" i="3" s="1"/>
  <c r="DF49" i="2"/>
  <c r="EB57" i="2"/>
  <c r="JL54" i="2" s="1"/>
  <c r="V57" i="2"/>
  <c r="FF54" i="2" s="1"/>
  <c r="BK57" i="2"/>
  <c r="BF58" i="3" s="1"/>
  <c r="DU57" i="2"/>
  <c r="JE54" i="2" s="1"/>
  <c r="JE52" i="2"/>
  <c r="EB49" i="2"/>
  <c r="FF52" i="2"/>
  <c r="FZ52" i="2"/>
  <c r="AO49" i="2"/>
  <c r="JT52" i="2"/>
  <c r="DK49" i="2"/>
  <c r="Z49" i="2"/>
  <c r="AA57" i="2"/>
  <c r="FK54" i="2" s="1"/>
  <c r="AQ196" i="2"/>
  <c r="AK75" i="9" s="1"/>
  <c r="R196" i="2"/>
  <c r="L75" i="9" s="1"/>
  <c r="R57" i="2"/>
  <c r="FB54" i="2" s="1"/>
  <c r="FB52" i="2"/>
  <c r="EA57" i="2"/>
  <c r="JK54" i="2" s="1"/>
  <c r="Q49" i="2"/>
  <c r="AJ196" i="2"/>
  <c r="AD75" i="9" s="1"/>
  <c r="JG52" i="2"/>
  <c r="GG52" i="2"/>
  <c r="AY57" i="2"/>
  <c r="GI54" i="2" s="1"/>
  <c r="AT50" i="3"/>
  <c r="AT51" i="3" s="1"/>
  <c r="AT55" i="3" s="1"/>
  <c r="HT52" i="2"/>
  <c r="CP57" i="2"/>
  <c r="HZ54" i="2" s="1"/>
  <c r="DK57" i="2"/>
  <c r="IU54" i="2" s="1"/>
  <c r="AY49" i="2"/>
  <c r="V49" i="3"/>
  <c r="V51" i="3" s="1"/>
  <c r="V55" i="3" s="1"/>
  <c r="J50" i="3"/>
  <c r="J51" i="3" s="1"/>
  <c r="J55" i="3" s="1"/>
  <c r="IC52" i="2"/>
  <c r="EZ52" i="2"/>
  <c r="JF52" i="2"/>
  <c r="HL52" i="2"/>
  <c r="AZ49" i="2"/>
  <c r="CK49" i="2"/>
  <c r="HZ52" i="2"/>
  <c r="DD49" i="2"/>
  <c r="CP49" i="2"/>
  <c r="AP196" i="2"/>
  <c r="AJ75" i="9" s="1"/>
  <c r="DN49" i="2"/>
  <c r="AE49" i="2"/>
  <c r="BP50" i="3"/>
  <c r="BP51" i="3" s="1"/>
  <c r="BP55" i="3" s="1"/>
  <c r="AY196" i="2"/>
  <c r="AS75" i="9" s="1"/>
  <c r="AS76" i="9" s="1"/>
  <c r="CK57" i="2"/>
  <c r="HU54" i="2" s="1"/>
  <c r="BU49" i="2"/>
  <c r="BW57" i="2"/>
  <c r="HG54" i="2" s="1"/>
  <c r="AJ57" i="2"/>
  <c r="FT54" i="2" s="1"/>
  <c r="JB52" i="2"/>
  <c r="CV49" i="2"/>
  <c r="AE49" i="3"/>
  <c r="AE51" i="3" s="1"/>
  <c r="AE55" i="3" s="1"/>
  <c r="HU52" i="2"/>
  <c r="DW57" i="2"/>
  <c r="JG54" i="2" s="1"/>
  <c r="AF196" i="2"/>
  <c r="Z75" i="9" s="1"/>
  <c r="HE52" i="2"/>
  <c r="BW49" i="2"/>
  <c r="AI49" i="2"/>
  <c r="AD196" i="2"/>
  <c r="X75" i="9" s="1"/>
  <c r="DQ57" i="2"/>
  <c r="JA54" i="2" s="1"/>
  <c r="CB57" i="2"/>
  <c r="HL54" i="2" s="1"/>
  <c r="AR49" i="3"/>
  <c r="AR51" i="3" s="1"/>
  <c r="AR55" i="3" s="1"/>
  <c r="CS49" i="2"/>
  <c r="BF50" i="3"/>
  <c r="BF51" i="3" s="1"/>
  <c r="BF55" i="3" s="1"/>
  <c r="FT52" i="2"/>
  <c r="GN52" i="2"/>
  <c r="DQ49" i="2"/>
  <c r="CB49" i="2"/>
  <c r="AN50" i="3"/>
  <c r="AN51" i="3" s="1"/>
  <c r="AN55" i="3" s="1"/>
  <c r="AA50" i="3"/>
  <c r="AA51" i="3" s="1"/>
  <c r="AA55" i="3" s="1"/>
  <c r="BM49" i="2"/>
  <c r="DN57" i="2"/>
  <c r="IX54" i="2" s="1"/>
  <c r="P57" i="2"/>
  <c r="EZ54" i="2" s="1"/>
  <c r="CI57" i="2"/>
  <c r="HS54" i="2" s="1"/>
  <c r="AW57" i="2"/>
  <c r="GG54" i="2" s="1"/>
  <c r="GR52" i="2"/>
  <c r="DW49" i="2"/>
  <c r="O49" i="2"/>
  <c r="CI49" i="2"/>
  <c r="AW49" i="2"/>
  <c r="JS52" i="2"/>
  <c r="CJ57" i="2"/>
  <c r="HT54" i="2" s="1"/>
  <c r="DM49" i="2"/>
  <c r="AZ57" i="2"/>
  <c r="GW52" i="2"/>
  <c r="AW196" i="2"/>
  <c r="AQ75" i="9" s="1"/>
  <c r="AQ76" i="9" s="1"/>
  <c r="JM52" i="2"/>
  <c r="AL196" i="2"/>
  <c r="AF75" i="9" s="1"/>
  <c r="AF186" i="9" s="1"/>
  <c r="AH187" i="9" s="1"/>
  <c r="EC49" i="2"/>
  <c r="EC57" i="2"/>
  <c r="JM54" i="2" s="1"/>
  <c r="IK52" i="2"/>
  <c r="ID52" i="2"/>
  <c r="BB196" i="2"/>
  <c r="AV75" i="9" s="1"/>
  <c r="AV186" i="9" s="1"/>
  <c r="AX187" i="9" s="1"/>
  <c r="CN57" i="2"/>
  <c r="HX54" i="2" s="1"/>
  <c r="DT49" i="2"/>
  <c r="CN49" i="2"/>
  <c r="AA196" i="2"/>
  <c r="U75" i="9" s="1"/>
  <c r="GX52" i="2"/>
  <c r="AT196" i="2"/>
  <c r="AN75" i="9" s="1"/>
  <c r="AN186" i="9" s="1"/>
  <c r="AP187" i="9" s="1"/>
  <c r="DJ49" i="2"/>
  <c r="L57" i="2"/>
  <c r="G58" i="3" s="1"/>
  <c r="BH50" i="3"/>
  <c r="BH51" i="3" s="1"/>
  <c r="BH55" i="3" s="1"/>
  <c r="CU57" i="2"/>
  <c r="IE54" i="2" s="1"/>
  <c r="AZ196" i="2"/>
  <c r="AT75" i="9" s="1"/>
  <c r="EH49" i="2"/>
  <c r="BM57" i="2"/>
  <c r="GW54" i="2" s="1"/>
  <c r="EF49" i="2"/>
  <c r="DT57" i="2"/>
  <c r="JD54" i="2" s="1"/>
  <c r="JR52" i="2"/>
  <c r="AC196" i="2"/>
  <c r="W75" i="9" s="1"/>
  <c r="W186" i="9" s="1"/>
  <c r="Y187" i="9" s="1"/>
  <c r="GQ52" i="2"/>
  <c r="AS196" i="2"/>
  <c r="AM75" i="9" s="1"/>
  <c r="GC54" i="2"/>
  <c r="AN58" i="3"/>
  <c r="CC49" i="2"/>
  <c r="IB52" i="2"/>
  <c r="EF57" i="2"/>
  <c r="JP54" i="2" s="1"/>
  <c r="BD50" i="3"/>
  <c r="BD51" i="3" s="1"/>
  <c r="BD55" i="3" s="1"/>
  <c r="CR57" i="2"/>
  <c r="IB54" i="2" s="1"/>
  <c r="GC52" i="2"/>
  <c r="BC50" i="3"/>
  <c r="BC51" i="3" s="1"/>
  <c r="BC55" i="3" s="1"/>
  <c r="JD52" i="2"/>
  <c r="P49" i="2"/>
  <c r="AS49" i="2"/>
  <c r="CV57" i="2"/>
  <c r="IF54" i="2" s="1"/>
  <c r="JP52" i="2"/>
  <c r="BG57" i="2"/>
  <c r="GQ54" i="2" s="1"/>
  <c r="DZ57" i="2"/>
  <c r="JJ54" i="2" s="1"/>
  <c r="IF52" i="2"/>
  <c r="BG49" i="2"/>
  <c r="DZ49" i="2"/>
  <c r="AD49" i="3"/>
  <c r="AD51" i="3" s="1"/>
  <c r="AD55" i="3" s="1"/>
  <c r="L196" i="2"/>
  <c r="F75" i="9" s="1"/>
  <c r="F186" i="9" s="1"/>
  <c r="AI57" i="2"/>
  <c r="FS54" i="2" s="1"/>
  <c r="DJ57" i="2"/>
  <c r="IT54" i="2" s="1"/>
  <c r="FS52" i="2"/>
  <c r="AI196" i="2"/>
  <c r="AC75" i="9" s="1"/>
  <c r="EJ57" i="2"/>
  <c r="JT54" i="2" s="1"/>
  <c r="IT52" i="2"/>
  <c r="IG52" i="2"/>
  <c r="AH50" i="3"/>
  <c r="AH51" i="3" s="1"/>
  <c r="AH55" i="3" s="1"/>
  <c r="EJ49" i="2"/>
  <c r="CW57" i="2"/>
  <c r="IG54" i="2" s="1"/>
  <c r="AJ50" i="3"/>
  <c r="AJ51" i="3" s="1"/>
  <c r="AJ55" i="3" s="1"/>
  <c r="AV50" i="3"/>
  <c r="AV51" i="3" s="1"/>
  <c r="AV55" i="3" s="1"/>
  <c r="EI57" i="2"/>
  <c r="JS54" i="2" s="1"/>
  <c r="JV52" i="2"/>
  <c r="BA49" i="2"/>
  <c r="DX49" i="2"/>
  <c r="BD49" i="2"/>
  <c r="IX52" i="2"/>
  <c r="GF52" i="2"/>
  <c r="P50" i="3"/>
  <c r="P51" i="3" s="1"/>
  <c r="P55" i="3" s="1"/>
  <c r="BD57" i="2"/>
  <c r="GN54" i="2" s="1"/>
  <c r="U57" i="2"/>
  <c r="IV52" i="2"/>
  <c r="GM52" i="2"/>
  <c r="L49" i="3"/>
  <c r="L51" i="3" s="1"/>
  <c r="L55" i="3" s="1"/>
  <c r="DP49" i="2"/>
  <c r="DM57" i="2"/>
  <c r="IW54" i="2" s="1"/>
  <c r="U196" i="2"/>
  <c r="O75" i="9" s="1"/>
  <c r="BG196" i="2"/>
  <c r="BA75" i="9" s="1"/>
  <c r="BA186" i="9" s="1"/>
  <c r="CA49" i="2"/>
  <c r="AO57" i="2"/>
  <c r="X50" i="3"/>
  <c r="X51" i="3" s="1"/>
  <c r="X55" i="3" s="1"/>
  <c r="AC57" i="2"/>
  <c r="FM54" i="2" s="1"/>
  <c r="BH196" i="2"/>
  <c r="BB75" i="9" s="1"/>
  <c r="FM52" i="2"/>
  <c r="Q57" i="2"/>
  <c r="FA54" i="2" s="1"/>
  <c r="BH57" i="2"/>
  <c r="GR54" i="2" s="1"/>
  <c r="AR196" i="2"/>
  <c r="AL75" i="9" s="1"/>
  <c r="DA49" i="2"/>
  <c r="AB49" i="2"/>
  <c r="FA52" i="2"/>
  <c r="DL49" i="2"/>
  <c r="DG57" i="2"/>
  <c r="IQ54" i="2" s="1"/>
  <c r="DV57" i="2"/>
  <c r="JF54" i="2" s="1"/>
  <c r="AM196" i="2"/>
  <c r="AG75" i="9" s="1"/>
  <c r="DV49" i="2"/>
  <c r="AQ57" i="2"/>
  <c r="GA54" i="2" s="1"/>
  <c r="P196" i="2"/>
  <c r="J75" i="9" s="1"/>
  <c r="J186" i="9" s="1"/>
  <c r="L187" i="9" s="1"/>
  <c r="BH49" i="2"/>
  <c r="DP57" i="2"/>
  <c r="IZ54" i="2" s="1"/>
  <c r="IN52" i="2"/>
  <c r="AM57" i="2"/>
  <c r="FW52" i="2"/>
  <c r="AP49" i="2"/>
  <c r="CL57" i="2"/>
  <c r="HV54" i="2" s="1"/>
  <c r="M196" i="2"/>
  <c r="G75" i="9" s="1"/>
  <c r="GL52" i="2"/>
  <c r="BV57" i="2"/>
  <c r="HF54" i="2" s="1"/>
  <c r="BB49" i="2"/>
  <c r="BV49" i="2"/>
  <c r="FC52" i="2"/>
  <c r="BB57" i="2"/>
  <c r="DL57" i="2"/>
  <c r="IV54" i="2" s="1"/>
  <c r="JW52" i="2"/>
  <c r="W196" i="2"/>
  <c r="Q75" i="9" s="1"/>
  <c r="DS49" i="2"/>
  <c r="EA49" i="2"/>
  <c r="GA52" i="2"/>
  <c r="BI196" i="2"/>
  <c r="BC75" i="9" s="1"/>
  <c r="BI57" i="2"/>
  <c r="GS54" i="2" s="1"/>
  <c r="BI49" i="2"/>
  <c r="CY49" i="2"/>
  <c r="DD57" i="2"/>
  <c r="IN54" i="2" s="1"/>
  <c r="CS57" i="2"/>
  <c r="IC54" i="2" s="1"/>
  <c r="DX57" i="2"/>
  <c r="JH54" i="2" s="1"/>
  <c r="BA196" i="2"/>
  <c r="AU75" i="9" s="1"/>
  <c r="AG196" i="2"/>
  <c r="AA75" i="9" s="1"/>
  <c r="GU52" i="2"/>
  <c r="AV57" i="2"/>
  <c r="GF54" i="2" s="1"/>
  <c r="AV49" i="2"/>
  <c r="JO52" i="2"/>
  <c r="BI50" i="3"/>
  <c r="BI51" i="3" s="1"/>
  <c r="BI55" i="3" s="1"/>
  <c r="EL57" i="2"/>
  <c r="JV54" i="2" s="1"/>
  <c r="BJ50" i="3"/>
  <c r="BJ51" i="3" s="1"/>
  <c r="BJ55" i="3" s="1"/>
  <c r="BB49" i="3"/>
  <c r="BB51" i="3" s="1"/>
  <c r="BB55" i="3" s="1"/>
  <c r="CL49" i="2"/>
  <c r="BO196" i="2"/>
  <c r="BI75" i="9" s="1"/>
  <c r="EM57" i="2"/>
  <c r="JW54" i="2" s="1"/>
  <c r="BX57" i="2"/>
  <c r="HH54" i="2" s="1"/>
  <c r="EL49" i="2"/>
  <c r="W57" i="2"/>
  <c r="V49" i="2"/>
  <c r="BO57" i="2"/>
  <c r="EM49" i="2"/>
  <c r="AU51" i="3"/>
  <c r="AU55" i="3" s="1"/>
  <c r="R50" i="3"/>
  <c r="R51" i="3" s="1"/>
  <c r="R55" i="3" s="1"/>
  <c r="FG52" i="2"/>
  <c r="BN49" i="2"/>
  <c r="GY52" i="2"/>
  <c r="BD196" i="2"/>
  <c r="AX75" i="9" s="1"/>
  <c r="AX76" i="9" s="1"/>
  <c r="CT57" i="2"/>
  <c r="ID54" i="2" s="1"/>
  <c r="CT49" i="2"/>
  <c r="EW52" i="2"/>
  <c r="HM52" i="2"/>
  <c r="JQ52" i="2"/>
  <c r="BK196" i="2"/>
  <c r="BE75" i="9" s="1"/>
  <c r="BK49" i="2"/>
  <c r="CA57" i="2"/>
  <c r="HK54" i="2" s="1"/>
  <c r="FU52" i="2"/>
  <c r="FY52" i="2"/>
  <c r="EI49" i="2"/>
  <c r="AV196" i="2"/>
  <c r="AP75" i="9" s="1"/>
  <c r="AN49" i="2"/>
  <c r="CC57" i="2"/>
  <c r="HM54" i="2" s="1"/>
  <c r="S57" i="2"/>
  <c r="FC54" i="2" s="1"/>
  <c r="BQ196" i="2"/>
  <c r="BK75" i="9" s="1"/>
  <c r="HK52" i="2"/>
  <c r="AM50" i="3"/>
  <c r="AM51" i="3" s="1"/>
  <c r="AM55" i="3" s="1"/>
  <c r="T49" i="2"/>
  <c r="HH52" i="2"/>
  <c r="BA57" i="2"/>
  <c r="CG57" i="2"/>
  <c r="HQ54" i="2" s="1"/>
  <c r="AG57" i="2"/>
  <c r="FQ54" i="2" s="1"/>
  <c r="DR57" i="2"/>
  <c r="JB54" i="2" s="1"/>
  <c r="R49" i="2"/>
  <c r="EE57" i="2"/>
  <c r="JO54" i="2" s="1"/>
  <c r="CG49" i="2"/>
  <c r="X57" i="2"/>
  <c r="FH54" i="2" s="1"/>
  <c r="DR49" i="2"/>
  <c r="M57" i="2"/>
  <c r="EW54" i="2" s="1"/>
  <c r="CU49" i="2"/>
  <c r="EG49" i="2"/>
  <c r="BN196" i="2"/>
  <c r="BH75" i="9" s="1"/>
  <c r="W49" i="2"/>
  <c r="S196" i="2"/>
  <c r="M75" i="9" s="1"/>
  <c r="EG57" i="2"/>
  <c r="JQ54" i="2" s="1"/>
  <c r="BN57" i="2"/>
  <c r="GX54" i="2" s="1"/>
  <c r="AY51" i="3"/>
  <c r="AY55" i="3" s="1"/>
  <c r="AF49" i="2"/>
  <c r="BQ57" i="2"/>
  <c r="HA54" i="2" s="1"/>
  <c r="FH52" i="2"/>
  <c r="FQ52" i="2"/>
  <c r="X196" i="2"/>
  <c r="R75" i="9" s="1"/>
  <c r="R186" i="9" s="1"/>
  <c r="BQ49" i="2"/>
  <c r="HA52" i="2"/>
  <c r="AB50" i="3"/>
  <c r="AB51" i="3" s="1"/>
  <c r="AB55" i="3" s="1"/>
  <c r="D90" i="4"/>
  <c r="G6" i="4" s="1"/>
  <c r="G7" i="4" s="1"/>
  <c r="AP51" i="3"/>
  <c r="AP55" i="3" s="1"/>
  <c r="U51" i="3"/>
  <c r="U55" i="3" s="1"/>
  <c r="BC57" i="2"/>
  <c r="BL51" i="3"/>
  <c r="BL55" i="3" s="1"/>
  <c r="BC49" i="2"/>
  <c r="AR57" i="2"/>
  <c r="BM51" i="3"/>
  <c r="BM55" i="3" s="1"/>
  <c r="AR49" i="2"/>
  <c r="Y50" i="3"/>
  <c r="Y51" i="3" s="1"/>
  <c r="Y55" i="3" s="1"/>
  <c r="GB52" i="2"/>
  <c r="K51" i="3"/>
  <c r="K55" i="3" s="1"/>
  <c r="T51" i="3"/>
  <c r="T55" i="3" s="1"/>
  <c r="AW51" i="3"/>
  <c r="AW55" i="3" s="1"/>
  <c r="AQ49" i="2"/>
  <c r="AX50" i="3"/>
  <c r="AX51" i="3" s="1"/>
  <c r="AX55" i="3" s="1"/>
  <c r="BG50" i="3"/>
  <c r="BG51" i="3" s="1"/>
  <c r="BG55" i="3" s="1"/>
  <c r="FO52" i="2"/>
  <c r="CY57" i="2"/>
  <c r="II54" i="2" s="1"/>
  <c r="CM57" i="2"/>
  <c r="HW54" i="2" s="1"/>
  <c r="AD49" i="2"/>
  <c r="HW52" i="2"/>
  <c r="BY57" i="2"/>
  <c r="HI54" i="2" s="1"/>
  <c r="CF49" i="2"/>
  <c r="CF57" i="2"/>
  <c r="HP54" i="2" s="1"/>
  <c r="HP52" i="2"/>
  <c r="AI51" i="3"/>
  <c r="AI55" i="3" s="1"/>
  <c r="HI52" i="2"/>
  <c r="IE52" i="2"/>
  <c r="II52" i="2"/>
  <c r="AL51" i="3"/>
  <c r="AL55" i="3" s="1"/>
  <c r="AD57" i="2"/>
  <c r="FN54" i="2" s="1"/>
  <c r="AZ51" i="3"/>
  <c r="AZ55" i="3" s="1"/>
  <c r="AK196" i="2"/>
  <c r="AE75" i="9" s="1"/>
  <c r="AX196" i="2"/>
  <c r="AR75" i="9" s="1"/>
  <c r="AF51" i="3"/>
  <c r="AF55" i="3" s="1"/>
  <c r="FN52" i="2"/>
  <c r="AG51" i="3"/>
  <c r="AG55" i="3" s="1"/>
  <c r="Y57" i="2"/>
  <c r="FI52" i="2"/>
  <c r="X49" i="2"/>
  <c r="Y196" i="2"/>
  <c r="S75" i="9" s="1"/>
  <c r="K47" i="2"/>
  <c r="AQ51" i="3"/>
  <c r="AQ55" i="3" s="1"/>
  <c r="AC49" i="2"/>
  <c r="I151" i="2"/>
  <c r="DE151" i="2" s="1"/>
  <c r="DE153" i="2" s="1"/>
  <c r="CY142" i="9" s="1"/>
  <c r="AK57" i="2"/>
  <c r="FU54" i="2" s="1"/>
  <c r="AJ49" i="2"/>
  <c r="Z50" i="3"/>
  <c r="Z51" i="3" s="1"/>
  <c r="Z55" i="3" s="1"/>
  <c r="N51" i="3"/>
  <c r="N55" i="3" s="1"/>
  <c r="S51" i="3"/>
  <c r="S55" i="3" s="1"/>
  <c r="M51" i="3"/>
  <c r="M55" i="3" s="1"/>
  <c r="AE57" i="2"/>
  <c r="FO54" i="2" s="1"/>
  <c r="EN129" i="2"/>
  <c r="EN130" i="2" s="1"/>
  <c r="CI129" i="2"/>
  <c r="CI130" i="2" s="1"/>
  <c r="L140" i="2"/>
  <c r="F139" i="9"/>
  <c r="L291" i="2"/>
  <c r="BV129" i="2"/>
  <c r="BV130" i="2" s="1"/>
  <c r="AK140" i="2"/>
  <c r="AE139" i="9"/>
  <c r="AK291" i="2"/>
  <c r="AE140" i="2"/>
  <c r="Y139" i="9"/>
  <c r="AE291" i="2"/>
  <c r="AF140" i="2"/>
  <c r="Z139" i="9"/>
  <c r="AF291" i="2"/>
  <c r="DZ129" i="2"/>
  <c r="DZ130" i="2" s="1"/>
  <c r="DF129" i="2"/>
  <c r="DF130" i="2" s="1"/>
  <c r="CF129" i="2"/>
  <c r="CF130" i="2" s="1"/>
  <c r="AH140" i="2"/>
  <c r="AB139" i="9"/>
  <c r="AH291" i="2"/>
  <c r="CK129" i="2"/>
  <c r="CK130" i="2" s="1"/>
  <c r="CO129" i="2"/>
  <c r="CO130" i="2" s="1"/>
  <c r="AC140" i="2"/>
  <c r="W139" i="9"/>
  <c r="AC291" i="2"/>
  <c r="AO140" i="2"/>
  <c r="AI139" i="9"/>
  <c r="AO291" i="2"/>
  <c r="BM129" i="2"/>
  <c r="BM130" i="2" s="1"/>
  <c r="CV129" i="2"/>
  <c r="CV130" i="2" s="1"/>
  <c r="BH129" i="2"/>
  <c r="BH130" i="2" s="1"/>
  <c r="CE129" i="2"/>
  <c r="CE130" i="2" s="1"/>
  <c r="AZ129" i="2"/>
  <c r="AZ130" i="2" s="1"/>
  <c r="BG129" i="2"/>
  <c r="BG130" i="2" s="1"/>
  <c r="Q140" i="2"/>
  <c r="K139" i="9"/>
  <c r="Q291" i="2"/>
  <c r="CN129" i="2"/>
  <c r="CN130" i="2" s="1"/>
  <c r="CM129" i="2"/>
  <c r="CM130" i="2" s="1"/>
  <c r="BN129" i="2"/>
  <c r="BN130" i="2" s="1"/>
  <c r="BO129" i="2"/>
  <c r="BO130" i="2" s="1"/>
  <c r="DY129" i="2"/>
  <c r="DY130" i="2" s="1"/>
  <c r="AU140" i="2"/>
  <c r="AO139" i="9"/>
  <c r="AU291" i="2"/>
  <c r="N140" i="2"/>
  <c r="H139" i="9"/>
  <c r="N291" i="2"/>
  <c r="AN140" i="2"/>
  <c r="AH139" i="9"/>
  <c r="AN291" i="2"/>
  <c r="DW129" i="2"/>
  <c r="DW130" i="2" s="1"/>
  <c r="AY129" i="2"/>
  <c r="AY130" i="2" s="1"/>
  <c r="DJ129" i="2"/>
  <c r="DJ130" i="2" s="1"/>
  <c r="T140" i="2"/>
  <c r="N139" i="9"/>
  <c r="T291" i="2"/>
  <c r="M140" i="2"/>
  <c r="G139" i="9"/>
  <c r="M291" i="2"/>
  <c r="W140" i="2"/>
  <c r="Q139" i="9"/>
  <c r="W291" i="2"/>
  <c r="DU129" i="2"/>
  <c r="DU130" i="2" s="1"/>
  <c r="DA129" i="2"/>
  <c r="DA130" i="2" s="1"/>
  <c r="CT129" i="2"/>
  <c r="CT130" i="2" s="1"/>
  <c r="Z140" i="2"/>
  <c r="T139" i="9"/>
  <c r="Z291" i="2"/>
  <c r="AM140" i="2"/>
  <c r="AG139" i="9"/>
  <c r="AM291" i="2"/>
  <c r="CB129" i="2"/>
  <c r="CB130" i="2" s="1"/>
  <c r="CH129" i="2"/>
  <c r="CH130" i="2" s="1"/>
  <c r="EB129" i="2"/>
  <c r="EB130" i="2" s="1"/>
  <c r="CX129" i="2"/>
  <c r="CX130" i="2" s="1"/>
  <c r="BF129" i="2"/>
  <c r="BF130" i="2" s="1"/>
  <c r="CR129" i="2"/>
  <c r="CR130" i="2" s="1"/>
  <c r="CU129" i="2"/>
  <c r="CU130" i="2" s="1"/>
  <c r="AR140" i="2"/>
  <c r="AL139" i="9"/>
  <c r="AR291" i="2"/>
  <c r="AI140" i="2"/>
  <c r="AC139" i="9"/>
  <c r="AI291" i="2"/>
  <c r="CY129" i="2"/>
  <c r="CY130" i="2" s="1"/>
  <c r="EI129" i="2"/>
  <c r="EI130" i="2" s="1"/>
  <c r="BU129" i="2"/>
  <c r="BU130" i="2" s="1"/>
  <c r="AV140" i="2"/>
  <c r="AP139" i="9"/>
  <c r="AV291" i="2"/>
  <c r="BR129" i="2"/>
  <c r="BR130" i="2" s="1"/>
  <c r="CT81" i="3"/>
  <c r="CT73" i="3"/>
  <c r="CT79" i="3"/>
  <c r="CT75" i="3"/>
  <c r="CT77" i="3"/>
  <c r="O81" i="3"/>
  <c r="Y140" i="2"/>
  <c r="S139" i="9"/>
  <c r="Y291" i="2"/>
  <c r="CM81" i="3"/>
  <c r="CM79" i="3"/>
  <c r="CM73" i="3"/>
  <c r="CM77" i="3"/>
  <c r="CM75" i="3"/>
  <c r="X140" i="2"/>
  <c r="R139" i="9"/>
  <c r="X291" i="2"/>
  <c r="JS246" i="2"/>
  <c r="JS236" i="2"/>
  <c r="BR187" i="9"/>
  <c r="BR188" i="9" s="1"/>
  <c r="BR77" i="9" s="1"/>
  <c r="BT129" i="2"/>
  <c r="BT130" i="2" s="1"/>
  <c r="IM52" i="2"/>
  <c r="DC49" i="2"/>
  <c r="DC57" i="2"/>
  <c r="IM54" i="2" s="1"/>
  <c r="BA129" i="2"/>
  <c r="BA130" i="2" s="1"/>
  <c r="DG129" i="2"/>
  <c r="DG130" i="2" s="1"/>
  <c r="CQ129" i="2"/>
  <c r="CQ130" i="2" s="1"/>
  <c r="CO187" i="9"/>
  <c r="CO188" i="9" s="1"/>
  <c r="CO77" i="9" s="1"/>
  <c r="AP140" i="2"/>
  <c r="AJ139" i="9"/>
  <c r="AP291" i="2"/>
  <c r="AM81" i="3"/>
  <c r="E198" i="8"/>
  <c r="DA20" i="7"/>
  <c r="CV26" i="7"/>
  <c r="CV28" i="7"/>
  <c r="CV32" i="7"/>
  <c r="CV34" i="7"/>
  <c r="CV30" i="7"/>
  <c r="CV29" i="7"/>
  <c r="BK81" i="3"/>
  <c r="DL187" i="9"/>
  <c r="DL188" i="9" s="1"/>
  <c r="DL77" i="9" s="1"/>
  <c r="K38" i="2"/>
  <c r="CK79" i="3"/>
  <c r="CK77" i="3"/>
  <c r="CK73" i="3"/>
  <c r="CK75" i="3"/>
  <c r="CK81" i="3"/>
  <c r="J81" i="3"/>
  <c r="CI81" i="3"/>
  <c r="CI79" i="3"/>
  <c r="CI77" i="3"/>
  <c r="CI73" i="3"/>
  <c r="CI75" i="3"/>
  <c r="BS187" i="9"/>
  <c r="BS188" i="9" s="1"/>
  <c r="BS77" i="9" s="1"/>
  <c r="JV246" i="2"/>
  <c r="JV236" i="2"/>
  <c r="AD140" i="2"/>
  <c r="X139" i="9"/>
  <c r="AD291" i="2"/>
  <c r="P194" i="9"/>
  <c r="AM194" i="9"/>
  <c r="ED129" i="2"/>
  <c r="ED130" i="2" s="1"/>
  <c r="HR246" i="2"/>
  <c r="HR236" i="2"/>
  <c r="HI246" i="2"/>
  <c r="HI236" i="2"/>
  <c r="AR81" i="3"/>
  <c r="AT81" i="3"/>
  <c r="HN52" i="2"/>
  <c r="CD49" i="2"/>
  <c r="CD57" i="2"/>
  <c r="HN54" i="2" s="1"/>
  <c r="BO81" i="3"/>
  <c r="DQ129" i="2"/>
  <c r="DQ130" i="2" s="1"/>
  <c r="CZ129" i="2"/>
  <c r="CZ130" i="2" s="1"/>
  <c r="DT129" i="2"/>
  <c r="DT130" i="2" s="1"/>
  <c r="DI129" i="2"/>
  <c r="DI130" i="2" s="1"/>
  <c r="EC129" i="2"/>
  <c r="EC130" i="2" s="1"/>
  <c r="EG129" i="2"/>
  <c r="EG130" i="2" s="1"/>
  <c r="IM246" i="2"/>
  <c r="IM236" i="2"/>
  <c r="DP187" i="9"/>
  <c r="DP188" i="9" s="1"/>
  <c r="DP77" i="9" s="1"/>
  <c r="AG49" i="2"/>
  <c r="FR52" i="2"/>
  <c r="AH57" i="2"/>
  <c r="AH196" i="2"/>
  <c r="CG79" i="3"/>
  <c r="CG77" i="3"/>
  <c r="CG73" i="3"/>
  <c r="CG75" i="3"/>
  <c r="CG81" i="3"/>
  <c r="CM187" i="9"/>
  <c r="CM188" i="9" s="1"/>
  <c r="CM77" i="9" s="1"/>
  <c r="AN81" i="3"/>
  <c r="BP129" i="2"/>
  <c r="BP130" i="2" s="1"/>
  <c r="CQ75" i="3"/>
  <c r="CQ79" i="3"/>
  <c r="CQ77" i="3"/>
  <c r="CQ81" i="3"/>
  <c r="CQ73" i="3"/>
  <c r="DR129" i="2"/>
  <c r="DR130" i="2" s="1"/>
  <c r="BS129" i="2"/>
  <c r="BS130" i="2" s="1"/>
  <c r="JR246" i="2"/>
  <c r="JR236" i="2"/>
  <c r="CD129" i="2"/>
  <c r="CD130" i="2" s="1"/>
  <c r="BN81" i="3"/>
  <c r="CC187" i="9"/>
  <c r="CC188" i="9" s="1"/>
  <c r="CC77" i="9" s="1"/>
  <c r="J6" i="6"/>
  <c r="DX129" i="2"/>
  <c r="DX130" i="2" s="1"/>
  <c r="DM129" i="2"/>
  <c r="DM130" i="2" s="1"/>
  <c r="CP187" i="9"/>
  <c r="CP188" i="9" s="1"/>
  <c r="CP77" i="9" s="1"/>
  <c r="BI129" i="2"/>
  <c r="BI130" i="2" s="1"/>
  <c r="DH187" i="9"/>
  <c r="DH188" i="9" s="1"/>
  <c r="DH77" i="9" s="1"/>
  <c r="CV187" i="9"/>
  <c r="CV188" i="9" s="1"/>
  <c r="CV77" i="9" s="1"/>
  <c r="JM246" i="2"/>
  <c r="JM236" i="2"/>
  <c r="M81" i="3"/>
  <c r="BA81" i="3"/>
  <c r="U140" i="2"/>
  <c r="O139" i="9"/>
  <c r="U291" i="2"/>
  <c r="O140" i="2"/>
  <c r="I139" i="9"/>
  <c r="O291" i="2"/>
  <c r="AA194" i="9"/>
  <c r="CL77" i="3"/>
  <c r="CL75" i="3"/>
  <c r="CL79" i="3"/>
  <c r="CL73" i="3"/>
  <c r="CL81" i="3"/>
  <c r="IX246" i="2"/>
  <c r="IX236" i="2"/>
  <c r="CY187" i="9"/>
  <c r="CY188" i="9" s="1"/>
  <c r="CY77" i="9" s="1"/>
  <c r="DC75" i="3"/>
  <c r="DC77" i="3"/>
  <c r="DC79" i="3"/>
  <c r="DC81" i="3"/>
  <c r="DC73" i="3"/>
  <c r="EX52" i="2"/>
  <c r="M49" i="2"/>
  <c r="N57" i="2"/>
  <c r="DJ187" i="9"/>
  <c r="DJ188" i="9" s="1"/>
  <c r="DJ77" i="9" s="1"/>
  <c r="AC81" i="3"/>
  <c r="AK62" i="7"/>
  <c r="AK59" i="7"/>
  <c r="AK63" i="7"/>
  <c r="AK61" i="7"/>
  <c r="AK58" i="7"/>
  <c r="AL57" i="7"/>
  <c r="AK60" i="7"/>
  <c r="AK65" i="7"/>
  <c r="AK64" i="7"/>
  <c r="AP81" i="3"/>
  <c r="IQ246" i="2"/>
  <c r="IQ236" i="2"/>
  <c r="EG79" i="3"/>
  <c r="EG77" i="3"/>
  <c r="EG73" i="3"/>
  <c r="EG75" i="3"/>
  <c r="EG81" i="3"/>
  <c r="DB129" i="2"/>
  <c r="DB130" i="2" s="1"/>
  <c r="AW129" i="2"/>
  <c r="AW130" i="2" s="1"/>
  <c r="BL129" i="2"/>
  <c r="BL130" i="2" s="1"/>
  <c r="DH129" i="2"/>
  <c r="DH130" i="2" s="1"/>
  <c r="BW129" i="2"/>
  <c r="BW130" i="2" s="1"/>
  <c r="DO129" i="2"/>
  <c r="DO130" i="2" s="1"/>
  <c r="G126" i="2"/>
  <c r="C126" i="2"/>
  <c r="H168" i="2"/>
  <c r="H169" i="2" s="1"/>
  <c r="I128" i="2"/>
  <c r="C128" i="2"/>
  <c r="AO81" i="3"/>
  <c r="DZ79" i="3"/>
  <c r="DZ77" i="3"/>
  <c r="DZ75" i="3"/>
  <c r="DZ81" i="3"/>
  <c r="DZ73" i="3"/>
  <c r="JI246" i="2"/>
  <c r="JI236" i="2"/>
  <c r="IK246" i="2"/>
  <c r="IK236" i="2"/>
  <c r="EC79" i="3"/>
  <c r="EC81" i="3"/>
  <c r="EC73" i="3"/>
  <c r="EC77" i="3"/>
  <c r="EC75" i="3"/>
  <c r="CS187" i="9"/>
  <c r="CS188" i="9" s="1"/>
  <c r="CS77" i="9" s="1"/>
  <c r="BJ81" i="3"/>
  <c r="AA81" i="3"/>
  <c r="CA187" i="9"/>
  <c r="CA188" i="9" s="1"/>
  <c r="CA77" i="9" s="1"/>
  <c r="G123" i="9"/>
  <c r="G124" i="9"/>
  <c r="G128" i="9" s="1"/>
  <c r="G136" i="9" s="1"/>
  <c r="G81" i="3"/>
  <c r="G77" i="3"/>
  <c r="IH246" i="2"/>
  <c r="IH236" i="2"/>
  <c r="P81" i="3"/>
  <c r="P140" i="2"/>
  <c r="J139" i="9"/>
  <c r="P291" i="2"/>
  <c r="HU246" i="2"/>
  <c r="HU236" i="2"/>
  <c r="IP246" i="2"/>
  <c r="IP236" i="2"/>
  <c r="HH246" i="2"/>
  <c r="HH236" i="2"/>
  <c r="AJ66" i="7"/>
  <c r="S140" i="2"/>
  <c r="M139" i="9"/>
  <c r="S291" i="2"/>
  <c r="AK81" i="3"/>
  <c r="I50" i="3"/>
  <c r="I51" i="3" s="1"/>
  <c r="I55" i="3" s="1"/>
  <c r="JW246" i="2"/>
  <c r="JW236" i="2"/>
  <c r="EH129" i="2"/>
  <c r="EH130" i="2" s="1"/>
  <c r="JU246" i="2"/>
  <c r="JU236" i="2"/>
  <c r="CN187" i="9"/>
  <c r="CN188" i="9" s="1"/>
  <c r="CN77" i="9" s="1"/>
  <c r="DN187" i="9"/>
  <c r="DN188" i="9" s="1"/>
  <c r="DN77" i="9" s="1"/>
  <c r="AD81" i="3"/>
  <c r="DM81" i="3"/>
  <c r="DM79" i="3"/>
  <c r="DM77" i="3"/>
  <c r="DM75" i="3"/>
  <c r="DM73" i="3"/>
  <c r="L81" i="3"/>
  <c r="ID246" i="2"/>
  <c r="ID236" i="2"/>
  <c r="BH81" i="3"/>
  <c r="BY79" i="3"/>
  <c r="BY77" i="3"/>
  <c r="BY73" i="3"/>
  <c r="BY81" i="3"/>
  <c r="BY75" i="3"/>
  <c r="JJ246" i="2"/>
  <c r="JJ236" i="2"/>
  <c r="JF236" i="2"/>
  <c r="JF246" i="2"/>
  <c r="BT79" i="3"/>
  <c r="BT77" i="3"/>
  <c r="BT81" i="3"/>
  <c r="BT75" i="3"/>
  <c r="BT73" i="3"/>
  <c r="GH52" i="2"/>
  <c r="AX49" i="2"/>
  <c r="AX57" i="2"/>
  <c r="CC81" i="3"/>
  <c r="CC79" i="3"/>
  <c r="CC77" i="3"/>
  <c r="CC75" i="3"/>
  <c r="CC73" i="3"/>
  <c r="HZ246" i="2"/>
  <c r="HZ236" i="2"/>
  <c r="CX49" i="2"/>
  <c r="IH52" i="2"/>
  <c r="CX57" i="2"/>
  <c r="IH54" i="2" s="1"/>
  <c r="AS81" i="3"/>
  <c r="JD236" i="2"/>
  <c r="JD246" i="2"/>
  <c r="Q81" i="3"/>
  <c r="O50" i="3"/>
  <c r="O51" i="3" s="1"/>
  <c r="O55" i="3" s="1"/>
  <c r="CZ81" i="3"/>
  <c r="CZ79" i="3"/>
  <c r="CZ73" i="3"/>
  <c r="CZ77" i="3"/>
  <c r="CZ75" i="3"/>
  <c r="BW187" i="9"/>
  <c r="BW188" i="9" s="1"/>
  <c r="BW77" i="9" s="1"/>
  <c r="IU246" i="2"/>
  <c r="IU236" i="2"/>
  <c r="DD129" i="2"/>
  <c r="DD130" i="2" s="1"/>
  <c r="CA129" i="2"/>
  <c r="CA130" i="2" s="1"/>
  <c r="CC129" i="2"/>
  <c r="CC130" i="2" s="1"/>
  <c r="EA129" i="2"/>
  <c r="EA130" i="2" s="1"/>
  <c r="HR52" i="2"/>
  <c r="CH49" i="2"/>
  <c r="CH57" i="2"/>
  <c r="HR54" i="2" s="1"/>
  <c r="IO246" i="2"/>
  <c r="IO236" i="2"/>
  <c r="CV81" i="3"/>
  <c r="CV79" i="3"/>
  <c r="CV73" i="3"/>
  <c r="CV77" i="3"/>
  <c r="CV75" i="3"/>
  <c r="BZ187" i="9"/>
  <c r="BZ188" i="9" s="1"/>
  <c r="BZ77" i="9" s="1"/>
  <c r="IB246" i="2"/>
  <c r="IB236" i="2"/>
  <c r="K81" i="3"/>
  <c r="BF81" i="3"/>
  <c r="CN81" i="3"/>
  <c r="CN79" i="3"/>
  <c r="CN73" i="3"/>
  <c r="CN77" i="3"/>
  <c r="CN75" i="3"/>
  <c r="DG81" i="3"/>
  <c r="DG77" i="3"/>
  <c r="DG75" i="3"/>
  <c r="DG79" i="3"/>
  <c r="DG73" i="3"/>
  <c r="DK187" i="9"/>
  <c r="DK188" i="9" s="1"/>
  <c r="DK77" i="9" s="1"/>
  <c r="N196" i="2"/>
  <c r="BS75" i="3"/>
  <c r="BS79" i="3"/>
  <c r="BS77" i="3"/>
  <c r="BS81" i="3"/>
  <c r="BS73" i="3"/>
  <c r="DD187" i="9"/>
  <c r="DD188" i="9" s="1"/>
  <c r="DD77" i="9" s="1"/>
  <c r="DI49" i="2"/>
  <c r="IS52" i="2"/>
  <c r="DI57" i="2"/>
  <c r="IS54" i="2" s="1"/>
  <c r="BQ81" i="3"/>
  <c r="BQ79" i="3"/>
  <c r="BQ77" i="3"/>
  <c r="BQ73" i="3"/>
  <c r="BQ75" i="3"/>
  <c r="JQ246" i="2"/>
  <c r="JQ236" i="2"/>
  <c r="IJ52" i="2"/>
  <c r="CZ49" i="2"/>
  <c r="CZ57" i="2"/>
  <c r="IJ54" i="2" s="1"/>
  <c r="BD81" i="3"/>
  <c r="JN52" i="2"/>
  <c r="ED49" i="2"/>
  <c r="ED57" i="2"/>
  <c r="JN54" i="2" s="1"/>
  <c r="BC81" i="3"/>
  <c r="AU81" i="3"/>
  <c r="AJ81" i="3"/>
  <c r="DT187" i="9"/>
  <c r="DT188" i="9" s="1"/>
  <c r="DT77" i="9" s="1"/>
  <c r="DV187" i="9"/>
  <c r="DV188" i="9" s="1"/>
  <c r="DV77" i="9" s="1"/>
  <c r="DW81" i="3"/>
  <c r="DW75" i="3"/>
  <c r="DW73" i="3"/>
  <c r="DW77" i="3"/>
  <c r="DW79" i="3"/>
  <c r="H48" i="3"/>
  <c r="H60" i="3"/>
  <c r="H53" i="3"/>
  <c r="H49" i="3"/>
  <c r="H50" i="3"/>
  <c r="H46" i="3"/>
  <c r="N65" i="6" s="1"/>
  <c r="AI66" i="7"/>
  <c r="AC50" i="3"/>
  <c r="AC51" i="3" s="1"/>
  <c r="AC55" i="3" s="1"/>
  <c r="BY129" i="2"/>
  <c r="BY130" i="2" s="1"/>
  <c r="V81" i="3"/>
  <c r="BZ77" i="3"/>
  <c r="BZ75" i="3"/>
  <c r="BZ73" i="3"/>
  <c r="BZ81" i="3"/>
  <c r="BZ79" i="3"/>
  <c r="AV81" i="3"/>
  <c r="AQ140" i="2"/>
  <c r="AK139" i="9"/>
  <c r="AQ291" i="2"/>
  <c r="IS246" i="2"/>
  <c r="IS236" i="2"/>
  <c r="Y81" i="3"/>
  <c r="JL246" i="2"/>
  <c r="JL236" i="2"/>
  <c r="DP81" i="3"/>
  <c r="DP75" i="3"/>
  <c r="DP77" i="3"/>
  <c r="DP79" i="3"/>
  <c r="DP73" i="3"/>
  <c r="CW129" i="2"/>
  <c r="CW130" i="2" s="1"/>
  <c r="AX129" i="2"/>
  <c r="AX130" i="2" s="1"/>
  <c r="DP129" i="2"/>
  <c r="DP130" i="2" s="1"/>
  <c r="DC129" i="2"/>
  <c r="DC130" i="2" s="1"/>
  <c r="HN246" i="2"/>
  <c r="HN236" i="2"/>
  <c r="JH246" i="2"/>
  <c r="JH236" i="2"/>
  <c r="Z81" i="3"/>
  <c r="DR81" i="3"/>
  <c r="DR75" i="3"/>
  <c r="DR77" i="3"/>
  <c r="DR73" i="3"/>
  <c r="DR79" i="3"/>
  <c r="JC246" i="2"/>
  <c r="JC236" i="2"/>
  <c r="AH66" i="7"/>
  <c r="DL81" i="3"/>
  <c r="DL79" i="3"/>
  <c r="DL73" i="3"/>
  <c r="DL75" i="3"/>
  <c r="DL77" i="3"/>
  <c r="BB81" i="3"/>
  <c r="BI81" i="3"/>
  <c r="DN129" i="2"/>
  <c r="DN130" i="2" s="1"/>
  <c r="CD187" i="9"/>
  <c r="CD188" i="9" s="1"/>
  <c r="CD77" i="9" s="1"/>
  <c r="CF187" i="9"/>
  <c r="CF188" i="9" s="1"/>
  <c r="CF77" i="9" s="1"/>
  <c r="CT187" i="9"/>
  <c r="CT188" i="9" s="1"/>
  <c r="CT77" i="9" s="1"/>
  <c r="AZ81" i="3"/>
  <c r="DS129" i="2"/>
  <c r="DS130" i="2" s="1"/>
  <c r="AH81" i="3"/>
  <c r="CI187" i="9"/>
  <c r="CI188" i="9" s="1"/>
  <c r="CI77" i="9" s="1"/>
  <c r="IJ246" i="2"/>
  <c r="IJ236" i="2"/>
  <c r="CQ187" i="9"/>
  <c r="CQ188" i="9" s="1"/>
  <c r="CQ77" i="9" s="1"/>
  <c r="CH79" i="3"/>
  <c r="CH77" i="3"/>
  <c r="CH73" i="3"/>
  <c r="CH75" i="3"/>
  <c r="CH81" i="3"/>
  <c r="HM246" i="2"/>
  <c r="HM236" i="2"/>
  <c r="HB52" i="2"/>
  <c r="BR49" i="2"/>
  <c r="BR57" i="2"/>
  <c r="BR196" i="2"/>
  <c r="JB246" i="2"/>
  <c r="JB236" i="2"/>
  <c r="DE187" i="9"/>
  <c r="DE188" i="9" s="1"/>
  <c r="DE77" i="9" s="1"/>
  <c r="IL52" i="2"/>
  <c r="DB49" i="2"/>
  <c r="DB57" i="2"/>
  <c r="IL54" i="2" s="1"/>
  <c r="HV236" i="2"/>
  <c r="HV246" i="2"/>
  <c r="AW81" i="3"/>
  <c r="IN246" i="2"/>
  <c r="IN236" i="2"/>
  <c r="CE75" i="3"/>
  <c r="CE81" i="3"/>
  <c r="CE79" i="3"/>
  <c r="CE77" i="3"/>
  <c r="CE73" i="3"/>
  <c r="JT246" i="2"/>
  <c r="JT236" i="2"/>
  <c r="DE77" i="3"/>
  <c r="DE75" i="3"/>
  <c r="DE79" i="3"/>
  <c r="DE73" i="3"/>
  <c r="DE81" i="3"/>
  <c r="HD52" i="2"/>
  <c r="BT49" i="2"/>
  <c r="BT57" i="2"/>
  <c r="BT196" i="2"/>
  <c r="CL187" i="9"/>
  <c r="CL188" i="9" s="1"/>
  <c r="CL77" i="9" s="1"/>
  <c r="DS187" i="9"/>
  <c r="DS188" i="9" s="1"/>
  <c r="DS77" i="9" s="1"/>
  <c r="JK246" i="2"/>
  <c r="JK236" i="2"/>
  <c r="BR79" i="3"/>
  <c r="BR77" i="3"/>
  <c r="BR73" i="3"/>
  <c r="BR75" i="3"/>
  <c r="BR81" i="3"/>
  <c r="HY246" i="2"/>
  <c r="HY236" i="2"/>
  <c r="BU79" i="3"/>
  <c r="BU77" i="3"/>
  <c r="BU81" i="3"/>
  <c r="BU73" i="3"/>
  <c r="BU75" i="3"/>
  <c r="EK129" i="2"/>
  <c r="EK130" i="2" s="1"/>
  <c r="BB129" i="2"/>
  <c r="BB130" i="2" s="1"/>
  <c r="GO52" i="2"/>
  <c r="BE49" i="2"/>
  <c r="BE57" i="2"/>
  <c r="BE196" i="2"/>
  <c r="JP246" i="2"/>
  <c r="JP236" i="2"/>
  <c r="W81" i="3"/>
  <c r="DJ77" i="3"/>
  <c r="DJ75" i="3"/>
  <c r="DJ79" i="3"/>
  <c r="DJ73" i="3"/>
  <c r="DJ81" i="3"/>
  <c r="DT81" i="3"/>
  <c r="DT79" i="3"/>
  <c r="DT75" i="3"/>
  <c r="DT77" i="3"/>
  <c r="DT73" i="3"/>
  <c r="DB187" i="9"/>
  <c r="DB188" i="9" s="1"/>
  <c r="DB77" i="9" s="1"/>
  <c r="BL49" i="2"/>
  <c r="GV52" i="2"/>
  <c r="BL57" i="2"/>
  <c r="IR246" i="2"/>
  <c r="IR236" i="2"/>
  <c r="DQ81" i="3"/>
  <c r="DQ75" i="3"/>
  <c r="DQ77" i="3"/>
  <c r="DQ73" i="3"/>
  <c r="DQ79" i="3"/>
  <c r="IT246" i="2"/>
  <c r="IT236" i="2"/>
  <c r="DU79" i="3"/>
  <c r="DU77" i="3"/>
  <c r="DU81" i="3"/>
  <c r="DU75" i="3"/>
  <c r="DU73" i="3"/>
  <c r="JO236" i="2"/>
  <c r="JO246" i="2"/>
  <c r="JE246" i="2"/>
  <c r="JE236" i="2"/>
  <c r="HW246" i="2"/>
  <c r="HW236" i="2"/>
  <c r="AL140" i="2"/>
  <c r="AF139" i="9"/>
  <c r="AL291" i="2"/>
  <c r="AD194" i="9"/>
  <c r="EE129" i="2"/>
  <c r="EE130" i="2" s="1"/>
  <c r="AL81" i="3"/>
  <c r="CR75" i="3"/>
  <c r="CR81" i="3"/>
  <c r="CR77" i="3"/>
  <c r="CR73" i="3"/>
  <c r="CR79" i="3"/>
  <c r="IA52" i="2"/>
  <c r="CQ49" i="2"/>
  <c r="CQ57" i="2"/>
  <c r="IA54" i="2" s="1"/>
  <c r="BE81" i="3"/>
  <c r="EF129" i="2"/>
  <c r="EF130" i="2" s="1"/>
  <c r="HQ246" i="2"/>
  <c r="HQ236" i="2"/>
  <c r="HF246" i="2"/>
  <c r="HF236" i="2"/>
  <c r="EA75" i="3"/>
  <c r="EA77" i="3"/>
  <c r="EA79" i="3"/>
  <c r="EA73" i="3"/>
  <c r="EA81" i="3"/>
  <c r="H93" i="9"/>
  <c r="FX52" i="2"/>
  <c r="AM49" i="2"/>
  <c r="AN57" i="2"/>
  <c r="AN196" i="2"/>
  <c r="AI81" i="3"/>
  <c r="T81" i="3"/>
  <c r="DI79" i="3"/>
  <c r="DI77" i="3"/>
  <c r="DI73" i="3"/>
  <c r="DI81" i="3"/>
  <c r="DI75" i="3"/>
  <c r="CU187" i="9"/>
  <c r="CU188" i="9" s="1"/>
  <c r="CU77" i="9" s="1"/>
  <c r="N81" i="3"/>
  <c r="BX129" i="2"/>
  <c r="BX130" i="2" s="1"/>
  <c r="EH77" i="3"/>
  <c r="EH75" i="3"/>
  <c r="EH73" i="3"/>
  <c r="EH81" i="3"/>
  <c r="EH79" i="3"/>
  <c r="CA81" i="3"/>
  <c r="CA73" i="3"/>
  <c r="CA75" i="3"/>
  <c r="CA77" i="3"/>
  <c r="CA79" i="3"/>
  <c r="EF81" i="3"/>
  <c r="EF79" i="3"/>
  <c r="EF73" i="3"/>
  <c r="EF75" i="3"/>
  <c r="EF77" i="3"/>
  <c r="IW246" i="2"/>
  <c r="IW236" i="2"/>
  <c r="X81" i="3"/>
  <c r="CS129" i="2"/>
  <c r="CS130" i="2" s="1"/>
  <c r="DE129" i="2"/>
  <c r="DE130" i="2" s="1"/>
  <c r="CJ129" i="2"/>
  <c r="CJ130" i="2" s="1"/>
  <c r="HK246" i="2"/>
  <c r="HK236" i="2"/>
  <c r="HT246" i="2"/>
  <c r="HT236" i="2"/>
  <c r="DF187" i="9"/>
  <c r="DF188" i="9" s="1"/>
  <c r="DF77" i="9" s="1"/>
  <c r="AG81" i="3"/>
  <c r="HX246" i="2"/>
  <c r="HX236" i="2"/>
  <c r="IZ246" i="2"/>
  <c r="IZ236" i="2"/>
  <c r="HS246" i="2"/>
  <c r="HS236" i="2"/>
  <c r="CK187" i="9"/>
  <c r="CK188" i="9" s="1"/>
  <c r="CK77" i="9" s="1"/>
  <c r="CS75" i="3"/>
  <c r="CS81" i="3"/>
  <c r="CS73" i="3"/>
  <c r="CS77" i="3"/>
  <c r="CS79" i="3"/>
  <c r="JA246" i="2"/>
  <c r="JA236" i="2"/>
  <c r="CU81" i="3"/>
  <c r="CU73" i="3"/>
  <c r="CU79" i="3"/>
  <c r="CU77" i="3"/>
  <c r="CU75" i="3"/>
  <c r="DG187" i="9"/>
  <c r="DG188" i="9" s="1"/>
  <c r="DG77" i="9" s="1"/>
  <c r="BK129" i="2"/>
  <c r="BK130" i="2" s="1"/>
  <c r="AX81" i="3"/>
  <c r="DF77" i="3"/>
  <c r="DF75" i="3"/>
  <c r="DF79" i="3"/>
  <c r="DF73" i="3"/>
  <c r="DF81" i="3"/>
  <c r="CE187" i="9"/>
  <c r="CE188" i="9" s="1"/>
  <c r="CE77" i="9" s="1"/>
  <c r="DO187" i="9"/>
  <c r="DO188" i="9" s="1"/>
  <c r="DO77" i="9" s="1"/>
  <c r="DR187" i="9"/>
  <c r="DR188" i="9" s="1"/>
  <c r="DR77" i="9" s="1"/>
  <c r="CF81" i="3"/>
  <c r="CF79" i="3"/>
  <c r="CF77" i="3"/>
  <c r="CF75" i="3"/>
  <c r="CF73" i="3"/>
  <c r="HG246" i="2"/>
  <c r="HG236" i="2"/>
  <c r="CO81" i="3"/>
  <c r="CO79" i="3"/>
  <c r="CO77" i="3"/>
  <c r="CO75" i="3"/>
  <c r="CO73" i="3"/>
  <c r="BU187" i="9"/>
  <c r="BU188" i="9" s="1"/>
  <c r="BU77" i="9" s="1"/>
  <c r="AQ81" i="3"/>
  <c r="DH81" i="3"/>
  <c r="DH79" i="3"/>
  <c r="DH73" i="3"/>
  <c r="DH75" i="3"/>
  <c r="DH77" i="3"/>
  <c r="HP246" i="2"/>
  <c r="HP236" i="2"/>
  <c r="CW187" i="9"/>
  <c r="CW188" i="9" s="1"/>
  <c r="CW77" i="9" s="1"/>
  <c r="CW79" i="3"/>
  <c r="CW77" i="3"/>
  <c r="CW81" i="3"/>
  <c r="CW73" i="3"/>
  <c r="CW75" i="3"/>
  <c r="BO50" i="3"/>
  <c r="BO51" i="3" s="1"/>
  <c r="BO55" i="3" s="1"/>
  <c r="IE236" i="2"/>
  <c r="IE246" i="2"/>
  <c r="DD77" i="3"/>
  <c r="DD75" i="3"/>
  <c r="DD79" i="3"/>
  <c r="DD81" i="3"/>
  <c r="DD73" i="3"/>
  <c r="BD129" i="2"/>
  <c r="BD130" i="2" s="1"/>
  <c r="DK129" i="2"/>
  <c r="DK130" i="2" s="1"/>
  <c r="DV129" i="2"/>
  <c r="DV130" i="2" s="1"/>
  <c r="HL246" i="2"/>
  <c r="HL236" i="2"/>
  <c r="BM81" i="3"/>
  <c r="EI81" i="3"/>
  <c r="EI73" i="3"/>
  <c r="EI75" i="3"/>
  <c r="EI77" i="3"/>
  <c r="EI79" i="3"/>
  <c r="T4" i="5"/>
  <c r="ED79" i="3"/>
  <c r="ED81" i="3"/>
  <c r="ED73" i="3"/>
  <c r="ED75" i="3"/>
  <c r="ED77" i="3"/>
  <c r="AB81" i="3"/>
  <c r="BY187" i="9"/>
  <c r="BY188" i="9" s="1"/>
  <c r="BY77" i="9" s="1"/>
  <c r="BV77" i="3"/>
  <c r="BV81" i="3"/>
  <c r="BV73" i="3"/>
  <c r="BV75" i="3"/>
  <c r="BV79" i="3"/>
  <c r="DM187" i="9"/>
  <c r="DM188" i="9" s="1"/>
  <c r="DM77" i="9" s="1"/>
  <c r="BL81" i="3"/>
  <c r="CY81" i="3"/>
  <c r="CY73" i="3"/>
  <c r="CY79" i="3"/>
  <c r="CY77" i="3"/>
  <c r="CY75" i="3"/>
  <c r="DO75" i="3"/>
  <c r="DO81" i="3"/>
  <c r="DO79" i="3"/>
  <c r="DO77" i="3"/>
  <c r="DO73" i="3"/>
  <c r="BC129" i="2"/>
  <c r="BC130" i="2" s="1"/>
  <c r="EM129" i="2"/>
  <c r="EM130" i="2" s="1"/>
  <c r="IF246" i="2"/>
  <c r="IF236" i="2"/>
  <c r="CP79" i="3"/>
  <c r="CP77" i="3"/>
  <c r="CP75" i="3"/>
  <c r="CP81" i="3"/>
  <c r="CP73" i="3"/>
  <c r="DA81" i="3"/>
  <c r="DA79" i="3"/>
  <c r="DA77" i="3"/>
  <c r="DA75" i="3"/>
  <c r="DA73" i="3"/>
  <c r="CD79" i="3"/>
  <c r="CD77" i="3"/>
  <c r="CD75" i="3"/>
  <c r="CD81" i="3"/>
  <c r="CD73" i="3"/>
  <c r="BX81" i="3"/>
  <c r="BX79" i="3"/>
  <c r="BX73" i="3"/>
  <c r="BX75" i="3"/>
  <c r="BX77" i="3"/>
  <c r="DL129" i="2"/>
  <c r="DL130" i="2" s="1"/>
  <c r="DA187" i="9"/>
  <c r="DA188" i="9" s="1"/>
  <c r="DA77" i="9" s="1"/>
  <c r="CX77" i="3"/>
  <c r="CX75" i="3"/>
  <c r="CX81" i="3"/>
  <c r="CX73" i="3"/>
  <c r="CX79" i="3"/>
  <c r="JU52" i="2"/>
  <c r="EK49" i="2"/>
  <c r="EK57" i="2"/>
  <c r="JU54" i="2" s="1"/>
  <c r="EJ129" i="2"/>
  <c r="EJ130" i="2" s="1"/>
  <c r="HJ246" i="2"/>
  <c r="HJ236" i="2"/>
  <c r="CR187" i="9"/>
  <c r="CR188" i="9" s="1"/>
  <c r="CR77" i="9" s="1"/>
  <c r="BX187" i="9"/>
  <c r="BX188" i="9" s="1"/>
  <c r="BX77" i="9" s="1"/>
  <c r="CP129" i="2"/>
  <c r="CP130" i="2" s="1"/>
  <c r="DN79" i="3"/>
  <c r="DN77" i="3"/>
  <c r="DN75" i="3"/>
  <c r="DN81" i="3"/>
  <c r="DN73" i="3"/>
  <c r="U81" i="3"/>
  <c r="CL129" i="2"/>
  <c r="CL130" i="2" s="1"/>
  <c r="BP81" i="3"/>
  <c r="L194" i="9"/>
  <c r="DU187" i="9"/>
  <c r="DU188" i="9" s="1"/>
  <c r="DU77" i="9" s="1"/>
  <c r="S81" i="3"/>
  <c r="EL129" i="2"/>
  <c r="EL130" i="2" s="1"/>
  <c r="CG129" i="2"/>
  <c r="CG130" i="2" s="1"/>
  <c r="BJ129" i="2"/>
  <c r="BJ130" i="2" s="1"/>
  <c r="BE129" i="2"/>
  <c r="BE130" i="2" s="1"/>
  <c r="I168" i="2"/>
  <c r="I169" i="2" s="1"/>
  <c r="EE81" i="3"/>
  <c r="EE73" i="3"/>
  <c r="EE75" i="3"/>
  <c r="EE79" i="3"/>
  <c r="EE77" i="3"/>
  <c r="DQ187" i="9"/>
  <c r="DQ188" i="9" s="1"/>
  <c r="DQ77" i="9" s="1"/>
  <c r="IA246" i="2"/>
  <c r="IA236" i="2"/>
  <c r="CX187" i="9"/>
  <c r="CX188" i="9" s="1"/>
  <c r="CX77" i="9" s="1"/>
  <c r="DK81" i="3"/>
  <c r="DK73" i="3"/>
  <c r="DK75" i="3"/>
  <c r="DK79" i="3"/>
  <c r="DK77" i="3"/>
  <c r="CZ187" i="9"/>
  <c r="CZ188" i="9" s="1"/>
  <c r="CZ77" i="9" s="1"/>
  <c r="IC246" i="2"/>
  <c r="IC236" i="2"/>
  <c r="IL246" i="2"/>
  <c r="IL236" i="2"/>
  <c r="DB79" i="3"/>
  <c r="DB77" i="3"/>
  <c r="DB81" i="3"/>
  <c r="DB75" i="3"/>
  <c r="DB73" i="3"/>
  <c r="AN194" i="9"/>
  <c r="JX246" i="2"/>
  <c r="JX236" i="2"/>
  <c r="E89" i="4" a="1"/>
  <c r="E89" i="4" s="1"/>
  <c r="E88" i="4" s="1"/>
  <c r="H8" i="4" s="1"/>
  <c r="H5" i="4"/>
  <c r="F87" i="4"/>
  <c r="CB187" i="9"/>
  <c r="CB188" i="9" s="1"/>
  <c r="CB77" i="9" s="1"/>
  <c r="R81" i="3"/>
  <c r="IV246" i="2"/>
  <c r="IV236" i="2"/>
  <c r="AE81" i="3"/>
  <c r="DS81" i="3"/>
  <c r="DS75" i="3"/>
  <c r="DS77" i="3"/>
  <c r="DS73" i="3"/>
  <c r="DS79" i="3"/>
  <c r="BZ129" i="2"/>
  <c r="BZ130" i="2" s="1"/>
  <c r="BW81" i="3"/>
  <c r="BW77" i="3"/>
  <c r="BW73" i="3"/>
  <c r="BW75" i="3"/>
  <c r="BW79" i="3"/>
  <c r="EB79" i="3"/>
  <c r="EB73" i="3"/>
  <c r="EB77" i="3"/>
  <c r="EB81" i="3"/>
  <c r="EB75" i="3"/>
  <c r="JG246" i="2"/>
  <c r="JG236" i="2"/>
  <c r="CG187" i="9"/>
  <c r="CG188" i="9" s="1"/>
  <c r="CG77" i="9" s="1"/>
  <c r="BG81" i="3"/>
  <c r="BT187" i="9"/>
  <c r="BT188" i="9" s="1"/>
  <c r="BT77" i="9" s="1"/>
  <c r="AY81" i="3"/>
  <c r="CH187" i="9"/>
  <c r="CH188" i="9" s="1"/>
  <c r="CH77" i="9" s="1"/>
  <c r="AS49" i="3"/>
  <c r="AS51" i="3" s="1"/>
  <c r="AS55" i="3" s="1"/>
  <c r="IY246" i="2"/>
  <c r="IY236" i="2"/>
  <c r="DY81" i="3"/>
  <c r="DY79" i="3"/>
  <c r="DY77" i="3"/>
  <c r="DY75" i="3"/>
  <c r="DY73" i="3"/>
  <c r="S49" i="2"/>
  <c r="FD52" i="2"/>
  <c r="T57" i="2"/>
  <c r="T196" i="2"/>
  <c r="DH49" i="2"/>
  <c r="IR52" i="2"/>
  <c r="DH57" i="2"/>
  <c r="IR54" i="2" s="1"/>
  <c r="BV187" i="9"/>
  <c r="BV188" i="9" s="1"/>
  <c r="BV77" i="9" s="1"/>
  <c r="AF81" i="3"/>
  <c r="GE52" i="2"/>
  <c r="AU49" i="2"/>
  <c r="AU57" i="2"/>
  <c r="AU196" i="2"/>
  <c r="II246" i="2"/>
  <c r="II236" i="2"/>
  <c r="HO246" i="2"/>
  <c r="HO236" i="2"/>
  <c r="I81" i="3"/>
  <c r="DC187" i="9"/>
  <c r="DC188" i="9" s="1"/>
  <c r="DC77" i="9" s="1"/>
  <c r="CJ187" i="9"/>
  <c r="CJ188" i="9" s="1"/>
  <c r="CJ77" i="9" s="1"/>
  <c r="BQ129" i="2"/>
  <c r="BQ130" i="2" s="1"/>
  <c r="DX81" i="3"/>
  <c r="DX79" i="3"/>
  <c r="DX73" i="3"/>
  <c r="DX77" i="3"/>
  <c r="DX75" i="3"/>
  <c r="CJ81" i="3"/>
  <c r="CJ79" i="3"/>
  <c r="CJ77" i="3"/>
  <c r="CJ73" i="3"/>
  <c r="CJ75" i="3"/>
  <c r="DI187" i="9"/>
  <c r="DI188" i="9" s="1"/>
  <c r="DI77" i="9" s="1"/>
  <c r="DV77" i="3"/>
  <c r="DV75" i="3"/>
  <c r="DV73" i="3"/>
  <c r="DV79" i="3"/>
  <c r="DV81" i="3"/>
  <c r="CB81" i="3"/>
  <c r="CB79" i="3"/>
  <c r="CB73" i="3"/>
  <c r="CB75" i="3"/>
  <c r="CB77" i="3"/>
  <c r="JN246" i="2"/>
  <c r="JN236" i="2"/>
  <c r="IG246" i="2"/>
  <c r="IG236" i="2"/>
  <c r="V194" i="9"/>
  <c r="U194" i="9"/>
  <c r="Y188" i="9" l="1"/>
  <c r="Y76" i="9"/>
  <c r="BJ76" i="9"/>
  <c r="U58" i="3"/>
  <c r="AQ186" i="9"/>
  <c r="AS187" i="9" s="1"/>
  <c r="W58" i="3"/>
  <c r="BK58" i="3"/>
  <c r="BN58" i="3"/>
  <c r="I76" i="9"/>
  <c r="M58" i="3"/>
  <c r="AG58" i="3"/>
  <c r="AA58" i="3"/>
  <c r="BP58" i="3"/>
  <c r="BD186" i="9"/>
  <c r="BF187" i="9" s="1"/>
  <c r="AI76" i="9"/>
  <c r="BA58" i="3"/>
  <c r="GU54" i="2"/>
  <c r="BE58" i="3"/>
  <c r="AK58" i="3"/>
  <c r="BG76" i="9"/>
  <c r="BM76" i="9"/>
  <c r="K58" i="3"/>
  <c r="T76" i="9"/>
  <c r="T186" i="9"/>
  <c r="V187" i="9" s="1"/>
  <c r="V188" i="9" s="1"/>
  <c r="AE58" i="3"/>
  <c r="AW76" i="9"/>
  <c r="J58" i="3"/>
  <c r="W76" i="9"/>
  <c r="V76" i="9"/>
  <c r="BC58" i="3"/>
  <c r="GD54" i="2"/>
  <c r="AT58" i="3"/>
  <c r="Q58" i="3"/>
  <c r="V58" i="3"/>
  <c r="L25" i="2"/>
  <c r="L26" i="2" s="1"/>
  <c r="EV54" i="2"/>
  <c r="AS186" i="9"/>
  <c r="AU187" i="9" s="1"/>
  <c r="AN76" i="9"/>
  <c r="F76" i="9"/>
  <c r="BH58" i="3"/>
  <c r="AF76" i="9"/>
  <c r="AR58" i="3"/>
  <c r="GJ54" i="2"/>
  <c r="AU58" i="3"/>
  <c r="BA76" i="9"/>
  <c r="X186" i="9"/>
  <c r="Z187" i="9" s="1"/>
  <c r="X76" i="9"/>
  <c r="BB58" i="3"/>
  <c r="AV76" i="9"/>
  <c r="AT186" i="9"/>
  <c r="AV187" i="9" s="1"/>
  <c r="AV188" i="9" s="1"/>
  <c r="AT76" i="9"/>
  <c r="AM186" i="9"/>
  <c r="AO187" i="9" s="1"/>
  <c r="AM76" i="9"/>
  <c r="AD58" i="3"/>
  <c r="AY58" i="3"/>
  <c r="BD58" i="3"/>
  <c r="J76" i="9"/>
  <c r="X58" i="3"/>
  <c r="AL58" i="3"/>
  <c r="FE54" i="2"/>
  <c r="P58" i="3"/>
  <c r="L58" i="3"/>
  <c r="FY54" i="2"/>
  <c r="AJ58" i="3"/>
  <c r="BL58" i="3"/>
  <c r="Q186" i="9"/>
  <c r="S187" i="9" s="1"/>
  <c r="Q76" i="9"/>
  <c r="FW54" i="2"/>
  <c r="AH58" i="3"/>
  <c r="GL54" i="2"/>
  <c r="AW58" i="3"/>
  <c r="AQ58" i="3"/>
  <c r="AB58" i="3"/>
  <c r="AU186" i="9"/>
  <c r="AW187" i="9" s="1"/>
  <c r="AW188" i="9" s="1"/>
  <c r="AU76" i="9"/>
  <c r="AF58" i="3"/>
  <c r="BE76" i="9"/>
  <c r="BE186" i="9"/>
  <c r="BG187" i="9" s="1"/>
  <c r="BG188" i="9" s="1"/>
  <c r="AX186" i="9"/>
  <c r="AX188" i="9" s="1"/>
  <c r="AX77" i="9" s="1"/>
  <c r="FG54" i="2"/>
  <c r="R58" i="3"/>
  <c r="BF151" i="2"/>
  <c r="BF153" i="2" s="1"/>
  <c r="AZ142" i="9" s="1"/>
  <c r="H58" i="3"/>
  <c r="M25" i="2"/>
  <c r="GY54" i="2"/>
  <c r="BJ58" i="3"/>
  <c r="R76" i="9"/>
  <c r="R25" i="2"/>
  <c r="BZ151" i="2"/>
  <c r="BZ153" i="2" s="1"/>
  <c r="BT142" i="9" s="1"/>
  <c r="EH151" i="2"/>
  <c r="EH153" i="2" s="1"/>
  <c r="BI58" i="3"/>
  <c r="Y25" i="2"/>
  <c r="DM151" i="2"/>
  <c r="DM153" i="2" s="1"/>
  <c r="DG142" i="9" s="1"/>
  <c r="H51" i="3"/>
  <c r="H55" i="3" s="1"/>
  <c r="S58" i="3"/>
  <c r="BE151" i="2"/>
  <c r="BE153" i="2" s="1"/>
  <c r="AY142" i="9" s="1"/>
  <c r="Z58" i="3"/>
  <c r="V151" i="2"/>
  <c r="V153" i="2" s="1"/>
  <c r="P142" i="9" s="1"/>
  <c r="M186" i="9"/>
  <c r="O187" i="9" s="1"/>
  <c r="M76" i="9"/>
  <c r="M151" i="2"/>
  <c r="M153" i="2" s="1"/>
  <c r="G142" i="9" s="1"/>
  <c r="AP76" i="9"/>
  <c r="AP186" i="9"/>
  <c r="CE151" i="2"/>
  <c r="CE153" i="2" s="1"/>
  <c r="BY142" i="9" s="1"/>
  <c r="BV151" i="2"/>
  <c r="BV153" i="2" s="1"/>
  <c r="BP142" i="9" s="1"/>
  <c r="GK54" i="2"/>
  <c r="AV58" i="3"/>
  <c r="DY151" i="2"/>
  <c r="DY153" i="2" s="1"/>
  <c r="DS142" i="9" s="1"/>
  <c r="DA151" i="2"/>
  <c r="DA153" i="2" s="1"/>
  <c r="CU142" i="9" s="1"/>
  <c r="N58" i="3"/>
  <c r="DR25" i="2"/>
  <c r="Y58" i="3"/>
  <c r="AX25" i="2"/>
  <c r="CV151" i="2"/>
  <c r="CV153" i="2" s="1"/>
  <c r="CP142" i="9" s="1"/>
  <c r="R151" i="2"/>
  <c r="R153" i="2" s="1"/>
  <c r="M77" i="3" s="1"/>
  <c r="BK151" i="2"/>
  <c r="BK153" i="2" s="1"/>
  <c r="BE142" i="9" s="1"/>
  <c r="AM151" i="2"/>
  <c r="AM153" i="2" s="1"/>
  <c r="AG142" i="9" s="1"/>
  <c r="AA151" i="2"/>
  <c r="AA153" i="2" s="1"/>
  <c r="U142" i="9" s="1"/>
  <c r="EN151" i="2"/>
  <c r="EN153" i="2" s="1"/>
  <c r="AL151" i="2"/>
  <c r="AL153" i="2" s="1"/>
  <c r="AF142" i="9" s="1"/>
  <c r="BW151" i="2"/>
  <c r="BW153" i="2" s="1"/>
  <c r="BQ142" i="9" s="1"/>
  <c r="CW151" i="2"/>
  <c r="CW153" i="2" s="1"/>
  <c r="CQ142" i="9" s="1"/>
  <c r="CY151" i="2"/>
  <c r="CY153" i="2" s="1"/>
  <c r="CS142" i="9" s="1"/>
  <c r="U151" i="2"/>
  <c r="U153" i="2" s="1"/>
  <c r="O142" i="9" s="1"/>
  <c r="BX151" i="2"/>
  <c r="BX153" i="2" s="1"/>
  <c r="BR142" i="9" s="1"/>
  <c r="DZ151" i="2"/>
  <c r="DZ153" i="2" s="1"/>
  <c r="DT142" i="9" s="1"/>
  <c r="AT151" i="2"/>
  <c r="AT153" i="2" s="1"/>
  <c r="AN142" i="9" s="1"/>
  <c r="BI151" i="2"/>
  <c r="BI153" i="2" s="1"/>
  <c r="BC142" i="9" s="1"/>
  <c r="CZ151" i="2"/>
  <c r="CZ153" i="2" s="1"/>
  <c r="CT142" i="9" s="1"/>
  <c r="ED151" i="2"/>
  <c r="ED153" i="2" s="1"/>
  <c r="H151" i="2"/>
  <c r="H153" i="2" s="1"/>
  <c r="E90" i="4"/>
  <c r="H6" i="4" s="1"/>
  <c r="H7" i="4" s="1"/>
  <c r="AP151" i="2"/>
  <c r="AP153" i="2" s="1"/>
  <c r="AJ142" i="9" s="1"/>
  <c r="CT151" i="2"/>
  <c r="CT153" i="2" s="1"/>
  <c r="CN142" i="9" s="1"/>
  <c r="DW151" i="2"/>
  <c r="DW153" i="2" s="1"/>
  <c r="DQ142" i="9" s="1"/>
  <c r="DJ151" i="2"/>
  <c r="DJ153" i="2" s="1"/>
  <c r="DD142" i="9" s="1"/>
  <c r="AX151" i="2"/>
  <c r="AX153" i="2" s="1"/>
  <c r="AR142" i="9" s="1"/>
  <c r="AF151" i="2"/>
  <c r="AF153" i="2" s="1"/>
  <c r="Z142" i="9" s="1"/>
  <c r="BP151" i="2"/>
  <c r="BP153" i="2" s="1"/>
  <c r="BJ142" i="9" s="1"/>
  <c r="CQ151" i="2"/>
  <c r="CQ153" i="2" s="1"/>
  <c r="CK142" i="9" s="1"/>
  <c r="DH151" i="2"/>
  <c r="DH153" i="2" s="1"/>
  <c r="DB142" i="9" s="1"/>
  <c r="CU151" i="2"/>
  <c r="CU153" i="2" s="1"/>
  <c r="CO142" i="9" s="1"/>
  <c r="DO151" i="2"/>
  <c r="DO153" i="2" s="1"/>
  <c r="DI142" i="9" s="1"/>
  <c r="DK151" i="2"/>
  <c r="DK153" i="2" s="1"/>
  <c r="DE142" i="9" s="1"/>
  <c r="CK151" i="2"/>
  <c r="CK153" i="2" s="1"/>
  <c r="CE142" i="9" s="1"/>
  <c r="DQ151" i="2"/>
  <c r="DQ153" i="2" s="1"/>
  <c r="DK142" i="9" s="1"/>
  <c r="I153" i="2"/>
  <c r="BE25" i="2"/>
  <c r="CH151" i="2"/>
  <c r="CH153" i="2" s="1"/>
  <c r="CB142" i="9" s="1"/>
  <c r="EG151" i="2"/>
  <c r="EG153" i="2" s="1"/>
  <c r="EJ151" i="2"/>
  <c r="EJ153" i="2" s="1"/>
  <c r="AB151" i="2"/>
  <c r="AB153" i="2" s="1"/>
  <c r="V142" i="9" s="1"/>
  <c r="BC151" i="2"/>
  <c r="BC153" i="2" s="1"/>
  <c r="AW142" i="9" s="1"/>
  <c r="AY151" i="2"/>
  <c r="AY153" i="2" s="1"/>
  <c r="AS142" i="9" s="1"/>
  <c r="AR151" i="2"/>
  <c r="AR153" i="2" s="1"/>
  <c r="AL142" i="9" s="1"/>
  <c r="BJ151" i="2"/>
  <c r="BJ153" i="2" s="1"/>
  <c r="BD142" i="9" s="1"/>
  <c r="CA151" i="2"/>
  <c r="CA153" i="2" s="1"/>
  <c r="BU142" i="9" s="1"/>
  <c r="AH151" i="2"/>
  <c r="AH153" i="2" s="1"/>
  <c r="AB142" i="9" s="1"/>
  <c r="CJ151" i="2"/>
  <c r="CJ153" i="2" s="1"/>
  <c r="CD142" i="9" s="1"/>
  <c r="CB151" i="2"/>
  <c r="CB153" i="2" s="1"/>
  <c r="BV142" i="9" s="1"/>
  <c r="BY151" i="2"/>
  <c r="BY153" i="2" s="1"/>
  <c r="BS142" i="9" s="1"/>
  <c r="BQ151" i="2"/>
  <c r="BQ153" i="2" s="1"/>
  <c r="BK142" i="9" s="1"/>
  <c r="AW151" i="2"/>
  <c r="AW153" i="2" s="1"/>
  <c r="AQ142" i="9" s="1"/>
  <c r="EI151" i="2"/>
  <c r="EI153" i="2" s="1"/>
  <c r="DP151" i="2"/>
  <c r="DP153" i="2" s="1"/>
  <c r="DJ142" i="9" s="1"/>
  <c r="Q151" i="2"/>
  <c r="Q153" i="2" s="1"/>
  <c r="K142" i="9" s="1"/>
  <c r="S151" i="2"/>
  <c r="S153" i="2" s="1"/>
  <c r="M142" i="9" s="1"/>
  <c r="DB151" i="2"/>
  <c r="DB153" i="2" s="1"/>
  <c r="CV142" i="9" s="1"/>
  <c r="CL151" i="2"/>
  <c r="CL153" i="2" s="1"/>
  <c r="CF142" i="9" s="1"/>
  <c r="CD151" i="2"/>
  <c r="CD153" i="2" s="1"/>
  <c r="BX142" i="9" s="1"/>
  <c r="AJ151" i="2"/>
  <c r="AJ153" i="2" s="1"/>
  <c r="AD142" i="9" s="1"/>
  <c r="GB54" i="2"/>
  <c r="AM58" i="3"/>
  <c r="BH151" i="2"/>
  <c r="BH153" i="2" s="1"/>
  <c r="BB142" i="9" s="1"/>
  <c r="BU151" i="2"/>
  <c r="BU153" i="2" s="1"/>
  <c r="AS151" i="2"/>
  <c r="AS153" i="2" s="1"/>
  <c r="AS155" i="2" s="1"/>
  <c r="BT151" i="2"/>
  <c r="BT153" i="2" s="1"/>
  <c r="BN142" i="9" s="1"/>
  <c r="BA151" i="2"/>
  <c r="BA153" i="2" s="1"/>
  <c r="AU142" i="9" s="1"/>
  <c r="BS151" i="2"/>
  <c r="BS153" i="2" s="1"/>
  <c r="BM142" i="9" s="1"/>
  <c r="DN151" i="2"/>
  <c r="DN153" i="2" s="1"/>
  <c r="DH142" i="9" s="1"/>
  <c r="H181" i="2"/>
  <c r="H183" i="2" s="1"/>
  <c r="L24" i="1" s="1"/>
  <c r="BO151" i="2"/>
  <c r="BO153" i="2" s="1"/>
  <c r="BI142" i="9" s="1"/>
  <c r="EE151" i="2"/>
  <c r="EE153" i="2" s="1"/>
  <c r="X151" i="2"/>
  <c r="X153" i="2" s="1"/>
  <c r="R142" i="9" s="1"/>
  <c r="CF151" i="2"/>
  <c r="CF153" i="2" s="1"/>
  <c r="BZ142" i="9" s="1"/>
  <c r="EM151" i="2"/>
  <c r="EM153" i="2" s="1"/>
  <c r="DR151" i="2"/>
  <c r="DR153" i="2" s="1"/>
  <c r="DL142" i="9" s="1"/>
  <c r="DI151" i="2"/>
  <c r="DI153" i="2" s="1"/>
  <c r="DC142" i="9" s="1"/>
  <c r="CP151" i="2"/>
  <c r="CP153" i="2" s="1"/>
  <c r="CJ142" i="9" s="1"/>
  <c r="CG151" i="2"/>
  <c r="CG153" i="2" s="1"/>
  <c r="CA142" i="9" s="1"/>
  <c r="DD151" i="2"/>
  <c r="DD153" i="2" s="1"/>
  <c r="CX142" i="9" s="1"/>
  <c r="BN151" i="2"/>
  <c r="BN153" i="2" s="1"/>
  <c r="BH142" i="9" s="1"/>
  <c r="BM151" i="2"/>
  <c r="BM153" i="2" s="1"/>
  <c r="BG142" i="9" s="1"/>
  <c r="DL151" i="2"/>
  <c r="DL153" i="2" s="1"/>
  <c r="DF142" i="9" s="1"/>
  <c r="AQ151" i="2"/>
  <c r="AQ153" i="2" s="1"/>
  <c r="AK142" i="9" s="1"/>
  <c r="DS151" i="2"/>
  <c r="DS153" i="2" s="1"/>
  <c r="DM142" i="9" s="1"/>
  <c r="W151" i="2"/>
  <c r="W153" i="2" s="1"/>
  <c r="Q142" i="9" s="1"/>
  <c r="Y151" i="2"/>
  <c r="Y153" i="2" s="1"/>
  <c r="S142" i="9" s="1"/>
  <c r="AO151" i="2"/>
  <c r="AO153" i="2" s="1"/>
  <c r="AI142" i="9" s="1"/>
  <c r="AU151" i="2"/>
  <c r="AU153" i="2" s="1"/>
  <c r="AO142" i="9" s="1"/>
  <c r="EF151" i="2"/>
  <c r="EF153" i="2" s="1"/>
  <c r="CN151" i="2"/>
  <c r="CN153" i="2" s="1"/>
  <c r="CH142" i="9" s="1"/>
  <c r="CM151" i="2"/>
  <c r="CM153" i="2" s="1"/>
  <c r="CG142" i="9" s="1"/>
  <c r="CX151" i="2"/>
  <c r="CX153" i="2" s="1"/>
  <c r="CR142" i="9" s="1"/>
  <c r="CO151" i="2"/>
  <c r="CO153" i="2" s="1"/>
  <c r="CI142" i="9" s="1"/>
  <c r="BL151" i="2"/>
  <c r="BL153" i="2" s="1"/>
  <c r="BF142" i="9" s="1"/>
  <c r="T151" i="2"/>
  <c r="T153" i="2" s="1"/>
  <c r="N142" i="9" s="1"/>
  <c r="AV151" i="2"/>
  <c r="AV153" i="2" s="1"/>
  <c r="AP142" i="9" s="1"/>
  <c r="O151" i="2"/>
  <c r="O153" i="2" s="1"/>
  <c r="I142" i="9" s="1"/>
  <c r="AG151" i="2"/>
  <c r="AG153" i="2" s="1"/>
  <c r="AA142" i="9" s="1"/>
  <c r="P151" i="2"/>
  <c r="P153" i="2" s="1"/>
  <c r="J142" i="9" s="1"/>
  <c r="EK151" i="2"/>
  <c r="EK153" i="2" s="1"/>
  <c r="DU151" i="2"/>
  <c r="DU153" i="2" s="1"/>
  <c r="DO142" i="9" s="1"/>
  <c r="AD151" i="2"/>
  <c r="AD153" i="2" s="1"/>
  <c r="X142" i="9" s="1"/>
  <c r="DG151" i="2"/>
  <c r="DG153" i="2" s="1"/>
  <c r="DA142" i="9" s="1"/>
  <c r="AC151" i="2"/>
  <c r="AC153" i="2" s="1"/>
  <c r="W142" i="9" s="1"/>
  <c r="N151" i="2"/>
  <c r="N153" i="2" s="1"/>
  <c r="H142" i="9" s="1"/>
  <c r="BD151" i="2"/>
  <c r="BD153" i="2" s="1"/>
  <c r="AX142" i="9" s="1"/>
  <c r="DT151" i="2"/>
  <c r="DT153" i="2" s="1"/>
  <c r="DN142" i="9" s="1"/>
  <c r="DC151" i="2"/>
  <c r="DC153" i="2" s="1"/>
  <c r="CW142" i="9" s="1"/>
  <c r="BB151" i="2"/>
  <c r="BB153" i="2" s="1"/>
  <c r="AV142" i="9" s="1"/>
  <c r="Z151" i="2"/>
  <c r="Z153" i="2" s="1"/>
  <c r="Z155" i="2" s="1"/>
  <c r="FJ59" i="2" s="1"/>
  <c r="CS151" i="2"/>
  <c r="CS153" i="2" s="1"/>
  <c r="CM142" i="9" s="1"/>
  <c r="AK151" i="2"/>
  <c r="AK153" i="2" s="1"/>
  <c r="AE142" i="9" s="1"/>
  <c r="AI151" i="2"/>
  <c r="AI153" i="2" s="1"/>
  <c r="AC142" i="9" s="1"/>
  <c r="CI151" i="2"/>
  <c r="CI153" i="2" s="1"/>
  <c r="CC142" i="9" s="1"/>
  <c r="EB151" i="2"/>
  <c r="EB153" i="2" s="1"/>
  <c r="DV142" i="9" s="1"/>
  <c r="DV151" i="2"/>
  <c r="DV153" i="2" s="1"/>
  <c r="DP142" i="9" s="1"/>
  <c r="DX151" i="2"/>
  <c r="DX153" i="2" s="1"/>
  <c r="DR142" i="9" s="1"/>
  <c r="EL151" i="2"/>
  <c r="EL153" i="2" s="1"/>
  <c r="EA151" i="2"/>
  <c r="EA153" i="2" s="1"/>
  <c r="DU142" i="9" s="1"/>
  <c r="DF151" i="2"/>
  <c r="DF153" i="2" s="1"/>
  <c r="CZ142" i="9" s="1"/>
  <c r="BG151" i="2"/>
  <c r="BG153" i="2" s="1"/>
  <c r="BA142" i="9" s="1"/>
  <c r="AN151" i="2"/>
  <c r="AN153" i="2" s="1"/>
  <c r="EC151" i="2"/>
  <c r="EC153" i="2" s="1"/>
  <c r="BR151" i="2"/>
  <c r="BR153" i="2" s="1"/>
  <c r="BL142" i="9" s="1"/>
  <c r="AE151" i="2"/>
  <c r="AE153" i="2" s="1"/>
  <c r="AE155" i="2" s="1"/>
  <c r="CC151" i="2"/>
  <c r="CC153" i="2" s="1"/>
  <c r="BW142" i="9" s="1"/>
  <c r="AZ151" i="2"/>
  <c r="AZ153" i="2" s="1"/>
  <c r="AT142" i="9" s="1"/>
  <c r="CR151" i="2"/>
  <c r="CR153" i="2" s="1"/>
  <c r="CL142" i="9" s="1"/>
  <c r="GM54" i="2"/>
  <c r="AX58" i="3"/>
  <c r="DK25" i="2"/>
  <c r="EU52" i="2"/>
  <c r="AF25" i="2"/>
  <c r="G13" i="3"/>
  <c r="AS25" i="2"/>
  <c r="CH25" i="2"/>
  <c r="Q25" i="2"/>
  <c r="S186" i="9"/>
  <c r="S76" i="9"/>
  <c r="EM25" i="2"/>
  <c r="CD25" i="2"/>
  <c r="CV25" i="2"/>
  <c r="P25" i="2"/>
  <c r="AH25" i="2"/>
  <c r="CE25" i="2"/>
  <c r="FI54" i="2"/>
  <c r="T58" i="3"/>
  <c r="EH25" i="2"/>
  <c r="O25" i="2"/>
  <c r="T25" i="2"/>
  <c r="AO25" i="2"/>
  <c r="N25" i="2"/>
  <c r="S25" i="2"/>
  <c r="G37" i="3"/>
  <c r="DO175" i="9"/>
  <c r="EM140" i="2"/>
  <c r="EM291" i="2"/>
  <c r="BW175" i="9"/>
  <c r="DR175" i="9"/>
  <c r="DB175" i="9"/>
  <c r="BV175" i="9"/>
  <c r="BC140" i="2"/>
  <c r="AW139" i="9"/>
  <c r="BC291" i="2"/>
  <c r="DS140" i="2"/>
  <c r="DM139" i="9"/>
  <c r="DS291" i="2"/>
  <c r="CC140" i="2"/>
  <c r="BW139" i="9"/>
  <c r="CC291" i="2"/>
  <c r="EG140" i="2"/>
  <c r="EG291" i="2"/>
  <c r="CV140" i="2"/>
  <c r="CP139" i="9"/>
  <c r="CV291" i="2"/>
  <c r="CA175" i="9"/>
  <c r="CA140" i="2"/>
  <c r="BU139" i="9"/>
  <c r="CA291" i="2"/>
  <c r="DL175" i="9"/>
  <c r="EC140" i="2"/>
  <c r="EC291" i="2"/>
  <c r="BM140" i="2"/>
  <c r="BG139" i="9"/>
  <c r="BM291" i="2"/>
  <c r="BZ140" i="2"/>
  <c r="BT139" i="9"/>
  <c r="BZ291" i="2"/>
  <c r="CB175" i="9"/>
  <c r="DQ175" i="9"/>
  <c r="CT175" i="9"/>
  <c r="DD140" i="2"/>
  <c r="CX139" i="9"/>
  <c r="DD291" i="2"/>
  <c r="DH175" i="9"/>
  <c r="DI140" i="2"/>
  <c r="DC139" i="9"/>
  <c r="DI291" i="2"/>
  <c r="DA140" i="2"/>
  <c r="CU139" i="9"/>
  <c r="DA291" i="2"/>
  <c r="DJ140" i="2"/>
  <c r="DD139" i="9"/>
  <c r="DJ291" i="2"/>
  <c r="CP140" i="2"/>
  <c r="CJ139" i="9"/>
  <c r="CP291" i="2"/>
  <c r="CE175" i="9"/>
  <c r="CL175" i="9"/>
  <c r="CN175" i="9"/>
  <c r="EI140" i="2"/>
  <c r="EI291" i="2"/>
  <c r="CU140" i="2"/>
  <c r="CO139" i="9"/>
  <c r="CU291" i="2"/>
  <c r="CH140" i="2"/>
  <c r="CB139" i="9"/>
  <c r="CH291" i="2"/>
  <c r="CF140" i="2"/>
  <c r="BZ139" i="9"/>
  <c r="CF291" i="2"/>
  <c r="CC175" i="9"/>
  <c r="DE140" i="2"/>
  <c r="DE155" i="2" s="1"/>
  <c r="CY139" i="9"/>
  <c r="DE291" i="2"/>
  <c r="DE175" i="9"/>
  <c r="DP140" i="2"/>
  <c r="DJ139" i="9"/>
  <c r="DP291" i="2"/>
  <c r="DT175" i="9"/>
  <c r="CQ175" i="9"/>
  <c r="BP140" i="2"/>
  <c r="BJ139" i="9"/>
  <c r="BP291" i="2"/>
  <c r="CB140" i="2"/>
  <c r="BV139" i="9"/>
  <c r="CB291" i="2"/>
  <c r="BG140" i="2"/>
  <c r="BA139" i="9"/>
  <c r="BG291" i="2"/>
  <c r="DC175" i="9"/>
  <c r="BT175" i="9"/>
  <c r="CW175" i="9"/>
  <c r="CG175" i="9"/>
  <c r="DM175" i="9"/>
  <c r="DS175" i="9"/>
  <c r="DK140" i="2"/>
  <c r="DE139" i="9"/>
  <c r="DK291" i="2"/>
  <c r="BV140" i="2"/>
  <c r="BP139" i="9"/>
  <c r="BV291" i="2"/>
  <c r="BX175" i="9"/>
  <c r="BE140" i="2"/>
  <c r="AY139" i="9"/>
  <c r="BE291" i="2"/>
  <c r="DG175" i="9"/>
  <c r="EH140" i="2"/>
  <c r="EH291" i="2"/>
  <c r="BW140" i="2"/>
  <c r="BQ139" i="9"/>
  <c r="BW291" i="2"/>
  <c r="DM140" i="2"/>
  <c r="DG139" i="9"/>
  <c r="DM291" i="2"/>
  <c r="BO140" i="2"/>
  <c r="BI139" i="9"/>
  <c r="BO291" i="2"/>
  <c r="BY175" i="9"/>
  <c r="DU175" i="9"/>
  <c r="DK175" i="9"/>
  <c r="DV140" i="2"/>
  <c r="DP139" i="9"/>
  <c r="DV291" i="2"/>
  <c r="DI175" i="9"/>
  <c r="CL140" i="2"/>
  <c r="CF139" i="9"/>
  <c r="CL291" i="2"/>
  <c r="DF175" i="9"/>
  <c r="CO175" i="9"/>
  <c r="CW140" i="2"/>
  <c r="CQ139" i="9"/>
  <c r="CW291" i="2"/>
  <c r="DX140" i="2"/>
  <c r="DR139" i="9"/>
  <c r="DX291" i="2"/>
  <c r="DJ175" i="9"/>
  <c r="BR140" i="2"/>
  <c r="BL139" i="9"/>
  <c r="BR291" i="2"/>
  <c r="AW140" i="2"/>
  <c r="AQ139" i="9"/>
  <c r="AW291" i="2"/>
  <c r="CJ175" i="9"/>
  <c r="CF175" i="9"/>
  <c r="CK175" i="9"/>
  <c r="EJ140" i="2"/>
  <c r="EJ291" i="2"/>
  <c r="DA175" i="9"/>
  <c r="BU175" i="9"/>
  <c r="CI175" i="9"/>
  <c r="BY140" i="2"/>
  <c r="BS139" i="9"/>
  <c r="BY291" i="2"/>
  <c r="BL140" i="2"/>
  <c r="BF139" i="9"/>
  <c r="BL291" i="2"/>
  <c r="BT140" i="2"/>
  <c r="BN139" i="9"/>
  <c r="BT291" i="2"/>
  <c r="BH140" i="2"/>
  <c r="BB139" i="9"/>
  <c r="BH291" i="2"/>
  <c r="CO140" i="2"/>
  <c r="CI139" i="9"/>
  <c r="CO291" i="2"/>
  <c r="CI140" i="2"/>
  <c r="CI291" i="2"/>
  <c r="CC139" i="9"/>
  <c r="CM175" i="9"/>
  <c r="ED140" i="2"/>
  <c r="ED291" i="2"/>
  <c r="BF140" i="2"/>
  <c r="AZ139" i="9"/>
  <c r="BF291" i="2"/>
  <c r="EN140" i="2"/>
  <c r="EN291" i="2"/>
  <c r="AL86" i="3"/>
  <c r="AL82" i="3"/>
  <c r="AL69" i="3"/>
  <c r="AL65" i="3"/>
  <c r="AL63" i="3"/>
  <c r="AL72" i="3"/>
  <c r="AL62" i="3"/>
  <c r="AL61" i="3"/>
  <c r="AL70" i="3"/>
  <c r="AL71" i="3"/>
  <c r="DU89" i="3"/>
  <c r="DU87" i="3"/>
  <c r="DU86" i="3"/>
  <c r="DU85" i="3"/>
  <c r="DU94" i="3"/>
  <c r="DU66" i="3"/>
  <c r="DU93" i="3"/>
  <c r="DU65" i="3"/>
  <c r="DU64" i="3"/>
  <c r="DU63" i="3"/>
  <c r="DU72" i="3"/>
  <c r="DU62" i="3"/>
  <c r="DU61" i="3"/>
  <c r="DU82" i="3"/>
  <c r="DU71" i="3"/>
  <c r="DU83" i="3"/>
  <c r="DU90" i="3"/>
  <c r="DU69" i="3"/>
  <c r="DU70" i="3"/>
  <c r="GV54" i="2"/>
  <c r="BG58" i="3"/>
  <c r="DN140" i="2"/>
  <c r="DH139" i="9"/>
  <c r="DN291" i="2"/>
  <c r="BS94" i="3"/>
  <c r="BS93" i="3"/>
  <c r="BS90" i="3"/>
  <c r="BS87" i="3"/>
  <c r="BS89" i="3"/>
  <c r="BS86" i="3"/>
  <c r="BS85" i="3"/>
  <c r="BS71" i="3"/>
  <c r="BS82" i="3"/>
  <c r="BS70" i="3"/>
  <c r="BS83" i="3"/>
  <c r="BS69" i="3"/>
  <c r="BS66" i="3"/>
  <c r="BS65" i="3"/>
  <c r="BS64" i="3"/>
  <c r="BS61" i="3"/>
  <c r="BS62" i="3"/>
  <c r="BS63" i="3"/>
  <c r="BS72" i="3"/>
  <c r="BO186" i="9"/>
  <c r="BO76" i="9"/>
  <c r="CZ85" i="3"/>
  <c r="CZ94" i="3"/>
  <c r="CZ82" i="3"/>
  <c r="CZ89" i="3"/>
  <c r="CZ86" i="3"/>
  <c r="CZ83" i="3"/>
  <c r="CZ90" i="3"/>
  <c r="CZ87" i="3"/>
  <c r="CZ63" i="3"/>
  <c r="CZ72" i="3"/>
  <c r="CZ62" i="3"/>
  <c r="CZ61" i="3"/>
  <c r="CZ71" i="3"/>
  <c r="CZ93" i="3"/>
  <c r="CZ70" i="3"/>
  <c r="CZ69" i="3"/>
  <c r="CZ64" i="3"/>
  <c r="CZ65" i="3"/>
  <c r="CZ66" i="3"/>
  <c r="DD25" i="2"/>
  <c r="EC25" i="2"/>
  <c r="DH25" i="2"/>
  <c r="EG25" i="2"/>
  <c r="AE25" i="2"/>
  <c r="BD25" i="2"/>
  <c r="CC25" i="2"/>
  <c r="DB25" i="2"/>
  <c r="DC25" i="2"/>
  <c r="AJ25" i="2"/>
  <c r="BT25" i="2"/>
  <c r="H116" i="9"/>
  <c r="G135" i="9"/>
  <c r="DB140" i="2"/>
  <c r="CV139" i="9"/>
  <c r="DB291" i="2"/>
  <c r="BS140" i="2"/>
  <c r="BM139" i="9"/>
  <c r="BS291" i="2"/>
  <c r="CQ140" i="2"/>
  <c r="CK139" i="9"/>
  <c r="CQ291" i="2"/>
  <c r="H5" i="3"/>
  <c r="AC194" i="9"/>
  <c r="DY140" i="2"/>
  <c r="DS139" i="9"/>
  <c r="DY291" i="2"/>
  <c r="K194" i="9"/>
  <c r="L195" i="9" s="1"/>
  <c r="L143" i="9" s="1"/>
  <c r="DZ140" i="2"/>
  <c r="DT139" i="9"/>
  <c r="DZ291" i="2"/>
  <c r="AE194" i="9"/>
  <c r="AE195" i="9" s="1"/>
  <c r="AE143" i="9" s="1"/>
  <c r="CX175" i="9"/>
  <c r="DU140" i="2"/>
  <c r="DO139" i="9"/>
  <c r="DU291" i="2"/>
  <c r="DS90" i="3"/>
  <c r="DS89" i="3"/>
  <c r="DS87" i="3"/>
  <c r="DS86" i="3"/>
  <c r="DS82" i="3"/>
  <c r="DS85" i="3"/>
  <c r="DS83" i="3"/>
  <c r="DS69" i="3"/>
  <c r="DS93" i="3"/>
  <c r="DS66" i="3"/>
  <c r="DS94" i="3"/>
  <c r="DS65" i="3"/>
  <c r="DS64" i="3"/>
  <c r="DS63" i="3"/>
  <c r="DS72" i="3"/>
  <c r="DS62" i="3"/>
  <c r="DS61" i="3"/>
  <c r="DS70" i="3"/>
  <c r="DS71" i="3"/>
  <c r="BJ140" i="2"/>
  <c r="BD139" i="9"/>
  <c r="BJ291" i="2"/>
  <c r="CP175" i="9"/>
  <c r="BV93" i="3"/>
  <c r="BV90" i="3"/>
  <c r="BV89" i="3"/>
  <c r="BV87" i="3"/>
  <c r="BV94" i="3"/>
  <c r="BV86" i="3"/>
  <c r="BV83" i="3"/>
  <c r="BV82" i="3"/>
  <c r="BV69" i="3"/>
  <c r="BV66" i="3"/>
  <c r="BV65" i="3"/>
  <c r="BV64" i="3"/>
  <c r="BV85" i="3"/>
  <c r="BV63" i="3"/>
  <c r="BV72" i="3"/>
  <c r="BV62" i="3"/>
  <c r="BV61" i="3"/>
  <c r="BV70" i="3"/>
  <c r="BV71" i="3"/>
  <c r="ED93" i="3"/>
  <c r="ED90" i="3"/>
  <c r="ED89" i="3"/>
  <c r="ED87" i="3"/>
  <c r="ED85" i="3"/>
  <c r="ED83" i="3"/>
  <c r="ED86" i="3"/>
  <c r="ED82" i="3"/>
  <c r="ED69" i="3"/>
  <c r="ED94" i="3"/>
  <c r="ED66" i="3"/>
  <c r="ED65" i="3"/>
  <c r="ED64" i="3"/>
  <c r="ED63" i="3"/>
  <c r="ED72" i="3"/>
  <c r="ED62" i="3"/>
  <c r="ED61" i="3"/>
  <c r="ED70" i="3"/>
  <c r="ED71" i="3"/>
  <c r="Z186" i="9"/>
  <c r="Z76" i="9"/>
  <c r="V195" i="9"/>
  <c r="V143" i="9" s="1"/>
  <c r="AF82" i="3"/>
  <c r="AF86" i="3"/>
  <c r="AF63" i="3"/>
  <c r="AF72" i="3"/>
  <c r="AF62" i="3"/>
  <c r="AF61" i="3"/>
  <c r="AF71" i="3"/>
  <c r="AF70" i="3"/>
  <c r="AF69" i="3"/>
  <c r="AF65" i="3"/>
  <c r="AY86" i="3"/>
  <c r="AY82" i="3"/>
  <c r="AY69" i="3"/>
  <c r="AY65" i="3"/>
  <c r="AY63" i="3"/>
  <c r="AY72" i="3"/>
  <c r="AY62" i="3"/>
  <c r="AY61" i="3"/>
  <c r="AY70" i="3"/>
  <c r="AY71" i="3"/>
  <c r="CV175" i="9"/>
  <c r="CY86" i="3"/>
  <c r="CY83" i="3"/>
  <c r="CY93" i="3"/>
  <c r="CY94" i="3"/>
  <c r="CY82" i="3"/>
  <c r="CY89" i="3"/>
  <c r="CY85" i="3"/>
  <c r="CY64" i="3"/>
  <c r="CY90" i="3"/>
  <c r="CY63" i="3"/>
  <c r="CY72" i="3"/>
  <c r="CY62" i="3"/>
  <c r="CY61" i="3"/>
  <c r="CY71" i="3"/>
  <c r="CY87" i="3"/>
  <c r="CY70" i="3"/>
  <c r="CY69" i="3"/>
  <c r="CY66" i="3"/>
  <c r="CY65" i="3"/>
  <c r="BS175" i="9"/>
  <c r="CF94" i="3"/>
  <c r="CF93" i="3"/>
  <c r="CF90" i="3"/>
  <c r="CF89" i="3"/>
  <c r="CF86" i="3"/>
  <c r="CF85" i="3"/>
  <c r="CF87" i="3"/>
  <c r="CF70" i="3"/>
  <c r="CF69" i="3"/>
  <c r="CF66" i="3"/>
  <c r="CF82" i="3"/>
  <c r="CF65" i="3"/>
  <c r="CF64" i="3"/>
  <c r="CF71" i="3"/>
  <c r="CF62" i="3"/>
  <c r="CF72" i="3"/>
  <c r="CF63" i="3"/>
  <c r="CF83" i="3"/>
  <c r="CF61" i="3"/>
  <c r="AX82" i="3"/>
  <c r="AX69" i="3"/>
  <c r="AX86" i="3"/>
  <c r="AX65" i="3"/>
  <c r="AX63" i="3"/>
  <c r="AX72" i="3"/>
  <c r="AX62" i="3"/>
  <c r="AX71" i="3"/>
  <c r="AX70" i="3"/>
  <c r="AX61" i="3"/>
  <c r="CU90" i="3"/>
  <c r="CU89" i="3"/>
  <c r="CU87" i="3"/>
  <c r="CU86" i="3"/>
  <c r="CU85" i="3"/>
  <c r="CU83" i="3"/>
  <c r="CU82" i="3"/>
  <c r="CU69" i="3"/>
  <c r="CU66" i="3"/>
  <c r="CU65" i="3"/>
  <c r="CU64" i="3"/>
  <c r="CU63" i="3"/>
  <c r="CU93" i="3"/>
  <c r="CU72" i="3"/>
  <c r="CU62" i="3"/>
  <c r="CU94" i="3"/>
  <c r="CU61" i="3"/>
  <c r="CU70" i="3"/>
  <c r="CU71" i="3"/>
  <c r="I73" i="9"/>
  <c r="DT90" i="3"/>
  <c r="DT89" i="3"/>
  <c r="DT87" i="3"/>
  <c r="DT86" i="3"/>
  <c r="DT85" i="3"/>
  <c r="DT94" i="3"/>
  <c r="DT93" i="3"/>
  <c r="DT66" i="3"/>
  <c r="DT65" i="3"/>
  <c r="DT64" i="3"/>
  <c r="DT63" i="3"/>
  <c r="DT72" i="3"/>
  <c r="DT62" i="3"/>
  <c r="DT61" i="3"/>
  <c r="DT82" i="3"/>
  <c r="DT71" i="3"/>
  <c r="DT83" i="3"/>
  <c r="DT70" i="3"/>
  <c r="DT69" i="3"/>
  <c r="AH86" i="3"/>
  <c r="AH82" i="3"/>
  <c r="AH61" i="3"/>
  <c r="AH71" i="3"/>
  <c r="AH70" i="3"/>
  <c r="AH69" i="3"/>
  <c r="AH65" i="3"/>
  <c r="AH62" i="3"/>
  <c r="AH63" i="3"/>
  <c r="AH72" i="3"/>
  <c r="AZ86" i="3"/>
  <c r="AZ82" i="3"/>
  <c r="AZ65" i="3"/>
  <c r="AZ63" i="3"/>
  <c r="AZ72" i="3"/>
  <c r="AZ62" i="3"/>
  <c r="AZ61" i="3"/>
  <c r="AZ71" i="3"/>
  <c r="AZ70" i="3"/>
  <c r="AZ69" i="3"/>
  <c r="BB86" i="3"/>
  <c r="BB82" i="3"/>
  <c r="BB65" i="3"/>
  <c r="BB63" i="3"/>
  <c r="BB72" i="3"/>
  <c r="BB62" i="3"/>
  <c r="BB61" i="3"/>
  <c r="BB71" i="3"/>
  <c r="BB70" i="3"/>
  <c r="BB69" i="3"/>
  <c r="DC140" i="2"/>
  <c r="CW139" i="9"/>
  <c r="DC291" i="2"/>
  <c r="BF61" i="3"/>
  <c r="BF71" i="3"/>
  <c r="BF86" i="3"/>
  <c r="BF70" i="3"/>
  <c r="BF69" i="3"/>
  <c r="BF82" i="3"/>
  <c r="BF62" i="3"/>
  <c r="BF72" i="3"/>
  <c r="BF63" i="3"/>
  <c r="BF65" i="3"/>
  <c r="CF25" i="2"/>
  <c r="CI25" i="2"/>
  <c r="DU25" i="2"/>
  <c r="AR25" i="2"/>
  <c r="BQ25" i="2"/>
  <c r="CP25" i="2"/>
  <c r="DO25" i="2"/>
  <c r="BS25" i="2"/>
  <c r="AV25" i="2"/>
  <c r="BI186" i="9"/>
  <c r="BI76" i="9"/>
  <c r="DM83" i="3"/>
  <c r="DM94" i="3"/>
  <c r="DM90" i="3"/>
  <c r="DM93" i="3"/>
  <c r="DM87" i="3"/>
  <c r="DM85" i="3"/>
  <c r="DM89" i="3"/>
  <c r="DM86" i="3"/>
  <c r="DM82" i="3"/>
  <c r="DM72" i="3"/>
  <c r="DM62" i="3"/>
  <c r="DM61" i="3"/>
  <c r="DM71" i="3"/>
  <c r="DM70" i="3"/>
  <c r="DM69" i="3"/>
  <c r="DM65" i="3"/>
  <c r="DM66" i="3"/>
  <c r="DM63" i="3"/>
  <c r="DM64" i="3"/>
  <c r="AD86" i="3"/>
  <c r="AD82" i="3"/>
  <c r="AD65" i="3"/>
  <c r="AD63" i="3"/>
  <c r="AD72" i="3"/>
  <c r="AD62" i="3"/>
  <c r="AD61" i="3"/>
  <c r="AD71" i="3"/>
  <c r="AD70" i="3"/>
  <c r="AD69" i="3"/>
  <c r="G197" i="9"/>
  <c r="G196" i="9"/>
  <c r="G154" i="9"/>
  <c r="G130" i="9"/>
  <c r="AA86" i="3"/>
  <c r="AA82" i="3"/>
  <c r="AA69" i="3"/>
  <c r="AA65" i="3"/>
  <c r="AA63" i="3"/>
  <c r="AA72" i="3"/>
  <c r="AA62" i="3"/>
  <c r="AA61" i="3"/>
  <c r="AA70" i="3"/>
  <c r="AA71" i="3"/>
  <c r="CL87" i="3"/>
  <c r="CL86" i="3"/>
  <c r="CL85" i="3"/>
  <c r="CL83" i="3"/>
  <c r="CL94" i="3"/>
  <c r="CL93" i="3"/>
  <c r="CL82" i="3"/>
  <c r="CL90" i="3"/>
  <c r="CL65" i="3"/>
  <c r="CL64" i="3"/>
  <c r="CL63" i="3"/>
  <c r="CL72" i="3"/>
  <c r="CL62" i="3"/>
  <c r="CL61" i="3"/>
  <c r="CL71" i="3"/>
  <c r="CL89" i="3"/>
  <c r="CL70" i="3"/>
  <c r="CL66" i="3"/>
  <c r="CL69" i="3"/>
  <c r="CQ94" i="3"/>
  <c r="CQ93" i="3"/>
  <c r="CQ90" i="3"/>
  <c r="CQ87" i="3"/>
  <c r="CQ89" i="3"/>
  <c r="CQ86" i="3"/>
  <c r="CQ85" i="3"/>
  <c r="CQ82" i="3"/>
  <c r="CQ71" i="3"/>
  <c r="CQ70" i="3"/>
  <c r="CQ69" i="3"/>
  <c r="CQ66" i="3"/>
  <c r="CQ83" i="3"/>
  <c r="CQ65" i="3"/>
  <c r="CQ72" i="3"/>
  <c r="CQ63" i="3"/>
  <c r="CQ64" i="3"/>
  <c r="CQ61" i="3"/>
  <c r="CQ62" i="3"/>
  <c r="DT140" i="2"/>
  <c r="DN139" i="9"/>
  <c r="DT291" i="2"/>
  <c r="CM86" i="3"/>
  <c r="CM93" i="3"/>
  <c r="CM83" i="3"/>
  <c r="CM82" i="3"/>
  <c r="CM89" i="3"/>
  <c r="CM64" i="3"/>
  <c r="CM85" i="3"/>
  <c r="CM63" i="3"/>
  <c r="CM72" i="3"/>
  <c r="CM62" i="3"/>
  <c r="CM90" i="3"/>
  <c r="CM61" i="3"/>
  <c r="CM71" i="3"/>
  <c r="CM70" i="3"/>
  <c r="CM87" i="3"/>
  <c r="CM65" i="3"/>
  <c r="CM66" i="3"/>
  <c r="CM69" i="3"/>
  <c r="CM94" i="3"/>
  <c r="AP194" i="9"/>
  <c r="CR140" i="2"/>
  <c r="CL139" i="9"/>
  <c r="CR291" i="2"/>
  <c r="EB140" i="2"/>
  <c r="DV139" i="9"/>
  <c r="EB291" i="2"/>
  <c r="T194" i="9"/>
  <c r="U195" i="9" s="1"/>
  <c r="U143" i="9" s="1"/>
  <c r="N194" i="9"/>
  <c r="AH194" i="9"/>
  <c r="AI194" i="9"/>
  <c r="CG140" i="2"/>
  <c r="CA139" i="9"/>
  <c r="CG291" i="2"/>
  <c r="X70" i="3"/>
  <c r="X69" i="3"/>
  <c r="X82" i="3"/>
  <c r="X65" i="3"/>
  <c r="X86" i="3"/>
  <c r="X63" i="3"/>
  <c r="X61" i="3"/>
  <c r="X71" i="3"/>
  <c r="X62" i="3"/>
  <c r="X72" i="3"/>
  <c r="BB140" i="2"/>
  <c r="AV139" i="9"/>
  <c r="BB291" i="2"/>
  <c r="AV70" i="3"/>
  <c r="AV82" i="3"/>
  <c r="AV69" i="3"/>
  <c r="AV86" i="3"/>
  <c r="AV65" i="3"/>
  <c r="AV71" i="3"/>
  <c r="AV62" i="3"/>
  <c r="AV72" i="3"/>
  <c r="AV63" i="3"/>
  <c r="AV61" i="3"/>
  <c r="EA140" i="2"/>
  <c r="DU139" i="9"/>
  <c r="EA291" i="2"/>
  <c r="BH86" i="3"/>
  <c r="BH70" i="3"/>
  <c r="BH69" i="3"/>
  <c r="BH65" i="3"/>
  <c r="BH63" i="3"/>
  <c r="BH61" i="3"/>
  <c r="BH82" i="3"/>
  <c r="BH71" i="3"/>
  <c r="BH62" i="3"/>
  <c r="BH72" i="3"/>
  <c r="AP86" i="3"/>
  <c r="AP82" i="3"/>
  <c r="AP65" i="3"/>
  <c r="AP63" i="3"/>
  <c r="AP72" i="3"/>
  <c r="AP62" i="3"/>
  <c r="AP61" i="3"/>
  <c r="AP71" i="3"/>
  <c r="AP70" i="3"/>
  <c r="AP69" i="3"/>
  <c r="BA86" i="3"/>
  <c r="BA82" i="3"/>
  <c r="BA65" i="3"/>
  <c r="BA63" i="3"/>
  <c r="BA72" i="3"/>
  <c r="BA62" i="3"/>
  <c r="BA61" i="3"/>
  <c r="BA71" i="3"/>
  <c r="BA69" i="3"/>
  <c r="BA70" i="3"/>
  <c r="BG86" i="3"/>
  <c r="BG71" i="3"/>
  <c r="BG70" i="3"/>
  <c r="BG69" i="3"/>
  <c r="BG65" i="3"/>
  <c r="BG72" i="3"/>
  <c r="BG63" i="3"/>
  <c r="BG62" i="3"/>
  <c r="BG82" i="3"/>
  <c r="BG61" i="3"/>
  <c r="BW90" i="3"/>
  <c r="BW89" i="3"/>
  <c r="BW87" i="3"/>
  <c r="BW86" i="3"/>
  <c r="BW82" i="3"/>
  <c r="BW85" i="3"/>
  <c r="BW69" i="3"/>
  <c r="BW83" i="3"/>
  <c r="BW66" i="3"/>
  <c r="BW65" i="3"/>
  <c r="BW64" i="3"/>
  <c r="BW63" i="3"/>
  <c r="BW72" i="3"/>
  <c r="BW62" i="3"/>
  <c r="BW61" i="3"/>
  <c r="BW70" i="3"/>
  <c r="BW71" i="3"/>
  <c r="BW93" i="3"/>
  <c r="BW94" i="3"/>
  <c r="BX90" i="3"/>
  <c r="BX89" i="3"/>
  <c r="BX87" i="3"/>
  <c r="BX86" i="3"/>
  <c r="BX94" i="3"/>
  <c r="BX83" i="3"/>
  <c r="BX85" i="3"/>
  <c r="BX93" i="3"/>
  <c r="BX66" i="3"/>
  <c r="BX65" i="3"/>
  <c r="BX64" i="3"/>
  <c r="BX63" i="3"/>
  <c r="BX72" i="3"/>
  <c r="BX62" i="3"/>
  <c r="BX61" i="3"/>
  <c r="BX71" i="3"/>
  <c r="BX69" i="3"/>
  <c r="BX70" i="3"/>
  <c r="BX82" i="3"/>
  <c r="BD140" i="2"/>
  <c r="AX139" i="9"/>
  <c r="BD291" i="2"/>
  <c r="F188" i="9"/>
  <c r="G68" i="6" s="1"/>
  <c r="H187" i="9"/>
  <c r="M194" i="9"/>
  <c r="M195" i="9" s="1"/>
  <c r="M143" i="9" s="1"/>
  <c r="G86" i="3"/>
  <c r="G83" i="3"/>
  <c r="G82" i="3"/>
  <c r="G65" i="6" s="1"/>
  <c r="G63" i="3"/>
  <c r="G23" i="3" s="1"/>
  <c r="G10" i="6" s="1"/>
  <c r="G72" i="3"/>
  <c r="G32" i="3" s="1"/>
  <c r="G19" i="6" s="1"/>
  <c r="G62" i="3"/>
  <c r="G22" i="3" s="1"/>
  <c r="G9" i="6" s="1"/>
  <c r="G61" i="3"/>
  <c r="G21" i="3" s="1"/>
  <c r="G71" i="3"/>
  <c r="G31" i="3" s="1"/>
  <c r="G18" i="6" s="1"/>
  <c r="G70" i="3"/>
  <c r="G30" i="3" s="1"/>
  <c r="G17" i="6" s="1"/>
  <c r="G65" i="3"/>
  <c r="G25" i="3" s="1"/>
  <c r="G13" i="6" s="1"/>
  <c r="G69" i="3"/>
  <c r="EG89" i="3"/>
  <c r="EG87" i="3"/>
  <c r="EG86" i="3"/>
  <c r="EG85" i="3"/>
  <c r="EG93" i="3"/>
  <c r="EG90" i="3"/>
  <c r="EG94" i="3"/>
  <c r="EG66" i="3"/>
  <c r="EG65" i="3"/>
  <c r="EG64" i="3"/>
  <c r="EG63" i="3"/>
  <c r="EG72" i="3"/>
  <c r="EG62" i="3"/>
  <c r="EG83" i="3"/>
  <c r="EG61" i="3"/>
  <c r="EG71" i="3"/>
  <c r="EG69" i="3"/>
  <c r="EG70" i="3"/>
  <c r="EG82" i="3"/>
  <c r="DC94" i="3"/>
  <c r="DC93" i="3"/>
  <c r="DC87" i="3"/>
  <c r="DC90" i="3"/>
  <c r="DC71" i="3"/>
  <c r="DC89" i="3"/>
  <c r="DC70" i="3"/>
  <c r="DC83" i="3"/>
  <c r="DC69" i="3"/>
  <c r="DC82" i="3"/>
  <c r="DC86" i="3"/>
  <c r="DC66" i="3"/>
  <c r="DC65" i="3"/>
  <c r="DC64" i="3"/>
  <c r="DC85" i="3"/>
  <c r="DC61" i="3"/>
  <c r="DC62" i="3"/>
  <c r="DC63" i="3"/>
  <c r="DC72" i="3"/>
  <c r="I194" i="9"/>
  <c r="S194" i="9"/>
  <c r="BN140" i="2"/>
  <c r="BH139" i="9"/>
  <c r="BN291" i="2"/>
  <c r="EB94" i="3"/>
  <c r="EB93" i="3"/>
  <c r="EB90" i="3"/>
  <c r="EB87" i="3"/>
  <c r="EB85" i="3"/>
  <c r="EB89" i="3"/>
  <c r="EB86" i="3"/>
  <c r="EB70" i="3"/>
  <c r="EB82" i="3"/>
  <c r="EB69" i="3"/>
  <c r="EB66" i="3"/>
  <c r="EB83" i="3"/>
  <c r="EB65" i="3"/>
  <c r="EB64" i="3"/>
  <c r="EB63" i="3"/>
  <c r="EB61" i="3"/>
  <c r="EB71" i="3"/>
  <c r="EB62" i="3"/>
  <c r="EB72" i="3"/>
  <c r="R86" i="3"/>
  <c r="R82" i="3"/>
  <c r="R65" i="3"/>
  <c r="R63" i="3"/>
  <c r="R72" i="3"/>
  <c r="R62" i="3"/>
  <c r="R61" i="3"/>
  <c r="R71" i="3"/>
  <c r="R70" i="3"/>
  <c r="R69" i="3"/>
  <c r="F89" i="4" a="1"/>
  <c r="F89" i="4" s="1"/>
  <c r="F90" i="4" s="1"/>
  <c r="I6" i="4" s="1"/>
  <c r="G87" i="4"/>
  <c r="I5" i="4"/>
  <c r="CX87" i="3"/>
  <c r="CX86" i="3"/>
  <c r="CX85" i="3"/>
  <c r="CX83" i="3"/>
  <c r="CX94" i="3"/>
  <c r="CX82" i="3"/>
  <c r="CX93" i="3"/>
  <c r="CX90" i="3"/>
  <c r="CX65" i="3"/>
  <c r="CX64" i="3"/>
  <c r="CX63" i="3"/>
  <c r="CX89" i="3"/>
  <c r="CX72" i="3"/>
  <c r="CX62" i="3"/>
  <c r="CX61" i="3"/>
  <c r="CX71" i="3"/>
  <c r="CX70" i="3"/>
  <c r="CX66" i="3"/>
  <c r="CX69" i="3"/>
  <c r="BM86" i="3"/>
  <c r="BM65" i="3"/>
  <c r="BM63" i="3"/>
  <c r="BM72" i="3"/>
  <c r="BM62" i="3"/>
  <c r="BM82" i="3"/>
  <c r="BM61" i="3"/>
  <c r="BM71" i="3"/>
  <c r="BM69" i="3"/>
  <c r="BM70" i="3"/>
  <c r="DD175" i="9"/>
  <c r="EF90" i="3"/>
  <c r="EF89" i="3"/>
  <c r="EF87" i="3"/>
  <c r="EF86" i="3"/>
  <c r="EF85" i="3"/>
  <c r="EF83" i="3"/>
  <c r="EF82" i="3"/>
  <c r="EF94" i="3"/>
  <c r="EF66" i="3"/>
  <c r="EF65" i="3"/>
  <c r="EF64" i="3"/>
  <c r="EF63" i="3"/>
  <c r="EF72" i="3"/>
  <c r="EF62" i="3"/>
  <c r="EF61" i="3"/>
  <c r="EF71" i="3"/>
  <c r="EF93" i="3"/>
  <c r="EF69" i="3"/>
  <c r="EF70" i="3"/>
  <c r="AK194" i="9"/>
  <c r="AL186" i="9"/>
  <c r="AL76" i="9"/>
  <c r="BW25" i="2"/>
  <c r="DV25" i="2"/>
  <c r="AG25" i="2"/>
  <c r="BF25" i="2"/>
  <c r="DF25" i="2"/>
  <c r="DQ25" i="2"/>
  <c r="BH25" i="2"/>
  <c r="AA25" i="2"/>
  <c r="AM25" i="2"/>
  <c r="AY25" i="2"/>
  <c r="BK25" i="2"/>
  <c r="AJ186" i="9"/>
  <c r="AJ76" i="9"/>
  <c r="K186" i="9"/>
  <c r="K76" i="9"/>
  <c r="G8" i="3"/>
  <c r="I170" i="2"/>
  <c r="I171" i="2" s="1"/>
  <c r="Z194" i="9"/>
  <c r="AA195" i="9" s="1"/>
  <c r="AA143" i="9" s="1"/>
  <c r="AO75" i="9"/>
  <c r="BX140" i="2"/>
  <c r="BR139" i="9"/>
  <c r="BX291" i="2"/>
  <c r="EE140" i="2"/>
  <c r="EE291" i="2"/>
  <c r="DJ87" i="3"/>
  <c r="DJ86" i="3"/>
  <c r="DJ85" i="3"/>
  <c r="DJ83" i="3"/>
  <c r="DJ94" i="3"/>
  <c r="DJ93" i="3"/>
  <c r="DJ82" i="3"/>
  <c r="DJ65" i="3"/>
  <c r="DJ89" i="3"/>
  <c r="DJ64" i="3"/>
  <c r="DJ63" i="3"/>
  <c r="DJ72" i="3"/>
  <c r="DJ62" i="3"/>
  <c r="DJ61" i="3"/>
  <c r="DJ71" i="3"/>
  <c r="DJ70" i="3"/>
  <c r="DJ90" i="3"/>
  <c r="DJ69" i="3"/>
  <c r="DJ66" i="3"/>
  <c r="P186" i="9"/>
  <c r="P76" i="9"/>
  <c r="DO140" i="2"/>
  <c r="DI139" i="9"/>
  <c r="DO291" i="2"/>
  <c r="CZ140" i="2"/>
  <c r="CT139" i="9"/>
  <c r="CZ291" i="2"/>
  <c r="CT93" i="3"/>
  <c r="CT90" i="3"/>
  <c r="CT89" i="3"/>
  <c r="CT87" i="3"/>
  <c r="CT85" i="3"/>
  <c r="CT86" i="3"/>
  <c r="CT94" i="3"/>
  <c r="CT83" i="3"/>
  <c r="CT82" i="3"/>
  <c r="CT69" i="3"/>
  <c r="CT66" i="3"/>
  <c r="CT65" i="3"/>
  <c r="CT64" i="3"/>
  <c r="CT63" i="3"/>
  <c r="CT72" i="3"/>
  <c r="CT62" i="3"/>
  <c r="CT61" i="3"/>
  <c r="CT70" i="3"/>
  <c r="CT71" i="3"/>
  <c r="CU175" i="9"/>
  <c r="GE54" i="2"/>
  <c r="AP58" i="3"/>
  <c r="BR175" i="9"/>
  <c r="AQ86" i="3"/>
  <c r="AQ82" i="3"/>
  <c r="AQ63" i="3"/>
  <c r="AQ72" i="3"/>
  <c r="AQ62" i="3"/>
  <c r="AQ61" i="3"/>
  <c r="AQ71" i="3"/>
  <c r="AQ70" i="3"/>
  <c r="AQ65" i="3"/>
  <c r="AQ69" i="3"/>
  <c r="DP175" i="9"/>
  <c r="BH186" i="9"/>
  <c r="BH76" i="9"/>
  <c r="AI86" i="3"/>
  <c r="AI71" i="3"/>
  <c r="AI70" i="3"/>
  <c r="AI69" i="3"/>
  <c r="AI65" i="3"/>
  <c r="AI61" i="3"/>
  <c r="AI82" i="3"/>
  <c r="AI62" i="3"/>
  <c r="AI63" i="3"/>
  <c r="AI72" i="3"/>
  <c r="CR175" i="9"/>
  <c r="CS25" i="2"/>
  <c r="DI25" i="2"/>
  <c r="BR25" i="2"/>
  <c r="AU25" i="2"/>
  <c r="DE25" i="2"/>
  <c r="CR25" i="2"/>
  <c r="EB25" i="2"/>
  <c r="BI25" i="2"/>
  <c r="AD186" i="9"/>
  <c r="AD76" i="9"/>
  <c r="FR54" i="2"/>
  <c r="AC58" i="3"/>
  <c r="BA140" i="2"/>
  <c r="AU139" i="9"/>
  <c r="BA291" i="2"/>
  <c r="CJ90" i="3"/>
  <c r="CJ89" i="3"/>
  <c r="CJ87" i="3"/>
  <c r="CJ86" i="3"/>
  <c r="CJ83" i="3"/>
  <c r="CJ66" i="3"/>
  <c r="CJ85" i="3"/>
  <c r="CJ65" i="3"/>
  <c r="CJ64" i="3"/>
  <c r="CJ82" i="3"/>
  <c r="CJ63" i="3"/>
  <c r="CJ72" i="3"/>
  <c r="CJ62" i="3"/>
  <c r="CJ61" i="3"/>
  <c r="CJ93" i="3"/>
  <c r="CJ71" i="3"/>
  <c r="CJ94" i="3"/>
  <c r="CJ70" i="3"/>
  <c r="CJ69" i="3"/>
  <c r="DX85" i="3"/>
  <c r="DX94" i="3"/>
  <c r="DX89" i="3"/>
  <c r="DX86" i="3"/>
  <c r="DX82" i="3"/>
  <c r="DX87" i="3"/>
  <c r="DX90" i="3"/>
  <c r="DX93" i="3"/>
  <c r="DX63" i="3"/>
  <c r="DX72" i="3"/>
  <c r="DX62" i="3"/>
  <c r="DX61" i="3"/>
  <c r="DX71" i="3"/>
  <c r="DX70" i="3"/>
  <c r="DX83" i="3"/>
  <c r="DX69" i="3"/>
  <c r="DX66" i="3"/>
  <c r="DX64" i="3"/>
  <c r="DX65" i="3"/>
  <c r="U86" i="3"/>
  <c r="U72" i="3"/>
  <c r="U62" i="3"/>
  <c r="U61" i="3"/>
  <c r="U71" i="3"/>
  <c r="U70" i="3"/>
  <c r="U69" i="3"/>
  <c r="U63" i="3"/>
  <c r="U82" i="3"/>
  <c r="U65" i="3"/>
  <c r="CD94" i="3"/>
  <c r="CD93" i="3"/>
  <c r="CD89" i="3"/>
  <c r="CD86" i="3"/>
  <c r="CD85" i="3"/>
  <c r="CD90" i="3"/>
  <c r="CD87" i="3"/>
  <c r="CD83" i="3"/>
  <c r="CD61" i="3"/>
  <c r="CD71" i="3"/>
  <c r="CD70" i="3"/>
  <c r="CD69" i="3"/>
  <c r="CD66" i="3"/>
  <c r="CD65" i="3"/>
  <c r="CD62" i="3"/>
  <c r="CD72" i="3"/>
  <c r="CD82" i="3"/>
  <c r="CD63" i="3"/>
  <c r="CD64" i="3"/>
  <c r="U4" i="5"/>
  <c r="AH75" i="9"/>
  <c r="EA94" i="3"/>
  <c r="EA93" i="3"/>
  <c r="EA87" i="3"/>
  <c r="EA85" i="3"/>
  <c r="EA83" i="3"/>
  <c r="EA90" i="3"/>
  <c r="EA71" i="3"/>
  <c r="EA86" i="3"/>
  <c r="EA70" i="3"/>
  <c r="EA82" i="3"/>
  <c r="EA69" i="3"/>
  <c r="EA66" i="3"/>
  <c r="EA65" i="3"/>
  <c r="EA72" i="3"/>
  <c r="EA63" i="3"/>
  <c r="EA64" i="3"/>
  <c r="EA61" i="3"/>
  <c r="EA89" i="3"/>
  <c r="EA62" i="3"/>
  <c r="BC187" i="9"/>
  <c r="EK140" i="2"/>
  <c r="EK291" i="2"/>
  <c r="BB186" i="9"/>
  <c r="BB76" i="9"/>
  <c r="AX140" i="2"/>
  <c r="AR139" i="9"/>
  <c r="AX291" i="2"/>
  <c r="Y86" i="3"/>
  <c r="Y70" i="3"/>
  <c r="Y69" i="3"/>
  <c r="Y82" i="3"/>
  <c r="Y65" i="3"/>
  <c r="Y63" i="3"/>
  <c r="Y61" i="3"/>
  <c r="Y72" i="3"/>
  <c r="Y62" i="3"/>
  <c r="Y71" i="3"/>
  <c r="H81" i="3"/>
  <c r="AR186" i="9"/>
  <c r="AR76" i="9"/>
  <c r="DG90" i="3"/>
  <c r="DG89" i="3"/>
  <c r="DG87" i="3"/>
  <c r="DG86" i="3"/>
  <c r="DG85" i="3"/>
  <c r="DG93" i="3"/>
  <c r="DG82" i="3"/>
  <c r="DG94" i="3"/>
  <c r="DG83" i="3"/>
  <c r="DG69" i="3"/>
  <c r="DG66" i="3"/>
  <c r="DG65" i="3"/>
  <c r="DG64" i="3"/>
  <c r="DG63" i="3"/>
  <c r="DG72" i="3"/>
  <c r="DG62" i="3"/>
  <c r="DG61" i="3"/>
  <c r="DG70" i="3"/>
  <c r="DG71" i="3"/>
  <c r="CJ25" i="2"/>
  <c r="EI25" i="2"/>
  <c r="AT25" i="2"/>
  <c r="BV25" i="2"/>
  <c r="CG25" i="2"/>
  <c r="X25" i="2"/>
  <c r="AN25" i="2"/>
  <c r="AZ25" i="2"/>
  <c r="BL25" i="2"/>
  <c r="BX25" i="2"/>
  <c r="BT94" i="3"/>
  <c r="BT93" i="3"/>
  <c r="BT90" i="3"/>
  <c r="BT87" i="3"/>
  <c r="BT86" i="3"/>
  <c r="BT82" i="3"/>
  <c r="BT70" i="3"/>
  <c r="BT83" i="3"/>
  <c r="BT69" i="3"/>
  <c r="BT66" i="3"/>
  <c r="BT65" i="3"/>
  <c r="BT64" i="3"/>
  <c r="BT89" i="3"/>
  <c r="BT61" i="3"/>
  <c r="BT85" i="3"/>
  <c r="BT71" i="3"/>
  <c r="BT62" i="3"/>
  <c r="BT72" i="3"/>
  <c r="BT63" i="3"/>
  <c r="AO86" i="3"/>
  <c r="AO65" i="3"/>
  <c r="AO63" i="3"/>
  <c r="AO72" i="3"/>
  <c r="AO62" i="3"/>
  <c r="AO61" i="3"/>
  <c r="AO71" i="3"/>
  <c r="AO82" i="3"/>
  <c r="AO70" i="3"/>
  <c r="AO69" i="3"/>
  <c r="AC86" i="3"/>
  <c r="AC65" i="3"/>
  <c r="AC82" i="3"/>
  <c r="AC63" i="3"/>
  <c r="AC72" i="3"/>
  <c r="AC62" i="3"/>
  <c r="AC61" i="3"/>
  <c r="AC71" i="3"/>
  <c r="AC69" i="3"/>
  <c r="AC70" i="3"/>
  <c r="K6" i="6"/>
  <c r="AN86" i="3"/>
  <c r="AN65" i="3"/>
  <c r="AN63" i="3"/>
  <c r="AN72" i="3"/>
  <c r="AN62" i="3"/>
  <c r="AN61" i="3"/>
  <c r="AN71" i="3"/>
  <c r="AN69" i="3"/>
  <c r="AN70" i="3"/>
  <c r="AN82" i="3"/>
  <c r="CI90" i="3"/>
  <c r="CI89" i="3"/>
  <c r="CI87" i="3"/>
  <c r="CI86" i="3"/>
  <c r="CI93" i="3"/>
  <c r="CI82" i="3"/>
  <c r="CI94" i="3"/>
  <c r="CI69" i="3"/>
  <c r="CI66" i="3"/>
  <c r="CI85" i="3"/>
  <c r="CI65" i="3"/>
  <c r="CI64" i="3"/>
  <c r="CI63" i="3"/>
  <c r="CI72" i="3"/>
  <c r="CI62" i="3"/>
  <c r="CI61" i="3"/>
  <c r="CI83" i="3"/>
  <c r="CI70" i="3"/>
  <c r="CI71" i="3"/>
  <c r="BK86" i="3"/>
  <c r="BK82" i="3"/>
  <c r="BK69" i="3"/>
  <c r="BK65" i="3"/>
  <c r="BK63" i="3"/>
  <c r="BK72" i="3"/>
  <c r="BK62" i="3"/>
  <c r="BK61" i="3"/>
  <c r="BK70" i="3"/>
  <c r="BK71" i="3"/>
  <c r="G9" i="3"/>
  <c r="BU140" i="2"/>
  <c r="BO139" i="9"/>
  <c r="BU291" i="2"/>
  <c r="AL194" i="9"/>
  <c r="CT140" i="2"/>
  <c r="CN139" i="9"/>
  <c r="CT291" i="2"/>
  <c r="H194" i="9"/>
  <c r="CM140" i="2"/>
  <c r="CG139" i="9"/>
  <c r="CM291" i="2"/>
  <c r="AZ140" i="2"/>
  <c r="AT139" i="9"/>
  <c r="AZ291" i="2"/>
  <c r="AB194" i="9"/>
  <c r="AB195" i="9" s="1"/>
  <c r="AB143" i="9" s="1"/>
  <c r="F194" i="9"/>
  <c r="F195" i="9" s="1"/>
  <c r="P86" i="3"/>
  <c r="P65" i="3"/>
  <c r="P63" i="3"/>
  <c r="P72" i="3"/>
  <c r="P62" i="3"/>
  <c r="P61" i="3"/>
  <c r="P71" i="3"/>
  <c r="P82" i="3"/>
  <c r="P70" i="3"/>
  <c r="P69" i="3"/>
  <c r="M86" i="3"/>
  <c r="M70" i="3"/>
  <c r="M69" i="3"/>
  <c r="M65" i="3"/>
  <c r="M63" i="3"/>
  <c r="M71" i="3"/>
  <c r="M62" i="3"/>
  <c r="M72" i="3"/>
  <c r="M61" i="3"/>
  <c r="M82" i="3"/>
  <c r="AB75" i="9"/>
  <c r="CK140" i="2"/>
  <c r="CE139" i="9"/>
  <c r="CK291" i="2"/>
  <c r="BZ175" i="9"/>
  <c r="L86" i="3"/>
  <c r="L82" i="3"/>
  <c r="L70" i="3"/>
  <c r="L69" i="3"/>
  <c r="L65" i="3"/>
  <c r="L71" i="3"/>
  <c r="L62" i="3"/>
  <c r="L72" i="3"/>
  <c r="L63" i="3"/>
  <c r="L61" i="3"/>
  <c r="I72" i="3"/>
  <c r="I62" i="3"/>
  <c r="I86" i="3"/>
  <c r="I61" i="3"/>
  <c r="I71" i="3"/>
  <c r="I82" i="3"/>
  <c r="I70" i="3"/>
  <c r="I69" i="3"/>
  <c r="I65" i="3"/>
  <c r="I63" i="3"/>
  <c r="DY83" i="3"/>
  <c r="DY94" i="3"/>
  <c r="DY90" i="3"/>
  <c r="DY87" i="3"/>
  <c r="DY85" i="3"/>
  <c r="DY93" i="3"/>
  <c r="DY72" i="3"/>
  <c r="DY62" i="3"/>
  <c r="DY61" i="3"/>
  <c r="DY86" i="3"/>
  <c r="DY71" i="3"/>
  <c r="DY70" i="3"/>
  <c r="DY82" i="3"/>
  <c r="DY69" i="3"/>
  <c r="DY89" i="3"/>
  <c r="DY66" i="3"/>
  <c r="DY63" i="3"/>
  <c r="DY64" i="3"/>
  <c r="DY65" i="3"/>
  <c r="EL140" i="2"/>
  <c r="EL291" i="2"/>
  <c r="AE186" i="9"/>
  <c r="AE76" i="9"/>
  <c r="BL86" i="3"/>
  <c r="BL65" i="3"/>
  <c r="BL63" i="3"/>
  <c r="BL72" i="3"/>
  <c r="BL62" i="3"/>
  <c r="BL82" i="3"/>
  <c r="BL61" i="3"/>
  <c r="BL71" i="3"/>
  <c r="BL69" i="3"/>
  <c r="BL70" i="3"/>
  <c r="CO94" i="3"/>
  <c r="CO93" i="3"/>
  <c r="CO90" i="3"/>
  <c r="CO87" i="3"/>
  <c r="CO85" i="3"/>
  <c r="CO89" i="3"/>
  <c r="CO86" i="3"/>
  <c r="CO72" i="3"/>
  <c r="CO62" i="3"/>
  <c r="CO61" i="3"/>
  <c r="CO82" i="3"/>
  <c r="CO71" i="3"/>
  <c r="CO70" i="3"/>
  <c r="CO69" i="3"/>
  <c r="CO66" i="3"/>
  <c r="CO63" i="3"/>
  <c r="CO83" i="3"/>
  <c r="CO64" i="3"/>
  <c r="CO65" i="3"/>
  <c r="N82" i="3"/>
  <c r="N69" i="3"/>
  <c r="N65" i="3"/>
  <c r="N63" i="3"/>
  <c r="N72" i="3"/>
  <c r="N62" i="3"/>
  <c r="N71" i="3"/>
  <c r="N86" i="3"/>
  <c r="N61" i="3"/>
  <c r="N70" i="3"/>
  <c r="FX54" i="2"/>
  <c r="AI58" i="3"/>
  <c r="CR94" i="3"/>
  <c r="CR93" i="3"/>
  <c r="CR90" i="3"/>
  <c r="CR85" i="3"/>
  <c r="CR89" i="3"/>
  <c r="CR86" i="3"/>
  <c r="CR70" i="3"/>
  <c r="CR69" i="3"/>
  <c r="CR66" i="3"/>
  <c r="CR87" i="3"/>
  <c r="CR83" i="3"/>
  <c r="CR65" i="3"/>
  <c r="CR64" i="3"/>
  <c r="CR63" i="3"/>
  <c r="CR82" i="3"/>
  <c r="CR61" i="3"/>
  <c r="CR71" i="3"/>
  <c r="CR62" i="3"/>
  <c r="CR72" i="3"/>
  <c r="CE94" i="3"/>
  <c r="CE93" i="3"/>
  <c r="CE89" i="3"/>
  <c r="CE86" i="3"/>
  <c r="CE85" i="3"/>
  <c r="CE71" i="3"/>
  <c r="CE70" i="3"/>
  <c r="CE90" i="3"/>
  <c r="CE69" i="3"/>
  <c r="CE66" i="3"/>
  <c r="CE82" i="3"/>
  <c r="CE65" i="3"/>
  <c r="CE61" i="3"/>
  <c r="CE62" i="3"/>
  <c r="CE72" i="3"/>
  <c r="CE63" i="3"/>
  <c r="CE87" i="3"/>
  <c r="CE83" i="3"/>
  <c r="CE64" i="3"/>
  <c r="CH93" i="3"/>
  <c r="CH90" i="3"/>
  <c r="CH89" i="3"/>
  <c r="CH87" i="3"/>
  <c r="CH83" i="3"/>
  <c r="CH82" i="3"/>
  <c r="CH86" i="3"/>
  <c r="CH85" i="3"/>
  <c r="CH69" i="3"/>
  <c r="CH66" i="3"/>
  <c r="CH65" i="3"/>
  <c r="CH64" i="3"/>
  <c r="CH63" i="3"/>
  <c r="CH72" i="3"/>
  <c r="CH62" i="3"/>
  <c r="CH71" i="3"/>
  <c r="CH70" i="3"/>
  <c r="CH94" i="3"/>
  <c r="CH61" i="3"/>
  <c r="BI86" i="3"/>
  <c r="BI70" i="3"/>
  <c r="BI69" i="3"/>
  <c r="BI65" i="3"/>
  <c r="BI82" i="3"/>
  <c r="BI63" i="3"/>
  <c r="BI61" i="3"/>
  <c r="BI72" i="3"/>
  <c r="BI71" i="3"/>
  <c r="BI62" i="3"/>
  <c r="BQ94" i="3"/>
  <c r="BQ93" i="3"/>
  <c r="BQ85" i="3"/>
  <c r="BQ89" i="3"/>
  <c r="BQ86" i="3"/>
  <c r="BQ83" i="3"/>
  <c r="BQ72" i="3"/>
  <c r="BQ62" i="3"/>
  <c r="BQ61" i="3"/>
  <c r="BQ71" i="3"/>
  <c r="BQ82" i="3"/>
  <c r="BQ70" i="3"/>
  <c r="BQ69" i="3"/>
  <c r="BQ90" i="3"/>
  <c r="BQ63" i="3"/>
  <c r="BQ87" i="3"/>
  <c r="BQ64" i="3"/>
  <c r="BQ65" i="3"/>
  <c r="BQ66" i="3"/>
  <c r="AK187" i="9"/>
  <c r="CW25" i="2"/>
  <c r="U25" i="2"/>
  <c r="AL25" i="2"/>
  <c r="AW25" i="2"/>
  <c r="AK25" i="2"/>
  <c r="ED25" i="2"/>
  <c r="AB25" i="2"/>
  <c r="BA25" i="2"/>
  <c r="BM25" i="2"/>
  <c r="BY25" i="2"/>
  <c r="CK25" i="2"/>
  <c r="DH140" i="2"/>
  <c r="DB139" i="9"/>
  <c r="DH291" i="2"/>
  <c r="BI140" i="2"/>
  <c r="BC139" i="9"/>
  <c r="BI291" i="2"/>
  <c r="CD140" i="2"/>
  <c r="BX139" i="9"/>
  <c r="CD291" i="2"/>
  <c r="AT61" i="3"/>
  <c r="AT71" i="3"/>
  <c r="AT70" i="3"/>
  <c r="AT82" i="3"/>
  <c r="AT69" i="3"/>
  <c r="AT86" i="3"/>
  <c r="AT65" i="3"/>
  <c r="AT62" i="3"/>
  <c r="AT72" i="3"/>
  <c r="AT63" i="3"/>
  <c r="X194" i="9"/>
  <c r="G10" i="3"/>
  <c r="N66" i="6"/>
  <c r="DP94" i="3"/>
  <c r="DP93" i="3"/>
  <c r="DP90" i="3"/>
  <c r="DP83" i="3"/>
  <c r="DP89" i="3"/>
  <c r="DP86" i="3"/>
  <c r="DP87" i="3"/>
  <c r="DP70" i="3"/>
  <c r="DP69" i="3"/>
  <c r="DP85" i="3"/>
  <c r="DP66" i="3"/>
  <c r="DP65" i="3"/>
  <c r="DP64" i="3"/>
  <c r="DP71" i="3"/>
  <c r="DP62" i="3"/>
  <c r="DP72" i="3"/>
  <c r="DP63" i="3"/>
  <c r="DP61" i="3"/>
  <c r="DP82" i="3"/>
  <c r="DG140" i="2"/>
  <c r="DA139" i="9"/>
  <c r="DG291" i="2"/>
  <c r="CS94" i="3"/>
  <c r="CS93" i="3"/>
  <c r="CS90" i="3"/>
  <c r="CS89" i="3"/>
  <c r="CS85" i="3"/>
  <c r="CS87" i="3"/>
  <c r="CS70" i="3"/>
  <c r="CS69" i="3"/>
  <c r="CS66" i="3"/>
  <c r="CS83" i="3"/>
  <c r="CS65" i="3"/>
  <c r="CS64" i="3"/>
  <c r="CS86" i="3"/>
  <c r="CS63" i="3"/>
  <c r="CS82" i="3"/>
  <c r="CS61" i="3"/>
  <c r="CS72" i="3"/>
  <c r="CS71" i="3"/>
  <c r="CS62" i="3"/>
  <c r="CJ140" i="2"/>
  <c r="CD139" i="9"/>
  <c r="CJ291" i="2"/>
  <c r="EH87" i="3"/>
  <c r="EH86" i="3"/>
  <c r="EH85" i="3"/>
  <c r="EH83" i="3"/>
  <c r="EH94" i="3"/>
  <c r="EH93" i="3"/>
  <c r="EH82" i="3"/>
  <c r="EH65" i="3"/>
  <c r="EH64" i="3"/>
  <c r="EH63" i="3"/>
  <c r="EH72" i="3"/>
  <c r="EH62" i="3"/>
  <c r="EH61" i="3"/>
  <c r="EH71" i="3"/>
  <c r="EH90" i="3"/>
  <c r="EH70" i="3"/>
  <c r="EH66" i="3"/>
  <c r="EH69" i="3"/>
  <c r="EH89" i="3"/>
  <c r="BE86" i="3"/>
  <c r="BE72" i="3"/>
  <c r="BE62" i="3"/>
  <c r="BE61" i="3"/>
  <c r="BE71" i="3"/>
  <c r="BE70" i="3"/>
  <c r="BE69" i="3"/>
  <c r="BE82" i="3"/>
  <c r="BE63" i="3"/>
  <c r="BE65" i="3"/>
  <c r="CZ175" i="9"/>
  <c r="DJ25" i="2"/>
  <c r="AJ194" i="9"/>
  <c r="R194" i="9"/>
  <c r="CY175" i="9"/>
  <c r="AB86" i="3"/>
  <c r="AB65" i="3"/>
  <c r="AB82" i="3"/>
  <c r="AB63" i="3"/>
  <c r="AB72" i="3"/>
  <c r="AB62" i="3"/>
  <c r="AB61" i="3"/>
  <c r="AB71" i="3"/>
  <c r="AB69" i="3"/>
  <c r="AB70" i="3"/>
  <c r="AF194" i="9"/>
  <c r="GO54" i="2"/>
  <c r="AZ58" i="3"/>
  <c r="BU94" i="3"/>
  <c r="BU93" i="3"/>
  <c r="BU90" i="3"/>
  <c r="BU89" i="3"/>
  <c r="BU87" i="3"/>
  <c r="BU86" i="3"/>
  <c r="BU83" i="3"/>
  <c r="BU82" i="3"/>
  <c r="BU70" i="3"/>
  <c r="BU69" i="3"/>
  <c r="BU66" i="3"/>
  <c r="BU65" i="3"/>
  <c r="BU64" i="3"/>
  <c r="BU85" i="3"/>
  <c r="BU63" i="3"/>
  <c r="BU61" i="3"/>
  <c r="BU71" i="3"/>
  <c r="BU62" i="3"/>
  <c r="BU72" i="3"/>
  <c r="BR94" i="3"/>
  <c r="BR93" i="3"/>
  <c r="BR90" i="3"/>
  <c r="BR87" i="3"/>
  <c r="BR61" i="3"/>
  <c r="BR86" i="3"/>
  <c r="BR71" i="3"/>
  <c r="BR82" i="3"/>
  <c r="BR70" i="3"/>
  <c r="BR83" i="3"/>
  <c r="BR69" i="3"/>
  <c r="BR66" i="3"/>
  <c r="BR64" i="3"/>
  <c r="BR89" i="3"/>
  <c r="BR65" i="3"/>
  <c r="BR85" i="3"/>
  <c r="BR63" i="3"/>
  <c r="BR72" i="3"/>
  <c r="BR62" i="3"/>
  <c r="U186" i="9"/>
  <c r="U76" i="9"/>
  <c r="AJ70" i="3"/>
  <c r="AJ69" i="3"/>
  <c r="AJ65" i="3"/>
  <c r="AJ86" i="3"/>
  <c r="AJ61" i="3"/>
  <c r="AJ82" i="3"/>
  <c r="AJ71" i="3"/>
  <c r="AJ62" i="3"/>
  <c r="AJ72" i="3"/>
  <c r="AJ63" i="3"/>
  <c r="BC86" i="3"/>
  <c r="BC82" i="3"/>
  <c r="BC63" i="3"/>
  <c r="BC72" i="3"/>
  <c r="BC62" i="3"/>
  <c r="BC61" i="3"/>
  <c r="BC71" i="3"/>
  <c r="BC70" i="3"/>
  <c r="BC65" i="3"/>
  <c r="BC69" i="3"/>
  <c r="DW25" i="2"/>
  <c r="AI25" i="2"/>
  <c r="CQ25" i="2"/>
  <c r="BJ25" i="2"/>
  <c r="EE25" i="2"/>
  <c r="AC25" i="2"/>
  <c r="BB25" i="2"/>
  <c r="CA25" i="2"/>
  <c r="CM25" i="2"/>
  <c r="CY25" i="2"/>
  <c r="CC94" i="3"/>
  <c r="CC89" i="3"/>
  <c r="CC86" i="3"/>
  <c r="CC85" i="3"/>
  <c r="CC93" i="3"/>
  <c r="CC83" i="3"/>
  <c r="CC72" i="3"/>
  <c r="CC62" i="3"/>
  <c r="CC61" i="3"/>
  <c r="CC71" i="3"/>
  <c r="CC70" i="3"/>
  <c r="CC90" i="3"/>
  <c r="CC69" i="3"/>
  <c r="CC65" i="3"/>
  <c r="CC66" i="3"/>
  <c r="CC82" i="3"/>
  <c r="CC64" i="3"/>
  <c r="CC63" i="3"/>
  <c r="CC87" i="3"/>
  <c r="BK186" i="9"/>
  <c r="BK76" i="9"/>
  <c r="J194" i="9"/>
  <c r="DZ94" i="3"/>
  <c r="DZ93" i="3"/>
  <c r="DZ83" i="3"/>
  <c r="DZ89" i="3"/>
  <c r="DZ86" i="3"/>
  <c r="DZ61" i="3"/>
  <c r="DZ71" i="3"/>
  <c r="DZ85" i="3"/>
  <c r="DZ70" i="3"/>
  <c r="DZ82" i="3"/>
  <c r="DZ69" i="3"/>
  <c r="DZ66" i="3"/>
  <c r="DZ62" i="3"/>
  <c r="DZ72" i="3"/>
  <c r="DZ90" i="3"/>
  <c r="DZ63" i="3"/>
  <c r="DZ64" i="3"/>
  <c r="DZ87" i="3"/>
  <c r="DZ65" i="3"/>
  <c r="CG94" i="3"/>
  <c r="CG93" i="3"/>
  <c r="CG90" i="3"/>
  <c r="CG89" i="3"/>
  <c r="CG87" i="3"/>
  <c r="CG83" i="3"/>
  <c r="CG70" i="3"/>
  <c r="CG69" i="3"/>
  <c r="CG85" i="3"/>
  <c r="CG66" i="3"/>
  <c r="CG82" i="3"/>
  <c r="CG65" i="3"/>
  <c r="CG64" i="3"/>
  <c r="CG63" i="3"/>
  <c r="CG71" i="3"/>
  <c r="CG62" i="3"/>
  <c r="CG72" i="3"/>
  <c r="CG61" i="3"/>
  <c r="CG86" i="3"/>
  <c r="AR82" i="3"/>
  <c r="AR86" i="3"/>
  <c r="AR63" i="3"/>
  <c r="AR72" i="3"/>
  <c r="AR62" i="3"/>
  <c r="AR61" i="3"/>
  <c r="AR71" i="3"/>
  <c r="AR70" i="3"/>
  <c r="AR69" i="3"/>
  <c r="AR65" i="3"/>
  <c r="J86" i="3"/>
  <c r="J61" i="3"/>
  <c r="J71" i="3"/>
  <c r="J82" i="3"/>
  <c r="J70" i="3"/>
  <c r="J69" i="3"/>
  <c r="J65" i="3"/>
  <c r="J62" i="3"/>
  <c r="J72" i="3"/>
  <c r="J63" i="3"/>
  <c r="G15" i="3"/>
  <c r="N70" i="6"/>
  <c r="N71" i="6"/>
  <c r="CY140" i="2"/>
  <c r="CS139" i="9"/>
  <c r="CY291" i="2"/>
  <c r="DW140" i="2"/>
  <c r="DQ139" i="9"/>
  <c r="DW291" i="2"/>
  <c r="AO194" i="9"/>
  <c r="AO195" i="9" s="1"/>
  <c r="AO143" i="9" s="1"/>
  <c r="Y194" i="9"/>
  <c r="EF140" i="2"/>
  <c r="EF291" i="2"/>
  <c r="BQ140" i="2"/>
  <c r="BK139" i="9"/>
  <c r="BQ291" i="2"/>
  <c r="AZ186" i="9"/>
  <c r="AZ76" i="9"/>
  <c r="EA25" i="2"/>
  <c r="CL25" i="2"/>
  <c r="AA186" i="9"/>
  <c r="AA76" i="9"/>
  <c r="DN175" i="9"/>
  <c r="CN140" i="2"/>
  <c r="CH139" i="9"/>
  <c r="CN291" i="2"/>
  <c r="FD54" i="2"/>
  <c r="O58" i="3"/>
  <c r="AE86" i="3"/>
  <c r="AE82" i="3"/>
  <c r="AE63" i="3"/>
  <c r="AE72" i="3"/>
  <c r="AE62" i="3"/>
  <c r="AE61" i="3"/>
  <c r="AE71" i="3"/>
  <c r="AE70" i="3"/>
  <c r="AE69" i="3"/>
  <c r="AE65" i="3"/>
  <c r="AN195" i="9"/>
  <c r="AN143" i="9" s="1"/>
  <c r="DL140" i="2"/>
  <c r="DF139" i="9"/>
  <c r="DL291" i="2"/>
  <c r="CP94" i="3"/>
  <c r="CP93" i="3"/>
  <c r="CP90" i="3"/>
  <c r="CP87" i="3"/>
  <c r="CP85" i="3"/>
  <c r="CP83" i="3"/>
  <c r="CP61" i="3"/>
  <c r="CP82" i="3"/>
  <c r="CP71" i="3"/>
  <c r="CP70" i="3"/>
  <c r="CP89" i="3"/>
  <c r="CP69" i="3"/>
  <c r="CP66" i="3"/>
  <c r="CP62" i="3"/>
  <c r="CP72" i="3"/>
  <c r="CP63" i="3"/>
  <c r="CP86" i="3"/>
  <c r="CP64" i="3"/>
  <c r="CP65" i="3"/>
  <c r="DD94" i="3"/>
  <c r="DD93" i="3"/>
  <c r="DD90" i="3"/>
  <c r="DD85" i="3"/>
  <c r="DD89" i="3"/>
  <c r="DD86" i="3"/>
  <c r="DD83" i="3"/>
  <c r="DD70" i="3"/>
  <c r="DD87" i="3"/>
  <c r="DD69" i="3"/>
  <c r="DD82" i="3"/>
  <c r="DD66" i="3"/>
  <c r="DD65" i="3"/>
  <c r="DD64" i="3"/>
  <c r="DD61" i="3"/>
  <c r="DD71" i="3"/>
  <c r="DD62" i="3"/>
  <c r="DD72" i="3"/>
  <c r="DD63" i="3"/>
  <c r="DV175" i="9"/>
  <c r="CS175" i="9"/>
  <c r="DL85" i="3"/>
  <c r="DL82" i="3"/>
  <c r="DL93" i="3"/>
  <c r="DL87" i="3"/>
  <c r="DL90" i="3"/>
  <c r="DL94" i="3"/>
  <c r="DL89" i="3"/>
  <c r="DL63" i="3"/>
  <c r="DL72" i="3"/>
  <c r="DL62" i="3"/>
  <c r="DL61" i="3"/>
  <c r="DL71" i="3"/>
  <c r="DL86" i="3"/>
  <c r="DL70" i="3"/>
  <c r="DL69" i="3"/>
  <c r="DL64" i="3"/>
  <c r="DL65" i="3"/>
  <c r="DL83" i="3"/>
  <c r="DL66" i="3"/>
  <c r="BZ87" i="3"/>
  <c r="BZ86" i="3"/>
  <c r="BZ85" i="3"/>
  <c r="BZ94" i="3"/>
  <c r="BZ90" i="3"/>
  <c r="BZ83" i="3"/>
  <c r="BZ82" i="3"/>
  <c r="BZ89" i="3"/>
  <c r="BZ93" i="3"/>
  <c r="BZ65" i="3"/>
  <c r="BZ64" i="3"/>
  <c r="BZ63" i="3"/>
  <c r="BZ72" i="3"/>
  <c r="BZ62" i="3"/>
  <c r="BZ61" i="3"/>
  <c r="BZ71" i="3"/>
  <c r="BZ70" i="3"/>
  <c r="BZ69" i="3"/>
  <c r="BZ66" i="3"/>
  <c r="AG186" i="9"/>
  <c r="AG76" i="9"/>
  <c r="CV90" i="3"/>
  <c r="CV89" i="3"/>
  <c r="CV87" i="3"/>
  <c r="CV86" i="3"/>
  <c r="CV94" i="3"/>
  <c r="CV93" i="3"/>
  <c r="CV66" i="3"/>
  <c r="CV65" i="3"/>
  <c r="CV64" i="3"/>
  <c r="CV83" i="3"/>
  <c r="CV63" i="3"/>
  <c r="CV72" i="3"/>
  <c r="CV62" i="3"/>
  <c r="CV61" i="3"/>
  <c r="CV71" i="3"/>
  <c r="CV82" i="3"/>
  <c r="CV69" i="3"/>
  <c r="CV85" i="3"/>
  <c r="CV70" i="3"/>
  <c r="EN25" i="2"/>
  <c r="BU25" i="2"/>
  <c r="Z25" i="2"/>
  <c r="DS25" i="2"/>
  <c r="AP25" i="2"/>
  <c r="BO25" i="2"/>
  <c r="CN25" i="2"/>
  <c r="CZ25" i="2"/>
  <c r="DL25" i="2"/>
  <c r="DX25" i="2"/>
  <c r="Q86" i="3"/>
  <c r="Q65" i="3"/>
  <c r="Q63" i="3"/>
  <c r="Q72" i="3"/>
  <c r="Q62" i="3"/>
  <c r="Q61" i="3"/>
  <c r="Q71" i="3"/>
  <c r="Q82" i="3"/>
  <c r="Q69" i="3"/>
  <c r="Q70" i="3"/>
  <c r="GH54" i="2"/>
  <c r="AS58" i="3"/>
  <c r="BJ86" i="3"/>
  <c r="BJ82" i="3"/>
  <c r="BJ69" i="3"/>
  <c r="BJ65" i="3"/>
  <c r="BJ63" i="3"/>
  <c r="BJ72" i="3"/>
  <c r="BJ62" i="3"/>
  <c r="BJ61" i="3"/>
  <c r="BJ70" i="3"/>
  <c r="BJ71" i="3"/>
  <c r="EC94" i="3"/>
  <c r="EC93" i="3"/>
  <c r="EC90" i="3"/>
  <c r="EC89" i="3"/>
  <c r="EC87" i="3"/>
  <c r="EC85" i="3"/>
  <c r="EC83" i="3"/>
  <c r="EC86" i="3"/>
  <c r="EC70" i="3"/>
  <c r="EC82" i="3"/>
  <c r="EC69" i="3"/>
  <c r="EC66" i="3"/>
  <c r="EC65" i="3"/>
  <c r="EC64" i="3"/>
  <c r="EC63" i="3"/>
  <c r="EC61" i="3"/>
  <c r="EC72" i="3"/>
  <c r="EC62" i="3"/>
  <c r="EC71" i="3"/>
  <c r="I129" i="2"/>
  <c r="H170" i="2" s="1"/>
  <c r="H171" i="2" s="1"/>
  <c r="AL63" i="7"/>
  <c r="AL64" i="7"/>
  <c r="AL58" i="7"/>
  <c r="AL60" i="7"/>
  <c r="AL61" i="7"/>
  <c r="AL59" i="7"/>
  <c r="AL65" i="7"/>
  <c r="AL62" i="7"/>
  <c r="AM57" i="7"/>
  <c r="O194" i="9"/>
  <c r="BN86" i="3"/>
  <c r="BN82" i="3"/>
  <c r="BN65" i="3"/>
  <c r="BN63" i="3"/>
  <c r="BN72" i="3"/>
  <c r="BN62" i="3"/>
  <c r="BN61" i="3"/>
  <c r="BN71" i="3"/>
  <c r="BN70" i="3"/>
  <c r="BN69" i="3"/>
  <c r="BF186" i="9"/>
  <c r="BF76" i="9"/>
  <c r="O86" i="3"/>
  <c r="O82" i="3"/>
  <c r="O69" i="3"/>
  <c r="O65" i="3"/>
  <c r="O63" i="3"/>
  <c r="O72" i="3"/>
  <c r="O62" i="3"/>
  <c r="O61" i="3"/>
  <c r="O70" i="3"/>
  <c r="O71" i="3"/>
  <c r="EI86" i="3"/>
  <c r="EI85" i="3"/>
  <c r="EI83" i="3"/>
  <c r="EI93" i="3"/>
  <c r="EI87" i="3"/>
  <c r="EI82" i="3"/>
  <c r="EI90" i="3"/>
  <c r="EI89" i="3"/>
  <c r="EI94" i="3"/>
  <c r="EI64" i="3"/>
  <c r="EI63" i="3"/>
  <c r="EI72" i="3"/>
  <c r="EI62" i="3"/>
  <c r="EI61" i="3"/>
  <c r="EI71" i="3"/>
  <c r="EI70" i="3"/>
  <c r="EI69" i="3"/>
  <c r="EI65" i="3"/>
  <c r="EI66" i="3"/>
  <c r="AG72" i="3"/>
  <c r="AG62" i="3"/>
  <c r="AG82" i="3"/>
  <c r="AG61" i="3"/>
  <c r="AG71" i="3"/>
  <c r="AG70" i="3"/>
  <c r="AG69" i="3"/>
  <c r="AG63" i="3"/>
  <c r="AG65" i="3"/>
  <c r="AG86" i="3"/>
  <c r="T187" i="9"/>
  <c r="AU86" i="3"/>
  <c r="AU71" i="3"/>
  <c r="AU70" i="3"/>
  <c r="AU82" i="3"/>
  <c r="AU69" i="3"/>
  <c r="AU65" i="3"/>
  <c r="AU61" i="3"/>
  <c r="AU62" i="3"/>
  <c r="AU72" i="3"/>
  <c r="AU63" i="3"/>
  <c r="BC186" i="9"/>
  <c r="BC76" i="9"/>
  <c r="DA94" i="3"/>
  <c r="DA90" i="3"/>
  <c r="DA89" i="3"/>
  <c r="DA86" i="3"/>
  <c r="DA83" i="3"/>
  <c r="DA93" i="3"/>
  <c r="DA72" i="3"/>
  <c r="DA62" i="3"/>
  <c r="DA61" i="3"/>
  <c r="DA71" i="3"/>
  <c r="DA87" i="3"/>
  <c r="DA70" i="3"/>
  <c r="DA69" i="3"/>
  <c r="DA82" i="3"/>
  <c r="DA63" i="3"/>
  <c r="DA64" i="3"/>
  <c r="DA85" i="3"/>
  <c r="DA65" i="3"/>
  <c r="DA66" i="3"/>
  <c r="DO94" i="3"/>
  <c r="DO93" i="3"/>
  <c r="DO90" i="3"/>
  <c r="DO83" i="3"/>
  <c r="DO87" i="3"/>
  <c r="DO85" i="3"/>
  <c r="DO71" i="3"/>
  <c r="DO70" i="3"/>
  <c r="DO86" i="3"/>
  <c r="DO69" i="3"/>
  <c r="DO66" i="3"/>
  <c r="DO65" i="3"/>
  <c r="DO82" i="3"/>
  <c r="DO61" i="3"/>
  <c r="DO89" i="3"/>
  <c r="DO62" i="3"/>
  <c r="DO72" i="3"/>
  <c r="DO63" i="3"/>
  <c r="DO64" i="3"/>
  <c r="BD82" i="3"/>
  <c r="BD86" i="3"/>
  <c r="BD63" i="3"/>
  <c r="BD72" i="3"/>
  <c r="BD62" i="3"/>
  <c r="BD61" i="3"/>
  <c r="BD71" i="3"/>
  <c r="BD70" i="3"/>
  <c r="BD69" i="3"/>
  <c r="BD65" i="3"/>
  <c r="K86" i="3"/>
  <c r="K71" i="3"/>
  <c r="K82" i="3"/>
  <c r="K70" i="3"/>
  <c r="K69" i="3"/>
  <c r="K65" i="3"/>
  <c r="K61" i="3"/>
  <c r="K62" i="3"/>
  <c r="K72" i="3"/>
  <c r="K63" i="3"/>
  <c r="CT25" i="2"/>
  <c r="BN25" i="2"/>
  <c r="BZ25" i="2"/>
  <c r="CX25" i="2"/>
  <c r="CD175" i="9"/>
  <c r="AG194" i="9"/>
  <c r="Q194" i="9"/>
  <c r="Q195" i="9" s="1"/>
  <c r="Q143" i="9" s="1"/>
  <c r="AY140" i="2"/>
  <c r="AS139" i="9"/>
  <c r="AY291" i="2"/>
  <c r="CE140" i="2"/>
  <c r="BY139" i="9"/>
  <c r="CE291" i="2"/>
  <c r="CB85" i="3"/>
  <c r="CB94" i="3"/>
  <c r="CB82" i="3"/>
  <c r="CB90" i="3"/>
  <c r="CB87" i="3"/>
  <c r="CB63" i="3"/>
  <c r="CB83" i="3"/>
  <c r="CB72" i="3"/>
  <c r="CB62" i="3"/>
  <c r="CB61" i="3"/>
  <c r="CB71" i="3"/>
  <c r="CB70" i="3"/>
  <c r="CB89" i="3"/>
  <c r="CB69" i="3"/>
  <c r="CB64" i="3"/>
  <c r="CB93" i="3"/>
  <c r="CB65" i="3"/>
  <c r="CB66" i="3"/>
  <c r="CB86" i="3"/>
  <c r="DB94" i="3"/>
  <c r="DB93" i="3"/>
  <c r="DB89" i="3"/>
  <c r="DB86" i="3"/>
  <c r="DB83" i="3"/>
  <c r="DB87" i="3"/>
  <c r="DB90" i="3"/>
  <c r="DB61" i="3"/>
  <c r="DB71" i="3"/>
  <c r="DB70" i="3"/>
  <c r="DB69" i="3"/>
  <c r="DB82" i="3"/>
  <c r="DB66" i="3"/>
  <c r="DB64" i="3"/>
  <c r="DB85" i="3"/>
  <c r="DB65" i="3"/>
  <c r="DB62" i="3"/>
  <c r="DB63" i="3"/>
  <c r="DB72" i="3"/>
  <c r="DV87" i="3"/>
  <c r="DV86" i="3"/>
  <c r="DV85" i="3"/>
  <c r="DV83" i="3"/>
  <c r="DV94" i="3"/>
  <c r="DV89" i="3"/>
  <c r="DV82" i="3"/>
  <c r="DV93" i="3"/>
  <c r="DV90" i="3"/>
  <c r="DV65" i="3"/>
  <c r="DV64" i="3"/>
  <c r="DV63" i="3"/>
  <c r="DV72" i="3"/>
  <c r="DV62" i="3"/>
  <c r="DV61" i="3"/>
  <c r="DV71" i="3"/>
  <c r="DV70" i="3"/>
  <c r="DV66" i="3"/>
  <c r="DV69" i="3"/>
  <c r="EE90" i="3"/>
  <c r="EE89" i="3"/>
  <c r="EE87" i="3"/>
  <c r="EE86" i="3"/>
  <c r="EE83" i="3"/>
  <c r="EE93" i="3"/>
  <c r="EE82" i="3"/>
  <c r="EE94" i="3"/>
  <c r="EE69" i="3"/>
  <c r="EE85" i="3"/>
  <c r="EE66" i="3"/>
  <c r="EE65" i="3"/>
  <c r="EE64" i="3"/>
  <c r="EE63" i="3"/>
  <c r="EE72" i="3"/>
  <c r="EE62" i="3"/>
  <c r="EE61" i="3"/>
  <c r="EE70" i="3"/>
  <c r="EE71" i="3"/>
  <c r="BP82" i="3"/>
  <c r="M65" i="6" s="1"/>
  <c r="BP63" i="3"/>
  <c r="BP72" i="3"/>
  <c r="BP62" i="3"/>
  <c r="BP86" i="3"/>
  <c r="BP61" i="3"/>
  <c r="BP71" i="3"/>
  <c r="BP70" i="3"/>
  <c r="BP69" i="3"/>
  <c r="BP65" i="3"/>
  <c r="DN94" i="3"/>
  <c r="DN93" i="3"/>
  <c r="DN90" i="3"/>
  <c r="DN83" i="3"/>
  <c r="DN89" i="3"/>
  <c r="DN86" i="3"/>
  <c r="DN61" i="3"/>
  <c r="DN71" i="3"/>
  <c r="DN87" i="3"/>
  <c r="DN70" i="3"/>
  <c r="DN69" i="3"/>
  <c r="DN85" i="3"/>
  <c r="DN66" i="3"/>
  <c r="DN82" i="3"/>
  <c r="DN65" i="3"/>
  <c r="DN62" i="3"/>
  <c r="DN72" i="3"/>
  <c r="DN63" i="3"/>
  <c r="DN64" i="3"/>
  <c r="DH90" i="3"/>
  <c r="DH89" i="3"/>
  <c r="DH87" i="3"/>
  <c r="DH86" i="3"/>
  <c r="DH85" i="3"/>
  <c r="DH83" i="3"/>
  <c r="DH66" i="3"/>
  <c r="DH82" i="3"/>
  <c r="DH65" i="3"/>
  <c r="DH93" i="3"/>
  <c r="DH64" i="3"/>
  <c r="DH63" i="3"/>
  <c r="DH94" i="3"/>
  <c r="DH72" i="3"/>
  <c r="DH62" i="3"/>
  <c r="DH61" i="3"/>
  <c r="DH71" i="3"/>
  <c r="DH69" i="3"/>
  <c r="DH70" i="3"/>
  <c r="T82" i="3"/>
  <c r="T86" i="3"/>
  <c r="T63" i="3"/>
  <c r="T72" i="3"/>
  <c r="T62" i="3"/>
  <c r="T61" i="3"/>
  <c r="T71" i="3"/>
  <c r="T70" i="3"/>
  <c r="T69" i="3"/>
  <c r="T65" i="3"/>
  <c r="BN75" i="9"/>
  <c r="AW86" i="3"/>
  <c r="AW70" i="3"/>
  <c r="AW82" i="3"/>
  <c r="AW69" i="3"/>
  <c r="AW65" i="3"/>
  <c r="AW63" i="3"/>
  <c r="AW71" i="3"/>
  <c r="AW62" i="3"/>
  <c r="AW72" i="3"/>
  <c r="AW61" i="3"/>
  <c r="BL75" i="9"/>
  <c r="DR93" i="3"/>
  <c r="DR90" i="3"/>
  <c r="DR89" i="3"/>
  <c r="DR87" i="3"/>
  <c r="DR86" i="3"/>
  <c r="DR94" i="3"/>
  <c r="DR82" i="3"/>
  <c r="DR69" i="3"/>
  <c r="DR66" i="3"/>
  <c r="DR85" i="3"/>
  <c r="DR65" i="3"/>
  <c r="DR64" i="3"/>
  <c r="DR63" i="3"/>
  <c r="DR72" i="3"/>
  <c r="DR62" i="3"/>
  <c r="DR71" i="3"/>
  <c r="DR83" i="3"/>
  <c r="DR61" i="3"/>
  <c r="DR70" i="3"/>
  <c r="H75" i="9"/>
  <c r="I196" i="2"/>
  <c r="C156" i="10" s="1"/>
  <c r="CN85" i="3"/>
  <c r="CN83" i="3"/>
  <c r="CN82" i="3"/>
  <c r="CN93" i="3"/>
  <c r="CN90" i="3"/>
  <c r="CN87" i="3"/>
  <c r="CN94" i="3"/>
  <c r="CN63" i="3"/>
  <c r="CN72" i="3"/>
  <c r="CN62" i="3"/>
  <c r="CN61" i="3"/>
  <c r="CN71" i="3"/>
  <c r="CN89" i="3"/>
  <c r="CN70" i="3"/>
  <c r="CN69" i="3"/>
  <c r="CN66" i="3"/>
  <c r="CN86" i="3"/>
  <c r="CN65" i="3"/>
  <c r="CN64" i="3"/>
  <c r="EJ25" i="2"/>
  <c r="DP25" i="2"/>
  <c r="BG25" i="2"/>
  <c r="DG25" i="2"/>
  <c r="EF25" i="2"/>
  <c r="AD25" i="2"/>
  <c r="BC25" i="2"/>
  <c r="CB25" i="2"/>
  <c r="DA25" i="2"/>
  <c r="DM25" i="2"/>
  <c r="DY25" i="2"/>
  <c r="EK25" i="2"/>
  <c r="AS86" i="3"/>
  <c r="AS72" i="3"/>
  <c r="AS62" i="3"/>
  <c r="AS61" i="3"/>
  <c r="AS71" i="3"/>
  <c r="AS70" i="3"/>
  <c r="AS82" i="3"/>
  <c r="AS69" i="3"/>
  <c r="AS65" i="3"/>
  <c r="AS63" i="3"/>
  <c r="BY89" i="3"/>
  <c r="BY87" i="3"/>
  <c r="BY86" i="3"/>
  <c r="BY85" i="3"/>
  <c r="BY90" i="3"/>
  <c r="BY94" i="3"/>
  <c r="BY83" i="3"/>
  <c r="BY66" i="3"/>
  <c r="BY65" i="3"/>
  <c r="BY64" i="3"/>
  <c r="BY63" i="3"/>
  <c r="BY72" i="3"/>
  <c r="BY62" i="3"/>
  <c r="BY61" i="3"/>
  <c r="BY71" i="3"/>
  <c r="BY70" i="3"/>
  <c r="BY93" i="3"/>
  <c r="BY69" i="3"/>
  <c r="BY82" i="3"/>
  <c r="AK86" i="3"/>
  <c r="AK70" i="3"/>
  <c r="AK69" i="3"/>
  <c r="AK65" i="3"/>
  <c r="AK63" i="3"/>
  <c r="AK61" i="3"/>
  <c r="AK82" i="3"/>
  <c r="AK71" i="3"/>
  <c r="AK62" i="3"/>
  <c r="AK72" i="3"/>
  <c r="AK66" i="7"/>
  <c r="L186" i="9"/>
  <c r="L76" i="9"/>
  <c r="DQ140" i="2"/>
  <c r="DK139" i="9"/>
  <c r="DQ291" i="2"/>
  <c r="BL187" i="9"/>
  <c r="AM86" i="3"/>
  <c r="AM82" i="3"/>
  <c r="AM69" i="3"/>
  <c r="AM65" i="3"/>
  <c r="AM63" i="3"/>
  <c r="AM72" i="3"/>
  <c r="AM62" i="3"/>
  <c r="AM61" i="3"/>
  <c r="AM70" i="3"/>
  <c r="AM71" i="3"/>
  <c r="CX140" i="2"/>
  <c r="CR139" i="9"/>
  <c r="CX291" i="2"/>
  <c r="G194" i="9"/>
  <c r="W194" i="9"/>
  <c r="W195" i="9" s="1"/>
  <c r="W143" i="9" s="1"/>
  <c r="DF140" i="2"/>
  <c r="CZ139" i="9"/>
  <c r="DF291" i="2"/>
  <c r="DE94" i="3"/>
  <c r="DE93" i="3"/>
  <c r="DE90" i="3"/>
  <c r="DE89" i="3"/>
  <c r="DE87" i="3"/>
  <c r="DE85" i="3"/>
  <c r="DE70" i="3"/>
  <c r="DE83" i="3"/>
  <c r="DE69" i="3"/>
  <c r="DE82" i="3"/>
  <c r="DE66" i="3"/>
  <c r="DE86" i="3"/>
  <c r="DE65" i="3"/>
  <c r="DE64" i="3"/>
  <c r="DE63" i="3"/>
  <c r="DE61" i="3"/>
  <c r="DE71" i="3"/>
  <c r="DE62" i="3"/>
  <c r="DE72" i="3"/>
  <c r="N75" i="9"/>
  <c r="DK86" i="3"/>
  <c r="DK83" i="3"/>
  <c r="DK93" i="3"/>
  <c r="DK85" i="3"/>
  <c r="DK82" i="3"/>
  <c r="DK87" i="3"/>
  <c r="DK90" i="3"/>
  <c r="DK89" i="3"/>
  <c r="DK64" i="3"/>
  <c r="DK63" i="3"/>
  <c r="DK72" i="3"/>
  <c r="DK62" i="3"/>
  <c r="DK61" i="3"/>
  <c r="DK94" i="3"/>
  <c r="DK71" i="3"/>
  <c r="DK70" i="3"/>
  <c r="DK65" i="3"/>
  <c r="DK66" i="3"/>
  <c r="DK69" i="3"/>
  <c r="DF93" i="3"/>
  <c r="DF90" i="3"/>
  <c r="DF89" i="3"/>
  <c r="DF87" i="3"/>
  <c r="DF82" i="3"/>
  <c r="DF86" i="3"/>
  <c r="DF83" i="3"/>
  <c r="DF69" i="3"/>
  <c r="DF66" i="3"/>
  <c r="DF65" i="3"/>
  <c r="DF64" i="3"/>
  <c r="DF94" i="3"/>
  <c r="DF63" i="3"/>
  <c r="DF85" i="3"/>
  <c r="DF72" i="3"/>
  <c r="DF62" i="3"/>
  <c r="DF61" i="3"/>
  <c r="DF70" i="3"/>
  <c r="DF71" i="3"/>
  <c r="AY75" i="9"/>
  <c r="V86" i="3"/>
  <c r="V61" i="3"/>
  <c r="V71" i="3"/>
  <c r="V70" i="3"/>
  <c r="V69" i="3"/>
  <c r="V82" i="3"/>
  <c r="V62" i="3"/>
  <c r="V72" i="3"/>
  <c r="V63" i="3"/>
  <c r="V65" i="3"/>
  <c r="O186" i="9"/>
  <c r="O76" i="9"/>
  <c r="CH175" i="9"/>
  <c r="S86" i="3"/>
  <c r="S82" i="3"/>
  <c r="S63" i="3"/>
  <c r="S72" i="3"/>
  <c r="S62" i="3"/>
  <c r="S61" i="3"/>
  <c r="S71" i="3"/>
  <c r="S70" i="3"/>
  <c r="S65" i="3"/>
  <c r="S69" i="3"/>
  <c r="CW89" i="3"/>
  <c r="CW87" i="3"/>
  <c r="CW86" i="3"/>
  <c r="CW85" i="3"/>
  <c r="CW94" i="3"/>
  <c r="CW83" i="3"/>
  <c r="CW66" i="3"/>
  <c r="CW65" i="3"/>
  <c r="CW90" i="3"/>
  <c r="CW64" i="3"/>
  <c r="CW63" i="3"/>
  <c r="CW72" i="3"/>
  <c r="CW62" i="3"/>
  <c r="CW93" i="3"/>
  <c r="CW61" i="3"/>
  <c r="CW71" i="3"/>
  <c r="CW82" i="3"/>
  <c r="CW69" i="3"/>
  <c r="CW70" i="3"/>
  <c r="BK140" i="2"/>
  <c r="BE139" i="9"/>
  <c r="BK291" i="2"/>
  <c r="CS140" i="2"/>
  <c r="CM139" i="9"/>
  <c r="CS291" i="2"/>
  <c r="CA86" i="3"/>
  <c r="CA93" i="3"/>
  <c r="CA83" i="3"/>
  <c r="CA94" i="3"/>
  <c r="CA82" i="3"/>
  <c r="CA89" i="3"/>
  <c r="CA64" i="3"/>
  <c r="CA63" i="3"/>
  <c r="CA72" i="3"/>
  <c r="CA62" i="3"/>
  <c r="CA61" i="3"/>
  <c r="CA71" i="3"/>
  <c r="CA85" i="3"/>
  <c r="CA90" i="3"/>
  <c r="CA70" i="3"/>
  <c r="CA87" i="3"/>
  <c r="CA65" i="3"/>
  <c r="CA66" i="3"/>
  <c r="CA69" i="3"/>
  <c r="DI89" i="3"/>
  <c r="DI87" i="3"/>
  <c r="DI86" i="3"/>
  <c r="DI85" i="3"/>
  <c r="DI93" i="3"/>
  <c r="DI90" i="3"/>
  <c r="DI83" i="3"/>
  <c r="DI94" i="3"/>
  <c r="DI66" i="3"/>
  <c r="DI82" i="3"/>
  <c r="DI65" i="3"/>
  <c r="DI64" i="3"/>
  <c r="DI63" i="3"/>
  <c r="DI72" i="3"/>
  <c r="DI62" i="3"/>
  <c r="DI61" i="3"/>
  <c r="DI71" i="3"/>
  <c r="DI70" i="3"/>
  <c r="DI69" i="3"/>
  <c r="G186" i="9"/>
  <c r="G76" i="9"/>
  <c r="DQ94" i="3"/>
  <c r="DQ93" i="3"/>
  <c r="DQ90" i="3"/>
  <c r="DQ89" i="3"/>
  <c r="DQ83" i="3"/>
  <c r="DQ86" i="3"/>
  <c r="DQ87" i="3"/>
  <c r="DQ85" i="3"/>
  <c r="DQ70" i="3"/>
  <c r="DQ69" i="3"/>
  <c r="DQ66" i="3"/>
  <c r="DQ65" i="3"/>
  <c r="DQ64" i="3"/>
  <c r="DQ63" i="3"/>
  <c r="DQ71" i="3"/>
  <c r="DQ62" i="3"/>
  <c r="DQ72" i="3"/>
  <c r="DQ82" i="3"/>
  <c r="DQ61" i="3"/>
  <c r="W86" i="3"/>
  <c r="W71" i="3"/>
  <c r="W70" i="3"/>
  <c r="W69" i="3"/>
  <c r="W82" i="3"/>
  <c r="W65" i="3"/>
  <c r="W72" i="3"/>
  <c r="W63" i="3"/>
  <c r="W61" i="3"/>
  <c r="W62" i="3"/>
  <c r="HD54" i="2"/>
  <c r="BO58" i="3"/>
  <c r="HB54" i="2"/>
  <c r="BM58" i="3"/>
  <c r="Z82" i="3"/>
  <c r="Z69" i="3"/>
  <c r="Z65" i="3"/>
  <c r="Z63" i="3"/>
  <c r="Z72" i="3"/>
  <c r="Z62" i="3"/>
  <c r="Z61" i="3"/>
  <c r="Z70" i="3"/>
  <c r="Z71" i="3"/>
  <c r="Z86" i="3"/>
  <c r="AC186" i="9"/>
  <c r="AC76" i="9"/>
  <c r="DW86" i="3"/>
  <c r="DW85" i="3"/>
  <c r="DW83" i="3"/>
  <c r="DW93" i="3"/>
  <c r="DW94" i="3"/>
  <c r="DW89" i="3"/>
  <c r="DW82" i="3"/>
  <c r="DW87" i="3"/>
  <c r="DW64" i="3"/>
  <c r="DW63" i="3"/>
  <c r="DW72" i="3"/>
  <c r="DW62" i="3"/>
  <c r="DW61" i="3"/>
  <c r="DW71" i="3"/>
  <c r="DW70" i="3"/>
  <c r="DW65" i="3"/>
  <c r="DW90" i="3"/>
  <c r="DW66" i="3"/>
  <c r="DW69" i="3"/>
  <c r="V25" i="2"/>
  <c r="W25" i="2"/>
  <c r="CU25" i="2"/>
  <c r="DT25" i="2"/>
  <c r="AQ25" i="2"/>
  <c r="BP25" i="2"/>
  <c r="CO25" i="2"/>
  <c r="DN25" i="2"/>
  <c r="DZ25" i="2"/>
  <c r="EL25" i="2"/>
  <c r="K57" i="2"/>
  <c r="EX54" i="2"/>
  <c r="I58" i="3"/>
  <c r="AK186" i="9"/>
  <c r="AK76" i="9"/>
  <c r="DR140" i="2"/>
  <c r="DL139" i="9"/>
  <c r="DR291" i="2"/>
  <c r="BO86" i="3"/>
  <c r="BO82" i="3"/>
  <c r="BO63" i="3"/>
  <c r="BO72" i="3"/>
  <c r="BO62" i="3"/>
  <c r="BO61" i="3"/>
  <c r="BO71" i="3"/>
  <c r="BO70" i="3"/>
  <c r="BO69" i="3"/>
  <c r="BO65" i="3"/>
  <c r="CK89" i="3"/>
  <c r="CK87" i="3"/>
  <c r="CK86" i="3"/>
  <c r="CK85" i="3"/>
  <c r="CK83" i="3"/>
  <c r="CK93" i="3"/>
  <c r="CK90" i="3"/>
  <c r="CK94" i="3"/>
  <c r="CK66" i="3"/>
  <c r="CK65" i="3"/>
  <c r="CK64" i="3"/>
  <c r="CK82" i="3"/>
  <c r="CK63" i="3"/>
  <c r="CK72" i="3"/>
  <c r="CK62" i="3"/>
  <c r="CK61" i="3"/>
  <c r="CK71" i="3"/>
  <c r="CK69" i="3"/>
  <c r="CK70" i="3"/>
  <c r="G18" i="3"/>
  <c r="Y77" i="9" l="1"/>
  <c r="Y175" i="9" s="1"/>
  <c r="AS188" i="9"/>
  <c r="AS77" i="9" s="1"/>
  <c r="AS175" i="9" s="1"/>
  <c r="BG77" i="9"/>
  <c r="BG175" i="9" s="1"/>
  <c r="AW77" i="9"/>
  <c r="AW175" i="9" s="1"/>
  <c r="M155" i="2"/>
  <c r="EW59" i="2" s="1"/>
  <c r="T188" i="9"/>
  <c r="T77" i="9" s="1"/>
  <c r="T175" i="9" s="1"/>
  <c r="V77" i="9"/>
  <c r="V175" i="9" s="1"/>
  <c r="M26" i="2"/>
  <c r="DL26" i="2"/>
  <c r="DW155" i="2"/>
  <c r="JG59" i="2" s="1"/>
  <c r="AL195" i="9"/>
  <c r="AL143" i="9" s="1"/>
  <c r="AI26" i="2"/>
  <c r="AG155" i="2"/>
  <c r="FQ59" i="2" s="1"/>
  <c r="U155" i="2"/>
  <c r="FE59" i="2" s="1"/>
  <c r="AA77" i="3"/>
  <c r="AJ77" i="3"/>
  <c r="AV77" i="9"/>
  <c r="AV175" i="9" s="1"/>
  <c r="X188" i="9"/>
  <c r="X77" i="9" s="1"/>
  <c r="X175" i="9" s="1"/>
  <c r="BE77" i="3"/>
  <c r="AZ155" i="2"/>
  <c r="GJ59" i="2" s="1"/>
  <c r="DZ155" i="2"/>
  <c r="JJ59" i="2" s="1"/>
  <c r="EH26" i="2"/>
  <c r="CE155" i="2"/>
  <c r="HO59" i="2" s="1"/>
  <c r="EI26" i="2"/>
  <c r="Z26" i="2"/>
  <c r="AB77" i="3"/>
  <c r="BF155" i="2"/>
  <c r="GP59" i="2" s="1"/>
  <c r="DJ26" i="2"/>
  <c r="AL77" i="3"/>
  <c r="AJ155" i="2"/>
  <c r="FT59" i="2" s="1"/>
  <c r="BJ77" i="3"/>
  <c r="AT155" i="2"/>
  <c r="GD59" i="2" s="1"/>
  <c r="AC155" i="2"/>
  <c r="FM59" i="2" s="1"/>
  <c r="EL155" i="2"/>
  <c r="JV59" i="2" s="1"/>
  <c r="AZ187" i="9"/>
  <c r="AZ188" i="9" s="1"/>
  <c r="AZ77" i="9" s="1"/>
  <c r="DW26" i="2"/>
  <c r="EA155" i="2"/>
  <c r="JK59" i="2" s="1"/>
  <c r="EE155" i="2"/>
  <c r="JO59" i="2" s="1"/>
  <c r="BJ155" i="2"/>
  <c r="GT59" i="2" s="1"/>
  <c r="O77" i="3"/>
  <c r="BN155" i="2"/>
  <c r="GX59" i="2" s="1"/>
  <c r="DT155" i="2"/>
  <c r="JD59" i="2" s="1"/>
  <c r="CJ155" i="2"/>
  <c r="HT59" i="2" s="1"/>
  <c r="AL155" i="2"/>
  <c r="FV59" i="2" s="1"/>
  <c r="AQ155" i="2"/>
  <c r="AQ202" i="2" s="1"/>
  <c r="DR26" i="2"/>
  <c r="AE77" i="3"/>
  <c r="CT155" i="2"/>
  <c r="ID59" i="2" s="1"/>
  <c r="CY155" i="2"/>
  <c r="II59" i="2" s="1"/>
  <c r="CX155" i="2"/>
  <c r="IH59" i="2" s="1"/>
  <c r="BK77" i="3"/>
  <c r="AG77" i="3"/>
  <c r="CB155" i="2"/>
  <c r="HL59" i="2" s="1"/>
  <c r="X155" i="2"/>
  <c r="FH59" i="2" s="1"/>
  <c r="S77" i="3"/>
  <c r="T155" i="2"/>
  <c r="DQ155" i="2"/>
  <c r="JA59" i="2" s="1"/>
  <c r="X77" i="3"/>
  <c r="H77" i="3"/>
  <c r="BG77" i="3"/>
  <c r="BL155" i="2"/>
  <c r="BL202" i="2" s="1"/>
  <c r="CW155" i="2"/>
  <c r="IG59" i="2" s="1"/>
  <c r="AC77" i="3"/>
  <c r="AH155" i="2"/>
  <c r="AH202" i="2" s="1"/>
  <c r="BL77" i="3"/>
  <c r="AD26" i="2"/>
  <c r="BD155" i="2"/>
  <c r="GN59" i="2" s="1"/>
  <c r="EH155" i="2"/>
  <c r="JR59" i="2" s="1"/>
  <c r="BZ155" i="2"/>
  <c r="HJ59" i="2" s="1"/>
  <c r="DL155" i="2"/>
  <c r="IV59" i="2" s="1"/>
  <c r="CD155" i="2"/>
  <c r="HN59" i="2" s="1"/>
  <c r="ED26" i="2"/>
  <c r="AF155" i="2"/>
  <c r="AF202" i="2" s="1"/>
  <c r="CV155" i="2"/>
  <c r="IF59" i="2" s="1"/>
  <c r="AY77" i="3"/>
  <c r="DP26" i="2"/>
  <c r="BO155" i="2"/>
  <c r="GY59" i="2" s="1"/>
  <c r="Q77" i="3"/>
  <c r="G195" i="9"/>
  <c r="G143" i="9" s="1"/>
  <c r="Y155" i="2"/>
  <c r="FI59" i="2" s="1"/>
  <c r="DY26" i="2"/>
  <c r="CW26" i="2"/>
  <c r="BV155" i="2"/>
  <c r="HF59" i="2" s="1"/>
  <c r="J195" i="9"/>
  <c r="J143" i="9" s="1"/>
  <c r="BA77" i="3"/>
  <c r="DT26" i="2"/>
  <c r="CD26" i="2"/>
  <c r="AK77" i="3"/>
  <c r="BH77" i="3"/>
  <c r="AU188" i="9"/>
  <c r="AU77" i="9" s="1"/>
  <c r="AU175" i="9" s="1"/>
  <c r="EN26" i="2"/>
  <c r="AP155" i="2"/>
  <c r="FZ59" i="2" s="1"/>
  <c r="I77" i="3"/>
  <c r="DV26" i="2"/>
  <c r="CT26" i="2"/>
  <c r="CM155" i="2"/>
  <c r="HW59" i="2" s="1"/>
  <c r="EB155" i="2"/>
  <c r="JL59" i="2" s="1"/>
  <c r="AU77" i="3"/>
  <c r="BG26" i="2"/>
  <c r="N155" i="2"/>
  <c r="EX59" i="2" s="1"/>
  <c r="BA26" i="2"/>
  <c r="N26" i="2"/>
  <c r="AM77" i="3"/>
  <c r="DG155" i="2"/>
  <c r="IQ59" i="2" s="1"/>
  <c r="BE26" i="2"/>
  <c r="DS26" i="2"/>
  <c r="CJ26" i="2"/>
  <c r="CK155" i="2"/>
  <c r="HU59" i="2" s="1"/>
  <c r="CO155" i="2"/>
  <c r="HY59" i="2" s="1"/>
  <c r="DI155" i="2"/>
  <c r="IS59" i="2" s="1"/>
  <c r="DJ155" i="2"/>
  <c r="IT59" i="2" s="1"/>
  <c r="AY26" i="2"/>
  <c r="DS155" i="2"/>
  <c r="JC59" i="2" s="1"/>
  <c r="P77" i="3"/>
  <c r="BF26" i="2"/>
  <c r="W155" i="2"/>
  <c r="FG59" i="2" s="1"/>
  <c r="AG26" i="2"/>
  <c r="J77" i="3"/>
  <c r="BH155" i="2"/>
  <c r="GR59" i="2" s="1"/>
  <c r="CS155" i="2"/>
  <c r="IC59" i="2" s="1"/>
  <c r="P155" i="2"/>
  <c r="EZ59" i="2" s="1"/>
  <c r="AR77" i="3"/>
  <c r="AT26" i="2"/>
  <c r="EA91" i="3"/>
  <c r="AW155" i="2"/>
  <c r="GG59" i="2" s="1"/>
  <c r="BC155" i="2"/>
  <c r="BC202" i="2" s="1"/>
  <c r="BP155" i="2"/>
  <c r="BP202" i="2" s="1"/>
  <c r="DR155" i="2"/>
  <c r="JB59" i="2" s="1"/>
  <c r="DH155" i="2"/>
  <c r="IR59" i="2" s="1"/>
  <c r="K77" i="3"/>
  <c r="AO77" i="3"/>
  <c r="AS26" i="2"/>
  <c r="AN26" i="2"/>
  <c r="CF26" i="2"/>
  <c r="DM155" i="2"/>
  <c r="IW59" i="2" s="1"/>
  <c r="V26" i="2"/>
  <c r="DZ26" i="2"/>
  <c r="AH26" i="2"/>
  <c r="BX155" i="2"/>
  <c r="HH59" i="2" s="1"/>
  <c r="DB155" i="2"/>
  <c r="IL59" i="2" s="1"/>
  <c r="DX155" i="2"/>
  <c r="JH59" i="2" s="1"/>
  <c r="AX64" i="3"/>
  <c r="AX66" i="3" s="1"/>
  <c r="CA155" i="2"/>
  <c r="HK59" i="2" s="1"/>
  <c r="CR155" i="2"/>
  <c r="IB59" i="2" s="1"/>
  <c r="DV155" i="2"/>
  <c r="JF59" i="2" s="1"/>
  <c r="BW155" i="2"/>
  <c r="HG59" i="2" s="1"/>
  <c r="S26" i="2"/>
  <c r="BI77" i="3"/>
  <c r="R26" i="2"/>
  <c r="DK155" i="2"/>
  <c r="IU59" i="2" s="1"/>
  <c r="DA155" i="2"/>
  <c r="IK59" i="2" s="1"/>
  <c r="DM91" i="3"/>
  <c r="BM155" i="2"/>
  <c r="BM202" i="2" s="1"/>
  <c r="R77" i="3"/>
  <c r="CG26" i="2"/>
  <c r="DN155" i="2"/>
  <c r="IX59" i="2" s="1"/>
  <c r="AW77" i="3"/>
  <c r="AL64" i="3"/>
  <c r="AL66" i="3" s="1"/>
  <c r="CL155" i="2"/>
  <c r="HV59" i="2" s="1"/>
  <c r="CD91" i="3"/>
  <c r="BD77" i="3"/>
  <c r="AK155" i="2"/>
  <c r="AK202" i="2" s="1"/>
  <c r="AF77" i="3"/>
  <c r="AP77" i="3"/>
  <c r="EI155" i="2"/>
  <c r="JS59" i="2" s="1"/>
  <c r="AO155" i="2"/>
  <c r="BI155" i="2"/>
  <c r="GS59" i="2" s="1"/>
  <c r="CQ155" i="2"/>
  <c r="IA59" i="2" s="1"/>
  <c r="BM77" i="3"/>
  <c r="AZ77" i="3"/>
  <c r="W77" i="3"/>
  <c r="AU155" i="2"/>
  <c r="GE59" i="2" s="1"/>
  <c r="BR155" i="2"/>
  <c r="HB59" i="2" s="1"/>
  <c r="BE155" i="2"/>
  <c r="GO59" i="2" s="1"/>
  <c r="BF77" i="3"/>
  <c r="EK155" i="2"/>
  <c r="JU59" i="2" s="1"/>
  <c r="EC155" i="2"/>
  <c r="JM59" i="2" s="1"/>
  <c r="V155" i="2"/>
  <c r="V202" i="2" s="1"/>
  <c r="EJ155" i="2"/>
  <c r="JT59" i="2" s="1"/>
  <c r="AP188" i="9"/>
  <c r="AP77" i="9" s="1"/>
  <c r="AP175" i="9" s="1"/>
  <c r="AR187" i="9"/>
  <c r="AR188" i="9" s="1"/>
  <c r="AR77" i="9" s="1"/>
  <c r="BK155" i="2"/>
  <c r="GU59" i="2" s="1"/>
  <c r="CB91" i="3"/>
  <c r="DY155" i="2"/>
  <c r="JI59" i="2" s="1"/>
  <c r="AB155" i="2"/>
  <c r="AB202" i="2" s="1"/>
  <c r="CN26" i="2"/>
  <c r="BR91" i="3"/>
  <c r="AQ64" i="3"/>
  <c r="AQ66" i="3" s="1"/>
  <c r="CX91" i="3"/>
  <c r="AA64" i="3"/>
  <c r="AA66" i="3" s="1"/>
  <c r="AO26" i="2"/>
  <c r="AG195" i="9"/>
  <c r="AG143" i="9" s="1"/>
  <c r="BO26" i="2"/>
  <c r="BY26" i="2"/>
  <c r="BA155" i="2"/>
  <c r="BA202" i="2" s="1"/>
  <c r="K64" i="3"/>
  <c r="K66" i="3" s="1"/>
  <c r="EL26" i="2"/>
  <c r="O195" i="9"/>
  <c r="O143" i="9" s="1"/>
  <c r="AM155" i="2"/>
  <c r="FW59" i="2" s="1"/>
  <c r="AA155" i="2"/>
  <c r="FK59" i="2" s="1"/>
  <c r="BM26" i="2"/>
  <c r="O26" i="2"/>
  <c r="CZ26" i="2"/>
  <c r="AM195" i="9"/>
  <c r="AM143" i="9" s="1"/>
  <c r="AX77" i="3"/>
  <c r="G25" i="6"/>
  <c r="G72" i="6" s="1"/>
  <c r="CP155" i="2"/>
  <c r="HZ59" i="2" s="1"/>
  <c r="V77" i="3"/>
  <c r="CZ155" i="2"/>
  <c r="IJ59" i="2" s="1"/>
  <c r="AQ73" i="3"/>
  <c r="BF64" i="3"/>
  <c r="BF66" i="3" s="1"/>
  <c r="DS91" i="3"/>
  <c r="BT155" i="2"/>
  <c r="HD59" i="2" s="1"/>
  <c r="DP155" i="2"/>
  <c r="IZ59" i="2" s="1"/>
  <c r="BI26" i="2"/>
  <c r="AI155" i="2"/>
  <c r="FS59" i="2" s="1"/>
  <c r="AY155" i="2"/>
  <c r="GI59" i="2" s="1"/>
  <c r="BO77" i="3"/>
  <c r="EF155" i="2"/>
  <c r="JP59" i="2" s="1"/>
  <c r="CU155" i="2"/>
  <c r="IE59" i="2" s="1"/>
  <c r="CC91" i="3"/>
  <c r="AO64" i="3"/>
  <c r="AO66" i="3" s="1"/>
  <c r="AH77" i="3"/>
  <c r="DM26" i="2"/>
  <c r="T64" i="3"/>
  <c r="T66" i="3" s="1"/>
  <c r="CH91" i="3"/>
  <c r="CJ91" i="3"/>
  <c r="DE26" i="2"/>
  <c r="T77" i="3"/>
  <c r="DO91" i="3"/>
  <c r="CI155" i="2"/>
  <c r="HS59" i="2" s="1"/>
  <c r="DN26" i="2"/>
  <c r="AQ77" i="3"/>
  <c r="S64" i="3"/>
  <c r="S66" i="3" s="1"/>
  <c r="G25" i="1"/>
  <c r="CQ26" i="2"/>
  <c r="BI73" i="3"/>
  <c r="BR26" i="2"/>
  <c r="DO155" i="2"/>
  <c r="IY59" i="2" s="1"/>
  <c r="BB155" i="2"/>
  <c r="GL59" i="2" s="1"/>
  <c r="AS64" i="3"/>
  <c r="AS66" i="3" s="1"/>
  <c r="DG26" i="2"/>
  <c r="CX26" i="2"/>
  <c r="AG64" i="3"/>
  <c r="AG66" i="3" s="1"/>
  <c r="Y77" i="3"/>
  <c r="BG64" i="3"/>
  <c r="BG66" i="3" s="1"/>
  <c r="CG155" i="2"/>
  <c r="HQ59" i="2" s="1"/>
  <c r="DC155" i="2"/>
  <c r="IM59" i="2" s="1"/>
  <c r="BV91" i="3"/>
  <c r="AE26" i="2"/>
  <c r="CF155" i="2"/>
  <c r="HP59" i="2" s="1"/>
  <c r="EG155" i="2"/>
  <c r="JQ59" i="2" s="1"/>
  <c r="AT77" i="3"/>
  <c r="N77" i="3"/>
  <c r="BH64" i="3"/>
  <c r="BH66" i="3" s="1"/>
  <c r="T26" i="2"/>
  <c r="Y142" i="9"/>
  <c r="Z77" i="3"/>
  <c r="U64" i="3"/>
  <c r="U66" i="3" s="1"/>
  <c r="AP64" i="3"/>
  <c r="AP66" i="3" s="1"/>
  <c r="Q155" i="2"/>
  <c r="FA59" i="2" s="1"/>
  <c r="AY64" i="3"/>
  <c r="AY66" i="3" s="1"/>
  <c r="AF64" i="3"/>
  <c r="AF66" i="3" s="1"/>
  <c r="ED155" i="2"/>
  <c r="JN59" i="2" s="1"/>
  <c r="CH155" i="2"/>
  <c r="HR59" i="2" s="1"/>
  <c r="DD155" i="2"/>
  <c r="IN59" i="2" s="1"/>
  <c r="CC155" i="2"/>
  <c r="HM59" i="2" s="1"/>
  <c r="AV155" i="2"/>
  <c r="EJ26" i="2"/>
  <c r="AW64" i="3"/>
  <c r="AW66" i="3" s="1"/>
  <c r="CU26" i="2"/>
  <c r="CQ91" i="3"/>
  <c r="BS26" i="2"/>
  <c r="BB64" i="3"/>
  <c r="BB66" i="3" s="1"/>
  <c r="AD77" i="3"/>
  <c r="EM155" i="2"/>
  <c r="JW59" i="2" s="1"/>
  <c r="AM142" i="9"/>
  <c r="AN77" i="3"/>
  <c r="AS77" i="3"/>
  <c r="AK26" i="2"/>
  <c r="I181" i="2"/>
  <c r="I183" i="2" s="1"/>
  <c r="M24" i="1" s="1"/>
  <c r="BP64" i="3"/>
  <c r="BP66" i="3" s="1"/>
  <c r="BU26" i="2"/>
  <c r="AF195" i="9"/>
  <c r="AF143" i="9" s="1"/>
  <c r="AL26" i="2"/>
  <c r="L64" i="3"/>
  <c r="L66" i="3" s="1"/>
  <c r="BC77" i="3"/>
  <c r="DU155" i="2"/>
  <c r="JE59" i="2" s="1"/>
  <c r="L77" i="3"/>
  <c r="BG155" i="2"/>
  <c r="GQ59" i="2" s="1"/>
  <c r="AH142" i="9"/>
  <c r="AI77" i="3"/>
  <c r="T142" i="9"/>
  <c r="U77" i="3"/>
  <c r="AN155" i="2"/>
  <c r="L142" i="9"/>
  <c r="R155" i="2"/>
  <c r="BQ155" i="2"/>
  <c r="HA59" i="2" s="1"/>
  <c r="AR155" i="2"/>
  <c r="AR202" i="2" s="1"/>
  <c r="CB26" i="2"/>
  <c r="BN64" i="3"/>
  <c r="BN66" i="3" s="1"/>
  <c r="AD155" i="2"/>
  <c r="FN59" i="2" s="1"/>
  <c r="AC26" i="2"/>
  <c r="BT91" i="3"/>
  <c r="S155" i="2"/>
  <c r="FC59" i="2" s="1"/>
  <c r="BB77" i="3"/>
  <c r="CN155" i="2"/>
  <c r="HX59" i="2" s="1"/>
  <c r="DF155" i="2"/>
  <c r="IP59" i="2" s="1"/>
  <c r="BC26" i="2"/>
  <c r="DX26" i="2"/>
  <c r="AR64" i="3"/>
  <c r="AR66" i="3" s="1"/>
  <c r="EE26" i="2"/>
  <c r="AT64" i="3"/>
  <c r="AT66" i="3" s="1"/>
  <c r="CK26" i="2"/>
  <c r="M64" i="3"/>
  <c r="M66" i="3" s="1"/>
  <c r="AX155" i="2"/>
  <c r="GH59" i="2" s="1"/>
  <c r="BN77" i="3"/>
  <c r="CU91" i="3"/>
  <c r="AV77" i="3"/>
  <c r="CE26" i="2"/>
  <c r="DY91" i="3"/>
  <c r="O155" i="2"/>
  <c r="EY59" i="2" s="1"/>
  <c r="CN91" i="3"/>
  <c r="CH26" i="2"/>
  <c r="BJ26" i="2"/>
  <c r="BL64" i="3"/>
  <c r="BL66" i="3" s="1"/>
  <c r="P64" i="3"/>
  <c r="P66" i="3" s="1"/>
  <c r="BL26" i="2"/>
  <c r="Y64" i="3"/>
  <c r="Y66" i="3" s="1"/>
  <c r="BS155" i="2"/>
  <c r="BS202" i="2" s="1"/>
  <c r="EN155" i="2"/>
  <c r="JX59" i="2" s="1"/>
  <c r="BY155" i="2"/>
  <c r="HI59" i="2" s="1"/>
  <c r="U187" i="9"/>
  <c r="U188" i="9" s="1"/>
  <c r="S188" i="9"/>
  <c r="S77" i="9" s="1"/>
  <c r="S175" i="9" s="1"/>
  <c r="CW91" i="3"/>
  <c r="BN26" i="2"/>
  <c r="BB26" i="2"/>
  <c r="Y73" i="3"/>
  <c r="CT91" i="3"/>
  <c r="BA73" i="3"/>
  <c r="AV64" i="3"/>
  <c r="AV66" i="3" s="1"/>
  <c r="AD64" i="3"/>
  <c r="AD66" i="3" s="1"/>
  <c r="DU91" i="3"/>
  <c r="W64" i="3"/>
  <c r="W66" i="3" s="1"/>
  <c r="DQ91" i="3"/>
  <c r="BJ64" i="3"/>
  <c r="BJ66" i="3" s="1"/>
  <c r="AE64" i="3"/>
  <c r="AE66" i="3" s="1"/>
  <c r="J73" i="3"/>
  <c r="AJ73" i="3"/>
  <c r="AJ195" i="9"/>
  <c r="AJ143" i="9" s="1"/>
  <c r="P73" i="3"/>
  <c r="BM64" i="3"/>
  <c r="BM66" i="3" s="1"/>
  <c r="CF91" i="3"/>
  <c r="BE64" i="3"/>
  <c r="BE66" i="3" s="1"/>
  <c r="Z202" i="2"/>
  <c r="AP26" i="2"/>
  <c r="CL26" i="2"/>
  <c r="J64" i="3"/>
  <c r="J66" i="3" s="1"/>
  <c r="AB64" i="3"/>
  <c r="AB66" i="3" s="1"/>
  <c r="AI64" i="3"/>
  <c r="AI66" i="3" s="1"/>
  <c r="BA64" i="3"/>
  <c r="BA66" i="3" s="1"/>
  <c r="X64" i="3"/>
  <c r="X66" i="3" s="1"/>
  <c r="AZ64" i="3"/>
  <c r="AZ66" i="3" s="1"/>
  <c r="EC26" i="2"/>
  <c r="BP26" i="2"/>
  <c r="V64" i="3"/>
  <c r="V66" i="3" s="1"/>
  <c r="DF91" i="3"/>
  <c r="BD64" i="3"/>
  <c r="BD66" i="3" s="1"/>
  <c r="EI91" i="3"/>
  <c r="BJ73" i="3"/>
  <c r="Q64" i="3"/>
  <c r="Q66" i="3" s="1"/>
  <c r="Q26" i="2"/>
  <c r="EA26" i="2"/>
  <c r="Y195" i="9"/>
  <c r="Y143" i="9" s="1"/>
  <c r="AB26" i="2"/>
  <c r="CE91" i="3"/>
  <c r="I64" i="3"/>
  <c r="I66" i="3" s="1"/>
  <c r="AC64" i="3"/>
  <c r="AC66" i="3" s="1"/>
  <c r="BW91" i="3"/>
  <c r="N195" i="9"/>
  <c r="N143" i="9" s="1"/>
  <c r="AH64" i="3"/>
  <c r="AH66" i="3" s="1"/>
  <c r="DD26" i="2"/>
  <c r="AJ64" i="3"/>
  <c r="AJ66" i="3" s="1"/>
  <c r="N64" i="3"/>
  <c r="N66" i="3" s="1"/>
  <c r="AN64" i="3"/>
  <c r="AN66" i="3" s="1"/>
  <c r="ED91" i="3"/>
  <c r="P26" i="2"/>
  <c r="DK91" i="3"/>
  <c r="T73" i="3"/>
  <c r="O64" i="3"/>
  <c r="O66" i="3" s="1"/>
  <c r="BZ91" i="3"/>
  <c r="CG91" i="3"/>
  <c r="BK64" i="3"/>
  <c r="BK66" i="3" s="1"/>
  <c r="I65" i="6"/>
  <c r="J65" i="6"/>
  <c r="BP73" i="3"/>
  <c r="AW26" i="2"/>
  <c r="BI64" i="3"/>
  <c r="BI66" i="3" s="1"/>
  <c r="CI91" i="3"/>
  <c r="BW26" i="2"/>
  <c r="DC91" i="3"/>
  <c r="EG91" i="3"/>
  <c r="BO64" i="3"/>
  <c r="BO66" i="3" s="1"/>
  <c r="W26" i="2"/>
  <c r="AM64" i="3"/>
  <c r="AM66" i="3" s="1"/>
  <c r="AK64" i="3"/>
  <c r="AK66" i="3" s="1"/>
  <c r="BZ26" i="2"/>
  <c r="AU64" i="3"/>
  <c r="AU66" i="3" s="1"/>
  <c r="AO73" i="3"/>
  <c r="DI26" i="2"/>
  <c r="R64" i="3"/>
  <c r="R66" i="3" s="1"/>
  <c r="DC26" i="2"/>
  <c r="Z64" i="3"/>
  <c r="Z66" i="3" s="1"/>
  <c r="K65" i="6"/>
  <c r="EU54" i="2"/>
  <c r="L65" i="6"/>
  <c r="BC64" i="3"/>
  <c r="BC66" i="3" s="1"/>
  <c r="U26" i="2"/>
  <c r="CS26" i="2"/>
  <c r="CI26" i="2"/>
  <c r="CL194" i="9"/>
  <c r="DS194" i="9"/>
  <c r="BS194" i="9"/>
  <c r="DR194" i="9"/>
  <c r="W73" i="3"/>
  <c r="DA194" i="9"/>
  <c r="AH186" i="9"/>
  <c r="AH76" i="9"/>
  <c r="AU26" i="2"/>
  <c r="G29" i="3"/>
  <c r="G73" i="3"/>
  <c r="AH195" i="9"/>
  <c r="BI188" i="9"/>
  <c r="BI77" i="9" s="1"/>
  <c r="BK187" i="9"/>
  <c r="BK188" i="9" s="1"/>
  <c r="BK77" i="9" s="1"/>
  <c r="EG26" i="2"/>
  <c r="AL73" i="3"/>
  <c r="AZ194" i="9"/>
  <c r="DP194" i="9"/>
  <c r="F77" i="9"/>
  <c r="CK194" i="9"/>
  <c r="CI194" i="9"/>
  <c r="N186" i="9"/>
  <c r="N76" i="9"/>
  <c r="AL66" i="7"/>
  <c r="AA188" i="9"/>
  <c r="AA77" i="9" s="1"/>
  <c r="AC187" i="9"/>
  <c r="AC188" i="9" s="1"/>
  <c r="AC77" i="9" s="1"/>
  <c r="W187" i="9"/>
  <c r="W188" i="9" s="1"/>
  <c r="W77" i="9" s="1"/>
  <c r="BO142" i="9"/>
  <c r="BP77" i="3"/>
  <c r="EF26" i="2"/>
  <c r="DR91" i="3"/>
  <c r="DA91" i="3"/>
  <c r="AF26" i="2"/>
  <c r="CV91" i="3"/>
  <c r="BU91" i="3"/>
  <c r="N27" i="6"/>
  <c r="N28" i="6" s="1"/>
  <c r="DB194" i="9"/>
  <c r="M73" i="3"/>
  <c r="BK26" i="2"/>
  <c r="BM73" i="3"/>
  <c r="BX91" i="3"/>
  <c r="AP73" i="3"/>
  <c r="AA73" i="3"/>
  <c r="AV26" i="2"/>
  <c r="I93" i="9"/>
  <c r="AY73" i="3"/>
  <c r="AF73" i="3"/>
  <c r="P195" i="9"/>
  <c r="P143" i="9" s="1"/>
  <c r="DH26" i="2"/>
  <c r="BP194" i="9"/>
  <c r="BA194" i="9"/>
  <c r="CJ194" i="9"/>
  <c r="CD194" i="9"/>
  <c r="AC195" i="9"/>
  <c r="AC143" i="9" s="1"/>
  <c r="CQ194" i="9"/>
  <c r="BI194" i="9"/>
  <c r="CM194" i="9"/>
  <c r="AS73" i="3"/>
  <c r="BY194" i="9"/>
  <c r="FO59" i="2"/>
  <c r="AE202" i="2"/>
  <c r="Q73" i="3"/>
  <c r="DL91" i="3"/>
  <c r="BX26" i="2"/>
  <c r="AR194" i="9"/>
  <c r="CT194" i="9"/>
  <c r="AM26" i="2"/>
  <c r="AN187" i="9"/>
  <c r="AN188" i="9" s="1"/>
  <c r="AN77" i="9" s="1"/>
  <c r="I7" i="4"/>
  <c r="AX26" i="2"/>
  <c r="CA194" i="9"/>
  <c r="AP195" i="9"/>
  <c r="AP143" i="9" s="1"/>
  <c r="DO26" i="2"/>
  <c r="BM194" i="9"/>
  <c r="BO188" i="9"/>
  <c r="BO77" i="9" s="1"/>
  <c r="BQ187" i="9"/>
  <c r="BQ188" i="9" s="1"/>
  <c r="BQ77" i="9" s="1"/>
  <c r="CF194" i="9"/>
  <c r="CP194" i="9"/>
  <c r="BH194" i="9"/>
  <c r="DH194" i="9"/>
  <c r="BB194" i="9"/>
  <c r="AQ194" i="9"/>
  <c r="AQ195" i="9" s="1"/>
  <c r="AQ143" i="9" s="1"/>
  <c r="AW194" i="9"/>
  <c r="AE187" i="9"/>
  <c r="AE188" i="9" s="1"/>
  <c r="Z73" i="3"/>
  <c r="DE91" i="3"/>
  <c r="AW73" i="3"/>
  <c r="DN91" i="3"/>
  <c r="DB91" i="3"/>
  <c r="AG73" i="3"/>
  <c r="I130" i="2"/>
  <c r="EM26" i="2"/>
  <c r="AR73" i="3"/>
  <c r="CR91" i="3"/>
  <c r="BL73" i="3"/>
  <c r="AA26" i="2"/>
  <c r="J5" i="4"/>
  <c r="H87" i="4"/>
  <c r="G89" i="4" a="1"/>
  <c r="G89" i="4" s="1"/>
  <c r="G90" i="4" s="1"/>
  <c r="J6" i="4" s="1"/>
  <c r="AX194" i="9"/>
  <c r="AV194" i="9"/>
  <c r="DN194" i="9"/>
  <c r="CP26" i="2"/>
  <c r="CY91" i="3"/>
  <c r="DE194" i="9"/>
  <c r="BV194" i="9"/>
  <c r="DJ194" i="9"/>
  <c r="BZ194" i="9"/>
  <c r="DD194" i="9"/>
  <c r="CX194" i="9"/>
  <c r="BU194" i="9"/>
  <c r="BE73" i="3"/>
  <c r="DP91" i="3"/>
  <c r="AT73" i="3"/>
  <c r="GC59" i="2"/>
  <c r="AS202" i="2"/>
  <c r="CG194" i="9"/>
  <c r="BO194" i="9"/>
  <c r="AN73" i="3"/>
  <c r="AC73" i="3"/>
  <c r="AZ26" i="2"/>
  <c r="H82" i="3"/>
  <c r="H65" i="6" s="1"/>
  <c r="H86" i="3"/>
  <c r="H63" i="3"/>
  <c r="H23" i="3" s="1"/>
  <c r="H10" i="6" s="1"/>
  <c r="H72" i="3"/>
  <c r="H32" i="3" s="1"/>
  <c r="H19" i="6" s="1"/>
  <c r="H62" i="3"/>
  <c r="H22" i="3" s="1"/>
  <c r="H9" i="6" s="1"/>
  <c r="H61" i="3"/>
  <c r="H21" i="3" s="1"/>
  <c r="H8" i="6" s="1"/>
  <c r="H71" i="3"/>
  <c r="H31" i="3" s="1"/>
  <c r="H18" i="6" s="1"/>
  <c r="H70" i="3"/>
  <c r="H30" i="3" s="1"/>
  <c r="H17" i="6" s="1"/>
  <c r="H69" i="3"/>
  <c r="H65" i="3"/>
  <c r="H25" i="3" s="1"/>
  <c r="H13" i="6" s="1"/>
  <c r="V4" i="5"/>
  <c r="Z195" i="9"/>
  <c r="Z143" i="9" s="1"/>
  <c r="BH26" i="2"/>
  <c r="EF91" i="3"/>
  <c r="F88" i="4"/>
  <c r="I8" i="4" s="1"/>
  <c r="EB91" i="3"/>
  <c r="BH73" i="3"/>
  <c r="AV73" i="3"/>
  <c r="BQ26" i="2"/>
  <c r="DT194" i="9"/>
  <c r="BT26" i="2"/>
  <c r="BN194" i="9"/>
  <c r="BL194" i="9"/>
  <c r="DG194" i="9"/>
  <c r="AY194" i="9"/>
  <c r="BT194" i="9"/>
  <c r="BW194" i="9"/>
  <c r="L188" i="9"/>
  <c r="L77" i="9" s="1"/>
  <c r="N187" i="9"/>
  <c r="AT194" i="9"/>
  <c r="H186" i="9"/>
  <c r="H76" i="9"/>
  <c r="BB187" i="9"/>
  <c r="BB188" i="9" s="1"/>
  <c r="BB77" i="9" s="1"/>
  <c r="DI91" i="3"/>
  <c r="AY186" i="9"/>
  <c r="AY76" i="9"/>
  <c r="EK26" i="2"/>
  <c r="BN186" i="9"/>
  <c r="BN76" i="9"/>
  <c r="AS194" i="9"/>
  <c r="BC188" i="9"/>
  <c r="BC77" i="9" s="1"/>
  <c r="BE187" i="9"/>
  <c r="BE188" i="9" s="1"/>
  <c r="BE77" i="9" s="1"/>
  <c r="AM64" i="7"/>
  <c r="AM61" i="7"/>
  <c r="AM65" i="7"/>
  <c r="AM63" i="7"/>
  <c r="AM60" i="7"/>
  <c r="AM59" i="7"/>
  <c r="AM62" i="7"/>
  <c r="AN57" i="7"/>
  <c r="AM58" i="7"/>
  <c r="AI187" i="9"/>
  <c r="AI188" i="9" s="1"/>
  <c r="AI77" i="9" s="1"/>
  <c r="I179" i="2"/>
  <c r="M21" i="1"/>
  <c r="M23" i="1" s="1"/>
  <c r="CY26" i="2"/>
  <c r="EH91" i="3"/>
  <c r="X195" i="9"/>
  <c r="X143" i="9" s="1"/>
  <c r="BU155" i="2"/>
  <c r="AF187" i="9"/>
  <c r="AF188" i="9" s="1"/>
  <c r="AF77" i="9" s="1"/>
  <c r="DI194" i="9"/>
  <c r="DQ26" i="2"/>
  <c r="AK195" i="9"/>
  <c r="AK143" i="9" s="1"/>
  <c r="S195" i="9"/>
  <c r="G8" i="6"/>
  <c r="G11" i="6" s="1"/>
  <c r="G24" i="3"/>
  <c r="G26" i="3" s="1"/>
  <c r="DU194" i="9"/>
  <c r="T195" i="9"/>
  <c r="T143" i="9" s="1"/>
  <c r="CL91" i="3"/>
  <c r="AR26" i="2"/>
  <c r="DT91" i="3"/>
  <c r="CV194" i="9"/>
  <c r="AJ26" i="2"/>
  <c r="BS91" i="3"/>
  <c r="AO186" i="9"/>
  <c r="AO76" i="9"/>
  <c r="S73" i="3"/>
  <c r="CR194" i="9"/>
  <c r="AK188" i="9"/>
  <c r="AK77" i="9" s="1"/>
  <c r="AM187" i="9"/>
  <c r="AM188" i="9" s="1"/>
  <c r="AM77" i="9" s="1"/>
  <c r="CO26" i="2"/>
  <c r="AK73" i="3"/>
  <c r="BL186" i="9"/>
  <c r="BL76" i="9"/>
  <c r="O73" i="3"/>
  <c r="BF188" i="9"/>
  <c r="BF77" i="9" s="1"/>
  <c r="BH187" i="9"/>
  <c r="BH188" i="9" s="1"/>
  <c r="BH77" i="9" s="1"/>
  <c r="AE73" i="3"/>
  <c r="CM26" i="2"/>
  <c r="BC73" i="3"/>
  <c r="R195" i="9"/>
  <c r="R143" i="9" s="1"/>
  <c r="CS91" i="3"/>
  <c r="BX194" i="9"/>
  <c r="L73" i="3"/>
  <c r="DG91" i="3"/>
  <c r="BD187" i="9"/>
  <c r="BD188" i="9" s="1"/>
  <c r="BD77" i="9" s="1"/>
  <c r="U73" i="3"/>
  <c r="DX91" i="3"/>
  <c r="AU194" i="9"/>
  <c r="DF26" i="2"/>
  <c r="AX175" i="9"/>
  <c r="X73" i="3"/>
  <c r="DU26" i="2"/>
  <c r="AZ73" i="3"/>
  <c r="BD194" i="9"/>
  <c r="DO194" i="9"/>
  <c r="I5" i="3"/>
  <c r="H4" i="3"/>
  <c r="H18" i="3"/>
  <c r="H15" i="3"/>
  <c r="H13" i="3"/>
  <c r="H10" i="3"/>
  <c r="H9" i="3"/>
  <c r="H8" i="3"/>
  <c r="CZ91" i="3"/>
  <c r="CC194" i="9"/>
  <c r="BJ194" i="9"/>
  <c r="CB194" i="9"/>
  <c r="CU194" i="9"/>
  <c r="CN194" i="9"/>
  <c r="CH194" i="9"/>
  <c r="CK91" i="3"/>
  <c r="H179" i="2"/>
  <c r="L21" i="1"/>
  <c r="L23" i="1" s="1"/>
  <c r="L25" i="1" s="1"/>
  <c r="BO73" i="3"/>
  <c r="DW91" i="3"/>
  <c r="G188" i="9"/>
  <c r="G77" i="9" s="1"/>
  <c r="I187" i="9"/>
  <c r="I188" i="9" s="1"/>
  <c r="I77" i="9" s="1"/>
  <c r="CA91" i="3"/>
  <c r="O188" i="9"/>
  <c r="O77" i="9" s="1"/>
  <c r="Q187" i="9"/>
  <c r="Q188" i="9" s="1"/>
  <c r="Q77" i="9" s="1"/>
  <c r="K73" i="3"/>
  <c r="EC91" i="3"/>
  <c r="DD91" i="3"/>
  <c r="CA26" i="2"/>
  <c r="AB73" i="3"/>
  <c r="CO91" i="3"/>
  <c r="F143" i="9"/>
  <c r="G61" i="6"/>
  <c r="X26" i="2"/>
  <c r="Y26" i="2"/>
  <c r="AI73" i="3"/>
  <c r="BJ187" i="9"/>
  <c r="BJ188" i="9" s="1"/>
  <c r="BJ77" i="9" s="1"/>
  <c r="K188" i="9"/>
  <c r="K77" i="9" s="1"/>
  <c r="M187" i="9"/>
  <c r="M188" i="9" s="1"/>
  <c r="M77" i="9" s="1"/>
  <c r="R73" i="3"/>
  <c r="AI195" i="9"/>
  <c r="AI143" i="9" s="1"/>
  <c r="DV194" i="9"/>
  <c r="AD73" i="3"/>
  <c r="BF73" i="3"/>
  <c r="CW194" i="9"/>
  <c r="AX73" i="3"/>
  <c r="Z188" i="9"/>
  <c r="Z77" i="9" s="1"/>
  <c r="AB187" i="9"/>
  <c r="DB26" i="2"/>
  <c r="BF194" i="9"/>
  <c r="BQ194" i="9"/>
  <c r="DK26" i="2"/>
  <c r="BG194" i="9"/>
  <c r="DM194" i="9"/>
  <c r="BE194" i="9"/>
  <c r="AQ26" i="2"/>
  <c r="CZ194" i="9"/>
  <c r="AM73" i="3"/>
  <c r="DA26" i="2"/>
  <c r="EE91" i="3"/>
  <c r="BN73" i="3"/>
  <c r="BK194" i="9"/>
  <c r="BM187" i="9"/>
  <c r="BM188" i="9" s="1"/>
  <c r="BM77" i="9" s="1"/>
  <c r="I73" i="3"/>
  <c r="H195" i="9"/>
  <c r="H143" i="9" s="1"/>
  <c r="EB26" i="2"/>
  <c r="G11" i="3"/>
  <c r="I195" i="9"/>
  <c r="I143" i="9" s="1"/>
  <c r="BG73" i="3"/>
  <c r="CM91" i="3"/>
  <c r="AH73" i="3"/>
  <c r="CV26" i="2"/>
  <c r="K195" i="9"/>
  <c r="K143" i="9" s="1"/>
  <c r="CC26" i="2"/>
  <c r="AG187" i="9"/>
  <c r="AG188" i="9" s="1"/>
  <c r="AG77" i="9" s="1"/>
  <c r="L6" i="6"/>
  <c r="AT187" i="9"/>
  <c r="AT188" i="9" s="1"/>
  <c r="AT77" i="9" s="1"/>
  <c r="AL187" i="9"/>
  <c r="AL188" i="9" s="1"/>
  <c r="AL77" i="9" s="1"/>
  <c r="IO59" i="2"/>
  <c r="DL194" i="9"/>
  <c r="AB186" i="9"/>
  <c r="AB76" i="9"/>
  <c r="V73" i="3"/>
  <c r="DV91" i="3"/>
  <c r="DQ194" i="9"/>
  <c r="DK194" i="9"/>
  <c r="BY91" i="3"/>
  <c r="DH91" i="3"/>
  <c r="BD73" i="3"/>
  <c r="AU73" i="3"/>
  <c r="CP91" i="3"/>
  <c r="DF194" i="9"/>
  <c r="CS194" i="9"/>
  <c r="DZ91" i="3"/>
  <c r="AD195" i="9"/>
  <c r="AD143" i="9" s="1"/>
  <c r="BC194" i="9"/>
  <c r="BQ91" i="3"/>
  <c r="N73" i="3"/>
  <c r="CE194" i="9"/>
  <c r="BK73" i="3"/>
  <c r="BV26" i="2"/>
  <c r="CR26" i="2"/>
  <c r="R187" i="9"/>
  <c r="R188" i="9" s="1"/>
  <c r="R77" i="9" s="1"/>
  <c r="DJ91" i="3"/>
  <c r="BR194" i="9"/>
  <c r="G64" i="3"/>
  <c r="G66" i="3" s="1"/>
  <c r="BB73" i="3"/>
  <c r="H123" i="9"/>
  <c r="H124" i="9"/>
  <c r="BD26" i="2"/>
  <c r="CY194" i="9"/>
  <c r="CO194" i="9"/>
  <c r="DC194" i="9"/>
  <c r="M202" i="2" l="1"/>
  <c r="AG202" i="2"/>
  <c r="AZ202" i="2"/>
  <c r="P202" i="2"/>
  <c r="GV59" i="2"/>
  <c r="FP59" i="2"/>
  <c r="GA59" i="2"/>
  <c r="AX75" i="3"/>
  <c r="AX79" i="3" s="1"/>
  <c r="AX87" i="3" s="1"/>
  <c r="BD202" i="2"/>
  <c r="BN202" i="2"/>
  <c r="BO202" i="2"/>
  <c r="FF59" i="2"/>
  <c r="AM202" i="2"/>
  <c r="U202" i="2"/>
  <c r="AC202" i="2"/>
  <c r="AJ202" i="2"/>
  <c r="FU59" i="2"/>
  <c r="BH202" i="2"/>
  <c r="AA202" i="2"/>
  <c r="BF202" i="2"/>
  <c r="AT202" i="2"/>
  <c r="AP202" i="2"/>
  <c r="AL202" i="2"/>
  <c r="BF75" i="3"/>
  <c r="BF79" i="3" s="1"/>
  <c r="BF87" i="3" s="1"/>
  <c r="O75" i="3"/>
  <c r="O79" i="3" s="1"/>
  <c r="O87" i="3" s="1"/>
  <c r="BE202" i="2"/>
  <c r="GM59" i="2"/>
  <c r="X202" i="2"/>
  <c r="S202" i="2"/>
  <c r="AN75" i="3"/>
  <c r="AN79" i="3" s="1"/>
  <c r="AN87" i="3" s="1"/>
  <c r="FR59" i="2"/>
  <c r="AI202" i="2"/>
  <c r="BJ202" i="2"/>
  <c r="FD59" i="2"/>
  <c r="T202" i="2"/>
  <c r="GK59" i="2"/>
  <c r="HC59" i="2"/>
  <c r="BD75" i="3"/>
  <c r="BD79" i="3" s="1"/>
  <c r="BD87" i="3" s="1"/>
  <c r="Y202" i="2"/>
  <c r="AD75" i="3"/>
  <c r="AD79" i="3" s="1"/>
  <c r="AD87" i="3" s="1"/>
  <c r="W202" i="2"/>
  <c r="AU202" i="2"/>
  <c r="N202" i="2"/>
  <c r="FL59" i="2"/>
  <c r="GZ59" i="2"/>
  <c r="M25" i="1"/>
  <c r="S75" i="3"/>
  <c r="S79" i="3" s="1"/>
  <c r="S87" i="3" s="1"/>
  <c r="AQ75" i="3"/>
  <c r="AQ79" i="3" s="1"/>
  <c r="AQ87" i="3" s="1"/>
  <c r="AO75" i="3"/>
  <c r="AO79" i="3" s="1"/>
  <c r="AO87" i="3" s="1"/>
  <c r="BH75" i="3"/>
  <c r="BH79" i="3" s="1"/>
  <c r="BH87" i="3" s="1"/>
  <c r="GW59" i="2"/>
  <c r="BK202" i="2"/>
  <c r="BR202" i="2"/>
  <c r="AG75" i="3"/>
  <c r="AG79" i="3" s="1"/>
  <c r="AG87" i="3" s="1"/>
  <c r="AW202" i="2"/>
  <c r="BM75" i="3"/>
  <c r="BM79" i="3" s="1"/>
  <c r="BM87" i="3" s="1"/>
  <c r="AX202" i="2"/>
  <c r="Q202" i="2"/>
  <c r="DV195" i="9"/>
  <c r="DV143" i="9" s="1"/>
  <c r="H37" i="3"/>
  <c r="AH75" i="3"/>
  <c r="AH79" i="3" s="1"/>
  <c r="AH87" i="3" s="1"/>
  <c r="AL75" i="3"/>
  <c r="AL79" i="3" s="1"/>
  <c r="AL87" i="3" s="1"/>
  <c r="O202" i="2"/>
  <c r="BB75" i="3"/>
  <c r="BB79" i="3" s="1"/>
  <c r="BB87" i="3" s="1"/>
  <c r="BI202" i="2"/>
  <c r="AY75" i="3"/>
  <c r="AY79" i="3" s="1"/>
  <c r="AY87" i="3" s="1"/>
  <c r="BQ202" i="2"/>
  <c r="DF195" i="9"/>
  <c r="DF143" i="9" s="1"/>
  <c r="AE75" i="3"/>
  <c r="AE79" i="3" s="1"/>
  <c r="AE87" i="3" s="1"/>
  <c r="AP75" i="3"/>
  <c r="AP79" i="3" s="1"/>
  <c r="AP87" i="3" s="1"/>
  <c r="FY59" i="2"/>
  <c r="AO202" i="2"/>
  <c r="BB202" i="2"/>
  <c r="AY202" i="2"/>
  <c r="AF75" i="3"/>
  <c r="AF79" i="3" s="1"/>
  <c r="AF87" i="3" s="1"/>
  <c r="AB75" i="3"/>
  <c r="AB79" i="3" s="1"/>
  <c r="AB87" i="3" s="1"/>
  <c r="AK75" i="3"/>
  <c r="AK79" i="3" s="1"/>
  <c r="AK87" i="3" s="1"/>
  <c r="AD202" i="2"/>
  <c r="BW195" i="9"/>
  <c r="BW143" i="9" s="1"/>
  <c r="E202" i="8"/>
  <c r="AS75" i="3"/>
  <c r="AS79" i="3" s="1"/>
  <c r="AS87" i="3" s="1"/>
  <c r="AT75" i="3"/>
  <c r="AT79" i="3" s="1"/>
  <c r="AT87" i="3" s="1"/>
  <c r="DH195" i="9"/>
  <c r="DH143" i="9" s="1"/>
  <c r="BT202" i="2"/>
  <c r="BL75" i="3"/>
  <c r="BL79" i="3" s="1"/>
  <c r="BL87" i="3" s="1"/>
  <c r="BK195" i="9"/>
  <c r="BK143" i="9" s="1"/>
  <c r="L75" i="3"/>
  <c r="L79" i="3" s="1"/>
  <c r="L87" i="3" s="1"/>
  <c r="BE75" i="3"/>
  <c r="BE79" i="3" s="1"/>
  <c r="BE87" i="3" s="1"/>
  <c r="BN75" i="3"/>
  <c r="BN79" i="3" s="1"/>
  <c r="BN87" i="3" s="1"/>
  <c r="CH195" i="9"/>
  <c r="CH143" i="9" s="1"/>
  <c r="BA195" i="9"/>
  <c r="BA143" i="9" s="1"/>
  <c r="T75" i="3"/>
  <c r="T79" i="3" s="1"/>
  <c r="T87" i="3" s="1"/>
  <c r="K75" i="3"/>
  <c r="K79" i="3" s="1"/>
  <c r="K87" i="3" s="1"/>
  <c r="BG202" i="2"/>
  <c r="GB59" i="2"/>
  <c r="AU75" i="3"/>
  <c r="AU79" i="3" s="1"/>
  <c r="AU87" i="3" s="1"/>
  <c r="X75" i="3"/>
  <c r="X79" i="3" s="1"/>
  <c r="X87" i="3" s="1"/>
  <c r="CK195" i="9"/>
  <c r="CK143" i="9" s="1"/>
  <c r="P75" i="3"/>
  <c r="P79" i="3" s="1"/>
  <c r="P87" i="3" s="1"/>
  <c r="BR195" i="9"/>
  <c r="BR143" i="9" s="1"/>
  <c r="U75" i="3"/>
  <c r="U79" i="3" s="1"/>
  <c r="U87" i="3" s="1"/>
  <c r="DU195" i="9"/>
  <c r="DU143" i="9" s="1"/>
  <c r="Z75" i="3"/>
  <c r="Z79" i="3" s="1"/>
  <c r="Z87" i="3" s="1"/>
  <c r="FB59" i="2"/>
  <c r="R202" i="2"/>
  <c r="BO75" i="3"/>
  <c r="BO79" i="3" s="1"/>
  <c r="BO87" i="3" s="1"/>
  <c r="BK75" i="3"/>
  <c r="BK79" i="3" s="1"/>
  <c r="BK87" i="3" s="1"/>
  <c r="DQ195" i="9"/>
  <c r="DQ143" i="9" s="1"/>
  <c r="R75" i="3"/>
  <c r="R79" i="3" s="1"/>
  <c r="R87" i="3" s="1"/>
  <c r="CV195" i="9"/>
  <c r="CV143" i="9" s="1"/>
  <c r="BI75" i="3"/>
  <c r="BI79" i="3" s="1"/>
  <c r="BI87" i="3" s="1"/>
  <c r="AZ75" i="3"/>
  <c r="AZ79" i="3" s="1"/>
  <c r="AZ87" i="3" s="1"/>
  <c r="GF59" i="2"/>
  <c r="AV202" i="2"/>
  <c r="W75" i="3"/>
  <c r="W79" i="3" s="1"/>
  <c r="W87" i="3" s="1"/>
  <c r="AC75" i="3"/>
  <c r="AC79" i="3" s="1"/>
  <c r="AC87" i="3" s="1"/>
  <c r="BZ195" i="9"/>
  <c r="BZ143" i="9" s="1"/>
  <c r="AX195" i="9"/>
  <c r="AX143" i="9" s="1"/>
  <c r="AR75" i="3"/>
  <c r="AR79" i="3" s="1"/>
  <c r="AR87" i="3" s="1"/>
  <c r="AA75" i="3"/>
  <c r="AA79" i="3" s="1"/>
  <c r="AA87" i="3" s="1"/>
  <c r="DS195" i="9"/>
  <c r="DS143" i="9" s="1"/>
  <c r="V75" i="3"/>
  <c r="V79" i="3" s="1"/>
  <c r="V87" i="3" s="1"/>
  <c r="H64" i="3"/>
  <c r="H66" i="3" s="1"/>
  <c r="AW75" i="3"/>
  <c r="AW79" i="3" s="1"/>
  <c r="AW87" i="3" s="1"/>
  <c r="BP75" i="3"/>
  <c r="BP79" i="3" s="1"/>
  <c r="BP87" i="3" s="1"/>
  <c r="Y75" i="3"/>
  <c r="Y79" i="3" s="1"/>
  <c r="Y87" i="3" s="1"/>
  <c r="FX59" i="2"/>
  <c r="AN202" i="2"/>
  <c r="BU195" i="9"/>
  <c r="BU143" i="9" s="1"/>
  <c r="I75" i="3"/>
  <c r="I79" i="3" s="1"/>
  <c r="I87" i="3" s="1"/>
  <c r="H73" i="3"/>
  <c r="CR195" i="9"/>
  <c r="CR143" i="9" s="1"/>
  <c r="BG195" i="9"/>
  <c r="BG143" i="9" s="1"/>
  <c r="AU195" i="9"/>
  <c r="AU143" i="9" s="1"/>
  <c r="Q75" i="3"/>
  <c r="Q79" i="3" s="1"/>
  <c r="Q87" i="3" s="1"/>
  <c r="BB195" i="9"/>
  <c r="BB143" i="9" s="1"/>
  <c r="N75" i="3"/>
  <c r="N79" i="3" s="1"/>
  <c r="N87" i="3" s="1"/>
  <c r="BC75" i="3"/>
  <c r="BC79" i="3" s="1"/>
  <c r="BC87" i="3" s="1"/>
  <c r="DD195" i="9"/>
  <c r="DD143" i="9" s="1"/>
  <c r="CC195" i="9"/>
  <c r="CC143" i="9" s="1"/>
  <c r="G75" i="3"/>
  <c r="G79" i="3" s="1"/>
  <c r="G87" i="3" s="1"/>
  <c r="AV75" i="3"/>
  <c r="AV79" i="3" s="1"/>
  <c r="AV87" i="3" s="1"/>
  <c r="CA195" i="9"/>
  <c r="CA143" i="9" s="1"/>
  <c r="CM195" i="9"/>
  <c r="CM143" i="9" s="1"/>
  <c r="AZ195" i="9"/>
  <c r="AZ143" i="9" s="1"/>
  <c r="BS195" i="9"/>
  <c r="BS143" i="9" s="1"/>
  <c r="BA75" i="3"/>
  <c r="BA79" i="3" s="1"/>
  <c r="BA87" i="3" s="1"/>
  <c r="AI75" i="3"/>
  <c r="AI79" i="3" s="1"/>
  <c r="AI87" i="3" s="1"/>
  <c r="CG195" i="9"/>
  <c r="CG143" i="9" s="1"/>
  <c r="DE195" i="9"/>
  <c r="DE143" i="9" s="1"/>
  <c r="BP195" i="9"/>
  <c r="BP143" i="9" s="1"/>
  <c r="BN195" i="9"/>
  <c r="BN143" i="9" s="1"/>
  <c r="AJ75" i="3"/>
  <c r="AJ79" i="3" s="1"/>
  <c r="AJ87" i="3" s="1"/>
  <c r="DC195" i="9"/>
  <c r="DC143" i="9" s="1"/>
  <c r="BG75" i="3"/>
  <c r="BG79" i="3" s="1"/>
  <c r="BG87" i="3" s="1"/>
  <c r="CW195" i="9"/>
  <c r="CW143" i="9" s="1"/>
  <c r="H11" i="3"/>
  <c r="DT195" i="9"/>
  <c r="DT143" i="9" s="1"/>
  <c r="J75" i="3"/>
  <c r="J79" i="3" s="1"/>
  <c r="J87" i="3" s="1"/>
  <c r="BJ75" i="3"/>
  <c r="BJ79" i="3" s="1"/>
  <c r="BJ87" i="3" s="1"/>
  <c r="BD195" i="9"/>
  <c r="BD143" i="9" s="1"/>
  <c r="BI195" i="9"/>
  <c r="BI143" i="9" s="1"/>
  <c r="BL195" i="9"/>
  <c r="BL143" i="9" s="1"/>
  <c r="CO195" i="9"/>
  <c r="CO143" i="9" s="1"/>
  <c r="CY195" i="9"/>
  <c r="CY143" i="9" s="1"/>
  <c r="AM75" i="3"/>
  <c r="AM79" i="3" s="1"/>
  <c r="AM87" i="3" s="1"/>
  <c r="CZ195" i="9"/>
  <c r="CZ143" i="9" s="1"/>
  <c r="DK195" i="9"/>
  <c r="DK143" i="9" s="1"/>
  <c r="DO195" i="9"/>
  <c r="DO143" i="9" s="1"/>
  <c r="BF195" i="9"/>
  <c r="BF143" i="9" s="1"/>
  <c r="AW195" i="9"/>
  <c r="AW143" i="9" s="1"/>
  <c r="AR195" i="9"/>
  <c r="AR143" i="9" s="1"/>
  <c r="M75" i="3"/>
  <c r="M79" i="3" s="1"/>
  <c r="M87" i="3" s="1"/>
  <c r="AK175" i="9"/>
  <c r="AL175" i="9"/>
  <c r="AZ175" i="9"/>
  <c r="G175" i="9"/>
  <c r="BB175" i="9"/>
  <c r="BK175" i="9"/>
  <c r="AE77" i="9"/>
  <c r="Z175" i="9"/>
  <c r="BF175" i="9"/>
  <c r="BI175" i="9"/>
  <c r="AI175" i="9"/>
  <c r="BJ175" i="9"/>
  <c r="AG175" i="9"/>
  <c r="CD195" i="9"/>
  <c r="CD143" i="9" s="1"/>
  <c r="AR175" i="9"/>
  <c r="DM195" i="9"/>
  <c r="DM143" i="9" s="1"/>
  <c r="AM66" i="7"/>
  <c r="CT195" i="9"/>
  <c r="CT143" i="9" s="1"/>
  <c r="W175" i="9"/>
  <c r="DA195" i="9"/>
  <c r="DA143" i="9" s="1"/>
  <c r="AA175" i="9"/>
  <c r="CE195" i="9"/>
  <c r="CE143" i="9" s="1"/>
  <c r="AB188" i="9"/>
  <c r="AB77" i="9" s="1"/>
  <c r="AD187" i="9"/>
  <c r="AD188" i="9" s="1"/>
  <c r="AD77" i="9" s="1"/>
  <c r="BX195" i="9"/>
  <c r="BX143" i="9" s="1"/>
  <c r="AN64" i="7"/>
  <c r="AN61" i="7"/>
  <c r="AN58" i="7"/>
  <c r="AN59" i="7"/>
  <c r="AN62" i="7"/>
  <c r="AN65" i="7"/>
  <c r="AN63" i="7"/>
  <c r="AO57" i="7"/>
  <c r="AN60" i="7"/>
  <c r="AS195" i="9"/>
  <c r="AS143" i="9" s="1"/>
  <c r="DN195" i="9"/>
  <c r="DN143" i="9" s="1"/>
  <c r="H89" i="4" a="1"/>
  <c r="H89" i="4" s="1"/>
  <c r="H90" i="4"/>
  <c r="K6" i="4" s="1"/>
  <c r="K5" i="4"/>
  <c r="K7" i="4" s="1"/>
  <c r="H88" i="4"/>
  <c r="K8" i="4" s="1"/>
  <c r="I87" i="4"/>
  <c r="AC175" i="9"/>
  <c r="U77" i="9"/>
  <c r="CI195" i="9"/>
  <c r="CI143" i="9" s="1"/>
  <c r="DP195" i="9"/>
  <c r="DP143" i="9" s="1"/>
  <c r="H128" i="9"/>
  <c r="BE195" i="9"/>
  <c r="BE143" i="9" s="1"/>
  <c r="CU195" i="9"/>
  <c r="CU143" i="9" s="1"/>
  <c r="H24" i="3"/>
  <c r="H26" i="3" s="1"/>
  <c r="H188" i="9"/>
  <c r="H77" i="9" s="1"/>
  <c r="J187" i="9"/>
  <c r="J188" i="9" s="1"/>
  <c r="J77" i="9" s="1"/>
  <c r="J7" i="4"/>
  <c r="BQ175" i="9"/>
  <c r="AH188" i="9"/>
  <c r="AH77" i="9" s="1"/>
  <c r="AJ187" i="9"/>
  <c r="AJ188" i="9" s="1"/>
  <c r="AJ77" i="9" s="1"/>
  <c r="AH143" i="9"/>
  <c r="J61" i="6"/>
  <c r="I30" i="3"/>
  <c r="I17" i="6" s="1"/>
  <c r="I29" i="3"/>
  <c r="I16" i="6" s="1"/>
  <c r="I25" i="3"/>
  <c r="I13" i="6" s="1"/>
  <c r="I23" i="3"/>
  <c r="I10" i="6" s="1"/>
  <c r="I22" i="3"/>
  <c r="I9" i="6" s="1"/>
  <c r="I21" i="3"/>
  <c r="I8" i="6" s="1"/>
  <c r="J5" i="3"/>
  <c r="I4" i="3"/>
  <c r="I18" i="3"/>
  <c r="I15" i="3"/>
  <c r="I13" i="3"/>
  <c r="I10" i="3"/>
  <c r="I9" i="3"/>
  <c r="I8" i="3"/>
  <c r="I37" i="3"/>
  <c r="I32" i="3"/>
  <c r="I19" i="6" s="1"/>
  <c r="I31" i="3"/>
  <c r="I18" i="6" s="1"/>
  <c r="DL195" i="9"/>
  <c r="DL143" i="9" s="1"/>
  <c r="EW75" i="2"/>
  <c r="L175" i="9"/>
  <c r="H197" i="9"/>
  <c r="H196" i="9"/>
  <c r="H154" i="9"/>
  <c r="H130" i="9"/>
  <c r="Q175" i="9"/>
  <c r="G88" i="4"/>
  <c r="J8" i="4" s="1"/>
  <c r="BQ195" i="9"/>
  <c r="BQ143" i="9" s="1"/>
  <c r="O175" i="9"/>
  <c r="CN195" i="9"/>
  <c r="CN143" i="9" s="1"/>
  <c r="AO188" i="9"/>
  <c r="AO77" i="9" s="1"/>
  <c r="AQ187" i="9"/>
  <c r="AQ188" i="9" s="1"/>
  <c r="AF175" i="9"/>
  <c r="BP187" i="9"/>
  <c r="BP188" i="9" s="1"/>
  <c r="BP77" i="9" s="1"/>
  <c r="BY195" i="9"/>
  <c r="BY143" i="9" s="1"/>
  <c r="J73" i="9"/>
  <c r="BC175" i="9"/>
  <c r="F175" i="9"/>
  <c r="F79" i="9"/>
  <c r="BO195" i="9"/>
  <c r="BO143" i="9" s="1"/>
  <c r="C378" i="10"/>
  <c r="E378" i="10" s="1"/>
  <c r="B24" i="9"/>
  <c r="K291" i="2"/>
  <c r="G292" i="2" s="1"/>
  <c r="C291" i="2" s="1"/>
  <c r="G134" i="2"/>
  <c r="G136" i="2"/>
  <c r="C130" i="2" a="1"/>
  <c r="C130" i="2" s="1"/>
  <c r="G138" i="2"/>
  <c r="I140" i="2"/>
  <c r="C379" i="10" s="1"/>
  <c r="E379" i="10" s="1"/>
  <c r="G137" i="2"/>
  <c r="H61" i="6"/>
  <c r="BH195" i="9"/>
  <c r="BH143" i="9" s="1"/>
  <c r="CJ195" i="9"/>
  <c r="CJ143" i="9" s="1"/>
  <c r="CL195" i="9"/>
  <c r="CL143" i="9" s="1"/>
  <c r="D56" i="8"/>
  <c r="D42" i="8"/>
  <c r="M6" i="6"/>
  <c r="R175" i="9"/>
  <c r="DI195" i="9"/>
  <c r="DI143" i="9" s="1"/>
  <c r="BO175" i="9"/>
  <c r="CB195" i="9"/>
  <c r="CB143" i="9" s="1"/>
  <c r="H29" i="3"/>
  <c r="BC195" i="9"/>
  <c r="BC143" i="9" s="1"/>
  <c r="M175" i="9"/>
  <c r="I175" i="9"/>
  <c r="AY195" i="9"/>
  <c r="AY143" i="9" s="1"/>
  <c r="DJ195" i="9"/>
  <c r="DJ143" i="9" s="1"/>
  <c r="BM195" i="9"/>
  <c r="BM143" i="9" s="1"/>
  <c r="G16" i="6"/>
  <c r="G33" i="3"/>
  <c r="G20" i="6" s="1"/>
  <c r="HE59" i="2"/>
  <c r="BU202" i="2"/>
  <c r="BJ195" i="9"/>
  <c r="BJ143" i="9" s="1"/>
  <c r="AT195" i="9"/>
  <c r="AT143" i="9" s="1"/>
  <c r="AV195" i="9"/>
  <c r="AV143" i="9" s="1"/>
  <c r="AN175" i="9"/>
  <c r="CQ195" i="9"/>
  <c r="CQ143" i="9" s="1"/>
  <c r="N188" i="9"/>
  <c r="N77" i="9" s="1"/>
  <c r="P187" i="9"/>
  <c r="P188" i="9" s="1"/>
  <c r="P77" i="9" s="1"/>
  <c r="H11" i="6"/>
  <c r="D166" i="8" s="1"/>
  <c r="D167" i="8"/>
  <c r="G167" i="8" s="1"/>
  <c r="BH175" i="9"/>
  <c r="H215" i="2"/>
  <c r="H190" i="2"/>
  <c r="H185" i="2"/>
  <c r="O166" i="2"/>
  <c r="V166" i="2" s="1"/>
  <c r="W4" i="5"/>
  <c r="AT175" i="9"/>
  <c r="BM175" i="9"/>
  <c r="BD175" i="9"/>
  <c r="AM175" i="9"/>
  <c r="G14" i="6"/>
  <c r="AY188" i="9"/>
  <c r="AY77" i="9" s="1"/>
  <c r="BA187" i="9"/>
  <c r="BA188" i="9" s="1"/>
  <c r="BA77" i="9" s="1"/>
  <c r="CP195" i="9"/>
  <c r="CP143" i="9" s="1"/>
  <c r="CF195" i="9"/>
  <c r="CF143" i="9" s="1"/>
  <c r="DR195" i="9"/>
  <c r="DR143" i="9" s="1"/>
  <c r="BL188" i="9"/>
  <c r="BL77" i="9" s="1"/>
  <c r="BN187" i="9"/>
  <c r="BN188" i="9" s="1"/>
  <c r="BN77" i="9" s="1"/>
  <c r="S143" i="9"/>
  <c r="I61" i="6"/>
  <c r="CS195" i="9"/>
  <c r="CS143" i="9" s="1"/>
  <c r="K175" i="9"/>
  <c r="I215" i="2"/>
  <c r="I190" i="2"/>
  <c r="I191" i="2" s="1"/>
  <c r="I185" i="2"/>
  <c r="P166" i="2"/>
  <c r="W166" i="2" s="1"/>
  <c r="BE175" i="9"/>
  <c r="BT195" i="9"/>
  <c r="BT143" i="9" s="1"/>
  <c r="DG195" i="9"/>
  <c r="DG143" i="9" s="1"/>
  <c r="CX195" i="9"/>
  <c r="CX143" i="9" s="1"/>
  <c r="BV195" i="9"/>
  <c r="BV143" i="9" s="1"/>
  <c r="DB195" i="9"/>
  <c r="DB143" i="9" s="1"/>
  <c r="I202" i="2" l="1"/>
  <c r="J68" i="6"/>
  <c r="EU59" i="2"/>
  <c r="EU72" i="2" s="1"/>
  <c r="EV72" i="2" s="1"/>
  <c r="EW72" i="2" s="1"/>
  <c r="EX72" i="2" s="1"/>
  <c r="EY72" i="2" s="1"/>
  <c r="EZ72" i="2" s="1"/>
  <c r="FA72" i="2" s="1"/>
  <c r="FB72" i="2" s="1"/>
  <c r="FC72" i="2" s="1"/>
  <c r="FD72" i="2" s="1"/>
  <c r="FE72" i="2" s="1"/>
  <c r="FF72" i="2" s="1"/>
  <c r="FG72" i="2" s="1"/>
  <c r="FH72" i="2" s="1"/>
  <c r="FI72" i="2" s="1"/>
  <c r="FJ72" i="2" s="1"/>
  <c r="FK72" i="2" s="1"/>
  <c r="FL72" i="2" s="1"/>
  <c r="FM72" i="2" s="1"/>
  <c r="FN72" i="2" s="1"/>
  <c r="FO72" i="2" s="1"/>
  <c r="FP72" i="2" s="1"/>
  <c r="FQ72" i="2" s="1"/>
  <c r="FR72" i="2" s="1"/>
  <c r="FS72" i="2" s="1"/>
  <c r="FT72" i="2" s="1"/>
  <c r="FU72" i="2" s="1"/>
  <c r="FV72" i="2" s="1"/>
  <c r="FW72" i="2" s="1"/>
  <c r="FX72" i="2" s="1"/>
  <c r="FY72" i="2" s="1"/>
  <c r="FZ72" i="2" s="1"/>
  <c r="GA72" i="2" s="1"/>
  <c r="GB72" i="2" s="1"/>
  <c r="GC72" i="2" s="1"/>
  <c r="GD72" i="2" s="1"/>
  <c r="GE72" i="2" s="1"/>
  <c r="GF72" i="2" s="1"/>
  <c r="GG72" i="2" s="1"/>
  <c r="GH72" i="2" s="1"/>
  <c r="GI72" i="2" s="1"/>
  <c r="GJ72" i="2" s="1"/>
  <c r="GK72" i="2" s="1"/>
  <c r="GL72" i="2" s="1"/>
  <c r="GM72" i="2" s="1"/>
  <c r="GN72" i="2" s="1"/>
  <c r="GO72" i="2" s="1"/>
  <c r="GP72" i="2" s="1"/>
  <c r="GQ72" i="2" s="1"/>
  <c r="GR72" i="2" s="1"/>
  <c r="GS72" i="2" s="1"/>
  <c r="GT72" i="2" s="1"/>
  <c r="GU72" i="2" s="1"/>
  <c r="GV72" i="2" s="1"/>
  <c r="GW72" i="2" s="1"/>
  <c r="GX72" i="2" s="1"/>
  <c r="GY72" i="2" s="1"/>
  <c r="GZ72" i="2" s="1"/>
  <c r="HA72" i="2" s="1"/>
  <c r="HB72" i="2" s="1"/>
  <c r="HC72" i="2" s="1"/>
  <c r="HD72" i="2" s="1"/>
  <c r="HE72" i="2" s="1"/>
  <c r="HF72" i="2" s="1"/>
  <c r="HG72" i="2" s="1"/>
  <c r="HH72" i="2" s="1"/>
  <c r="HI72" i="2" s="1"/>
  <c r="HJ72" i="2" s="1"/>
  <c r="HK72" i="2" s="1"/>
  <c r="HL72" i="2" s="1"/>
  <c r="HM72" i="2" s="1"/>
  <c r="HN72" i="2" s="1"/>
  <c r="HO72" i="2" s="1"/>
  <c r="HP72" i="2" s="1"/>
  <c r="HQ72" i="2" s="1"/>
  <c r="HR72" i="2" s="1"/>
  <c r="HS72" i="2" s="1"/>
  <c r="HT72" i="2" s="1"/>
  <c r="HU72" i="2" s="1"/>
  <c r="HV72" i="2" s="1"/>
  <c r="HW72" i="2" s="1"/>
  <c r="HX72" i="2" s="1"/>
  <c r="HY72" i="2" s="1"/>
  <c r="HZ72" i="2" s="1"/>
  <c r="IA72" i="2" s="1"/>
  <c r="IB72" i="2" s="1"/>
  <c r="IC72" i="2" s="1"/>
  <c r="ID72" i="2" s="1"/>
  <c r="IE72" i="2" s="1"/>
  <c r="IF72" i="2" s="1"/>
  <c r="IG72" i="2" s="1"/>
  <c r="IH72" i="2" s="1"/>
  <c r="II72" i="2" s="1"/>
  <c r="IJ72" i="2" s="1"/>
  <c r="IK72" i="2" s="1"/>
  <c r="IL72" i="2" s="1"/>
  <c r="IM72" i="2" s="1"/>
  <c r="IN72" i="2" s="1"/>
  <c r="IO72" i="2" s="1"/>
  <c r="IP72" i="2" s="1"/>
  <c r="IQ72" i="2" s="1"/>
  <c r="IR72" i="2" s="1"/>
  <c r="IS72" i="2" s="1"/>
  <c r="IT72" i="2" s="1"/>
  <c r="IU72" i="2" s="1"/>
  <c r="IV72" i="2" s="1"/>
  <c r="IW72" i="2" s="1"/>
  <c r="IX72" i="2" s="1"/>
  <c r="IY72" i="2" s="1"/>
  <c r="IZ72" i="2" s="1"/>
  <c r="JA72" i="2" s="1"/>
  <c r="JB72" i="2" s="1"/>
  <c r="JC72" i="2" s="1"/>
  <c r="JD72" i="2" s="1"/>
  <c r="JE72" i="2" s="1"/>
  <c r="JF72" i="2" s="1"/>
  <c r="JG72" i="2" s="1"/>
  <c r="JH72" i="2" s="1"/>
  <c r="JI72" i="2" s="1"/>
  <c r="JJ72" i="2" s="1"/>
  <c r="JK72" i="2" s="1"/>
  <c r="JL72" i="2" s="1"/>
  <c r="JM72" i="2" s="1"/>
  <c r="JN72" i="2" s="1"/>
  <c r="JO72" i="2" s="1"/>
  <c r="JP72" i="2" s="1"/>
  <c r="JQ72" i="2" s="1"/>
  <c r="JR72" i="2" s="1"/>
  <c r="JS72" i="2" s="1"/>
  <c r="JT72" i="2" s="1"/>
  <c r="JU72" i="2" s="1"/>
  <c r="JV72" i="2" s="1"/>
  <c r="JW72" i="2" s="1"/>
  <c r="JX72" i="2" s="1"/>
  <c r="I68" i="6"/>
  <c r="H75" i="3"/>
  <c r="H79" i="3" s="1"/>
  <c r="H87" i="3" s="1"/>
  <c r="AN66" i="7"/>
  <c r="I11" i="3"/>
  <c r="K61" i="6"/>
  <c r="AH175" i="9"/>
  <c r="AO175" i="9"/>
  <c r="H175" i="9"/>
  <c r="AB175" i="9"/>
  <c r="I116" i="9"/>
  <c r="H135" i="9"/>
  <c r="I217" i="2"/>
  <c r="S28" i="1"/>
  <c r="H16" i="6"/>
  <c r="H33" i="3"/>
  <c r="H20" i="6" s="1"/>
  <c r="DN102" i="9"/>
  <c r="DB102" i="9"/>
  <c r="CP102" i="9"/>
  <c r="CD102" i="9"/>
  <c r="BR102" i="9"/>
  <c r="BF102" i="9"/>
  <c r="AT102" i="9"/>
  <c r="AH102" i="9"/>
  <c r="V102" i="9"/>
  <c r="J102" i="9"/>
  <c r="DL102" i="9"/>
  <c r="CZ102" i="9"/>
  <c r="CN102" i="9"/>
  <c r="CB102" i="9"/>
  <c r="BP102" i="9"/>
  <c r="BD102" i="9"/>
  <c r="AR102" i="9"/>
  <c r="AF102" i="9"/>
  <c r="T102" i="9"/>
  <c r="H102" i="9"/>
  <c r="DV102" i="9"/>
  <c r="DJ102" i="9"/>
  <c r="CX102" i="9"/>
  <c r="CL102" i="9"/>
  <c r="BZ102" i="9"/>
  <c r="BN102" i="9"/>
  <c r="BB102" i="9"/>
  <c r="AP102" i="9"/>
  <c r="AD102" i="9"/>
  <c r="R102" i="9"/>
  <c r="F102" i="9"/>
  <c r="F109" i="9"/>
  <c r="F145" i="9" s="1"/>
  <c r="DR102" i="9"/>
  <c r="DC102" i="9"/>
  <c r="CK102" i="9"/>
  <c r="BV102" i="9"/>
  <c r="BG102" i="9"/>
  <c r="AO102" i="9"/>
  <c r="Z102" i="9"/>
  <c r="K102" i="9"/>
  <c r="DQ102" i="9"/>
  <c r="DA102" i="9"/>
  <c r="CJ102" i="9"/>
  <c r="BU102" i="9"/>
  <c r="BE102" i="9"/>
  <c r="AN102" i="9"/>
  <c r="Y102" i="9"/>
  <c r="I102" i="9"/>
  <c r="DP102" i="9"/>
  <c r="CY102" i="9"/>
  <c r="CI102" i="9"/>
  <c r="BT102" i="9"/>
  <c r="BC102" i="9"/>
  <c r="AM102" i="9"/>
  <c r="X102" i="9"/>
  <c r="G102" i="9"/>
  <c r="DO102" i="9"/>
  <c r="CW102" i="9"/>
  <c r="CH102" i="9"/>
  <c r="BS102" i="9"/>
  <c r="BA102" i="9"/>
  <c r="AL102" i="9"/>
  <c r="W102" i="9"/>
  <c r="DI102" i="9"/>
  <c r="CT102" i="9"/>
  <c r="CE102" i="9"/>
  <c r="BM102" i="9"/>
  <c r="AX102" i="9"/>
  <c r="AI102" i="9"/>
  <c r="Q102" i="9"/>
  <c r="DH102" i="9"/>
  <c r="CS102" i="9"/>
  <c r="CC102" i="9"/>
  <c r="BL102" i="9"/>
  <c r="AW102" i="9"/>
  <c r="AG102" i="9"/>
  <c r="P102" i="9"/>
  <c r="CU102" i="9"/>
  <c r="BO102" i="9"/>
  <c r="AJ102" i="9"/>
  <c r="CR102" i="9"/>
  <c r="BK102" i="9"/>
  <c r="AE102" i="9"/>
  <c r="DU102" i="9"/>
  <c r="CQ102" i="9"/>
  <c r="BJ102" i="9"/>
  <c r="AC102" i="9"/>
  <c r="DT102" i="9"/>
  <c r="CO102" i="9"/>
  <c r="BI102" i="9"/>
  <c r="AB102" i="9"/>
  <c r="DK102" i="9"/>
  <c r="CF102" i="9"/>
  <c r="AY102" i="9"/>
  <c r="S102" i="9"/>
  <c r="DF102" i="9"/>
  <c r="BY102" i="9"/>
  <c r="AU102" i="9"/>
  <c r="N102" i="9"/>
  <c r="DG102" i="9"/>
  <c r="AV102" i="9"/>
  <c r="DE102" i="9"/>
  <c r="AS102" i="9"/>
  <c r="DD102" i="9"/>
  <c r="AQ102" i="9"/>
  <c r="CV102" i="9"/>
  <c r="AK102" i="9"/>
  <c r="CM102" i="9"/>
  <c r="AA102" i="9"/>
  <c r="CA102" i="9"/>
  <c r="O102" i="9"/>
  <c r="BW102" i="9"/>
  <c r="L102" i="9"/>
  <c r="DS102" i="9"/>
  <c r="DM102" i="9"/>
  <c r="CG102" i="9"/>
  <c r="BX102" i="9"/>
  <c r="BH102" i="9"/>
  <c r="AZ102" i="9"/>
  <c r="BQ102" i="9"/>
  <c r="U102" i="9"/>
  <c r="M102" i="9"/>
  <c r="I24" i="3"/>
  <c r="I26" i="3" s="1"/>
  <c r="M38" i="6"/>
  <c r="M39" i="6" s="1"/>
  <c r="M68" i="6"/>
  <c r="N6" i="6"/>
  <c r="M61" i="6"/>
  <c r="L68" i="6"/>
  <c r="E203" i="8"/>
  <c r="AQ77" i="9"/>
  <c r="K68" i="6"/>
  <c r="I33" i="3"/>
  <c r="I20" i="6" s="1"/>
  <c r="U175" i="9"/>
  <c r="J93" i="9"/>
  <c r="J175" i="9"/>
  <c r="I192" i="2"/>
  <c r="E188" i="2"/>
  <c r="M27" i="1"/>
  <c r="G166" i="8"/>
  <c r="C7" i="7"/>
  <c r="H191" i="2"/>
  <c r="AD175" i="9"/>
  <c r="H136" i="9"/>
  <c r="O162" i="2"/>
  <c r="C380" i="10"/>
  <c r="E380" i="10" s="1"/>
  <c r="C159" i="10"/>
  <c r="C491" i="10"/>
  <c r="I155" i="2"/>
  <c r="C140" i="2" a="1"/>
  <c r="C140" i="2" s="1"/>
  <c r="G152" i="2"/>
  <c r="G151" i="2"/>
  <c r="G24" i="1"/>
  <c r="CR136" i="7"/>
  <c r="AO64" i="7"/>
  <c r="AO61" i="7"/>
  <c r="AO58" i="7"/>
  <c r="AO65" i="7"/>
  <c r="AO60" i="7"/>
  <c r="AO62" i="7"/>
  <c r="AO59" i="7"/>
  <c r="AP57" i="7"/>
  <c r="AO63" i="7"/>
  <c r="BN175" i="9"/>
  <c r="P175" i="9"/>
  <c r="AJ175" i="9"/>
  <c r="H14" i="6"/>
  <c r="P162" i="2"/>
  <c r="BA175" i="9"/>
  <c r="N175" i="9"/>
  <c r="J29" i="3"/>
  <c r="J16" i="6" s="1"/>
  <c r="J25" i="3"/>
  <c r="J13" i="6" s="1"/>
  <c r="J23" i="3"/>
  <c r="J10" i="6" s="1"/>
  <c r="J22" i="3"/>
  <c r="J9" i="6" s="1"/>
  <c r="J21" i="3"/>
  <c r="J8" i="6" s="1"/>
  <c r="K5" i="3"/>
  <c r="J4" i="3"/>
  <c r="J18" i="3"/>
  <c r="J15" i="3"/>
  <c r="J13" i="3"/>
  <c r="J10" i="3"/>
  <c r="J9" i="3"/>
  <c r="J8" i="3"/>
  <c r="J31" i="3"/>
  <c r="J18" i="6" s="1"/>
  <c r="J37" i="3"/>
  <c r="J32" i="3"/>
  <c r="J19" i="6" s="1"/>
  <c r="J30" i="3"/>
  <c r="J17" i="6" s="1"/>
  <c r="X4" i="5"/>
  <c r="L61" i="6"/>
  <c r="EX75" i="2"/>
  <c r="EY75" i="2" s="1"/>
  <c r="EZ75" i="2" s="1"/>
  <c r="FA75" i="2" s="1"/>
  <c r="FB75" i="2" s="1"/>
  <c r="FC75" i="2" s="1"/>
  <c r="FD75" i="2" s="1"/>
  <c r="FE75" i="2" s="1"/>
  <c r="FF75" i="2" s="1"/>
  <c r="FG75" i="2" s="1"/>
  <c r="FH75" i="2" s="1"/>
  <c r="FI75" i="2" s="1"/>
  <c r="FJ75" i="2" s="1"/>
  <c r="FK75" i="2" s="1"/>
  <c r="FL75" i="2" s="1"/>
  <c r="FM75" i="2" s="1"/>
  <c r="FN75" i="2" s="1"/>
  <c r="FO75" i="2" s="1"/>
  <c r="FP75" i="2" s="1"/>
  <c r="FQ75" i="2" s="1"/>
  <c r="FR75" i="2" s="1"/>
  <c r="FS75" i="2" s="1"/>
  <c r="FT75" i="2" s="1"/>
  <c r="FU75" i="2" s="1"/>
  <c r="FV75" i="2" s="1"/>
  <c r="FW75" i="2" s="1"/>
  <c r="FX75" i="2" s="1"/>
  <c r="FY75" i="2" s="1"/>
  <c r="FZ75" i="2" s="1"/>
  <c r="GA75" i="2" s="1"/>
  <c r="GB75" i="2" s="1"/>
  <c r="GC75" i="2" s="1"/>
  <c r="GD75" i="2" s="1"/>
  <c r="GE75" i="2" s="1"/>
  <c r="GF75" i="2" s="1"/>
  <c r="GG75" i="2" s="1"/>
  <c r="GH75" i="2" s="1"/>
  <c r="GI75" i="2" s="1"/>
  <c r="GJ75" i="2" s="1"/>
  <c r="GK75" i="2" s="1"/>
  <c r="GL75" i="2" s="1"/>
  <c r="GM75" i="2" s="1"/>
  <c r="GN75" i="2" s="1"/>
  <c r="GO75" i="2" s="1"/>
  <c r="GP75" i="2" s="1"/>
  <c r="GQ75" i="2" s="1"/>
  <c r="GR75" i="2" s="1"/>
  <c r="GS75" i="2" s="1"/>
  <c r="GT75" i="2" s="1"/>
  <c r="GU75" i="2" s="1"/>
  <c r="GV75" i="2" s="1"/>
  <c r="GW75" i="2" s="1"/>
  <c r="GX75" i="2" s="1"/>
  <c r="GY75" i="2" s="1"/>
  <c r="GZ75" i="2" s="1"/>
  <c r="HA75" i="2" s="1"/>
  <c r="HB75" i="2" s="1"/>
  <c r="HC75" i="2" s="1"/>
  <c r="HD75" i="2" s="1"/>
  <c r="HE75" i="2" s="1"/>
  <c r="HF75" i="2" s="1"/>
  <c r="HG75" i="2" s="1"/>
  <c r="HH75" i="2" s="1"/>
  <c r="HI75" i="2" s="1"/>
  <c r="HJ75" i="2" s="1"/>
  <c r="HK75" i="2" s="1"/>
  <c r="HL75" i="2" s="1"/>
  <c r="HM75" i="2" s="1"/>
  <c r="HN75" i="2" s="1"/>
  <c r="HO75" i="2" s="1"/>
  <c r="HP75" i="2" s="1"/>
  <c r="HQ75" i="2" s="1"/>
  <c r="HR75" i="2" s="1"/>
  <c r="HS75" i="2" s="1"/>
  <c r="HT75" i="2" s="1"/>
  <c r="HU75" i="2" s="1"/>
  <c r="HV75" i="2" s="1"/>
  <c r="HW75" i="2" s="1"/>
  <c r="HX75" i="2" s="1"/>
  <c r="HY75" i="2" s="1"/>
  <c r="HZ75" i="2" s="1"/>
  <c r="IA75" i="2" s="1"/>
  <c r="IB75" i="2" s="1"/>
  <c r="IC75" i="2" s="1"/>
  <c r="ID75" i="2" s="1"/>
  <c r="IE75" i="2" s="1"/>
  <c r="IF75" i="2" s="1"/>
  <c r="IG75" i="2" s="1"/>
  <c r="IH75" i="2" s="1"/>
  <c r="II75" i="2" s="1"/>
  <c r="IJ75" i="2" s="1"/>
  <c r="IK75" i="2" s="1"/>
  <c r="IL75" i="2" s="1"/>
  <c r="IM75" i="2" s="1"/>
  <c r="IN75" i="2" s="1"/>
  <c r="IO75" i="2" s="1"/>
  <c r="IP75" i="2" s="1"/>
  <c r="IQ75" i="2" s="1"/>
  <c r="IR75" i="2" s="1"/>
  <c r="IS75" i="2" s="1"/>
  <c r="IT75" i="2" s="1"/>
  <c r="IU75" i="2" s="1"/>
  <c r="IV75" i="2" s="1"/>
  <c r="IW75" i="2" s="1"/>
  <c r="IX75" i="2" s="1"/>
  <c r="IY75" i="2" s="1"/>
  <c r="IZ75" i="2" s="1"/>
  <c r="JA75" i="2" s="1"/>
  <c r="JB75" i="2" s="1"/>
  <c r="JC75" i="2" s="1"/>
  <c r="JD75" i="2" s="1"/>
  <c r="JE75" i="2" s="1"/>
  <c r="JF75" i="2" s="1"/>
  <c r="JG75" i="2" s="1"/>
  <c r="JH75" i="2" s="1"/>
  <c r="JI75" i="2" s="1"/>
  <c r="JJ75" i="2" s="1"/>
  <c r="JK75" i="2" s="1"/>
  <c r="JL75" i="2" s="1"/>
  <c r="JM75" i="2" s="1"/>
  <c r="JN75" i="2" s="1"/>
  <c r="JO75" i="2" s="1"/>
  <c r="JP75" i="2" s="1"/>
  <c r="JQ75" i="2" s="1"/>
  <c r="JR75" i="2" s="1"/>
  <c r="JS75" i="2" s="1"/>
  <c r="JT75" i="2" s="1"/>
  <c r="JU75" i="2" s="1"/>
  <c r="JV75" i="2" s="1"/>
  <c r="JW75" i="2" s="1"/>
  <c r="JX75" i="2" s="1"/>
  <c r="I11" i="6"/>
  <c r="BL175" i="9"/>
  <c r="H217" i="2"/>
  <c r="R28" i="1"/>
  <c r="AY175" i="9"/>
  <c r="G35" i="3"/>
  <c r="H68" i="6"/>
  <c r="BP175" i="9"/>
  <c r="I90" i="4"/>
  <c r="L6" i="4" s="1"/>
  <c r="I89" i="4" a="1"/>
  <c r="I89" i="4" s="1"/>
  <c r="J87" i="4"/>
  <c r="L5" i="4"/>
  <c r="L7" i="4" s="1"/>
  <c r="I88" i="4"/>
  <c r="L8" i="4" s="1"/>
  <c r="AE175" i="9"/>
  <c r="H35" i="3" l="1"/>
  <c r="H22" i="6" s="1"/>
  <c r="D168" i="8" s="1"/>
  <c r="G168" i="8" s="1"/>
  <c r="J33" i="3"/>
  <c r="J20" i="6" s="1"/>
  <c r="G153" i="2"/>
  <c r="J11" i="3"/>
  <c r="ES75" i="2"/>
  <c r="Y4" i="5"/>
  <c r="AP58" i="7"/>
  <c r="AP65" i="7"/>
  <c r="AQ57" i="7"/>
  <c r="AP62" i="7"/>
  <c r="AP61" i="7"/>
  <c r="AP64" i="7"/>
  <c r="AP60" i="7"/>
  <c r="AP63" i="7"/>
  <c r="AP59" i="7"/>
  <c r="M29" i="1"/>
  <c r="M28" i="1"/>
  <c r="DA8" i="7"/>
  <c r="H192" i="2"/>
  <c r="E176" i="2"/>
  <c r="D137" i="2"/>
  <c r="L27" i="1"/>
  <c r="F176" i="2"/>
  <c r="H155" i="2"/>
  <c r="AO66" i="7"/>
  <c r="P174" i="2"/>
  <c r="W162" i="2"/>
  <c r="P173" i="2"/>
  <c r="J24" i="3"/>
  <c r="J26" i="3" s="1"/>
  <c r="CS77" i="7"/>
  <c r="CS76" i="7"/>
  <c r="CS75" i="7"/>
  <c r="D20" i="7"/>
  <c r="D22" i="7"/>
  <c r="K13" i="7"/>
  <c r="K7" i="7"/>
  <c r="D21" i="7"/>
  <c r="J89" i="4" a="1"/>
  <c r="J89" i="4" s="1"/>
  <c r="K87" i="4"/>
  <c r="J90" i="4"/>
  <c r="M6" i="4" s="1"/>
  <c r="J88" i="4"/>
  <c r="M8" i="4" s="1"/>
  <c r="M5" i="4"/>
  <c r="M7" i="4" s="1"/>
  <c r="K25" i="3"/>
  <c r="K13" i="6" s="1"/>
  <c r="K23" i="3"/>
  <c r="K10" i="6" s="1"/>
  <c r="K22" i="3"/>
  <c r="K9" i="6" s="1"/>
  <c r="K21" i="3"/>
  <c r="K8" i="6" s="1"/>
  <c r="L5" i="3"/>
  <c r="K4" i="3"/>
  <c r="K18" i="3"/>
  <c r="K15" i="3"/>
  <c r="K13" i="3"/>
  <c r="K10" i="3"/>
  <c r="K9" i="3"/>
  <c r="K8" i="3"/>
  <c r="K30" i="3"/>
  <c r="K17" i="6" s="1"/>
  <c r="K29" i="3"/>
  <c r="K16" i="6" s="1"/>
  <c r="K37" i="3"/>
  <c r="K31" i="3"/>
  <c r="K18" i="6" s="1"/>
  <c r="K32" i="3"/>
  <c r="K19" i="6" s="1"/>
  <c r="H272" i="2"/>
  <c r="R33" i="1" s="1"/>
  <c r="D272" i="2"/>
  <c r="H281" i="2"/>
  <c r="D281" i="2"/>
  <c r="S30" i="1"/>
  <c r="I5" i="2"/>
  <c r="R30" i="1"/>
  <c r="N68" i="6"/>
  <c r="N67" i="6" s="1"/>
  <c r="N61" i="6"/>
  <c r="D188" i="2"/>
  <c r="E189" i="2"/>
  <c r="D189" i="2" s="1"/>
  <c r="O173" i="2"/>
  <c r="R173" i="2" s="1"/>
  <c r="O174" i="2"/>
  <c r="V162" i="2"/>
  <c r="G22" i="6"/>
  <c r="G39" i="3"/>
  <c r="G23" i="6" s="1"/>
  <c r="J11" i="6"/>
  <c r="K73" i="9"/>
  <c r="AQ175" i="9"/>
  <c r="I14" i="6"/>
  <c r="I35" i="3"/>
  <c r="I123" i="9"/>
  <c r="I124" i="9"/>
  <c r="I128" i="9" s="1"/>
  <c r="H39" i="3" l="1"/>
  <c r="H23" i="6" s="1"/>
  <c r="H59" i="6" s="1"/>
  <c r="K11" i="6"/>
  <c r="K11" i="3"/>
  <c r="D190" i="2"/>
  <c r="E190" i="2"/>
  <c r="BB205" i="2" s="1"/>
  <c r="J116" i="9"/>
  <c r="I135" i="9"/>
  <c r="I22" i="6"/>
  <c r="I39" i="3"/>
  <c r="I23" i="6" s="1"/>
  <c r="L29" i="1"/>
  <c r="L28" i="1"/>
  <c r="I197" i="9"/>
  <c r="I196" i="9"/>
  <c r="I154" i="9"/>
  <c r="I130" i="9"/>
  <c r="E18" i="8"/>
  <c r="L22" i="7"/>
  <c r="CU77" i="7"/>
  <c r="E22" i="7"/>
  <c r="F22" i="7" s="1"/>
  <c r="I136" i="9"/>
  <c r="V173" i="2"/>
  <c r="S173" i="2" s="1"/>
  <c r="V174" i="2"/>
  <c r="K24" i="3"/>
  <c r="K26" i="3" s="1"/>
  <c r="K33" i="3"/>
  <c r="K20" i="6" s="1"/>
  <c r="E17" i="8"/>
  <c r="E20" i="7"/>
  <c r="F20" i="7" s="1"/>
  <c r="L20" i="7"/>
  <c r="CU75" i="7"/>
  <c r="DA10" i="7"/>
  <c r="CR134" i="7"/>
  <c r="CS146" i="7" s="1"/>
  <c r="J14" i="6"/>
  <c r="J35" i="3"/>
  <c r="G59" i="6"/>
  <c r="G26" i="6"/>
  <c r="AQ65" i="7"/>
  <c r="AQ60" i="7"/>
  <c r="AQ62" i="7"/>
  <c r="AQ61" i="7"/>
  <c r="AR57" i="7"/>
  <c r="AQ59" i="7"/>
  <c r="AQ58" i="7"/>
  <c r="AQ63" i="7"/>
  <c r="AQ64" i="7"/>
  <c r="AP66" i="7"/>
  <c r="K93" i="9"/>
  <c r="K90" i="4"/>
  <c r="N6" i="4" s="1"/>
  <c r="K89" i="4" a="1"/>
  <c r="K89" i="4" s="1"/>
  <c r="K88" i="4"/>
  <c r="N8" i="4" s="1"/>
  <c r="N5" i="4"/>
  <c r="N7" i="4" s="1"/>
  <c r="F41" i="8"/>
  <c r="F80" i="9"/>
  <c r="F81" i="9" s="1"/>
  <c r="L22" i="3"/>
  <c r="L9" i="6" s="1"/>
  <c r="L21" i="3"/>
  <c r="L8" i="6" s="1"/>
  <c r="M5" i="3"/>
  <c r="L4" i="3"/>
  <c r="L18" i="3"/>
  <c r="L15" i="3"/>
  <c r="L13" i="3"/>
  <c r="L10" i="3"/>
  <c r="L9" i="3"/>
  <c r="L8" i="3"/>
  <c r="L37" i="3"/>
  <c r="L32" i="3"/>
  <c r="L19" i="6" s="1"/>
  <c r="L29" i="3"/>
  <c r="L16" i="6" s="1"/>
  <c r="L23" i="3"/>
  <c r="L10" i="6" s="1"/>
  <c r="L31" i="3"/>
  <c r="L18" i="6" s="1"/>
  <c r="L30" i="3"/>
  <c r="L17" i="6" s="1"/>
  <c r="L25" i="3"/>
  <c r="L13" i="6" s="1"/>
  <c r="E16" i="8"/>
  <c r="F42" i="8"/>
  <c r="CU76" i="7"/>
  <c r="L21" i="7"/>
  <c r="E21" i="7"/>
  <c r="F21" i="7" s="1"/>
  <c r="W173" i="2"/>
  <c r="T173" i="2" s="1"/>
  <c r="W174" i="2"/>
  <c r="Z4" i="5"/>
  <c r="C382" i="10"/>
  <c r="E382" i="10" s="1"/>
  <c r="K8" i="7"/>
  <c r="K9" i="7" s="1"/>
  <c r="AR205" i="2" l="1"/>
  <c r="AM89" i="3" s="1"/>
  <c r="BL205" i="2"/>
  <c r="BG89" i="3" s="1"/>
  <c r="N205" i="2"/>
  <c r="I89" i="3" s="1"/>
  <c r="BS205" i="2"/>
  <c r="BN89" i="3" s="1"/>
  <c r="BJ205" i="2"/>
  <c r="BJ211" i="2" s="1"/>
  <c r="BI205" i="2"/>
  <c r="BI211" i="2" s="1"/>
  <c r="AE205" i="2"/>
  <c r="Z89" i="3" s="1"/>
  <c r="BD205" i="2"/>
  <c r="BD211" i="2" s="1"/>
  <c r="AC205" i="2"/>
  <c r="X89" i="3" s="1"/>
  <c r="BQ205" i="2"/>
  <c r="BQ211" i="2" s="1"/>
  <c r="AW205" i="2"/>
  <c r="AR89" i="3" s="1"/>
  <c r="AI205" i="2"/>
  <c r="AD89" i="3" s="1"/>
  <c r="AG205" i="2"/>
  <c r="AB89" i="3" s="1"/>
  <c r="BP205" i="2"/>
  <c r="BK89" i="3" s="1"/>
  <c r="P205" i="2"/>
  <c r="K89" i="3" s="1"/>
  <c r="BH205" i="2"/>
  <c r="BH211" i="2" s="1"/>
  <c r="T205" i="2"/>
  <c r="O89" i="3" s="1"/>
  <c r="BN205" i="2"/>
  <c r="BN211" i="2" s="1"/>
  <c r="G27" i="1"/>
  <c r="W205" i="2"/>
  <c r="R89" i="3" s="1"/>
  <c r="AB205" i="2"/>
  <c r="W89" i="3" s="1"/>
  <c r="AF205" i="2"/>
  <c r="AA89" i="3" s="1"/>
  <c r="S205" i="2"/>
  <c r="N89" i="3" s="1"/>
  <c r="AA205" i="2"/>
  <c r="AA211" i="2" s="1"/>
  <c r="BE205" i="2"/>
  <c r="BE211" i="2" s="1"/>
  <c r="AM205" i="2"/>
  <c r="AH89" i="3" s="1"/>
  <c r="AL205" i="2"/>
  <c r="AL211" i="2" s="1"/>
  <c r="AZ205" i="2"/>
  <c r="AU89" i="3" s="1"/>
  <c r="BF205" i="2"/>
  <c r="BA89" i="3" s="1"/>
  <c r="R205" i="2"/>
  <c r="M89" i="3" s="1"/>
  <c r="Z205" i="2"/>
  <c r="Z211" i="2" s="1"/>
  <c r="BK205" i="2"/>
  <c r="BF89" i="3" s="1"/>
  <c r="X205" i="2"/>
  <c r="S89" i="3" s="1"/>
  <c r="BR205" i="2"/>
  <c r="BR211" i="2" s="1"/>
  <c r="Y205" i="2"/>
  <c r="Y211" i="2" s="1"/>
  <c r="AU205" i="2"/>
  <c r="AP89" i="3" s="1"/>
  <c r="AD205" i="2"/>
  <c r="Y89" i="3" s="1"/>
  <c r="BM205" i="2"/>
  <c r="BM211" i="2" s="1"/>
  <c r="V205" i="2"/>
  <c r="Q89" i="3" s="1"/>
  <c r="BC205" i="2"/>
  <c r="BC211" i="2" s="1"/>
  <c r="AP205" i="2"/>
  <c r="AP211" i="2" s="1"/>
  <c r="AQ205" i="2"/>
  <c r="AL89" i="3" s="1"/>
  <c r="AX205" i="2"/>
  <c r="AS89" i="3" s="1"/>
  <c r="U205" i="2"/>
  <c r="U211" i="2" s="1"/>
  <c r="M205" i="2"/>
  <c r="H89" i="3" s="1"/>
  <c r="AS205" i="2"/>
  <c r="AN89" i="3" s="1"/>
  <c r="AT205" i="2"/>
  <c r="AO89" i="3" s="1"/>
  <c r="BG205" i="2"/>
  <c r="BG211" i="2" s="1"/>
  <c r="AY205" i="2"/>
  <c r="AY211" i="2" s="1"/>
  <c r="AO205" i="2"/>
  <c r="AJ89" i="3" s="1"/>
  <c r="Q205" i="2"/>
  <c r="L89" i="3" s="1"/>
  <c r="BT205" i="2"/>
  <c r="BO89" i="3" s="1"/>
  <c r="AV205" i="2"/>
  <c r="AQ89" i="3" s="1"/>
  <c r="BA205" i="2"/>
  <c r="AV89" i="3" s="1"/>
  <c r="BO205" i="2"/>
  <c r="BJ89" i="3" s="1"/>
  <c r="AH205" i="2"/>
  <c r="AC89" i="3" s="1"/>
  <c r="AK205" i="2"/>
  <c r="AF89" i="3" s="1"/>
  <c r="AJ205" i="2"/>
  <c r="AE89" i="3" s="1"/>
  <c r="BU205" i="2"/>
  <c r="BU211" i="2" s="1"/>
  <c r="L205" i="2"/>
  <c r="AN205" i="2"/>
  <c r="AN211" i="2" s="1"/>
  <c r="O205" i="2"/>
  <c r="O211" i="2" s="1"/>
  <c r="L11" i="3"/>
  <c r="L24" i="3"/>
  <c r="L26" i="3" s="1"/>
  <c r="L14" i="6" s="1"/>
  <c r="AQ66" i="7"/>
  <c r="CV75" i="7"/>
  <c r="DC75" i="7" s="1"/>
  <c r="I20" i="7"/>
  <c r="J20" i="7" s="1"/>
  <c r="I21" i="7"/>
  <c r="J21" i="7" s="1"/>
  <c r="CV76" i="7"/>
  <c r="DC76" i="7" s="1"/>
  <c r="L33" i="3"/>
  <c r="L20" i="6" s="1"/>
  <c r="K14" i="6"/>
  <c r="K35" i="3"/>
  <c r="DA7" i="7"/>
  <c r="F43" i="8"/>
  <c r="K38" i="9"/>
  <c r="CT146" i="7"/>
  <c r="CS147" i="7"/>
  <c r="J22" i="6"/>
  <c r="J39" i="3"/>
  <c r="J23" i="6" s="1"/>
  <c r="AR60" i="7"/>
  <c r="AS57" i="7"/>
  <c r="AR65" i="7"/>
  <c r="AR64" i="7"/>
  <c r="AR63" i="7"/>
  <c r="AR62" i="7"/>
  <c r="AR59" i="7"/>
  <c r="AR61" i="7"/>
  <c r="AR58" i="7"/>
  <c r="M21" i="3"/>
  <c r="M8" i="6" s="1"/>
  <c r="N5" i="3"/>
  <c r="M4" i="3"/>
  <c r="M18" i="3"/>
  <c r="M15" i="3"/>
  <c r="M13" i="3"/>
  <c r="M10" i="3"/>
  <c r="M9" i="3"/>
  <c r="M8" i="3"/>
  <c r="M37" i="3"/>
  <c r="M32" i="3"/>
  <c r="M19" i="6" s="1"/>
  <c r="M31" i="3"/>
  <c r="M18" i="6" s="1"/>
  <c r="M25" i="3"/>
  <c r="M13" i="6" s="1"/>
  <c r="M23" i="3"/>
  <c r="M10" i="6" s="1"/>
  <c r="M22" i="3"/>
  <c r="M9" i="6" s="1"/>
  <c r="M30" i="3"/>
  <c r="M17" i="6" s="1"/>
  <c r="M29" i="3"/>
  <c r="M16" i="6" s="1"/>
  <c r="L73" i="9"/>
  <c r="AA4" i="5"/>
  <c r="E167" i="8"/>
  <c r="L11" i="6"/>
  <c r="K37" i="9"/>
  <c r="I59" i="6"/>
  <c r="CS86" i="7"/>
  <c r="CR86" i="7"/>
  <c r="CV83" i="7"/>
  <c r="CU82" i="7"/>
  <c r="CV85" i="7"/>
  <c r="CU84" i="7"/>
  <c r="CT83" i="7"/>
  <c r="CS82" i="7"/>
  <c r="CV86" i="7"/>
  <c r="CT85" i="7"/>
  <c r="CS84" i="7"/>
  <c r="CR83" i="7"/>
  <c r="CU86" i="7"/>
  <c r="CS85" i="7"/>
  <c r="CR84" i="7"/>
  <c r="CT86" i="7"/>
  <c r="M93" i="7" s="1"/>
  <c r="CR85" i="7"/>
  <c r="CS83" i="7"/>
  <c r="CV82" i="7"/>
  <c r="CT82" i="7"/>
  <c r="K93" i="7" s="1"/>
  <c r="CR82" i="7"/>
  <c r="CT84" i="7"/>
  <c r="L93" i="7" s="1"/>
  <c r="CU83" i="7"/>
  <c r="CU85" i="7"/>
  <c r="CV84" i="7"/>
  <c r="CU34" i="7"/>
  <c r="CW34" i="7" s="1"/>
  <c r="DC34" i="7" s="1"/>
  <c r="CU28" i="7"/>
  <c r="CW28" i="7" s="1"/>
  <c r="DC28" i="7" s="1"/>
  <c r="CU32" i="7"/>
  <c r="CW32" i="7" s="1"/>
  <c r="DC32" i="7" s="1"/>
  <c r="CU30" i="7"/>
  <c r="CW30" i="7" s="1"/>
  <c r="DC30" i="7" s="1"/>
  <c r="CU29" i="7"/>
  <c r="CW29" i="7" s="1"/>
  <c r="DC29" i="7" s="1"/>
  <c r="CU26" i="7"/>
  <c r="DA19" i="7"/>
  <c r="K39" i="9"/>
  <c r="K11" i="7"/>
  <c r="K12" i="7" s="1"/>
  <c r="AW89" i="3"/>
  <c r="BB211" i="2"/>
  <c r="I22" i="7"/>
  <c r="J22" i="7" s="1"/>
  <c r="CV77" i="7"/>
  <c r="DC77" i="7" s="1"/>
  <c r="F89" i="9"/>
  <c r="F147" i="9" s="1"/>
  <c r="F88" i="9"/>
  <c r="F83" i="9"/>
  <c r="F84" i="9" s="1"/>
  <c r="L72" i="2"/>
  <c r="F86" i="9"/>
  <c r="F85" i="9"/>
  <c r="F78" i="9"/>
  <c r="G79" i="9"/>
  <c r="J123" i="9"/>
  <c r="J124" i="9"/>
  <c r="J128" i="9" s="1"/>
  <c r="J136" i="9" s="1"/>
  <c r="AR211" i="2" l="1"/>
  <c r="BL211" i="2"/>
  <c r="FN26" i="7" s="1"/>
  <c r="BE89" i="3"/>
  <c r="N211" i="2"/>
  <c r="DP11" i="7" s="1"/>
  <c r="BD89" i="3"/>
  <c r="AC211" i="2"/>
  <c r="EE11" i="7" s="1"/>
  <c r="BS211" i="2"/>
  <c r="FU24" i="7" s="1"/>
  <c r="AE211" i="2"/>
  <c r="EG11" i="7" s="1"/>
  <c r="BL89" i="3"/>
  <c r="AY89" i="3"/>
  <c r="AI89" i="3"/>
  <c r="AI211" i="2"/>
  <c r="EK11" i="7" s="1"/>
  <c r="BB89" i="3"/>
  <c r="P211" i="2"/>
  <c r="K93" i="3" s="1"/>
  <c r="AG211" i="2"/>
  <c r="EI11" i="7" s="1"/>
  <c r="BF211" i="2"/>
  <c r="T211" i="2"/>
  <c r="EB24" i="7" s="1"/>
  <c r="AW211" i="2"/>
  <c r="EY25" i="7" s="1"/>
  <c r="BP211" i="2"/>
  <c r="FX24" i="7" s="1"/>
  <c r="BI89" i="3"/>
  <c r="BC89" i="3"/>
  <c r="R211" i="2"/>
  <c r="DT11" i="7" s="1"/>
  <c r="X211" i="2"/>
  <c r="DZ11" i="7" s="1"/>
  <c r="U89" i="3"/>
  <c r="T89" i="3"/>
  <c r="AZ211" i="2"/>
  <c r="AU93" i="3" s="1"/>
  <c r="S211" i="2"/>
  <c r="DU26" i="7" s="1"/>
  <c r="W211" i="2"/>
  <c r="BM89" i="3"/>
  <c r="AF211" i="2"/>
  <c r="EH24" i="7" s="1"/>
  <c r="AB211" i="2"/>
  <c r="ED11" i="7" s="1"/>
  <c r="AM211" i="2"/>
  <c r="EO25" i="7" s="1"/>
  <c r="AT89" i="3"/>
  <c r="V89" i="3"/>
  <c r="AG89" i="3"/>
  <c r="J89" i="3"/>
  <c r="AZ89" i="3"/>
  <c r="BK211" i="2"/>
  <c r="FM26" i="7" s="1"/>
  <c r="AO211" i="2"/>
  <c r="AJ93" i="3" s="1"/>
  <c r="AU211" i="2"/>
  <c r="EW26" i="7" s="1"/>
  <c r="BT211" i="2"/>
  <c r="BO93" i="3" s="1"/>
  <c r="AQ211" i="2"/>
  <c r="ES25" i="7" s="1"/>
  <c r="BH89" i="3"/>
  <c r="AX89" i="3"/>
  <c r="AD211" i="2"/>
  <c r="EF26" i="7" s="1"/>
  <c r="AS211" i="2"/>
  <c r="EU25" i="7" s="1"/>
  <c r="AK89" i="3"/>
  <c r="M211" i="2"/>
  <c r="P89" i="3"/>
  <c r="BA211" i="2"/>
  <c r="AT211" i="2"/>
  <c r="EV26" i="7" s="1"/>
  <c r="AX211" i="2"/>
  <c r="EZ25" i="7" s="1"/>
  <c r="V211" i="2"/>
  <c r="DX25" i="7" s="1"/>
  <c r="Q211" i="2"/>
  <c r="BP89" i="3"/>
  <c r="M66" i="6" s="1"/>
  <c r="AV211" i="2"/>
  <c r="AQ93" i="3" s="1"/>
  <c r="AH211" i="2"/>
  <c r="I205" i="2"/>
  <c r="G89" i="3"/>
  <c r="G66" i="6" s="1"/>
  <c r="L211" i="2"/>
  <c r="DN26" i="7" s="1"/>
  <c r="AJ211" i="2"/>
  <c r="BO211" i="2"/>
  <c r="FQ25" i="7" s="1"/>
  <c r="AK211" i="2"/>
  <c r="EM26" i="7" s="1"/>
  <c r="M11" i="3"/>
  <c r="AR66" i="7"/>
  <c r="AB4" i="5"/>
  <c r="FK24" i="7"/>
  <c r="FK26" i="7"/>
  <c r="FK25" i="7"/>
  <c r="BD93" i="3"/>
  <c r="L38" i="9"/>
  <c r="N38" i="9"/>
  <c r="R38" i="9" s="1"/>
  <c r="M38" i="9"/>
  <c r="CR141" i="7" s="1"/>
  <c r="CR155" i="7" s="1"/>
  <c r="FO24" i="7"/>
  <c r="FO25" i="7"/>
  <c r="FO26" i="7"/>
  <c r="BH93" i="3"/>
  <c r="EA11" i="7"/>
  <c r="EA26" i="7"/>
  <c r="EA25" i="7"/>
  <c r="T93" i="3"/>
  <c r="D146" i="8"/>
  <c r="F44" i="8"/>
  <c r="FN25" i="7"/>
  <c r="FD26" i="7"/>
  <c r="FD11" i="7"/>
  <c r="FD25" i="7"/>
  <c r="AW93" i="3"/>
  <c r="L93" i="9"/>
  <c r="FW26" i="7"/>
  <c r="GC24" i="7"/>
  <c r="FW25" i="7"/>
  <c r="BP93" i="3"/>
  <c r="M43" i="3" s="1"/>
  <c r="FF25" i="7"/>
  <c r="FF26" i="7"/>
  <c r="AY93" i="3"/>
  <c r="CV96" i="7"/>
  <c r="CT95" i="7"/>
  <c r="CR94" i="7"/>
  <c r="CS93" i="7"/>
  <c r="CT92" i="7"/>
  <c r="CU96" i="7"/>
  <c r="CS95" i="7"/>
  <c r="CR93" i="7"/>
  <c r="CS92" i="7"/>
  <c r="CT96" i="7"/>
  <c r="CR95" i="7"/>
  <c r="CR92" i="7"/>
  <c r="CS96" i="7"/>
  <c r="CU94" i="7"/>
  <c r="CV93" i="7"/>
  <c r="CV95" i="7"/>
  <c r="CT94" i="7"/>
  <c r="CU93" i="7"/>
  <c r="CV92" i="7"/>
  <c r="CU95" i="7"/>
  <c r="CS94" i="7"/>
  <c r="CT93" i="7"/>
  <c r="CU92" i="7"/>
  <c r="CR96" i="7"/>
  <c r="CR19" i="7"/>
  <c r="DA21" i="7"/>
  <c r="CV94" i="7"/>
  <c r="DA16" i="7"/>
  <c r="DA17" i="7" s="1"/>
  <c r="DA14" i="7"/>
  <c r="DA9" i="7" s="1"/>
  <c r="CR20" i="7"/>
  <c r="C82" i="7" s="1"/>
  <c r="CR21" i="7"/>
  <c r="C83" i="7" s="1"/>
  <c r="GF24" i="7"/>
  <c r="FT24" i="7"/>
  <c r="FT26" i="7"/>
  <c r="FT25" i="7"/>
  <c r="FZ24" i="7"/>
  <c r="BM93" i="3"/>
  <c r="DQ24" i="7"/>
  <c r="DQ25" i="7"/>
  <c r="DQ26" i="7"/>
  <c r="DQ11" i="7"/>
  <c r="J93" i="3"/>
  <c r="CT147" i="7"/>
  <c r="CU146" i="7"/>
  <c r="L37" i="9"/>
  <c r="N37" i="9"/>
  <c r="R37" i="9" s="1"/>
  <c r="M37" i="9"/>
  <c r="M33" i="3"/>
  <c r="M20" i="6" s="1"/>
  <c r="L75" i="2"/>
  <c r="CU38" i="7"/>
  <c r="CW26" i="7"/>
  <c r="K22" i="6"/>
  <c r="K39" i="3"/>
  <c r="K23" i="6" s="1"/>
  <c r="ET26" i="7"/>
  <c r="ET25" i="7"/>
  <c r="ET11" i="7"/>
  <c r="ET24" i="7"/>
  <c r="AM93" i="3"/>
  <c r="N19" i="3"/>
  <c r="N18" i="3"/>
  <c r="N17" i="3"/>
  <c r="N16" i="3"/>
  <c r="N15" i="3"/>
  <c r="N13" i="3"/>
  <c r="N11" i="3"/>
  <c r="N10" i="3"/>
  <c r="N9" i="3"/>
  <c r="N8" i="3"/>
  <c r="N6" i="3"/>
  <c r="N44" i="3"/>
  <c r="N43" i="3"/>
  <c r="N39" i="3"/>
  <c r="N37" i="3"/>
  <c r="N35" i="3"/>
  <c r="N33" i="3"/>
  <c r="N32" i="3"/>
  <c r="N31" i="3"/>
  <c r="N30" i="3"/>
  <c r="N22" i="3"/>
  <c r="N23" i="3"/>
  <c r="N4" i="3"/>
  <c r="N26" i="3"/>
  <c r="N25" i="3"/>
  <c r="N21" i="3"/>
  <c r="O5" i="3"/>
  <c r="N29" i="3"/>
  <c r="N24" i="3"/>
  <c r="AS60" i="7"/>
  <c r="AT57" i="7"/>
  <c r="AS62" i="7"/>
  <c r="AS59" i="7"/>
  <c r="AS65" i="7"/>
  <c r="AS64" i="7"/>
  <c r="AS61" i="7"/>
  <c r="AS63" i="7"/>
  <c r="AS58" i="7"/>
  <c r="F156" i="9"/>
  <c r="F146" i="9"/>
  <c r="F204" i="9" s="1"/>
  <c r="F190" i="9"/>
  <c r="ER26" i="7"/>
  <c r="ER11" i="7"/>
  <c r="ER25" i="7"/>
  <c r="AK93" i="3"/>
  <c r="E178" i="8"/>
  <c r="E166" i="8"/>
  <c r="F167" i="8"/>
  <c r="M11" i="6"/>
  <c r="F166" i="8" s="1"/>
  <c r="FL26" i="7"/>
  <c r="FL25" i="7"/>
  <c r="FL24" i="7"/>
  <c r="BE93" i="3"/>
  <c r="FA25" i="7"/>
  <c r="FA11" i="7"/>
  <c r="FA26" i="7"/>
  <c r="AT93" i="3"/>
  <c r="EB26" i="7"/>
  <c r="EB25" i="7"/>
  <c r="EB11" i="7"/>
  <c r="U93" i="3"/>
  <c r="FJ26" i="7"/>
  <c r="FJ24" i="7"/>
  <c r="FJ25" i="7"/>
  <c r="BC93" i="3"/>
  <c r="FI26" i="7"/>
  <c r="FI25" i="7"/>
  <c r="BB93" i="3"/>
  <c r="FG24" i="7"/>
  <c r="FG26" i="7"/>
  <c r="FG25" i="7"/>
  <c r="AZ93" i="3"/>
  <c r="J197" i="9"/>
  <c r="J196" i="9"/>
  <c r="J154" i="9"/>
  <c r="J130" i="9"/>
  <c r="F92" i="9"/>
  <c r="M24" i="3"/>
  <c r="M26" i="3" s="1"/>
  <c r="J59" i="6"/>
  <c r="DW11" i="7"/>
  <c r="DW25" i="7"/>
  <c r="DW24" i="7"/>
  <c r="DW26" i="7"/>
  <c r="P93" i="3"/>
  <c r="L35" i="3"/>
  <c r="EN26" i="7"/>
  <c r="EN11" i="7"/>
  <c r="EN25" i="7"/>
  <c r="AG93" i="3"/>
  <c r="FP26" i="7"/>
  <c r="FP25" i="7"/>
  <c r="FP24" i="7"/>
  <c r="BI93" i="3"/>
  <c r="EP26" i="7"/>
  <c r="EP11" i="7"/>
  <c r="EP25" i="7"/>
  <c r="AI93" i="3"/>
  <c r="FE25" i="7"/>
  <c r="FE11" i="7"/>
  <c r="FE26" i="7"/>
  <c r="AX93" i="3"/>
  <c r="FY24" i="7"/>
  <c r="FS25" i="7"/>
  <c r="FS26" i="7"/>
  <c r="BL93" i="3"/>
  <c r="K116" i="9"/>
  <c r="J135" i="9"/>
  <c r="EC24" i="7"/>
  <c r="EC25" i="7"/>
  <c r="EC26" i="7"/>
  <c r="EC11" i="7"/>
  <c r="V93" i="3"/>
  <c r="L39" i="9"/>
  <c r="N39" i="9"/>
  <c r="R39" i="9" s="1"/>
  <c r="M39" i="9"/>
  <c r="BG93" i="3" l="1"/>
  <c r="DP24" i="7"/>
  <c r="DP25" i="7"/>
  <c r="FN24" i="7"/>
  <c r="DP26" i="7"/>
  <c r="I93" i="3"/>
  <c r="EG24" i="7"/>
  <c r="EG25" i="7"/>
  <c r="EE24" i="7"/>
  <c r="EE26" i="7"/>
  <c r="EE25" i="7"/>
  <c r="DR26" i="7"/>
  <c r="BN93" i="3"/>
  <c r="X93" i="3"/>
  <c r="FU25" i="7"/>
  <c r="FU26" i="7"/>
  <c r="GA24" i="7"/>
  <c r="Z93" i="3"/>
  <c r="EG26" i="7"/>
  <c r="DR11" i="7"/>
  <c r="DR25" i="7"/>
  <c r="DR24" i="7"/>
  <c r="AD93" i="3"/>
  <c r="EK24" i="7"/>
  <c r="EK25" i="7"/>
  <c r="EK26" i="7"/>
  <c r="J66" i="6"/>
  <c r="J27" i="6" s="1"/>
  <c r="AR93" i="3"/>
  <c r="EY26" i="7"/>
  <c r="EH25" i="7"/>
  <c r="EY11" i="7"/>
  <c r="DV26" i="7"/>
  <c r="AB93" i="3"/>
  <c r="EI24" i="7"/>
  <c r="EI25" i="7"/>
  <c r="FH26" i="7"/>
  <c r="FE24" i="7"/>
  <c r="EA24" i="7"/>
  <c r="BA93" i="3"/>
  <c r="FH25" i="7"/>
  <c r="AH93" i="3"/>
  <c r="EO26" i="7"/>
  <c r="FH24" i="7"/>
  <c r="O93" i="3"/>
  <c r="DV24" i="7"/>
  <c r="DV11" i="7"/>
  <c r="DV25" i="7"/>
  <c r="EI26" i="7"/>
  <c r="EO24" i="7"/>
  <c r="DY24" i="7"/>
  <c r="EH11" i="7"/>
  <c r="ES11" i="7"/>
  <c r="BK93" i="3"/>
  <c r="FR26" i="7"/>
  <c r="FR24" i="7"/>
  <c r="FR25" i="7"/>
  <c r="DT25" i="7"/>
  <c r="DT26" i="7"/>
  <c r="DZ24" i="7"/>
  <c r="S93" i="3"/>
  <c r="DZ25" i="7"/>
  <c r="DZ26" i="7"/>
  <c r="M93" i="3"/>
  <c r="FM25" i="7"/>
  <c r="EO11" i="7"/>
  <c r="N93" i="3"/>
  <c r="FM24" i="7"/>
  <c r="EU24" i="7"/>
  <c r="DU11" i="7"/>
  <c r="FB25" i="7"/>
  <c r="EQ24" i="7"/>
  <c r="DU25" i="7"/>
  <c r="FB26" i="7"/>
  <c r="FB11" i="7"/>
  <c r="R93" i="3"/>
  <c r="DY25" i="7"/>
  <c r="DY11" i="7"/>
  <c r="DY26" i="7"/>
  <c r="L66" i="6"/>
  <c r="L67" i="6" s="1"/>
  <c r="L93" i="3"/>
  <c r="DS26" i="7"/>
  <c r="EH26" i="7"/>
  <c r="DS11" i="7"/>
  <c r="DS25" i="7"/>
  <c r="EY24" i="7"/>
  <c r="EN24" i="7"/>
  <c r="DS24" i="7"/>
  <c r="I66" i="6"/>
  <c r="I27" i="6" s="1"/>
  <c r="AA93" i="3"/>
  <c r="K66" i="6"/>
  <c r="K27" i="6" s="1"/>
  <c r="EF24" i="7"/>
  <c r="EF11" i="7"/>
  <c r="AL93" i="3"/>
  <c r="FV26" i="7"/>
  <c r="ES26" i="7"/>
  <c r="ED25" i="7"/>
  <c r="DU24" i="7"/>
  <c r="H66" i="6"/>
  <c r="H67" i="6" s="1"/>
  <c r="ED26" i="7"/>
  <c r="H93" i="3"/>
  <c r="DN24" i="7"/>
  <c r="ED24" i="7"/>
  <c r="W93" i="3"/>
  <c r="EU26" i="7"/>
  <c r="G93" i="3"/>
  <c r="G43" i="3" s="1"/>
  <c r="DT24" i="7"/>
  <c r="EU11" i="7"/>
  <c r="DN11" i="7"/>
  <c r="DO11" i="7"/>
  <c r="DO24" i="7"/>
  <c r="EW24" i="7"/>
  <c r="AP93" i="3"/>
  <c r="FA24" i="7"/>
  <c r="Y93" i="3"/>
  <c r="AN93" i="3"/>
  <c r="DO25" i="7"/>
  <c r="DO26" i="7"/>
  <c r="EQ25" i="7"/>
  <c r="EF25" i="7"/>
  <c r="DX26" i="7"/>
  <c r="FS24" i="7"/>
  <c r="EQ11" i="7"/>
  <c r="GB24" i="7"/>
  <c r="FV24" i="7"/>
  <c r="DX11" i="7"/>
  <c r="EQ26" i="7"/>
  <c r="FV25" i="7"/>
  <c r="EW25" i="7"/>
  <c r="FC24" i="7"/>
  <c r="BF93" i="3"/>
  <c r="EW11" i="7"/>
  <c r="EZ26" i="7"/>
  <c r="AV93" i="3"/>
  <c r="FC26" i="7"/>
  <c r="FI24" i="7"/>
  <c r="FC11" i="7"/>
  <c r="FB24" i="7"/>
  <c r="AO93" i="3"/>
  <c r="FC25" i="7"/>
  <c r="AS93" i="3"/>
  <c r="EV11" i="7"/>
  <c r="EV24" i="7"/>
  <c r="EZ24" i="7"/>
  <c r="FF24" i="7"/>
  <c r="EV25" i="7"/>
  <c r="EZ11" i="7"/>
  <c r="DX24" i="7"/>
  <c r="Q93" i="3"/>
  <c r="DD85" i="7"/>
  <c r="EJ24" i="7"/>
  <c r="EX24" i="7"/>
  <c r="CZ86" i="7"/>
  <c r="AC93" i="3"/>
  <c r="EX25" i="7"/>
  <c r="DA82" i="7"/>
  <c r="EJ26" i="7"/>
  <c r="DA45" i="7"/>
  <c r="C95" i="7" s="1"/>
  <c r="EJ25" i="7"/>
  <c r="EJ11" i="7"/>
  <c r="EP24" i="7"/>
  <c r="FD24" i="7"/>
  <c r="EX26" i="7"/>
  <c r="DC85" i="7"/>
  <c r="EX11" i="7"/>
  <c r="DN25" i="7"/>
  <c r="H211" i="2"/>
  <c r="S25" i="1" s="1"/>
  <c r="AE93" i="3"/>
  <c r="DC82" i="7"/>
  <c r="EL26" i="7"/>
  <c r="CZ82" i="7"/>
  <c r="DB86" i="7"/>
  <c r="EL11" i="7"/>
  <c r="EL24" i="7"/>
  <c r="DB82" i="7"/>
  <c r="EL25" i="7"/>
  <c r="ER24" i="7"/>
  <c r="CZ85" i="7"/>
  <c r="FW24" i="7"/>
  <c r="G211" i="2"/>
  <c r="R25" i="1" s="1"/>
  <c r="BJ93" i="3"/>
  <c r="EM11" i="7"/>
  <c r="FQ24" i="7"/>
  <c r="EM24" i="7"/>
  <c r="I211" i="2"/>
  <c r="Q25" i="1" s="1"/>
  <c r="FQ26" i="7"/>
  <c r="DB84" i="7"/>
  <c r="DC84" i="7"/>
  <c r="DD86" i="7"/>
  <c r="DB85" i="7"/>
  <c r="DA86" i="7"/>
  <c r="DD82" i="7"/>
  <c r="CZ83" i="7"/>
  <c r="DA84" i="7"/>
  <c r="CZ84" i="7"/>
  <c r="DA42" i="7"/>
  <c r="C93" i="7" s="1"/>
  <c r="DD83" i="7"/>
  <c r="DA83" i="7"/>
  <c r="DA44" i="7"/>
  <c r="DA12" i="7"/>
  <c r="E20" i="8" s="1"/>
  <c r="DB83" i="7"/>
  <c r="AF93" i="3"/>
  <c r="CR22" i="7"/>
  <c r="C84" i="7" s="1"/>
  <c r="DC86" i="7"/>
  <c r="DD84" i="7"/>
  <c r="EM25" i="7"/>
  <c r="ES24" i="7"/>
  <c r="DA85" i="7"/>
  <c r="DC83" i="7"/>
  <c r="M14" i="6"/>
  <c r="M35" i="3"/>
  <c r="G74" i="9"/>
  <c r="F94" i="9"/>
  <c r="F95" i="9"/>
  <c r="F96" i="9"/>
  <c r="F98" i="9"/>
  <c r="O39" i="9"/>
  <c r="P39" i="9"/>
  <c r="AT65" i="7"/>
  <c r="AT63" i="7"/>
  <c r="AU57" i="7"/>
  <c r="AT64" i="7"/>
  <c r="AT59" i="7"/>
  <c r="AT58" i="7"/>
  <c r="AT62" i="7"/>
  <c r="AT61" i="7"/>
  <c r="AT60" i="7"/>
  <c r="L69" i="2"/>
  <c r="L77" i="2" s="1"/>
  <c r="G57" i="3" s="1"/>
  <c r="L199" i="2"/>
  <c r="GH24" i="7"/>
  <c r="G27" i="6"/>
  <c r="G28" i="6" s="1"/>
  <c r="G67" i="6"/>
  <c r="G34" i="6"/>
  <c r="O38" i="9"/>
  <c r="CR140" i="7"/>
  <c r="B37" i="9"/>
  <c r="P38" i="9"/>
  <c r="M74" i="6"/>
  <c r="M67" i="6"/>
  <c r="K123" i="9"/>
  <c r="K124" i="9"/>
  <c r="K128" i="9" s="1"/>
  <c r="K59" i="6"/>
  <c r="AS66" i="7"/>
  <c r="O44" i="3"/>
  <c r="O43" i="3"/>
  <c r="O39" i="3"/>
  <c r="O37" i="3"/>
  <c r="O35" i="3"/>
  <c r="O33" i="3"/>
  <c r="O32" i="3"/>
  <c r="O31" i="3"/>
  <c r="O30" i="3"/>
  <c r="O29" i="3"/>
  <c r="O21" i="3"/>
  <c r="P5" i="3"/>
  <c r="O4" i="3"/>
  <c r="O19" i="3"/>
  <c r="O15" i="3"/>
  <c r="O9" i="3"/>
  <c r="O26" i="3"/>
  <c r="O22" i="3"/>
  <c r="O18" i="3"/>
  <c r="O13" i="3"/>
  <c r="O8" i="3"/>
  <c r="O25" i="3"/>
  <c r="O17" i="3"/>
  <c r="O11" i="3"/>
  <c r="O6" i="3"/>
  <c r="O10" i="3"/>
  <c r="O24" i="3"/>
  <c r="O16" i="3"/>
  <c r="O23" i="3"/>
  <c r="CR125" i="7"/>
  <c r="C118" i="7" s="1"/>
  <c r="CR117" i="7"/>
  <c r="C112" i="7" s="1"/>
  <c r="CW38" i="7"/>
  <c r="DC26" i="7"/>
  <c r="DC38" i="7" s="1"/>
  <c r="DA22" i="7"/>
  <c r="AC4" i="5"/>
  <c r="L22" i="6"/>
  <c r="L39" i="3"/>
  <c r="L23" i="6" s="1"/>
  <c r="G146" i="8"/>
  <c r="G150" i="8"/>
  <c r="J146" i="8"/>
  <c r="M73" i="9"/>
  <c r="O37" i="9"/>
  <c r="P37" i="9"/>
  <c r="F39" i="8"/>
  <c r="F40" i="8"/>
  <c r="GB29" i="7"/>
  <c r="GB32" i="7"/>
  <c r="FZ29" i="7"/>
  <c r="FZ32" i="7"/>
  <c r="FX29" i="7"/>
  <c r="GC32" i="7"/>
  <c r="GA32" i="7"/>
  <c r="FX32" i="7"/>
  <c r="GA29" i="7"/>
  <c r="FY32" i="7"/>
  <c r="GC29" i="7"/>
  <c r="FY29" i="7"/>
  <c r="F191" i="9"/>
  <c r="F193" i="9" s="1"/>
  <c r="CV146" i="7"/>
  <c r="CU147" i="7"/>
  <c r="C81" i="7"/>
  <c r="DA18" i="7"/>
  <c r="J67" i="6" l="1"/>
  <c r="L27" i="6"/>
  <c r="I67" i="6"/>
  <c r="K67" i="6"/>
  <c r="DQ16" i="7"/>
  <c r="DY16" i="7"/>
  <c r="EA16" i="7"/>
  <c r="EB16" i="7"/>
  <c r="EF16" i="7"/>
  <c r="DT16" i="7"/>
  <c r="DV16" i="7"/>
  <c r="DW16" i="7"/>
  <c r="K43" i="3"/>
  <c r="ED16" i="7"/>
  <c r="DN16" i="7"/>
  <c r="DX16" i="7"/>
  <c r="EC16" i="7"/>
  <c r="DO16" i="7"/>
  <c r="EG16" i="7"/>
  <c r="DZ16" i="7"/>
  <c r="DU16" i="7"/>
  <c r="H27" i="6"/>
  <c r="H34" i="6"/>
  <c r="I34" i="6" s="1"/>
  <c r="J34" i="6" s="1"/>
  <c r="K34" i="6" s="1"/>
  <c r="L34" i="6" s="1"/>
  <c r="EH16" i="7"/>
  <c r="DR16" i="7"/>
  <c r="DS16" i="7"/>
  <c r="DP16" i="7"/>
  <c r="EK16" i="7"/>
  <c r="H43" i="3"/>
  <c r="EI16" i="7"/>
  <c r="EE16" i="7"/>
  <c r="L43" i="3"/>
  <c r="J43" i="3"/>
  <c r="I43" i="3"/>
  <c r="EV16" i="7"/>
  <c r="CX77" i="7"/>
  <c r="DA58" i="7"/>
  <c r="EZ16" i="7"/>
  <c r="EQ16" i="7"/>
  <c r="DA77" i="7"/>
  <c r="CR23" i="7"/>
  <c r="CU23" i="7" s="1"/>
  <c r="CW23" i="7" s="1"/>
  <c r="FD16" i="7"/>
  <c r="FE16" i="7"/>
  <c r="ET16" i="7"/>
  <c r="EO16" i="7"/>
  <c r="EL16" i="7"/>
  <c r="EP16" i="7"/>
  <c r="ES16" i="7"/>
  <c r="FA16" i="7"/>
  <c r="EJ16" i="7"/>
  <c r="EX16" i="7"/>
  <c r="EW16" i="7"/>
  <c r="FB16" i="7"/>
  <c r="FC16" i="7"/>
  <c r="EM16" i="7"/>
  <c r="EN16" i="7"/>
  <c r="EY16" i="7"/>
  <c r="ER16" i="7"/>
  <c r="EU16" i="7"/>
  <c r="DA75" i="7"/>
  <c r="DA43" i="7"/>
  <c r="C94" i="7" s="1"/>
  <c r="CX75" i="7"/>
  <c r="CR116" i="7"/>
  <c r="C111" i="7" s="1"/>
  <c r="GF25" i="7"/>
  <c r="DA76" i="7"/>
  <c r="CX76" i="7"/>
  <c r="F192" i="9"/>
  <c r="G189" i="9" s="1"/>
  <c r="F97" i="9"/>
  <c r="F141" i="9"/>
  <c r="F144" i="9" s="1"/>
  <c r="G29" i="6"/>
  <c r="G60" i="6" s="1"/>
  <c r="G62" i="6" s="1"/>
  <c r="L116" i="9"/>
  <c r="K135" i="9"/>
  <c r="G85" i="3"/>
  <c r="G70" i="6" s="1"/>
  <c r="K136" i="9"/>
  <c r="G82" i="9"/>
  <c r="L59" i="6"/>
  <c r="K6" i="9"/>
  <c r="CR150" i="7"/>
  <c r="CS151" i="7"/>
  <c r="CS153" i="7" s="1"/>
  <c r="AT66" i="7"/>
  <c r="C446" i="10"/>
  <c r="CR111" i="7"/>
  <c r="C106" i="7" s="1"/>
  <c r="CR120" i="7"/>
  <c r="C115" i="7" s="1"/>
  <c r="DA13" i="7"/>
  <c r="CR42" i="7"/>
  <c r="CW146" i="7"/>
  <c r="CV147" i="7"/>
  <c r="E168" i="8"/>
  <c r="E179" i="8"/>
  <c r="K196" i="9"/>
  <c r="K197" i="9"/>
  <c r="K154" i="9"/>
  <c r="K130" i="9"/>
  <c r="G59" i="3"/>
  <c r="G16" i="3" s="1"/>
  <c r="G17" i="3"/>
  <c r="M93" i="9"/>
  <c r="AD4" i="5"/>
  <c r="P44" i="3"/>
  <c r="P43" i="3"/>
  <c r="P39" i="3"/>
  <c r="P37" i="3"/>
  <c r="P35" i="3"/>
  <c r="P33" i="3"/>
  <c r="P32" i="3"/>
  <c r="P31" i="3"/>
  <c r="P30" i="3"/>
  <c r="P29" i="3"/>
  <c r="P26" i="3"/>
  <c r="P25" i="3"/>
  <c r="P24" i="3"/>
  <c r="P23" i="3"/>
  <c r="P19" i="3"/>
  <c r="P18" i="3"/>
  <c r="P17" i="3"/>
  <c r="P16" i="3"/>
  <c r="P15" i="3"/>
  <c r="P13" i="3"/>
  <c r="P11" i="3"/>
  <c r="P10" i="3"/>
  <c r="P9" i="3"/>
  <c r="P8" i="3"/>
  <c r="P6" i="3"/>
  <c r="P4" i="3"/>
  <c r="P22" i="3"/>
  <c r="P21" i="3"/>
  <c r="Q5" i="3"/>
  <c r="M22" i="6"/>
  <c r="F168" i="8" s="1"/>
  <c r="M39" i="3"/>
  <c r="M23" i="6" s="1"/>
  <c r="AU62" i="7"/>
  <c r="AU59" i="7"/>
  <c r="AU63" i="7"/>
  <c r="AU65" i="7"/>
  <c r="AU64" i="7"/>
  <c r="AU61" i="7"/>
  <c r="AU60" i="7"/>
  <c r="AU58" i="7"/>
  <c r="AV57" i="7"/>
  <c r="M34" i="6" l="1"/>
  <c r="N34" i="6" s="1"/>
  <c r="M27" i="6"/>
  <c r="C85" i="7"/>
  <c r="DA52" i="7"/>
  <c r="C101" i="7" s="1"/>
  <c r="GH25" i="7"/>
  <c r="GF27" i="7" s="1"/>
  <c r="GF28" i="7"/>
  <c r="AU66" i="7"/>
  <c r="G30" i="6"/>
  <c r="G90" i="6" s="1"/>
  <c r="AE4" i="5"/>
  <c r="CR50" i="7"/>
  <c r="K85" i="7" s="1"/>
  <c r="CR44" i="7"/>
  <c r="K81" i="7"/>
  <c r="N73" i="9"/>
  <c r="M59" i="6"/>
  <c r="L123" i="9"/>
  <c r="L124" i="9"/>
  <c r="CS152" i="7"/>
  <c r="CS148" i="7" s="1"/>
  <c r="CS150" i="7" s="1"/>
  <c r="CS155" i="7" s="1"/>
  <c r="CS154" i="7"/>
  <c r="CT151" i="7" s="1"/>
  <c r="M73" i="2"/>
  <c r="AV62" i="7"/>
  <c r="AV59" i="7"/>
  <c r="AV65" i="7"/>
  <c r="AV64" i="7"/>
  <c r="AV63" i="7"/>
  <c r="AV58" i="7"/>
  <c r="AW57" i="7"/>
  <c r="AV61" i="7"/>
  <c r="AV60" i="7"/>
  <c r="Q44" i="3"/>
  <c r="Q43" i="3"/>
  <c r="Q39" i="3"/>
  <c r="Q37" i="3"/>
  <c r="Q35" i="3"/>
  <c r="Q33" i="3"/>
  <c r="Q32" i="3"/>
  <c r="Q31" i="3"/>
  <c r="Q30" i="3"/>
  <c r="Q29" i="3"/>
  <c r="Q26" i="3"/>
  <c r="Q25" i="3"/>
  <c r="Q24" i="3"/>
  <c r="Q23" i="3"/>
  <c r="Q22" i="3"/>
  <c r="Q19" i="3"/>
  <c r="Q15" i="3"/>
  <c r="Q9" i="3"/>
  <c r="Q18" i="3"/>
  <c r="Q13" i="3"/>
  <c r="Q8" i="3"/>
  <c r="Q17" i="3"/>
  <c r="Q11" i="3"/>
  <c r="Q6" i="3"/>
  <c r="Q21" i="3"/>
  <c r="R5" i="3"/>
  <c r="Q4" i="3"/>
  <c r="Q16" i="3"/>
  <c r="Q10" i="3"/>
  <c r="G19" i="3"/>
  <c r="CX146" i="7"/>
  <c r="CW147" i="7"/>
  <c r="G80" i="9"/>
  <c r="G81" i="9" s="1"/>
  <c r="F157" i="9"/>
  <c r="F103" i="9"/>
  <c r="F105" i="9" s="1"/>
  <c r="F106" i="9" s="1"/>
  <c r="GF29" i="7" l="1"/>
  <c r="G43" i="6"/>
  <c r="L128" i="9"/>
  <c r="R44" i="3"/>
  <c r="R43" i="3"/>
  <c r="R39" i="3"/>
  <c r="R37" i="3"/>
  <c r="R35" i="3"/>
  <c r="R33" i="3"/>
  <c r="R32" i="3"/>
  <c r="R31" i="3"/>
  <c r="R30" i="3"/>
  <c r="R29" i="3"/>
  <c r="R26" i="3"/>
  <c r="R25" i="3"/>
  <c r="R24" i="3"/>
  <c r="R23" i="3"/>
  <c r="R22" i="3"/>
  <c r="R21" i="3"/>
  <c r="R4" i="3"/>
  <c r="R18" i="3"/>
  <c r="R13" i="3"/>
  <c r="R8" i="3"/>
  <c r="R17" i="3"/>
  <c r="R11" i="3"/>
  <c r="R6" i="3"/>
  <c r="R19" i="3"/>
  <c r="R16" i="3"/>
  <c r="R15" i="3"/>
  <c r="R10" i="3"/>
  <c r="R9" i="3"/>
  <c r="AW62" i="7"/>
  <c r="AW59" i="7"/>
  <c r="AW63" i="7"/>
  <c r="AW64" i="7"/>
  <c r="AW61" i="7"/>
  <c r="AW58" i="7"/>
  <c r="AX57" i="7"/>
  <c r="AW60" i="7"/>
  <c r="AW65" i="7"/>
  <c r="L197" i="9"/>
  <c r="L196" i="9"/>
  <c r="L154" i="9"/>
  <c r="L130" i="9"/>
  <c r="M72" i="2"/>
  <c r="G78" i="9"/>
  <c r="H79" i="9"/>
  <c r="G86" i="9"/>
  <c r="G88" i="9"/>
  <c r="G89" i="9"/>
  <c r="G147" i="9" s="1"/>
  <c r="G83" i="9"/>
  <c r="G84" i="9" s="1"/>
  <c r="G85" i="9"/>
  <c r="F107" i="9"/>
  <c r="F151" i="9" s="1"/>
  <c r="N93" i="9"/>
  <c r="CT152" i="7"/>
  <c r="CT148" i="7" s="1"/>
  <c r="CT150" i="7" s="1"/>
  <c r="CT153" i="7"/>
  <c r="CT154" i="7" s="1"/>
  <c r="CU151" i="7" s="1"/>
  <c r="AF4" i="5"/>
  <c r="CY146" i="7"/>
  <c r="CX147" i="7"/>
  <c r="AV66" i="7"/>
  <c r="K83" i="7"/>
  <c r="F153" i="9" l="1"/>
  <c r="F155" i="9" s="1"/>
  <c r="CU152" i="7"/>
  <c r="CU148" i="7" s="1"/>
  <c r="CU150" i="7" s="1"/>
  <c r="CU153" i="7"/>
  <c r="CU154" i="7" s="1"/>
  <c r="CV151" i="7" s="1"/>
  <c r="G146" i="9"/>
  <c r="G92" i="9"/>
  <c r="G98" i="9" s="1"/>
  <c r="AX63" i="7"/>
  <c r="AX58" i="7"/>
  <c r="AX64" i="7"/>
  <c r="AY57" i="7"/>
  <c r="AX60" i="7"/>
  <c r="AX62" i="7"/>
  <c r="AX59" i="7"/>
  <c r="AX65" i="7"/>
  <c r="AX61" i="7"/>
  <c r="O73" i="9"/>
  <c r="AW66" i="7"/>
  <c r="G156" i="9"/>
  <c r="M75" i="2"/>
  <c r="CT155" i="7"/>
  <c r="M116" i="9"/>
  <c r="L135" i="9"/>
  <c r="F148" i="9"/>
  <c r="F205" i="9" s="1"/>
  <c r="F200" i="9"/>
  <c r="F201" i="9" s="1"/>
  <c r="AG4" i="5"/>
  <c r="CY147" i="7"/>
  <c r="CZ146" i="7"/>
  <c r="F110" i="9"/>
  <c r="F113" i="9" s="1"/>
  <c r="L136" i="9"/>
  <c r="CV152" i="7" l="1"/>
  <c r="CV148" i="7" s="1"/>
  <c r="CV150" i="7" s="1"/>
  <c r="CV153" i="7"/>
  <c r="CV154" i="7" s="1"/>
  <c r="CW151" i="7" s="1"/>
  <c r="M69" i="2"/>
  <c r="M77" i="2" s="1"/>
  <c r="H57" i="3" s="1"/>
  <c r="M199" i="2"/>
  <c r="AH4" i="5"/>
  <c r="AY63" i="7"/>
  <c r="AY64" i="7"/>
  <c r="AY61" i="7"/>
  <c r="AZ57" i="7"/>
  <c r="AY58" i="7"/>
  <c r="AY60" i="7"/>
  <c r="AY59" i="7"/>
  <c r="AY65" i="7"/>
  <c r="AY62" i="7"/>
  <c r="G101" i="9"/>
  <c r="F112" i="9"/>
  <c r="F111" i="9"/>
  <c r="F202" i="9"/>
  <c r="F134" i="9"/>
  <c r="G38" i="6"/>
  <c r="G39" i="6" s="1"/>
  <c r="F133" i="9"/>
  <c r="F198" i="9" s="1"/>
  <c r="CZ147" i="7"/>
  <c r="DA146" i="7"/>
  <c r="M123" i="9"/>
  <c r="M124" i="9"/>
  <c r="H74" i="9"/>
  <c r="G94" i="9"/>
  <c r="G95" i="9"/>
  <c r="G96" i="9"/>
  <c r="AX66" i="7"/>
  <c r="O93" i="9"/>
  <c r="CU155" i="7"/>
  <c r="G97" i="9" l="1"/>
  <c r="H59" i="3"/>
  <c r="CW152" i="7"/>
  <c r="CW148" i="7" s="1"/>
  <c r="CW150" i="7" s="1"/>
  <c r="CW153" i="7"/>
  <c r="CW154" i="7" s="1"/>
  <c r="CX151" i="7" s="1"/>
  <c r="H85" i="3"/>
  <c r="H82" i="9"/>
  <c r="H80" i="9" s="1"/>
  <c r="H81" i="9" s="1"/>
  <c r="AI4" i="5"/>
  <c r="G108" i="9"/>
  <c r="G109" i="9"/>
  <c r="H39" i="8"/>
  <c r="J39" i="8" s="1"/>
  <c r="H40" i="8"/>
  <c r="J40" i="8" s="1"/>
  <c r="M197" i="9"/>
  <c r="M196" i="9"/>
  <c r="M154" i="9"/>
  <c r="M130" i="9"/>
  <c r="CV155" i="7"/>
  <c r="M128" i="9"/>
  <c r="F199" i="9"/>
  <c r="AY66" i="7"/>
  <c r="AZ64" i="7"/>
  <c r="AZ61" i="7"/>
  <c r="AZ58" i="7"/>
  <c r="AZ65" i="7"/>
  <c r="BA57" i="7"/>
  <c r="AZ60" i="7"/>
  <c r="AZ63" i="7"/>
  <c r="AZ59" i="7"/>
  <c r="AZ62" i="7"/>
  <c r="P73" i="9"/>
  <c r="DA147" i="7"/>
  <c r="DB146" i="7"/>
  <c r="CX152" i="7" l="1"/>
  <c r="CX148" i="7" s="1"/>
  <c r="CX150" i="7" s="1"/>
  <c r="CX153" i="7"/>
  <c r="CX154" i="7" s="1"/>
  <c r="CY151" i="7" s="1"/>
  <c r="N73" i="2"/>
  <c r="H85" i="9"/>
  <c r="BA61" i="7"/>
  <c r="BA64" i="7"/>
  <c r="BA58" i="7"/>
  <c r="BA60" i="7"/>
  <c r="BB57" i="7"/>
  <c r="BA63" i="7"/>
  <c r="BA59" i="7"/>
  <c r="BA65" i="7"/>
  <c r="BA62" i="7"/>
  <c r="DB149" i="7"/>
  <c r="DB147" i="7"/>
  <c r="G145" i="9"/>
  <c r="G190" i="9"/>
  <c r="N72" i="2"/>
  <c r="H78" i="9"/>
  <c r="I79" i="9"/>
  <c r="H83" i="9"/>
  <c r="H84" i="9" s="1"/>
  <c r="H89" i="9"/>
  <c r="H147" i="9" s="1"/>
  <c r="AZ66" i="7"/>
  <c r="CW155" i="7"/>
  <c r="H88" i="9"/>
  <c r="AJ4" i="5"/>
  <c r="N116" i="9"/>
  <c r="M135" i="9"/>
  <c r="P93" i="9"/>
  <c r="H86" i="9"/>
  <c r="M136" i="9"/>
  <c r="BA66" i="7" l="1"/>
  <c r="CY152" i="7"/>
  <c r="CY148" i="7" s="1"/>
  <c r="CY150" i="7" s="1"/>
  <c r="CY153" i="7"/>
  <c r="CY154" i="7" s="1"/>
  <c r="CZ151" i="7" s="1"/>
  <c r="H92" i="9"/>
  <c r="G204" i="9"/>
  <c r="AK4" i="5"/>
  <c r="H146" i="9"/>
  <c r="N123" i="9"/>
  <c r="N124" i="9"/>
  <c r="N128" i="9" s="1"/>
  <c r="H98" i="9"/>
  <c r="G191" i="9"/>
  <c r="G193" i="9" s="1"/>
  <c r="H156" i="9"/>
  <c r="BB64" i="7"/>
  <c r="BB58" i="7"/>
  <c r="BB65" i="7"/>
  <c r="BC57" i="7"/>
  <c r="BB63" i="7"/>
  <c r="BB60" i="7"/>
  <c r="BB59" i="7"/>
  <c r="BB62" i="7"/>
  <c r="BB61" i="7"/>
  <c r="CX155" i="7"/>
  <c r="Q73" i="9"/>
  <c r="N75" i="2"/>
  <c r="G192" i="9" l="1"/>
  <c r="H189" i="9" s="1"/>
  <c r="G141" i="9"/>
  <c r="G144" i="9" s="1"/>
  <c r="O116" i="9"/>
  <c r="N135" i="9"/>
  <c r="CZ152" i="7"/>
  <c r="CZ148" i="7" s="1"/>
  <c r="CZ150" i="7" s="1"/>
  <c r="CZ153" i="7"/>
  <c r="CZ154" i="7" s="1"/>
  <c r="DA151" i="7" s="1"/>
  <c r="BB66" i="7"/>
  <c r="I6" i="5"/>
  <c r="BC65" i="7"/>
  <c r="BC60" i="7"/>
  <c r="BC63" i="7"/>
  <c r="BC59" i="7"/>
  <c r="BC58" i="7"/>
  <c r="BC62" i="7"/>
  <c r="BC61" i="7"/>
  <c r="BD57" i="7"/>
  <c r="BC64" i="7"/>
  <c r="I74" i="9"/>
  <c r="H94" i="9"/>
  <c r="H95" i="9"/>
  <c r="H96" i="9"/>
  <c r="N69" i="2"/>
  <c r="N77" i="2" s="1"/>
  <c r="I57" i="3" s="1"/>
  <c r="N199" i="2"/>
  <c r="N136" i="9"/>
  <c r="Q93" i="9"/>
  <c r="N196" i="9"/>
  <c r="N197" i="9"/>
  <c r="N154" i="9"/>
  <c r="N130" i="9"/>
  <c r="CY155" i="7"/>
  <c r="CZ155" i="7" l="1"/>
  <c r="I59" i="3"/>
  <c r="R73" i="9"/>
  <c r="BC66" i="7"/>
  <c r="BD65" i="7"/>
  <c r="BD60" i="7"/>
  <c r="BE57" i="7"/>
  <c r="BD63" i="7"/>
  <c r="BD59" i="7"/>
  <c r="BD58" i="7"/>
  <c r="BD62" i="7"/>
  <c r="BD61" i="7"/>
  <c r="BD64" i="7"/>
  <c r="DA152" i="7"/>
  <c r="DA148" i="7" s="1"/>
  <c r="DA150" i="7" s="1"/>
  <c r="DA153" i="7"/>
  <c r="DA154" i="7" s="1"/>
  <c r="DB151" i="7" s="1"/>
  <c r="O123" i="9"/>
  <c r="O124" i="9"/>
  <c r="O128" i="9" s="1"/>
  <c r="I82" i="9"/>
  <c r="I85" i="3"/>
  <c r="H97" i="9"/>
  <c r="M6" i="5"/>
  <c r="N6" i="5"/>
  <c r="O6" i="5"/>
  <c r="P6" i="5"/>
  <c r="Q6" i="5"/>
  <c r="R6" i="5"/>
  <c r="S6" i="5"/>
  <c r="T6" i="5"/>
  <c r="U6" i="5"/>
  <c r="V6" i="5"/>
  <c r="W6" i="5"/>
  <c r="X6" i="5"/>
  <c r="Y6" i="5"/>
  <c r="Z6" i="5"/>
  <c r="AA6" i="5"/>
  <c r="AB6" i="5"/>
  <c r="AC6" i="5"/>
  <c r="AD6" i="5"/>
  <c r="AE6" i="5"/>
  <c r="AF6" i="5"/>
  <c r="AG6" i="5"/>
  <c r="AH6" i="5"/>
  <c r="AI6" i="5"/>
  <c r="AJ6" i="5"/>
  <c r="AK6" i="5"/>
  <c r="G157" i="9"/>
  <c r="G103" i="9"/>
  <c r="G105" i="9" s="1"/>
  <c r="G106" i="9" s="1"/>
  <c r="P116" i="9" l="1"/>
  <c r="O135" i="9"/>
  <c r="DB152" i="7"/>
  <c r="DB148" i="7" s="1"/>
  <c r="DB150" i="7" s="1"/>
  <c r="DB153" i="7"/>
  <c r="DB154" i="7" s="1"/>
  <c r="CR160" i="7" s="1"/>
  <c r="BD66" i="7"/>
  <c r="O136" i="9"/>
  <c r="O196" i="9"/>
  <c r="O197" i="9"/>
  <c r="O154" i="9"/>
  <c r="O130" i="9"/>
  <c r="R93" i="9"/>
  <c r="BE60" i="7"/>
  <c r="BF57" i="7"/>
  <c r="BE62" i="7"/>
  <c r="BE59" i="7"/>
  <c r="BE58" i="7"/>
  <c r="BE61" i="7"/>
  <c r="BE65" i="7"/>
  <c r="BE64" i="7"/>
  <c r="BE63" i="7"/>
  <c r="O73" i="2"/>
  <c r="DA155" i="7"/>
  <c r="I80" i="9"/>
  <c r="I81" i="9" s="1"/>
  <c r="G107" i="9"/>
  <c r="G151" i="9" s="1"/>
  <c r="G153" i="9" l="1"/>
  <c r="G155" i="9" s="1"/>
  <c r="C176" i="10"/>
  <c r="BF65" i="7"/>
  <c r="BF63" i="7"/>
  <c r="BG57" i="7"/>
  <c r="BF61" i="7"/>
  <c r="BF60" i="7"/>
  <c r="BF62" i="7"/>
  <c r="BF59" i="7"/>
  <c r="BF58" i="7"/>
  <c r="BF64" i="7"/>
  <c r="BE66" i="7"/>
  <c r="DB155" i="7"/>
  <c r="CR156" i="7"/>
  <c r="G148" i="9"/>
  <c r="G205" i="9" s="1"/>
  <c r="G200" i="9"/>
  <c r="G201" i="9" s="1"/>
  <c r="G110" i="9"/>
  <c r="G113" i="9" s="1"/>
  <c r="O72" i="2"/>
  <c r="I78" i="9"/>
  <c r="J79" i="9"/>
  <c r="I89" i="9"/>
  <c r="I147" i="9" s="1"/>
  <c r="I88" i="9"/>
  <c r="I83" i="9"/>
  <c r="I84" i="9" s="1"/>
  <c r="I85" i="9"/>
  <c r="I86" i="9"/>
  <c r="S73" i="9"/>
  <c r="P123" i="9"/>
  <c r="P124" i="9"/>
  <c r="BF66" i="7" l="1"/>
  <c r="CS157" i="7"/>
  <c r="CR157" i="7"/>
  <c r="I92" i="9"/>
  <c r="BG62" i="7"/>
  <c r="BG59" i="7"/>
  <c r="BG61" i="7"/>
  <c r="BG60" i="7"/>
  <c r="BG64" i="7"/>
  <c r="BG65" i="7"/>
  <c r="BG58" i="7"/>
  <c r="BH57" i="7"/>
  <c r="BG63" i="7"/>
  <c r="P197" i="9"/>
  <c r="P196" i="9"/>
  <c r="P154" i="9"/>
  <c r="P130" i="9"/>
  <c r="P128" i="9"/>
  <c r="I156" i="9"/>
  <c r="I146" i="9"/>
  <c r="S93" i="9"/>
  <c r="O75" i="2"/>
  <c r="H101" i="9"/>
  <c r="G112" i="9"/>
  <c r="G111" i="9"/>
  <c r="G134" i="9"/>
  <c r="G199" i="9" s="1"/>
  <c r="G202" i="9"/>
  <c r="G133" i="9"/>
  <c r="G198" i="9" s="1"/>
  <c r="O69" i="2" l="1"/>
  <c r="O77" i="2" s="1"/>
  <c r="J57" i="3" s="1"/>
  <c r="O199" i="2"/>
  <c r="J74" i="9"/>
  <c r="I94" i="9"/>
  <c r="I95" i="9"/>
  <c r="I96" i="9"/>
  <c r="I98" i="9"/>
  <c r="T73" i="9"/>
  <c r="H108" i="9"/>
  <c r="H109" i="9"/>
  <c r="Q116" i="9"/>
  <c r="P135" i="9"/>
  <c r="BH62" i="7"/>
  <c r="BH59" i="7"/>
  <c r="BH63" i="7"/>
  <c r="BH65" i="7"/>
  <c r="BH58" i="7"/>
  <c r="BI57" i="7"/>
  <c r="BH64" i="7"/>
  <c r="BH61" i="7"/>
  <c r="BH60" i="7"/>
  <c r="BG66" i="7"/>
  <c r="P136" i="9"/>
  <c r="I97" i="9" l="1"/>
  <c r="BH66" i="7"/>
  <c r="Q123" i="9"/>
  <c r="Q124" i="9"/>
  <c r="J85" i="3"/>
  <c r="BI62" i="7"/>
  <c r="BI59" i="7"/>
  <c r="BI61" i="7"/>
  <c r="BI65" i="7"/>
  <c r="BI64" i="7"/>
  <c r="BJ57" i="7"/>
  <c r="BI63" i="7"/>
  <c r="BI60" i="7"/>
  <c r="BI58" i="7"/>
  <c r="J82" i="9"/>
  <c r="J80" i="9" s="1"/>
  <c r="J81" i="9" s="1"/>
  <c r="H145" i="9"/>
  <c r="H190" i="9"/>
  <c r="T93" i="9"/>
  <c r="J59" i="3"/>
  <c r="F203" i="9" l="1"/>
  <c r="BI66" i="7"/>
  <c r="P72" i="2"/>
  <c r="J78" i="9"/>
  <c r="K79" i="9"/>
  <c r="J88" i="9"/>
  <c r="J83" i="9"/>
  <c r="J84" i="9" s="1"/>
  <c r="J89" i="9"/>
  <c r="J147" i="9" s="1"/>
  <c r="J86" i="9"/>
  <c r="J85" i="9"/>
  <c r="Q128" i="9"/>
  <c r="Q196" i="9"/>
  <c r="Q197" i="9"/>
  <c r="Q154" i="9"/>
  <c r="Q130" i="9"/>
  <c r="F132" i="9"/>
  <c r="F131" i="9"/>
  <c r="H204" i="9"/>
  <c r="U73" i="9"/>
  <c r="H191" i="9"/>
  <c r="H192" i="9" s="1"/>
  <c r="I189" i="9" s="1"/>
  <c r="BJ63" i="7"/>
  <c r="BJ64" i="7"/>
  <c r="BJ58" i="7"/>
  <c r="BJ62" i="7"/>
  <c r="BJ65" i="7"/>
  <c r="BK57" i="7"/>
  <c r="BJ61" i="7"/>
  <c r="BJ60" i="7"/>
  <c r="BJ59" i="7"/>
  <c r="P73" i="2"/>
  <c r="H193" i="9" l="1"/>
  <c r="H141" i="9" s="1"/>
  <c r="H144" i="9" s="1"/>
  <c r="R116" i="9"/>
  <c r="Q135" i="9"/>
  <c r="BK63" i="7"/>
  <c r="BK61" i="7"/>
  <c r="BK62" i="7"/>
  <c r="BK65" i="7"/>
  <c r="BK64" i="7"/>
  <c r="BK58" i="7"/>
  <c r="BK60" i="7"/>
  <c r="BK59" i="7"/>
  <c r="BL57" i="7"/>
  <c r="U93" i="9"/>
  <c r="J92" i="9"/>
  <c r="J146" i="9"/>
  <c r="BJ66" i="7"/>
  <c r="J156" i="9"/>
  <c r="Q136" i="9"/>
  <c r="P75" i="2"/>
  <c r="V73" i="9" l="1"/>
  <c r="BL64" i="7"/>
  <c r="BL62" i="7"/>
  <c r="BL63" i="7"/>
  <c r="BL61" i="7"/>
  <c r="BL58" i="7"/>
  <c r="BL65" i="7"/>
  <c r="BM57" i="7"/>
  <c r="BL60" i="7"/>
  <c r="BL59" i="7"/>
  <c r="P69" i="2"/>
  <c r="P199" i="2"/>
  <c r="BK66" i="7"/>
  <c r="H157" i="9"/>
  <c r="H103" i="9"/>
  <c r="H105" i="9" s="1"/>
  <c r="H106" i="9" s="1"/>
  <c r="R123" i="9"/>
  <c r="R124" i="9"/>
  <c r="K74" i="9"/>
  <c r="J95" i="9"/>
  <c r="J94" i="9"/>
  <c r="J96" i="9"/>
  <c r="J98" i="9"/>
  <c r="J97" i="9" l="1"/>
  <c r="BM61" i="7"/>
  <c r="BM58" i="7"/>
  <c r="BM64" i="7"/>
  <c r="BM65" i="7"/>
  <c r="BM60" i="7"/>
  <c r="BN57" i="7"/>
  <c r="BM59" i="7"/>
  <c r="BM62" i="7"/>
  <c r="BM63" i="7"/>
  <c r="K82" i="9"/>
  <c r="Q73" i="2" s="1"/>
  <c r="BL66" i="7"/>
  <c r="H107" i="9"/>
  <c r="H148" i="9" s="1"/>
  <c r="H205" i="9" s="1"/>
  <c r="R196" i="9"/>
  <c r="R197" i="9"/>
  <c r="R154" i="9"/>
  <c r="R130" i="9"/>
  <c r="G131" i="9"/>
  <c r="G132" i="9"/>
  <c r="G203" i="9"/>
  <c r="K85" i="3"/>
  <c r="V93" i="9"/>
  <c r="R128" i="9"/>
  <c r="P77" i="2"/>
  <c r="K57" i="3" s="1"/>
  <c r="K80" i="9" l="1"/>
  <c r="K81" i="9" s="1"/>
  <c r="K86" i="9" s="1"/>
  <c r="H151" i="9"/>
  <c r="H153" i="9" s="1"/>
  <c r="BN58" i="7"/>
  <c r="BN64" i="7"/>
  <c r="BO57" i="7"/>
  <c r="BN65" i="7"/>
  <c r="BN63" i="7"/>
  <c r="BN62" i="7"/>
  <c r="BN61" i="7"/>
  <c r="BN59" i="7"/>
  <c r="BN60" i="7"/>
  <c r="W73" i="9"/>
  <c r="BM66" i="7"/>
  <c r="K59" i="3"/>
  <c r="S116" i="9"/>
  <c r="R135" i="9"/>
  <c r="R136" i="9"/>
  <c r="H110" i="9"/>
  <c r="Q72" i="2" l="1"/>
  <c r="Q75" i="2" s="1"/>
  <c r="K85" i="9"/>
  <c r="K89" i="9"/>
  <c r="K92" i="9" s="1"/>
  <c r="K83" i="9"/>
  <c r="K84" i="9" s="1"/>
  <c r="L79" i="9"/>
  <c r="K78" i="9"/>
  <c r="K156" i="9" s="1"/>
  <c r="K88" i="9"/>
  <c r="H155" i="9"/>
  <c r="H200" i="9"/>
  <c r="H201" i="9" s="1"/>
  <c r="S123" i="9"/>
  <c r="S124" i="9"/>
  <c r="W93" i="9"/>
  <c r="BO64" i="7"/>
  <c r="BO65" i="7"/>
  <c r="BO60" i="7"/>
  <c r="BP57" i="7"/>
  <c r="BO59" i="7"/>
  <c r="BO63" i="7"/>
  <c r="BO58" i="7"/>
  <c r="BO62" i="7"/>
  <c r="BO61" i="7"/>
  <c r="I101" i="9"/>
  <c r="H112" i="9"/>
  <c r="H111" i="9"/>
  <c r="H202" i="9"/>
  <c r="H133" i="9"/>
  <c r="H198" i="9" s="1"/>
  <c r="H134" i="9"/>
  <c r="H113" i="9"/>
  <c r="BN66" i="7"/>
  <c r="K147" i="9" l="1"/>
  <c r="K146" i="9"/>
  <c r="H203" i="9"/>
  <c r="BO66" i="7"/>
  <c r="S196" i="9"/>
  <c r="S197" i="9"/>
  <c r="S154" i="9"/>
  <c r="S130" i="9"/>
  <c r="H131" i="9"/>
  <c r="H132" i="9"/>
  <c r="I108" i="9"/>
  <c r="I109" i="9"/>
  <c r="H199" i="9"/>
  <c r="S128" i="9"/>
  <c r="BP65" i="7"/>
  <c r="BP60" i="7"/>
  <c r="BQ57" i="7"/>
  <c r="BP64" i="7"/>
  <c r="BP59" i="7"/>
  <c r="BP63" i="7"/>
  <c r="BP58" i="7"/>
  <c r="BP61" i="7"/>
  <c r="BP62" i="7"/>
  <c r="L74" i="9"/>
  <c r="K95" i="9"/>
  <c r="K96" i="9"/>
  <c r="K94" i="9"/>
  <c r="K98" i="9"/>
  <c r="X73" i="9"/>
  <c r="Q69" i="2"/>
  <c r="Q77" i="2" s="1"/>
  <c r="L57" i="3" s="1"/>
  <c r="L59" i="3" s="1"/>
  <c r="Q199" i="2"/>
  <c r="K97" i="9" l="1"/>
  <c r="BP66" i="7"/>
  <c r="L85" i="3"/>
  <c r="BQ65" i="7"/>
  <c r="BQ60" i="7"/>
  <c r="BR57" i="7"/>
  <c r="BQ59" i="7"/>
  <c r="BQ64" i="7"/>
  <c r="BQ63" i="7"/>
  <c r="BQ58" i="7"/>
  <c r="BQ62" i="7"/>
  <c r="BQ61" i="7"/>
  <c r="T116" i="9"/>
  <c r="S135" i="9"/>
  <c r="X93" i="9"/>
  <c r="S136" i="9"/>
  <c r="L82" i="9"/>
  <c r="R73" i="2" s="1"/>
  <c r="I145" i="9"/>
  <c r="I190" i="9"/>
  <c r="L80" i="9" l="1"/>
  <c r="L81" i="9" s="1"/>
  <c r="L83" i="9" s="1"/>
  <c r="L84" i="9" s="1"/>
  <c r="BR65" i="7"/>
  <c r="BR63" i="7"/>
  <c r="BS57" i="7"/>
  <c r="BR62" i="7"/>
  <c r="BR64" i="7"/>
  <c r="BR59" i="7"/>
  <c r="BR58" i="7"/>
  <c r="BR61" i="7"/>
  <c r="BR60" i="7"/>
  <c r="Y73" i="9"/>
  <c r="T123" i="9"/>
  <c r="T124" i="9"/>
  <c r="I191" i="9"/>
  <c r="I193" i="9" s="1"/>
  <c r="I204" i="9"/>
  <c r="BQ66" i="7"/>
  <c r="R72" i="2" l="1"/>
  <c r="R75" i="2" s="1"/>
  <c r="L86" i="9"/>
  <c r="L89" i="9"/>
  <c r="L147" i="9" s="1"/>
  <c r="L85" i="9"/>
  <c r="L78" i="9"/>
  <c r="L156" i="9" s="1"/>
  <c r="M79" i="9"/>
  <c r="I192" i="9"/>
  <c r="J189" i="9" s="1"/>
  <c r="L88" i="9"/>
  <c r="I203" i="9"/>
  <c r="I141" i="9"/>
  <c r="I144" i="9" s="1"/>
  <c r="T128" i="9"/>
  <c r="T136" i="9" s="1"/>
  <c r="T197" i="9"/>
  <c r="T154" i="9"/>
  <c r="T196" i="9"/>
  <c r="T130" i="9"/>
  <c r="I132" i="9"/>
  <c r="I131" i="9"/>
  <c r="BS59" i="7"/>
  <c r="BS64" i="7"/>
  <c r="BS58" i="7"/>
  <c r="BT57" i="7"/>
  <c r="BS63" i="7"/>
  <c r="BS61" i="7"/>
  <c r="BS60" i="7"/>
  <c r="BS65" i="7"/>
  <c r="BS62" i="7"/>
  <c r="Y93" i="9"/>
  <c r="BR66" i="7"/>
  <c r="L92" i="9" l="1"/>
  <c r="L98" i="9" s="1"/>
  <c r="L146" i="9"/>
  <c r="R69" i="2"/>
  <c r="R77" i="2" s="1"/>
  <c r="M57" i="3" s="1"/>
  <c r="M59" i="3" s="1"/>
  <c r="R199" i="2"/>
  <c r="U116" i="9"/>
  <c r="T135" i="9"/>
  <c r="BT59" i="7"/>
  <c r="BT62" i="7"/>
  <c r="BT58" i="7"/>
  <c r="BU57" i="7"/>
  <c r="BT63" i="7"/>
  <c r="BT61" i="7"/>
  <c r="BT60" i="7"/>
  <c r="BT64" i="7"/>
  <c r="BT65" i="7"/>
  <c r="BS66" i="7"/>
  <c r="Z73" i="9"/>
  <c r="I157" i="9"/>
  <c r="I103" i="9"/>
  <c r="I105" i="9" s="1"/>
  <c r="I106" i="9" s="1"/>
  <c r="L96" i="9" l="1"/>
  <c r="L94" i="9"/>
  <c r="L95" i="9"/>
  <c r="M74" i="9"/>
  <c r="M82" i="9" s="1"/>
  <c r="S73" i="2" s="1"/>
  <c r="BU59" i="7"/>
  <c r="BU62" i="7"/>
  <c r="BU63" i="7"/>
  <c r="BU61" i="7"/>
  <c r="BU58" i="7"/>
  <c r="BV57" i="7"/>
  <c r="BU60" i="7"/>
  <c r="BU64" i="7"/>
  <c r="BU65" i="7"/>
  <c r="BT66" i="7"/>
  <c r="I107" i="9"/>
  <c r="I148" i="9" s="1"/>
  <c r="I205" i="9" s="1"/>
  <c r="Z93" i="9"/>
  <c r="M85" i="3"/>
  <c r="U123" i="9"/>
  <c r="U124" i="9"/>
  <c r="U128" i="9" s="1"/>
  <c r="U136" i="9" s="1"/>
  <c r="L97" i="9" l="1"/>
  <c r="I151" i="9"/>
  <c r="I200" i="9" s="1"/>
  <c r="I201" i="9" s="1"/>
  <c r="M80" i="9"/>
  <c r="M81" i="9" s="1"/>
  <c r="BU66" i="7"/>
  <c r="V116" i="9"/>
  <c r="U135" i="9"/>
  <c r="BV62" i="7"/>
  <c r="BV58" i="7"/>
  <c r="BV63" i="7"/>
  <c r="BV60" i="7"/>
  <c r="BV61" i="7"/>
  <c r="BV59" i="7"/>
  <c r="BV65" i="7"/>
  <c r="BW57" i="7"/>
  <c r="BV64" i="7"/>
  <c r="U197" i="9"/>
  <c r="U196" i="9"/>
  <c r="U154" i="9"/>
  <c r="U130" i="9"/>
  <c r="J132" i="9"/>
  <c r="J131" i="9"/>
  <c r="AA73" i="9"/>
  <c r="I110" i="9"/>
  <c r="I113" i="9" s="1"/>
  <c r="J203" i="9"/>
  <c r="I153" i="9" l="1"/>
  <c r="I155" i="9" s="1"/>
  <c r="M83" i="9"/>
  <c r="M84" i="9" s="1"/>
  <c r="M89" i="9"/>
  <c r="M147" i="9" s="1"/>
  <c r="M86" i="9"/>
  <c r="N79" i="9"/>
  <c r="M78" i="9"/>
  <c r="M156" i="9" s="1"/>
  <c r="S72" i="2"/>
  <c r="S75" i="2" s="1"/>
  <c r="M88" i="9"/>
  <c r="M85" i="9"/>
  <c r="BV66" i="7"/>
  <c r="AA93" i="9"/>
  <c r="BW63" i="7"/>
  <c r="BW61" i="7"/>
  <c r="BW64" i="7"/>
  <c r="BW60" i="7"/>
  <c r="BW59" i="7"/>
  <c r="BW62" i="7"/>
  <c r="BW65" i="7"/>
  <c r="BW58" i="7"/>
  <c r="BX57" i="7"/>
  <c r="V123" i="9"/>
  <c r="V124" i="9"/>
  <c r="J101" i="9"/>
  <c r="I112" i="9"/>
  <c r="I111" i="9"/>
  <c r="I134" i="9"/>
  <c r="I199" i="9" s="1"/>
  <c r="I202" i="9"/>
  <c r="I133" i="9"/>
  <c r="I198" i="9" s="1"/>
  <c r="K203" i="9" l="1"/>
  <c r="M146" i="9"/>
  <c r="BW66" i="7"/>
  <c r="M92" i="9"/>
  <c r="J108" i="9"/>
  <c r="J109" i="9"/>
  <c r="V128" i="9"/>
  <c r="V136" i="9" s="1"/>
  <c r="AB73" i="9"/>
  <c r="S69" i="2"/>
  <c r="S77" i="2" s="1"/>
  <c r="N57" i="3" s="1"/>
  <c r="N59" i="3" s="1"/>
  <c r="S199" i="2"/>
  <c r="V197" i="9"/>
  <c r="V196" i="9"/>
  <c r="V154" i="9"/>
  <c r="V130" i="9"/>
  <c r="K132" i="9"/>
  <c r="K131" i="9"/>
  <c r="BX64" i="7"/>
  <c r="BX62" i="7"/>
  <c r="BX63" i="7"/>
  <c r="BX61" i="7"/>
  <c r="BX58" i="7"/>
  <c r="BX59" i="7"/>
  <c r="BX60" i="7"/>
  <c r="BX65" i="7"/>
  <c r="BY57" i="7"/>
  <c r="N74" i="9" l="1"/>
  <c r="M95" i="9"/>
  <c r="M96" i="9"/>
  <c r="M94" i="9"/>
  <c r="M98" i="9"/>
  <c r="W116" i="9"/>
  <c r="V135" i="9"/>
  <c r="BY63" i="7"/>
  <c r="BY61" i="7"/>
  <c r="BY58" i="7"/>
  <c r="BY60" i="7"/>
  <c r="BY62" i="7"/>
  <c r="BY65" i="7"/>
  <c r="BY64" i="7"/>
  <c r="BZ57" i="7"/>
  <c r="BY59" i="7"/>
  <c r="BX66" i="7"/>
  <c r="N85" i="3"/>
  <c r="AB93" i="9"/>
  <c r="J145" i="9"/>
  <c r="J190" i="9"/>
  <c r="M97" i="9" l="1"/>
  <c r="N82" i="9"/>
  <c r="T73" i="2" s="1"/>
  <c r="BY66" i="7"/>
  <c r="J191" i="9"/>
  <c r="J193" i="9" s="1"/>
  <c r="J204" i="9"/>
  <c r="W123" i="9"/>
  <c r="W124" i="9"/>
  <c r="BZ58" i="7"/>
  <c r="BZ64" i="7"/>
  <c r="BZ65" i="7"/>
  <c r="CA57" i="7"/>
  <c r="BZ63" i="7"/>
  <c r="BZ61" i="7"/>
  <c r="BZ62" i="7"/>
  <c r="BZ60" i="7"/>
  <c r="BZ59" i="7"/>
  <c r="AC73" i="9"/>
  <c r="L203" i="9" l="1"/>
  <c r="N80" i="9"/>
  <c r="N81" i="9" s="1"/>
  <c r="N86" i="9" s="1"/>
  <c r="J192" i="9"/>
  <c r="K189" i="9" s="1"/>
  <c r="J141" i="9"/>
  <c r="J144" i="9" s="1"/>
  <c r="W196" i="9"/>
  <c r="W197" i="9"/>
  <c r="W154" i="9"/>
  <c r="W130" i="9"/>
  <c r="L131" i="9"/>
  <c r="L132" i="9"/>
  <c r="W128" i="9"/>
  <c r="W136" i="9" s="1"/>
  <c r="BZ66" i="7"/>
  <c r="CA64" i="7"/>
  <c r="CA60" i="7"/>
  <c r="CA61" i="7"/>
  <c r="CA62" i="7"/>
  <c r="CA65" i="7"/>
  <c r="CB57" i="7"/>
  <c r="CA63" i="7"/>
  <c r="CA59" i="7"/>
  <c r="CA58" i="7"/>
  <c r="AC93" i="9"/>
  <c r="O79" i="9" l="1"/>
  <c r="T72" i="2"/>
  <c r="T75" i="2" s="1"/>
  <c r="T69" i="2" s="1"/>
  <c r="T77" i="2" s="1"/>
  <c r="O57" i="3" s="1"/>
  <c r="O59" i="3" s="1"/>
  <c r="N88" i="9"/>
  <c r="N85" i="9"/>
  <c r="N83" i="9"/>
  <c r="N84" i="9" s="1"/>
  <c r="N89" i="9"/>
  <c r="N78" i="9"/>
  <c r="N156" i="9" s="1"/>
  <c r="CA66" i="7"/>
  <c r="CB64" i="7"/>
  <c r="CB60" i="7"/>
  <c r="CB65" i="7"/>
  <c r="CC57" i="7"/>
  <c r="CB62" i="7"/>
  <c r="CB63" i="7"/>
  <c r="CB61" i="7"/>
  <c r="CB58" i="7"/>
  <c r="CB59" i="7"/>
  <c r="AD73" i="9"/>
  <c r="X116" i="9"/>
  <c r="W135" i="9"/>
  <c r="J157" i="9"/>
  <c r="J103" i="9"/>
  <c r="J105" i="9" s="1"/>
  <c r="J106" i="9" s="1"/>
  <c r="T199" i="2" l="1"/>
  <c r="O85" i="3" s="1"/>
  <c r="N146" i="9"/>
  <c r="N147" i="9"/>
  <c r="N92" i="9"/>
  <c r="CB66" i="7"/>
  <c r="J107" i="9"/>
  <c r="J110" i="9" s="1"/>
  <c r="CC60" i="7"/>
  <c r="CC65" i="7"/>
  <c r="CD57" i="7"/>
  <c r="CC59" i="7"/>
  <c r="CC62" i="7"/>
  <c r="CC64" i="7"/>
  <c r="CC63" i="7"/>
  <c r="CC58" i="7"/>
  <c r="CC61" i="7"/>
  <c r="AD93" i="9"/>
  <c r="X123" i="9"/>
  <c r="X124" i="9"/>
  <c r="O74" i="9" l="1"/>
  <c r="N94" i="9"/>
  <c r="N96" i="9"/>
  <c r="N98" i="9"/>
  <c r="N95" i="9"/>
  <c r="M203" i="9"/>
  <c r="J151" i="9"/>
  <c r="J200" i="9" s="1"/>
  <c r="J201" i="9" s="1"/>
  <c r="K101" i="9"/>
  <c r="J112" i="9"/>
  <c r="J111" i="9"/>
  <c r="J134" i="9"/>
  <c r="J199" i="9" s="1"/>
  <c r="J133" i="9"/>
  <c r="J198" i="9" s="1"/>
  <c r="J202" i="9"/>
  <c r="X197" i="9"/>
  <c r="X196" i="9"/>
  <c r="X130" i="9"/>
  <c r="X154" i="9"/>
  <c r="M132" i="9"/>
  <c r="M131" i="9"/>
  <c r="X128" i="9"/>
  <c r="X136" i="9" s="1"/>
  <c r="J113" i="9"/>
  <c r="CD65" i="7"/>
  <c r="CD63" i="7"/>
  <c r="CE57" i="7"/>
  <c r="CD59" i="7"/>
  <c r="CD58" i="7"/>
  <c r="CD61" i="7"/>
  <c r="CD64" i="7"/>
  <c r="CD62" i="7"/>
  <c r="CD60" i="7"/>
  <c r="J148" i="9"/>
  <c r="J205" i="9" s="1"/>
  <c r="AE73" i="9"/>
  <c r="CC66" i="7"/>
  <c r="N97" i="9" l="1"/>
  <c r="J153" i="9"/>
  <c r="J155" i="9" s="1"/>
  <c r="O82" i="9"/>
  <c r="U73" i="2" s="1"/>
  <c r="CD66" i="7"/>
  <c r="AE93" i="9"/>
  <c r="CE65" i="7"/>
  <c r="CE59" i="7"/>
  <c r="CE62" i="7"/>
  <c r="CE64" i="7"/>
  <c r="CE61" i="7"/>
  <c r="CE60" i="7"/>
  <c r="CE58" i="7"/>
  <c r="CF57" i="7"/>
  <c r="CE63" i="7"/>
  <c r="K108" i="9"/>
  <c r="K109" i="9"/>
  <c r="Y116" i="9"/>
  <c r="X135" i="9"/>
  <c r="O80" i="9" l="1"/>
  <c r="O81" i="9" s="1"/>
  <c r="O85" i="9" s="1"/>
  <c r="CF59" i="7"/>
  <c r="CF65" i="7"/>
  <c r="CF64" i="7"/>
  <c r="CF58" i="7"/>
  <c r="CG57" i="7"/>
  <c r="CF63" i="7"/>
  <c r="CF61" i="7"/>
  <c r="CF60" i="7"/>
  <c r="CF62" i="7"/>
  <c r="CE66" i="7"/>
  <c r="K145" i="9"/>
  <c r="K204" i="9" s="1"/>
  <c r="K190" i="9"/>
  <c r="AF73" i="9"/>
  <c r="Y123" i="9"/>
  <c r="Y124" i="9"/>
  <c r="U72" i="2" l="1"/>
  <c r="U75" i="2" s="1"/>
  <c r="U199" i="2" s="1"/>
  <c r="P85" i="3" s="1"/>
  <c r="P79" i="9"/>
  <c r="O78" i="9"/>
  <c r="O156" i="9" s="1"/>
  <c r="O89" i="9"/>
  <c r="O147" i="9" s="1"/>
  <c r="O88" i="9"/>
  <c r="O86" i="9"/>
  <c r="O83" i="9"/>
  <c r="O84" i="9" s="1"/>
  <c r="N203" i="9"/>
  <c r="Y196" i="9"/>
  <c r="Y197" i="9"/>
  <c r="Y154" i="9"/>
  <c r="Y130" i="9"/>
  <c r="N131" i="9"/>
  <c r="N132" i="9"/>
  <c r="CF66" i="7"/>
  <c r="CG59" i="7"/>
  <c r="CG62" i="7"/>
  <c r="CG61" i="7"/>
  <c r="CG65" i="7"/>
  <c r="CG64" i="7"/>
  <c r="CG58" i="7"/>
  <c r="CH57" i="7"/>
  <c r="CG60" i="7"/>
  <c r="CG63" i="7"/>
  <c r="AF93" i="9"/>
  <c r="K191" i="9"/>
  <c r="K193" i="9" s="1"/>
  <c r="K141" i="9" s="1"/>
  <c r="K144" i="9" s="1"/>
  <c r="Y128" i="9"/>
  <c r="O92" i="9" l="1"/>
  <c r="O94" i="9" s="1"/>
  <c r="O146" i="9"/>
  <c r="U69" i="2"/>
  <c r="U77" i="2" s="1"/>
  <c r="P57" i="3" s="1"/>
  <c r="P59" i="3" s="1"/>
  <c r="K192" i="9"/>
  <c r="L189" i="9" s="1"/>
  <c r="CG66" i="7"/>
  <c r="K157" i="9"/>
  <c r="K103" i="9"/>
  <c r="K105" i="9" s="1"/>
  <c r="K106" i="9" s="1"/>
  <c r="AG73" i="9"/>
  <c r="Z116" i="9"/>
  <c r="Y135" i="9"/>
  <c r="CH62" i="7"/>
  <c r="CH63" i="7"/>
  <c r="CH58" i="7"/>
  <c r="CH65" i="7"/>
  <c r="CH64" i="7"/>
  <c r="CI57" i="7"/>
  <c r="CH60" i="7"/>
  <c r="CH61" i="7"/>
  <c r="CH59" i="7"/>
  <c r="Y136" i="9"/>
  <c r="O95" i="9" l="1"/>
  <c r="O96" i="9"/>
  <c r="P74" i="9"/>
  <c r="P82" i="9" s="1"/>
  <c r="V73" i="2" s="1"/>
  <c r="O98" i="9"/>
  <c r="CH66" i="7"/>
  <c r="AG93" i="9"/>
  <c r="K107" i="9"/>
  <c r="K148" i="9" s="1"/>
  <c r="K205" i="9" s="1"/>
  <c r="CI62" i="7"/>
  <c r="CI61" i="7"/>
  <c r="CI65" i="7"/>
  <c r="CI64" i="7"/>
  <c r="CJ57" i="7"/>
  <c r="CI58" i="7"/>
  <c r="CI60" i="7"/>
  <c r="CI63" i="7"/>
  <c r="CI59" i="7"/>
  <c r="Z123" i="9"/>
  <c r="Z124" i="9"/>
  <c r="O97" i="9" l="1"/>
  <c r="P80" i="9"/>
  <c r="P81" i="9" s="1"/>
  <c r="P85" i="9" s="1"/>
  <c r="Z197" i="9"/>
  <c r="Z196" i="9"/>
  <c r="Z154" i="9"/>
  <c r="Z130" i="9"/>
  <c r="O132" i="9"/>
  <c r="O131" i="9"/>
  <c r="O203" i="9"/>
  <c r="CJ64" i="7"/>
  <c r="CJ62" i="7"/>
  <c r="CJ61" i="7"/>
  <c r="CJ63" i="7"/>
  <c r="CJ58" i="7"/>
  <c r="CK57" i="7"/>
  <c r="CJ60" i="7"/>
  <c r="CJ59" i="7"/>
  <c r="CJ65" i="7"/>
  <c r="Z128" i="9"/>
  <c r="Z136" i="9" s="1"/>
  <c r="CI66" i="7"/>
  <c r="K110" i="9"/>
  <c r="AH73" i="9"/>
  <c r="K151" i="9"/>
  <c r="V72" i="2" l="1"/>
  <c r="V75" i="2" s="1"/>
  <c r="V199" i="2" s="1"/>
  <c r="Q85" i="3" s="1"/>
  <c r="Q79" i="9"/>
  <c r="P78" i="9"/>
  <c r="P156" i="9" s="1"/>
  <c r="P86" i="9"/>
  <c r="P83" i="9"/>
  <c r="P84" i="9" s="1"/>
  <c r="P88" i="9"/>
  <c r="P89" i="9"/>
  <c r="P147" i="9" s="1"/>
  <c r="CJ66" i="7"/>
  <c r="AH93" i="9"/>
  <c r="L101" i="9"/>
  <c r="K112" i="9"/>
  <c r="K111" i="9"/>
  <c r="K134" i="9"/>
  <c r="K199" i="9" s="1"/>
  <c r="K202" i="9"/>
  <c r="K133" i="9"/>
  <c r="K198" i="9" s="1"/>
  <c r="K113" i="9"/>
  <c r="AA116" i="9"/>
  <c r="Z135" i="9"/>
  <c r="K153" i="9"/>
  <c r="K155" i="9" s="1"/>
  <c r="K200" i="9"/>
  <c r="K201" i="9" s="1"/>
  <c r="CK61" i="7"/>
  <c r="CK63" i="7"/>
  <c r="CK58" i="7"/>
  <c r="CK64" i="7"/>
  <c r="CK60" i="7"/>
  <c r="CL57" i="7"/>
  <c r="CK59" i="7"/>
  <c r="CK62" i="7"/>
  <c r="CK65" i="7"/>
  <c r="V69" i="2" l="1"/>
  <c r="V77" i="2" s="1"/>
  <c r="Q57" i="3" s="1"/>
  <c r="Q59" i="3" s="1"/>
  <c r="P92" i="9"/>
  <c r="P96" i="9" s="1"/>
  <c r="P146" i="9"/>
  <c r="AA123" i="9"/>
  <c r="AA124" i="9"/>
  <c r="CK66" i="7"/>
  <c r="CL63" i="7"/>
  <c r="CL58" i="7"/>
  <c r="CM57" i="7"/>
  <c r="CL64" i="7"/>
  <c r="CL60" i="7"/>
  <c r="CL59" i="7"/>
  <c r="CL61" i="7"/>
  <c r="CL62" i="7"/>
  <c r="CL65" i="7"/>
  <c r="AI73" i="9"/>
  <c r="L108" i="9"/>
  <c r="L109" i="9"/>
  <c r="P95" i="9" l="1"/>
  <c r="P97" i="9" s="1"/>
  <c r="P94" i="9"/>
  <c r="Q74" i="9"/>
  <c r="Q82" i="9" s="1"/>
  <c r="W73" i="2" s="1"/>
  <c r="P98" i="9"/>
  <c r="P203" i="9"/>
  <c r="CM64" i="7"/>
  <c r="CM60" i="7"/>
  <c r="CM65" i="7"/>
  <c r="CM59" i="7"/>
  <c r="CM58" i="7"/>
  <c r="CM63" i="7"/>
  <c r="CM61" i="7"/>
  <c r="CM62" i="7"/>
  <c r="CN57" i="7"/>
  <c r="CL66" i="7"/>
  <c r="L145" i="9"/>
  <c r="L204" i="9" s="1"/>
  <c r="L190" i="9"/>
  <c r="AI93" i="9"/>
  <c r="AA197" i="9"/>
  <c r="AA196" i="9"/>
  <c r="AA154" i="9"/>
  <c r="AA130" i="9"/>
  <c r="P132" i="9"/>
  <c r="P131" i="9"/>
  <c r="AA128" i="9"/>
  <c r="Q80" i="9" l="1"/>
  <c r="Q81" i="9" s="1"/>
  <c r="Q89" i="9" s="1"/>
  <c r="Q92" i="9" s="1"/>
  <c r="AB116" i="9"/>
  <c r="AA135" i="9"/>
  <c r="L191" i="9"/>
  <c r="L193" i="9" s="1"/>
  <c r="L141" i="9" s="1"/>
  <c r="L144" i="9" s="1"/>
  <c r="CM66" i="7"/>
  <c r="AJ73" i="9"/>
  <c r="CN64" i="7"/>
  <c r="CN60" i="7"/>
  <c r="CO57" i="7"/>
  <c r="CN59" i="7"/>
  <c r="CN58" i="7"/>
  <c r="CN63" i="7"/>
  <c r="CN61" i="7"/>
  <c r="CN62" i="7"/>
  <c r="CN65" i="7"/>
  <c r="AA136" i="9"/>
  <c r="Q85" i="9" l="1"/>
  <c r="Q83" i="9"/>
  <c r="Q84" i="9" s="1"/>
  <c r="Q86" i="9"/>
  <c r="Q88" i="9"/>
  <c r="Q78" i="9"/>
  <c r="Q156" i="9" s="1"/>
  <c r="W72" i="2"/>
  <c r="W75" i="2" s="1"/>
  <c r="W199" i="2" s="1"/>
  <c r="R85" i="3" s="1"/>
  <c r="R79" i="9"/>
  <c r="Q95" i="9"/>
  <c r="Q94" i="9"/>
  <c r="R74" i="9"/>
  <c r="Q96" i="9"/>
  <c r="Q147" i="9"/>
  <c r="Q98" i="9"/>
  <c r="L192" i="9"/>
  <c r="M189" i="9" s="1"/>
  <c r="L157" i="9"/>
  <c r="L103" i="9"/>
  <c r="L105" i="9" s="1"/>
  <c r="L106" i="9" s="1"/>
  <c r="AJ93" i="9"/>
  <c r="CN66" i="7"/>
  <c r="AB123" i="9"/>
  <c r="AB124" i="9"/>
  <c r="Q97" i="9" l="1"/>
  <c r="Q146" i="9"/>
  <c r="W69" i="2"/>
  <c r="W77" i="2" s="1"/>
  <c r="R57" i="3" s="1"/>
  <c r="R59" i="3" s="1"/>
  <c r="Q203" i="9"/>
  <c r="R82" i="9"/>
  <c r="X73" i="2" s="1"/>
  <c r="L107" i="9"/>
  <c r="AB197" i="9"/>
  <c r="AB196" i="9"/>
  <c r="AB154" i="9"/>
  <c r="AB130" i="9"/>
  <c r="Q131" i="9"/>
  <c r="Q132" i="9"/>
  <c r="AB128" i="9"/>
  <c r="AK73" i="9"/>
  <c r="R80" i="9" l="1"/>
  <c r="R81" i="9" s="1"/>
  <c r="AK93" i="9"/>
  <c r="L148" i="9"/>
  <c r="L205" i="9" s="1"/>
  <c r="L151" i="9"/>
  <c r="L110" i="9"/>
  <c r="AC116" i="9"/>
  <c r="AB135" i="9"/>
  <c r="AB136" i="9"/>
  <c r="X72" i="2" l="1"/>
  <c r="X75" i="2" s="1"/>
  <c r="R78" i="9"/>
  <c r="R156" i="9" s="1"/>
  <c r="S79" i="9"/>
  <c r="R83" i="9"/>
  <c r="R84" i="9" s="1"/>
  <c r="R88" i="9"/>
  <c r="R89" i="9"/>
  <c r="R147" i="9" s="1"/>
  <c r="R85" i="9"/>
  <c r="R86" i="9"/>
  <c r="M101" i="9"/>
  <c r="L112" i="9"/>
  <c r="L111" i="9"/>
  <c r="L134" i="9"/>
  <c r="L199" i="9" s="1"/>
  <c r="L202" i="9"/>
  <c r="L133" i="9"/>
  <c r="L198" i="9" s="1"/>
  <c r="L153" i="9"/>
  <c r="L155" i="9" s="1"/>
  <c r="L200" i="9"/>
  <c r="L201" i="9" s="1"/>
  <c r="AL73" i="9"/>
  <c r="AC123" i="9"/>
  <c r="AC124" i="9"/>
  <c r="L113" i="9"/>
  <c r="R92" i="9" l="1"/>
  <c r="S74" i="9" s="1"/>
  <c r="R146" i="9"/>
  <c r="X69" i="2"/>
  <c r="X77" i="2" s="1"/>
  <c r="S57" i="3" s="1"/>
  <c r="S59" i="3" s="1"/>
  <c r="X199" i="2"/>
  <c r="S85" i="3" s="1"/>
  <c r="R203" i="9"/>
  <c r="AL93" i="9"/>
  <c r="AC196" i="9"/>
  <c r="AC197" i="9"/>
  <c r="AC154" i="9"/>
  <c r="AC130" i="9"/>
  <c r="R132" i="9"/>
  <c r="R131" i="9"/>
  <c r="AC128" i="9"/>
  <c r="AC136" i="9" s="1"/>
  <c r="M108" i="9"/>
  <c r="M109" i="9"/>
  <c r="R98" i="9" l="1"/>
  <c r="R95" i="9"/>
  <c r="R96" i="9"/>
  <c r="R94" i="9"/>
  <c r="S82" i="9"/>
  <c r="Y73" i="2" s="1"/>
  <c r="M145" i="9"/>
  <c r="M204" i="9" s="1"/>
  <c r="M190" i="9"/>
  <c r="AM73" i="9"/>
  <c r="AD116" i="9"/>
  <c r="AC135" i="9"/>
  <c r="R97" i="9" l="1"/>
  <c r="S80" i="9"/>
  <c r="S81" i="9" s="1"/>
  <c r="S88" i="9" s="1"/>
  <c r="AM93" i="9"/>
  <c r="M191" i="9"/>
  <c r="M193" i="9" s="1"/>
  <c r="M141" i="9" s="1"/>
  <c r="M144" i="9" s="1"/>
  <c r="AD123" i="9"/>
  <c r="AD124" i="9"/>
  <c r="Y72" i="2" l="1"/>
  <c r="Y75" i="2" s="1"/>
  <c r="Y199" i="2" s="1"/>
  <c r="T85" i="3" s="1"/>
  <c r="S83" i="9"/>
  <c r="S84" i="9" s="1"/>
  <c r="T79" i="9"/>
  <c r="S85" i="9"/>
  <c r="S86" i="9"/>
  <c r="S89" i="9"/>
  <c r="S147" i="9" s="1"/>
  <c r="S78" i="9"/>
  <c r="S156" i="9" s="1"/>
  <c r="S203" i="9"/>
  <c r="M192" i="9"/>
  <c r="N189" i="9" s="1"/>
  <c r="M157" i="9"/>
  <c r="M103" i="9"/>
  <c r="M105" i="9" s="1"/>
  <c r="M106" i="9" s="1"/>
  <c r="AD128" i="9"/>
  <c r="AD196" i="9"/>
  <c r="AD197" i="9"/>
  <c r="AD154" i="9"/>
  <c r="AD130" i="9"/>
  <c r="S132" i="9"/>
  <c r="S131" i="9"/>
  <c r="AN73" i="9"/>
  <c r="S92" i="9" l="1"/>
  <c r="T74" i="9" s="1"/>
  <c r="Y69" i="2"/>
  <c r="Y77" i="2" s="1"/>
  <c r="T57" i="3" s="1"/>
  <c r="T59" i="3" s="1"/>
  <c r="S146" i="9"/>
  <c r="AN93" i="9"/>
  <c r="AE116" i="9"/>
  <c r="AD135" i="9"/>
  <c r="AD136" i="9"/>
  <c r="M107" i="9"/>
  <c r="S96" i="9" l="1"/>
  <c r="S94" i="9"/>
  <c r="S98" i="9"/>
  <c r="S95" i="9"/>
  <c r="T82" i="9"/>
  <c r="Z73" i="2" s="1"/>
  <c r="AO73" i="9"/>
  <c r="AE123" i="9"/>
  <c r="AE124" i="9"/>
  <c r="M148" i="9"/>
  <c r="M205" i="9" s="1"/>
  <c r="M151" i="9"/>
  <c r="M153" i="9" s="1"/>
  <c r="M110" i="9"/>
  <c r="S97" i="9" l="1"/>
  <c r="T203" i="9"/>
  <c r="T80" i="9"/>
  <c r="T81" i="9" s="1"/>
  <c r="N101" i="9"/>
  <c r="M112" i="9"/>
  <c r="M111" i="9"/>
  <c r="M134" i="9"/>
  <c r="M199" i="9" s="1"/>
  <c r="M133" i="9"/>
  <c r="M198" i="9" s="1"/>
  <c r="M202" i="9"/>
  <c r="M113" i="9"/>
  <c r="AE128" i="9"/>
  <c r="AE136" i="9" s="1"/>
  <c r="M155" i="9"/>
  <c r="M200" i="9"/>
  <c r="M201" i="9" s="1"/>
  <c r="AE197" i="9"/>
  <c r="AE154" i="9"/>
  <c r="AE196" i="9"/>
  <c r="AE130" i="9"/>
  <c r="T132" i="9"/>
  <c r="T131" i="9"/>
  <c r="AO93" i="9"/>
  <c r="T85" i="9" l="1"/>
  <c r="T88" i="9"/>
  <c r="T78" i="9"/>
  <c r="T156" i="9" s="1"/>
  <c r="T89" i="9"/>
  <c r="T147" i="9" s="1"/>
  <c r="T83" i="9"/>
  <c r="T84" i="9" s="1"/>
  <c r="T86" i="9"/>
  <c r="U79" i="9"/>
  <c r="Z72" i="2"/>
  <c r="Z75" i="2" s="1"/>
  <c r="AP73" i="9"/>
  <c r="AF116" i="9"/>
  <c r="AE135" i="9"/>
  <c r="N108" i="9"/>
  <c r="N109" i="9"/>
  <c r="T92" i="9" l="1"/>
  <c r="T98" i="9" s="1"/>
  <c r="T146" i="9"/>
  <c r="Z199" i="2"/>
  <c r="U85" i="3" s="1"/>
  <c r="Z69" i="2"/>
  <c r="Z77" i="2" s="1"/>
  <c r="U57" i="3" s="1"/>
  <c r="U59" i="3" s="1"/>
  <c r="AF123" i="9"/>
  <c r="AF124" i="9"/>
  <c r="N145" i="9"/>
  <c r="N204" i="9" s="1"/>
  <c r="N190" i="9"/>
  <c r="AP93" i="9"/>
  <c r="T94" i="9" l="1"/>
  <c r="T96" i="9"/>
  <c r="T95" i="9"/>
  <c r="U74" i="9"/>
  <c r="U82" i="9" s="1"/>
  <c r="AA73" i="2" s="1"/>
  <c r="U203" i="9"/>
  <c r="AQ73" i="9"/>
  <c r="N191" i="9"/>
  <c r="N193" i="9" s="1"/>
  <c r="N141" i="9" s="1"/>
  <c r="N144" i="9" s="1"/>
  <c r="AF196" i="9"/>
  <c r="AF154" i="9"/>
  <c r="AF197" i="9"/>
  <c r="AF130" i="9"/>
  <c r="U132" i="9"/>
  <c r="U131" i="9"/>
  <c r="AF128" i="9"/>
  <c r="AF136" i="9" s="1"/>
  <c r="T97" i="9" l="1"/>
  <c r="U80" i="9"/>
  <c r="U81" i="9" s="1"/>
  <c r="U89" i="9" s="1"/>
  <c r="U147" i="9" s="1"/>
  <c r="N157" i="9"/>
  <c r="N103" i="9"/>
  <c r="N105" i="9" s="1"/>
  <c r="N106" i="9" s="1"/>
  <c r="N192" i="9"/>
  <c r="O189" i="9" s="1"/>
  <c r="AG116" i="9"/>
  <c r="AF135" i="9"/>
  <c r="AQ93" i="9"/>
  <c r="AA72" i="2" l="1"/>
  <c r="AA75" i="2" s="1"/>
  <c r="AA199" i="2" s="1"/>
  <c r="V85" i="3" s="1"/>
  <c r="U88" i="9"/>
  <c r="V79" i="9"/>
  <c r="U78" i="9"/>
  <c r="U156" i="9" s="1"/>
  <c r="U83" i="9"/>
  <c r="U84" i="9" s="1"/>
  <c r="U86" i="9"/>
  <c r="U85" i="9"/>
  <c r="U92" i="9"/>
  <c r="N107" i="9"/>
  <c r="N148" i="9" s="1"/>
  <c r="N205" i="9" s="1"/>
  <c r="AR73" i="9"/>
  <c r="AG123" i="9"/>
  <c r="AG124" i="9"/>
  <c r="U146" i="9" l="1"/>
  <c r="AA69" i="2"/>
  <c r="AA77" i="2" s="1"/>
  <c r="V57" i="3" s="1"/>
  <c r="V59" i="3" s="1"/>
  <c r="V74" i="9"/>
  <c r="U95" i="9"/>
  <c r="U94" i="9"/>
  <c r="U96" i="9"/>
  <c r="U98" i="9"/>
  <c r="V203" i="9"/>
  <c r="N151" i="9"/>
  <c r="N153" i="9" s="1"/>
  <c r="N110" i="9"/>
  <c r="AR93" i="9"/>
  <c r="AG128" i="9"/>
  <c r="AG136" i="9" s="1"/>
  <c r="AG196" i="9"/>
  <c r="AG197" i="9"/>
  <c r="AG154" i="9"/>
  <c r="AG130" i="9"/>
  <c r="V132" i="9"/>
  <c r="V131" i="9"/>
  <c r="U97" i="9" l="1"/>
  <c r="V82" i="9"/>
  <c r="AB73" i="2" s="1"/>
  <c r="AS73" i="9"/>
  <c r="AH116" i="9"/>
  <c r="AG135" i="9"/>
  <c r="O101" i="9"/>
  <c r="N112" i="9"/>
  <c r="N111" i="9"/>
  <c r="N133" i="9"/>
  <c r="N198" i="9" s="1"/>
  <c r="N202" i="9"/>
  <c r="N134" i="9"/>
  <c r="N199" i="9" s="1"/>
  <c r="N155" i="9"/>
  <c r="N200" i="9"/>
  <c r="N201" i="9" s="1"/>
  <c r="N113" i="9"/>
  <c r="V80" i="9" l="1"/>
  <c r="V81" i="9" s="1"/>
  <c r="V85" i="9" s="1"/>
  <c r="O108" i="9"/>
  <c r="O109" i="9"/>
  <c r="AS93" i="9"/>
  <c r="AH123" i="9"/>
  <c r="AH124" i="9"/>
  <c r="AB72" i="2" l="1"/>
  <c r="AB75" i="2" s="1"/>
  <c r="AB199" i="2" s="1"/>
  <c r="W85" i="3" s="1"/>
  <c r="W79" i="9"/>
  <c r="V89" i="9"/>
  <c r="V147" i="9" s="1"/>
  <c r="V86" i="9"/>
  <c r="V83" i="9"/>
  <c r="V84" i="9" s="1"/>
  <c r="V78" i="9"/>
  <c r="V156" i="9" s="1"/>
  <c r="V88" i="9"/>
  <c r="W203" i="9"/>
  <c r="AH197" i="9"/>
  <c r="AH196" i="9"/>
  <c r="AH154" i="9"/>
  <c r="AH130" i="9"/>
  <c r="W131" i="9"/>
  <c r="W132" i="9"/>
  <c r="AH128" i="9"/>
  <c r="AH136" i="9" s="1"/>
  <c r="O145" i="9"/>
  <c r="O204" i="9" s="1"/>
  <c r="O190" i="9"/>
  <c r="AT73" i="9"/>
  <c r="V92" i="9" l="1"/>
  <c r="V98" i="9" s="1"/>
  <c r="V146" i="9"/>
  <c r="AB69" i="2"/>
  <c r="AB77" i="2" s="1"/>
  <c r="W57" i="3" s="1"/>
  <c r="W59" i="3" s="1"/>
  <c r="O191" i="9"/>
  <c r="O193" i="9" s="1"/>
  <c r="O141" i="9" s="1"/>
  <c r="O144" i="9" s="1"/>
  <c r="AI116" i="9"/>
  <c r="AH135" i="9"/>
  <c r="AT93" i="9"/>
  <c r="W74" i="9" l="1"/>
  <c r="W82" i="9" s="1"/>
  <c r="AC73" i="2" s="1"/>
  <c r="V96" i="9"/>
  <c r="V95" i="9"/>
  <c r="V94" i="9"/>
  <c r="O192" i="9"/>
  <c r="P189" i="9" s="1"/>
  <c r="AU73" i="9"/>
  <c r="AI123" i="9"/>
  <c r="AI124" i="9"/>
  <c r="O157" i="9"/>
  <c r="O103" i="9"/>
  <c r="O105" i="9" s="1"/>
  <c r="O106" i="9" s="1"/>
  <c r="V97" i="9" l="1"/>
  <c r="W80" i="9"/>
  <c r="W81" i="9" s="1"/>
  <c r="W86" i="9" s="1"/>
  <c r="X203" i="9"/>
  <c r="O107" i="9"/>
  <c r="O148" i="9" s="1"/>
  <c r="O205" i="9" s="1"/>
  <c r="AI196" i="9"/>
  <c r="AI197" i="9"/>
  <c r="AI154" i="9"/>
  <c r="AI130" i="9"/>
  <c r="X132" i="9"/>
  <c r="X131" i="9"/>
  <c r="AI128" i="9"/>
  <c r="AI136" i="9" s="1"/>
  <c r="AU93" i="9"/>
  <c r="AC72" i="2" l="1"/>
  <c r="AC75" i="2" s="1"/>
  <c r="AC69" i="2" s="1"/>
  <c r="AC77" i="2" s="1"/>
  <c r="X57" i="3" s="1"/>
  <c r="X59" i="3" s="1"/>
  <c r="X79" i="9"/>
  <c r="W78" i="9"/>
  <c r="W156" i="9" s="1"/>
  <c r="W85" i="9"/>
  <c r="W88" i="9"/>
  <c r="W89" i="9"/>
  <c r="W147" i="9" s="1"/>
  <c r="W83" i="9"/>
  <c r="W84" i="9" s="1"/>
  <c r="O151" i="9"/>
  <c r="O200" i="9" s="1"/>
  <c r="O201" i="9" s="1"/>
  <c r="O110" i="9"/>
  <c r="AV73" i="9"/>
  <c r="AJ116" i="9"/>
  <c r="AI135" i="9"/>
  <c r="W146" i="9" l="1"/>
  <c r="AC199" i="2"/>
  <c r="X85" i="3" s="1"/>
  <c r="W92" i="9"/>
  <c r="O153" i="9"/>
  <c r="O155" i="9" s="1"/>
  <c r="AJ123" i="9"/>
  <c r="AJ124" i="9"/>
  <c r="P101" i="9"/>
  <c r="O112" i="9"/>
  <c r="O111" i="9"/>
  <c r="O134" i="9"/>
  <c r="O199" i="9" s="1"/>
  <c r="O133" i="9"/>
  <c r="O198" i="9" s="1"/>
  <c r="O202" i="9"/>
  <c r="AV93" i="9"/>
  <c r="O113" i="9"/>
  <c r="W96" i="9" l="1"/>
  <c r="W95" i="9"/>
  <c r="X74" i="9"/>
  <c r="W94" i="9"/>
  <c r="W98" i="9"/>
  <c r="Y203" i="9"/>
  <c r="P108" i="9"/>
  <c r="P109" i="9"/>
  <c r="AJ197" i="9"/>
  <c r="AJ196" i="9"/>
  <c r="AJ154" i="9"/>
  <c r="AJ130" i="9"/>
  <c r="Y131" i="9"/>
  <c r="Y132" i="9"/>
  <c r="AJ128" i="9"/>
  <c r="AW73" i="9"/>
  <c r="X82" i="9" l="1"/>
  <c r="AD73" i="2" s="1"/>
  <c r="W97" i="9"/>
  <c r="P145" i="9"/>
  <c r="P204" i="9" s="1"/>
  <c r="P190" i="9"/>
  <c r="AW93" i="9"/>
  <c r="AK116" i="9"/>
  <c r="AJ135" i="9"/>
  <c r="AJ136" i="9"/>
  <c r="X80" i="9" l="1"/>
  <c r="X81" i="9" s="1"/>
  <c r="X86" i="9" s="1"/>
  <c r="P191" i="9"/>
  <c r="P193" i="9" s="1"/>
  <c r="P141" i="9" s="1"/>
  <c r="P144" i="9" s="1"/>
  <c r="AX73" i="9"/>
  <c r="AK123" i="9"/>
  <c r="AK124" i="9"/>
  <c r="AD72" i="2" l="1"/>
  <c r="AD75" i="2" s="1"/>
  <c r="AD199" i="2" s="1"/>
  <c r="Y85" i="3" s="1"/>
  <c r="X83" i="9"/>
  <c r="X84" i="9" s="1"/>
  <c r="X88" i="9"/>
  <c r="X89" i="9"/>
  <c r="X147" i="9" s="1"/>
  <c r="Y79" i="9"/>
  <c r="X78" i="9"/>
  <c r="X156" i="9" s="1"/>
  <c r="X85" i="9"/>
  <c r="Z203" i="9"/>
  <c r="P157" i="9"/>
  <c r="P103" i="9"/>
  <c r="P105" i="9" s="1"/>
  <c r="P106" i="9" s="1"/>
  <c r="AK128" i="9"/>
  <c r="AK136" i="9" s="1"/>
  <c r="AX93" i="9"/>
  <c r="AK197" i="9"/>
  <c r="AK196" i="9"/>
  <c r="AK154" i="9"/>
  <c r="AK130" i="9"/>
  <c r="Z131" i="9"/>
  <c r="Z132" i="9"/>
  <c r="P192" i="9"/>
  <c r="Q189" i="9" s="1"/>
  <c r="AD69" i="2" l="1"/>
  <c r="AD77" i="2" s="1"/>
  <c r="Y57" i="3" s="1"/>
  <c r="Y59" i="3" s="1"/>
  <c r="X92" i="9"/>
  <c r="X95" i="9" s="1"/>
  <c r="X146" i="9"/>
  <c r="AL116" i="9"/>
  <c r="AK135" i="9"/>
  <c r="P107" i="9"/>
  <c r="AY73" i="9"/>
  <c r="X96" i="9" l="1"/>
  <c r="X97" i="9" s="1"/>
  <c r="X98" i="9"/>
  <c r="Y74" i="9"/>
  <c r="Y82" i="9" s="1"/>
  <c r="AE73" i="2" s="1"/>
  <c r="X94" i="9"/>
  <c r="AL123" i="9"/>
  <c r="AL124" i="9"/>
  <c r="AL128" i="9" s="1"/>
  <c r="P110" i="9"/>
  <c r="P113" i="9" s="1"/>
  <c r="AY93" i="9"/>
  <c r="P148" i="9"/>
  <c r="P205" i="9" s="1"/>
  <c r="P151" i="9"/>
  <c r="P153" i="9" s="1"/>
  <c r="Y80" i="9" l="1"/>
  <c r="Y81" i="9" s="1"/>
  <c r="Y85" i="9" s="1"/>
  <c r="P200" i="9"/>
  <c r="P201" i="9" s="1"/>
  <c r="AL136" i="9"/>
  <c r="P155" i="9"/>
  <c r="AM116" i="9"/>
  <c r="AL135" i="9"/>
  <c r="AL197" i="9"/>
  <c r="AL196" i="9"/>
  <c r="AL154" i="9"/>
  <c r="AL130" i="9"/>
  <c r="AA131" i="9"/>
  <c r="AA132" i="9"/>
  <c r="AZ73" i="9"/>
  <c r="Q101" i="9"/>
  <c r="P112" i="9"/>
  <c r="P111" i="9"/>
  <c r="P202" i="9"/>
  <c r="P133" i="9"/>
  <c r="P198" i="9" s="1"/>
  <c r="P134" i="9"/>
  <c r="P199" i="9" s="1"/>
  <c r="AA203" i="9"/>
  <c r="Y88" i="9" l="1"/>
  <c r="AE72" i="2"/>
  <c r="AE75" i="2" s="1"/>
  <c r="AE199" i="2" s="1"/>
  <c r="Z85" i="3" s="1"/>
  <c r="Y83" i="9"/>
  <c r="Y84" i="9" s="1"/>
  <c r="Y89" i="9"/>
  <c r="Y147" i="9" s="1"/>
  <c r="Y78" i="9"/>
  <c r="Y156" i="9" s="1"/>
  <c r="Y86" i="9"/>
  <c r="Z79" i="9"/>
  <c r="AZ93" i="9"/>
  <c r="AM123" i="9"/>
  <c r="AM124" i="9"/>
  <c r="Q108" i="9"/>
  <c r="Q109" i="9"/>
  <c r="Y92" i="9" l="1"/>
  <c r="Z74" i="9" s="1"/>
  <c r="Z82" i="9" s="1"/>
  <c r="AF73" i="2" s="1"/>
  <c r="Y146" i="9"/>
  <c r="AE69" i="2"/>
  <c r="AE77" i="2" s="1"/>
  <c r="Z57" i="3" s="1"/>
  <c r="Z59" i="3" s="1"/>
  <c r="AB203" i="9"/>
  <c r="AM128" i="9"/>
  <c r="AN116" i="9" s="1"/>
  <c r="AM196" i="9"/>
  <c r="AM197" i="9"/>
  <c r="AM154" i="9"/>
  <c r="AM130" i="9"/>
  <c r="AB132" i="9"/>
  <c r="AB131" i="9"/>
  <c r="BA73" i="9"/>
  <c r="Q145" i="9"/>
  <c r="Q204" i="9" s="1"/>
  <c r="Q190" i="9"/>
  <c r="Y96" i="9" l="1"/>
  <c r="Y95" i="9"/>
  <c r="Y98" i="9"/>
  <c r="Y94" i="9"/>
  <c r="Z80" i="9"/>
  <c r="Z81" i="9" s="1"/>
  <c r="Z89" i="9" s="1"/>
  <c r="Z147" i="9" s="1"/>
  <c r="AM136" i="9"/>
  <c r="AM135" i="9"/>
  <c r="AN123" i="9"/>
  <c r="AN124" i="9"/>
  <c r="BA93" i="9"/>
  <c r="Q191" i="9"/>
  <c r="Q192" i="9" s="1"/>
  <c r="R189" i="9" s="1"/>
  <c r="Y97" i="9" l="1"/>
  <c r="AF72" i="2"/>
  <c r="AF75" i="2" s="1"/>
  <c r="AF199" i="2" s="1"/>
  <c r="AA85" i="3" s="1"/>
  <c r="Z86" i="9"/>
  <c r="AA79" i="9"/>
  <c r="Z78" i="9"/>
  <c r="Z156" i="9" s="1"/>
  <c r="Z88" i="9"/>
  <c r="Z92" i="9"/>
  <c r="Z94" i="9" s="1"/>
  <c r="Z85" i="9"/>
  <c r="Z83" i="9"/>
  <c r="Z84" i="9" s="1"/>
  <c r="AC203" i="9"/>
  <c r="Q193" i="9"/>
  <c r="Q141" i="9" s="1"/>
  <c r="Q144" i="9" s="1"/>
  <c r="BB73" i="9"/>
  <c r="AN197" i="9"/>
  <c r="AN196" i="9"/>
  <c r="AN154" i="9"/>
  <c r="AN130" i="9"/>
  <c r="AC131" i="9"/>
  <c r="AC132" i="9"/>
  <c r="AN128" i="9"/>
  <c r="Z96" i="9" l="1"/>
  <c r="AA74" i="9"/>
  <c r="AA82" i="9" s="1"/>
  <c r="AG73" i="2" s="1"/>
  <c r="Z146" i="9"/>
  <c r="AF69" i="2"/>
  <c r="AF77" i="2" s="1"/>
  <c r="AA57" i="3" s="1"/>
  <c r="AA59" i="3" s="1"/>
  <c r="Z98" i="9"/>
  <c r="Z95" i="9"/>
  <c r="AO116" i="9"/>
  <c r="AN135" i="9"/>
  <c r="AN136" i="9"/>
  <c r="BB93" i="9"/>
  <c r="Q157" i="9"/>
  <c r="Q103" i="9"/>
  <c r="Q105" i="9" s="1"/>
  <c r="Q106" i="9" s="1"/>
  <c r="Z97" i="9" l="1"/>
  <c r="AA80" i="9"/>
  <c r="AA81" i="9" s="1"/>
  <c r="AA88" i="9" s="1"/>
  <c r="AO123" i="9"/>
  <c r="AO124" i="9"/>
  <c r="BC73" i="9"/>
  <c r="Q107" i="9"/>
  <c r="AB79" i="9" l="1"/>
  <c r="AG72" i="2"/>
  <c r="AG75" i="2" s="1"/>
  <c r="AG69" i="2" s="1"/>
  <c r="AG77" i="2" s="1"/>
  <c r="AB57" i="3" s="1"/>
  <c r="AB59" i="3" s="1"/>
  <c r="AA78" i="9"/>
  <c r="AA156" i="9" s="1"/>
  <c r="AA85" i="9"/>
  <c r="AA89" i="9"/>
  <c r="AA86" i="9"/>
  <c r="AA83" i="9"/>
  <c r="AA84" i="9" s="1"/>
  <c r="AD203" i="9"/>
  <c r="AO196" i="9"/>
  <c r="AO197" i="9"/>
  <c r="AO154" i="9"/>
  <c r="AO130" i="9"/>
  <c r="AD131" i="9"/>
  <c r="AD132" i="9"/>
  <c r="AO128" i="9"/>
  <c r="AO136" i="9" s="1"/>
  <c r="Q148" i="9"/>
  <c r="Q205" i="9" s="1"/>
  <c r="Q110" i="9"/>
  <c r="Q151" i="9"/>
  <c r="Q200" i="9" s="1"/>
  <c r="Q201" i="9" s="1"/>
  <c r="AA146" i="9" l="1"/>
  <c r="AG199" i="2"/>
  <c r="AB85" i="3" s="1"/>
  <c r="AA147" i="9"/>
  <c r="AA92" i="9"/>
  <c r="Q153" i="9"/>
  <c r="Q155" i="9" s="1"/>
  <c r="R101" i="9"/>
  <c r="Q112" i="9"/>
  <c r="Q111" i="9"/>
  <c r="Q202" i="9"/>
  <c r="Q134" i="9"/>
  <c r="Q199" i="9" s="1"/>
  <c r="Q133" i="9"/>
  <c r="Q198" i="9" s="1"/>
  <c r="AP116" i="9"/>
  <c r="AO135" i="9"/>
  <c r="Q113" i="9"/>
  <c r="AA96" i="9" l="1"/>
  <c r="AA98" i="9"/>
  <c r="AB74" i="9"/>
  <c r="AA94" i="9"/>
  <c r="AA95" i="9"/>
  <c r="AP123" i="9"/>
  <c r="AP124" i="9"/>
  <c r="R108" i="9"/>
  <c r="R109" i="9"/>
  <c r="AA97" i="9" l="1"/>
  <c r="AB82" i="9"/>
  <c r="AH73" i="2" s="1"/>
  <c r="AE203" i="9"/>
  <c r="R145" i="9"/>
  <c r="R204" i="9" s="1"/>
  <c r="R190" i="9"/>
  <c r="AP128" i="9"/>
  <c r="AP136" i="9" s="1"/>
  <c r="AP197" i="9"/>
  <c r="AP196" i="9"/>
  <c r="AP154" i="9"/>
  <c r="AP130" i="9"/>
  <c r="AE132" i="9"/>
  <c r="AE131" i="9"/>
  <c r="AB80" i="9" l="1"/>
  <c r="AB81" i="9" s="1"/>
  <c r="AB88" i="9" s="1"/>
  <c r="AQ116" i="9"/>
  <c r="AP135" i="9"/>
  <c r="R191" i="9"/>
  <c r="R193" i="9" s="1"/>
  <c r="R141" i="9" s="1"/>
  <c r="R144" i="9" s="1"/>
  <c r="AH72" i="2" l="1"/>
  <c r="AH75" i="2" s="1"/>
  <c r="AH199" i="2" s="1"/>
  <c r="AC85" i="3" s="1"/>
  <c r="AB86" i="9"/>
  <c r="AB83" i="9"/>
  <c r="AB84" i="9" s="1"/>
  <c r="AB89" i="9"/>
  <c r="AB147" i="9" s="1"/>
  <c r="AB78" i="9"/>
  <c r="AB156" i="9" s="1"/>
  <c r="AC79" i="9"/>
  <c r="AB85" i="9"/>
  <c r="R192" i="9"/>
  <c r="S189" i="9" s="1"/>
  <c r="R157" i="9"/>
  <c r="R103" i="9"/>
  <c r="R105" i="9" s="1"/>
  <c r="R106" i="9" s="1"/>
  <c r="AQ123" i="9"/>
  <c r="AQ124" i="9"/>
  <c r="AB92" i="9" l="1"/>
  <c r="AB98" i="9" s="1"/>
  <c r="AB146" i="9"/>
  <c r="AH69" i="2"/>
  <c r="AH77" i="2" s="1"/>
  <c r="AC57" i="3" s="1"/>
  <c r="AC59" i="3" s="1"/>
  <c r="AF203" i="9"/>
  <c r="AQ128" i="9"/>
  <c r="AQ136" i="9" s="1"/>
  <c r="AQ196" i="9"/>
  <c r="AQ197" i="9"/>
  <c r="AQ154" i="9"/>
  <c r="AQ130" i="9"/>
  <c r="AF132" i="9"/>
  <c r="AF131" i="9"/>
  <c r="R107" i="9"/>
  <c r="R148" i="9" s="1"/>
  <c r="R205" i="9" s="1"/>
  <c r="AB94" i="9" l="1"/>
  <c r="AB96" i="9"/>
  <c r="AB95" i="9"/>
  <c r="AC74" i="9"/>
  <c r="AC82" i="9" s="1"/>
  <c r="AI73" i="2" s="1"/>
  <c r="R151" i="9"/>
  <c r="R200" i="9" s="1"/>
  <c r="R201" i="9" s="1"/>
  <c r="AR116" i="9"/>
  <c r="AQ135" i="9"/>
  <c r="R110" i="9"/>
  <c r="AB97" i="9" l="1"/>
  <c r="AC80" i="9"/>
  <c r="AC81" i="9" s="1"/>
  <c r="AC83" i="9" s="1"/>
  <c r="AC84" i="9" s="1"/>
  <c r="R153" i="9"/>
  <c r="D174" i="8" s="1"/>
  <c r="S101" i="9"/>
  <c r="R112" i="9"/>
  <c r="R111" i="9"/>
  <c r="H38" i="6"/>
  <c r="H39" i="6" s="1"/>
  <c r="D173" i="8"/>
  <c r="R202" i="9"/>
  <c r="R133" i="9"/>
  <c r="R198" i="9" s="1"/>
  <c r="R134" i="9"/>
  <c r="R199" i="9" s="1"/>
  <c r="R113" i="9"/>
  <c r="AR123" i="9"/>
  <c r="AR124" i="9"/>
  <c r="AR128" i="9" s="1"/>
  <c r="AI72" i="2" l="1"/>
  <c r="AI75" i="2" s="1"/>
  <c r="AI199" i="2" s="1"/>
  <c r="AD85" i="3" s="1"/>
  <c r="AC88" i="9"/>
  <c r="AC78" i="9"/>
  <c r="AC156" i="9" s="1"/>
  <c r="AD79" i="9"/>
  <c r="AC86" i="9"/>
  <c r="AC89" i="9"/>
  <c r="AC92" i="9" s="1"/>
  <c r="AC94" i="9" s="1"/>
  <c r="AC85" i="9"/>
  <c r="R155" i="9"/>
  <c r="AR136" i="9"/>
  <c r="AR197" i="9"/>
  <c r="AR196" i="9"/>
  <c r="AR154" i="9"/>
  <c r="AR130" i="9"/>
  <c r="AG132" i="9"/>
  <c r="AG131" i="9"/>
  <c r="AG203" i="9"/>
  <c r="AS116" i="9"/>
  <c r="AR135" i="9"/>
  <c r="S108" i="9"/>
  <c r="S109" i="9"/>
  <c r="AC146" i="9" l="1"/>
  <c r="AC96" i="9"/>
  <c r="AD74" i="9"/>
  <c r="AD82" i="9" s="1"/>
  <c r="AC95" i="9"/>
  <c r="AI69" i="2"/>
  <c r="AI77" i="2" s="1"/>
  <c r="AD57" i="3" s="1"/>
  <c r="AD59" i="3" s="1"/>
  <c r="AC147" i="9"/>
  <c r="AC98" i="9"/>
  <c r="AS123" i="9"/>
  <c r="AS124" i="9"/>
  <c r="S145" i="9"/>
  <c r="S204" i="9" s="1"/>
  <c r="S190" i="9"/>
  <c r="AJ73" i="2" l="1"/>
  <c r="AD80" i="9"/>
  <c r="AD81" i="9" s="1"/>
  <c r="AD78" i="9" s="1"/>
  <c r="AD156" i="9" s="1"/>
  <c r="AC97" i="9"/>
  <c r="AH203" i="9"/>
  <c r="AS197" i="9"/>
  <c r="AS196" i="9"/>
  <c r="AS154" i="9"/>
  <c r="AS130" i="9"/>
  <c r="AH131" i="9"/>
  <c r="AH132" i="9"/>
  <c r="AS128" i="9"/>
  <c r="AS136" i="9" s="1"/>
  <c r="S191" i="9"/>
  <c r="S193" i="9" s="1"/>
  <c r="AJ72" i="2" l="1"/>
  <c r="AJ75" i="2" s="1"/>
  <c r="AJ69" i="2" s="1"/>
  <c r="AJ77" i="2" s="1"/>
  <c r="AE57" i="3" s="1"/>
  <c r="AE59" i="3" s="1"/>
  <c r="AD85" i="9"/>
  <c r="AE79" i="9"/>
  <c r="AD86" i="9"/>
  <c r="AD83" i="9"/>
  <c r="AD84" i="9" s="1"/>
  <c r="AD88" i="9"/>
  <c r="AD89" i="9"/>
  <c r="AD147" i="9" s="1"/>
  <c r="S192" i="9"/>
  <c r="T189" i="9" s="1"/>
  <c r="AT116" i="9"/>
  <c r="AS135" i="9"/>
  <c r="S141" i="9"/>
  <c r="S144" i="9" s="1"/>
  <c r="AJ199" i="2" l="1"/>
  <c r="AE85" i="3" s="1"/>
  <c r="AD92" i="9"/>
  <c r="AD146" i="9"/>
  <c r="S157" i="9"/>
  <c r="S103" i="9"/>
  <c r="S105" i="9" s="1"/>
  <c r="S106" i="9" s="1"/>
  <c r="AT123" i="9"/>
  <c r="AT124" i="9"/>
  <c r="AD98" i="9" l="1"/>
  <c r="AD96" i="9"/>
  <c r="AE74" i="9"/>
  <c r="AE82" i="9" s="1"/>
  <c r="AK73" i="2" s="1"/>
  <c r="AD95" i="9"/>
  <c r="AD94" i="9"/>
  <c r="AI203" i="9"/>
  <c r="S107" i="9"/>
  <c r="S148" i="9" s="1"/>
  <c r="S205" i="9" s="1"/>
  <c r="AT196" i="9"/>
  <c r="AT197" i="9"/>
  <c r="AT154" i="9"/>
  <c r="AT130" i="9"/>
  <c r="AI132" i="9"/>
  <c r="AI131" i="9"/>
  <c r="AT128" i="9"/>
  <c r="AT136" i="9" s="1"/>
  <c r="AE80" i="9" l="1"/>
  <c r="AE81" i="9" s="1"/>
  <c r="AE83" i="9" s="1"/>
  <c r="AE84" i="9" s="1"/>
  <c r="AD97" i="9"/>
  <c r="S151" i="9"/>
  <c r="S200" i="9" s="1"/>
  <c r="S201" i="9" s="1"/>
  <c r="AU116" i="9"/>
  <c r="AT135" i="9"/>
  <c r="S110" i="9"/>
  <c r="S113" i="9" s="1"/>
  <c r="AK72" i="2" l="1"/>
  <c r="AK75" i="2" s="1"/>
  <c r="AK69" i="2" s="1"/>
  <c r="AK77" i="2" s="1"/>
  <c r="AF57" i="3" s="1"/>
  <c r="AF59" i="3" s="1"/>
  <c r="AF79" i="9"/>
  <c r="AE86" i="9"/>
  <c r="AE85" i="9"/>
  <c r="AE88" i="9"/>
  <c r="AE89" i="9"/>
  <c r="AE147" i="9" s="1"/>
  <c r="AE78" i="9"/>
  <c r="AE156" i="9" s="1"/>
  <c r="S153" i="9"/>
  <c r="S155" i="9" s="1"/>
  <c r="T101" i="9"/>
  <c r="S112" i="9"/>
  <c r="S111" i="9"/>
  <c r="S202" i="9"/>
  <c r="S133" i="9"/>
  <c r="S198" i="9" s="1"/>
  <c r="S134" i="9"/>
  <c r="S199" i="9" s="1"/>
  <c r="AU123" i="9"/>
  <c r="AU124" i="9"/>
  <c r="AE92" i="9" l="1"/>
  <c r="AE98" i="9" s="1"/>
  <c r="AE146" i="9"/>
  <c r="AK199" i="2"/>
  <c r="AF85" i="3" s="1"/>
  <c r="AJ203" i="9"/>
  <c r="T108" i="9"/>
  <c r="T109" i="9"/>
  <c r="AU197" i="9"/>
  <c r="AU196" i="9"/>
  <c r="AU154" i="9"/>
  <c r="AU130" i="9"/>
  <c r="AJ132" i="9"/>
  <c r="AJ131" i="9"/>
  <c r="AU128" i="9"/>
  <c r="AE96" i="9" l="1"/>
  <c r="AF74" i="9"/>
  <c r="AF82" i="9" s="1"/>
  <c r="AL73" i="2" s="1"/>
  <c r="AE95" i="9"/>
  <c r="AE94" i="9"/>
  <c r="T145" i="9"/>
  <c r="T204" i="9" s="1"/>
  <c r="T190" i="9"/>
  <c r="AV116" i="9"/>
  <c r="AU135" i="9"/>
  <c r="AU136" i="9"/>
  <c r="AE97" i="9" l="1"/>
  <c r="AF80" i="9"/>
  <c r="AF81" i="9" s="1"/>
  <c r="T191" i="9"/>
  <c r="T192" i="9" s="1"/>
  <c r="U189" i="9" s="1"/>
  <c r="AV123" i="9"/>
  <c r="AV124" i="9"/>
  <c r="AF86" i="9" l="1"/>
  <c r="AF83" i="9"/>
  <c r="AF84" i="9" s="1"/>
  <c r="AF85" i="9"/>
  <c r="AF89" i="9"/>
  <c r="AF147" i="9" s="1"/>
  <c r="AG79" i="9"/>
  <c r="AF78" i="9"/>
  <c r="AF156" i="9" s="1"/>
  <c r="AL72" i="2"/>
  <c r="AL75" i="2" s="1"/>
  <c r="AF88" i="9"/>
  <c r="AK203" i="9"/>
  <c r="T193" i="9"/>
  <c r="T141" i="9" s="1"/>
  <c r="T144" i="9" s="1"/>
  <c r="AV128" i="9"/>
  <c r="AV197" i="9"/>
  <c r="AV196" i="9"/>
  <c r="AV154" i="9"/>
  <c r="AV130" i="9"/>
  <c r="AK132" i="9"/>
  <c r="AK131" i="9"/>
  <c r="AF92" i="9" l="1"/>
  <c r="AG74" i="9" s="1"/>
  <c r="AL199" i="2"/>
  <c r="AG85" i="3" s="1"/>
  <c r="AL69" i="2"/>
  <c r="AL77" i="2" s="1"/>
  <c r="AG57" i="3" s="1"/>
  <c r="AG59" i="3" s="1"/>
  <c r="AF146" i="9"/>
  <c r="AW116" i="9"/>
  <c r="AV135" i="9"/>
  <c r="T157" i="9"/>
  <c r="T103" i="9"/>
  <c r="T105" i="9" s="1"/>
  <c r="T106" i="9" s="1"/>
  <c r="AV136" i="9"/>
  <c r="AF96" i="9" l="1"/>
  <c r="AF98" i="9"/>
  <c r="AF95" i="9"/>
  <c r="AF94" i="9"/>
  <c r="AG82" i="9"/>
  <c r="AM73" i="2" s="1"/>
  <c r="T107" i="9"/>
  <c r="T148" i="9" s="1"/>
  <c r="T205" i="9" s="1"/>
  <c r="AW123" i="9"/>
  <c r="AW124" i="9"/>
  <c r="AF97" i="9" l="1"/>
  <c r="AG80" i="9"/>
  <c r="AG81" i="9" s="1"/>
  <c r="AH79" i="9" s="1"/>
  <c r="AL203" i="9"/>
  <c r="T110" i="9"/>
  <c r="T113" i="9" s="1"/>
  <c r="AW128" i="9"/>
  <c r="AW136" i="9" s="1"/>
  <c r="AW196" i="9"/>
  <c r="AW197" i="9"/>
  <c r="AW154" i="9"/>
  <c r="AW130" i="9"/>
  <c r="AL132" i="9"/>
  <c r="AL131" i="9"/>
  <c r="T151" i="9"/>
  <c r="T200" i="9" s="1"/>
  <c r="T201" i="9" s="1"/>
  <c r="AG88" i="9" l="1"/>
  <c r="AG89" i="9"/>
  <c r="AG147" i="9" s="1"/>
  <c r="AG83" i="9"/>
  <c r="AG84" i="9" s="1"/>
  <c r="AM72" i="2"/>
  <c r="AM75" i="2" s="1"/>
  <c r="AM69" i="2" s="1"/>
  <c r="AM77" i="2" s="1"/>
  <c r="AH57" i="3" s="1"/>
  <c r="AH59" i="3" s="1"/>
  <c r="AG85" i="9"/>
  <c r="AG78" i="9"/>
  <c r="AG156" i="9" s="1"/>
  <c r="AG86" i="9"/>
  <c r="T153" i="9"/>
  <c r="T155" i="9" s="1"/>
  <c r="U101" i="9"/>
  <c r="T112" i="9"/>
  <c r="T111" i="9"/>
  <c r="T202" i="9"/>
  <c r="T134" i="9"/>
  <c r="T199" i="9" s="1"/>
  <c r="T133" i="9"/>
  <c r="T198" i="9" s="1"/>
  <c r="AX116" i="9"/>
  <c r="AW135" i="9"/>
  <c r="AG92" i="9" l="1"/>
  <c r="AG98" i="9" s="1"/>
  <c r="AG146" i="9"/>
  <c r="AM199" i="2"/>
  <c r="AH85" i="3" s="1"/>
  <c r="U108" i="9"/>
  <c r="U109" i="9"/>
  <c r="AX123" i="9"/>
  <c r="AX124" i="9"/>
  <c r="AG96" i="9" l="1"/>
  <c r="AH74" i="9"/>
  <c r="AH82" i="9" s="1"/>
  <c r="AN73" i="2" s="1"/>
  <c r="AG95" i="9"/>
  <c r="AG94" i="9"/>
  <c r="AM203" i="9"/>
  <c r="U145" i="9"/>
  <c r="U204" i="9" s="1"/>
  <c r="U190" i="9"/>
  <c r="AX197" i="9"/>
  <c r="AX196" i="9"/>
  <c r="AX154" i="9"/>
  <c r="AX130" i="9"/>
  <c r="AM132" i="9"/>
  <c r="AM131" i="9"/>
  <c r="AX128" i="9"/>
  <c r="AX136" i="9" s="1"/>
  <c r="AG97" i="9" l="1"/>
  <c r="AH80" i="9"/>
  <c r="AH81" i="9" s="1"/>
  <c r="AH85" i="9" s="1"/>
  <c r="U191" i="9"/>
  <c r="U193" i="9" s="1"/>
  <c r="AY116" i="9"/>
  <c r="AX135" i="9"/>
  <c r="AN72" i="2" l="1"/>
  <c r="AN75" i="2" s="1"/>
  <c r="AN69" i="2" s="1"/>
  <c r="AN77" i="2" s="1"/>
  <c r="AI57" i="3" s="1"/>
  <c r="AI59" i="3" s="1"/>
  <c r="AH89" i="9"/>
  <c r="AH147" i="9" s="1"/>
  <c r="AI79" i="9"/>
  <c r="AH88" i="9"/>
  <c r="AH78" i="9"/>
  <c r="AH156" i="9" s="1"/>
  <c r="AH86" i="9"/>
  <c r="AH83" i="9"/>
  <c r="AH84" i="9" s="1"/>
  <c r="U192" i="9"/>
  <c r="V189" i="9" s="1"/>
  <c r="U141" i="9"/>
  <c r="U144" i="9" s="1"/>
  <c r="AY123" i="9"/>
  <c r="AY124" i="9"/>
  <c r="AH146" i="9" l="1"/>
  <c r="AH92" i="9"/>
  <c r="AH95" i="9" s="1"/>
  <c r="AN199" i="2"/>
  <c r="AI85" i="3" s="1"/>
  <c r="AN203" i="9"/>
  <c r="AY197" i="9"/>
  <c r="AY196" i="9"/>
  <c r="AY154" i="9"/>
  <c r="AY130" i="9"/>
  <c r="AN131" i="9"/>
  <c r="AN132" i="9"/>
  <c r="AY128" i="9"/>
  <c r="U157" i="9"/>
  <c r="U103" i="9"/>
  <c r="U105" i="9" s="1"/>
  <c r="U106" i="9" s="1"/>
  <c r="AH96" i="9" l="1"/>
  <c r="AH97" i="9" s="1"/>
  <c r="AH98" i="9"/>
  <c r="AH94" i="9"/>
  <c r="AI74" i="9"/>
  <c r="AI82" i="9" s="1"/>
  <c r="AO73" i="2" s="1"/>
  <c r="AZ116" i="9"/>
  <c r="AY135" i="9"/>
  <c r="U107" i="9"/>
  <c r="U148" i="9" s="1"/>
  <c r="U205" i="9" s="1"/>
  <c r="AY136" i="9"/>
  <c r="AI80" i="9" l="1"/>
  <c r="AI81" i="9" s="1"/>
  <c r="AI89" i="9" s="1"/>
  <c r="AI147" i="9" s="1"/>
  <c r="U151" i="9"/>
  <c r="U200" i="9" s="1"/>
  <c r="U201" i="9" s="1"/>
  <c r="U110" i="9"/>
  <c r="U113" i="9" s="1"/>
  <c r="AZ123" i="9"/>
  <c r="AZ124" i="9"/>
  <c r="AI83" i="9" l="1"/>
  <c r="AI84" i="9" s="1"/>
  <c r="AI88" i="9"/>
  <c r="AI86" i="9"/>
  <c r="AI92" i="9"/>
  <c r="AI98" i="9" s="1"/>
  <c r="AI78" i="9"/>
  <c r="AI156" i="9" s="1"/>
  <c r="AJ79" i="9"/>
  <c r="AI85" i="9"/>
  <c r="AO72" i="2"/>
  <c r="AO75" i="2" s="1"/>
  <c r="AO69" i="2" s="1"/>
  <c r="AO77" i="2" s="1"/>
  <c r="AJ57" i="3" s="1"/>
  <c r="AJ59" i="3" s="1"/>
  <c r="AO203" i="9"/>
  <c r="AZ197" i="9"/>
  <c r="AZ196" i="9"/>
  <c r="AZ154" i="9"/>
  <c r="AZ130" i="9"/>
  <c r="AO132" i="9"/>
  <c r="AO131" i="9"/>
  <c r="AZ128" i="9"/>
  <c r="AZ136" i="9" s="1"/>
  <c r="U153" i="9"/>
  <c r="U155" i="9" s="1"/>
  <c r="V101" i="9"/>
  <c r="U112" i="9"/>
  <c r="U111" i="9"/>
  <c r="U133" i="9"/>
  <c r="U198" i="9" s="1"/>
  <c r="U134" i="9"/>
  <c r="U199" i="9" s="1"/>
  <c r="U202" i="9"/>
  <c r="AI96" i="9" l="1"/>
  <c r="AJ74" i="9"/>
  <c r="AJ82" i="9" s="1"/>
  <c r="AP73" i="2" s="1"/>
  <c r="AI95" i="9"/>
  <c r="AI146" i="9"/>
  <c r="AO199" i="2"/>
  <c r="AJ85" i="3" s="1"/>
  <c r="AI94" i="9"/>
  <c r="V108" i="9"/>
  <c r="V109" i="9"/>
  <c r="BA116" i="9"/>
  <c r="AZ135" i="9"/>
  <c r="AJ80" i="9" l="1"/>
  <c r="AJ81" i="9" s="1"/>
  <c r="AJ86" i="9" s="1"/>
  <c r="AI97" i="9"/>
  <c r="BA123" i="9"/>
  <c r="BA124" i="9"/>
  <c r="V145" i="9"/>
  <c r="V204" i="9" s="1"/>
  <c r="V190" i="9"/>
  <c r="AP72" i="2" l="1"/>
  <c r="AP75" i="2" s="1"/>
  <c r="AP199" i="2" s="1"/>
  <c r="AK85" i="3" s="1"/>
  <c r="AJ83" i="9"/>
  <c r="AJ84" i="9" s="1"/>
  <c r="AK79" i="9"/>
  <c r="AJ85" i="9"/>
  <c r="AJ78" i="9"/>
  <c r="AJ156" i="9" s="1"/>
  <c r="AJ89" i="9"/>
  <c r="AJ147" i="9" s="1"/>
  <c r="AJ88" i="9"/>
  <c r="AP203" i="9"/>
  <c r="BA128" i="9"/>
  <c r="BA136" i="9" s="1"/>
  <c r="V191" i="9"/>
  <c r="V193" i="9" s="1"/>
  <c r="BA196" i="9"/>
  <c r="BA197" i="9"/>
  <c r="BA154" i="9"/>
  <c r="BA130" i="9"/>
  <c r="AP132" i="9"/>
  <c r="AP131" i="9"/>
  <c r="AJ146" i="9" l="1"/>
  <c r="AP69" i="2"/>
  <c r="AP77" i="2" s="1"/>
  <c r="AK57" i="3" s="1"/>
  <c r="AK59" i="3" s="1"/>
  <c r="AJ92" i="9"/>
  <c r="AJ98" i="9" s="1"/>
  <c r="V141" i="9"/>
  <c r="V144" i="9" s="1"/>
  <c r="V192" i="9"/>
  <c r="W189" i="9" s="1"/>
  <c r="BB116" i="9"/>
  <c r="BA135" i="9"/>
  <c r="AJ96" i="9" l="1"/>
  <c r="AJ94" i="9"/>
  <c r="AJ95" i="9"/>
  <c r="AK74" i="9"/>
  <c r="AK82" i="9" s="1"/>
  <c r="AQ73" i="2" s="1"/>
  <c r="BB123" i="9"/>
  <c r="BB124" i="9"/>
  <c r="V157" i="9"/>
  <c r="V103" i="9"/>
  <c r="V105" i="9" s="1"/>
  <c r="V106" i="9" s="1"/>
  <c r="AJ97" i="9" l="1"/>
  <c r="AK80" i="9"/>
  <c r="AK81" i="9" s="1"/>
  <c r="AK78" i="9" s="1"/>
  <c r="AK156" i="9" s="1"/>
  <c r="AQ203" i="9"/>
  <c r="BB128" i="9"/>
  <c r="BC116" i="9" s="1"/>
  <c r="V107" i="9"/>
  <c r="V148" i="9" s="1"/>
  <c r="V205" i="9" s="1"/>
  <c r="BB197" i="9"/>
  <c r="BB196" i="9"/>
  <c r="BB154" i="9"/>
  <c r="BB130" i="9"/>
  <c r="AQ132" i="9"/>
  <c r="AQ131" i="9"/>
  <c r="AQ72" i="2" l="1"/>
  <c r="AQ75" i="2" s="1"/>
  <c r="AQ199" i="2" s="1"/>
  <c r="AL85" i="3" s="1"/>
  <c r="AK85" i="9"/>
  <c r="AK89" i="9"/>
  <c r="AK147" i="9" s="1"/>
  <c r="AK86" i="9"/>
  <c r="AK88" i="9"/>
  <c r="AK83" i="9"/>
  <c r="AK84" i="9" s="1"/>
  <c r="AL79" i="9"/>
  <c r="BB136" i="9"/>
  <c r="BB135" i="9"/>
  <c r="V110" i="9"/>
  <c r="V113" i="9" s="1"/>
  <c r="V151" i="9"/>
  <c r="V153" i="9" s="1"/>
  <c r="AK146" i="9" l="1"/>
  <c r="AQ69" i="2"/>
  <c r="AQ77" i="2" s="1"/>
  <c r="AL57" i="3" s="1"/>
  <c r="AL59" i="3" s="1"/>
  <c r="AK92" i="9"/>
  <c r="AK94" i="9" s="1"/>
  <c r="V200" i="9"/>
  <c r="V201" i="9" s="1"/>
  <c r="V155" i="9"/>
  <c r="W101" i="9"/>
  <c r="V112" i="9"/>
  <c r="V111" i="9"/>
  <c r="V134" i="9"/>
  <c r="V199" i="9" s="1"/>
  <c r="V133" i="9"/>
  <c r="V198" i="9" s="1"/>
  <c r="V202" i="9"/>
  <c r="AK96" i="9" l="1"/>
  <c r="AK95" i="9"/>
  <c r="AK98" i="9"/>
  <c r="AL74" i="9"/>
  <c r="W108" i="9"/>
  <c r="W109" i="9"/>
  <c r="AK97" i="9" l="1"/>
  <c r="AL82" i="9"/>
  <c r="AR73" i="2" s="1"/>
  <c r="W145" i="9"/>
  <c r="W204" i="9" s="1"/>
  <c r="W190" i="9"/>
  <c r="AL80" i="9" l="1"/>
  <c r="AL81" i="9" s="1"/>
  <c r="AL85" i="9" s="1"/>
  <c r="W191" i="9"/>
  <c r="W193" i="9" s="1"/>
  <c r="W141" i="9" s="1"/>
  <c r="W144" i="9" s="1"/>
  <c r="AR72" i="2" l="1"/>
  <c r="AR75" i="2" s="1"/>
  <c r="AR199" i="2" s="1"/>
  <c r="AM85" i="3" s="1"/>
  <c r="AL86" i="9"/>
  <c r="AM79" i="9"/>
  <c r="AL83" i="9"/>
  <c r="AL84" i="9" s="1"/>
  <c r="AL89" i="9"/>
  <c r="AL147" i="9" s="1"/>
  <c r="AL78" i="9"/>
  <c r="AL156" i="9" s="1"/>
  <c r="AL88" i="9"/>
  <c r="W157" i="9"/>
  <c r="W103" i="9"/>
  <c r="W105" i="9" s="1"/>
  <c r="W106" i="9" s="1"/>
  <c r="W192" i="9"/>
  <c r="X189" i="9" s="1"/>
  <c r="AL92" i="9" l="1"/>
  <c r="AM74" i="9" s="1"/>
  <c r="AM82" i="9" s="1"/>
  <c r="AS73" i="2" s="1"/>
  <c r="AR69" i="2"/>
  <c r="AR77" i="2" s="1"/>
  <c r="AM57" i="3" s="1"/>
  <c r="AM59" i="3" s="1"/>
  <c r="AL146" i="9"/>
  <c r="W107" i="9"/>
  <c r="W148" i="9" s="1"/>
  <c r="W205" i="9" s="1"/>
  <c r="AL94" i="9" l="1"/>
  <c r="AL98" i="9"/>
  <c r="AL95" i="9"/>
  <c r="AL96" i="9"/>
  <c r="AM80" i="9"/>
  <c r="AM81" i="9" s="1"/>
  <c r="AM85" i="9" s="1"/>
  <c r="W110" i="9"/>
  <c r="W113" i="9" s="1"/>
  <c r="W151" i="9"/>
  <c r="W200" i="9" s="1"/>
  <c r="W201" i="9" s="1"/>
  <c r="AL97" i="9" l="1"/>
  <c r="AS72" i="2"/>
  <c r="AS75" i="2" s="1"/>
  <c r="AS69" i="2" s="1"/>
  <c r="AS77" i="2" s="1"/>
  <c r="AN57" i="3" s="1"/>
  <c r="AN59" i="3" s="1"/>
  <c r="AM88" i="9"/>
  <c r="AM89" i="9"/>
  <c r="AM147" i="9" s="1"/>
  <c r="AN79" i="9"/>
  <c r="AM83" i="9"/>
  <c r="AM84" i="9" s="1"/>
  <c r="AM86" i="9"/>
  <c r="AM78" i="9"/>
  <c r="AM156" i="9" s="1"/>
  <c r="W153" i="9"/>
  <c r="W155" i="9" s="1"/>
  <c r="X101" i="9"/>
  <c r="W112" i="9"/>
  <c r="W111" i="9"/>
  <c r="W134" i="9"/>
  <c r="W199" i="9" s="1"/>
  <c r="W202" i="9"/>
  <c r="W133" i="9"/>
  <c r="W198" i="9" s="1"/>
  <c r="AM92" i="9" l="1"/>
  <c r="AN74" i="9" s="1"/>
  <c r="AS199" i="2"/>
  <c r="AN85" i="3" s="1"/>
  <c r="AM146" i="9"/>
  <c r="X108" i="9"/>
  <c r="X109" i="9"/>
  <c r="AM96" i="9" l="1"/>
  <c r="AM98" i="9"/>
  <c r="AM94" i="9"/>
  <c r="AM95" i="9"/>
  <c r="AN82" i="9"/>
  <c r="AT73" i="2" s="1"/>
  <c r="X145" i="9"/>
  <c r="X204" i="9" s="1"/>
  <c r="X190" i="9"/>
  <c r="AM97" i="9" l="1"/>
  <c r="AN80" i="9"/>
  <c r="AN81" i="9" s="1"/>
  <c r="AN85" i="9" s="1"/>
  <c r="X191" i="9"/>
  <c r="X193" i="9" s="1"/>
  <c r="X141" i="9" s="1"/>
  <c r="X144" i="9" s="1"/>
  <c r="AT72" i="2" l="1"/>
  <c r="AT75" i="2" s="1"/>
  <c r="AT199" i="2" s="1"/>
  <c r="AO85" i="3" s="1"/>
  <c r="AN78" i="9"/>
  <c r="AN156" i="9" s="1"/>
  <c r="AN89" i="9"/>
  <c r="AN147" i="9" s="1"/>
  <c r="AO79" i="9"/>
  <c r="AN86" i="9"/>
  <c r="AN83" i="9"/>
  <c r="AN84" i="9" s="1"/>
  <c r="AN88" i="9"/>
  <c r="X157" i="9"/>
  <c r="X103" i="9"/>
  <c r="X105" i="9" s="1"/>
  <c r="X106" i="9" s="1"/>
  <c r="X192" i="9"/>
  <c r="Y189" i="9" s="1"/>
  <c r="AN146" i="9" l="1"/>
  <c r="AT69" i="2"/>
  <c r="AT77" i="2" s="1"/>
  <c r="AO57" i="3" s="1"/>
  <c r="AO59" i="3" s="1"/>
  <c r="AN92" i="9"/>
  <c r="X107" i="9"/>
  <c r="X148" i="9" s="1"/>
  <c r="X205" i="9" s="1"/>
  <c r="AN98" i="9" l="1"/>
  <c r="AN96" i="9"/>
  <c r="AO74" i="9"/>
  <c r="AO82" i="9" s="1"/>
  <c r="AU73" i="2" s="1"/>
  <c r="AN95" i="9"/>
  <c r="AN94" i="9"/>
  <c r="X151" i="9"/>
  <c r="X153" i="9" s="1"/>
  <c r="X110" i="9"/>
  <c r="X113" i="9" s="1"/>
  <c r="AN97" i="9" l="1"/>
  <c r="AO80" i="9"/>
  <c r="AO81" i="9" s="1"/>
  <c r="AO85" i="9" s="1"/>
  <c r="X200" i="9"/>
  <c r="X201" i="9" s="1"/>
  <c r="Y101" i="9"/>
  <c r="X112" i="9"/>
  <c r="X111" i="9"/>
  <c r="X133" i="9"/>
  <c r="X198" i="9" s="1"/>
  <c r="X202" i="9"/>
  <c r="X134" i="9"/>
  <c r="X199" i="9" s="1"/>
  <c r="X155" i="9"/>
  <c r="AU72" i="2" l="1"/>
  <c r="AU75" i="2" s="1"/>
  <c r="AU199" i="2" s="1"/>
  <c r="AP85" i="3" s="1"/>
  <c r="AO86" i="9"/>
  <c r="AO88" i="9"/>
  <c r="AP79" i="9"/>
  <c r="AO78" i="9"/>
  <c r="AO156" i="9" s="1"/>
  <c r="AO89" i="9"/>
  <c r="AO83" i="9"/>
  <c r="AO84" i="9" s="1"/>
  <c r="Y108" i="9"/>
  <c r="Y109" i="9"/>
  <c r="AO146" i="9" l="1"/>
  <c r="AU69" i="2"/>
  <c r="AU77" i="2" s="1"/>
  <c r="AP57" i="3" s="1"/>
  <c r="AP59" i="3" s="1"/>
  <c r="AO147" i="9"/>
  <c r="AO92" i="9"/>
  <c r="Y145" i="9"/>
  <c r="Y204" i="9" s="1"/>
  <c r="Y190" i="9"/>
  <c r="AO94" i="9" l="1"/>
  <c r="AO96" i="9"/>
  <c r="AP74" i="9"/>
  <c r="AO95" i="9"/>
  <c r="AO98" i="9"/>
  <c r="Y191" i="9"/>
  <c r="Y192" i="9" s="1"/>
  <c r="Z189" i="9" s="1"/>
  <c r="AO97" i="9" l="1"/>
  <c r="AP82" i="9"/>
  <c r="AV73" i="2" s="1"/>
  <c r="Y193" i="9"/>
  <c r="Y141" i="9" s="1"/>
  <c r="Y144" i="9" s="1"/>
  <c r="AP80" i="9" l="1"/>
  <c r="AP81" i="9" s="1"/>
  <c r="AP83" i="9" s="1"/>
  <c r="AP84" i="9" s="1"/>
  <c r="Y157" i="9"/>
  <c r="Y103" i="9"/>
  <c r="Y105" i="9" s="1"/>
  <c r="Y106" i="9" s="1"/>
  <c r="AV72" i="2" l="1"/>
  <c r="AV75" i="2" s="1"/>
  <c r="AV199" i="2" s="1"/>
  <c r="AQ85" i="3" s="1"/>
  <c r="AP78" i="9"/>
  <c r="AP156" i="9" s="1"/>
  <c r="AP85" i="9"/>
  <c r="AP88" i="9"/>
  <c r="AQ79" i="9"/>
  <c r="AP89" i="9"/>
  <c r="AP86" i="9"/>
  <c r="Y107" i="9"/>
  <c r="Y148" i="9" s="1"/>
  <c r="Y205" i="9" s="1"/>
  <c r="AV69" i="2" l="1"/>
  <c r="AV77" i="2" s="1"/>
  <c r="AQ57" i="3" s="1"/>
  <c r="AQ59" i="3" s="1"/>
  <c r="AP147" i="9"/>
  <c r="AP92" i="9"/>
  <c r="AP146" i="9"/>
  <c r="Y110" i="9"/>
  <c r="Y113" i="9" s="1"/>
  <c r="Y151" i="9"/>
  <c r="Y200" i="9" s="1"/>
  <c r="Y201" i="9" s="1"/>
  <c r="AP94" i="9" l="1"/>
  <c r="AP95" i="9"/>
  <c r="AP98" i="9"/>
  <c r="AQ74" i="9"/>
  <c r="AP96" i="9"/>
  <c r="Z101" i="9"/>
  <c r="Y112" i="9"/>
  <c r="Y111" i="9"/>
  <c r="Y133" i="9"/>
  <c r="Y198" i="9" s="1"/>
  <c r="Y202" i="9"/>
  <c r="Y134" i="9"/>
  <c r="Y199" i="9" s="1"/>
  <c r="Y153" i="9"/>
  <c r="AP97" i="9" l="1"/>
  <c r="AQ82" i="9"/>
  <c r="AW73" i="2" s="1"/>
  <c r="Y155" i="9"/>
  <c r="Z108" i="9"/>
  <c r="Z109" i="9"/>
  <c r="AQ80" i="9" l="1"/>
  <c r="AQ81" i="9" s="1"/>
  <c r="AQ83" i="9" s="1"/>
  <c r="AQ84" i="9" s="1"/>
  <c r="Z145" i="9"/>
  <c r="Z204" i="9" s="1"/>
  <c r="Z190" i="9"/>
  <c r="AW72" i="2" l="1"/>
  <c r="AW75" i="2" s="1"/>
  <c r="AW69" i="2" s="1"/>
  <c r="AW77" i="2" s="1"/>
  <c r="AR57" i="3" s="1"/>
  <c r="AR59" i="3" s="1"/>
  <c r="AR79" i="9"/>
  <c r="AQ78" i="9"/>
  <c r="AQ156" i="9" s="1"/>
  <c r="AQ88" i="9"/>
  <c r="AQ89" i="9"/>
  <c r="AQ147" i="9" s="1"/>
  <c r="AQ85" i="9"/>
  <c r="AQ86" i="9"/>
  <c r="Z191" i="9"/>
  <c r="Z192" i="9" s="1"/>
  <c r="AA189" i="9" s="1"/>
  <c r="AQ146" i="9" l="1"/>
  <c r="AQ92" i="9"/>
  <c r="AQ94" i="9" s="1"/>
  <c r="AW199" i="2"/>
  <c r="AR85" i="3" s="1"/>
  <c r="Z193" i="9"/>
  <c r="Z141" i="9" s="1"/>
  <c r="Z144" i="9" s="1"/>
  <c r="AQ95" i="9" l="1"/>
  <c r="AQ96" i="9"/>
  <c r="AQ98" i="9"/>
  <c r="AR74" i="9"/>
  <c r="AR82" i="9" s="1"/>
  <c r="AX73" i="2" s="1"/>
  <c r="Z157" i="9"/>
  <c r="Z103" i="9"/>
  <c r="Z105" i="9" s="1"/>
  <c r="Z106" i="9" s="1"/>
  <c r="AQ97" i="9" l="1"/>
  <c r="AR80" i="9"/>
  <c r="AR81" i="9" s="1"/>
  <c r="AR86" i="9" s="1"/>
  <c r="Z107" i="9"/>
  <c r="AX72" i="2" l="1"/>
  <c r="AX75" i="2" s="1"/>
  <c r="AX199" i="2" s="1"/>
  <c r="AS85" i="3" s="1"/>
  <c r="AR89" i="9"/>
  <c r="AR147" i="9" s="1"/>
  <c r="AS79" i="9"/>
  <c r="AR83" i="9"/>
  <c r="AR84" i="9" s="1"/>
  <c r="AR88" i="9"/>
  <c r="AR78" i="9"/>
  <c r="AR156" i="9" s="1"/>
  <c r="AR85" i="9"/>
  <c r="Z148" i="9"/>
  <c r="Z205" i="9" s="1"/>
  <c r="Z151" i="9"/>
  <c r="Z200" i="9" s="1"/>
  <c r="Z201" i="9" s="1"/>
  <c r="Z110" i="9"/>
  <c r="Z113" i="9" s="1"/>
  <c r="AR92" i="9" l="1"/>
  <c r="AS74" i="9" s="1"/>
  <c r="AR146" i="9"/>
  <c r="AX69" i="2"/>
  <c r="AX77" i="2" s="1"/>
  <c r="AS57" i="3" s="1"/>
  <c r="AS59" i="3" s="1"/>
  <c r="Z153" i="9"/>
  <c r="Z155" i="9" s="1"/>
  <c r="AA101" i="9"/>
  <c r="Z112" i="9"/>
  <c r="Z111" i="9"/>
  <c r="Z202" i="9"/>
  <c r="Z133" i="9"/>
  <c r="Z198" i="9" s="1"/>
  <c r="Z134" i="9"/>
  <c r="Z199" i="9" s="1"/>
  <c r="AR98" i="9" l="1"/>
  <c r="AR95" i="9"/>
  <c r="AR94" i="9"/>
  <c r="AR96" i="9"/>
  <c r="AS82" i="9"/>
  <c r="AY73" i="2" s="1"/>
  <c r="AA108" i="9"/>
  <c r="AA109" i="9"/>
  <c r="AR97" i="9" l="1"/>
  <c r="AS80" i="9"/>
  <c r="AS81" i="9" s="1"/>
  <c r="AS86" i="9" s="1"/>
  <c r="AA145" i="9"/>
  <c r="AA204" i="9" s="1"/>
  <c r="AA190" i="9"/>
  <c r="AY72" i="2" l="1"/>
  <c r="AY75" i="2" s="1"/>
  <c r="AY69" i="2" s="1"/>
  <c r="AY77" i="2" s="1"/>
  <c r="AT57" i="3" s="1"/>
  <c r="AT59" i="3" s="1"/>
  <c r="AS89" i="9"/>
  <c r="AS147" i="9" s="1"/>
  <c r="AS88" i="9"/>
  <c r="AT79" i="9"/>
  <c r="AS78" i="9"/>
  <c r="AS156" i="9" s="1"/>
  <c r="AS83" i="9"/>
  <c r="AS84" i="9" s="1"/>
  <c r="AS85" i="9"/>
  <c r="AA191" i="9"/>
  <c r="AA193" i="9" s="1"/>
  <c r="AA141" i="9" s="1"/>
  <c r="AA144" i="9" s="1"/>
  <c r="AS146" i="9" l="1"/>
  <c r="AS92" i="9"/>
  <c r="AS98" i="9" s="1"/>
  <c r="AY199" i="2"/>
  <c r="AT85" i="3" s="1"/>
  <c r="AA157" i="9"/>
  <c r="AA103" i="9"/>
  <c r="AA105" i="9" s="1"/>
  <c r="AA106" i="9" s="1"/>
  <c r="AA192" i="9"/>
  <c r="AB189" i="9" s="1"/>
  <c r="AS96" i="9" l="1"/>
  <c r="AT74" i="9"/>
  <c r="AT82" i="9" s="1"/>
  <c r="AZ73" i="2" s="1"/>
  <c r="AS95" i="9"/>
  <c r="AS94" i="9"/>
  <c r="AA107" i="9"/>
  <c r="AA148" i="9" s="1"/>
  <c r="AA205" i="9" s="1"/>
  <c r="AS97" i="9" l="1"/>
  <c r="AT80" i="9"/>
  <c r="AT81" i="9" s="1"/>
  <c r="AT88" i="9" s="1"/>
  <c r="AA110" i="9"/>
  <c r="AA113" i="9" s="1"/>
  <c r="AA151" i="9"/>
  <c r="AA153" i="9" s="1"/>
  <c r="AZ72" i="2" l="1"/>
  <c r="AZ75" i="2" s="1"/>
  <c r="AZ199" i="2" s="1"/>
  <c r="AU85" i="3" s="1"/>
  <c r="AU79" i="9"/>
  <c r="AT78" i="9"/>
  <c r="AT156" i="9" s="1"/>
  <c r="AT86" i="9"/>
  <c r="AT83" i="9"/>
  <c r="AT84" i="9" s="1"/>
  <c r="AT89" i="9"/>
  <c r="AT147" i="9" s="1"/>
  <c r="AT85" i="9"/>
  <c r="AA200" i="9"/>
  <c r="AA201" i="9" s="1"/>
  <c r="AB101" i="9"/>
  <c r="AA112" i="9"/>
  <c r="AA111" i="9"/>
  <c r="AA134" i="9"/>
  <c r="AA199" i="9" s="1"/>
  <c r="AA202" i="9"/>
  <c r="AA133" i="9"/>
  <c r="AA198" i="9" s="1"/>
  <c r="AA155" i="9"/>
  <c r="AT146" i="9" l="1"/>
  <c r="AT92" i="9"/>
  <c r="AT98" i="9" s="1"/>
  <c r="AZ69" i="2"/>
  <c r="AZ77" i="2" s="1"/>
  <c r="AU57" i="3" s="1"/>
  <c r="AU59" i="3" s="1"/>
  <c r="AB108" i="9"/>
  <c r="AB109" i="9"/>
  <c r="AT95" i="9" l="1"/>
  <c r="AU74" i="9"/>
  <c r="AU82" i="9" s="1"/>
  <c r="BA73" i="2" s="1"/>
  <c r="AT96" i="9"/>
  <c r="AT94" i="9"/>
  <c r="AB145" i="9"/>
  <c r="AB204" i="9" s="1"/>
  <c r="AB190" i="9"/>
  <c r="AT97" i="9" l="1"/>
  <c r="AU80" i="9"/>
  <c r="AU81" i="9" s="1"/>
  <c r="AU83" i="9" s="1"/>
  <c r="AU84" i="9" s="1"/>
  <c r="AB191" i="9"/>
  <c r="AB193" i="9" s="1"/>
  <c r="AB141" i="9" s="1"/>
  <c r="AB144" i="9" s="1"/>
  <c r="BA72" i="2" l="1"/>
  <c r="BA75" i="2" s="1"/>
  <c r="BA69" i="2" s="1"/>
  <c r="BA77" i="2" s="1"/>
  <c r="AV57" i="3" s="1"/>
  <c r="AV59" i="3" s="1"/>
  <c r="AU85" i="9"/>
  <c r="AV79" i="9"/>
  <c r="AU78" i="9"/>
  <c r="AU156" i="9" s="1"/>
  <c r="AU88" i="9"/>
  <c r="AU89" i="9"/>
  <c r="AU147" i="9" s="1"/>
  <c r="AU86" i="9"/>
  <c r="AB157" i="9"/>
  <c r="AB103" i="9"/>
  <c r="AB105" i="9" s="1"/>
  <c r="AB106" i="9" s="1"/>
  <c r="AB192" i="9"/>
  <c r="AC189" i="9" s="1"/>
  <c r="AU92" i="9" l="1"/>
  <c r="AU98" i="9" s="1"/>
  <c r="BA199" i="2"/>
  <c r="AV85" i="3" s="1"/>
  <c r="AU146" i="9"/>
  <c r="AB107" i="9"/>
  <c r="AB148" i="9" s="1"/>
  <c r="AB205" i="9" s="1"/>
  <c r="AU94" i="9" l="1"/>
  <c r="AU96" i="9"/>
  <c r="AU95" i="9"/>
  <c r="AV74" i="9"/>
  <c r="AV82" i="9" s="1"/>
  <c r="BB73" i="2" s="1"/>
  <c r="AB151" i="9"/>
  <c r="AB153" i="9" s="1"/>
  <c r="AB155" i="9" s="1"/>
  <c r="AB110" i="9"/>
  <c r="AB113" i="9" s="1"/>
  <c r="AU97" i="9" l="1"/>
  <c r="AV80" i="9"/>
  <c r="AV81" i="9" s="1"/>
  <c r="AV85" i="9" s="1"/>
  <c r="AB200" i="9"/>
  <c r="AB201" i="9" s="1"/>
  <c r="AC101" i="9"/>
  <c r="AB112" i="9"/>
  <c r="AB111" i="9"/>
  <c r="AB133" i="9"/>
  <c r="AB198" i="9" s="1"/>
  <c r="AB134" i="9"/>
  <c r="AB199" i="9" s="1"/>
  <c r="AB202" i="9"/>
  <c r="BB72" i="2" l="1"/>
  <c r="BB75" i="2" s="1"/>
  <c r="BB199" i="2" s="1"/>
  <c r="AW85" i="3" s="1"/>
  <c r="AW79" i="9"/>
  <c r="AV78" i="9"/>
  <c r="AV156" i="9" s="1"/>
  <c r="AV88" i="9"/>
  <c r="AV89" i="9"/>
  <c r="AV147" i="9" s="1"/>
  <c r="AV83" i="9"/>
  <c r="AV84" i="9" s="1"/>
  <c r="AV86" i="9"/>
  <c r="AC108" i="9"/>
  <c r="AC109" i="9"/>
  <c r="AV92" i="9" l="1"/>
  <c r="AV98" i="9" s="1"/>
  <c r="BB69" i="2"/>
  <c r="BB77" i="2" s="1"/>
  <c r="AW57" i="3" s="1"/>
  <c r="AW59" i="3" s="1"/>
  <c r="AV146" i="9"/>
  <c r="AC145" i="9"/>
  <c r="AC204" i="9" s="1"/>
  <c r="AC190" i="9"/>
  <c r="AV95" i="9" l="1"/>
  <c r="AV96" i="9"/>
  <c r="AV94" i="9"/>
  <c r="AW74" i="9"/>
  <c r="AW82" i="9" s="1"/>
  <c r="BC73" i="2" s="1"/>
  <c r="AC191" i="9"/>
  <c r="AC193" i="9" s="1"/>
  <c r="AC141" i="9" s="1"/>
  <c r="AC144" i="9" s="1"/>
  <c r="AV97" i="9" l="1"/>
  <c r="AW80" i="9"/>
  <c r="AW81" i="9" s="1"/>
  <c r="AW86" i="9" s="1"/>
  <c r="AC157" i="9"/>
  <c r="AC103" i="9"/>
  <c r="AC105" i="9" s="1"/>
  <c r="AC106" i="9" s="1"/>
  <c r="AC192" i="9"/>
  <c r="AD189" i="9" s="1"/>
  <c r="BC72" i="2" l="1"/>
  <c r="BC75" i="2" s="1"/>
  <c r="BC199" i="2" s="1"/>
  <c r="AX85" i="3" s="1"/>
  <c r="AX79" i="9"/>
  <c r="AW78" i="9"/>
  <c r="AW156" i="9" s="1"/>
  <c r="AW83" i="9"/>
  <c r="AW84" i="9" s="1"/>
  <c r="AW85" i="9"/>
  <c r="AW88" i="9"/>
  <c r="AW89" i="9"/>
  <c r="AW147" i="9" s="1"/>
  <c r="AC107" i="9"/>
  <c r="AC148" i="9" s="1"/>
  <c r="AC205" i="9" s="1"/>
  <c r="AW92" i="9" l="1"/>
  <c r="AW94" i="9" s="1"/>
  <c r="BC69" i="2"/>
  <c r="BC77" i="2" s="1"/>
  <c r="AX57" i="3" s="1"/>
  <c r="AX59" i="3" s="1"/>
  <c r="AW146" i="9"/>
  <c r="AC151" i="9"/>
  <c r="AC153" i="9" s="1"/>
  <c r="AC110" i="9"/>
  <c r="AC113" i="9" s="1"/>
  <c r="AW96" i="9" l="1"/>
  <c r="AW98" i="9"/>
  <c r="AX74" i="9"/>
  <c r="AX82" i="9" s="1"/>
  <c r="BD73" i="2" s="1"/>
  <c r="AW95" i="9"/>
  <c r="AC155" i="9"/>
  <c r="AC111" i="9"/>
  <c r="AC112" i="9"/>
  <c r="AD101" i="9"/>
  <c r="AD108" i="9" s="1"/>
  <c r="AC200" i="9"/>
  <c r="AC201" i="9" s="1"/>
  <c r="AC134" i="9"/>
  <c r="AC199" i="9" s="1"/>
  <c r="AC202" i="9"/>
  <c r="AC133" i="9"/>
  <c r="AC198" i="9" s="1"/>
  <c r="AW97" i="9" l="1"/>
  <c r="AX80" i="9"/>
  <c r="AX81" i="9" s="1"/>
  <c r="AX83" i="9" s="1"/>
  <c r="AX84" i="9" s="1"/>
  <c r="AD109" i="9"/>
  <c r="AD145" i="9" s="1"/>
  <c r="AD204" i="9" s="1"/>
  <c r="AD190" i="9"/>
  <c r="AY79" i="9" l="1"/>
  <c r="BD72" i="2"/>
  <c r="BD75" i="2" s="1"/>
  <c r="BD199" i="2" s="1"/>
  <c r="AY85" i="3" s="1"/>
  <c r="AX78" i="9"/>
  <c r="AX156" i="9" s="1"/>
  <c r="AX89" i="9"/>
  <c r="AX147" i="9" s="1"/>
  <c r="AX86" i="9"/>
  <c r="AX85" i="9"/>
  <c r="AX88" i="9"/>
  <c r="AD191" i="9"/>
  <c r="AD192" i="9" s="1"/>
  <c r="AE189" i="9" s="1"/>
  <c r="AX146" i="9" l="1"/>
  <c r="AX92" i="9"/>
  <c r="AX98" i="9" s="1"/>
  <c r="BD69" i="2"/>
  <c r="BD77" i="2" s="1"/>
  <c r="AY57" i="3" s="1"/>
  <c r="AY59" i="3" s="1"/>
  <c r="AD193" i="9"/>
  <c r="AD141" i="9" s="1"/>
  <c r="AD144" i="9" s="1"/>
  <c r="AX96" i="9" l="1"/>
  <c r="AX94" i="9"/>
  <c r="AY74" i="9"/>
  <c r="AY82" i="9" s="1"/>
  <c r="BE73" i="2" s="1"/>
  <c r="AX95" i="9"/>
  <c r="AD157" i="9"/>
  <c r="AD103" i="9"/>
  <c r="AD105" i="9" s="1"/>
  <c r="AD106" i="9" s="1"/>
  <c r="AX97" i="9" l="1"/>
  <c r="AY80" i="9"/>
  <c r="AY81" i="9" s="1"/>
  <c r="AD107" i="9"/>
  <c r="AD148" i="9" s="1"/>
  <c r="AD205" i="9" s="1"/>
  <c r="BE72" i="2" l="1"/>
  <c r="BE75" i="2" s="1"/>
  <c r="AY78" i="9"/>
  <c r="AY156" i="9" s="1"/>
  <c r="AZ79" i="9"/>
  <c r="AY88" i="9"/>
  <c r="AY89" i="9"/>
  <c r="AY147" i="9" s="1"/>
  <c r="AY85" i="9"/>
  <c r="AY83" i="9"/>
  <c r="AY84" i="9" s="1"/>
  <c r="AY86" i="9"/>
  <c r="AD151" i="9"/>
  <c r="AD153" i="9" s="1"/>
  <c r="AD110" i="9"/>
  <c r="AD113" i="9" s="1"/>
  <c r="AY92" i="9" l="1"/>
  <c r="AY98" i="9" s="1"/>
  <c r="AY146" i="9"/>
  <c r="BE69" i="2"/>
  <c r="BE77" i="2" s="1"/>
  <c r="AZ57" i="3" s="1"/>
  <c r="AZ59" i="3" s="1"/>
  <c r="BE199" i="2"/>
  <c r="AZ85" i="3" s="1"/>
  <c r="AD155" i="9"/>
  <c r="AD200" i="9"/>
  <c r="AD201" i="9" s="1"/>
  <c r="AE101" i="9"/>
  <c r="AD112" i="9"/>
  <c r="AD111" i="9"/>
  <c r="AD134" i="9"/>
  <c r="AD199" i="9" s="1"/>
  <c r="AD133" i="9"/>
  <c r="AD198" i="9" s="1"/>
  <c r="I38" i="6"/>
  <c r="I39" i="6" s="1"/>
  <c r="AD202" i="9"/>
  <c r="AY96" i="9" l="1"/>
  <c r="AY95" i="9"/>
  <c r="AZ74" i="9"/>
  <c r="AZ82" i="9" s="1"/>
  <c r="BF73" i="2" s="1"/>
  <c r="AY94" i="9"/>
  <c r="AE108" i="9"/>
  <c r="AE109" i="9"/>
  <c r="AZ80" i="9" l="1"/>
  <c r="AZ81" i="9" s="1"/>
  <c r="AZ85" i="9" s="1"/>
  <c r="AY97" i="9"/>
  <c r="AE145" i="9"/>
  <c r="AE204" i="9" s="1"/>
  <c r="AE190" i="9"/>
  <c r="BF72" i="2" l="1"/>
  <c r="BF75" i="2" s="1"/>
  <c r="BF69" i="2" s="1"/>
  <c r="BF77" i="2" s="1"/>
  <c r="BA57" i="3" s="1"/>
  <c r="BA59" i="3" s="1"/>
  <c r="BA79" i="9"/>
  <c r="AZ86" i="9"/>
  <c r="AZ83" i="9"/>
  <c r="AZ84" i="9" s="1"/>
  <c r="AZ78" i="9"/>
  <c r="AZ156" i="9" s="1"/>
  <c r="AZ89" i="9"/>
  <c r="AZ147" i="9" s="1"/>
  <c r="AZ88" i="9"/>
  <c r="AE191" i="9"/>
  <c r="AE193" i="9" s="1"/>
  <c r="AZ146" i="9" l="1"/>
  <c r="BF199" i="2"/>
  <c r="BA85" i="3" s="1"/>
  <c r="AZ92" i="9"/>
  <c r="AZ96" i="9" s="1"/>
  <c r="AE192" i="9"/>
  <c r="AF189" i="9" s="1"/>
  <c r="AE141" i="9"/>
  <c r="AE144" i="9" s="1"/>
  <c r="AZ98" i="9" l="1"/>
  <c r="AZ94" i="9"/>
  <c r="BA74" i="9"/>
  <c r="BA82" i="9" s="1"/>
  <c r="BG73" i="2" s="1"/>
  <c r="AZ95" i="9"/>
  <c r="AZ97" i="9" s="1"/>
  <c r="AE157" i="9"/>
  <c r="AE103" i="9"/>
  <c r="AE105" i="9" s="1"/>
  <c r="AE106" i="9" s="1"/>
  <c r="BA80" i="9" l="1"/>
  <c r="BA81" i="9" s="1"/>
  <c r="BA86" i="9" s="1"/>
  <c r="AE107" i="9"/>
  <c r="BG72" i="2" l="1"/>
  <c r="BG75" i="2" s="1"/>
  <c r="BG199" i="2" s="1"/>
  <c r="BB85" i="3" s="1"/>
  <c r="BA78" i="9"/>
  <c r="BA156" i="9" s="1"/>
  <c r="BA88" i="9"/>
  <c r="BA85" i="9"/>
  <c r="BA83" i="9"/>
  <c r="BA84" i="9" s="1"/>
  <c r="BA89" i="9"/>
  <c r="BA147" i="9" s="1"/>
  <c r="BB79" i="9"/>
  <c r="AE110" i="9"/>
  <c r="AE148" i="9"/>
  <c r="AE205" i="9" s="1"/>
  <c r="AE151" i="9"/>
  <c r="AE200" i="9" s="1"/>
  <c r="AE201" i="9" s="1"/>
  <c r="BG69" i="2" l="1"/>
  <c r="BG77" i="2" s="1"/>
  <c r="BB57" i="3" s="1"/>
  <c r="BB59" i="3" s="1"/>
  <c r="BA92" i="9"/>
  <c r="BA96" i="9" s="1"/>
  <c r="BA146" i="9"/>
  <c r="AE153" i="9"/>
  <c r="AE155" i="9" s="1"/>
  <c r="AF101" i="9"/>
  <c r="AE112" i="9"/>
  <c r="AE111" i="9"/>
  <c r="AE202" i="9"/>
  <c r="AE134" i="9"/>
  <c r="AE199" i="9" s="1"/>
  <c r="AE133" i="9"/>
  <c r="AE198" i="9" s="1"/>
  <c r="AE113" i="9"/>
  <c r="BA95" i="9" l="1"/>
  <c r="BA97" i="9" s="1"/>
  <c r="BA94" i="9"/>
  <c r="BB74" i="9"/>
  <c r="BB82" i="9" s="1"/>
  <c r="BH73" i="2" s="1"/>
  <c r="BA98" i="9"/>
  <c r="AF108" i="9"/>
  <c r="AF109" i="9"/>
  <c r="BB80" i="9" l="1"/>
  <c r="BB81" i="9" s="1"/>
  <c r="BB85" i="9" s="1"/>
  <c r="AF145" i="9"/>
  <c r="AF204" i="9" s="1"/>
  <c r="AF190" i="9"/>
  <c r="BH72" i="2" l="1"/>
  <c r="BH75" i="2" s="1"/>
  <c r="BH199" i="2" s="1"/>
  <c r="BC85" i="3" s="1"/>
  <c r="BB78" i="9"/>
  <c r="BB156" i="9" s="1"/>
  <c r="BB83" i="9"/>
  <c r="BB84" i="9" s="1"/>
  <c r="BB88" i="9"/>
  <c r="BB89" i="9"/>
  <c r="BB147" i="9" s="1"/>
  <c r="BC79" i="9"/>
  <c r="BB86" i="9"/>
  <c r="AF191" i="9"/>
  <c r="AF193" i="9" s="1"/>
  <c r="BB92" i="9" l="1"/>
  <c r="BB98" i="9" s="1"/>
  <c r="BB146" i="9"/>
  <c r="BH69" i="2"/>
  <c r="BH77" i="2" s="1"/>
  <c r="BC57" i="3" s="1"/>
  <c r="BC59" i="3" s="1"/>
  <c r="AF192" i="9"/>
  <c r="AG189" i="9" s="1"/>
  <c r="AF141" i="9"/>
  <c r="AF144" i="9" s="1"/>
  <c r="BB96" i="9" l="1"/>
  <c r="BB94" i="9"/>
  <c r="BB95" i="9"/>
  <c r="BC74" i="9"/>
  <c r="BC80" i="9" s="1"/>
  <c r="BC81" i="9" s="1"/>
  <c r="BC86" i="9" s="1"/>
  <c r="AF157" i="9"/>
  <c r="AF103" i="9"/>
  <c r="AF105" i="9" s="1"/>
  <c r="AF106" i="9" s="1"/>
  <c r="BC82" i="9" l="1"/>
  <c r="BI73" i="2" s="1"/>
  <c r="BI72" i="2"/>
  <c r="BB97" i="9"/>
  <c r="BD79" i="9"/>
  <c r="BC85" i="9"/>
  <c r="BC78" i="9"/>
  <c r="BC156" i="9" s="1"/>
  <c r="AF107" i="9"/>
  <c r="AF151" i="9" s="1"/>
  <c r="BC88" i="9" l="1"/>
  <c r="BC90" i="9"/>
  <c r="BC93" i="9" s="1"/>
  <c r="BD73" i="9" s="1"/>
  <c r="BD93" i="9" s="1"/>
  <c r="BE73" i="9" s="1"/>
  <c r="BC84" i="9"/>
  <c r="BC89" i="9"/>
  <c r="BI75" i="2"/>
  <c r="BI199" i="2" s="1"/>
  <c r="BD85" i="3" s="1"/>
  <c r="AF110" i="9"/>
  <c r="AF113" i="9" s="1"/>
  <c r="AF148" i="9"/>
  <c r="AF205" i="9" s="1"/>
  <c r="AF153" i="9"/>
  <c r="AF200" i="9"/>
  <c r="AF201" i="9" s="1"/>
  <c r="BC92" i="9" l="1"/>
  <c r="BD74" i="9" s="1"/>
  <c r="BD80" i="9" s="1"/>
  <c r="BD81" i="9" s="1"/>
  <c r="BI69" i="2"/>
  <c r="BI77" i="2" s="1"/>
  <c r="BD57" i="3" s="1"/>
  <c r="BD59" i="3" s="1"/>
  <c r="BE93" i="9"/>
  <c r="AF112" i="9"/>
  <c r="AF111" i="9"/>
  <c r="AF134" i="9"/>
  <c r="AF199" i="9" s="1"/>
  <c r="AF133" i="9"/>
  <c r="AF198" i="9" s="1"/>
  <c r="AF202" i="9"/>
  <c r="AG101" i="9"/>
  <c r="AG108" i="9" s="1"/>
  <c r="AF155" i="9"/>
  <c r="BD82" i="9" l="1"/>
  <c r="BD88" i="9" s="1"/>
  <c r="BC96" i="9"/>
  <c r="BC95" i="9"/>
  <c r="BC94" i="9"/>
  <c r="BC98" i="9"/>
  <c r="BJ73" i="2"/>
  <c r="BD85" i="9"/>
  <c r="BE79" i="9"/>
  <c r="BD78" i="9"/>
  <c r="BD156" i="9" s="1"/>
  <c r="BJ72" i="2"/>
  <c r="BD86" i="9"/>
  <c r="BF73" i="9"/>
  <c r="AG109" i="9"/>
  <c r="AG145" i="9" s="1"/>
  <c r="AG204" i="9" s="1"/>
  <c r="AG190" i="9"/>
  <c r="BD89" i="9" l="1"/>
  <c r="BD92" i="9" s="1"/>
  <c r="BD98" i="9" s="1"/>
  <c r="BD84" i="9"/>
  <c r="BC97" i="9"/>
  <c r="BJ75" i="2"/>
  <c r="BJ199" i="2" s="1"/>
  <c r="BE85" i="3" s="1"/>
  <c r="AG191" i="9"/>
  <c r="AG193" i="9" s="1"/>
  <c r="BJ69" i="2" l="1"/>
  <c r="BJ77" i="2" s="1"/>
  <c r="BE57" i="3" s="1"/>
  <c r="BE59" i="3" s="1"/>
  <c r="BD94" i="9"/>
  <c r="BD96" i="9"/>
  <c r="BD95" i="9"/>
  <c r="BE74" i="9"/>
  <c r="AG192" i="9"/>
  <c r="AH189" i="9" s="1"/>
  <c r="AG141" i="9"/>
  <c r="AG144" i="9" s="1"/>
  <c r="BD97" i="9" l="1"/>
  <c r="BE82" i="9"/>
  <c r="BE80" i="9"/>
  <c r="BE81" i="9" s="1"/>
  <c r="AG157" i="9"/>
  <c r="AG103" i="9"/>
  <c r="AG105" i="9" s="1"/>
  <c r="AG106" i="9" s="1"/>
  <c r="BE89" i="9" l="1"/>
  <c r="BE92" i="9" s="1"/>
  <c r="BE98" i="9" s="1"/>
  <c r="BE86" i="9"/>
  <c r="BE85" i="9"/>
  <c r="BE88" i="9"/>
  <c r="BE78" i="9"/>
  <c r="BE156" i="9" s="1"/>
  <c r="BF79" i="9"/>
  <c r="BK72" i="2"/>
  <c r="BE84" i="9"/>
  <c r="BK73" i="2"/>
  <c r="AG107" i="9"/>
  <c r="AG148" i="9" s="1"/>
  <c r="AG205" i="9" s="1"/>
  <c r="BK75" i="2" l="1"/>
  <c r="BF74" i="9"/>
  <c r="BE95" i="9"/>
  <c r="BE96" i="9"/>
  <c r="BE94" i="9"/>
  <c r="AG110" i="9"/>
  <c r="AG113" i="9" s="1"/>
  <c r="AG151" i="9"/>
  <c r="AG200" i="9" s="1"/>
  <c r="AG201" i="9" s="1"/>
  <c r="BE97" i="9" l="1"/>
  <c r="BF80" i="9"/>
  <c r="BF81" i="9" s="1"/>
  <c r="BF86" i="9" s="1"/>
  <c r="BF82" i="9"/>
  <c r="BK69" i="2"/>
  <c r="BK77" i="2" s="1"/>
  <c r="BF57" i="3" s="1"/>
  <c r="BF59" i="3" s="1"/>
  <c r="BK199" i="2"/>
  <c r="BF85" i="3" s="1"/>
  <c r="AG153" i="9"/>
  <c r="AG155" i="9" s="1"/>
  <c r="AH101" i="9"/>
  <c r="AG112" i="9"/>
  <c r="AG111" i="9"/>
  <c r="AG134" i="9"/>
  <c r="AG199" i="9" s="1"/>
  <c r="AG133" i="9"/>
  <c r="AG198" i="9" s="1"/>
  <c r="AG202" i="9"/>
  <c r="BF89" i="9" l="1"/>
  <c r="BF92" i="9" s="1"/>
  <c r="BF94" i="9" s="1"/>
  <c r="BF85" i="9"/>
  <c r="BF84" i="9"/>
  <c r="BL73" i="2"/>
  <c r="BF88" i="9"/>
  <c r="BL72" i="2"/>
  <c r="BF78" i="9"/>
  <c r="BF156" i="9" s="1"/>
  <c r="BG79" i="9"/>
  <c r="AH108" i="9"/>
  <c r="AH109" i="9"/>
  <c r="BF96" i="9" l="1"/>
  <c r="BF95" i="9"/>
  <c r="BG74" i="9"/>
  <c r="BG80" i="9" s="1"/>
  <c r="BG81" i="9" s="1"/>
  <c r="BG85" i="9" s="1"/>
  <c r="BF98" i="9"/>
  <c r="BL75" i="2"/>
  <c r="BL69" i="2" s="1"/>
  <c r="BL77" i="2" s="1"/>
  <c r="BG57" i="3" s="1"/>
  <c r="BG59" i="3" s="1"/>
  <c r="AH145" i="9"/>
  <c r="AH204" i="9" s="1"/>
  <c r="AH190" i="9"/>
  <c r="BG82" i="9" l="1"/>
  <c r="BG89" i="9" s="1"/>
  <c r="BG92" i="9" s="1"/>
  <c r="BG98" i="9" s="1"/>
  <c r="BF97" i="9"/>
  <c r="BL199" i="2"/>
  <c r="BG85" i="3" s="1"/>
  <c r="BG78" i="9"/>
  <c r="BG156" i="9" s="1"/>
  <c r="BH79" i="9"/>
  <c r="BM72" i="2"/>
  <c r="BG86" i="9"/>
  <c r="AH191" i="9"/>
  <c r="AH193" i="9" s="1"/>
  <c r="BM73" i="2" l="1"/>
  <c r="BM75" i="2" s="1"/>
  <c r="BG88" i="9"/>
  <c r="BG84" i="9"/>
  <c r="BG94" i="9"/>
  <c r="BG96" i="9"/>
  <c r="BH74" i="9"/>
  <c r="BG95" i="9"/>
  <c r="AH141" i="9"/>
  <c r="AH144" i="9" s="1"/>
  <c r="AH192" i="9"/>
  <c r="AI189" i="9" s="1"/>
  <c r="BG97" i="9" l="1"/>
  <c r="BH80" i="9"/>
  <c r="BH81" i="9" s="1"/>
  <c r="BH86" i="9" s="1"/>
  <c r="BH82" i="9"/>
  <c r="BM69" i="2"/>
  <c r="BM77" i="2" s="1"/>
  <c r="BH57" i="3" s="1"/>
  <c r="BH59" i="3" s="1"/>
  <c r="BM199" i="2"/>
  <c r="BH85" i="3" s="1"/>
  <c r="AH157" i="9"/>
  <c r="AH103" i="9"/>
  <c r="AH105" i="9" s="1"/>
  <c r="AH106" i="9" s="1"/>
  <c r="BH84" i="9" l="1"/>
  <c r="BN73" i="2"/>
  <c r="BH89" i="9"/>
  <c r="BH78" i="9"/>
  <c r="BH156" i="9" s="1"/>
  <c r="BN72" i="2"/>
  <c r="BI79" i="9"/>
  <c r="BH85" i="9"/>
  <c r="BH88" i="9"/>
  <c r="AH107" i="9"/>
  <c r="AH148" i="9" s="1"/>
  <c r="AH205" i="9" s="1"/>
  <c r="BN75" i="2" l="1"/>
  <c r="BN69" i="2" s="1"/>
  <c r="BN77" i="2" s="1"/>
  <c r="BI57" i="3" s="1"/>
  <c r="BI59" i="3" s="1"/>
  <c r="BH92" i="9"/>
  <c r="BH98" i="9" s="1"/>
  <c r="AH110" i="9"/>
  <c r="AH151" i="9"/>
  <c r="BN199" i="2" l="1"/>
  <c r="BI85" i="3" s="1"/>
  <c r="BH94" i="9"/>
  <c r="BI74" i="9"/>
  <c r="BH95" i="9"/>
  <c r="BH96" i="9"/>
  <c r="AH200" i="9"/>
  <c r="AH201" i="9" s="1"/>
  <c r="AH153" i="9"/>
  <c r="AI101" i="9"/>
  <c r="AH112" i="9"/>
  <c r="AH111" i="9"/>
  <c r="AH133" i="9"/>
  <c r="AH198" i="9" s="1"/>
  <c r="AH134" i="9"/>
  <c r="AH199" i="9" s="1"/>
  <c r="AH202" i="9"/>
  <c r="AH113" i="9"/>
  <c r="BH97" i="9" l="1"/>
  <c r="BI80" i="9"/>
  <c r="BI81" i="9" s="1"/>
  <c r="BI85" i="9" s="1"/>
  <c r="BI82" i="9"/>
  <c r="AI108" i="9"/>
  <c r="AI109" i="9"/>
  <c r="AH155" i="9"/>
  <c r="BI89" i="9" l="1"/>
  <c r="BI92" i="9" s="1"/>
  <c r="BI96" i="9" s="1"/>
  <c r="BO73" i="2"/>
  <c r="BI84" i="9"/>
  <c r="BI88" i="9"/>
  <c r="BI78" i="9"/>
  <c r="BI156" i="9" s="1"/>
  <c r="BJ79" i="9"/>
  <c r="BO72" i="2"/>
  <c r="BI86" i="9"/>
  <c r="AI145" i="9"/>
  <c r="AI204" i="9" s="1"/>
  <c r="AI190" i="9"/>
  <c r="BI98" i="9" l="1"/>
  <c r="BJ74" i="9"/>
  <c r="BJ80" i="9" s="1"/>
  <c r="BJ81" i="9" s="1"/>
  <c r="BI95" i="9"/>
  <c r="BI97" i="9" s="1"/>
  <c r="BI94" i="9"/>
  <c r="BO75" i="2"/>
  <c r="BO199" i="2" s="1"/>
  <c r="BJ85" i="3" s="1"/>
  <c r="AI191" i="9"/>
  <c r="AI193" i="9" s="1"/>
  <c r="AI141" i="9" s="1"/>
  <c r="AI144" i="9" s="1"/>
  <c r="BO69" i="2" l="1"/>
  <c r="BO77" i="2" s="1"/>
  <c r="BJ57" i="3" s="1"/>
  <c r="BJ59" i="3" s="1"/>
  <c r="BJ82" i="9"/>
  <c r="BJ84" i="9" s="1"/>
  <c r="BJ85" i="9"/>
  <c r="BJ86" i="9"/>
  <c r="BP72" i="2"/>
  <c r="BK79" i="9"/>
  <c r="BJ78" i="9"/>
  <c r="BJ156" i="9" s="1"/>
  <c r="AI192" i="9"/>
  <c r="AJ189" i="9" s="1"/>
  <c r="AI157" i="9"/>
  <c r="AI103" i="9"/>
  <c r="AI105" i="9" s="1"/>
  <c r="AI106" i="9" s="1"/>
  <c r="BP73" i="2" l="1"/>
  <c r="BP75" i="2" s="1"/>
  <c r="BP69" i="2" s="1"/>
  <c r="BP77" i="2" s="1"/>
  <c r="BK57" i="3" s="1"/>
  <c r="BK59" i="3" s="1"/>
  <c r="BJ88" i="9"/>
  <c r="BJ89" i="9"/>
  <c r="BJ92" i="9" s="1"/>
  <c r="BJ94" i="9" s="1"/>
  <c r="AI107" i="9"/>
  <c r="AI148" i="9" s="1"/>
  <c r="AI205" i="9" s="1"/>
  <c r="BJ96" i="9" l="1"/>
  <c r="BP199" i="2"/>
  <c r="BK85" i="3" s="1"/>
  <c r="BK74" i="9"/>
  <c r="BK82" i="9" s="1"/>
  <c r="BJ95" i="9"/>
  <c r="BJ98" i="9"/>
  <c r="AI110" i="9"/>
  <c r="AI113" i="9" s="1"/>
  <c r="AI151" i="9"/>
  <c r="BJ97" i="9" l="1"/>
  <c r="BK80" i="9"/>
  <c r="BK81" i="9" s="1"/>
  <c r="BK86" i="9" s="1"/>
  <c r="BQ73" i="2"/>
  <c r="BK84" i="9"/>
  <c r="H17" i="3"/>
  <c r="I17" i="3"/>
  <c r="J17" i="3"/>
  <c r="K17" i="3"/>
  <c r="AJ101" i="9"/>
  <c r="AI112" i="9"/>
  <c r="AI111" i="9"/>
  <c r="AI134" i="9"/>
  <c r="AI199" i="9" s="1"/>
  <c r="AI202" i="9"/>
  <c r="AI133" i="9"/>
  <c r="AI198" i="9" s="1"/>
  <c r="AI200" i="9"/>
  <c r="AI201" i="9" s="1"/>
  <c r="AI153" i="9"/>
  <c r="AI155" i="9" s="1"/>
  <c r="BQ72" i="2" l="1"/>
  <c r="BQ75" i="2" s="1"/>
  <c r="BK85" i="9"/>
  <c r="BL79" i="9"/>
  <c r="BK78" i="9"/>
  <c r="BK156" i="9" s="1"/>
  <c r="BK88" i="9"/>
  <c r="BK89" i="9"/>
  <c r="BK92" i="9" s="1"/>
  <c r="BK95" i="9" s="1"/>
  <c r="AJ108" i="9"/>
  <c r="AJ109" i="9"/>
  <c r="H70" i="6"/>
  <c r="I70" i="6"/>
  <c r="J70" i="6"/>
  <c r="K70" i="6"/>
  <c r="H16" i="3"/>
  <c r="H19" i="3" s="1"/>
  <c r="I16" i="3"/>
  <c r="I19" i="3" s="1"/>
  <c r="J16" i="3"/>
  <c r="J19" i="3" s="1"/>
  <c r="K16" i="3"/>
  <c r="K19" i="3" s="1"/>
  <c r="BK96" i="9" l="1"/>
  <c r="BK97" i="9" s="1"/>
  <c r="BK94" i="9"/>
  <c r="BL74" i="9"/>
  <c r="BL80" i="9" s="1"/>
  <c r="BL81" i="9" s="1"/>
  <c r="BL85" i="9" s="1"/>
  <c r="BK98" i="9"/>
  <c r="BQ69" i="2"/>
  <c r="BQ77" i="2" s="1"/>
  <c r="BL57" i="3" s="1"/>
  <c r="BL59" i="3" s="1"/>
  <c r="BQ199" i="2"/>
  <c r="BL85" i="3" s="1"/>
  <c r="AJ145" i="9"/>
  <c r="AJ204" i="9" s="1"/>
  <c r="AJ190" i="9"/>
  <c r="BL82" i="9" l="1"/>
  <c r="BL88" i="9" s="1"/>
  <c r="BL86" i="9"/>
  <c r="BL78" i="9"/>
  <c r="BL156" i="9" s="1"/>
  <c r="BR72" i="2"/>
  <c r="BM79" i="9"/>
  <c r="AJ191" i="9"/>
  <c r="AJ192" i="9" s="1"/>
  <c r="AK189" i="9" s="1"/>
  <c r="BR73" i="2" l="1"/>
  <c r="BR75" i="2" s="1"/>
  <c r="BR69" i="2" s="1"/>
  <c r="BR77" i="2" s="1"/>
  <c r="BM57" i="3" s="1"/>
  <c r="BM59" i="3" s="1"/>
  <c r="BL84" i="9"/>
  <c r="BL89" i="9"/>
  <c r="BL92" i="9" s="1"/>
  <c r="BL98" i="9" s="1"/>
  <c r="AJ193" i="9"/>
  <c r="AJ141" i="9" s="1"/>
  <c r="AJ144" i="9" s="1"/>
  <c r="BR199" i="2" l="1"/>
  <c r="BM85" i="3" s="1"/>
  <c r="BL95" i="9"/>
  <c r="BM74" i="9"/>
  <c r="BL94" i="9"/>
  <c r="BL96" i="9"/>
  <c r="AJ157" i="9"/>
  <c r="AJ103" i="9"/>
  <c r="AJ105" i="9" s="1"/>
  <c r="AJ106" i="9" s="1"/>
  <c r="BL97" i="9" l="1"/>
  <c r="BM82" i="9"/>
  <c r="BM80" i="9"/>
  <c r="BM81" i="9" s="1"/>
  <c r="BM85" i="9" s="1"/>
  <c r="AJ107" i="9"/>
  <c r="AJ148" i="9" s="1"/>
  <c r="AJ205" i="9" s="1"/>
  <c r="BM86" i="9" l="1"/>
  <c r="BM89" i="9"/>
  <c r="BM92" i="9" s="1"/>
  <c r="BM95" i="9" s="1"/>
  <c r="BM88" i="9"/>
  <c r="BM78" i="9"/>
  <c r="BM156" i="9" s="1"/>
  <c r="BN79" i="9"/>
  <c r="BS72" i="2"/>
  <c r="BM84" i="9"/>
  <c r="BS73" i="2"/>
  <c r="AJ151" i="9"/>
  <c r="AJ153" i="9" s="1"/>
  <c r="AJ110" i="9"/>
  <c r="BS75" i="2" l="1"/>
  <c r="BS199" i="2" s="1"/>
  <c r="BN85" i="3" s="1"/>
  <c r="BM94" i="9"/>
  <c r="BM98" i="9"/>
  <c r="BM96" i="9"/>
  <c r="BM97" i="9" s="1"/>
  <c r="BN74" i="9"/>
  <c r="BN80" i="9" s="1"/>
  <c r="BN81" i="9" s="1"/>
  <c r="AJ155" i="9"/>
  <c r="AJ200" i="9"/>
  <c r="AJ201" i="9" s="1"/>
  <c r="AK101" i="9"/>
  <c r="AJ112" i="9"/>
  <c r="AJ111" i="9"/>
  <c r="AJ202" i="9"/>
  <c r="AJ133" i="9"/>
  <c r="AJ198" i="9" s="1"/>
  <c r="AJ134" i="9"/>
  <c r="AJ199" i="9" s="1"/>
  <c r="AJ113" i="9"/>
  <c r="BN82" i="9" l="1"/>
  <c r="BN88" i="9" s="1"/>
  <c r="BS69" i="2"/>
  <c r="BS77" i="2" s="1"/>
  <c r="BN57" i="3" s="1"/>
  <c r="BN59" i="3" s="1"/>
  <c r="BN85" i="9"/>
  <c r="BN86" i="9"/>
  <c r="BN78" i="9"/>
  <c r="BN156" i="9" s="1"/>
  <c r="BT72" i="2"/>
  <c r="BO79" i="9"/>
  <c r="AK108" i="9"/>
  <c r="AK109" i="9"/>
  <c r="BT73" i="2" l="1"/>
  <c r="BT75" i="2" s="1"/>
  <c r="BN89" i="9"/>
  <c r="BN92" i="9" s="1"/>
  <c r="BN94" i="9" s="1"/>
  <c r="BN84" i="9"/>
  <c r="AK145" i="9"/>
  <c r="AK204" i="9" s="1"/>
  <c r="AK190" i="9"/>
  <c r="BN98" i="9" l="1"/>
  <c r="BN96" i="9"/>
  <c r="BO74" i="9"/>
  <c r="BN95" i="9"/>
  <c r="BT199" i="2"/>
  <c r="BT69" i="2"/>
  <c r="BT77" i="2" s="1"/>
  <c r="BO57" i="3" s="1"/>
  <c r="BO82" i="9"/>
  <c r="BO80" i="9"/>
  <c r="BO81" i="9" s="1"/>
  <c r="AK191" i="9"/>
  <c r="AK192" i="9" s="1"/>
  <c r="AL189" i="9" s="1"/>
  <c r="BN97" i="9" l="1"/>
  <c r="BO91" i="9"/>
  <c r="BO89" i="9"/>
  <c r="BO85" i="9"/>
  <c r="BO88" i="9"/>
  <c r="BO86" i="9"/>
  <c r="BO78" i="9"/>
  <c r="BO156" i="9" s="1"/>
  <c r="BU72" i="2"/>
  <c r="BP79" i="9"/>
  <c r="BO84" i="9"/>
  <c r="BU73" i="2"/>
  <c r="L17" i="3"/>
  <c r="BO59" i="3"/>
  <c r="L16" i="3" s="1"/>
  <c r="BO85" i="3"/>
  <c r="L70" i="6" s="1"/>
  <c r="AK193" i="9"/>
  <c r="AK141" i="9" s="1"/>
  <c r="AK144" i="9" s="1"/>
  <c r="BU75" i="2" l="1"/>
  <c r="BU69" i="2" s="1"/>
  <c r="BU77" i="2" s="1"/>
  <c r="BP57" i="3" s="1"/>
  <c r="L19" i="3"/>
  <c r="BO92" i="9"/>
  <c r="AK157" i="9"/>
  <c r="AK103" i="9"/>
  <c r="AK105" i="9" s="1"/>
  <c r="AK106" i="9" s="1"/>
  <c r="BU199" i="2" l="1"/>
  <c r="BP85" i="3" s="1"/>
  <c r="M70" i="6" s="1"/>
  <c r="BO95" i="9"/>
  <c r="BO94" i="9"/>
  <c r="BP74" i="9"/>
  <c r="BO96" i="9"/>
  <c r="M17" i="3"/>
  <c r="BP59" i="3"/>
  <c r="M16" i="3" s="1"/>
  <c r="BO98" i="9"/>
  <c r="AK107" i="9"/>
  <c r="AK148" i="9" s="1"/>
  <c r="AK205" i="9" s="1"/>
  <c r="I199" i="2" l="1"/>
  <c r="BO97" i="9"/>
  <c r="M19" i="3"/>
  <c r="BP80" i="9"/>
  <c r="BP81" i="9" s="1"/>
  <c r="BP82" i="9"/>
  <c r="AK110" i="9"/>
  <c r="AK113" i="9" s="1"/>
  <c r="AK151" i="9"/>
  <c r="AK153" i="9" s="1"/>
  <c r="BP88" i="9" l="1"/>
  <c r="BP86" i="9"/>
  <c r="BP89" i="9"/>
  <c r="BP92" i="9" s="1"/>
  <c r="BV73" i="2"/>
  <c r="BP84" i="9"/>
  <c r="BP85" i="9"/>
  <c r="BP78" i="9"/>
  <c r="BP156" i="9" s="1"/>
  <c r="BV72" i="2"/>
  <c r="BQ79" i="9"/>
  <c r="AK155" i="9"/>
  <c r="AL101" i="9"/>
  <c r="AK112" i="9"/>
  <c r="AK111" i="9"/>
  <c r="AK133" i="9"/>
  <c r="AK198" i="9" s="1"/>
  <c r="AK202" i="9"/>
  <c r="AK134" i="9"/>
  <c r="AK199" i="9" s="1"/>
  <c r="AK200" i="9"/>
  <c r="AK201" i="9" s="1"/>
  <c r="BV75" i="2" l="1"/>
  <c r="BV69" i="2" s="1"/>
  <c r="BV77" i="2" s="1"/>
  <c r="BP94" i="9"/>
  <c r="BP95" i="9"/>
  <c r="BQ74" i="9"/>
  <c r="BP96" i="9"/>
  <c r="BP98" i="9"/>
  <c r="AL108" i="9"/>
  <c r="AL109" i="9"/>
  <c r="BP97" i="9" l="1"/>
  <c r="BQ80" i="9"/>
  <c r="BQ81" i="9" s="1"/>
  <c r="BQ82" i="9"/>
  <c r="AL145" i="9"/>
  <c r="AL204" i="9" s="1"/>
  <c r="AL190" i="9"/>
  <c r="BQ89" i="9" l="1"/>
  <c r="BQ92" i="9" s="1"/>
  <c r="BQ95" i="9" s="1"/>
  <c r="BQ85" i="9"/>
  <c r="BQ86" i="9"/>
  <c r="BQ84" i="9"/>
  <c r="BW73" i="2"/>
  <c r="BQ88" i="9"/>
  <c r="BW72" i="2"/>
  <c r="BQ78" i="9"/>
  <c r="BQ156" i="9" s="1"/>
  <c r="BR79" i="9"/>
  <c r="AL191" i="9"/>
  <c r="AL193" i="9" s="1"/>
  <c r="AL141" i="9" s="1"/>
  <c r="AL144" i="9" s="1"/>
  <c r="BQ98" i="9" l="1"/>
  <c r="BQ94" i="9"/>
  <c r="BR74" i="9"/>
  <c r="BR80" i="9" s="1"/>
  <c r="BR81" i="9" s="1"/>
  <c r="BQ96" i="9"/>
  <c r="BQ97" i="9" s="1"/>
  <c r="BW75" i="2"/>
  <c r="BW69" i="2" s="1"/>
  <c r="BW77" i="2" s="1"/>
  <c r="AL192" i="9"/>
  <c r="AM189" i="9" s="1"/>
  <c r="AL157" i="9"/>
  <c r="AL103" i="9"/>
  <c r="AL105" i="9" s="1"/>
  <c r="AL106" i="9" s="1"/>
  <c r="BR82" i="9" l="1"/>
  <c r="BR88" i="9" s="1"/>
  <c r="BR86" i="9"/>
  <c r="BR85" i="9"/>
  <c r="BX72" i="2"/>
  <c r="BR78" i="9"/>
  <c r="BR156" i="9" s="1"/>
  <c r="BS79" i="9"/>
  <c r="AL107" i="9"/>
  <c r="AL148" i="9" s="1"/>
  <c r="AL205" i="9" s="1"/>
  <c r="BX73" i="2" l="1"/>
  <c r="BX75" i="2" s="1"/>
  <c r="BX69" i="2" s="1"/>
  <c r="BX77" i="2" s="1"/>
  <c r="BR89" i="9"/>
  <c r="BR92" i="9" s="1"/>
  <c r="BR98" i="9" s="1"/>
  <c r="BR84" i="9"/>
  <c r="AL151" i="9"/>
  <c r="AL110" i="9"/>
  <c r="BS74" i="9" l="1"/>
  <c r="BR95" i="9"/>
  <c r="BR96" i="9"/>
  <c r="BR94" i="9"/>
  <c r="AL153" i="9"/>
  <c r="AL155" i="9" s="1"/>
  <c r="AM101" i="9"/>
  <c r="AL112" i="9"/>
  <c r="AL111" i="9"/>
  <c r="AL202" i="9"/>
  <c r="AL133" i="9"/>
  <c r="AL198" i="9" s="1"/>
  <c r="AL134" i="9"/>
  <c r="AL199" i="9" s="1"/>
  <c r="AL200" i="9"/>
  <c r="AL201" i="9" s="1"/>
  <c r="AL113" i="9"/>
  <c r="BR97" i="9" l="1"/>
  <c r="BS80" i="9"/>
  <c r="BS81" i="9" s="1"/>
  <c r="BS82" i="9"/>
  <c r="AM108" i="9"/>
  <c r="AM109" i="9"/>
  <c r="BS89" i="9" l="1"/>
  <c r="BS92" i="9" s="1"/>
  <c r="BS98" i="9" s="1"/>
  <c r="BS86" i="9"/>
  <c r="BS84" i="9"/>
  <c r="BY73" i="2"/>
  <c r="BS88" i="9"/>
  <c r="BS85" i="9"/>
  <c r="BS78" i="9"/>
  <c r="BS156" i="9" s="1"/>
  <c r="BY72" i="2"/>
  <c r="BT79" i="9"/>
  <c r="AM145" i="9"/>
  <c r="AM204" i="9" s="1"/>
  <c r="AM190" i="9"/>
  <c r="BS95" i="9" l="1"/>
  <c r="BS94" i="9"/>
  <c r="BT74" i="9"/>
  <c r="BT82" i="9" s="1"/>
  <c r="BS96" i="9"/>
  <c r="BY75" i="2"/>
  <c r="BY69" i="2" s="1"/>
  <c r="BY77" i="2" s="1"/>
  <c r="AM191" i="9"/>
  <c r="AM192" i="9" s="1"/>
  <c r="AN189" i="9" s="1"/>
  <c r="BT80" i="9" l="1"/>
  <c r="BT81" i="9" s="1"/>
  <c r="BU79" i="9" s="1"/>
  <c r="BS97" i="9"/>
  <c r="BT84" i="9"/>
  <c r="BZ73" i="2"/>
  <c r="AM193" i="9"/>
  <c r="AM141" i="9" s="1"/>
  <c r="AM144" i="9" s="1"/>
  <c r="AM103" i="9" s="1"/>
  <c r="AM105" i="9" s="1"/>
  <c r="AM106" i="9" s="1"/>
  <c r="BZ72" i="2" l="1"/>
  <c r="BZ75" i="2" s="1"/>
  <c r="BZ69" i="2" s="1"/>
  <c r="BZ77" i="2" s="1"/>
  <c r="BT78" i="9"/>
  <c r="BT156" i="9" s="1"/>
  <c r="BT85" i="9"/>
  <c r="BT89" i="9"/>
  <c r="BT92" i="9" s="1"/>
  <c r="BT94" i="9" s="1"/>
  <c r="BT86" i="9"/>
  <c r="BT88" i="9"/>
  <c r="AM157" i="9"/>
  <c r="AM107" i="9"/>
  <c r="AM148" i="9" s="1"/>
  <c r="AM205" i="9" s="1"/>
  <c r="BT98" i="9" l="1"/>
  <c r="BT96" i="9"/>
  <c r="BU74" i="9"/>
  <c r="BU80" i="9" s="1"/>
  <c r="BU81" i="9" s="1"/>
  <c r="BU86" i="9" s="1"/>
  <c r="BT95" i="9"/>
  <c r="BU82" i="9"/>
  <c r="AM151" i="9"/>
  <c r="AM200" i="9" s="1"/>
  <c r="AM201" i="9" s="1"/>
  <c r="AM110" i="9"/>
  <c r="BT97" i="9" l="1"/>
  <c r="BU89" i="9"/>
  <c r="BU92" i="9" s="1"/>
  <c r="BU94" i="9" s="1"/>
  <c r="BU85" i="9"/>
  <c r="BU84" i="9"/>
  <c r="CA73" i="2"/>
  <c r="BU88" i="9"/>
  <c r="CA72" i="2"/>
  <c r="BU78" i="9"/>
  <c r="BU156" i="9" s="1"/>
  <c r="BV79" i="9"/>
  <c r="AM153" i="9"/>
  <c r="AM155" i="9" s="1"/>
  <c r="AN101" i="9"/>
  <c r="AM112" i="9"/>
  <c r="AM111" i="9"/>
  <c r="AM202" i="9"/>
  <c r="AM133" i="9"/>
  <c r="AM198" i="9" s="1"/>
  <c r="AM134" i="9"/>
  <c r="AM199" i="9" s="1"/>
  <c r="AM113" i="9"/>
  <c r="BU95" i="9" l="1"/>
  <c r="BU96" i="9"/>
  <c r="BV74" i="9"/>
  <c r="BV80" i="9" s="1"/>
  <c r="BV81" i="9" s="1"/>
  <c r="BV85" i="9" s="1"/>
  <c r="BU98" i="9"/>
  <c r="CA75" i="2"/>
  <c r="CA69" i="2" s="1"/>
  <c r="CA77" i="2" s="1"/>
  <c r="AN108" i="9"/>
  <c r="AN109" i="9"/>
  <c r="BV82" i="9" l="1"/>
  <c r="BV88" i="9" s="1"/>
  <c r="BU97" i="9"/>
  <c r="BV86" i="9"/>
  <c r="BV78" i="9"/>
  <c r="BV156" i="9" s="1"/>
  <c r="CB72" i="2"/>
  <c r="BW79" i="9"/>
  <c r="AN145" i="9"/>
  <c r="AN204" i="9" s="1"/>
  <c r="AN190" i="9"/>
  <c r="CB73" i="2" l="1"/>
  <c r="CB75" i="2" s="1"/>
  <c r="CB69" i="2" s="1"/>
  <c r="CB77" i="2" s="1"/>
  <c r="BV84" i="9"/>
  <c r="BV89" i="9"/>
  <c r="BV92" i="9" s="1"/>
  <c r="BV94" i="9" s="1"/>
  <c r="AN191" i="9"/>
  <c r="AN192" i="9" s="1"/>
  <c r="AO189" i="9" s="1"/>
  <c r="BW74" i="9" l="1"/>
  <c r="BW82" i="9" s="1"/>
  <c r="BW84" i="9" s="1"/>
  <c r="BV98" i="9"/>
  <c r="BV95" i="9"/>
  <c r="BV96" i="9"/>
  <c r="AN193" i="9"/>
  <c r="AN141" i="9" s="1"/>
  <c r="AN144" i="9" s="1"/>
  <c r="AN103" i="9" s="1"/>
  <c r="AN105" i="9" s="1"/>
  <c r="AN106" i="9" s="1"/>
  <c r="CC73" i="2" l="1"/>
  <c r="BW80" i="9"/>
  <c r="BW81" i="9" s="1"/>
  <c r="BW85" i="9" s="1"/>
  <c r="BV97" i="9"/>
  <c r="AN157" i="9"/>
  <c r="AN107" i="9"/>
  <c r="AN148" i="9" s="1"/>
  <c r="AN205" i="9" s="1"/>
  <c r="BW86" i="9" l="1"/>
  <c r="BW89" i="9"/>
  <c r="BW92" i="9" s="1"/>
  <c r="BX74" i="9" s="1"/>
  <c r="BX80" i="9" s="1"/>
  <c r="BX81" i="9" s="1"/>
  <c r="BX85" i="9" s="1"/>
  <c r="BW78" i="9"/>
  <c r="BW156" i="9" s="1"/>
  <c r="BW88" i="9"/>
  <c r="BX79" i="9"/>
  <c r="CC72" i="2"/>
  <c r="CC75" i="2" s="1"/>
  <c r="CC69" i="2" s="1"/>
  <c r="CC77" i="2" s="1"/>
  <c r="AN151" i="9"/>
  <c r="AN200" i="9" s="1"/>
  <c r="AN201" i="9" s="1"/>
  <c r="AN110" i="9"/>
  <c r="AN113" i="9" s="1"/>
  <c r="CD72" i="2" l="1"/>
  <c r="BW96" i="9"/>
  <c r="BW98" i="9"/>
  <c r="BW95" i="9"/>
  <c r="BX82" i="9"/>
  <c r="BX84" i="9" s="1"/>
  <c r="BW94" i="9"/>
  <c r="BX86" i="9"/>
  <c r="BY79" i="9"/>
  <c r="BX78" i="9"/>
  <c r="BX156" i="9" s="1"/>
  <c r="AN153" i="9"/>
  <c r="AN155" i="9" s="1"/>
  <c r="AO101" i="9"/>
  <c r="AN112" i="9"/>
  <c r="AN111" i="9"/>
  <c r="AN133" i="9"/>
  <c r="AN198" i="9" s="1"/>
  <c r="AN134" i="9"/>
  <c r="AN199" i="9" s="1"/>
  <c r="AN202" i="9"/>
  <c r="CD73" i="2" l="1"/>
  <c r="CD75" i="2" s="1"/>
  <c r="CD69" i="2" s="1"/>
  <c r="CD77" i="2" s="1"/>
  <c r="BX88" i="9"/>
  <c r="BX89" i="9"/>
  <c r="BX92" i="9" s="1"/>
  <c r="BY74" i="9" s="1"/>
  <c r="BY80" i="9" s="1"/>
  <c r="BY81" i="9" s="1"/>
  <c r="BY85" i="9" s="1"/>
  <c r="BW97" i="9"/>
  <c r="AO108" i="9"/>
  <c r="AO109" i="9"/>
  <c r="BX96" i="9" l="1"/>
  <c r="BY82" i="9"/>
  <c r="BY89" i="9" s="1"/>
  <c r="BY92" i="9" s="1"/>
  <c r="BY98" i="9" s="1"/>
  <c r="BX95" i="9"/>
  <c r="BX94" i="9"/>
  <c r="BX98" i="9"/>
  <c r="BY86" i="9"/>
  <c r="BY78" i="9"/>
  <c r="BY156" i="9" s="1"/>
  <c r="CE72" i="2"/>
  <c r="BZ79" i="9"/>
  <c r="AO145" i="9"/>
  <c r="AO204" i="9" s="1"/>
  <c r="AO190" i="9"/>
  <c r="CE73" i="2" l="1"/>
  <c r="CE75" i="2" s="1"/>
  <c r="CE69" i="2" s="1"/>
  <c r="CE77" i="2" s="1"/>
  <c r="BY88" i="9"/>
  <c r="BY84" i="9"/>
  <c r="BX97" i="9"/>
  <c r="BY94" i="9"/>
  <c r="BY95" i="9"/>
  <c r="BY96" i="9"/>
  <c r="BZ74" i="9"/>
  <c r="AO191" i="9"/>
  <c r="AO193" i="9" s="1"/>
  <c r="AO141" i="9" s="1"/>
  <c r="AO144" i="9" s="1"/>
  <c r="BY97" i="9" l="1"/>
  <c r="BZ82" i="9"/>
  <c r="BZ80" i="9"/>
  <c r="BZ81" i="9" s="1"/>
  <c r="AO192" i="9"/>
  <c r="AP189" i="9" s="1"/>
  <c r="AO157" i="9"/>
  <c r="AO103" i="9"/>
  <c r="AO105" i="9" s="1"/>
  <c r="AO106" i="9" s="1"/>
  <c r="BZ88" i="9" l="1"/>
  <c r="BZ85" i="9"/>
  <c r="BZ89" i="9"/>
  <c r="BZ92" i="9" s="1"/>
  <c r="BZ86" i="9"/>
  <c r="BZ78" i="9"/>
  <c r="BZ156" i="9" s="1"/>
  <c r="CA79" i="9"/>
  <c r="CF72" i="2"/>
  <c r="BZ84" i="9"/>
  <c r="CF73" i="2"/>
  <c r="AO107" i="9"/>
  <c r="AO148" i="9" s="1"/>
  <c r="AO205" i="9" s="1"/>
  <c r="BZ95" i="9" l="1"/>
  <c r="CA74" i="9"/>
  <c r="BZ94" i="9"/>
  <c r="BZ96" i="9"/>
  <c r="BZ98" i="9"/>
  <c r="CF75" i="2"/>
  <c r="CF69" i="2" s="1"/>
  <c r="CF77" i="2" s="1"/>
  <c r="AO110" i="9"/>
  <c r="AO151" i="9"/>
  <c r="AO153" i="9" s="1"/>
  <c r="BZ97" i="9" l="1"/>
  <c r="CA80" i="9"/>
  <c r="CA81" i="9" s="1"/>
  <c r="CA86" i="9" s="1"/>
  <c r="CA82" i="9"/>
  <c r="AO200" i="9"/>
  <c r="AO201" i="9" s="1"/>
  <c r="AP101" i="9"/>
  <c r="AO112" i="9"/>
  <c r="AO111" i="9"/>
  <c r="AO134" i="9"/>
  <c r="AO199" i="9" s="1"/>
  <c r="AO202" i="9"/>
  <c r="AO133" i="9"/>
  <c r="AO198" i="9" s="1"/>
  <c r="AO155" i="9"/>
  <c r="AO113" i="9"/>
  <c r="CA89" i="9" l="1"/>
  <c r="CA92" i="9" s="1"/>
  <c r="CA95" i="9" s="1"/>
  <c r="CA85" i="9"/>
  <c r="CA88" i="9"/>
  <c r="CA84" i="9"/>
  <c r="CG73" i="2"/>
  <c r="CB79" i="9"/>
  <c r="CA78" i="9"/>
  <c r="CA156" i="9" s="1"/>
  <c r="CG72" i="2"/>
  <c r="AP108" i="9"/>
  <c r="AP109" i="9"/>
  <c r="CA98" i="9" l="1"/>
  <c r="CB74" i="9"/>
  <c r="CB80" i="9" s="1"/>
  <c r="CB81" i="9" s="1"/>
  <c r="CB85" i="9" s="1"/>
  <c r="CA96" i="9"/>
  <c r="CA97" i="9" s="1"/>
  <c r="CA94" i="9"/>
  <c r="CG75" i="2"/>
  <c r="CG69" i="2" s="1"/>
  <c r="CG77" i="2" s="1"/>
  <c r="AP145" i="9"/>
  <c r="AP204" i="9" s="1"/>
  <c r="AP190" i="9"/>
  <c r="CB82" i="9" l="1"/>
  <c r="CB88" i="9" s="1"/>
  <c r="CB86" i="9"/>
  <c r="CB78" i="9"/>
  <c r="CB156" i="9" s="1"/>
  <c r="CH72" i="2"/>
  <c r="CC79" i="9"/>
  <c r="AP191" i="9"/>
  <c r="AP193" i="9" s="1"/>
  <c r="AP141" i="9" s="1"/>
  <c r="AP144" i="9" s="1"/>
  <c r="CB89" i="9" l="1"/>
  <c r="CB92" i="9" s="1"/>
  <c r="CB98" i="9" s="1"/>
  <c r="CH73" i="2"/>
  <c r="CH75" i="2" s="1"/>
  <c r="CH69" i="2" s="1"/>
  <c r="CH77" i="2" s="1"/>
  <c r="CB84" i="9"/>
  <c r="AP192" i="9"/>
  <c r="AQ189" i="9" s="1"/>
  <c r="AP157" i="9"/>
  <c r="AP103" i="9"/>
  <c r="AP105" i="9" s="1"/>
  <c r="AP106" i="9" s="1"/>
  <c r="CB96" i="9" l="1"/>
  <c r="CB94" i="9"/>
  <c r="CB95" i="9"/>
  <c r="CC74" i="9"/>
  <c r="AP107" i="9"/>
  <c r="AP148" i="9" s="1"/>
  <c r="AP205" i="9" s="1"/>
  <c r="CB97" i="9" l="1"/>
  <c r="CC82" i="9"/>
  <c r="CC80" i="9"/>
  <c r="CC81" i="9" s="1"/>
  <c r="AP110" i="9"/>
  <c r="AP113" i="9" s="1"/>
  <c r="AP151" i="9"/>
  <c r="AP200" i="9" s="1"/>
  <c r="AP201" i="9" s="1"/>
  <c r="CC88" i="9" l="1"/>
  <c r="CC89" i="9"/>
  <c r="CC92" i="9" s="1"/>
  <c r="CC86" i="9"/>
  <c r="CC85" i="9"/>
  <c r="CI72" i="2"/>
  <c r="CD79" i="9"/>
  <c r="CC78" i="9"/>
  <c r="CC156" i="9" s="1"/>
  <c r="CI73" i="2"/>
  <c r="CC84" i="9"/>
  <c r="AP153" i="9"/>
  <c r="AP155" i="9" s="1"/>
  <c r="AQ101" i="9"/>
  <c r="AP112" i="9"/>
  <c r="AP111" i="9"/>
  <c r="AP202" i="9"/>
  <c r="H41" i="8" s="1"/>
  <c r="J41" i="8" s="1"/>
  <c r="J38" i="6"/>
  <c r="J39" i="6" s="1"/>
  <c r="AP133" i="9"/>
  <c r="AP198" i="9" s="1"/>
  <c r="AP134" i="9"/>
  <c r="AP199" i="9" s="1"/>
  <c r="CD74" i="9" l="1"/>
  <c r="CD80" i="9" s="1"/>
  <c r="CD81" i="9" s="1"/>
  <c r="CC95" i="9"/>
  <c r="CC96" i="9"/>
  <c r="CC98" i="9"/>
  <c r="CC94" i="9"/>
  <c r="CI75" i="2"/>
  <c r="CI69" i="2" s="1"/>
  <c r="CI77" i="2" s="1"/>
  <c r="AQ108" i="9"/>
  <c r="AQ109" i="9"/>
  <c r="CD82" i="9" l="1"/>
  <c r="CD89" i="9" s="1"/>
  <c r="CC97" i="9"/>
  <c r="CE79" i="9"/>
  <c r="CD78" i="9"/>
  <c r="CD156" i="9" s="1"/>
  <c r="CJ72" i="2"/>
  <c r="CD86" i="9"/>
  <c r="CD85" i="9"/>
  <c r="AQ145" i="9"/>
  <c r="AQ204" i="9" s="1"/>
  <c r="AQ190" i="9"/>
  <c r="CJ73" i="2" l="1"/>
  <c r="CJ75" i="2" s="1"/>
  <c r="CJ69" i="2" s="1"/>
  <c r="CJ77" i="2" s="1"/>
  <c r="CD84" i="9"/>
  <c r="CD88" i="9"/>
  <c r="CD92" i="9"/>
  <c r="AQ191" i="9"/>
  <c r="AQ193" i="9" s="1"/>
  <c r="CE74" i="9" l="1"/>
  <c r="CD94" i="9"/>
  <c r="CD96" i="9"/>
  <c r="CD95" i="9"/>
  <c r="CD98" i="9"/>
  <c r="AQ141" i="9"/>
  <c r="AQ144" i="9" s="1"/>
  <c r="AQ192" i="9"/>
  <c r="AR189" i="9" s="1"/>
  <c r="CD97" i="9" l="1"/>
  <c r="CE80" i="9"/>
  <c r="CE81" i="9" s="1"/>
  <c r="CE82" i="9"/>
  <c r="AQ157" i="9"/>
  <c r="AQ103" i="9"/>
  <c r="AQ105" i="9" s="1"/>
  <c r="AQ106" i="9" s="1"/>
  <c r="CE89" i="9" l="1"/>
  <c r="CE92" i="9" s="1"/>
  <c r="CE94" i="9" s="1"/>
  <c r="CE86" i="9"/>
  <c r="CE85" i="9"/>
  <c r="CE88" i="9"/>
  <c r="CK73" i="2"/>
  <c r="CE84" i="9"/>
  <c r="CF79" i="9"/>
  <c r="CK72" i="2"/>
  <c r="CE78" i="9"/>
  <c r="CE156" i="9" s="1"/>
  <c r="AQ107" i="9"/>
  <c r="AQ148" i="9" s="1"/>
  <c r="AQ205" i="9" s="1"/>
  <c r="CE98" i="9" l="1"/>
  <c r="CE95" i="9"/>
  <c r="CE96" i="9"/>
  <c r="CF74" i="9"/>
  <c r="CF80" i="9" s="1"/>
  <c r="CF81" i="9" s="1"/>
  <c r="CK75" i="2"/>
  <c r="CK69" i="2" s="1"/>
  <c r="CK77" i="2" s="1"/>
  <c r="AQ110" i="9"/>
  <c r="AQ113" i="9" s="1"/>
  <c r="AQ151" i="9"/>
  <c r="AQ200" i="9" s="1"/>
  <c r="AQ201" i="9" s="1"/>
  <c r="CF82" i="9" l="1"/>
  <c r="CF84" i="9" s="1"/>
  <c r="CE97" i="9"/>
  <c r="CF85" i="9"/>
  <c r="CL72" i="2"/>
  <c r="CF78" i="9"/>
  <c r="CF156" i="9" s="1"/>
  <c r="CG79" i="9"/>
  <c r="CF86" i="9"/>
  <c r="AQ153" i="9"/>
  <c r="AQ155" i="9" s="1"/>
  <c r="AR101" i="9"/>
  <c r="AQ112" i="9"/>
  <c r="AQ111" i="9"/>
  <c r="AQ133" i="9"/>
  <c r="AQ198" i="9" s="1"/>
  <c r="AQ134" i="9"/>
  <c r="AQ199" i="9" s="1"/>
  <c r="AQ202" i="9"/>
  <c r="CL73" i="2" l="1"/>
  <c r="CL75" i="2" s="1"/>
  <c r="CL69" i="2" s="1"/>
  <c r="CL77" i="2" s="1"/>
  <c r="CF89" i="9"/>
  <c r="CF92" i="9" s="1"/>
  <c r="CF94" i="9" s="1"/>
  <c r="CF88" i="9"/>
  <c r="AR108" i="9"/>
  <c r="AR109" i="9"/>
  <c r="CF95" i="9" l="1"/>
  <c r="CF96" i="9"/>
  <c r="CG74" i="9"/>
  <c r="CG80" i="9" s="1"/>
  <c r="CG81" i="9" s="1"/>
  <c r="CH79" i="9" s="1"/>
  <c r="CF98" i="9"/>
  <c r="AR145" i="9"/>
  <c r="AR204" i="9" s="1"/>
  <c r="AR190" i="9"/>
  <c r="CG82" i="9" l="1"/>
  <c r="CG88" i="9" s="1"/>
  <c r="CM72" i="2"/>
  <c r="CF97" i="9"/>
  <c r="CG78" i="9"/>
  <c r="CG156" i="9" s="1"/>
  <c r="CG86" i="9"/>
  <c r="CG85" i="9"/>
  <c r="CM73" i="2"/>
  <c r="AR191" i="9"/>
  <c r="AR193" i="9" s="1"/>
  <c r="CG84" i="9" l="1"/>
  <c r="CG89" i="9"/>
  <c r="CG92" i="9" s="1"/>
  <c r="CH74" i="9" s="1"/>
  <c r="CM75" i="2"/>
  <c r="CM69" i="2" s="1"/>
  <c r="CM77" i="2" s="1"/>
  <c r="AR192" i="9"/>
  <c r="AS189" i="9" s="1"/>
  <c r="AR141" i="9"/>
  <c r="AR144" i="9" s="1"/>
  <c r="CG96" i="9" l="1"/>
  <c r="CG98" i="9"/>
  <c r="CG95" i="9"/>
  <c r="CG94" i="9"/>
  <c r="CH80" i="9"/>
  <c r="CH81" i="9" s="1"/>
  <c r="CH82" i="9"/>
  <c r="AR157" i="9"/>
  <c r="AR103" i="9"/>
  <c r="AR105" i="9" s="1"/>
  <c r="AR106" i="9" s="1"/>
  <c r="CG97" i="9" l="1"/>
  <c r="CN73" i="2"/>
  <c r="CH84" i="9"/>
  <c r="CN72" i="2"/>
  <c r="CH78" i="9"/>
  <c r="CH156" i="9" s="1"/>
  <c r="CI79" i="9"/>
  <c r="CH88" i="9"/>
  <c r="CH86" i="9"/>
  <c r="CH85" i="9"/>
  <c r="AR107" i="9"/>
  <c r="AR148" i="9" s="1"/>
  <c r="AR205" i="9" s="1"/>
  <c r="CH89" i="9"/>
  <c r="CH92" i="9" s="1"/>
  <c r="AR151" i="9" l="1"/>
  <c r="AR153" i="9" s="1"/>
  <c r="CI74" i="9"/>
  <c r="CH94" i="9"/>
  <c r="CH95" i="9"/>
  <c r="CH96" i="9"/>
  <c r="CN75" i="2"/>
  <c r="AR110" i="9"/>
  <c r="AR113" i="9" s="1"/>
  <c r="CH98" i="9"/>
  <c r="AR155" i="9" l="1"/>
  <c r="AR200" i="9"/>
  <c r="AR201" i="9" s="1"/>
  <c r="CH97" i="9"/>
  <c r="CN69" i="2"/>
  <c r="CN77" i="2" s="1"/>
  <c r="CI80" i="9"/>
  <c r="CI81" i="9" s="1"/>
  <c r="CI82" i="9"/>
  <c r="AS101" i="9"/>
  <c r="AR112" i="9"/>
  <c r="AR111" i="9"/>
  <c r="AR202" i="9"/>
  <c r="AR133" i="9"/>
  <c r="AR198" i="9" s="1"/>
  <c r="AR134" i="9"/>
  <c r="AR199" i="9" s="1"/>
  <c r="CO73" i="2" l="1"/>
  <c r="CI84" i="9"/>
  <c r="CI89" i="9"/>
  <c r="CI92" i="9" s="1"/>
  <c r="CI85" i="9"/>
  <c r="CI86" i="9"/>
  <c r="AS108" i="9"/>
  <c r="AS109" i="9"/>
  <c r="CI88" i="9"/>
  <c r="CO72" i="2"/>
  <c r="CI78" i="9"/>
  <c r="CI156" i="9" s="1"/>
  <c r="CJ79" i="9"/>
  <c r="AS145" i="9" l="1"/>
  <c r="AS204" i="9" s="1"/>
  <c r="AS190" i="9"/>
  <c r="CJ74" i="9"/>
  <c r="CI94" i="9"/>
  <c r="CI95" i="9"/>
  <c r="CI96" i="9"/>
  <c r="CO75" i="2"/>
  <c r="CI98" i="9"/>
  <c r="CI97" i="9" l="1"/>
  <c r="CJ80" i="9"/>
  <c r="CJ81" i="9" s="1"/>
  <c r="CJ86" i="9" s="1"/>
  <c r="CJ82" i="9"/>
  <c r="CO69" i="2"/>
  <c r="CO77" i="2" s="1"/>
  <c r="AS191" i="9"/>
  <c r="AS192" i="9" s="1"/>
  <c r="AT189" i="9" s="1"/>
  <c r="CJ85" i="9" l="1"/>
  <c r="AS193" i="9"/>
  <c r="CP72" i="2"/>
  <c r="CJ78" i="9"/>
  <c r="CJ156" i="9" s="1"/>
  <c r="CK79" i="9"/>
  <c r="CJ88" i="9"/>
  <c r="CJ89" i="9"/>
  <c r="CP73" i="2"/>
  <c r="CJ84" i="9"/>
  <c r="CP75" i="2" l="1"/>
  <c r="CJ92" i="9"/>
  <c r="AS141" i="9"/>
  <c r="AS144" i="9" s="1"/>
  <c r="CK74" i="9" l="1"/>
  <c r="CJ94" i="9"/>
  <c r="CJ95" i="9"/>
  <c r="CJ96" i="9"/>
  <c r="CJ98" i="9"/>
  <c r="AS157" i="9"/>
  <c r="AS103" i="9"/>
  <c r="AS105" i="9" s="1"/>
  <c r="AS106" i="9" s="1"/>
  <c r="CP69" i="2"/>
  <c r="CP77" i="2" s="1"/>
  <c r="CJ97" i="9" l="1"/>
  <c r="CK80" i="9"/>
  <c r="CK81" i="9" s="1"/>
  <c r="CK82" i="9"/>
  <c r="AS107" i="9"/>
  <c r="AS148" i="9" s="1"/>
  <c r="AS205" i="9" s="1"/>
  <c r="CK88" i="9" l="1"/>
  <c r="CK86" i="9"/>
  <c r="AS110" i="9"/>
  <c r="CK85" i="9"/>
  <c r="CQ73" i="2"/>
  <c r="CK84" i="9"/>
  <c r="CQ72" i="2"/>
  <c r="CK78" i="9"/>
  <c r="CK156" i="9" s="1"/>
  <c r="CL79" i="9"/>
  <c r="CK89" i="9"/>
  <c r="CK92" i="9" s="1"/>
  <c r="AS151" i="9"/>
  <c r="AS153" i="9" l="1"/>
  <c r="AS155" i="9" s="1"/>
  <c r="AS200" i="9"/>
  <c r="AS201" i="9" s="1"/>
  <c r="CL74" i="9"/>
  <c r="CK94" i="9"/>
  <c r="CK95" i="9"/>
  <c r="CK96" i="9"/>
  <c r="AT101" i="9"/>
  <c r="AS112" i="9"/>
  <c r="AS111" i="9"/>
  <c r="AS202" i="9"/>
  <c r="AS133" i="9"/>
  <c r="AS198" i="9" s="1"/>
  <c r="AS134" i="9"/>
  <c r="AS199" i="9" s="1"/>
  <c r="CQ75" i="2"/>
  <c r="CK98" i="9"/>
  <c r="AS113" i="9"/>
  <c r="CK97" i="9" l="1"/>
  <c r="CL80" i="9"/>
  <c r="CL81" i="9" s="1"/>
  <c r="CL82" i="9"/>
  <c r="AT108" i="9"/>
  <c r="AT109" i="9"/>
  <c r="CQ69" i="2"/>
  <c r="CQ77" i="2" s="1"/>
  <c r="AT145" i="9" l="1"/>
  <c r="AT204" i="9" s="1"/>
  <c r="AT190" i="9"/>
  <c r="CL85" i="9"/>
  <c r="CL86" i="9"/>
  <c r="CL88" i="9"/>
  <c r="CR73" i="2"/>
  <c r="CL84" i="9"/>
  <c r="CR72" i="2"/>
  <c r="CL78" i="9"/>
  <c r="CL156" i="9" s="1"/>
  <c r="CM79" i="9"/>
  <c r="CL89" i="9"/>
  <c r="CL92" i="9" s="1"/>
  <c r="CM74" i="9" l="1"/>
  <c r="CL94" i="9"/>
  <c r="CL95" i="9"/>
  <c r="CL96" i="9"/>
  <c r="CR75" i="2"/>
  <c r="AT191" i="9"/>
  <c r="AT193" i="9" s="1"/>
  <c r="CL98" i="9"/>
  <c r="CL97" i="9" l="1"/>
  <c r="AT141" i="9"/>
  <c r="AT144" i="9" s="1"/>
  <c r="CR69" i="2"/>
  <c r="CR77" i="2" s="1"/>
  <c r="CM80" i="9"/>
  <c r="CM81" i="9" s="1"/>
  <c r="CM82" i="9"/>
  <c r="AT192" i="9"/>
  <c r="AU189" i="9" s="1"/>
  <c r="CM89" i="9" l="1"/>
  <c r="CM92" i="9" s="1"/>
  <c r="CM85" i="9"/>
  <c r="CS73" i="2"/>
  <c r="CM84" i="9"/>
  <c r="CM86" i="9"/>
  <c r="CS72" i="2"/>
  <c r="CM78" i="9"/>
  <c r="CM156" i="9" s="1"/>
  <c r="CN79" i="9"/>
  <c r="CM88" i="9"/>
  <c r="AT157" i="9"/>
  <c r="AT103" i="9"/>
  <c r="AT105" i="9" s="1"/>
  <c r="AT106" i="9" s="1"/>
  <c r="CS75" i="2" l="1"/>
  <c r="CN74" i="9"/>
  <c r="CM94" i="9"/>
  <c r="CM95" i="9"/>
  <c r="CM96" i="9"/>
  <c r="CM98" i="9"/>
  <c r="AT107" i="9"/>
  <c r="AT148" i="9" s="1"/>
  <c r="AT205" i="9" s="1"/>
  <c r="CM97" i="9" l="1"/>
  <c r="AT110" i="9"/>
  <c r="AT113" i="9" s="1"/>
  <c r="CN80" i="9"/>
  <c r="CN81" i="9" s="1"/>
  <c r="CN86" i="9" s="1"/>
  <c r="CN82" i="9"/>
  <c r="CS69" i="2"/>
  <c r="CS77" i="2" s="1"/>
  <c r="AT151" i="9"/>
  <c r="CT72" i="2" l="1"/>
  <c r="CN78" i="9"/>
  <c r="CN156" i="9" s="1"/>
  <c r="CO79" i="9"/>
  <c r="CN89" i="9"/>
  <c r="AT200" i="9"/>
  <c r="AT201" i="9" s="1"/>
  <c r="AT153" i="9"/>
  <c r="AT155" i="9" s="1"/>
  <c r="AU101" i="9"/>
  <c r="AT112" i="9"/>
  <c r="AT111" i="9"/>
  <c r="AT202" i="9"/>
  <c r="AT133" i="9"/>
  <c r="AT198" i="9" s="1"/>
  <c r="AT134" i="9"/>
  <c r="AT199" i="9" s="1"/>
  <c r="CT73" i="2"/>
  <c r="CN84" i="9"/>
  <c r="CN85" i="9"/>
  <c r="CN88" i="9"/>
  <c r="CN92" i="9" l="1"/>
  <c r="AU108" i="9"/>
  <c r="AU109" i="9"/>
  <c r="CT75" i="2"/>
  <c r="AU145" i="9" l="1"/>
  <c r="AU204" i="9" s="1"/>
  <c r="AU190" i="9"/>
  <c r="CO74" i="9"/>
  <c r="CN94" i="9"/>
  <c r="CN95" i="9"/>
  <c r="CN96" i="9"/>
  <c r="CN98" i="9"/>
  <c r="CT69" i="2"/>
  <c r="CT77" i="2" s="1"/>
  <c r="CN97" i="9" l="1"/>
  <c r="CO80" i="9"/>
  <c r="CO81" i="9" s="1"/>
  <c r="CO85" i="9" s="1"/>
  <c r="CO82" i="9"/>
  <c r="AU191" i="9"/>
  <c r="AU193" i="9" s="1"/>
  <c r="AU141" i="9" s="1"/>
  <c r="AU144" i="9" s="1"/>
  <c r="AU157" i="9" l="1"/>
  <c r="AU103" i="9"/>
  <c r="AU105" i="9" s="1"/>
  <c r="AU106" i="9" s="1"/>
  <c r="AU192" i="9"/>
  <c r="AV189" i="9" s="1"/>
  <c r="CO86" i="9"/>
  <c r="CU73" i="2"/>
  <c r="CO84" i="9"/>
  <c r="CU72" i="2"/>
  <c r="CO78" i="9"/>
  <c r="CO156" i="9" s="1"/>
  <c r="CP79" i="9"/>
  <c r="CO89" i="9"/>
  <c r="CO92" i="9" s="1"/>
  <c r="CO88" i="9"/>
  <c r="CO98" i="9" l="1"/>
  <c r="CU75" i="2"/>
  <c r="AU107" i="9"/>
  <c r="AU148" i="9" s="1"/>
  <c r="AU205" i="9" s="1"/>
  <c r="CP74" i="9"/>
  <c r="CO94" i="9"/>
  <c r="CO95" i="9"/>
  <c r="CO96" i="9"/>
  <c r="CO97" i="9" l="1"/>
  <c r="AU151" i="9"/>
  <c r="AU200" i="9" s="1"/>
  <c r="AU201" i="9" s="1"/>
  <c r="AU110" i="9"/>
  <c r="AU113" i="9" s="1"/>
  <c r="CP80" i="9"/>
  <c r="CP81" i="9" s="1"/>
  <c r="CP85" i="9" s="1"/>
  <c r="CP82" i="9"/>
  <c r="CU69" i="2"/>
  <c r="CU77" i="2" s="1"/>
  <c r="AU153" i="9" l="1"/>
  <c r="AU155" i="9" s="1"/>
  <c r="CP86" i="9"/>
  <c r="CV72" i="2"/>
  <c r="CP78" i="9"/>
  <c r="CP156" i="9" s="1"/>
  <c r="CQ79" i="9"/>
  <c r="CP89" i="9"/>
  <c r="CP92" i="9" s="1"/>
  <c r="CP98" i="9" s="1"/>
  <c r="AV101" i="9"/>
  <c r="AU112" i="9"/>
  <c r="AU111" i="9"/>
  <c r="AU133" i="9"/>
  <c r="AU198" i="9" s="1"/>
  <c r="AU202" i="9"/>
  <c r="AU134" i="9"/>
  <c r="AU199" i="9" s="1"/>
  <c r="CV73" i="2"/>
  <c r="CP84" i="9"/>
  <c r="CP88" i="9"/>
  <c r="AV108" i="9" l="1"/>
  <c r="AV109" i="9"/>
  <c r="CQ74" i="9"/>
  <c r="CP94" i="9"/>
  <c r="CP95" i="9"/>
  <c r="CP96" i="9"/>
  <c r="CV75" i="2"/>
  <c r="CP97" i="9" l="1"/>
  <c r="CV69" i="2"/>
  <c r="CV77" i="2" s="1"/>
  <c r="CQ80" i="9"/>
  <c r="CQ81" i="9" s="1"/>
  <c r="CQ86" i="9" s="1"/>
  <c r="CQ82" i="9"/>
  <c r="AV145" i="9"/>
  <c r="AV204" i="9" s="1"/>
  <c r="AV190" i="9"/>
  <c r="CQ89" i="9" l="1"/>
  <c r="CQ92" i="9" s="1"/>
  <c r="CW73" i="2"/>
  <c r="CQ84" i="9"/>
  <c r="AV191" i="9"/>
  <c r="AV193" i="9" s="1"/>
  <c r="AV141" i="9" s="1"/>
  <c r="AV144" i="9" s="1"/>
  <c r="CQ85" i="9"/>
  <c r="CW72" i="2"/>
  <c r="CQ78" i="9"/>
  <c r="CQ156" i="9" s="1"/>
  <c r="CR79" i="9"/>
  <c r="CQ88" i="9"/>
  <c r="AV192" i="9" l="1"/>
  <c r="AW189" i="9" s="1"/>
  <c r="AV157" i="9"/>
  <c r="AV103" i="9"/>
  <c r="AV105" i="9" s="1"/>
  <c r="AV106" i="9" s="1"/>
  <c r="CW75" i="2"/>
  <c r="CR74" i="9"/>
  <c r="CQ94" i="9"/>
  <c r="CQ95" i="9"/>
  <c r="CQ96" i="9"/>
  <c r="CQ98" i="9"/>
  <c r="CQ97" i="9" l="1"/>
  <c r="CW69" i="2"/>
  <c r="CW77" i="2" s="1"/>
  <c r="CR80" i="9"/>
  <c r="CR81" i="9" s="1"/>
  <c r="CR82" i="9"/>
  <c r="AV107" i="9"/>
  <c r="AV148" i="9" s="1"/>
  <c r="AV205" i="9" s="1"/>
  <c r="CR89" i="9" l="1"/>
  <c r="CR92" i="9" s="1"/>
  <c r="CR98" i="9" s="1"/>
  <c r="CR84" i="9"/>
  <c r="CX73" i="2"/>
  <c r="CR85" i="9"/>
  <c r="CX72" i="2"/>
  <c r="CR78" i="9"/>
  <c r="CR156" i="9" s="1"/>
  <c r="CS79" i="9"/>
  <c r="CR88" i="9"/>
  <c r="CR86" i="9"/>
  <c r="AV110" i="9"/>
  <c r="AV113" i="9" s="1"/>
  <c r="AV151" i="9"/>
  <c r="CX75" i="2" l="1"/>
  <c r="CS74" i="9"/>
  <c r="CR94" i="9"/>
  <c r="CR95" i="9"/>
  <c r="CR96" i="9"/>
  <c r="AV200" i="9"/>
  <c r="AV201" i="9" s="1"/>
  <c r="AW101" i="9"/>
  <c r="AV112" i="9"/>
  <c r="AV111" i="9"/>
  <c r="AV134" i="9"/>
  <c r="AV199" i="9" s="1"/>
  <c r="AV133" i="9"/>
  <c r="AV198" i="9" s="1"/>
  <c r="AV202" i="9"/>
  <c r="AV153" i="9"/>
  <c r="CR97" i="9" l="1"/>
  <c r="AW108" i="9"/>
  <c r="AW109" i="9"/>
  <c r="CS80" i="9"/>
  <c r="CS81" i="9" s="1"/>
  <c r="CS82" i="9"/>
  <c r="AV155" i="9"/>
  <c r="CX69" i="2"/>
  <c r="CX77" i="2" s="1"/>
  <c r="CS89" i="9" l="1"/>
  <c r="CS92" i="9" s="1"/>
  <c r="CY72" i="2"/>
  <c r="CS78" i="9"/>
  <c r="CS156" i="9" s="1"/>
  <c r="CT79" i="9"/>
  <c r="CS88" i="9"/>
  <c r="CS85" i="9"/>
  <c r="CS86" i="9"/>
  <c r="AW145" i="9"/>
  <c r="AW204" i="9" s="1"/>
  <c r="AW190" i="9"/>
  <c r="CY73" i="2"/>
  <c r="CS84" i="9"/>
  <c r="AW191" i="9" l="1"/>
  <c r="AW193" i="9" s="1"/>
  <c r="AW141" i="9" s="1"/>
  <c r="AW144" i="9" s="1"/>
  <c r="CT74" i="9"/>
  <c r="CS94" i="9"/>
  <c r="CS95" i="9"/>
  <c r="CS96" i="9"/>
  <c r="CY75" i="2"/>
  <c r="CS98" i="9"/>
  <c r="CS97" i="9" l="1"/>
  <c r="AW157" i="9"/>
  <c r="AW103" i="9"/>
  <c r="AW105" i="9" s="1"/>
  <c r="AW106" i="9" s="1"/>
  <c r="AW192" i="9"/>
  <c r="AX189" i="9" s="1"/>
  <c r="CT80" i="9"/>
  <c r="CT81" i="9" s="1"/>
  <c r="CT82" i="9"/>
  <c r="CY69" i="2"/>
  <c r="CY77" i="2" s="1"/>
  <c r="CZ72" i="2" l="1"/>
  <c r="CT78" i="9"/>
  <c r="CT156" i="9" s="1"/>
  <c r="CU79" i="9"/>
  <c r="CT88" i="9"/>
  <c r="CT89" i="9"/>
  <c r="AW107" i="9"/>
  <c r="AW148" i="9" s="1"/>
  <c r="AW205" i="9" s="1"/>
  <c r="CT86" i="9"/>
  <c r="CT85" i="9"/>
  <c r="CZ73" i="2"/>
  <c r="CT84" i="9"/>
  <c r="AW110" i="9" l="1"/>
  <c r="AW113" i="9" s="1"/>
  <c r="AW151" i="9"/>
  <c r="AW153" i="9" s="1"/>
  <c r="CZ75" i="2"/>
  <c r="CT92" i="9"/>
  <c r="CT98" i="9" s="1"/>
  <c r="AW200" i="9" l="1"/>
  <c r="AW201" i="9" s="1"/>
  <c r="AW155" i="9"/>
  <c r="CZ69" i="2"/>
  <c r="CZ77" i="2" s="1"/>
  <c r="CU74" i="9"/>
  <c r="CT94" i="9"/>
  <c r="CT95" i="9"/>
  <c r="CT96" i="9"/>
  <c r="AX101" i="9"/>
  <c r="AW112" i="9"/>
  <c r="AW111" i="9"/>
  <c r="AW133" i="9"/>
  <c r="AW198" i="9" s="1"/>
  <c r="AW202" i="9"/>
  <c r="AW134" i="9"/>
  <c r="AW199" i="9" s="1"/>
  <c r="CT97" i="9" l="1"/>
  <c r="AX108" i="9"/>
  <c r="AX109" i="9"/>
  <c r="CU80" i="9"/>
  <c r="CU81" i="9" s="1"/>
  <c r="CU82" i="9"/>
  <c r="CU89" i="9" l="1"/>
  <c r="CU92" i="9" s="1"/>
  <c r="CU98" i="9" s="1"/>
  <c r="DA72" i="2"/>
  <c r="CU78" i="9"/>
  <c r="CU156" i="9" s="1"/>
  <c r="CV79" i="9"/>
  <c r="CU86" i="9"/>
  <c r="CU88" i="9"/>
  <c r="CU85" i="9"/>
  <c r="AX145" i="9"/>
  <c r="AX204" i="9" s="1"/>
  <c r="AX190" i="9"/>
  <c r="DA73" i="2"/>
  <c r="CU84" i="9"/>
  <c r="CV74" i="9" l="1"/>
  <c r="CU94" i="9"/>
  <c r="CU95" i="9"/>
  <c r="CU96" i="9"/>
  <c r="AX191" i="9"/>
  <c r="AX192" i="9" s="1"/>
  <c r="AY189" i="9" s="1"/>
  <c r="DA75" i="2"/>
  <c r="CU97" i="9" l="1"/>
  <c r="AX193" i="9"/>
  <c r="AX141" i="9" s="1"/>
  <c r="AX144" i="9" s="1"/>
  <c r="AX157" i="9" s="1"/>
  <c r="CV80" i="9"/>
  <c r="CV81" i="9" s="1"/>
  <c r="CV85" i="9" s="1"/>
  <c r="CV82" i="9"/>
  <c r="DA69" i="2"/>
  <c r="DA77" i="2" s="1"/>
  <c r="AX103" i="9" l="1"/>
  <c r="AX105" i="9" s="1"/>
  <c r="AX106" i="9" s="1"/>
  <c r="AX107" i="9" s="1"/>
  <c r="DB72" i="2"/>
  <c r="CV78" i="9"/>
  <c r="CV156" i="9" s="1"/>
  <c r="CW79" i="9"/>
  <c r="DB73" i="2"/>
  <c r="CV84" i="9"/>
  <c r="CV86" i="9"/>
  <c r="CV89" i="9"/>
  <c r="CV88" i="9"/>
  <c r="AX148" i="9" l="1"/>
  <c r="AX205" i="9" s="1"/>
  <c r="AX110" i="9"/>
  <c r="CV92" i="9"/>
  <c r="CV98" i="9" s="1"/>
  <c r="AX151" i="9"/>
  <c r="AX200" i="9" s="1"/>
  <c r="AX201" i="9" s="1"/>
  <c r="DB75" i="2"/>
  <c r="AX153" i="9" l="1"/>
  <c r="AX155" i="9" s="1"/>
  <c r="AY101" i="9"/>
  <c r="AX112" i="9"/>
  <c r="AX111" i="9"/>
  <c r="AX133" i="9"/>
  <c r="AX198" i="9" s="1"/>
  <c r="AX134" i="9"/>
  <c r="AX199" i="9" s="1"/>
  <c r="AX202" i="9"/>
  <c r="CW74" i="9"/>
  <c r="CV94" i="9"/>
  <c r="CV95" i="9"/>
  <c r="CV96" i="9"/>
  <c r="DB69" i="2"/>
  <c r="DB77" i="2" s="1"/>
  <c r="AX113" i="9"/>
  <c r="CV97" i="9" l="1"/>
  <c r="CW80" i="9"/>
  <c r="CW81" i="9" s="1"/>
  <c r="CW82" i="9"/>
  <c r="AY108" i="9"/>
  <c r="AY109" i="9"/>
  <c r="CW89" i="9" l="1"/>
  <c r="CW92" i="9" s="1"/>
  <c r="AY145" i="9"/>
  <c r="AY204" i="9" s="1"/>
  <c r="AY190" i="9"/>
  <c r="CW86" i="9"/>
  <c r="CW85" i="9"/>
  <c r="DC73" i="2"/>
  <c r="CW84" i="9"/>
  <c r="DC72" i="2"/>
  <c r="CW78" i="9"/>
  <c r="CW156" i="9" s="1"/>
  <c r="CX79" i="9"/>
  <c r="CW88" i="9"/>
  <c r="CX74" i="9" l="1"/>
  <c r="CW94" i="9"/>
  <c r="CW95" i="9"/>
  <c r="CW96" i="9"/>
  <c r="DC75" i="2"/>
  <c r="AY191" i="9"/>
  <c r="AY192" i="9" s="1"/>
  <c r="AZ189" i="9" s="1"/>
  <c r="CW98" i="9"/>
  <c r="AY193" i="9" l="1"/>
  <c r="AY141" i="9" s="1"/>
  <c r="AY144" i="9" s="1"/>
  <c r="AY157" i="9" s="1"/>
  <c r="CW97" i="9"/>
  <c r="CX80" i="9"/>
  <c r="CX81" i="9" s="1"/>
  <c r="CX82" i="9"/>
  <c r="DC69" i="2"/>
  <c r="DC77" i="2" s="1"/>
  <c r="AY103" i="9" l="1"/>
  <c r="AY105" i="9" s="1"/>
  <c r="AY106" i="9" s="1"/>
  <c r="AY107" i="9" s="1"/>
  <c r="AY148" i="9" s="1"/>
  <c r="AY205" i="9" s="1"/>
  <c r="DD72" i="2"/>
  <c r="CX78" i="9"/>
  <c r="CX156" i="9" s="1"/>
  <c r="CY79" i="9"/>
  <c r="DD73" i="2"/>
  <c r="CX84" i="9"/>
  <c r="CX85" i="9"/>
  <c r="CX88" i="9"/>
  <c r="CX86" i="9"/>
  <c r="CX89" i="9"/>
  <c r="AY110" i="9" l="1"/>
  <c r="AY113" i="9" s="1"/>
  <c r="AY151" i="9"/>
  <c r="AY200" i="9" s="1"/>
  <c r="AY201" i="9" s="1"/>
  <c r="DD75" i="2"/>
  <c r="CX92" i="9"/>
  <c r="CX98" i="9" s="1"/>
  <c r="AY153" i="9" l="1"/>
  <c r="AY155" i="9" s="1"/>
  <c r="DD69" i="2"/>
  <c r="DD77" i="2" s="1"/>
  <c r="CY74" i="9"/>
  <c r="CX94" i="9"/>
  <c r="CX95" i="9"/>
  <c r="CX96" i="9"/>
  <c r="AZ101" i="9"/>
  <c r="AY112" i="9"/>
  <c r="AY111" i="9"/>
  <c r="AY133" i="9"/>
  <c r="AY198" i="9" s="1"/>
  <c r="AY202" i="9"/>
  <c r="AY134" i="9"/>
  <c r="AY199" i="9" s="1"/>
  <c r="CX97" i="9" l="1"/>
  <c r="AZ108" i="9"/>
  <c r="AZ109" i="9"/>
  <c r="CY80" i="9"/>
  <c r="CY81" i="9" s="1"/>
  <c r="CY82" i="9"/>
  <c r="DE72" i="2" l="1"/>
  <c r="CY78" i="9"/>
  <c r="CY156" i="9" s="1"/>
  <c r="CZ79" i="9"/>
  <c r="CY85" i="9"/>
  <c r="CY89" i="9"/>
  <c r="CY92" i="9" s="1"/>
  <c r="CY88" i="9"/>
  <c r="CY86" i="9"/>
  <c r="DE73" i="2"/>
  <c r="CY84" i="9"/>
  <c r="AZ145" i="9"/>
  <c r="AZ204" i="9" s="1"/>
  <c r="AZ190" i="9"/>
  <c r="CZ74" i="9" l="1"/>
  <c r="CY94" i="9"/>
  <c r="CY95" i="9"/>
  <c r="CY96" i="9"/>
  <c r="CY98" i="9"/>
  <c r="AZ191" i="9"/>
  <c r="AZ193" i="9" s="1"/>
  <c r="AZ141" i="9" s="1"/>
  <c r="AZ144" i="9" s="1"/>
  <c r="DE75" i="2"/>
  <c r="CY97" i="9" l="1"/>
  <c r="AZ157" i="9"/>
  <c r="AZ103" i="9"/>
  <c r="AZ105" i="9" s="1"/>
  <c r="AZ106" i="9" s="1"/>
  <c r="DE69" i="2"/>
  <c r="DE77" i="2" s="1"/>
  <c r="CZ80" i="9"/>
  <c r="CZ81" i="9" s="1"/>
  <c r="CZ82" i="9"/>
  <c r="AZ192" i="9"/>
  <c r="BA189" i="9" s="1"/>
  <c r="CZ89" i="9" l="1"/>
  <c r="CZ92" i="9" s="1"/>
  <c r="DA74" i="9" s="1"/>
  <c r="CZ85" i="9"/>
  <c r="CZ86" i="9"/>
  <c r="CZ88" i="9"/>
  <c r="DF73" i="2"/>
  <c r="CZ84" i="9"/>
  <c r="AZ107" i="9"/>
  <c r="AZ148" i="9" s="1"/>
  <c r="AZ205" i="9" s="1"/>
  <c r="DF72" i="2"/>
  <c r="CZ78" i="9"/>
  <c r="CZ156" i="9" s="1"/>
  <c r="DA79" i="9"/>
  <c r="CZ96" i="9" l="1"/>
  <c r="CZ95" i="9"/>
  <c r="CZ94" i="9"/>
  <c r="CZ98" i="9"/>
  <c r="DF75" i="2"/>
  <c r="AZ110" i="9"/>
  <c r="DA80" i="9"/>
  <c r="DA81" i="9" s="1"/>
  <c r="DA85" i="9" s="1"/>
  <c r="DA82" i="9"/>
  <c r="AZ151" i="9"/>
  <c r="CZ97" i="9" l="1"/>
  <c r="DA86" i="9"/>
  <c r="DA88" i="9"/>
  <c r="BA101" i="9"/>
  <c r="AZ112" i="9"/>
  <c r="AZ111" i="9"/>
  <c r="AZ202" i="9"/>
  <c r="AZ133" i="9"/>
  <c r="AZ198" i="9" s="1"/>
  <c r="AZ134" i="9"/>
  <c r="AZ199" i="9" s="1"/>
  <c r="AZ200" i="9"/>
  <c r="AZ201" i="9" s="1"/>
  <c r="DG73" i="2"/>
  <c r="DA84" i="9"/>
  <c r="DF69" i="2"/>
  <c r="DF77" i="2" s="1"/>
  <c r="AZ153" i="9"/>
  <c r="DG72" i="2"/>
  <c r="DA78" i="9"/>
  <c r="DA156" i="9" s="1"/>
  <c r="DB79" i="9"/>
  <c r="DA89" i="9"/>
  <c r="AZ113" i="9"/>
  <c r="DA92" i="9" l="1"/>
  <c r="DA98" i="9" s="1"/>
  <c r="DG75" i="2"/>
  <c r="BA108" i="9"/>
  <c r="BA109" i="9"/>
  <c r="AZ155" i="9"/>
  <c r="DG69" i="2" l="1"/>
  <c r="DG77" i="2" s="1"/>
  <c r="DB74" i="9"/>
  <c r="DA94" i="9"/>
  <c r="DA95" i="9"/>
  <c r="DA96" i="9"/>
  <c r="BA145" i="9"/>
  <c r="BA204" i="9" s="1"/>
  <c r="BA190" i="9"/>
  <c r="DA97" i="9" l="1"/>
  <c r="BA191" i="9"/>
  <c r="BA193" i="9" s="1"/>
  <c r="BA141" i="9" s="1"/>
  <c r="BA144" i="9" s="1"/>
  <c r="DB80" i="9"/>
  <c r="DB81" i="9" s="1"/>
  <c r="DB82" i="9"/>
  <c r="BA157" i="9" l="1"/>
  <c r="BA103" i="9"/>
  <c r="BA105" i="9" s="1"/>
  <c r="BA106" i="9" s="1"/>
  <c r="DH72" i="2"/>
  <c r="DB78" i="9"/>
  <c r="DB156" i="9" s="1"/>
  <c r="DC79" i="9"/>
  <c r="DB88" i="9"/>
  <c r="BA192" i="9"/>
  <c r="BB189" i="9" s="1"/>
  <c r="DH73" i="2"/>
  <c r="DB84" i="9"/>
  <c r="DB86" i="9"/>
  <c r="DB85" i="9"/>
  <c r="DB89" i="9"/>
  <c r="DH75" i="2" l="1"/>
  <c r="DB92" i="9"/>
  <c r="BA107" i="9"/>
  <c r="BA110" i="9" s="1"/>
  <c r="BB101" i="9" l="1"/>
  <c r="BA112" i="9"/>
  <c r="BA111" i="9"/>
  <c r="BA202" i="9"/>
  <c r="BA133" i="9"/>
  <c r="BA198" i="9" s="1"/>
  <c r="BA134" i="9"/>
  <c r="BA199" i="9" s="1"/>
  <c r="BA148" i="9"/>
  <c r="BA205" i="9" s="1"/>
  <c r="BA151" i="9"/>
  <c r="BA153" i="9" s="1"/>
  <c r="BA155" i="9" s="1"/>
  <c r="BA113" i="9"/>
  <c r="DC74" i="9"/>
  <c r="DB94" i="9"/>
  <c r="DB95" i="9"/>
  <c r="DB96" i="9"/>
  <c r="DH69" i="2"/>
  <c r="DH77" i="2" s="1"/>
  <c r="DB98" i="9"/>
  <c r="DB97" i="9" l="1"/>
  <c r="BA200" i="9"/>
  <c r="BA201" i="9" s="1"/>
  <c r="DC80" i="9"/>
  <c r="DC81" i="9" s="1"/>
  <c r="DC82" i="9"/>
  <c r="BB108" i="9"/>
  <c r="BB109" i="9"/>
  <c r="DC85" i="9" l="1"/>
  <c r="DI73" i="2"/>
  <c r="DC84" i="9"/>
  <c r="DC86" i="9"/>
  <c r="BB145" i="9"/>
  <c r="BB204" i="9" s="1"/>
  <c r="BB190" i="9"/>
  <c r="DC89" i="9"/>
  <c r="DI72" i="2"/>
  <c r="DC78" i="9"/>
  <c r="DC156" i="9" s="1"/>
  <c r="DD79" i="9"/>
  <c r="DC88" i="9"/>
  <c r="DI75" i="2" l="1"/>
  <c r="BB191" i="9"/>
  <c r="BB193" i="9" s="1"/>
  <c r="BB141" i="9" s="1"/>
  <c r="BB144" i="9" s="1"/>
  <c r="DC92" i="9"/>
  <c r="BB192" i="9" l="1"/>
  <c r="BC189" i="9" s="1"/>
  <c r="BB157" i="9"/>
  <c r="BB103" i="9"/>
  <c r="BB105" i="9" s="1"/>
  <c r="BB106" i="9" s="1"/>
  <c r="DD74" i="9"/>
  <c r="DC94" i="9"/>
  <c r="DC95" i="9"/>
  <c r="DC96" i="9"/>
  <c r="DC98" i="9"/>
  <c r="DI69" i="2"/>
  <c r="DI77" i="2" s="1"/>
  <c r="DC97" i="9" l="1"/>
  <c r="DD80" i="9"/>
  <c r="DD81" i="9" s="1"/>
  <c r="DD85" i="9" s="1"/>
  <c r="DD82" i="9"/>
  <c r="BB107" i="9"/>
  <c r="BB110" i="9" l="1"/>
  <c r="BB113" i="9" s="1"/>
  <c r="DD86" i="9"/>
  <c r="DJ73" i="2"/>
  <c r="DD84" i="9"/>
  <c r="DJ72" i="2"/>
  <c r="DD78" i="9"/>
  <c r="DD156" i="9" s="1"/>
  <c r="DE79" i="9"/>
  <c r="DD88" i="9"/>
  <c r="DD89" i="9"/>
  <c r="BB148" i="9"/>
  <c r="BB205" i="9" s="1"/>
  <c r="BB151" i="9"/>
  <c r="DJ75" i="2" l="1"/>
  <c r="BB153" i="9"/>
  <c r="DD92" i="9"/>
  <c r="DD98" i="9" s="1"/>
  <c r="BB200" i="9"/>
  <c r="BB201" i="9" s="1"/>
  <c r="BC101" i="9"/>
  <c r="BB112" i="9"/>
  <c r="BB111" i="9"/>
  <c r="K38" i="6"/>
  <c r="K39" i="6" s="1"/>
  <c r="BB202" i="9"/>
  <c r="BB133" i="9"/>
  <c r="BB198" i="9" s="1"/>
  <c r="BB134" i="9"/>
  <c r="BB199" i="9" s="1"/>
  <c r="DE74" i="9" l="1"/>
  <c r="DD94" i="9"/>
  <c r="DD95" i="9"/>
  <c r="DD96" i="9"/>
  <c r="BC108" i="9"/>
  <c r="BC109" i="9"/>
  <c r="BC119" i="9"/>
  <c r="BC120" i="9" s="1"/>
  <c r="DJ69" i="2"/>
  <c r="DJ77" i="2" s="1"/>
  <c r="BB155" i="9"/>
  <c r="DD97" i="9" l="1"/>
  <c r="BC145" i="9"/>
  <c r="B166" i="9"/>
  <c r="K9" i="9"/>
  <c r="BC124" i="9"/>
  <c r="BC123" i="9"/>
  <c r="BC117" i="9"/>
  <c r="DE80" i="9"/>
  <c r="DE81" i="9" s="1"/>
  <c r="DE85" i="9" s="1"/>
  <c r="DE82" i="9"/>
  <c r="BC121" i="9"/>
  <c r="K25" i="9" s="1"/>
  <c r="BC196" i="9" l="1"/>
  <c r="BC154" i="9"/>
  <c r="BC130" i="9"/>
  <c r="AR131" i="9"/>
  <c r="AR132" i="9"/>
  <c r="BC146" i="9"/>
  <c r="BC204" i="9" s="1"/>
  <c r="AR203" i="9"/>
  <c r="BC147" i="9"/>
  <c r="BC128" i="9"/>
  <c r="DE86" i="9"/>
  <c r="DK73" i="2"/>
  <c r="DE84" i="9"/>
  <c r="DK72" i="2"/>
  <c r="DE78" i="9"/>
  <c r="DE156" i="9" s="1"/>
  <c r="DF79" i="9"/>
  <c r="DE88" i="9"/>
  <c r="BC118" i="9"/>
  <c r="K24" i="9" s="1"/>
  <c r="BC190" i="9"/>
  <c r="DE89" i="9"/>
  <c r="DE92" i="9" s="1"/>
  <c r="DF74" i="9" l="1"/>
  <c r="DE94" i="9"/>
  <c r="DE95" i="9"/>
  <c r="DE96" i="9"/>
  <c r="DE98" i="9"/>
  <c r="DK75" i="2"/>
  <c r="BC191" i="9"/>
  <c r="BC193" i="9" s="1"/>
  <c r="BD116" i="9"/>
  <c r="BC135" i="9"/>
  <c r="BC136" i="9"/>
  <c r="DE97" i="9" l="1"/>
  <c r="BC141" i="9"/>
  <c r="BC144" i="9" s="1"/>
  <c r="BD123" i="9"/>
  <c r="BD124" i="9"/>
  <c r="DF80" i="9"/>
  <c r="DF81" i="9" s="1"/>
  <c r="DF82" i="9"/>
  <c r="BC192" i="9"/>
  <c r="BD189" i="9" s="1"/>
  <c r="DK69" i="2"/>
  <c r="DK77" i="2" s="1"/>
  <c r="DF89" i="9" l="1"/>
  <c r="DF92" i="9" s="1"/>
  <c r="DF98" i="9" s="1"/>
  <c r="DF88" i="9"/>
  <c r="DL72" i="2"/>
  <c r="DF78" i="9"/>
  <c r="DF156" i="9" s="1"/>
  <c r="DG79" i="9"/>
  <c r="BD196" i="9"/>
  <c r="BD154" i="9"/>
  <c r="BD130" i="9"/>
  <c r="AS131" i="9"/>
  <c r="AS132" i="9"/>
  <c r="BD146" i="9"/>
  <c r="AS203" i="9"/>
  <c r="BD147" i="9"/>
  <c r="DL73" i="2"/>
  <c r="DF84" i="9"/>
  <c r="DF86" i="9"/>
  <c r="DF85" i="9"/>
  <c r="BC157" i="9"/>
  <c r="BC103" i="9"/>
  <c r="BC105" i="9" s="1"/>
  <c r="BC106" i="9" s="1"/>
  <c r="DG74" i="9" l="1"/>
  <c r="DF94" i="9"/>
  <c r="DF95" i="9"/>
  <c r="DF96" i="9"/>
  <c r="BC107" i="9"/>
  <c r="BC151" i="9" s="1"/>
  <c r="BC153" i="9" s="1"/>
  <c r="DL75" i="2"/>
  <c r="DF97" i="9" l="1"/>
  <c r="BC200" i="9"/>
  <c r="BC201" i="9" s="1"/>
  <c r="BC155" i="9"/>
  <c r="DG80" i="9"/>
  <c r="DG81" i="9" s="1"/>
  <c r="DG82" i="9"/>
  <c r="DL69" i="2"/>
  <c r="DL77" i="2" s="1"/>
  <c r="BC148" i="9"/>
  <c r="BC205" i="9" s="1"/>
  <c r="BC110" i="9"/>
  <c r="DM72" i="2" l="1"/>
  <c r="DG78" i="9"/>
  <c r="DG156" i="9" s="1"/>
  <c r="DH79" i="9"/>
  <c r="DG89" i="9"/>
  <c r="BD101" i="9"/>
  <c r="BC112" i="9"/>
  <c r="BC111" i="9"/>
  <c r="BC202" i="9"/>
  <c r="BC133" i="9"/>
  <c r="BC198" i="9" s="1"/>
  <c r="BC134" i="9"/>
  <c r="BC199" i="9" s="1"/>
  <c r="BC113" i="9"/>
  <c r="DG88" i="9"/>
  <c r="DM73" i="2"/>
  <c r="DG84" i="9"/>
  <c r="DG85" i="9"/>
  <c r="DG86" i="9"/>
  <c r="BD108" i="9" l="1"/>
  <c r="BD109" i="9"/>
  <c r="DM75" i="2"/>
  <c r="DG92" i="9"/>
  <c r="BD145" i="9" l="1"/>
  <c r="BD190" i="9"/>
  <c r="DM69" i="2"/>
  <c r="DM77" i="2" s="1"/>
  <c r="DH74" i="9"/>
  <c r="DG94" i="9"/>
  <c r="DG95" i="9"/>
  <c r="DG96" i="9"/>
  <c r="DG98" i="9"/>
  <c r="DG97" i="9" l="1"/>
  <c r="BD191" i="9"/>
  <c r="BD193" i="9" s="1"/>
  <c r="DH80" i="9"/>
  <c r="DH81" i="9" s="1"/>
  <c r="DH82" i="9"/>
  <c r="BD204" i="9"/>
  <c r="BD192" i="9" l="1"/>
  <c r="BE189" i="9" s="1"/>
  <c r="BD141" i="9"/>
  <c r="BD144" i="9" s="1"/>
  <c r="DN72" i="2"/>
  <c r="DH78" i="9"/>
  <c r="DH156" i="9" s="1"/>
  <c r="DI79" i="9"/>
  <c r="DN73" i="2"/>
  <c r="DH84" i="9"/>
  <c r="DH85" i="9"/>
  <c r="DH88" i="9"/>
  <c r="DH89" i="9"/>
  <c r="DH92" i="9" s="1"/>
  <c r="DH86" i="9"/>
  <c r="DI74" i="9" l="1"/>
  <c r="DH94" i="9"/>
  <c r="DH95" i="9"/>
  <c r="DH96" i="9"/>
  <c r="DN75" i="2"/>
  <c r="DH98" i="9"/>
  <c r="BD157" i="9"/>
  <c r="BD126" i="9"/>
  <c r="BD103" i="9" s="1"/>
  <c r="BD105" i="9" s="1"/>
  <c r="BD106" i="9" s="1"/>
  <c r="DH97" i="9" l="1"/>
  <c r="BD107" i="9"/>
  <c r="BD110" i="9" s="1"/>
  <c r="BD149" i="9"/>
  <c r="BD128" i="9"/>
  <c r="DN69" i="2"/>
  <c r="DN77" i="2" s="1"/>
  <c r="DI80" i="9"/>
  <c r="DI81" i="9" s="1"/>
  <c r="DI86" i="9" s="1"/>
  <c r="DI82" i="9"/>
  <c r="BD151" i="9" l="1"/>
  <c r="BD153" i="9" s="1"/>
  <c r="BE101" i="9"/>
  <c r="BD112" i="9"/>
  <c r="BD111" i="9"/>
  <c r="BD134" i="9"/>
  <c r="BD199" i="9" s="1"/>
  <c r="BD202" i="9"/>
  <c r="BD133" i="9"/>
  <c r="BD198" i="9" s="1"/>
  <c r="DO73" i="2"/>
  <c r="DI84" i="9"/>
  <c r="BE116" i="9"/>
  <c r="BD135" i="9"/>
  <c r="BD136" i="9"/>
  <c r="DI85" i="9"/>
  <c r="BD148" i="9"/>
  <c r="BD205" i="9" s="1"/>
  <c r="DO72" i="2"/>
  <c r="DI78" i="9"/>
  <c r="DI156" i="9" s="1"/>
  <c r="DJ79" i="9"/>
  <c r="DI89" i="9"/>
  <c r="DI92" i="9" s="1"/>
  <c r="DI88" i="9"/>
  <c r="BD113" i="9"/>
  <c r="BD155" i="9" l="1"/>
  <c r="BD200" i="9"/>
  <c r="BD201" i="9" s="1"/>
  <c r="DJ74" i="9"/>
  <c r="DI94" i="9"/>
  <c r="DI95" i="9"/>
  <c r="DI96" i="9"/>
  <c r="BE123" i="9"/>
  <c r="BE124" i="9"/>
  <c r="BE108" i="9"/>
  <c r="BE109" i="9"/>
  <c r="DO75" i="2"/>
  <c r="DI98" i="9"/>
  <c r="DI97" i="9" l="1"/>
  <c r="DJ80" i="9"/>
  <c r="DJ81" i="9" s="1"/>
  <c r="DJ86" i="9" s="1"/>
  <c r="DJ82" i="9"/>
  <c r="BE196" i="9"/>
  <c r="BE154" i="9"/>
  <c r="BE130" i="9"/>
  <c r="AT131" i="9"/>
  <c r="AT132" i="9"/>
  <c r="BE146" i="9"/>
  <c r="BE145" i="9"/>
  <c r="BE190" i="9"/>
  <c r="DO69" i="2"/>
  <c r="DO77" i="2" s="1"/>
  <c r="AT203" i="9"/>
  <c r="BE147" i="9"/>
  <c r="DP72" i="2" l="1"/>
  <c r="DJ78" i="9"/>
  <c r="DJ156" i="9" s="1"/>
  <c r="DK79" i="9"/>
  <c r="BE191" i="9"/>
  <c r="BE193" i="9" s="1"/>
  <c r="DJ85" i="9"/>
  <c r="DJ88" i="9"/>
  <c r="DJ89" i="9"/>
  <c r="DJ92" i="9" s="1"/>
  <c r="DP73" i="2"/>
  <c r="DJ84" i="9"/>
  <c r="BE204" i="9"/>
  <c r="DK74" i="9" l="1"/>
  <c r="DJ94" i="9"/>
  <c r="DJ95" i="9"/>
  <c r="DJ96" i="9"/>
  <c r="BE141" i="9"/>
  <c r="BE144" i="9" s="1"/>
  <c r="BE192" i="9"/>
  <c r="BF189" i="9" s="1"/>
  <c r="DJ98" i="9"/>
  <c r="DP75" i="2"/>
  <c r="DJ97" i="9" l="1"/>
  <c r="BE157" i="9"/>
  <c r="BE126" i="9"/>
  <c r="DP69" i="2"/>
  <c r="DP77" i="2" s="1"/>
  <c r="DK80" i="9"/>
  <c r="DK81" i="9" s="1"/>
  <c r="DK85" i="9" s="1"/>
  <c r="DK82" i="9"/>
  <c r="BE149" i="9" l="1"/>
  <c r="BE128" i="9"/>
  <c r="BE103" i="9"/>
  <c r="BE105" i="9" s="1"/>
  <c r="BE106" i="9" s="1"/>
  <c r="DQ72" i="2"/>
  <c r="DK78" i="9"/>
  <c r="DK156" i="9" s="1"/>
  <c r="DL79" i="9"/>
  <c r="DQ73" i="2"/>
  <c r="DK84" i="9"/>
  <c r="DK86" i="9"/>
  <c r="DK89" i="9"/>
  <c r="DK92" i="9" s="1"/>
  <c r="DK98" i="9" s="1"/>
  <c r="DK88" i="9"/>
  <c r="BE107" i="9" l="1"/>
  <c r="BE148" i="9" s="1"/>
  <c r="BE205" i="9" s="1"/>
  <c r="DQ75" i="2"/>
  <c r="BF116" i="9"/>
  <c r="BE135" i="9"/>
  <c r="BE136" i="9"/>
  <c r="DL74" i="9"/>
  <c r="DK94" i="9"/>
  <c r="DK95" i="9"/>
  <c r="DK96" i="9"/>
  <c r="DK97" i="9" l="1"/>
  <c r="BE151" i="9"/>
  <c r="BE153" i="9" s="1"/>
  <c r="BE155" i="9" s="1"/>
  <c r="BF123" i="9"/>
  <c r="BF124" i="9"/>
  <c r="DL80" i="9"/>
  <c r="DL81" i="9" s="1"/>
  <c r="DL86" i="9" s="1"/>
  <c r="DL82" i="9"/>
  <c r="DQ69" i="2"/>
  <c r="DQ77" i="2" s="1"/>
  <c r="BE110" i="9"/>
  <c r="BE113" i="9" s="1"/>
  <c r="BE200" i="9" l="1"/>
  <c r="BE201" i="9" s="1"/>
  <c r="DR72" i="2"/>
  <c r="DL78" i="9"/>
  <c r="DL156" i="9" s="1"/>
  <c r="DM79" i="9"/>
  <c r="DL88" i="9"/>
  <c r="DL89" i="9"/>
  <c r="AU203" i="9"/>
  <c r="BF147" i="9"/>
  <c r="BF196" i="9"/>
  <c r="BF154" i="9"/>
  <c r="BF130" i="9"/>
  <c r="AU132" i="9"/>
  <c r="AU131" i="9"/>
  <c r="BF146" i="9"/>
  <c r="BF101" i="9"/>
  <c r="BE112" i="9"/>
  <c r="BE111" i="9"/>
  <c r="BE134" i="9"/>
  <c r="BE199" i="9" s="1"/>
  <c r="BE133" i="9"/>
  <c r="BE198" i="9" s="1"/>
  <c r="BE202" i="9"/>
  <c r="DR73" i="2"/>
  <c r="DL84" i="9"/>
  <c r="DL85" i="9"/>
  <c r="BF108" i="9" l="1"/>
  <c r="BF109" i="9"/>
  <c r="DL92" i="9"/>
  <c r="DR75" i="2"/>
  <c r="BF145" i="9" l="1"/>
  <c r="BF190" i="9"/>
  <c r="DM74" i="9"/>
  <c r="DL94" i="9"/>
  <c r="DL95" i="9"/>
  <c r="DL96" i="9"/>
  <c r="DL98" i="9"/>
  <c r="DR69" i="2"/>
  <c r="DR77" i="2" s="1"/>
  <c r="DL97" i="9" l="1"/>
  <c r="BF191" i="9"/>
  <c r="BF193" i="9" s="1"/>
  <c r="DM80" i="9"/>
  <c r="DM81" i="9" s="1"/>
  <c r="DM86" i="9" s="1"/>
  <c r="DM82" i="9"/>
  <c r="BF204" i="9"/>
  <c r="BF141" i="9" l="1"/>
  <c r="BF144" i="9" s="1"/>
  <c r="DS72" i="2"/>
  <c r="DM78" i="9"/>
  <c r="DM156" i="9" s="1"/>
  <c r="DN79" i="9"/>
  <c r="DM88" i="9"/>
  <c r="DS73" i="2"/>
  <c r="DM84" i="9"/>
  <c r="DM85" i="9"/>
  <c r="DM89" i="9"/>
  <c r="DM92" i="9" s="1"/>
  <c r="BF192" i="9"/>
  <c r="BG189" i="9" s="1"/>
  <c r="DN74" i="9" l="1"/>
  <c r="DM94" i="9"/>
  <c r="DM95" i="9"/>
  <c r="DM96" i="9"/>
  <c r="DS75" i="2"/>
  <c r="DM98" i="9"/>
  <c r="BF157" i="9"/>
  <c r="BF126" i="9"/>
  <c r="BF103" i="9" s="1"/>
  <c r="BF105" i="9" s="1"/>
  <c r="BF106" i="9" s="1"/>
  <c r="DM97" i="9" l="1"/>
  <c r="BF107" i="9"/>
  <c r="BF148" i="9" s="1"/>
  <c r="DN80" i="9"/>
  <c r="DN81" i="9" s="1"/>
  <c r="DN82" i="9"/>
  <c r="BF149" i="9"/>
  <c r="BF128" i="9"/>
  <c r="DS69" i="2"/>
  <c r="DS77" i="2" s="1"/>
  <c r="BF151" i="9" l="1"/>
  <c r="BF200" i="9" s="1"/>
  <c r="BF201" i="9" s="1"/>
  <c r="BG116" i="9"/>
  <c r="BF135" i="9"/>
  <c r="BF136" i="9"/>
  <c r="DN89" i="9"/>
  <c r="BF205" i="9"/>
  <c r="DT72" i="2"/>
  <c r="DN78" i="9"/>
  <c r="DN156" i="9" s="1"/>
  <c r="DO79" i="9"/>
  <c r="DN88" i="9"/>
  <c r="DT73" i="2"/>
  <c r="DN84" i="9"/>
  <c r="BF110" i="9"/>
  <c r="BF113" i="9" s="1"/>
  <c r="DN86" i="9"/>
  <c r="DN85" i="9"/>
  <c r="BF153" i="9" l="1"/>
  <c r="BF155" i="9" s="1"/>
  <c r="DT75" i="2"/>
  <c r="DN92" i="9"/>
  <c r="BG101" i="9"/>
  <c r="BF112" i="9"/>
  <c r="BF111" i="9"/>
  <c r="BF202" i="9"/>
  <c r="BF133" i="9"/>
  <c r="BF198" i="9" s="1"/>
  <c r="BF134" i="9"/>
  <c r="BF199" i="9" s="1"/>
  <c r="BG123" i="9"/>
  <c r="BG124" i="9"/>
  <c r="AV203" i="9" l="1"/>
  <c r="BG147" i="9"/>
  <c r="DO74" i="9"/>
  <c r="DN94" i="9"/>
  <c r="DN95" i="9"/>
  <c r="DN96" i="9"/>
  <c r="BG108" i="9"/>
  <c r="BG109" i="9"/>
  <c r="BG196" i="9"/>
  <c r="BG154" i="9"/>
  <c r="BG130" i="9"/>
  <c r="AV132" i="9"/>
  <c r="AV131" i="9"/>
  <c r="BG146" i="9"/>
  <c r="DT69" i="2"/>
  <c r="DT77" i="2" s="1"/>
  <c r="DN98" i="9"/>
  <c r="DN97" i="9" l="1"/>
  <c r="DO80" i="9"/>
  <c r="DO81" i="9" s="1"/>
  <c r="DO82" i="9"/>
  <c r="BG145" i="9"/>
  <c r="BG190" i="9"/>
  <c r="DO88" i="9" l="1"/>
  <c r="BG191" i="9"/>
  <c r="BG193" i="9" s="1"/>
  <c r="BG204" i="9"/>
  <c r="DU73" i="2"/>
  <c r="DO84" i="9"/>
  <c r="DO85" i="9"/>
  <c r="DO86" i="9"/>
  <c r="DU72" i="2"/>
  <c r="DO78" i="9"/>
  <c r="DO156" i="9" s="1"/>
  <c r="DP79" i="9"/>
  <c r="DO89" i="9"/>
  <c r="DO92" i="9" s="1"/>
  <c r="BG192" i="9" l="1"/>
  <c r="BH189" i="9" s="1"/>
  <c r="BG141" i="9"/>
  <c r="BG144" i="9" s="1"/>
  <c r="DU75" i="2"/>
  <c r="DP74" i="9"/>
  <c r="DO94" i="9"/>
  <c r="DO95" i="9"/>
  <c r="DO96" i="9"/>
  <c r="DO98" i="9"/>
  <c r="DO97" i="9" l="1"/>
  <c r="DU69" i="2"/>
  <c r="DU77" i="2" s="1"/>
  <c r="DP80" i="9"/>
  <c r="DP81" i="9" s="1"/>
  <c r="DP82" i="9"/>
  <c r="BG157" i="9"/>
  <c r="BG126" i="9"/>
  <c r="DV72" i="2" l="1"/>
  <c r="DP78" i="9"/>
  <c r="DP156" i="9" s="1"/>
  <c r="DQ79" i="9"/>
  <c r="BG149" i="9"/>
  <c r="BG128" i="9"/>
  <c r="BG136" i="9" s="1"/>
  <c r="DV73" i="2"/>
  <c r="DP84" i="9"/>
  <c r="BG103" i="9"/>
  <c r="BG105" i="9" s="1"/>
  <c r="BG106" i="9" s="1"/>
  <c r="DP89" i="9"/>
  <c r="DP86" i="9"/>
  <c r="DP85" i="9"/>
  <c r="DP88" i="9"/>
  <c r="DP92" i="9" l="1"/>
  <c r="DP98" i="9" s="1"/>
  <c r="BG107" i="9"/>
  <c r="BG148" i="9" s="1"/>
  <c r="BG205" i="9" s="1"/>
  <c r="BH116" i="9"/>
  <c r="BG135" i="9"/>
  <c r="DV75" i="2"/>
  <c r="BG151" i="9" l="1"/>
  <c r="BG200" i="9" s="1"/>
  <c r="BG201" i="9" s="1"/>
  <c r="BG110" i="9"/>
  <c r="BH101" i="9" s="1"/>
  <c r="DV69" i="2"/>
  <c r="DV77" i="2" s="1"/>
  <c r="DQ74" i="9"/>
  <c r="DP94" i="9"/>
  <c r="DP95" i="9"/>
  <c r="DP96" i="9"/>
  <c r="BH123" i="9"/>
  <c r="BH124" i="9"/>
  <c r="BG202" i="9" l="1"/>
  <c r="BG153" i="9"/>
  <c r="BG155" i="9" s="1"/>
  <c r="BG113" i="9"/>
  <c r="BG134" i="9"/>
  <c r="BG199" i="9" s="1"/>
  <c r="BG133" i="9"/>
  <c r="BG198" i="9" s="1"/>
  <c r="BG111" i="9"/>
  <c r="BG112" i="9"/>
  <c r="DP97" i="9"/>
  <c r="DQ80" i="9"/>
  <c r="DQ81" i="9" s="1"/>
  <c r="DQ82" i="9"/>
  <c r="AW203" i="9"/>
  <c r="BH147" i="9"/>
  <c r="BH196" i="9"/>
  <c r="BH154" i="9"/>
  <c r="BH130" i="9"/>
  <c r="AW131" i="9"/>
  <c r="AW132" i="9"/>
  <c r="BH146" i="9"/>
  <c r="BH108" i="9"/>
  <c r="BH109" i="9"/>
  <c r="DQ89" i="9" l="1"/>
  <c r="DQ92" i="9" s="1"/>
  <c r="DQ98" i="9" s="1"/>
  <c r="DQ85" i="9"/>
  <c r="DQ86" i="9"/>
  <c r="DQ88" i="9"/>
  <c r="DW72" i="2"/>
  <c r="DQ78" i="9"/>
  <c r="DQ156" i="9" s="1"/>
  <c r="DR79" i="9"/>
  <c r="DQ84" i="9"/>
  <c r="DW73" i="2"/>
  <c r="BH145" i="9"/>
  <c r="BH204" i="9" s="1"/>
  <c r="BH190" i="9"/>
  <c r="DW75" i="2" l="1"/>
  <c r="DR74" i="9"/>
  <c r="DQ94" i="9"/>
  <c r="DQ95" i="9"/>
  <c r="DQ96" i="9"/>
  <c r="BH191" i="9"/>
  <c r="BH193" i="9" s="1"/>
  <c r="DQ97" i="9" l="1"/>
  <c r="BH141" i="9"/>
  <c r="BH144" i="9" s="1"/>
  <c r="DR80" i="9"/>
  <c r="DR81" i="9" s="1"/>
  <c r="DR82" i="9"/>
  <c r="BH192" i="9"/>
  <c r="BI189" i="9" s="1"/>
  <c r="DW69" i="2"/>
  <c r="DW77" i="2" s="1"/>
  <c r="DX73" i="2" l="1"/>
  <c r="DR84" i="9"/>
  <c r="DR89" i="9"/>
  <c r="DR92" i="9" s="1"/>
  <c r="DR85" i="9"/>
  <c r="DR86" i="9"/>
  <c r="DR88" i="9"/>
  <c r="DX72" i="2"/>
  <c r="DR78" i="9"/>
  <c r="DR156" i="9" s="1"/>
  <c r="DS79" i="9"/>
  <c r="BH157" i="9"/>
  <c r="BH126" i="9"/>
  <c r="BH103" i="9" s="1"/>
  <c r="BH105" i="9" s="1"/>
  <c r="BH106" i="9" s="1"/>
  <c r="DX75" i="2" l="1"/>
  <c r="DS74" i="9"/>
  <c r="DR94" i="9"/>
  <c r="DR95" i="9"/>
  <c r="DR96" i="9"/>
  <c r="BH107" i="9"/>
  <c r="BH148" i="9" s="1"/>
  <c r="BH149" i="9"/>
  <c r="BH128" i="9"/>
  <c r="BH136" i="9" s="1"/>
  <c r="DR98" i="9"/>
  <c r="BH205" i="9" l="1"/>
  <c r="DR97" i="9"/>
  <c r="DS80" i="9"/>
  <c r="DS81" i="9" s="1"/>
  <c r="DS82" i="9"/>
  <c r="BH110" i="9"/>
  <c r="DX69" i="2"/>
  <c r="DX77" i="2" s="1"/>
  <c r="BH151" i="9"/>
  <c r="BH200" i="9" s="1"/>
  <c r="BH201" i="9" s="1"/>
  <c r="BI116" i="9"/>
  <c r="BH135" i="9"/>
  <c r="BH153" i="9" l="1"/>
  <c r="BH155" i="9" s="1"/>
  <c r="DS88" i="9"/>
  <c r="DS86" i="9"/>
  <c r="DY73" i="2"/>
  <c r="DS84" i="9"/>
  <c r="BI123" i="9"/>
  <c r="BI124" i="9"/>
  <c r="DS85" i="9"/>
  <c r="DS89" i="9"/>
  <c r="BI101" i="9"/>
  <c r="BH112" i="9"/>
  <c r="BH111" i="9"/>
  <c r="BH134" i="9"/>
  <c r="BH199" i="9" s="1"/>
  <c r="BH202" i="9"/>
  <c r="BH133" i="9"/>
  <c r="BH198" i="9" s="1"/>
  <c r="DY72" i="2"/>
  <c r="DS78" i="9"/>
  <c r="DS156" i="9" s="1"/>
  <c r="DT79" i="9"/>
  <c r="BH113" i="9"/>
  <c r="DS92" i="9" l="1"/>
  <c r="DS98" i="9" s="1"/>
  <c r="DY75" i="2"/>
  <c r="AX203" i="9"/>
  <c r="BI147" i="9"/>
  <c r="BI108" i="9"/>
  <c r="BI109" i="9"/>
  <c r="BI196" i="9"/>
  <c r="BI154" i="9"/>
  <c r="BI130" i="9"/>
  <c r="AX132" i="9"/>
  <c r="AX131" i="9"/>
  <c r="BI146" i="9"/>
  <c r="DT74" i="9" l="1"/>
  <c r="DT82" i="9" s="1"/>
  <c r="DS96" i="9"/>
  <c r="DS95" i="9"/>
  <c r="DS94" i="9"/>
  <c r="BI145" i="9"/>
  <c r="BI204" i="9" s="1"/>
  <c r="BI190" i="9"/>
  <c r="DY69" i="2"/>
  <c r="DY77" i="2" s="1"/>
  <c r="DT80" i="9" l="1"/>
  <c r="DT81" i="9" s="1"/>
  <c r="DT85" i="9" s="1"/>
  <c r="DS97" i="9"/>
  <c r="DZ73" i="2"/>
  <c r="DT84" i="9"/>
  <c r="BI191" i="9"/>
  <c r="BI192" i="9" s="1"/>
  <c r="BJ189" i="9" s="1"/>
  <c r="DZ72" i="2" l="1"/>
  <c r="DZ75" i="2" s="1"/>
  <c r="DU79" i="9"/>
  <c r="DT78" i="9"/>
  <c r="DT156" i="9" s="1"/>
  <c r="DT88" i="9"/>
  <c r="DT89" i="9"/>
  <c r="DT92" i="9" s="1"/>
  <c r="DT86" i="9"/>
  <c r="BI193" i="9"/>
  <c r="BI141" i="9" s="1"/>
  <c r="BI144" i="9" s="1"/>
  <c r="BI126" i="9" s="1"/>
  <c r="BI103" i="9" s="1"/>
  <c r="BI105" i="9" s="1"/>
  <c r="BI106" i="9" s="1"/>
  <c r="DU74" i="9" l="1"/>
  <c r="DU82" i="9" s="1"/>
  <c r="DT96" i="9"/>
  <c r="DT94" i="9"/>
  <c r="DT95" i="9"/>
  <c r="DT98" i="9"/>
  <c r="BI157" i="9"/>
  <c r="BI107" i="9"/>
  <c r="BI148" i="9" s="1"/>
  <c r="BI149" i="9"/>
  <c r="BI128" i="9"/>
  <c r="DZ69" i="2"/>
  <c r="DZ77" i="2" s="1"/>
  <c r="DU80" i="9" l="1"/>
  <c r="DU81" i="9" s="1"/>
  <c r="DU85" i="9" s="1"/>
  <c r="DT97" i="9"/>
  <c r="BI205" i="9"/>
  <c r="BI151" i="9"/>
  <c r="BI153" i="9" s="1"/>
  <c r="BI155" i="9" s="1"/>
  <c r="BJ116" i="9"/>
  <c r="BI135" i="9"/>
  <c r="BI136" i="9"/>
  <c r="EA73" i="2"/>
  <c r="DU84" i="9"/>
  <c r="BI110" i="9"/>
  <c r="BI113" i="9" s="1"/>
  <c r="EA72" i="2" l="1"/>
  <c r="EA75" i="2" s="1"/>
  <c r="DU86" i="9"/>
  <c r="DU88" i="9"/>
  <c r="DV79" i="9"/>
  <c r="DU78" i="9"/>
  <c r="DU156" i="9" s="1"/>
  <c r="DU89" i="9"/>
  <c r="DU92" i="9" s="1"/>
  <c r="DU98" i="9" s="1"/>
  <c r="BI200" i="9"/>
  <c r="BI201" i="9" s="1"/>
  <c r="BJ101" i="9"/>
  <c r="BI112" i="9"/>
  <c r="BI111" i="9"/>
  <c r="BI202" i="9"/>
  <c r="BI133" i="9"/>
  <c r="BI198" i="9" s="1"/>
  <c r="BI134" i="9"/>
  <c r="BI199" i="9" s="1"/>
  <c r="BJ123" i="9"/>
  <c r="BJ124" i="9"/>
  <c r="BJ147" i="9" l="1"/>
  <c r="AY203" i="9"/>
  <c r="BJ108" i="9"/>
  <c r="BJ109" i="9"/>
  <c r="DV74" i="9"/>
  <c r="DU94" i="9"/>
  <c r="DU95" i="9"/>
  <c r="DU96" i="9"/>
  <c r="BJ196" i="9"/>
  <c r="BJ154" i="9"/>
  <c r="BJ130" i="9"/>
  <c r="AY132" i="9"/>
  <c r="AY131" i="9"/>
  <c r="BJ146" i="9"/>
  <c r="EA69" i="2"/>
  <c r="EA77" i="2" s="1"/>
  <c r="DU97" i="9" l="1"/>
  <c r="DV80" i="9"/>
  <c r="DV81" i="9" s="1"/>
  <c r="DV86" i="9" s="1"/>
  <c r="DV82" i="9"/>
  <c r="BJ145" i="9"/>
  <c r="BJ204" i="9" s="1"/>
  <c r="BJ190" i="9"/>
  <c r="BJ191" i="9" l="1"/>
  <c r="BJ193" i="9" s="1"/>
  <c r="BJ141" i="9" s="1"/>
  <c r="BJ144" i="9" s="1"/>
  <c r="DV85" i="9"/>
  <c r="EB73" i="2"/>
  <c r="I73" i="2" s="1"/>
  <c r="DV84" i="9"/>
  <c r="K10" i="9"/>
  <c r="B164" i="9" s="1"/>
  <c r="EB72" i="2"/>
  <c r="DV78" i="9"/>
  <c r="I61" i="2"/>
  <c r="DV88" i="9"/>
  <c r="DV89" i="9"/>
  <c r="DV92" i="9" s="1"/>
  <c r="DV98" i="9" l="1"/>
  <c r="B159" i="9" s="1"/>
  <c r="BJ192" i="9"/>
  <c r="BK189" i="9" s="1"/>
  <c r="BJ157" i="9"/>
  <c r="BJ126" i="9"/>
  <c r="I65" i="2"/>
  <c r="F61" i="2"/>
  <c r="H61" i="2"/>
  <c r="H62" i="2" s="1"/>
  <c r="G32" i="1"/>
  <c r="DV156" i="9"/>
  <c r="B162" i="9" s="1"/>
  <c r="B163" i="9"/>
  <c r="EB75" i="2"/>
  <c r="I72" i="2"/>
  <c r="DV94" i="9"/>
  <c r="K27" i="9" s="1"/>
  <c r="DV95" i="9"/>
  <c r="DV96" i="9"/>
  <c r="K14" i="9"/>
  <c r="B160" i="9"/>
  <c r="K7" i="9"/>
  <c r="H73" i="2"/>
  <c r="F73" i="2"/>
  <c r="DV97" i="9" l="1"/>
  <c r="BJ149" i="9"/>
  <c r="BJ128" i="9"/>
  <c r="BJ136" i="9" s="1"/>
  <c r="BJ103" i="9"/>
  <c r="BJ105" i="9" s="1"/>
  <c r="BJ106" i="9" s="1"/>
  <c r="G65" i="2"/>
  <c r="H65" i="2"/>
  <c r="EU87" i="2"/>
  <c r="H72" i="2"/>
  <c r="H75" i="2" s="1"/>
  <c r="F72" i="2"/>
  <c r="EU86" i="2"/>
  <c r="I75" i="2"/>
  <c r="EB69" i="2"/>
  <c r="EB77" i="2" s="1"/>
  <c r="F65" i="2"/>
  <c r="C290" i="2"/>
  <c r="C292" i="2" s="1"/>
  <c r="D2" i="2" s="1"/>
  <c r="F66" i="2"/>
  <c r="C384" i="10"/>
  <c r="E384" i="10" s="1"/>
  <c r="N181" i="9"/>
  <c r="L180" i="9"/>
  <c r="O182" i="9"/>
  <c r="M181" i="9"/>
  <c r="K180" i="9"/>
  <c r="M182" i="9"/>
  <c r="O179" i="9"/>
  <c r="L178" i="9"/>
  <c r="L182" i="9"/>
  <c r="N179" i="9"/>
  <c r="K178" i="9"/>
  <c r="K182" i="9"/>
  <c r="M179" i="9"/>
  <c r="L179" i="9"/>
  <c r="O180" i="9"/>
  <c r="K179" i="9"/>
  <c r="N180" i="9"/>
  <c r="M180" i="9"/>
  <c r="K181" i="9"/>
  <c r="N178" i="9"/>
  <c r="O178" i="9"/>
  <c r="M178" i="9"/>
  <c r="N182" i="9"/>
  <c r="O181" i="9"/>
  <c r="L181" i="9"/>
  <c r="F32" i="1"/>
  <c r="BJ107" i="9" l="1"/>
  <c r="BJ148" i="9" s="1"/>
  <c r="BJ205" i="9" s="1"/>
  <c r="I69" i="2"/>
  <c r="I60" i="2"/>
  <c r="D34" i="11"/>
  <c r="DA56" i="7"/>
  <c r="K87" i="7" s="1"/>
  <c r="F75" i="2"/>
  <c r="I81" i="2"/>
  <c r="G28" i="1"/>
  <c r="E191" i="2" s="1"/>
  <c r="AS206" i="2"/>
  <c r="BT206" i="2"/>
  <c r="AP206" i="2"/>
  <c r="AK206" i="2"/>
  <c r="AB206" i="2"/>
  <c r="AR206" i="2"/>
  <c r="V206" i="2"/>
  <c r="BF206" i="2"/>
  <c r="BD206" i="2"/>
  <c r="BC206" i="2"/>
  <c r="AF206" i="2"/>
  <c r="BQ206" i="2"/>
  <c r="BL206" i="2"/>
  <c r="R206" i="2"/>
  <c r="AZ206" i="2"/>
  <c r="AE206" i="2"/>
  <c r="AG206" i="2"/>
  <c r="BP206" i="2"/>
  <c r="M206" i="2"/>
  <c r="BK206" i="2"/>
  <c r="Q206" i="2"/>
  <c r="AN206" i="2"/>
  <c r="O206" i="2"/>
  <c r="W206" i="2"/>
  <c r="AW206" i="2"/>
  <c r="P206" i="2"/>
  <c r="AQ206" i="2"/>
  <c r="BI206" i="2"/>
  <c r="AD206" i="2"/>
  <c r="AO206" i="2"/>
  <c r="U206" i="2"/>
  <c r="BE206" i="2"/>
  <c r="AY206" i="2"/>
  <c r="AC206" i="2"/>
  <c r="BH206" i="2"/>
  <c r="AJ206" i="2"/>
  <c r="BG206" i="2"/>
  <c r="BR206" i="2"/>
  <c r="BJ206" i="2"/>
  <c r="AT206" i="2"/>
  <c r="AU206" i="2"/>
  <c r="AA206" i="2"/>
  <c r="BN206" i="2"/>
  <c r="X206" i="2"/>
  <c r="AX206" i="2"/>
  <c r="N206" i="2"/>
  <c r="T206" i="2"/>
  <c r="BA206" i="2"/>
  <c r="BB206" i="2"/>
  <c r="BO206" i="2"/>
  <c r="BM206" i="2"/>
  <c r="BS206" i="2"/>
  <c r="AL206" i="2"/>
  <c r="AV206" i="2"/>
  <c r="AH206" i="2"/>
  <c r="AM206" i="2"/>
  <c r="BU206" i="2"/>
  <c r="Y206" i="2"/>
  <c r="L206" i="2"/>
  <c r="S206" i="2"/>
  <c r="AI206" i="2"/>
  <c r="Z206" i="2"/>
  <c r="DA57" i="7"/>
  <c r="K88" i="7" s="1"/>
  <c r="BK116" i="9"/>
  <c r="BJ135" i="9"/>
  <c r="BJ151" i="9" l="1"/>
  <c r="BJ153" i="9" s="1"/>
  <c r="AP90" i="3"/>
  <c r="AP91" i="3" s="1"/>
  <c r="W90" i="3"/>
  <c r="W91" i="3" s="1"/>
  <c r="BK123" i="9"/>
  <c r="BK124" i="9"/>
  <c r="AO90" i="3"/>
  <c r="AO91" i="3" s="1"/>
  <c r="Z90" i="3"/>
  <c r="Z91" i="3" s="1"/>
  <c r="AF90" i="3"/>
  <c r="BH90" i="3"/>
  <c r="BH91" i="3" s="1"/>
  <c r="BJ90" i="3"/>
  <c r="BJ91" i="3" s="1"/>
  <c r="BO90" i="3"/>
  <c r="BO91" i="3" s="1"/>
  <c r="AW90" i="3"/>
  <c r="AW91" i="3" s="1"/>
  <c r="AE90" i="3"/>
  <c r="AE91" i="3" s="1"/>
  <c r="C373" i="10"/>
  <c r="E373" i="10" s="1"/>
  <c r="D35" i="11"/>
  <c r="D36" i="11" s="1"/>
  <c r="D20" i="11"/>
  <c r="C12" i="7"/>
  <c r="C374" i="10" s="1"/>
  <c r="E374" i="10" s="1"/>
  <c r="C38" i="7"/>
  <c r="H69" i="2"/>
  <c r="H77" i="2" s="1"/>
  <c r="F69" i="2"/>
  <c r="O13" i="1"/>
  <c r="C389" i="10" s="1"/>
  <c r="E389" i="10" s="1"/>
  <c r="BD90" i="3"/>
  <c r="AL90" i="3"/>
  <c r="AL91" i="3" s="1"/>
  <c r="K90" i="3"/>
  <c r="K91" i="3" s="1"/>
  <c r="DR22" i="7"/>
  <c r="C10" i="7"/>
  <c r="D191" i="2"/>
  <c r="D192" i="2" s="1"/>
  <c r="E192" i="2"/>
  <c r="G29" i="1" s="1"/>
  <c r="M146" i="8"/>
  <c r="BJ110" i="9"/>
  <c r="BJ113" i="9" s="1"/>
  <c r="AG90" i="3"/>
  <c r="AG91" i="3" s="1"/>
  <c r="Y90" i="3"/>
  <c r="Y91" i="3" s="1"/>
  <c r="AB90" i="3"/>
  <c r="AB91" i="3" s="1"/>
  <c r="BN90" i="3"/>
  <c r="BN91" i="3" s="1"/>
  <c r="BE90" i="3"/>
  <c r="BE91" i="3" s="1"/>
  <c r="AU90" i="3"/>
  <c r="AU91" i="3" s="1"/>
  <c r="AK90" i="3"/>
  <c r="AK91" i="3" s="1"/>
  <c r="U90" i="3"/>
  <c r="U91" i="3" s="1"/>
  <c r="BM90" i="3"/>
  <c r="BM91" i="3" s="1"/>
  <c r="M90" i="3"/>
  <c r="M91" i="3" s="1"/>
  <c r="AD90" i="3"/>
  <c r="AD91" i="3" s="1"/>
  <c r="BB90" i="3"/>
  <c r="BB91" i="3" s="1"/>
  <c r="AR90" i="3"/>
  <c r="BG90" i="3"/>
  <c r="BG91" i="3" s="1"/>
  <c r="AN90" i="3"/>
  <c r="AN91" i="3" s="1"/>
  <c r="N90" i="3"/>
  <c r="N91" i="3" s="1"/>
  <c r="AV90" i="3"/>
  <c r="AV91" i="3" s="1"/>
  <c r="R90" i="3"/>
  <c r="R91" i="3" s="1"/>
  <c r="BL90" i="3"/>
  <c r="BL91" i="3" s="1"/>
  <c r="I206" i="2"/>
  <c r="G90" i="3"/>
  <c r="DN22" i="7"/>
  <c r="DO22" i="7"/>
  <c r="DP22" i="7"/>
  <c r="DQ22" i="7"/>
  <c r="DS22" i="7"/>
  <c r="DT22" i="7"/>
  <c r="DU22" i="7"/>
  <c r="DV22" i="7"/>
  <c r="DW22" i="7"/>
  <c r="DX22" i="7"/>
  <c r="DY22" i="7"/>
  <c r="DZ22" i="7"/>
  <c r="EA22" i="7"/>
  <c r="EB22" i="7"/>
  <c r="EC22" i="7"/>
  <c r="ED22" i="7"/>
  <c r="EE22" i="7"/>
  <c r="EF22" i="7"/>
  <c r="EG22" i="7"/>
  <c r="EH22" i="7"/>
  <c r="EI22" i="7"/>
  <c r="EJ22" i="7"/>
  <c r="EK22" i="7"/>
  <c r="EL22" i="7"/>
  <c r="EM22" i="7"/>
  <c r="EN22" i="7"/>
  <c r="EO22" i="7"/>
  <c r="EP22" i="7"/>
  <c r="EQ22" i="7"/>
  <c r="ER22" i="7"/>
  <c r="ES22" i="7"/>
  <c r="ET22" i="7"/>
  <c r="EU22" i="7"/>
  <c r="EV22" i="7"/>
  <c r="EW22" i="7"/>
  <c r="EX22" i="7"/>
  <c r="EY22" i="7"/>
  <c r="EZ22" i="7"/>
  <c r="FA22" i="7"/>
  <c r="FB22" i="7"/>
  <c r="FC22" i="7"/>
  <c r="FD22" i="7"/>
  <c r="FE22" i="7"/>
  <c r="O90" i="3"/>
  <c r="O91" i="3" s="1"/>
  <c r="BC90" i="3"/>
  <c r="BC91" i="3" s="1"/>
  <c r="J90" i="3"/>
  <c r="J91" i="3" s="1"/>
  <c r="AA90" i="3"/>
  <c r="AA91" i="3" s="1"/>
  <c r="D81" i="2"/>
  <c r="H81" i="2"/>
  <c r="C81" i="2"/>
  <c r="I82" i="2"/>
  <c r="I83" i="2"/>
  <c r="CJ82" i="2"/>
  <c r="AH82" i="2"/>
  <c r="AH200" i="2" s="1"/>
  <c r="EE82" i="2"/>
  <c r="CG82" i="2"/>
  <c r="AL82" i="2"/>
  <c r="AL200" i="2" s="1"/>
  <c r="DX82" i="2"/>
  <c r="CA82" i="2"/>
  <c r="AE82" i="2"/>
  <c r="AE200" i="2" s="1"/>
  <c r="CZ82" i="2"/>
  <c r="ED82" i="2"/>
  <c r="AB82" i="2"/>
  <c r="AB200" i="2" s="1"/>
  <c r="BL82" i="2"/>
  <c r="BL200" i="2" s="1"/>
  <c r="EK82" i="2"/>
  <c r="CY82" i="2"/>
  <c r="BA82" i="2"/>
  <c r="BA200" i="2" s="1"/>
  <c r="L82" i="2"/>
  <c r="L200" i="2" s="1"/>
  <c r="CS82" i="2"/>
  <c r="AW82" i="2"/>
  <c r="AW200" i="2" s="1"/>
  <c r="P82" i="2"/>
  <c r="P200" i="2" s="1"/>
  <c r="AN82" i="2"/>
  <c r="AN200" i="2" s="1"/>
  <c r="R82" i="2"/>
  <c r="R200" i="2" s="1"/>
  <c r="DN82" i="2"/>
  <c r="DA82" i="2"/>
  <c r="BC82" i="2"/>
  <c r="BC200" i="2" s="1"/>
  <c r="M82" i="2"/>
  <c r="M200" i="2" s="1"/>
  <c r="DJ82" i="2"/>
  <c r="AX82" i="2"/>
  <c r="AX200" i="2" s="1"/>
  <c r="EJ82" i="2"/>
  <c r="DC82" i="2"/>
  <c r="N82" i="2"/>
  <c r="N200" i="2" s="1"/>
  <c r="AF82" i="2"/>
  <c r="AF200" i="2" s="1"/>
  <c r="DO82" i="2"/>
  <c r="DB82" i="2"/>
  <c r="CO82" i="2"/>
  <c r="AO82" i="2"/>
  <c r="AO200" i="2" s="1"/>
  <c r="EB82" i="2"/>
  <c r="CT82" i="2"/>
  <c r="AJ82" i="2"/>
  <c r="AJ200" i="2" s="1"/>
  <c r="DU82" i="2"/>
  <c r="CL82" i="2"/>
  <c r="EM82" i="2"/>
  <c r="DS82" i="2"/>
  <c r="DD82" i="2"/>
  <c r="BF82" i="2"/>
  <c r="BF200" i="2" s="1"/>
  <c r="BT82" i="2"/>
  <c r="BT200" i="2" s="1"/>
  <c r="BO82" i="2"/>
  <c r="BO200" i="2" s="1"/>
  <c r="BM82" i="2"/>
  <c r="BM200" i="2" s="1"/>
  <c r="BI82" i="2"/>
  <c r="BI200" i="2" s="1"/>
  <c r="CX82" i="2"/>
  <c r="DF82" i="2"/>
  <c r="AT82" i="2"/>
  <c r="AT200" i="2" s="1"/>
  <c r="AA82" i="2"/>
  <c r="AA200" i="2" s="1"/>
  <c r="AZ82" i="2"/>
  <c r="AZ200" i="2" s="1"/>
  <c r="V82" i="2"/>
  <c r="V200" i="2" s="1"/>
  <c r="AU82" i="2"/>
  <c r="AU200" i="2" s="1"/>
  <c r="BB82" i="2"/>
  <c r="BB200" i="2" s="1"/>
  <c r="BJ82" i="2"/>
  <c r="BJ200" i="2" s="1"/>
  <c r="EF82" i="2"/>
  <c r="O82" i="2"/>
  <c r="O200" i="2" s="1"/>
  <c r="X82" i="2"/>
  <c r="X200" i="2" s="1"/>
  <c r="EN82" i="2"/>
  <c r="S82" i="2"/>
  <c r="S200" i="2" s="1"/>
  <c r="CQ82" i="2"/>
  <c r="T82" i="2"/>
  <c r="T200" i="2" s="1"/>
  <c r="DT82" i="2"/>
  <c r="DY82" i="2"/>
  <c r="EC82" i="2"/>
  <c r="DW82" i="2"/>
  <c r="AV82" i="2"/>
  <c r="AV200" i="2" s="1"/>
  <c r="Z82" i="2"/>
  <c r="Z200" i="2" s="1"/>
  <c r="DH82" i="2"/>
  <c r="DM82" i="2"/>
  <c r="DL82" i="2"/>
  <c r="EA82" i="2"/>
  <c r="DG82" i="2"/>
  <c r="EH82" i="2"/>
  <c r="EI82" i="2"/>
  <c r="EG82" i="2"/>
  <c r="CV82" i="2"/>
  <c r="CC82" i="2"/>
  <c r="CW82" i="2"/>
  <c r="CE82" i="2"/>
  <c r="CR82" i="2"/>
  <c r="DR82" i="2"/>
  <c r="CM82" i="2"/>
  <c r="DQ82" i="2"/>
  <c r="EL82" i="2"/>
  <c r="BE82" i="2"/>
  <c r="BE200" i="2" s="1"/>
  <c r="AM82" i="2"/>
  <c r="AM200" i="2" s="1"/>
  <c r="AY82" i="2"/>
  <c r="AY200" i="2" s="1"/>
  <c r="AI82" i="2"/>
  <c r="AI200" i="2" s="1"/>
  <c r="BG82" i="2"/>
  <c r="BG200" i="2" s="1"/>
  <c r="CH82" i="2"/>
  <c r="BU82" i="2"/>
  <c r="BU200" i="2" s="1"/>
  <c r="DZ82" i="2"/>
  <c r="AS82" i="2"/>
  <c r="AS200" i="2" s="1"/>
  <c r="Y82" i="2"/>
  <c r="Y200" i="2" s="1"/>
  <c r="AK82" i="2"/>
  <c r="AK200" i="2" s="1"/>
  <c r="U82" i="2"/>
  <c r="U200" i="2" s="1"/>
  <c r="AQ82" i="2"/>
  <c r="AQ200" i="2" s="1"/>
  <c r="DV82" i="2"/>
  <c r="BS82" i="2"/>
  <c r="BS200" i="2" s="1"/>
  <c r="CP82" i="2"/>
  <c r="AG82" i="2"/>
  <c r="AG200" i="2" s="1"/>
  <c r="DK82" i="2"/>
  <c r="W82" i="2"/>
  <c r="W200" i="2" s="1"/>
  <c r="DE82" i="2"/>
  <c r="AC82" i="2"/>
  <c r="AC200" i="2" s="1"/>
  <c r="BZ82" i="2"/>
  <c r="BH82" i="2"/>
  <c r="BH200" i="2" s="1"/>
  <c r="BN82" i="2"/>
  <c r="BN200" i="2" s="1"/>
  <c r="AD82" i="2"/>
  <c r="AD200" i="2" s="1"/>
  <c r="DI82" i="2"/>
  <c r="CK82" i="2"/>
  <c r="BX82" i="2"/>
  <c r="CB82" i="2"/>
  <c r="AP82" i="2"/>
  <c r="AP200" i="2" s="1"/>
  <c r="CD82" i="2"/>
  <c r="BK82" i="2"/>
  <c r="BK200" i="2" s="1"/>
  <c r="BQ82" i="2"/>
  <c r="BQ200" i="2" s="1"/>
  <c r="BY82" i="2"/>
  <c r="DP82" i="2"/>
  <c r="CI82" i="2"/>
  <c r="BV82" i="2"/>
  <c r="BP82" i="2"/>
  <c r="BP200" i="2" s="1"/>
  <c r="Q82" i="2"/>
  <c r="Q200" i="2" s="1"/>
  <c r="CU82" i="2"/>
  <c r="BD82" i="2"/>
  <c r="BD200" i="2" s="1"/>
  <c r="CF82" i="2"/>
  <c r="AR82" i="2"/>
  <c r="AR200" i="2" s="1"/>
  <c r="BR82" i="2"/>
  <c r="BR200" i="2" s="1"/>
  <c r="BW82" i="2"/>
  <c r="CN82" i="2"/>
  <c r="T90" i="3"/>
  <c r="I90" i="3"/>
  <c r="I91" i="3" s="1"/>
  <c r="X90" i="3"/>
  <c r="X91" i="3" s="1"/>
  <c r="AI90" i="3"/>
  <c r="AI91" i="3" s="1"/>
  <c r="AX90" i="3"/>
  <c r="AX91" i="3" s="1"/>
  <c r="I77" i="2"/>
  <c r="F77" i="2" s="1"/>
  <c r="BP90" i="3"/>
  <c r="AS90" i="3"/>
  <c r="AS91" i="3" s="1"/>
  <c r="AT90" i="3"/>
  <c r="AT91" i="3" s="1"/>
  <c r="L90" i="3"/>
  <c r="L91" i="3" s="1"/>
  <c r="AY90" i="3"/>
  <c r="AY91" i="3" s="1"/>
  <c r="AH90" i="3"/>
  <c r="AH91" i="3" s="1"/>
  <c r="S90" i="3"/>
  <c r="S91" i="3" s="1"/>
  <c r="AZ90" i="3"/>
  <c r="AZ91" i="3" s="1"/>
  <c r="BF90" i="3"/>
  <c r="BF91" i="3" s="1"/>
  <c r="BA90" i="3"/>
  <c r="BA91" i="3" s="1"/>
  <c r="AC90" i="3"/>
  <c r="AC91" i="3" s="1"/>
  <c r="BI90" i="3"/>
  <c r="BI91" i="3" s="1"/>
  <c r="P90" i="3"/>
  <c r="P91" i="3" s="1"/>
  <c r="H90" i="3"/>
  <c r="Q90" i="3"/>
  <c r="Q91" i="3" s="1"/>
  <c r="AQ90" i="3"/>
  <c r="AQ91" i="3" s="1"/>
  <c r="V90" i="3"/>
  <c r="V91" i="3" s="1"/>
  <c r="AJ90" i="3"/>
  <c r="AJ91" i="3" s="1"/>
  <c r="BK90" i="3"/>
  <c r="BK91" i="3" s="1"/>
  <c r="AM90" i="3"/>
  <c r="AM91" i="3" s="1"/>
  <c r="EU69" i="2"/>
  <c r="I62" i="2"/>
  <c r="G60" i="2"/>
  <c r="F60" i="2"/>
  <c r="F62" i="2" s="1"/>
  <c r="BJ155" i="9" l="1"/>
  <c r="BJ200" i="9"/>
  <c r="BJ201" i="9" s="1"/>
  <c r="E36" i="11"/>
  <c r="B38" i="11"/>
  <c r="J71" i="6"/>
  <c r="AF91" i="3"/>
  <c r="K14" i="7"/>
  <c r="G22" i="7"/>
  <c r="G21" i="7"/>
  <c r="G20" i="7"/>
  <c r="G19" i="7"/>
  <c r="K10" i="7"/>
  <c r="H71" i="6"/>
  <c r="H91" i="3"/>
  <c r="D15" i="11"/>
  <c r="D21" i="11"/>
  <c r="D22" i="11" s="1"/>
  <c r="G71" i="6"/>
  <c r="G91" i="3"/>
  <c r="I71" i="6"/>
  <c r="T91" i="3"/>
  <c r="W83" i="2"/>
  <c r="W207" i="2" s="1"/>
  <c r="W208" i="2" s="1"/>
  <c r="EF83" i="2"/>
  <c r="DW83" i="2"/>
  <c r="BW83" i="2"/>
  <c r="Z83" i="2"/>
  <c r="Z207" i="2" s="1"/>
  <c r="Z208" i="2" s="1"/>
  <c r="CI83" i="2"/>
  <c r="V83" i="2"/>
  <c r="V207" i="2" s="1"/>
  <c r="V208" i="2" s="1"/>
  <c r="CC83" i="2"/>
  <c r="EN83" i="2"/>
  <c r="DK83" i="2"/>
  <c r="BK83" i="2"/>
  <c r="BK207" i="2" s="1"/>
  <c r="BK208" i="2" s="1"/>
  <c r="BF83" i="2"/>
  <c r="BF207" i="2" s="1"/>
  <c r="BF208" i="2" s="1"/>
  <c r="Q83" i="2"/>
  <c r="Q207" i="2" s="1"/>
  <c r="Q208" i="2" s="1"/>
  <c r="AL83" i="2"/>
  <c r="AL207" i="2" s="1"/>
  <c r="AL208" i="2" s="1"/>
  <c r="EG83" i="2"/>
  <c r="DT83" i="2"/>
  <c r="DF83" i="2"/>
  <c r="BH83" i="2"/>
  <c r="BH207" i="2" s="1"/>
  <c r="BH208" i="2" s="1"/>
  <c r="EH83" i="2"/>
  <c r="BT83" i="2"/>
  <c r="BT207" i="2" s="1"/>
  <c r="BT208" i="2" s="1"/>
  <c r="EB83" i="2"/>
  <c r="BN83" i="2"/>
  <c r="BN207" i="2" s="1"/>
  <c r="BN208" i="2" s="1"/>
  <c r="CR83" i="2"/>
  <c r="BO83" i="2"/>
  <c r="BO207" i="2" s="1"/>
  <c r="BO208" i="2" s="1"/>
  <c r="AS83" i="2"/>
  <c r="AS207" i="2" s="1"/>
  <c r="AS208" i="2" s="1"/>
  <c r="EM83" i="2"/>
  <c r="DU83" i="2"/>
  <c r="DH83" i="2"/>
  <c r="CP83" i="2"/>
  <c r="AR83" i="2"/>
  <c r="AR207" i="2" s="1"/>
  <c r="AR208" i="2" s="1"/>
  <c r="DQ83" i="2"/>
  <c r="BD83" i="2"/>
  <c r="BD207" i="2" s="1"/>
  <c r="BD208" i="2" s="1"/>
  <c r="DL83" i="2"/>
  <c r="AW83" i="2"/>
  <c r="AW207" i="2" s="1"/>
  <c r="AW208" i="2" s="1"/>
  <c r="AV83" i="2"/>
  <c r="AV207" i="2" s="1"/>
  <c r="AV208" i="2" s="1"/>
  <c r="S83" i="2"/>
  <c r="S207" i="2" s="1"/>
  <c r="S208" i="2" s="1"/>
  <c r="AD83" i="2"/>
  <c r="AD207" i="2" s="1"/>
  <c r="AD208" i="2" s="1"/>
  <c r="P83" i="2"/>
  <c r="P207" i="2" s="1"/>
  <c r="P208" i="2" s="1"/>
  <c r="DP83" i="2"/>
  <c r="BZ83" i="2"/>
  <c r="CS83" i="2"/>
  <c r="EA83" i="2"/>
  <c r="DI83" i="2"/>
  <c r="CV83" i="2"/>
  <c r="CA83" i="2"/>
  <c r="AA83" i="2"/>
  <c r="AA207" i="2" s="1"/>
  <c r="AA208" i="2" s="1"/>
  <c r="DA83" i="2"/>
  <c r="AM83" i="2"/>
  <c r="AM207" i="2" s="1"/>
  <c r="AM208" i="2" s="1"/>
  <c r="CU83" i="2"/>
  <c r="AG83" i="2"/>
  <c r="AG207" i="2" s="1"/>
  <c r="AG208" i="2" s="1"/>
  <c r="EC83" i="2"/>
  <c r="U83" i="2"/>
  <c r="U207" i="2" s="1"/>
  <c r="U208" i="2" s="1"/>
  <c r="CK83" i="2"/>
  <c r="EI83" i="2"/>
  <c r="ED83" i="2"/>
  <c r="DE83" i="2"/>
  <c r="CZ83" i="2"/>
  <c r="DO83" i="2"/>
  <c r="CW83" i="2"/>
  <c r="CJ83" i="2"/>
  <c r="BJ83" i="2"/>
  <c r="BJ207" i="2" s="1"/>
  <c r="BJ208" i="2" s="1"/>
  <c r="L83" i="2"/>
  <c r="L207" i="2" s="1"/>
  <c r="L212" i="2" s="1"/>
  <c r="CL83" i="2"/>
  <c r="X83" i="2"/>
  <c r="X207" i="2" s="1"/>
  <c r="X208" i="2" s="1"/>
  <c r="CF83" i="2"/>
  <c r="R83" i="2"/>
  <c r="R207" i="2" s="1"/>
  <c r="R208" i="2" s="1"/>
  <c r="CG83" i="2"/>
  <c r="O83" i="2"/>
  <c r="O207" i="2" s="1"/>
  <c r="O208" i="2" s="1"/>
  <c r="DC83" i="2"/>
  <c r="AT83" i="2"/>
  <c r="AT207" i="2" s="1"/>
  <c r="AT208" i="2" s="1"/>
  <c r="BU83" i="2"/>
  <c r="BU207" i="2" s="1"/>
  <c r="BU208" i="2" s="1"/>
  <c r="BP83" i="2"/>
  <c r="BP207" i="2" s="1"/>
  <c r="BP208" i="2" s="1"/>
  <c r="EK83" i="2"/>
  <c r="AC83" i="2"/>
  <c r="AC207" i="2" s="1"/>
  <c r="AC208" i="2" s="1"/>
  <c r="BC83" i="2"/>
  <c r="BC207" i="2" s="1"/>
  <c r="BC208" i="2" s="1"/>
  <c r="CN83" i="2"/>
  <c r="AF83" i="2"/>
  <c r="AF207" i="2" s="1"/>
  <c r="AF208" i="2" s="1"/>
  <c r="BX83" i="2"/>
  <c r="AK83" i="2"/>
  <c r="AK207" i="2" s="1"/>
  <c r="AK208" i="2" s="1"/>
  <c r="CQ83" i="2"/>
  <c r="BY83" i="2"/>
  <c r="BL83" i="2"/>
  <c r="BL207" i="2" s="1"/>
  <c r="BL208" i="2" s="1"/>
  <c r="AE83" i="2"/>
  <c r="AE207" i="2" s="1"/>
  <c r="AE208" i="2" s="1"/>
  <c r="DR83" i="2"/>
  <c r="BE83" i="2"/>
  <c r="BE207" i="2" s="1"/>
  <c r="BE208" i="2" s="1"/>
  <c r="DN83" i="2"/>
  <c r="AY83" i="2"/>
  <c r="AY207" i="2" s="1"/>
  <c r="AY208" i="2" s="1"/>
  <c r="BI83" i="2"/>
  <c r="BI207" i="2" s="1"/>
  <c r="BI208" i="2" s="1"/>
  <c r="DZ83" i="2"/>
  <c r="DV83" i="2"/>
  <c r="DJ83" i="2"/>
  <c r="EL83" i="2"/>
  <c r="CE83" i="2"/>
  <c r="BM83" i="2"/>
  <c r="BM207" i="2" s="1"/>
  <c r="BM208" i="2" s="1"/>
  <c r="AZ83" i="2"/>
  <c r="AZ207" i="2" s="1"/>
  <c r="AZ208" i="2" s="1"/>
  <c r="N83" i="2"/>
  <c r="N207" i="2" s="1"/>
  <c r="N208" i="2" s="1"/>
  <c r="DB83" i="2"/>
  <c r="AP83" i="2"/>
  <c r="AP207" i="2" s="1"/>
  <c r="AP208" i="2" s="1"/>
  <c r="CY83" i="2"/>
  <c r="AJ83" i="2"/>
  <c r="AJ207" i="2" s="1"/>
  <c r="AJ208" i="2" s="1"/>
  <c r="M83" i="2"/>
  <c r="M207" i="2" s="1"/>
  <c r="M208" i="2" s="1"/>
  <c r="CD83" i="2"/>
  <c r="DM83" i="2"/>
  <c r="DD83" i="2"/>
  <c r="CB83" i="2"/>
  <c r="AX83" i="2"/>
  <c r="AX207" i="2" s="1"/>
  <c r="AX208" i="2" s="1"/>
  <c r="BS83" i="2"/>
  <c r="BS207" i="2" s="1"/>
  <c r="BS208" i="2" s="1"/>
  <c r="BA83" i="2"/>
  <c r="BA207" i="2" s="1"/>
  <c r="BA208" i="2" s="1"/>
  <c r="AN83" i="2"/>
  <c r="AN207" i="2" s="1"/>
  <c r="AN208" i="2" s="1"/>
  <c r="EJ83" i="2"/>
  <c r="CM83" i="2"/>
  <c r="Y83" i="2"/>
  <c r="Y207" i="2" s="1"/>
  <c r="Y208" i="2" s="1"/>
  <c r="CH83" i="2"/>
  <c r="T83" i="2"/>
  <c r="T207" i="2" s="1"/>
  <c r="T208" i="2" s="1"/>
  <c r="CX83" i="2"/>
  <c r="AH83" i="2"/>
  <c r="AH207" i="2" s="1"/>
  <c r="AH208" i="2" s="1"/>
  <c r="DG83" i="2"/>
  <c r="AU83" i="2"/>
  <c r="AU207" i="2" s="1"/>
  <c r="AU208" i="2" s="1"/>
  <c r="CT83" i="2"/>
  <c r="AI83" i="2"/>
  <c r="AI207" i="2" s="1"/>
  <c r="AI208" i="2" s="1"/>
  <c r="AQ83" i="2"/>
  <c r="AQ207" i="2" s="1"/>
  <c r="AQ208" i="2" s="1"/>
  <c r="BQ83" i="2"/>
  <c r="BQ207" i="2" s="1"/>
  <c r="BQ208" i="2" s="1"/>
  <c r="BG83" i="2"/>
  <c r="BG207" i="2" s="1"/>
  <c r="BG208" i="2" s="1"/>
  <c r="AO83" i="2"/>
  <c r="AO207" i="2" s="1"/>
  <c r="AO208" i="2" s="1"/>
  <c r="AB83" i="2"/>
  <c r="AB207" i="2" s="1"/>
  <c r="AB208" i="2" s="1"/>
  <c r="DS83" i="2"/>
  <c r="BV83" i="2"/>
  <c r="EE83" i="2"/>
  <c r="BR83" i="2"/>
  <c r="BR207" i="2" s="1"/>
  <c r="BR208" i="2" s="1"/>
  <c r="DY83" i="2"/>
  <c r="BB83" i="2"/>
  <c r="BB207" i="2" s="1"/>
  <c r="BB208" i="2" s="1"/>
  <c r="DX83" i="2"/>
  <c r="CO83" i="2"/>
  <c r="K71" i="6"/>
  <c r="AR91" i="3"/>
  <c r="L71" i="6"/>
  <c r="BD91" i="3"/>
  <c r="I21" i="11"/>
  <c r="I22" i="11" s="1"/>
  <c r="BK101" i="9"/>
  <c r="BJ112" i="9"/>
  <c r="BJ111" i="9"/>
  <c r="BJ134" i="9"/>
  <c r="BJ199" i="9" s="1"/>
  <c r="BJ133" i="9"/>
  <c r="BJ198" i="9" s="1"/>
  <c r="BJ202" i="9"/>
  <c r="I156" i="2"/>
  <c r="I157" i="2" s="1"/>
  <c r="O156" i="2"/>
  <c r="CI156" i="2"/>
  <c r="CI157" i="2" s="1"/>
  <c r="AP156" i="2"/>
  <c r="CW156" i="2"/>
  <c r="CW157" i="2" s="1"/>
  <c r="BC156" i="2"/>
  <c r="DA156" i="2"/>
  <c r="DA157" i="2" s="1"/>
  <c r="CM156" i="2"/>
  <c r="CM157" i="2" s="1"/>
  <c r="BV156" i="2"/>
  <c r="BV157" i="2" s="1"/>
  <c r="DF156" i="2"/>
  <c r="DF157" i="2" s="1"/>
  <c r="DH156" i="2"/>
  <c r="DH157" i="2" s="1"/>
  <c r="EI156" i="2"/>
  <c r="EI157" i="2" s="1"/>
  <c r="DT156" i="2"/>
  <c r="DT157" i="2" s="1"/>
  <c r="R156" i="2"/>
  <c r="DJ156" i="2"/>
  <c r="DJ157" i="2" s="1"/>
  <c r="BN156" i="2"/>
  <c r="V156" i="2"/>
  <c r="BS156" i="2"/>
  <c r="AR156" i="2"/>
  <c r="T156" i="2"/>
  <c r="BU156" i="2"/>
  <c r="BH156" i="2"/>
  <c r="EB156" i="2"/>
  <c r="EB157" i="2" s="1"/>
  <c r="AX156" i="2"/>
  <c r="CS156" i="2"/>
  <c r="CS157" i="2" s="1"/>
  <c r="DC156" i="2"/>
  <c r="DC157" i="2" s="1"/>
  <c r="BE156" i="2"/>
  <c r="AK156" i="2"/>
  <c r="CJ156" i="2"/>
  <c r="CJ157" i="2" s="1"/>
  <c r="AB156" i="2"/>
  <c r="DN156" i="2"/>
  <c r="DN157" i="2" s="1"/>
  <c r="CE156" i="2"/>
  <c r="CE157" i="2" s="1"/>
  <c r="ED156" i="2"/>
  <c r="ED157" i="2" s="1"/>
  <c r="BR156" i="2"/>
  <c r="AW156" i="2"/>
  <c r="EC156" i="2"/>
  <c r="EC157" i="2" s="1"/>
  <c r="AY156" i="2"/>
  <c r="EK156" i="2"/>
  <c r="EK157" i="2" s="1"/>
  <c r="CU156" i="2"/>
  <c r="CU157" i="2" s="1"/>
  <c r="CR156" i="2"/>
  <c r="CR157" i="2" s="1"/>
  <c r="BL156" i="2"/>
  <c r="AI156" i="2"/>
  <c r="DO156" i="2"/>
  <c r="DO157" i="2" s="1"/>
  <c r="CH156" i="2"/>
  <c r="CH157" i="2" s="1"/>
  <c r="EL156" i="2"/>
  <c r="EL157" i="2" s="1"/>
  <c r="X156" i="2"/>
  <c r="CV156" i="2"/>
  <c r="CV157" i="2" s="1"/>
  <c r="AF156" i="2"/>
  <c r="DV156" i="2"/>
  <c r="DV157" i="2" s="1"/>
  <c r="AJ156" i="2"/>
  <c r="CB156" i="2"/>
  <c r="CB157" i="2" s="1"/>
  <c r="BP156" i="2"/>
  <c r="CX156" i="2"/>
  <c r="CX157" i="2" s="1"/>
  <c r="M156" i="2"/>
  <c r="EN156" i="2"/>
  <c r="EN157" i="2" s="1"/>
  <c r="DX156" i="2"/>
  <c r="DX157" i="2" s="1"/>
  <c r="EJ156" i="2"/>
  <c r="EJ157" i="2" s="1"/>
  <c r="DG156" i="2"/>
  <c r="DG157" i="2" s="1"/>
  <c r="CC156" i="2"/>
  <c r="CC157" i="2" s="1"/>
  <c r="DE156" i="2"/>
  <c r="DE157" i="2" s="1"/>
  <c r="CP156" i="2"/>
  <c r="CP157" i="2" s="1"/>
  <c r="Q156" i="2"/>
  <c r="AV156" i="2"/>
  <c r="AT156" i="2"/>
  <c r="U156" i="2"/>
  <c r="DQ156" i="2"/>
  <c r="DQ157" i="2" s="1"/>
  <c r="BG156" i="2"/>
  <c r="EG156" i="2"/>
  <c r="EG157" i="2" s="1"/>
  <c r="Z156" i="2"/>
  <c r="AO156" i="2"/>
  <c r="CL156" i="2"/>
  <c r="CL157" i="2" s="1"/>
  <c r="DZ156" i="2"/>
  <c r="DZ157" i="2" s="1"/>
  <c r="DB156" i="2"/>
  <c r="DB157" i="2" s="1"/>
  <c r="AS156" i="2"/>
  <c r="BK156" i="2"/>
  <c r="CO156" i="2"/>
  <c r="CO157" i="2" s="1"/>
  <c r="AQ156" i="2"/>
  <c r="S156" i="2"/>
  <c r="W156" i="2"/>
  <c r="N156" i="2"/>
  <c r="DY156" i="2"/>
  <c r="DY157" i="2" s="1"/>
  <c r="EH156" i="2"/>
  <c r="EH157" i="2" s="1"/>
  <c r="BX156" i="2"/>
  <c r="BX157" i="2" s="1"/>
  <c r="DW156" i="2"/>
  <c r="DW157" i="2" s="1"/>
  <c r="CA156" i="2"/>
  <c r="CA157" i="2" s="1"/>
  <c r="CT156" i="2"/>
  <c r="CT157" i="2" s="1"/>
  <c r="AA156" i="2"/>
  <c r="CD156" i="2"/>
  <c r="CD157" i="2" s="1"/>
  <c r="DL156" i="2"/>
  <c r="DL157" i="2" s="1"/>
  <c r="BM156" i="2"/>
  <c r="AL156" i="2"/>
  <c r="EF156" i="2"/>
  <c r="EF157" i="2" s="1"/>
  <c r="CZ156" i="2"/>
  <c r="CZ157" i="2" s="1"/>
  <c r="DP156" i="2"/>
  <c r="DP157" i="2" s="1"/>
  <c r="BO156" i="2"/>
  <c r="BB156" i="2"/>
  <c r="AH156" i="2"/>
  <c r="CY156" i="2"/>
  <c r="CY157" i="2" s="1"/>
  <c r="BJ156" i="2"/>
  <c r="AU156" i="2"/>
  <c r="BT156" i="2"/>
  <c r="BQ156" i="2"/>
  <c r="AG156" i="2"/>
  <c r="DI156" i="2"/>
  <c r="DI157" i="2" s="1"/>
  <c r="CN156" i="2"/>
  <c r="CN157" i="2" s="1"/>
  <c r="DR156" i="2"/>
  <c r="DR157" i="2" s="1"/>
  <c r="Y156" i="2"/>
  <c r="AD156" i="2"/>
  <c r="BF156" i="2"/>
  <c r="DD156" i="2"/>
  <c r="DD157" i="2" s="1"/>
  <c r="DM156" i="2"/>
  <c r="DM157" i="2" s="1"/>
  <c r="AC156" i="2"/>
  <c r="BZ156" i="2"/>
  <c r="BZ157" i="2" s="1"/>
  <c r="CG156" i="2"/>
  <c r="CG157" i="2" s="1"/>
  <c r="AE156" i="2"/>
  <c r="P156" i="2"/>
  <c r="DK156" i="2"/>
  <c r="DK157" i="2" s="1"/>
  <c r="AM156" i="2"/>
  <c r="EM156" i="2"/>
  <c r="EM157" i="2" s="1"/>
  <c r="EE156" i="2"/>
  <c r="EE157" i="2" s="1"/>
  <c r="BD156" i="2"/>
  <c r="DS156" i="2"/>
  <c r="DS157" i="2" s="1"/>
  <c r="AN156" i="2"/>
  <c r="BY156" i="2"/>
  <c r="BY157" i="2" s="1"/>
  <c r="BW156" i="2"/>
  <c r="BW157" i="2" s="1"/>
  <c r="CF156" i="2"/>
  <c r="CF157" i="2" s="1"/>
  <c r="DU156" i="2"/>
  <c r="DU157" i="2" s="1"/>
  <c r="BI156" i="2"/>
  <c r="BA156" i="2"/>
  <c r="CK156" i="2"/>
  <c r="CK157" i="2" s="1"/>
  <c r="CQ156" i="2"/>
  <c r="CQ157" i="2" s="1"/>
  <c r="AZ156" i="2"/>
  <c r="EA156" i="2"/>
  <c r="EA157" i="2" s="1"/>
  <c r="M71" i="6"/>
  <c r="BP91" i="3"/>
  <c r="BK196" i="9"/>
  <c r="BK154" i="9"/>
  <c r="BK130" i="9"/>
  <c r="AZ131" i="9"/>
  <c r="BK146" i="9"/>
  <c r="AZ132" i="9"/>
  <c r="DA55" i="7"/>
  <c r="I200" i="2"/>
  <c r="EV56" i="2"/>
  <c r="BK147" i="9"/>
  <c r="AZ203" i="9"/>
  <c r="B31" i="11" l="1"/>
  <c r="E22" i="11"/>
  <c r="DN28" i="7"/>
  <c r="DN18" i="7"/>
  <c r="DN12" i="7"/>
  <c r="EV196" i="2"/>
  <c r="L229" i="2"/>
  <c r="L228" i="2"/>
  <c r="G94" i="3"/>
  <c r="G44" i="3" s="1"/>
  <c r="DN29" i="7"/>
  <c r="DN27" i="7"/>
  <c r="AS203" i="2"/>
  <c r="AS157" i="2"/>
  <c r="BD203" i="2"/>
  <c r="BD157" i="2"/>
  <c r="AD203" i="2"/>
  <c r="AD157" i="2"/>
  <c r="AF203" i="2"/>
  <c r="AF157" i="2"/>
  <c r="I207" i="2"/>
  <c r="I208" i="2" s="1"/>
  <c r="L208" i="2"/>
  <c r="X203" i="2"/>
  <c r="X157" i="2"/>
  <c r="BR203" i="2"/>
  <c r="BR157" i="2"/>
  <c r="BH203" i="2"/>
  <c r="BH157" i="2"/>
  <c r="K19" i="7"/>
  <c r="H19" i="7"/>
  <c r="BA203" i="2"/>
  <c r="BA157" i="2"/>
  <c r="Z203" i="2"/>
  <c r="Z157" i="2"/>
  <c r="BU203" i="2"/>
  <c r="BU157" i="2"/>
  <c r="K20" i="7"/>
  <c r="H20" i="7"/>
  <c r="AH203" i="2"/>
  <c r="AH157" i="2"/>
  <c r="AX203" i="2"/>
  <c r="AX157" i="2"/>
  <c r="AM203" i="2"/>
  <c r="AM157" i="2"/>
  <c r="AO203" i="2"/>
  <c r="AO157" i="2"/>
  <c r="BI203" i="2"/>
  <c r="BI157" i="2"/>
  <c r="P203" i="2"/>
  <c r="P157" i="2"/>
  <c r="N203" i="2"/>
  <c r="N157" i="2"/>
  <c r="T203" i="2"/>
  <c r="T157" i="2"/>
  <c r="K21" i="7"/>
  <c r="H21" i="7"/>
  <c r="AG203" i="2"/>
  <c r="AG157" i="2"/>
  <c r="BG203" i="2"/>
  <c r="BG157" i="2"/>
  <c r="K22" i="7"/>
  <c r="H22" i="7"/>
  <c r="BQ203" i="2"/>
  <c r="BQ157" i="2"/>
  <c r="BM203" i="2"/>
  <c r="BM157" i="2"/>
  <c r="S203" i="2"/>
  <c r="S157" i="2"/>
  <c r="M203" i="2"/>
  <c r="M157" i="2"/>
  <c r="AI203" i="2"/>
  <c r="AI157" i="2"/>
  <c r="AB203" i="2"/>
  <c r="AB157" i="2"/>
  <c r="BS203" i="2"/>
  <c r="BS157" i="2"/>
  <c r="BC203" i="2"/>
  <c r="BC157" i="2"/>
  <c r="G74" i="6"/>
  <c r="G73" i="6"/>
  <c r="BO203" i="2"/>
  <c r="BO157" i="2"/>
  <c r="AL203" i="2"/>
  <c r="AL157" i="2"/>
  <c r="V203" i="2"/>
  <c r="V157" i="2"/>
  <c r="Y203" i="2"/>
  <c r="Y157" i="2"/>
  <c r="AW203" i="2"/>
  <c r="AW157" i="2"/>
  <c r="BT203" i="2"/>
  <c r="BT157" i="2"/>
  <c r="BN203" i="2"/>
  <c r="BN157" i="2"/>
  <c r="BK108" i="9"/>
  <c r="BK109" i="9"/>
  <c r="C15" i="11"/>
  <c r="D18" i="11"/>
  <c r="D33" i="7"/>
  <c r="BF203" i="2"/>
  <c r="BF157" i="2"/>
  <c r="AY203" i="2"/>
  <c r="AY157" i="2"/>
  <c r="AZ203" i="2"/>
  <c r="AZ157" i="2"/>
  <c r="BB203" i="2"/>
  <c r="BB157" i="2"/>
  <c r="AE203" i="2"/>
  <c r="AE157" i="2"/>
  <c r="W203" i="2"/>
  <c r="W157" i="2"/>
  <c r="AR203" i="2"/>
  <c r="AR157" i="2"/>
  <c r="AQ203" i="2"/>
  <c r="AQ157" i="2"/>
  <c r="U203" i="2"/>
  <c r="U157" i="2"/>
  <c r="BL203" i="2"/>
  <c r="BL157" i="2"/>
  <c r="AC203" i="2"/>
  <c r="AC157" i="2"/>
  <c r="AU203" i="2"/>
  <c r="AU157" i="2"/>
  <c r="AT203" i="2"/>
  <c r="AT157" i="2"/>
  <c r="BP203" i="2"/>
  <c r="BP157" i="2"/>
  <c r="AK203" i="2"/>
  <c r="AK157" i="2"/>
  <c r="AP203" i="2"/>
  <c r="AP157" i="2"/>
  <c r="EV69" i="2"/>
  <c r="AN203" i="2"/>
  <c r="AN157" i="2"/>
  <c r="BJ203" i="2"/>
  <c r="BJ157" i="2"/>
  <c r="AA203" i="2"/>
  <c r="AA157" i="2"/>
  <c r="BK203" i="2"/>
  <c r="BK157" i="2"/>
  <c r="AV203" i="2"/>
  <c r="AV157" i="2"/>
  <c r="BE203" i="2"/>
  <c r="BE157" i="2"/>
  <c r="Q203" i="2"/>
  <c r="Q157" i="2"/>
  <c r="AJ203" i="2"/>
  <c r="AJ157" i="2"/>
  <c r="R203" i="2"/>
  <c r="R157" i="2"/>
  <c r="O203" i="2"/>
  <c r="O157" i="2"/>
  <c r="F157" i="2" l="1"/>
  <c r="E15" i="11"/>
  <c r="E18" i="11" s="1"/>
  <c r="C18" i="11"/>
  <c r="EV206" i="2"/>
  <c r="L230" i="2"/>
  <c r="L250" i="2"/>
  <c r="L249" i="2"/>
  <c r="DN19" i="7"/>
  <c r="G42" i="6"/>
  <c r="BK145" i="9"/>
  <c r="BK204" i="9" s="1"/>
  <c r="BK190" i="9"/>
  <c r="CW75" i="7"/>
  <c r="N20" i="7"/>
  <c r="EV200" i="2"/>
  <c r="EW56" i="2"/>
  <c r="B29" i="11" a="1"/>
  <c r="B29" i="11" s="1"/>
  <c r="AD65" i="7"/>
  <c r="GJ65" i="7"/>
  <c r="GJ66" i="7" s="1"/>
  <c r="AA65" i="7"/>
  <c r="AA66" i="7" s="1"/>
  <c r="X65" i="7"/>
  <c r="X66" i="7" s="1"/>
  <c r="G33" i="7"/>
  <c r="H137" i="8"/>
  <c r="D34" i="7"/>
  <c r="L39" i="8"/>
  <c r="M39" i="8" s="1"/>
  <c r="H136" i="8"/>
  <c r="L40" i="8"/>
  <c r="M40" i="8" s="1"/>
  <c r="AG65" i="7"/>
  <c r="AG66" i="7" s="1"/>
  <c r="CW76" i="7"/>
  <c r="N21" i="7"/>
  <c r="J65" i="8"/>
  <c r="L65" i="8" s="1"/>
  <c r="J67" i="8"/>
  <c r="L67" i="8" s="1"/>
  <c r="J68" i="8"/>
  <c r="L68" i="8" s="1"/>
  <c r="J69" i="8"/>
  <c r="L69" i="8" s="1"/>
  <c r="J64" i="8"/>
  <c r="L64" i="8" s="1"/>
  <c r="J66" i="8"/>
  <c r="L66" i="8" s="1"/>
  <c r="G44" i="6"/>
  <c r="G91" i="6" s="1"/>
  <c r="N19" i="7"/>
  <c r="EV201" i="2"/>
  <c r="N22" i="7"/>
  <c r="CW77" i="7"/>
  <c r="F13" i="11"/>
  <c r="H31" i="7" s="1"/>
  <c r="D63" i="7" s="1"/>
  <c r="F10" i="11"/>
  <c r="H28" i="7" s="1"/>
  <c r="B27" i="11"/>
  <c r="F14" i="11"/>
  <c r="H32" i="7" s="1"/>
  <c r="D64" i="7" s="1"/>
  <c r="F11" i="11"/>
  <c r="H29" i="7" s="1"/>
  <c r="D61" i="7" s="1"/>
  <c r="F8" i="11"/>
  <c r="F15" i="11"/>
  <c r="H33" i="7" s="1"/>
  <c r="D65" i="7" s="1"/>
  <c r="F9" i="11"/>
  <c r="H26" i="7" s="1"/>
  <c r="K26" i="7" s="1"/>
  <c r="F12" i="11"/>
  <c r="H30" i="7" s="1"/>
  <c r="D62" i="7" s="1"/>
  <c r="C39" i="7"/>
  <c r="C40" i="7" s="1"/>
  <c r="DN17" i="7"/>
  <c r="B30" i="11"/>
  <c r="G75" i="6"/>
  <c r="G78" i="6" s="1"/>
  <c r="G81" i="6" s="1"/>
  <c r="I203" i="2"/>
  <c r="K33" i="7" l="1"/>
  <c r="I65" i="7" s="1"/>
  <c r="GL65" i="7" s="1"/>
  <c r="J26" i="7"/>
  <c r="L26" i="7" s="1"/>
  <c r="K32" i="7"/>
  <c r="I64" i="7" s="1"/>
  <c r="GL64" i="7" s="1"/>
  <c r="N64" i="7" s="1"/>
  <c r="I29" i="7"/>
  <c r="G61" i="7" s="1"/>
  <c r="AC61" i="7" s="1"/>
  <c r="L61" i="7" s="1"/>
  <c r="K30" i="7"/>
  <c r="I62" i="7" s="1"/>
  <c r="GL62" i="7" s="1"/>
  <c r="J33" i="7"/>
  <c r="L33" i="7" s="1"/>
  <c r="I26" i="7"/>
  <c r="G58" i="7" s="1"/>
  <c r="I58" i="7"/>
  <c r="I30" i="7"/>
  <c r="G62" i="7" s="1"/>
  <c r="L251" i="2"/>
  <c r="G45" i="6"/>
  <c r="G89" i="6"/>
  <c r="G92" i="6" s="1"/>
  <c r="J31" i="7"/>
  <c r="EV240" i="2"/>
  <c r="D60" i="7"/>
  <c r="L41" i="8"/>
  <c r="M41" i="8" s="1"/>
  <c r="L42" i="8"/>
  <c r="EV216" i="2"/>
  <c r="EV207" i="2"/>
  <c r="EV209" i="2" s="1"/>
  <c r="J28" i="7"/>
  <c r="I28" i="7"/>
  <c r="G60" i="7" s="1"/>
  <c r="I31" i="7"/>
  <c r="G63" i="7" s="1"/>
  <c r="BK191" i="9"/>
  <c r="BK192" i="9" s="1"/>
  <c r="BL189" i="9" s="1"/>
  <c r="CT69" i="7"/>
  <c r="E65" i="7"/>
  <c r="CU69" i="7" s="1"/>
  <c r="F65" i="7"/>
  <c r="CW69" i="7" s="1"/>
  <c r="I33" i="7"/>
  <c r="G65" i="7" s="1"/>
  <c r="K31" i="7"/>
  <c r="I63" i="7" s="1"/>
  <c r="H80" i="6"/>
  <c r="G33" i="6"/>
  <c r="G35" i="6" s="1"/>
  <c r="E62" i="7"/>
  <c r="CU66" i="7" s="1"/>
  <c r="CT66" i="7"/>
  <c r="F62" i="7"/>
  <c r="CW66" i="7" s="1"/>
  <c r="AD66" i="7"/>
  <c r="F18" i="11"/>
  <c r="H27" i="7"/>
  <c r="H34" i="7" s="1"/>
  <c r="C41" i="7" s="1"/>
  <c r="C42" i="7" s="1"/>
  <c r="J30" i="7"/>
  <c r="J54" i="8"/>
  <c r="J53" i="8"/>
  <c r="N40" i="8"/>
  <c r="EW69" i="2"/>
  <c r="CT65" i="7"/>
  <c r="E61" i="7"/>
  <c r="CU65" i="7" s="1"/>
  <c r="F61" i="7"/>
  <c r="CW65" i="7" s="1"/>
  <c r="E63" i="7"/>
  <c r="CU67" i="7" s="1"/>
  <c r="CT67" i="7"/>
  <c r="F63" i="7"/>
  <c r="CW67" i="7" s="1"/>
  <c r="C65" i="7"/>
  <c r="H138" i="8"/>
  <c r="G34" i="7"/>
  <c r="J52" i="8"/>
  <c r="N39" i="8"/>
  <c r="EV203" i="2"/>
  <c r="EV202" i="2"/>
  <c r="EW198" i="2" s="1"/>
  <c r="D58" i="7"/>
  <c r="E64" i="7"/>
  <c r="CU68" i="7" s="1"/>
  <c r="CT68" i="7"/>
  <c r="F64" i="7"/>
  <c r="CW68" i="7" s="1"/>
  <c r="K28" i="7"/>
  <c r="I60" i="7" s="1"/>
  <c r="J29" i="7"/>
  <c r="K29" i="7"/>
  <c r="I61" i="7" s="1"/>
  <c r="J32" i="7"/>
  <c r="I32" i="7"/>
  <c r="G64" i="7" s="1"/>
  <c r="H58" i="7" l="1"/>
  <c r="CX62" i="7" s="1"/>
  <c r="Z61" i="7"/>
  <c r="H65" i="7"/>
  <c r="AF65" i="7" s="1"/>
  <c r="DB69" i="7" s="1"/>
  <c r="N62" i="7"/>
  <c r="BK193" i="9"/>
  <c r="BK141" i="9" s="1"/>
  <c r="BK144" i="9" s="1"/>
  <c r="BK157" i="9" s="1"/>
  <c r="M33" i="7"/>
  <c r="M26" i="7"/>
  <c r="G82" i="6"/>
  <c r="G54" i="6" s="1"/>
  <c r="EV208" i="2"/>
  <c r="EW204" i="2" s="1"/>
  <c r="EW205" i="2" s="1"/>
  <c r="M32" i="7"/>
  <c r="L32" i="7"/>
  <c r="H64" i="7"/>
  <c r="B28" i="11"/>
  <c r="C164" i="10"/>
  <c r="CR113" i="7"/>
  <c r="C108" i="7" s="1"/>
  <c r="L31" i="7"/>
  <c r="H63" i="7"/>
  <c r="M31" i="7"/>
  <c r="EX56" i="2"/>
  <c r="H88" i="6"/>
  <c r="GL61" i="7"/>
  <c r="N61" i="7" s="1"/>
  <c r="H61" i="7"/>
  <c r="M29" i="7"/>
  <c r="L29" i="7"/>
  <c r="GL60" i="7"/>
  <c r="N60" i="7" s="1"/>
  <c r="G18" i="8"/>
  <c r="AC65" i="7"/>
  <c r="L65" i="7" s="1"/>
  <c r="Z65" i="7"/>
  <c r="L28" i="7"/>
  <c r="H60" i="7"/>
  <c r="M28" i="7"/>
  <c r="Z73" i="7"/>
  <c r="CS106" i="7" s="1"/>
  <c r="Z69" i="7"/>
  <c r="CS102" i="7" s="1"/>
  <c r="K94" i="7" s="1"/>
  <c r="Z71" i="7"/>
  <c r="CS104" i="7" s="1"/>
  <c r="L94" i="7" s="1"/>
  <c r="Z70" i="7"/>
  <c r="CS103" i="7" s="1"/>
  <c r="Z72" i="7"/>
  <c r="CS105" i="7" s="1"/>
  <c r="EV211" i="2"/>
  <c r="G93" i="6"/>
  <c r="G94" i="6" s="1"/>
  <c r="G46" i="6"/>
  <c r="G50" i="6" s="1"/>
  <c r="CT62" i="7"/>
  <c r="E58" i="7"/>
  <c r="CU62" i="7" s="1"/>
  <c r="F58" i="7"/>
  <c r="CW62" i="7" s="1"/>
  <c r="J135" i="8"/>
  <c r="A208" i="8"/>
  <c r="M22" i="7"/>
  <c r="M20" i="7"/>
  <c r="M19" i="7"/>
  <c r="M21" i="7"/>
  <c r="D59" i="7"/>
  <c r="J27" i="7"/>
  <c r="I27" i="7"/>
  <c r="K27" i="7"/>
  <c r="EW199" i="2"/>
  <c r="M30" i="7"/>
  <c r="L30" i="7"/>
  <c r="H62" i="7"/>
  <c r="P65" i="7"/>
  <c r="DD69" i="7" s="1"/>
  <c r="N65" i="7"/>
  <c r="CR69" i="7"/>
  <c r="J55" i="8"/>
  <c r="N41" i="8"/>
  <c r="AC58" i="7"/>
  <c r="L58" i="7" s="1"/>
  <c r="Z58" i="7"/>
  <c r="AC63" i="7"/>
  <c r="L63" i="7" s="1"/>
  <c r="Z63" i="7"/>
  <c r="AC60" i="7"/>
  <c r="L60" i="7" s="1"/>
  <c r="Z60" i="7"/>
  <c r="G17" i="8"/>
  <c r="G51" i="6"/>
  <c r="Z64" i="7"/>
  <c r="AC64" i="7"/>
  <c r="L64" i="7" s="1"/>
  <c r="GL63" i="7"/>
  <c r="N63" i="7" s="1"/>
  <c r="E60" i="7"/>
  <c r="CU64" i="7" s="1"/>
  <c r="CT64" i="7"/>
  <c r="F60" i="7"/>
  <c r="CW64" i="7" s="1"/>
  <c r="CW72" i="7" s="1"/>
  <c r="Z62" i="7"/>
  <c r="AC62" i="7"/>
  <c r="L62" i="7" s="1"/>
  <c r="GL58" i="7"/>
  <c r="N58" i="7" s="1"/>
  <c r="P58" i="7" l="1"/>
  <c r="DD62" i="7" s="1"/>
  <c r="J9" i="11"/>
  <c r="K9" i="11" s="1"/>
  <c r="CO65" i="7"/>
  <c r="AF58" i="7"/>
  <c r="M58" i="7" s="1"/>
  <c r="N26" i="7" s="1"/>
  <c r="J58" i="7"/>
  <c r="CO58" i="7"/>
  <c r="J65" i="7"/>
  <c r="K58" i="7"/>
  <c r="K65" i="7"/>
  <c r="CX69" i="7"/>
  <c r="DC69" i="7" s="1"/>
  <c r="J15" i="11"/>
  <c r="L15" i="11" s="1"/>
  <c r="BK126" i="9"/>
  <c r="BK103" i="9" s="1"/>
  <c r="BK105" i="9" s="1"/>
  <c r="BK106" i="9" s="1"/>
  <c r="BK107" i="9" s="1"/>
  <c r="BK148" i="9" s="1"/>
  <c r="G55" i="6"/>
  <c r="K62" i="7"/>
  <c r="AF62" i="7"/>
  <c r="M62" i="7" s="1"/>
  <c r="J62" i="7"/>
  <c r="CX66" i="7"/>
  <c r="J12" i="11"/>
  <c r="P62" i="7"/>
  <c r="DD66" i="7" s="1"/>
  <c r="CO62" i="7"/>
  <c r="L233" i="2"/>
  <c r="EV212" i="2"/>
  <c r="EV217" i="2" s="1"/>
  <c r="CZ77" i="7"/>
  <c r="L18" i="8"/>
  <c r="EX69" i="2"/>
  <c r="I59" i="7"/>
  <c r="K34" i="7"/>
  <c r="CY62" i="7"/>
  <c r="CZ62" i="7"/>
  <c r="DC62" i="7"/>
  <c r="I18" i="8"/>
  <c r="K18" i="8"/>
  <c r="CR70" i="7"/>
  <c r="M94" i="7"/>
  <c r="G59" i="7"/>
  <c r="I34" i="7"/>
  <c r="AF64" i="7"/>
  <c r="K64" i="7"/>
  <c r="J64" i="7"/>
  <c r="J14" i="11"/>
  <c r="CX68" i="7"/>
  <c r="P64" i="7"/>
  <c r="DD68" i="7" s="1"/>
  <c r="CO64" i="7"/>
  <c r="J63" i="7"/>
  <c r="AF63" i="7"/>
  <c r="M63" i="7" s="1"/>
  <c r="K63" i="7"/>
  <c r="CX67" i="7"/>
  <c r="J13" i="11"/>
  <c r="P63" i="7"/>
  <c r="DD67" i="7" s="1"/>
  <c r="CO63" i="7"/>
  <c r="E59" i="7"/>
  <c r="CU63" i="7" s="1"/>
  <c r="CU70" i="7" s="1"/>
  <c r="CT63" i="7"/>
  <c r="CT70" i="7" s="1"/>
  <c r="F59" i="7"/>
  <c r="CW63" i="7" s="1"/>
  <c r="CW70" i="7" s="1"/>
  <c r="G52" i="6"/>
  <c r="G53" i="6" s="1"/>
  <c r="CU72" i="7"/>
  <c r="L43" i="8"/>
  <c r="L44" i="8" s="1"/>
  <c r="M65" i="7"/>
  <c r="J61" i="7"/>
  <c r="K61" i="7"/>
  <c r="AF61" i="7"/>
  <c r="M61" i="7" s="1"/>
  <c r="CX65" i="7"/>
  <c r="J11" i="11"/>
  <c r="P61" i="7"/>
  <c r="DD65" i="7" s="1"/>
  <c r="CO61" i="7"/>
  <c r="I17" i="8"/>
  <c r="K17" i="8"/>
  <c r="O65" i="7"/>
  <c r="H59" i="7"/>
  <c r="L27" i="7"/>
  <c r="M27" i="7"/>
  <c r="J34" i="7"/>
  <c r="AF60" i="7"/>
  <c r="M60" i="7" s="1"/>
  <c r="J60" i="7"/>
  <c r="K60" i="7"/>
  <c r="CX64" i="7"/>
  <c r="P60" i="7"/>
  <c r="DD64" i="7" s="1"/>
  <c r="DD72" i="7" s="1"/>
  <c r="J10" i="11"/>
  <c r="G16" i="8"/>
  <c r="CO60" i="7"/>
  <c r="CZ75" i="7"/>
  <c r="L17" i="8"/>
  <c r="CT72" i="7"/>
  <c r="D9" i="8"/>
  <c r="L9" i="11" l="1"/>
  <c r="O58" i="7"/>
  <c r="DB62" i="7"/>
  <c r="DA62" i="7"/>
  <c r="M9" i="11"/>
  <c r="K15" i="11"/>
  <c r="CY69" i="7"/>
  <c r="CZ69" i="7"/>
  <c r="BK128" i="9"/>
  <c r="BL116" i="9" s="1"/>
  <c r="BK149" i="9"/>
  <c r="BK205" i="9" s="1"/>
  <c r="N31" i="7"/>
  <c r="DA67" i="7"/>
  <c r="M13" i="11"/>
  <c r="N28" i="7"/>
  <c r="M10" i="11"/>
  <c r="DA64" i="7"/>
  <c r="CZ76" i="7"/>
  <c r="L16" i="8"/>
  <c r="C387" i="10" s="1"/>
  <c r="E387" i="10" s="1"/>
  <c r="N29" i="7"/>
  <c r="M11" i="11"/>
  <c r="DA65" i="7"/>
  <c r="EY56" i="2"/>
  <c r="EY69" i="2" s="1"/>
  <c r="K11" i="11"/>
  <c r="L11" i="11"/>
  <c r="I16" i="8"/>
  <c r="G9" i="8"/>
  <c r="K16" i="8"/>
  <c r="K10" i="11"/>
  <c r="L10" i="11"/>
  <c r="CY68" i="7"/>
  <c r="DC68" i="7"/>
  <c r="CZ68" i="7"/>
  <c r="K14" i="11"/>
  <c r="L14" i="11"/>
  <c r="K12" i="11"/>
  <c r="L12" i="11"/>
  <c r="K59" i="7"/>
  <c r="J59" i="7"/>
  <c r="AF59" i="7"/>
  <c r="M59" i="7" s="1"/>
  <c r="CX63" i="7"/>
  <c r="J8" i="11"/>
  <c r="P59" i="7"/>
  <c r="DD63" i="7" s="1"/>
  <c r="CO59" i="7"/>
  <c r="CO66" i="7" s="1"/>
  <c r="CY66" i="7"/>
  <c r="CZ66" i="7"/>
  <c r="DC66" i="7"/>
  <c r="CY64" i="7"/>
  <c r="DC64" i="7"/>
  <c r="CZ64" i="7"/>
  <c r="CZ72" i="7" s="1"/>
  <c r="CX72" i="7"/>
  <c r="J9" i="8"/>
  <c r="K13" i="11"/>
  <c r="L13" i="11"/>
  <c r="AC59" i="7"/>
  <c r="AC66" i="7" s="1"/>
  <c r="Z59" i="7"/>
  <c r="Z66" i="7" s="1"/>
  <c r="O63" i="7"/>
  <c r="DB67" i="7"/>
  <c r="CY67" i="7"/>
  <c r="DC67" i="7"/>
  <c r="CZ67" i="7"/>
  <c r="DB68" i="7"/>
  <c r="O64" i="7"/>
  <c r="O62" i="7"/>
  <c r="DB66" i="7"/>
  <c r="GL59" i="7"/>
  <c r="GL66" i="7" s="1"/>
  <c r="EV220" i="2"/>
  <c r="EV219" i="2"/>
  <c r="EV226" i="2"/>
  <c r="EV218" i="2"/>
  <c r="EW214" i="2" s="1"/>
  <c r="CY65" i="7"/>
  <c r="CZ65" i="7"/>
  <c r="DC65" i="7"/>
  <c r="BK110" i="9"/>
  <c r="BK113" i="9" s="1"/>
  <c r="L34" i="7"/>
  <c r="M34" i="7"/>
  <c r="O61" i="7"/>
  <c r="DB65" i="7"/>
  <c r="M64" i="7"/>
  <c r="O60" i="7"/>
  <c r="DB64" i="7"/>
  <c r="DB72" i="7" s="1"/>
  <c r="N33" i="7"/>
  <c r="DA69" i="7"/>
  <c r="M15" i="11"/>
  <c r="N30" i="7"/>
  <c r="DA66" i="7"/>
  <c r="M12" i="11"/>
  <c r="BK135" i="9" l="1"/>
  <c r="BK151" i="9"/>
  <c r="BK136" i="9"/>
  <c r="N59" i="7"/>
  <c r="L59" i="7"/>
  <c r="EZ56" i="2"/>
  <c r="N27" i="7"/>
  <c r="DA63" i="7"/>
  <c r="M8" i="11"/>
  <c r="C385" i="10"/>
  <c r="E385" i="10" s="1"/>
  <c r="E128" i="8"/>
  <c r="G128" i="8" s="1"/>
  <c r="E127" i="8"/>
  <c r="CY63" i="7"/>
  <c r="DC63" i="7"/>
  <c r="CZ63" i="7"/>
  <c r="CX70" i="7"/>
  <c r="M9" i="8"/>
  <c r="C386" i="10" s="1"/>
  <c r="E386" i="10" s="1"/>
  <c r="DC72" i="7"/>
  <c r="O59" i="7"/>
  <c r="DB63" i="7"/>
  <c r="AF66" i="7"/>
  <c r="DA72" i="7"/>
  <c r="M10" i="8"/>
  <c r="J10" i="8"/>
  <c r="CY72" i="7"/>
  <c r="N32" i="7"/>
  <c r="DA68" i="7"/>
  <c r="M14" i="11"/>
  <c r="EV222" i="2"/>
  <c r="BL101" i="9"/>
  <c r="BK112" i="9"/>
  <c r="BK111" i="9"/>
  <c r="BK202" i="9"/>
  <c r="BK133" i="9"/>
  <c r="BK198" i="9" s="1"/>
  <c r="BK134" i="9"/>
  <c r="BK199" i="9" s="1"/>
  <c r="BL123" i="9"/>
  <c r="BL124" i="9"/>
  <c r="EW215" i="2"/>
  <c r="J18" i="11"/>
  <c r="K8" i="11"/>
  <c r="K18" i="11" s="1"/>
  <c r="L8" i="11"/>
  <c r="BK200" i="9" l="1"/>
  <c r="BK201" i="9" s="1"/>
  <c r="BK153" i="9"/>
  <c r="BK155" i="9" s="1"/>
  <c r="CR124" i="7"/>
  <c r="C117" i="7" s="1"/>
  <c r="BL108" i="9"/>
  <c r="BL109" i="9"/>
  <c r="C450" i="10"/>
  <c r="BL196" i="9"/>
  <c r="BL154" i="9"/>
  <c r="BL130" i="9"/>
  <c r="BL146" i="9"/>
  <c r="BA132" i="9"/>
  <c r="BA131" i="9"/>
  <c r="L234" i="2"/>
  <c r="EV223" i="2"/>
  <c r="CR114" i="7"/>
  <c r="C109" i="7" s="1"/>
  <c r="CY70" i="7"/>
  <c r="DC70" i="7"/>
  <c r="CZ70" i="7"/>
  <c r="BL147" i="9"/>
  <c r="BA203" i="9"/>
  <c r="G126" i="8"/>
  <c r="G125" i="8"/>
  <c r="E124" i="8"/>
  <c r="G124" i="8" s="1"/>
  <c r="N34" i="7"/>
  <c r="DB70" i="7"/>
  <c r="DA70" i="7"/>
  <c r="EZ69" i="2"/>
  <c r="G127" i="8" l="1"/>
  <c r="EV227" i="2"/>
  <c r="BL145" i="9"/>
  <c r="BL204" i="9" s="1"/>
  <c r="BL190" i="9"/>
  <c r="FA56" i="2"/>
  <c r="FA69" i="2" s="1"/>
  <c r="FB56" i="2" l="1"/>
  <c r="BL191" i="9"/>
  <c r="BL193" i="9" s="1"/>
  <c r="BL141" i="9" s="1"/>
  <c r="BL144" i="9" s="1"/>
  <c r="EV230" i="2"/>
  <c r="EV228" i="2"/>
  <c r="EW224" i="2" s="1"/>
  <c r="EV229" i="2"/>
  <c r="BL192" i="9" l="1"/>
  <c r="BM189" i="9" s="1"/>
  <c r="BL157" i="9"/>
  <c r="BL126" i="9"/>
  <c r="BL103" i="9" s="1"/>
  <c r="BL105" i="9" s="1"/>
  <c r="BL106" i="9" s="1"/>
  <c r="EW225" i="2"/>
  <c r="EV231" i="2"/>
  <c r="FB69" i="2"/>
  <c r="BL107" i="9" l="1"/>
  <c r="BL148" i="9" s="1"/>
  <c r="BL149" i="9"/>
  <c r="BL128" i="9"/>
  <c r="BL136" i="9" s="1"/>
  <c r="FC56" i="2"/>
  <c r="L235" i="2"/>
  <c r="EV232" i="2"/>
  <c r="BL205" i="9" l="1"/>
  <c r="BM116" i="9"/>
  <c r="BL135" i="9"/>
  <c r="EV233" i="2"/>
  <c r="EV234" i="2"/>
  <c r="L239" i="2" s="1"/>
  <c r="BL110" i="9"/>
  <c r="BL151" i="9"/>
  <c r="FC69" i="2"/>
  <c r="L244" i="2" l="1"/>
  <c r="BL153" i="9"/>
  <c r="BL200" i="9"/>
  <c r="BL201" i="9" s="1"/>
  <c r="BM101" i="9"/>
  <c r="BL112" i="9"/>
  <c r="BL111" i="9"/>
  <c r="BL134" i="9"/>
  <c r="BL199" i="9" s="1"/>
  <c r="BL133" i="9"/>
  <c r="BL198" i="9" s="1"/>
  <c r="BL202" i="9"/>
  <c r="EV235" i="2"/>
  <c r="L236" i="2" s="1"/>
  <c r="L240" i="2"/>
  <c r="L241" i="2" s="1"/>
  <c r="BM123" i="9"/>
  <c r="BM124" i="9"/>
  <c r="FD56" i="2"/>
  <c r="BL113" i="9"/>
  <c r="FD69" i="2" l="1"/>
  <c r="BM108" i="9"/>
  <c r="BM109" i="9"/>
  <c r="BM147" i="9"/>
  <c r="BB203" i="9"/>
  <c r="DN13" i="7"/>
  <c r="EV236" i="2"/>
  <c r="BM196" i="9"/>
  <c r="BM154" i="9"/>
  <c r="BM130" i="9"/>
  <c r="BM146" i="9"/>
  <c r="BB132" i="9"/>
  <c r="BB131" i="9"/>
  <c r="L245" i="2"/>
  <c r="L246" i="2" s="1"/>
  <c r="BL155" i="9"/>
  <c r="BM145" i="9" l="1"/>
  <c r="BM204" i="9" s="1"/>
  <c r="BM190" i="9"/>
  <c r="DN14" i="7"/>
  <c r="DN35" i="7"/>
  <c r="DN34" i="7"/>
  <c r="DN37" i="7"/>
  <c r="DN36" i="7"/>
  <c r="DN38" i="7"/>
  <c r="DN31" i="7"/>
  <c r="DN32" i="7"/>
  <c r="DN30" i="7"/>
  <c r="EV241" i="2"/>
  <c r="DN20" i="7"/>
  <c r="FE56" i="2"/>
  <c r="DN21" i="7" l="1"/>
  <c r="DN15" i="7"/>
  <c r="EV249" i="2"/>
  <c r="EV244" i="2"/>
  <c r="EV243" i="2"/>
  <c r="EV242" i="2"/>
  <c r="EW238" i="2" s="1"/>
  <c r="BM191" i="9"/>
  <c r="BM193" i="9" s="1"/>
  <c r="BM141" i="9" s="1"/>
  <c r="BM144" i="9" s="1"/>
  <c r="FE69" i="2"/>
  <c r="BM192" i="9" l="1"/>
  <c r="BN189" i="9" s="1"/>
  <c r="BM157" i="9"/>
  <c r="BM126" i="9"/>
  <c r="EV245" i="2"/>
  <c r="FF56" i="2"/>
  <c r="EW239" i="2"/>
  <c r="L254" i="2" l="1"/>
  <c r="EV246" i="2"/>
  <c r="EV250" i="2" s="1"/>
  <c r="BM149" i="9"/>
  <c r="BM128" i="9"/>
  <c r="BM103" i="9"/>
  <c r="BM105" i="9" s="1"/>
  <c r="BM106" i="9" s="1"/>
  <c r="FF69" i="2"/>
  <c r="BM107" i="9" l="1"/>
  <c r="BM148" i="9" s="1"/>
  <c r="BM205" i="9" s="1"/>
  <c r="BN116" i="9"/>
  <c r="BM135" i="9"/>
  <c r="EV253" i="2"/>
  <c r="EV258" i="2"/>
  <c r="EV251" i="2"/>
  <c r="EW247" i="2" s="1"/>
  <c r="EV252" i="2"/>
  <c r="FG56" i="2"/>
  <c r="BM136" i="9"/>
  <c r="BN123" i="9" l="1"/>
  <c r="BN124" i="9"/>
  <c r="EV254" i="2"/>
  <c r="BM151" i="9"/>
  <c r="BM200" i="9" s="1"/>
  <c r="BM201" i="9" s="1"/>
  <c r="FG69" i="2"/>
  <c r="BM110" i="9"/>
  <c r="EW248" i="2"/>
  <c r="BM153" i="9" l="1"/>
  <c r="BM155" i="9" s="1"/>
  <c r="BN101" i="9"/>
  <c r="BM112" i="9"/>
  <c r="BM111" i="9"/>
  <c r="BM133" i="9"/>
  <c r="BM198" i="9" s="1"/>
  <c r="BM202" i="9"/>
  <c r="BM134" i="9"/>
  <c r="BM199" i="9" s="1"/>
  <c r="BN147" i="9"/>
  <c r="BC203" i="9"/>
  <c r="L255" i="2"/>
  <c r="EV255" i="2"/>
  <c r="FH56" i="2"/>
  <c r="FH69" i="2" s="1"/>
  <c r="BN196" i="9"/>
  <c r="BN154" i="9"/>
  <c r="BN130" i="9"/>
  <c r="BN146" i="9"/>
  <c r="BM113" i="9"/>
  <c r="FI56" i="2" l="1"/>
  <c r="BN108" i="9"/>
  <c r="BN109" i="9"/>
  <c r="EV259" i="2"/>
  <c r="BN145" i="9" l="1"/>
  <c r="BN204" i="9" s="1"/>
  <c r="BN190" i="9"/>
  <c r="EV262" i="2"/>
  <c r="EV261" i="2"/>
  <c r="EV260" i="2"/>
  <c r="EW256" i="2" s="1"/>
  <c r="FI69" i="2"/>
  <c r="FJ56" i="2" l="1"/>
  <c r="EV263" i="2"/>
  <c r="EW257" i="2"/>
  <c r="BN191" i="9"/>
  <c r="BN192" i="9" s="1"/>
  <c r="BO189" i="9" s="1"/>
  <c r="BN193" i="9" l="1"/>
  <c r="BN141" i="9" s="1"/>
  <c r="BN144" i="9" s="1"/>
  <c r="L256" i="2"/>
  <c r="EV264" i="2"/>
  <c r="FJ69" i="2"/>
  <c r="FK56" i="2" l="1"/>
  <c r="EV266" i="2"/>
  <c r="L260" i="2" s="1"/>
  <c r="EV265" i="2"/>
  <c r="BN157" i="9"/>
  <c r="BC132" i="9"/>
  <c r="BC197" i="9" s="1"/>
  <c r="BN126" i="9"/>
  <c r="BC131" i="9"/>
  <c r="EV267" i="2" l="1"/>
  <c r="L257" i="2" s="1"/>
  <c r="L261" i="2"/>
  <c r="L262" i="2" s="1"/>
  <c r="BN149" i="9"/>
  <c r="BN128" i="9"/>
  <c r="BN136" i="9" s="1"/>
  <c r="BN103" i="9"/>
  <c r="BN105" i="9" s="1"/>
  <c r="BN106" i="9" s="1"/>
  <c r="L265" i="2"/>
  <c r="FK69" i="2"/>
  <c r="BN107" i="9" l="1"/>
  <c r="BN148" i="9" s="1"/>
  <c r="BN205" i="9" s="1"/>
  <c r="FL56" i="2"/>
  <c r="FL69" i="2" s="1"/>
  <c r="BO116" i="9"/>
  <c r="BN135" i="9"/>
  <c r="L266" i="2"/>
  <c r="L267" i="2" s="1"/>
  <c r="FM56" i="2" l="1"/>
  <c r="BO123" i="9"/>
  <c r="BO124" i="9"/>
  <c r="BN151" i="9"/>
  <c r="BN200" i="9" s="1"/>
  <c r="BN201" i="9" s="1"/>
  <c r="BN110" i="9"/>
  <c r="BO147" i="9" l="1"/>
  <c r="BD203" i="9"/>
  <c r="BO125" i="9"/>
  <c r="BO128" i="9" s="1"/>
  <c r="BO136" i="9" s="1"/>
  <c r="BO196" i="9"/>
  <c r="BO154" i="9"/>
  <c r="BO130" i="9"/>
  <c r="BO146" i="9"/>
  <c r="BO101" i="9"/>
  <c r="BN112" i="9"/>
  <c r="BN111" i="9"/>
  <c r="F173" i="8"/>
  <c r="G173" i="8" s="1"/>
  <c r="BN134" i="9"/>
  <c r="BN199" i="9" s="1"/>
  <c r="L38" i="6"/>
  <c r="L39" i="6" s="1"/>
  <c r="E173" i="8"/>
  <c r="BN202" i="9"/>
  <c r="BN133" i="9"/>
  <c r="BN198" i="9" s="1"/>
  <c r="BN153" i="9"/>
  <c r="BN155" i="9" s="1"/>
  <c r="BN113" i="9"/>
  <c r="FM69" i="2"/>
  <c r="E155" i="8" l="1"/>
  <c r="CR47" i="7"/>
  <c r="H43" i="8"/>
  <c r="J43" i="8" s="1"/>
  <c r="M43" i="8" s="1"/>
  <c r="H42" i="8"/>
  <c r="J42" i="8" s="1"/>
  <c r="M42" i="8" s="1"/>
  <c r="FN56" i="2"/>
  <c r="FN69" i="2" s="1"/>
  <c r="BP116" i="9"/>
  <c r="BO135" i="9"/>
  <c r="E174" i="8"/>
  <c r="F174" i="8"/>
  <c r="G174" i="8" s="1"/>
  <c r="BO108" i="9"/>
  <c r="BO109" i="9"/>
  <c r="FO56" i="2" l="1"/>
  <c r="BP123" i="9"/>
  <c r="BP124" i="9"/>
  <c r="J56" i="8"/>
  <c r="N42" i="8"/>
  <c r="J57" i="8"/>
  <c r="N43" i="8"/>
  <c r="BO145" i="9"/>
  <c r="BO204" i="9" s="1"/>
  <c r="BO190" i="9"/>
  <c r="K84" i="7"/>
  <c r="BP197" i="9" l="1"/>
  <c r="BP196" i="9"/>
  <c r="BP154" i="9"/>
  <c r="BP130" i="9"/>
  <c r="BP146" i="9"/>
  <c r="BP147" i="9"/>
  <c r="BE203" i="9"/>
  <c r="BO191" i="9"/>
  <c r="BO192" i="9" s="1"/>
  <c r="BP189" i="9" s="1"/>
  <c r="FO69" i="2"/>
  <c r="BO193" i="9" l="1"/>
  <c r="BO141" i="9" s="1"/>
  <c r="BO144" i="9" s="1"/>
  <c r="BO157" i="9" s="1"/>
  <c r="FP56" i="2"/>
  <c r="FP69" i="2" s="1"/>
  <c r="BO103" i="9" l="1"/>
  <c r="BO105" i="9" s="1"/>
  <c r="BO106" i="9" s="1"/>
  <c r="BO107" i="9" s="1"/>
  <c r="BO148" i="9" s="1"/>
  <c r="BO205" i="9" s="1"/>
  <c r="BD132" i="9"/>
  <c r="BD197" i="9" s="1"/>
  <c r="BD131" i="9"/>
  <c r="FQ56" i="2"/>
  <c r="BO110" i="9" l="1"/>
  <c r="BO151" i="9"/>
  <c r="BO153" i="9" s="1"/>
  <c r="FQ69" i="2"/>
  <c r="FR56" i="2" l="1"/>
  <c r="FR69" i="2" s="1"/>
  <c r="BO155" i="9"/>
  <c r="BP101" i="9"/>
  <c r="BO112" i="9"/>
  <c r="BO111" i="9"/>
  <c r="BO202" i="9"/>
  <c r="BO134" i="9"/>
  <c r="BO199" i="9" s="1"/>
  <c r="BO133" i="9"/>
  <c r="BO198" i="9" s="1"/>
  <c r="BO113" i="9"/>
  <c r="BO200" i="9"/>
  <c r="BO201" i="9" s="1"/>
  <c r="FS56" i="2" l="1"/>
  <c r="BP108" i="9"/>
  <c r="BP109" i="9"/>
  <c r="BP145" i="9" l="1"/>
  <c r="BP204" i="9" s="1"/>
  <c r="BP190" i="9"/>
  <c r="FS69" i="2"/>
  <c r="FT56" i="2" l="1"/>
  <c r="BP191" i="9"/>
  <c r="BP193" i="9" s="1"/>
  <c r="BP141" i="9" s="1"/>
  <c r="BP144" i="9" s="1"/>
  <c r="BP157" i="9" l="1"/>
  <c r="BP126" i="9"/>
  <c r="BP103" i="9" s="1"/>
  <c r="BE132" i="9"/>
  <c r="BE197" i="9" s="1"/>
  <c r="BE131" i="9"/>
  <c r="BP192" i="9"/>
  <c r="BQ189" i="9" s="1"/>
  <c r="FT69" i="2"/>
  <c r="BP107" i="9" l="1"/>
  <c r="BP148" i="9" s="1"/>
  <c r="BP149" i="9"/>
  <c r="BP128" i="9"/>
  <c r="FU56" i="2"/>
  <c r="FU69" i="2" s="1"/>
  <c r="BP110" i="9" l="1"/>
  <c r="BQ101" i="9" s="1"/>
  <c r="N38" i="6"/>
  <c r="N39" i="6" s="1"/>
  <c r="BQ116" i="9"/>
  <c r="BP135" i="9"/>
  <c r="BP151" i="9"/>
  <c r="BP153" i="9" s="1"/>
  <c r="BP205" i="9"/>
  <c r="FV56" i="2"/>
  <c r="BP136" i="9"/>
  <c r="BP134" i="9" l="1"/>
  <c r="BP198" i="9"/>
  <c r="BP133" i="9"/>
  <c r="BP202" i="9"/>
  <c r="BP113" i="9"/>
  <c r="BP199" i="9"/>
  <c r="BP111" i="9"/>
  <c r="BP112" i="9"/>
  <c r="BQ123" i="9"/>
  <c r="BQ124" i="9"/>
  <c r="BQ108" i="9"/>
  <c r="BQ109" i="9"/>
  <c r="FV69" i="2"/>
  <c r="BP155" i="9"/>
  <c r="BP200" i="9"/>
  <c r="BP201" i="9" s="1"/>
  <c r="BQ145" i="9" l="1"/>
  <c r="BQ190" i="9"/>
  <c r="FW56" i="2"/>
  <c r="BQ147" i="9"/>
  <c r="BF203" i="9"/>
  <c r="BQ196" i="9"/>
  <c r="BQ197" i="9"/>
  <c r="BQ130" i="9"/>
  <c r="BQ154" i="9"/>
  <c r="BQ146" i="9"/>
  <c r="FW69" i="2" l="1"/>
  <c r="BQ191" i="9"/>
  <c r="BQ192" i="9" s="1"/>
  <c r="BR189" i="9" s="1"/>
  <c r="BQ204" i="9"/>
  <c r="FX56" i="2" l="1"/>
  <c r="BQ193" i="9"/>
  <c r="BQ141" i="9" s="1"/>
  <c r="BQ144" i="9" s="1"/>
  <c r="BQ157" i="9" l="1"/>
  <c r="BQ126" i="9"/>
  <c r="BF131" i="9"/>
  <c r="BF132" i="9"/>
  <c r="BF197" i="9" s="1"/>
  <c r="FX69" i="2"/>
  <c r="BQ149" i="9" l="1"/>
  <c r="BQ128" i="9"/>
  <c r="BQ136" i="9" s="1"/>
  <c r="BQ103" i="9"/>
  <c r="BQ107" i="9"/>
  <c r="FY56" i="2"/>
  <c r="BQ148" i="9" l="1"/>
  <c r="BQ205" i="9" s="1"/>
  <c r="BQ110" i="9"/>
  <c r="BQ151" i="9"/>
  <c r="BQ153" i="9" s="1"/>
  <c r="FY69" i="2"/>
  <c r="BR116" i="9"/>
  <c r="BQ135" i="9"/>
  <c r="BR123" i="9" l="1"/>
  <c r="BR124" i="9"/>
  <c r="BQ200" i="9"/>
  <c r="BQ201" i="9" s="1"/>
  <c r="BQ155" i="9"/>
  <c r="BR101" i="9"/>
  <c r="BQ112" i="9"/>
  <c r="BQ111" i="9"/>
  <c r="BQ199" i="9"/>
  <c r="BQ133" i="9"/>
  <c r="BQ202" i="9"/>
  <c r="BQ198" i="9"/>
  <c r="BQ134" i="9"/>
  <c r="BQ113" i="9"/>
  <c r="FZ56" i="2"/>
  <c r="BR147" i="9" l="1"/>
  <c r="BG203" i="9"/>
  <c r="FZ69" i="2"/>
  <c r="BR197" i="9"/>
  <c r="BR196" i="9"/>
  <c r="BR154" i="9"/>
  <c r="BR130" i="9"/>
  <c r="BR146" i="9"/>
  <c r="BR108" i="9"/>
  <c r="BR109" i="9"/>
  <c r="GA56" i="2" l="1"/>
  <c r="BR145" i="9"/>
  <c r="BR204" i="9" s="1"/>
  <c r="BR190" i="9"/>
  <c r="BR191" i="9" l="1"/>
  <c r="BR193" i="9" s="1"/>
  <c r="BR141" i="9" s="1"/>
  <c r="BR144" i="9" s="1"/>
  <c r="GA69" i="2"/>
  <c r="BR157" i="9" l="1"/>
  <c r="BR126" i="9"/>
  <c r="BR103" i="9" s="1"/>
  <c r="BG131" i="9"/>
  <c r="BG132" i="9"/>
  <c r="BG197" i="9" s="1"/>
  <c r="GB56" i="2"/>
  <c r="BR192" i="9"/>
  <c r="BS189" i="9" s="1"/>
  <c r="GB69" i="2" l="1"/>
  <c r="BR107" i="9"/>
  <c r="BR149" i="9"/>
  <c r="BR128" i="9"/>
  <c r="BR136" i="9" s="1"/>
  <c r="BS116" i="9" l="1"/>
  <c r="BR135" i="9"/>
  <c r="GC56" i="2"/>
  <c r="GC69" i="2" s="1"/>
  <c r="BR148" i="9"/>
  <c r="BR205" i="9" s="1"/>
  <c r="BR110" i="9"/>
  <c r="BR151" i="9"/>
  <c r="BR200" i="9" s="1"/>
  <c r="BR201" i="9" s="1"/>
  <c r="GD56" i="2" l="1"/>
  <c r="BS101" i="9"/>
  <c r="BR112" i="9"/>
  <c r="BR111" i="9"/>
  <c r="BR198" i="9"/>
  <c r="BR202" i="9"/>
  <c r="BR134" i="9"/>
  <c r="BR199" i="9"/>
  <c r="BR133" i="9"/>
  <c r="BR153" i="9"/>
  <c r="BR113" i="9"/>
  <c r="BS123" i="9"/>
  <c r="BS124" i="9"/>
  <c r="BS108" i="9" l="1"/>
  <c r="BS109" i="9"/>
  <c r="BS197" i="9"/>
  <c r="BS196" i="9"/>
  <c r="BS154" i="9"/>
  <c r="BS130" i="9"/>
  <c r="BS146" i="9"/>
  <c r="BS147" i="9"/>
  <c r="BH203" i="9"/>
  <c r="BR155" i="9"/>
  <c r="GD69" i="2"/>
  <c r="BS145" i="9" l="1"/>
  <c r="BS204" i="9" s="1"/>
  <c r="BS190" i="9"/>
  <c r="GE56" i="2"/>
  <c r="GE69" i="2" l="1"/>
  <c r="BS191" i="9"/>
  <c r="BS193" i="9" s="1"/>
  <c r="BS141" i="9" s="1"/>
  <c r="BS144" i="9" s="1"/>
  <c r="BS157" i="9" l="1"/>
  <c r="BS126" i="9"/>
  <c r="BS107" i="9" s="1"/>
  <c r="BH131" i="9"/>
  <c r="BH132" i="9"/>
  <c r="BH197" i="9" s="1"/>
  <c r="GF56" i="2"/>
  <c r="BS192" i="9"/>
  <c r="BT189" i="9" s="1"/>
  <c r="BS103" i="9" l="1"/>
  <c r="BS148" i="9"/>
  <c r="BS110" i="9"/>
  <c r="BS113" i="9" s="1"/>
  <c r="GF69" i="2"/>
  <c r="BS149" i="9"/>
  <c r="BS151" i="9" s="1"/>
  <c r="BS128" i="9"/>
  <c r="BS136" i="9" s="1"/>
  <c r="BS153" i="9" l="1"/>
  <c r="BS155" i="9" s="1"/>
  <c r="GG56" i="2"/>
  <c r="BT116" i="9"/>
  <c r="BS135" i="9"/>
  <c r="BS200" i="9"/>
  <c r="BS201" i="9" s="1"/>
  <c r="BT101" i="9"/>
  <c r="BS112" i="9"/>
  <c r="BS111" i="9"/>
  <c r="BS202" i="9"/>
  <c r="BS199" i="9"/>
  <c r="BS134" i="9"/>
  <c r="BS198" i="9"/>
  <c r="BS133" i="9"/>
  <c r="BS205" i="9"/>
  <c r="BT123" i="9" l="1"/>
  <c r="BT124" i="9"/>
  <c r="BT108" i="9"/>
  <c r="BT109" i="9"/>
  <c r="GG69" i="2"/>
  <c r="BT147" i="9" l="1"/>
  <c r="BI203" i="9"/>
  <c r="BT145" i="9"/>
  <c r="BT190" i="9"/>
  <c r="BT196" i="9"/>
  <c r="BT197" i="9"/>
  <c r="BT130" i="9"/>
  <c r="BT154" i="9"/>
  <c r="BT146" i="9"/>
  <c r="GH56" i="2"/>
  <c r="GH69" i="2" s="1"/>
  <c r="BT204" i="9" l="1"/>
  <c r="GI56" i="2"/>
  <c r="BT191" i="9"/>
  <c r="BT192" i="9" s="1"/>
  <c r="BU189" i="9" s="1"/>
  <c r="BT193" i="9" l="1"/>
  <c r="BT141" i="9" s="1"/>
  <c r="BT144" i="9" s="1"/>
  <c r="GI69" i="2"/>
  <c r="GJ56" i="2" l="1"/>
  <c r="BT157" i="9"/>
  <c r="BT126" i="9"/>
  <c r="BT107" i="9" s="1"/>
  <c r="BI131" i="9"/>
  <c r="BI132" i="9"/>
  <c r="BI197" i="9" s="1"/>
  <c r="BT148" i="9" l="1"/>
  <c r="BT110" i="9"/>
  <c r="BT113" i="9" s="1"/>
  <c r="BT149" i="9"/>
  <c r="BT151" i="9" s="1"/>
  <c r="BT153" i="9" s="1"/>
  <c r="BT128" i="9"/>
  <c r="BT136" i="9" s="1"/>
  <c r="BT103" i="9"/>
  <c r="GJ69" i="2"/>
  <c r="BT155" i="9" l="1"/>
  <c r="GK56" i="2"/>
  <c r="BU101" i="9"/>
  <c r="BT112" i="9"/>
  <c r="BT111" i="9"/>
  <c r="BT134" i="9"/>
  <c r="BT202" i="9"/>
  <c r="BT198" i="9"/>
  <c r="BT199" i="9"/>
  <c r="BT133" i="9"/>
  <c r="BU116" i="9"/>
  <c r="BT135" i="9"/>
  <c r="BT200" i="9"/>
  <c r="BT201" i="9" s="1"/>
  <c r="BT205" i="9"/>
  <c r="BU108" i="9" l="1"/>
  <c r="BU109" i="9"/>
  <c r="GK69" i="2"/>
  <c r="BU123" i="9"/>
  <c r="BU124" i="9"/>
  <c r="BU197" i="9" l="1"/>
  <c r="BU196" i="9"/>
  <c r="BU154" i="9"/>
  <c r="BU130" i="9"/>
  <c r="BU146" i="9"/>
  <c r="BU147" i="9"/>
  <c r="BJ203" i="9"/>
  <c r="BU145" i="9"/>
  <c r="BU190" i="9"/>
  <c r="GL56" i="2"/>
  <c r="BU204" i="9" l="1"/>
  <c r="BU191" i="9"/>
  <c r="BU193" i="9" s="1"/>
  <c r="BU141" i="9" s="1"/>
  <c r="BU144" i="9" s="1"/>
  <c r="GL69" i="2"/>
  <c r="BU157" i="9" l="1"/>
  <c r="BU126" i="9"/>
  <c r="BJ132" i="9"/>
  <c r="BJ197" i="9" s="1"/>
  <c r="BJ131" i="9"/>
  <c r="GM56" i="2"/>
  <c r="BU192" i="9"/>
  <c r="BV189" i="9" s="1"/>
  <c r="BU149" i="9" l="1"/>
  <c r="BU128" i="9"/>
  <c r="BU103" i="9"/>
  <c r="GM69" i="2"/>
  <c r="BU107" i="9"/>
  <c r="BU148" i="9" l="1"/>
  <c r="BU205" i="9" s="1"/>
  <c r="BU110" i="9"/>
  <c r="BU113" i="9" s="1"/>
  <c r="BU151" i="9"/>
  <c r="BU200" i="9" s="1"/>
  <c r="BU201" i="9" s="1"/>
  <c r="GN56" i="2"/>
  <c r="GN69" i="2" s="1"/>
  <c r="BV116" i="9"/>
  <c r="BU135" i="9"/>
  <c r="BU136" i="9"/>
  <c r="GO56" i="2" l="1"/>
  <c r="BV101" i="9"/>
  <c r="BU112" i="9"/>
  <c r="BU111" i="9"/>
  <c r="BU133" i="9"/>
  <c r="BU134" i="9"/>
  <c r="BU198" i="9"/>
  <c r="BU199" i="9"/>
  <c r="BU202" i="9"/>
  <c r="BV123" i="9"/>
  <c r="BV124" i="9"/>
  <c r="BU153" i="9"/>
  <c r="BU155" i="9" l="1"/>
  <c r="BV108" i="9"/>
  <c r="BV109" i="9"/>
  <c r="BV197" i="9"/>
  <c r="BV196" i="9"/>
  <c r="BV154" i="9"/>
  <c r="BV130" i="9"/>
  <c r="BV146" i="9"/>
  <c r="BV147" i="9"/>
  <c r="BK203" i="9"/>
  <c r="GO69" i="2"/>
  <c r="BV145" i="9" l="1"/>
  <c r="BV204" i="9" s="1"/>
  <c r="BV190" i="9"/>
  <c r="GP56" i="2"/>
  <c r="BV191" i="9" l="1"/>
  <c r="BV193" i="9" s="1"/>
  <c r="BV141" i="9" s="1"/>
  <c r="BV144" i="9" s="1"/>
  <c r="GP69" i="2"/>
  <c r="BV192" i="9" l="1"/>
  <c r="BW189" i="9" s="1"/>
  <c r="BV157" i="9"/>
  <c r="BV126" i="9"/>
  <c r="BV103" i="9" s="1"/>
  <c r="BK131" i="9"/>
  <c r="BK132" i="9"/>
  <c r="BK197" i="9" s="1"/>
  <c r="GQ56" i="2"/>
  <c r="BV107" i="9" l="1"/>
  <c r="BV148" i="9" s="1"/>
  <c r="BV149" i="9"/>
  <c r="BV128" i="9"/>
  <c r="GQ69" i="2"/>
  <c r="BV151" i="9" l="1"/>
  <c r="BV153" i="9" s="1"/>
  <c r="BV110" i="9"/>
  <c r="BW101" i="9" s="1"/>
  <c r="BV205" i="9"/>
  <c r="BW116" i="9"/>
  <c r="BV135" i="9"/>
  <c r="GR56" i="2"/>
  <c r="BV136" i="9"/>
  <c r="BV134" i="9" l="1"/>
  <c r="BV198" i="9"/>
  <c r="BV113" i="9"/>
  <c r="BV202" i="9"/>
  <c r="BV133" i="9"/>
  <c r="BV199" i="9"/>
  <c r="BV112" i="9"/>
  <c r="BV111" i="9"/>
  <c r="BV200" i="9"/>
  <c r="BV201" i="9" s="1"/>
  <c r="BW123" i="9"/>
  <c r="BW124" i="9"/>
  <c r="BW108" i="9"/>
  <c r="BW109" i="9"/>
  <c r="GR69" i="2"/>
  <c r="BV155" i="9"/>
  <c r="BW145" i="9" l="1"/>
  <c r="BW190" i="9"/>
  <c r="GS56" i="2"/>
  <c r="BW147" i="9"/>
  <c r="BL203" i="9"/>
  <c r="BW196" i="9"/>
  <c r="BW197" i="9"/>
  <c r="BW154" i="9"/>
  <c r="BW130" i="9"/>
  <c r="BW146" i="9"/>
  <c r="GS69" i="2" l="1"/>
  <c r="BW191" i="9"/>
  <c r="BW192" i="9" s="1"/>
  <c r="BX189" i="9" s="1"/>
  <c r="BW204" i="9"/>
  <c r="BW193" i="9" l="1"/>
  <c r="BW141" i="9" s="1"/>
  <c r="BW144" i="9" s="1"/>
  <c r="GT56" i="2"/>
  <c r="BW157" i="9" l="1"/>
  <c r="BW126" i="9"/>
  <c r="BL132" i="9"/>
  <c r="BL197" i="9" s="1"/>
  <c r="BL131" i="9"/>
  <c r="GT69" i="2"/>
  <c r="BW149" i="9" l="1"/>
  <c r="BW128" i="9"/>
  <c r="BW107" i="9"/>
  <c r="BW103" i="9"/>
  <c r="GU56" i="2"/>
  <c r="GU69" i="2" s="1"/>
  <c r="GV56" i="2" l="1"/>
  <c r="BX116" i="9"/>
  <c r="BW135" i="9"/>
  <c r="BW136" i="9"/>
  <c r="BW148" i="9"/>
  <c r="BW205" i="9" s="1"/>
  <c r="BW110" i="9"/>
  <c r="BW113" i="9" s="1"/>
  <c r="BW151" i="9"/>
  <c r="BW153" i="9" s="1"/>
  <c r="BW200" i="9" l="1"/>
  <c r="BW201" i="9" s="1"/>
  <c r="BW155" i="9"/>
  <c r="BX123" i="9"/>
  <c r="BX124" i="9"/>
  <c r="BX101" i="9"/>
  <c r="BW112" i="9"/>
  <c r="BW111" i="9"/>
  <c r="BW199" i="9"/>
  <c r="BW202" i="9"/>
  <c r="BW198" i="9"/>
  <c r="BW133" i="9"/>
  <c r="BW134" i="9"/>
  <c r="GV69" i="2"/>
  <c r="BX147" i="9" l="1"/>
  <c r="BM203" i="9"/>
  <c r="BX196" i="9"/>
  <c r="BX197" i="9"/>
  <c r="BX154" i="9"/>
  <c r="BX130" i="9"/>
  <c r="BX146" i="9"/>
  <c r="BX108" i="9"/>
  <c r="BX109" i="9"/>
  <c r="GW56" i="2"/>
  <c r="GW69" i="2" l="1"/>
  <c r="BX145" i="9"/>
  <c r="BX204" i="9" s="1"/>
  <c r="BX190" i="9"/>
  <c r="BX191" i="9" l="1"/>
  <c r="BX193" i="9" s="1"/>
  <c r="BX141" i="9" s="1"/>
  <c r="BX144" i="9" s="1"/>
  <c r="GX56" i="2"/>
  <c r="BX192" i="9" l="1"/>
  <c r="BY189" i="9" s="1"/>
  <c r="BX157" i="9"/>
  <c r="BM131" i="9"/>
  <c r="BX126" i="9"/>
  <c r="BX103" i="9" s="1"/>
  <c r="BM132" i="9"/>
  <c r="BM197" i="9" s="1"/>
  <c r="GX69" i="2"/>
  <c r="BX107" i="9" l="1"/>
  <c r="BX149" i="9"/>
  <c r="BX128" i="9"/>
  <c r="GY56" i="2"/>
  <c r="GY69" i="2" s="1"/>
  <c r="GZ56" i="2" l="1"/>
  <c r="BY116" i="9"/>
  <c r="BX135" i="9"/>
  <c r="BX136" i="9"/>
  <c r="BX148" i="9"/>
  <c r="BX205" i="9" s="1"/>
  <c r="BX110" i="9"/>
  <c r="BX151" i="9"/>
  <c r="BY101" i="9" l="1"/>
  <c r="BX112" i="9"/>
  <c r="BX111" i="9"/>
  <c r="BX133" i="9"/>
  <c r="BX202" i="9"/>
  <c r="BX198" i="9"/>
  <c r="BX199" i="9"/>
  <c r="BX134" i="9"/>
  <c r="BX200" i="9"/>
  <c r="BX201" i="9" s="1"/>
  <c r="BX113" i="9"/>
  <c r="BY123" i="9"/>
  <c r="BY124" i="9"/>
  <c r="BX153" i="9"/>
  <c r="GZ69" i="2"/>
  <c r="HA56" i="2" l="1"/>
  <c r="BY196" i="9"/>
  <c r="BY197" i="9"/>
  <c r="BY154" i="9"/>
  <c r="BY130" i="9"/>
  <c r="BY146" i="9"/>
  <c r="BY147" i="9"/>
  <c r="BN203" i="9"/>
  <c r="BY108" i="9"/>
  <c r="BY109" i="9"/>
  <c r="BX155" i="9"/>
  <c r="BY145" i="9" l="1"/>
  <c r="BY204" i="9" s="1"/>
  <c r="BY190" i="9"/>
  <c r="HA69" i="2"/>
  <c r="BY191" i="9" l="1"/>
  <c r="BY193" i="9" s="1"/>
  <c r="BY141" i="9" s="1"/>
  <c r="BY144" i="9" s="1"/>
  <c r="HB56" i="2"/>
  <c r="BY157" i="9" l="1"/>
  <c r="BY126" i="9"/>
  <c r="BY103" i="9" s="1"/>
  <c r="BN131" i="9"/>
  <c r="BN132" i="9"/>
  <c r="BN197" i="9" s="1"/>
  <c r="HB69" i="2"/>
  <c r="BY192" i="9"/>
  <c r="BZ189" i="9" s="1"/>
  <c r="BY107" i="9" l="1"/>
  <c r="BY148" i="9" s="1"/>
  <c r="BY149" i="9"/>
  <c r="BY128" i="9"/>
  <c r="HC56" i="2"/>
  <c r="HC69" i="2" s="1"/>
  <c r="BY110" i="9" l="1"/>
  <c r="BY113" i="9" s="1"/>
  <c r="BY205" i="9"/>
  <c r="HD56" i="2"/>
  <c r="HD69" i="2" s="1"/>
  <c r="BZ116" i="9"/>
  <c r="BY135" i="9"/>
  <c r="BY136" i="9"/>
  <c r="BY151" i="9"/>
  <c r="BY153" i="9" s="1"/>
  <c r="BY134" i="9" l="1"/>
  <c r="BY111" i="9"/>
  <c r="BY199" i="9"/>
  <c r="BY133" i="9"/>
  <c r="BY198" i="9"/>
  <c r="BZ101" i="9"/>
  <c r="BZ109" i="9" s="1"/>
  <c r="BY202" i="9"/>
  <c r="BY112" i="9"/>
  <c r="HE56" i="2"/>
  <c r="BY200" i="9"/>
  <c r="BY201" i="9" s="1"/>
  <c r="BZ123" i="9"/>
  <c r="BZ124" i="9"/>
  <c r="BY155" i="9"/>
  <c r="BZ108" i="9" l="1"/>
  <c r="BZ145" i="9" s="1"/>
  <c r="BZ147" i="9"/>
  <c r="BO203" i="9"/>
  <c r="BZ197" i="9"/>
  <c r="BZ196" i="9"/>
  <c r="BZ154" i="9"/>
  <c r="BZ130" i="9"/>
  <c r="BZ146" i="9"/>
  <c r="HE69" i="2"/>
  <c r="BZ190" i="9" l="1"/>
  <c r="BZ191" i="9" s="1"/>
  <c r="BZ193" i="9" s="1"/>
  <c r="BZ141" i="9" s="1"/>
  <c r="BZ144" i="9" s="1"/>
  <c r="HF56" i="2"/>
  <c r="HF69" i="2" s="1"/>
  <c r="BZ204" i="9"/>
  <c r="BZ192" i="9" l="1"/>
  <c r="CA189" i="9" s="1"/>
  <c r="HG56" i="2"/>
  <c r="BZ157" i="9"/>
  <c r="BO132" i="9"/>
  <c r="BO197" i="9" s="1"/>
  <c r="BO131" i="9"/>
  <c r="BZ126" i="9"/>
  <c r="BZ149" i="9" l="1"/>
  <c r="BZ128" i="9"/>
  <c r="BZ136" i="9" s="1"/>
  <c r="BZ103" i="9"/>
  <c r="BZ107" i="9"/>
  <c r="HG69" i="2"/>
  <c r="HH56" i="2" l="1"/>
  <c r="BZ148" i="9"/>
  <c r="BZ205" i="9" s="1"/>
  <c r="BZ110" i="9"/>
  <c r="BZ113" i="9" s="1"/>
  <c r="BZ151" i="9"/>
  <c r="CA116" i="9"/>
  <c r="BZ135" i="9"/>
  <c r="BZ153" i="9" l="1"/>
  <c r="CA123" i="9"/>
  <c r="CA124" i="9"/>
  <c r="BZ200" i="9"/>
  <c r="BZ201" i="9" s="1"/>
  <c r="CA101" i="9"/>
  <c r="BZ112" i="9"/>
  <c r="BZ111" i="9"/>
  <c r="BZ133" i="9"/>
  <c r="BZ134" i="9"/>
  <c r="BZ202" i="9"/>
  <c r="BZ198" i="9"/>
  <c r="BZ199" i="9"/>
  <c r="HH69" i="2"/>
  <c r="CA108" i="9" l="1"/>
  <c r="CA109" i="9"/>
  <c r="CA197" i="9"/>
  <c r="CA196" i="9"/>
  <c r="CA154" i="9"/>
  <c r="CA130" i="9"/>
  <c r="CA146" i="9"/>
  <c r="BP132" i="9"/>
  <c r="BP131" i="9"/>
  <c r="HI56" i="2"/>
  <c r="CA147" i="9"/>
  <c r="BP203" i="9"/>
  <c r="BZ155" i="9"/>
  <c r="CA145" i="9" l="1"/>
  <c r="CA204" i="9" s="1"/>
  <c r="CA190" i="9"/>
  <c r="HI69" i="2"/>
  <c r="HJ56" i="2" l="1"/>
  <c r="CA191" i="9"/>
  <c r="CA193" i="9" s="1"/>
  <c r="CA141" i="9" s="1"/>
  <c r="CA144" i="9" s="1"/>
  <c r="CA157" i="9" l="1"/>
  <c r="CA126" i="9"/>
  <c r="CA107" i="9" s="1"/>
  <c r="CA192" i="9"/>
  <c r="CB189" i="9" s="1"/>
  <c r="HJ69" i="2"/>
  <c r="CA148" i="9" l="1"/>
  <c r="CA110" i="9"/>
  <c r="HK56" i="2"/>
  <c r="CA149" i="9"/>
  <c r="CA128" i="9"/>
  <c r="CA103" i="9"/>
  <c r="CA151" i="9" l="1"/>
  <c r="CA200" i="9" s="1"/>
  <c r="CA201" i="9" s="1"/>
  <c r="CB101" i="9"/>
  <c r="CA112" i="9"/>
  <c r="CA111" i="9"/>
  <c r="CA198" i="9"/>
  <c r="CA199" i="9"/>
  <c r="CA202" i="9"/>
  <c r="CA133" i="9"/>
  <c r="CA134" i="9"/>
  <c r="CA113" i="9"/>
  <c r="CB116" i="9"/>
  <c r="CA135" i="9"/>
  <c r="HK69" i="2"/>
  <c r="CA136" i="9"/>
  <c r="CA205" i="9"/>
  <c r="CB123" i="9" l="1"/>
  <c r="CB124" i="9"/>
  <c r="CB108" i="9"/>
  <c r="CB109" i="9"/>
  <c r="HL56" i="2"/>
  <c r="HL69" i="2" s="1"/>
  <c r="CA153" i="9"/>
  <c r="CB145" i="9" l="1"/>
  <c r="CB190" i="9"/>
  <c r="HM56" i="2"/>
  <c r="HM69" i="2" s="1"/>
  <c r="CB147" i="9"/>
  <c r="BQ203" i="9"/>
  <c r="CB197" i="9"/>
  <c r="CB196" i="9"/>
  <c r="CB154" i="9"/>
  <c r="CB130" i="9"/>
  <c r="CB146" i="9"/>
  <c r="BQ132" i="9"/>
  <c r="BQ131" i="9"/>
  <c r="CA155" i="9"/>
  <c r="HN56" i="2" l="1"/>
  <c r="CB204" i="9"/>
  <c r="CB191" i="9"/>
  <c r="CB193" i="9" s="1"/>
  <c r="CB141" i="9" s="1"/>
  <c r="CB144" i="9" s="1"/>
  <c r="CB157" i="9" l="1"/>
  <c r="CB126" i="9"/>
  <c r="CB107" i="9" s="1"/>
  <c r="CB192" i="9"/>
  <c r="CC189" i="9" s="1"/>
  <c r="HN69" i="2"/>
  <c r="CB148" i="9" l="1"/>
  <c r="CB110" i="9"/>
  <c r="CB113" i="9" s="1"/>
  <c r="HO56" i="2"/>
  <c r="HO69" i="2" s="1"/>
  <c r="CB103" i="9"/>
  <c r="CB149" i="9"/>
  <c r="CB128" i="9"/>
  <c r="HP56" i="2" l="1"/>
  <c r="CB151" i="9"/>
  <c r="CC101" i="9"/>
  <c r="CB112" i="9"/>
  <c r="CB111" i="9"/>
  <c r="CB199" i="9"/>
  <c r="CB133" i="9"/>
  <c r="CB202" i="9"/>
  <c r="CB134" i="9"/>
  <c r="CB198" i="9"/>
  <c r="CC116" i="9"/>
  <c r="CB135" i="9"/>
  <c r="CB136" i="9"/>
  <c r="CB205" i="9"/>
  <c r="CB200" i="9" l="1"/>
  <c r="CB201" i="9" s="1"/>
  <c r="CC123" i="9"/>
  <c r="CC124" i="9"/>
  <c r="HP69" i="2"/>
  <c r="CC108" i="9"/>
  <c r="CC109" i="9"/>
  <c r="CB153" i="9"/>
  <c r="HQ56" i="2" l="1"/>
  <c r="CC147" i="9"/>
  <c r="BR203" i="9"/>
  <c r="CC197" i="9"/>
  <c r="CC196" i="9"/>
  <c r="CC154" i="9"/>
  <c r="CC130" i="9"/>
  <c r="CC146" i="9"/>
  <c r="BR131" i="9"/>
  <c r="BR132" i="9"/>
  <c r="CC145" i="9"/>
  <c r="CC190" i="9"/>
  <c r="CB155" i="9"/>
  <c r="CC204" i="9" l="1"/>
  <c r="CC191" i="9"/>
  <c r="CC193" i="9" s="1"/>
  <c r="CC141" i="9" s="1"/>
  <c r="CC144" i="9" s="1"/>
  <c r="HQ69" i="2"/>
  <c r="CC192" i="9" l="1"/>
  <c r="CD189" i="9" s="1"/>
  <c r="CC157" i="9"/>
  <c r="CC126" i="9"/>
  <c r="CC103" i="9" s="1"/>
  <c r="HR56" i="2"/>
  <c r="HR69" i="2" s="1"/>
  <c r="CC107" i="9" l="1"/>
  <c r="CC110" i="9" s="1"/>
  <c r="CC113" i="9" s="1"/>
  <c r="HS56" i="2"/>
  <c r="CC149" i="9"/>
  <c r="CC128" i="9"/>
  <c r="CC136" i="9" s="1"/>
  <c r="CC148" i="9" l="1"/>
  <c r="CC205" i="9" s="1"/>
  <c r="CC151" i="9"/>
  <c r="CC200" i="9" s="1"/>
  <c r="CC201" i="9" s="1"/>
  <c r="CD101" i="9"/>
  <c r="CC112" i="9"/>
  <c r="CC111" i="9"/>
  <c r="CC133" i="9"/>
  <c r="CC198" i="9"/>
  <c r="CC202" i="9"/>
  <c r="CC199" i="9"/>
  <c r="CC134" i="9"/>
  <c r="CD116" i="9"/>
  <c r="CC135" i="9"/>
  <c r="HS69" i="2"/>
  <c r="HT56" i="2" l="1"/>
  <c r="CD123" i="9"/>
  <c r="CD124" i="9"/>
  <c r="CD108" i="9"/>
  <c r="CD109" i="9"/>
  <c r="CC153" i="9"/>
  <c r="CC155" i="9" s="1"/>
  <c r="CD145" i="9" l="1"/>
  <c r="CD190" i="9"/>
  <c r="CD147" i="9"/>
  <c r="BS203" i="9"/>
  <c r="CD197" i="9"/>
  <c r="CD196" i="9"/>
  <c r="CD154" i="9"/>
  <c r="CD130" i="9"/>
  <c r="CD146" i="9"/>
  <c r="BS131" i="9"/>
  <c r="BS132" i="9"/>
  <c r="HT69" i="2"/>
  <c r="HU56" i="2" l="1"/>
  <c r="HU69" i="2" s="1"/>
  <c r="CD191" i="9"/>
  <c r="CD193" i="9" s="1"/>
  <c r="CD141" i="9" s="1"/>
  <c r="CD144" i="9" s="1"/>
  <c r="CD204" i="9"/>
  <c r="CD157" i="9" l="1"/>
  <c r="CD126" i="9"/>
  <c r="CD107" i="9" s="1"/>
  <c r="CD192" i="9"/>
  <c r="CE189" i="9" s="1"/>
  <c r="HV56" i="2"/>
  <c r="HV69" i="2" s="1"/>
  <c r="CD148" i="9" l="1"/>
  <c r="CD110" i="9"/>
  <c r="CD103" i="9"/>
  <c r="HW56" i="2"/>
  <c r="CD149" i="9"/>
  <c r="CD151" i="9" s="1"/>
  <c r="CD128" i="9"/>
  <c r="CD136" i="9" s="1"/>
  <c r="CD153" i="9" l="1"/>
  <c r="CD200" i="9"/>
  <c r="CD201" i="9" s="1"/>
  <c r="CE101" i="9"/>
  <c r="CD112" i="9"/>
  <c r="CD111" i="9"/>
  <c r="CD198" i="9"/>
  <c r="CD199" i="9"/>
  <c r="CD202" i="9"/>
  <c r="CD133" i="9"/>
  <c r="CD134" i="9"/>
  <c r="CD113" i="9"/>
  <c r="HW69" i="2"/>
  <c r="CE116" i="9"/>
  <c r="CD135" i="9"/>
  <c r="CD205" i="9"/>
  <c r="CE108" i="9" l="1"/>
  <c r="CE109" i="9"/>
  <c r="CE123" i="9"/>
  <c r="CE124" i="9"/>
  <c r="CD155" i="9"/>
  <c r="HX56" i="2"/>
  <c r="HX69" i="2" s="1"/>
  <c r="HY56" i="2" l="1"/>
  <c r="CE197" i="9"/>
  <c r="CE196" i="9"/>
  <c r="CE154" i="9"/>
  <c r="CE130" i="9"/>
  <c r="CE146" i="9"/>
  <c r="BT132" i="9"/>
  <c r="BT131" i="9"/>
  <c r="CE145" i="9"/>
  <c r="CE190" i="9"/>
  <c r="CE147" i="9"/>
  <c r="BT203" i="9"/>
  <c r="CE204" i="9" l="1"/>
  <c r="CE191" i="9"/>
  <c r="CE193" i="9" s="1"/>
  <c r="CE141" i="9" s="1"/>
  <c r="CE144" i="9" s="1"/>
  <c r="HY69" i="2"/>
  <c r="CE192" i="9" l="1"/>
  <c r="CF189" i="9" s="1"/>
  <c r="HZ56" i="2"/>
  <c r="CE157" i="9"/>
  <c r="CE126" i="9"/>
  <c r="CE107" i="9" s="1"/>
  <c r="CE149" i="9" l="1"/>
  <c r="CE151" i="9" s="1"/>
  <c r="CE128" i="9"/>
  <c r="CE103" i="9"/>
  <c r="CE148" i="9"/>
  <c r="CE110" i="9"/>
  <c r="HZ69" i="2"/>
  <c r="CE205" i="9" l="1"/>
  <c r="CE200" i="9"/>
  <c r="CE201" i="9" s="1"/>
  <c r="CF101" i="9"/>
  <c r="CE112" i="9"/>
  <c r="CE111" i="9"/>
  <c r="CE134" i="9"/>
  <c r="CE133" i="9"/>
  <c r="CE202" i="9"/>
  <c r="CE198" i="9"/>
  <c r="CE199" i="9"/>
  <c r="CE113" i="9"/>
  <c r="CF116" i="9"/>
  <c r="CE135" i="9"/>
  <c r="IA56" i="2"/>
  <c r="CE136" i="9"/>
  <c r="CE153" i="9"/>
  <c r="CF108" i="9" l="1"/>
  <c r="CF109" i="9"/>
  <c r="CF123" i="9"/>
  <c r="CF124" i="9"/>
  <c r="IA69" i="2"/>
  <c r="CE155" i="9"/>
  <c r="CF145" i="9" l="1"/>
  <c r="CF190" i="9"/>
  <c r="IB56" i="2"/>
  <c r="CF147" i="9"/>
  <c r="BU203" i="9"/>
  <c r="CF197" i="9"/>
  <c r="CF196" i="9"/>
  <c r="CF154" i="9"/>
  <c r="CF130" i="9"/>
  <c r="CF146" i="9"/>
  <c r="BU132" i="9"/>
  <c r="BU131" i="9"/>
  <c r="IB69" i="2" l="1"/>
  <c r="CF191" i="9"/>
  <c r="CF193" i="9" s="1"/>
  <c r="CF141" i="9" s="1"/>
  <c r="CF144" i="9" s="1"/>
  <c r="CF204" i="9"/>
  <c r="CF157" i="9" l="1"/>
  <c r="CF126" i="9"/>
  <c r="CF107" i="9" s="1"/>
  <c r="CF192" i="9"/>
  <c r="CG189" i="9" s="1"/>
  <c r="IC56" i="2"/>
  <c r="CF148" i="9" l="1"/>
  <c r="CF110" i="9"/>
  <c r="CF103" i="9"/>
  <c r="CF149" i="9"/>
  <c r="CF128" i="9"/>
  <c r="CF136" i="9" s="1"/>
  <c r="IC69" i="2"/>
  <c r="CF151" i="9" l="1"/>
  <c r="CF153" i="9" s="1"/>
  <c r="CG101" i="9"/>
  <c r="CF112" i="9"/>
  <c r="CF111" i="9"/>
  <c r="CF202" i="9"/>
  <c r="CF198" i="9"/>
  <c r="CF199" i="9"/>
  <c r="CF133" i="9"/>
  <c r="CF134" i="9"/>
  <c r="ID56" i="2"/>
  <c r="CG116" i="9"/>
  <c r="CF135" i="9"/>
  <c r="CF113" i="9"/>
  <c r="CF205" i="9"/>
  <c r="CF155" i="9" l="1"/>
  <c r="CG108" i="9"/>
  <c r="CG109" i="9"/>
  <c r="CG123" i="9"/>
  <c r="CG124" i="9"/>
  <c r="CF200" i="9"/>
  <c r="CF201" i="9" s="1"/>
  <c r="ID69" i="2"/>
  <c r="CG145" i="9" l="1"/>
  <c r="CG190" i="9"/>
  <c r="IE56" i="2"/>
  <c r="IE69" i="2" s="1"/>
  <c r="CG147" i="9"/>
  <c r="BV203" i="9"/>
  <c r="CG196" i="9"/>
  <c r="CG197" i="9"/>
  <c r="CG154" i="9"/>
  <c r="CG130" i="9"/>
  <c r="CG146" i="9"/>
  <c r="BV131" i="9"/>
  <c r="BV132" i="9"/>
  <c r="IF56" i="2" l="1"/>
  <c r="CG191" i="9"/>
  <c r="CG193" i="9" s="1"/>
  <c r="CG141" i="9" s="1"/>
  <c r="CG144" i="9" s="1"/>
  <c r="CG204" i="9"/>
  <c r="CG157" i="9" l="1"/>
  <c r="CG126" i="9"/>
  <c r="CG192" i="9"/>
  <c r="CH189" i="9" s="1"/>
  <c r="IF69" i="2"/>
  <c r="CG149" i="9" l="1"/>
  <c r="CG128" i="9"/>
  <c r="CG107" i="9"/>
  <c r="CG103" i="9"/>
  <c r="IG56" i="2"/>
  <c r="IG69" i="2" l="1"/>
  <c r="CG148" i="9"/>
  <c r="CG205" i="9" s="1"/>
  <c r="CG110" i="9"/>
  <c r="CG113" i="9" s="1"/>
  <c r="CG151" i="9"/>
  <c r="CG153" i="9" s="1"/>
  <c r="CH116" i="9"/>
  <c r="CG135" i="9"/>
  <c r="CG136" i="9"/>
  <c r="CG155" i="9" l="1"/>
  <c r="CH123" i="9"/>
  <c r="CH124" i="9"/>
  <c r="CG200" i="9"/>
  <c r="CG201" i="9" s="1"/>
  <c r="CH101" i="9"/>
  <c r="CG112" i="9"/>
  <c r="CG111" i="9"/>
  <c r="CG202" i="9"/>
  <c r="CG199" i="9"/>
  <c r="CG198" i="9"/>
  <c r="CG133" i="9"/>
  <c r="CG134" i="9"/>
  <c r="IH56" i="2"/>
  <c r="CH147" i="9" l="1"/>
  <c r="BW203" i="9"/>
  <c r="CH196" i="9"/>
  <c r="CH197" i="9"/>
  <c r="CH154" i="9"/>
  <c r="CH130" i="9"/>
  <c r="CH146" i="9"/>
  <c r="BW131" i="9"/>
  <c r="BW132" i="9"/>
  <c r="IH69" i="2"/>
  <c r="CH108" i="9"/>
  <c r="CH109" i="9"/>
  <c r="CH145" i="9" l="1"/>
  <c r="CH204" i="9" s="1"/>
  <c r="CH190" i="9"/>
  <c r="II56" i="2"/>
  <c r="II69" i="2" l="1"/>
  <c r="CH191" i="9"/>
  <c r="CH193" i="9" s="1"/>
  <c r="CH141" i="9" s="1"/>
  <c r="CH144" i="9" s="1"/>
  <c r="CH157" i="9" l="1"/>
  <c r="CH126" i="9"/>
  <c r="CH103" i="9" s="1"/>
  <c r="CH192" i="9"/>
  <c r="CI189" i="9" s="1"/>
  <c r="IJ56" i="2"/>
  <c r="CH107" i="9" l="1"/>
  <c r="CH148" i="9" s="1"/>
  <c r="IJ69" i="2"/>
  <c r="CH149" i="9"/>
  <c r="CH128" i="9"/>
  <c r="CH136" i="9" s="1"/>
  <c r="CH151" i="9" l="1"/>
  <c r="CH153" i="9" s="1"/>
  <c r="CH110" i="9"/>
  <c r="CH113" i="9" s="1"/>
  <c r="CH205" i="9"/>
  <c r="IK56" i="2"/>
  <c r="CI116" i="9"/>
  <c r="CH135" i="9"/>
  <c r="CH200" i="9" l="1"/>
  <c r="CH201" i="9" s="1"/>
  <c r="CH199" i="9"/>
  <c r="CH198" i="9"/>
  <c r="CH111" i="9"/>
  <c r="CH202" i="9"/>
  <c r="CH133" i="9"/>
  <c r="CI101" i="9"/>
  <c r="CI108" i="9" s="1"/>
  <c r="CH112" i="9"/>
  <c r="CH134" i="9"/>
  <c r="CH155" i="9"/>
  <c r="CI123" i="9"/>
  <c r="CI124" i="9"/>
  <c r="IK69" i="2"/>
  <c r="CI109" i="9" l="1"/>
  <c r="CI145" i="9" s="1"/>
  <c r="CI190" i="9"/>
  <c r="IL56" i="2"/>
  <c r="CI147" i="9"/>
  <c r="BX203" i="9"/>
  <c r="CI196" i="9"/>
  <c r="CI197" i="9"/>
  <c r="CI154" i="9"/>
  <c r="CI130" i="9"/>
  <c r="CI146" i="9"/>
  <c r="BX132" i="9"/>
  <c r="BX131" i="9"/>
  <c r="IL69" i="2" l="1"/>
  <c r="CI191" i="9"/>
  <c r="CI193" i="9" s="1"/>
  <c r="CI141" i="9" s="1"/>
  <c r="CI144" i="9" s="1"/>
  <c r="CI204" i="9"/>
  <c r="CI157" i="9" l="1"/>
  <c r="CI126" i="9"/>
  <c r="IM56" i="2"/>
  <c r="CI192" i="9"/>
  <c r="CJ189" i="9" s="1"/>
  <c r="IM69" i="2" l="1"/>
  <c r="CI149" i="9"/>
  <c r="CI128" i="9"/>
  <c r="CI107" i="9"/>
  <c r="CI103" i="9"/>
  <c r="CJ116" i="9" l="1"/>
  <c r="CI135" i="9"/>
  <c r="IN56" i="2"/>
  <c r="IN69" i="2" s="1"/>
  <c r="CI148" i="9"/>
  <c r="CI205" i="9" s="1"/>
  <c r="CI110" i="9"/>
  <c r="CI151" i="9"/>
  <c r="CI136" i="9"/>
  <c r="IO56" i="2" l="1"/>
  <c r="CI153" i="9"/>
  <c r="CJ101" i="9"/>
  <c r="CI112" i="9"/>
  <c r="CI111" i="9"/>
  <c r="CI202" i="9"/>
  <c r="CI198" i="9"/>
  <c r="CI133" i="9"/>
  <c r="CI134" i="9"/>
  <c r="CI199" i="9"/>
  <c r="CI113" i="9"/>
  <c r="CI200" i="9"/>
  <c r="CI201" i="9" s="1"/>
  <c r="CJ123" i="9"/>
  <c r="CJ124" i="9"/>
  <c r="CJ196" i="9" l="1"/>
  <c r="CJ197" i="9"/>
  <c r="CJ154" i="9"/>
  <c r="CJ130" i="9"/>
  <c r="CJ146" i="9"/>
  <c r="BY131" i="9"/>
  <c r="BY132" i="9"/>
  <c r="CJ108" i="9"/>
  <c r="CJ109" i="9"/>
  <c r="IO69" i="2"/>
  <c r="CJ147" i="9"/>
  <c r="BY203" i="9"/>
  <c r="CI155" i="9"/>
  <c r="IP56" i="2" l="1"/>
  <c r="IP69" i="2" s="1"/>
  <c r="CJ145" i="9"/>
  <c r="CJ204" i="9" s="1"/>
  <c r="CJ190" i="9"/>
  <c r="CJ191" i="9" l="1"/>
  <c r="CJ193" i="9" s="1"/>
  <c r="CJ141" i="9" s="1"/>
  <c r="CJ144" i="9" s="1"/>
  <c r="IQ56" i="2"/>
  <c r="IQ69" i="2" s="1"/>
  <c r="CJ192" i="9" l="1"/>
  <c r="CK189" i="9" s="1"/>
  <c r="IR56" i="2"/>
  <c r="IR69" i="2" s="1"/>
  <c r="CJ157" i="9"/>
  <c r="CJ126" i="9"/>
  <c r="CJ149" i="9" l="1"/>
  <c r="CJ128" i="9"/>
  <c r="CJ103" i="9"/>
  <c r="CJ107" i="9"/>
  <c r="IS56" i="2"/>
  <c r="IS69" i="2" l="1"/>
  <c r="CJ148" i="9"/>
  <c r="CJ205" i="9" s="1"/>
  <c r="CJ110" i="9"/>
  <c r="CJ113" i="9" s="1"/>
  <c r="CJ151" i="9"/>
  <c r="CJ153" i="9" s="1"/>
  <c r="CK116" i="9"/>
  <c r="CJ135" i="9"/>
  <c r="CJ136" i="9"/>
  <c r="CJ155" i="9" l="1"/>
  <c r="CK123" i="9"/>
  <c r="CK124" i="9"/>
  <c r="CJ200" i="9"/>
  <c r="CJ201" i="9" s="1"/>
  <c r="CK101" i="9"/>
  <c r="CJ112" i="9"/>
  <c r="CJ111" i="9"/>
  <c r="CJ199" i="9"/>
  <c r="CJ133" i="9"/>
  <c r="CJ202" i="9"/>
  <c r="CJ134" i="9"/>
  <c r="CJ198" i="9"/>
  <c r="IT56" i="2"/>
  <c r="CK147" i="9" l="1"/>
  <c r="BZ203" i="9"/>
  <c r="CK197" i="9"/>
  <c r="CK196" i="9"/>
  <c r="CK154" i="9"/>
  <c r="CK130" i="9"/>
  <c r="CK146" i="9"/>
  <c r="BZ132" i="9"/>
  <c r="BZ131" i="9"/>
  <c r="IT69" i="2"/>
  <c r="CK108" i="9"/>
  <c r="CK109" i="9"/>
  <c r="CK145" i="9" l="1"/>
  <c r="CK204" i="9" s="1"/>
  <c r="CK190" i="9"/>
  <c r="IU56" i="2"/>
  <c r="IU69" i="2" l="1"/>
  <c r="CK191" i="9"/>
  <c r="CK193" i="9" s="1"/>
  <c r="CK141" i="9" s="1"/>
  <c r="CK144" i="9" s="1"/>
  <c r="CK192" i="9" l="1"/>
  <c r="CL189" i="9" s="1"/>
  <c r="CK157" i="9"/>
  <c r="CK126" i="9"/>
  <c r="IV56" i="2"/>
  <c r="CK149" i="9" l="1"/>
  <c r="CK128" i="9"/>
  <c r="IV69" i="2"/>
  <c r="CK107" i="9"/>
  <c r="CK103" i="9"/>
  <c r="CK148" i="9" l="1"/>
  <c r="CK205" i="9" s="1"/>
  <c r="CK110" i="9"/>
  <c r="CK151" i="9"/>
  <c r="CK200" i="9" s="1"/>
  <c r="CK201" i="9" s="1"/>
  <c r="IW56" i="2"/>
  <c r="CL116" i="9"/>
  <c r="CK135" i="9"/>
  <c r="CK136" i="9"/>
  <c r="CL101" i="9" l="1"/>
  <c r="CK112" i="9"/>
  <c r="CK111" i="9"/>
  <c r="CK133" i="9"/>
  <c r="CK199" i="9"/>
  <c r="CK198" i="9"/>
  <c r="CK202" i="9"/>
  <c r="CK134" i="9"/>
  <c r="CL123" i="9"/>
  <c r="CL124" i="9"/>
  <c r="IW69" i="2"/>
  <c r="CK153" i="9"/>
  <c r="CK155" i="9" s="1"/>
  <c r="CK113" i="9"/>
  <c r="IX56" i="2" l="1"/>
  <c r="CL147" i="9"/>
  <c r="CA203" i="9"/>
  <c r="CL197" i="9"/>
  <c r="CL196" i="9"/>
  <c r="CL154" i="9"/>
  <c r="CL130" i="9"/>
  <c r="CL146" i="9"/>
  <c r="CA131" i="9"/>
  <c r="CA132" i="9"/>
  <c r="CL108" i="9"/>
  <c r="CL109" i="9"/>
  <c r="CL145" i="9" l="1"/>
  <c r="CL204" i="9" s="1"/>
  <c r="CL190" i="9"/>
  <c r="IX69" i="2"/>
  <c r="IY56" i="2" l="1"/>
  <c r="CL191" i="9"/>
  <c r="CL193" i="9" s="1"/>
  <c r="CL141" i="9" s="1"/>
  <c r="CL144" i="9" s="1"/>
  <c r="CL192" i="9" l="1"/>
  <c r="CM189" i="9" s="1"/>
  <c r="CL157" i="9"/>
  <c r="CL126" i="9"/>
  <c r="IY69" i="2"/>
  <c r="CL149" i="9" l="1"/>
  <c r="CL128" i="9"/>
  <c r="IZ56" i="2"/>
  <c r="CL107" i="9"/>
  <c r="CL103" i="9"/>
  <c r="CM116" i="9" l="1"/>
  <c r="CL135" i="9"/>
  <c r="IZ69" i="2"/>
  <c r="CL136" i="9"/>
  <c r="CL148" i="9"/>
  <c r="CL205" i="9" s="1"/>
  <c r="CL110" i="9"/>
  <c r="CL151" i="9"/>
  <c r="CL200" i="9" s="1"/>
  <c r="CL201" i="9" s="1"/>
  <c r="CL153" i="9" l="1"/>
  <c r="CL155" i="9" s="1"/>
  <c r="CM101" i="9"/>
  <c r="CL112" i="9"/>
  <c r="CL111" i="9"/>
  <c r="CL198" i="9"/>
  <c r="CL202" i="9"/>
  <c r="CL199" i="9"/>
  <c r="CL133" i="9"/>
  <c r="CL134" i="9"/>
  <c r="JA56" i="2"/>
  <c r="CL113" i="9"/>
  <c r="CM123" i="9"/>
  <c r="CM124" i="9"/>
  <c r="CM196" i="9" l="1"/>
  <c r="CM197" i="9"/>
  <c r="CM154" i="9"/>
  <c r="CM130" i="9"/>
  <c r="CM146" i="9"/>
  <c r="CB132" i="9"/>
  <c r="CB131" i="9"/>
  <c r="CM147" i="9"/>
  <c r="CB203" i="9"/>
  <c r="JA69" i="2"/>
  <c r="CM108" i="9"/>
  <c r="CM109" i="9"/>
  <c r="JB56" i="2" l="1"/>
  <c r="CM145" i="9"/>
  <c r="CM204" i="9" s="1"/>
  <c r="CM190" i="9"/>
  <c r="CM191" i="9" l="1"/>
  <c r="CM192" i="9" s="1"/>
  <c r="CN189" i="9" s="1"/>
  <c r="JB69" i="2"/>
  <c r="CM193" i="9" l="1"/>
  <c r="CM141" i="9" s="1"/>
  <c r="CM144" i="9" s="1"/>
  <c r="CM157" i="9" s="1"/>
  <c r="JC56" i="2"/>
  <c r="CM126" i="9" l="1"/>
  <c r="CM103" i="9" s="1"/>
  <c r="JC69" i="2"/>
  <c r="CM128" i="9" l="1"/>
  <c r="CM136" i="9" s="1"/>
  <c r="CM149" i="9"/>
  <c r="CM107" i="9"/>
  <c r="CM148" i="9" s="1"/>
  <c r="JD56" i="2"/>
  <c r="CM135" i="9" l="1"/>
  <c r="CM205" i="9"/>
  <c r="CN116" i="9"/>
  <c r="CN124" i="9" s="1"/>
  <c r="CM110" i="9"/>
  <c r="CN101" i="9" s="1"/>
  <c r="CM151" i="9"/>
  <c r="CM200" i="9" s="1"/>
  <c r="CM201" i="9" s="1"/>
  <c r="JD69" i="2"/>
  <c r="CN123" i="9" l="1"/>
  <c r="CN197" i="9" s="1"/>
  <c r="CM134" i="9"/>
  <c r="CM113" i="9"/>
  <c r="CM198" i="9"/>
  <c r="CM133" i="9"/>
  <c r="CM199" i="9"/>
  <c r="CM202" i="9"/>
  <c r="CM111" i="9"/>
  <c r="CM112" i="9"/>
  <c r="CM153" i="9"/>
  <c r="CM155" i="9" s="1"/>
  <c r="CN147" i="9"/>
  <c r="JE56" i="2"/>
  <c r="CN108" i="9"/>
  <c r="CN109" i="9"/>
  <c r="CC203" i="9" l="1"/>
  <c r="CC131" i="9"/>
  <c r="CC132" i="9"/>
  <c r="CN146" i="9"/>
  <c r="CN130" i="9"/>
  <c r="CN154" i="9"/>
  <c r="CN196" i="9"/>
  <c r="JE69" i="2"/>
  <c r="CN145" i="9"/>
  <c r="CN190" i="9"/>
  <c r="CN204" i="9" l="1"/>
  <c r="CN191" i="9"/>
  <c r="CN193" i="9" s="1"/>
  <c r="CN141" i="9" s="1"/>
  <c r="CN144" i="9" s="1"/>
  <c r="JF56" i="2"/>
  <c r="JF69" i="2" s="1"/>
  <c r="JG56" i="2" l="1"/>
  <c r="CN157" i="9"/>
  <c r="CN126" i="9"/>
  <c r="CN103" i="9" s="1"/>
  <c r="CN192" i="9"/>
  <c r="CO189" i="9" s="1"/>
  <c r="CN107" i="9" l="1"/>
  <c r="CN148" i="9" s="1"/>
  <c r="CN149" i="9"/>
  <c r="CN128" i="9"/>
  <c r="CN136" i="9" s="1"/>
  <c r="JG69" i="2"/>
  <c r="CN110" i="9" l="1"/>
  <c r="CO101" i="9" s="1"/>
  <c r="CN205" i="9"/>
  <c r="JH56" i="2"/>
  <c r="CN151" i="9"/>
  <c r="CN200" i="9" s="1"/>
  <c r="CN201" i="9" s="1"/>
  <c r="CO116" i="9"/>
  <c r="CN135" i="9"/>
  <c r="CN134" i="9" l="1"/>
  <c r="CN113" i="9"/>
  <c r="CN133" i="9"/>
  <c r="CN198" i="9"/>
  <c r="CN199" i="9"/>
  <c r="CN202" i="9"/>
  <c r="CN111" i="9"/>
  <c r="CN112" i="9"/>
  <c r="CN153" i="9"/>
  <c r="CN155" i="9" s="1"/>
  <c r="CO123" i="9"/>
  <c r="CO124" i="9"/>
  <c r="CO108" i="9"/>
  <c r="CO109" i="9"/>
  <c r="JH69" i="2"/>
  <c r="CO145" i="9" l="1"/>
  <c r="CO190" i="9"/>
  <c r="CO147" i="9"/>
  <c r="CD203" i="9"/>
  <c r="CO197" i="9"/>
  <c r="CO196" i="9"/>
  <c r="CO154" i="9"/>
  <c r="CO130" i="9"/>
  <c r="CO146" i="9"/>
  <c r="CD131" i="9"/>
  <c r="CD132" i="9"/>
  <c r="JI56" i="2"/>
  <c r="CO191" i="9" l="1"/>
  <c r="CO193" i="9" s="1"/>
  <c r="CO141" i="9" s="1"/>
  <c r="CO144" i="9" s="1"/>
  <c r="CO204" i="9"/>
  <c r="JI69" i="2"/>
  <c r="CO192" i="9" l="1"/>
  <c r="CP189" i="9" s="1"/>
  <c r="CO157" i="9"/>
  <c r="CO126" i="9"/>
  <c r="CO107" i="9" s="1"/>
  <c r="JJ56" i="2"/>
  <c r="CO148" i="9" l="1"/>
  <c r="CO110" i="9"/>
  <c r="CO113" i="9" s="1"/>
  <c r="JJ69" i="2"/>
  <c r="CO149" i="9"/>
  <c r="CO128" i="9"/>
  <c r="CO136" i="9" s="1"/>
  <c r="CO103" i="9"/>
  <c r="JK56" i="2" l="1"/>
  <c r="JK69" i="2" s="1"/>
  <c r="CO151" i="9"/>
  <c r="CO153" i="9" s="1"/>
  <c r="CP101" i="9"/>
  <c r="CO112" i="9"/>
  <c r="CO111" i="9"/>
  <c r="CO199" i="9"/>
  <c r="CO133" i="9"/>
  <c r="CO198" i="9"/>
  <c r="CO202" i="9"/>
  <c r="CO134" i="9"/>
  <c r="CP116" i="9"/>
  <c r="CO135" i="9"/>
  <c r="CO205" i="9"/>
  <c r="JL56" i="2" l="1"/>
  <c r="CP108" i="9"/>
  <c r="CP109" i="9"/>
  <c r="CP123" i="9"/>
  <c r="CP124" i="9"/>
  <c r="CO200" i="9"/>
  <c r="CO201" i="9" s="1"/>
  <c r="CO155" i="9"/>
  <c r="CP145" i="9" l="1"/>
  <c r="CP190" i="9"/>
  <c r="CP197" i="9"/>
  <c r="CP196" i="9"/>
  <c r="CP154" i="9"/>
  <c r="CP130" i="9"/>
  <c r="CP146" i="9"/>
  <c r="CE132" i="9"/>
  <c r="CE131" i="9"/>
  <c r="CP147" i="9"/>
  <c r="CE203" i="9"/>
  <c r="JL69" i="2"/>
  <c r="CP204" i="9" l="1"/>
  <c r="CP191" i="9"/>
  <c r="CP193" i="9" s="1"/>
  <c r="CP141" i="9" s="1"/>
  <c r="CP144" i="9" s="1"/>
  <c r="JM56" i="2"/>
  <c r="JM69" i="2" s="1"/>
  <c r="CP192" i="9" l="1"/>
  <c r="CQ189" i="9" s="1"/>
  <c r="JN56" i="2"/>
  <c r="CP157" i="9"/>
  <c r="CP126" i="9"/>
  <c r="CP103" i="9" s="1"/>
  <c r="CP107" i="9" l="1"/>
  <c r="CP149" i="9"/>
  <c r="CP128" i="9"/>
  <c r="CP136" i="9" s="1"/>
  <c r="JN69" i="2"/>
  <c r="JO56" i="2" l="1"/>
  <c r="CQ116" i="9"/>
  <c r="CP135" i="9"/>
  <c r="CP148" i="9"/>
  <c r="CP205" i="9" s="1"/>
  <c r="CP110" i="9"/>
  <c r="CP151" i="9"/>
  <c r="CP200" i="9" l="1"/>
  <c r="CP201" i="9" s="1"/>
  <c r="CP153" i="9"/>
  <c r="CQ101" i="9"/>
  <c r="CP112" i="9"/>
  <c r="CP111" i="9"/>
  <c r="CP134" i="9"/>
  <c r="CP198" i="9"/>
  <c r="CP199" i="9"/>
  <c r="CP202" i="9"/>
  <c r="CP133" i="9"/>
  <c r="CQ123" i="9"/>
  <c r="CQ124" i="9"/>
  <c r="CP113" i="9"/>
  <c r="JO69" i="2"/>
  <c r="CQ108" i="9" l="1"/>
  <c r="CQ109" i="9"/>
  <c r="JP56" i="2"/>
  <c r="CQ147" i="9"/>
  <c r="CF203" i="9"/>
  <c r="CQ197" i="9"/>
  <c r="CQ196" i="9"/>
  <c r="CQ154" i="9"/>
  <c r="CQ130" i="9"/>
  <c r="CQ146" i="9"/>
  <c r="CF131" i="9"/>
  <c r="CF132" i="9"/>
  <c r="CP155" i="9"/>
  <c r="CQ145" i="9" l="1"/>
  <c r="CQ204" i="9" s="1"/>
  <c r="CQ190" i="9"/>
  <c r="JP69" i="2"/>
  <c r="JQ56" i="2" l="1"/>
  <c r="CQ191" i="9"/>
  <c r="CQ193" i="9" s="1"/>
  <c r="CQ141" i="9" s="1"/>
  <c r="CQ144" i="9" s="1"/>
  <c r="CQ157" i="9" l="1"/>
  <c r="CQ126" i="9"/>
  <c r="CQ103" i="9" s="1"/>
  <c r="CQ192" i="9"/>
  <c r="CR189" i="9" s="1"/>
  <c r="JQ69" i="2"/>
  <c r="CQ107" i="9" l="1"/>
  <c r="CQ148" i="9" s="1"/>
  <c r="JR56" i="2"/>
  <c r="JR69" i="2" s="1"/>
  <c r="CQ149" i="9"/>
  <c r="CQ128" i="9"/>
  <c r="CQ151" i="9" l="1"/>
  <c r="CQ200" i="9" s="1"/>
  <c r="CQ201" i="9" s="1"/>
  <c r="CQ110" i="9"/>
  <c r="CQ199" i="9" s="1"/>
  <c r="JS56" i="2"/>
  <c r="CQ205" i="9"/>
  <c r="CR116" i="9"/>
  <c r="CQ135" i="9"/>
  <c r="CQ136" i="9"/>
  <c r="CQ134" i="9" l="1"/>
  <c r="CQ133" i="9"/>
  <c r="CQ111" i="9"/>
  <c r="CQ198" i="9"/>
  <c r="CQ112" i="9"/>
  <c r="CR101" i="9"/>
  <c r="CR109" i="9" s="1"/>
  <c r="CQ113" i="9"/>
  <c r="CQ202" i="9"/>
  <c r="CQ153" i="9"/>
  <c r="CQ155" i="9" s="1"/>
  <c r="CR123" i="9"/>
  <c r="CR124" i="9"/>
  <c r="JS69" i="2"/>
  <c r="CR108" i="9" l="1"/>
  <c r="CR145" i="9" s="1"/>
  <c r="JT56" i="2"/>
  <c r="CR147" i="9"/>
  <c r="CG203" i="9"/>
  <c r="CR197" i="9"/>
  <c r="CR196" i="9"/>
  <c r="CR154" i="9"/>
  <c r="CR130" i="9"/>
  <c r="CR146" i="9"/>
  <c r="CG131" i="9"/>
  <c r="CG132" i="9"/>
  <c r="CR190" i="9" l="1"/>
  <c r="CR191" i="9" s="1"/>
  <c r="CR193" i="9" s="1"/>
  <c r="CR141" i="9" s="1"/>
  <c r="CR144" i="9" s="1"/>
  <c r="CR204" i="9"/>
  <c r="JT69" i="2"/>
  <c r="CR192" i="9" l="1"/>
  <c r="CS189" i="9" s="1"/>
  <c r="JU56" i="2"/>
  <c r="JU69" i="2" s="1"/>
  <c r="CR157" i="9"/>
  <c r="CR126" i="9"/>
  <c r="CR103" i="9" s="1"/>
  <c r="CR149" i="9" l="1"/>
  <c r="CR128" i="9"/>
  <c r="CR136" i="9" s="1"/>
  <c r="JV56" i="2"/>
  <c r="CR107" i="9"/>
  <c r="CR148" i="9" l="1"/>
  <c r="CR205" i="9" s="1"/>
  <c r="CR110" i="9"/>
  <c r="CR113" i="9" s="1"/>
  <c r="CR151" i="9"/>
  <c r="JV69" i="2"/>
  <c r="CS116" i="9"/>
  <c r="CR135" i="9"/>
  <c r="CS123" i="9" l="1"/>
  <c r="CS124" i="9"/>
  <c r="JW56" i="2"/>
  <c r="CR153" i="9"/>
  <c r="CR200" i="9"/>
  <c r="CR201" i="9" s="1"/>
  <c r="CS101" i="9"/>
  <c r="CR112" i="9"/>
  <c r="CR111" i="9"/>
  <c r="CR199" i="9"/>
  <c r="CR198" i="9"/>
  <c r="CR133" i="9"/>
  <c r="CR134" i="9"/>
  <c r="CR202" i="9"/>
  <c r="CS147" i="9" l="1"/>
  <c r="CH203" i="9"/>
  <c r="CS108" i="9"/>
  <c r="CS109" i="9"/>
  <c r="JW69" i="2"/>
  <c r="CS197" i="9"/>
  <c r="CS196" i="9"/>
  <c r="CS154" i="9"/>
  <c r="CS130" i="9"/>
  <c r="CS146" i="9"/>
  <c r="CH132" i="9"/>
  <c r="CH131" i="9"/>
  <c r="CR155" i="9"/>
  <c r="CS145" i="9" l="1"/>
  <c r="CS204" i="9" s="1"/>
  <c r="CS190" i="9"/>
  <c r="JX56" i="2"/>
  <c r="JX69" i="2" s="1"/>
  <c r="CS191" i="9" l="1"/>
  <c r="CS193" i="9" s="1"/>
  <c r="CS141" i="9" s="1"/>
  <c r="CS144" i="9" s="1"/>
  <c r="EU56" i="2"/>
  <c r="CS157" i="9" l="1"/>
  <c r="CS126" i="9"/>
  <c r="CS192" i="9"/>
  <c r="CT189" i="9" s="1"/>
  <c r="EU70" i="2"/>
  <c r="EU57" i="2" l="1"/>
  <c r="EV57" i="2"/>
  <c r="CS149" i="9"/>
  <c r="CS128" i="9"/>
  <c r="CS103" i="9"/>
  <c r="CS107" i="9"/>
  <c r="CS148" i="9" l="1"/>
  <c r="CS205" i="9" s="1"/>
  <c r="CS110" i="9"/>
  <c r="CS151" i="9"/>
  <c r="CT116" i="9"/>
  <c r="CS135" i="9"/>
  <c r="EV73" i="2"/>
  <c r="EV60" i="2"/>
  <c r="CS136" i="9"/>
  <c r="EV70" i="2"/>
  <c r="CT123" i="9" l="1"/>
  <c r="CT124" i="9"/>
  <c r="EV86" i="2"/>
  <c r="EV87" i="2" s="1"/>
  <c r="EV77" i="2"/>
  <c r="CS153" i="9"/>
  <c r="CS200" i="9"/>
  <c r="CS201" i="9" s="1"/>
  <c r="CT101" i="9"/>
  <c r="CS112" i="9"/>
  <c r="CS111" i="9"/>
  <c r="CS134" i="9"/>
  <c r="CS202" i="9"/>
  <c r="CS198" i="9"/>
  <c r="CS199" i="9"/>
  <c r="CS133" i="9"/>
  <c r="EW57" i="2"/>
  <c r="CS113" i="9"/>
  <c r="EV88" i="2" l="1"/>
  <c r="L61" i="2" s="1"/>
  <c r="EV66" i="2"/>
  <c r="EW73" i="2"/>
  <c r="CT197" i="9"/>
  <c r="CT196" i="9"/>
  <c r="CT154" i="9"/>
  <c r="CT130" i="9"/>
  <c r="CT146" i="9"/>
  <c r="CI132" i="9"/>
  <c r="CI131" i="9"/>
  <c r="CT108" i="9"/>
  <c r="CT109" i="9"/>
  <c r="EW70" i="2"/>
  <c r="CT147" i="9"/>
  <c r="CI203" i="9"/>
  <c r="CS155" i="9"/>
  <c r="CT145" i="9" l="1"/>
  <c r="CT204" i="9" s="1"/>
  <c r="CT190" i="9"/>
  <c r="L62" i="2"/>
  <c r="EW86" i="2"/>
  <c r="EW87" i="2" s="1"/>
  <c r="EW77" i="2"/>
  <c r="EX57" i="2"/>
  <c r="EX73" i="2" s="1"/>
  <c r="EX70" i="2" l="1"/>
  <c r="EY57" i="2" s="1"/>
  <c r="EY73" i="2" s="1"/>
  <c r="EX86" i="2"/>
  <c r="EX87" i="2" s="1"/>
  <c r="EX77" i="2"/>
  <c r="EW88" i="2"/>
  <c r="M61" i="2" s="1"/>
  <c r="EW66" i="2"/>
  <c r="CT191" i="9"/>
  <c r="CT192" i="9" s="1"/>
  <c r="CU189" i="9" s="1"/>
  <c r="CT193" i="9" l="1"/>
  <c r="CT141" i="9" s="1"/>
  <c r="CT144" i="9" s="1"/>
  <c r="CT157" i="9" s="1"/>
  <c r="EW61" i="2"/>
  <c r="M62" i="2"/>
  <c r="EY86" i="2"/>
  <c r="EY87" i="2" s="1"/>
  <c r="EY77" i="2"/>
  <c r="EX88" i="2"/>
  <c r="N61" i="2" s="1"/>
  <c r="N62" i="2" s="1"/>
  <c r="EX66" i="2"/>
  <c r="EY70" i="2"/>
  <c r="CT126" i="9" l="1"/>
  <c r="CT103" i="9" s="1"/>
  <c r="M197" i="2"/>
  <c r="EW62" i="2"/>
  <c r="EZ57" i="2"/>
  <c r="EZ70" i="2" s="1"/>
  <c r="EY88" i="2"/>
  <c r="O61" i="2" s="1"/>
  <c r="O62" i="2" s="1"/>
  <c r="EY66" i="2"/>
  <c r="CT128" i="9" l="1"/>
  <c r="CU116" i="9" s="1"/>
  <c r="CT149" i="9"/>
  <c r="CT107" i="9"/>
  <c r="FA57" i="2"/>
  <c r="M212" i="2"/>
  <c r="H83" i="3"/>
  <c r="EW58" i="2"/>
  <c r="EZ73" i="2"/>
  <c r="CT136" i="9" l="1"/>
  <c r="CT151" i="9"/>
  <c r="CT200" i="9" s="1"/>
  <c r="CT201" i="9" s="1"/>
  <c r="CT135" i="9"/>
  <c r="CT148" i="9"/>
  <c r="CT205" i="9" s="1"/>
  <c r="CT110" i="9"/>
  <c r="CU123" i="9"/>
  <c r="CU124" i="9"/>
  <c r="FA70" i="2"/>
  <c r="DO18" i="7"/>
  <c r="DO12" i="7"/>
  <c r="DO28" i="7"/>
  <c r="EW196" i="2"/>
  <c r="M228" i="2"/>
  <c r="M229" i="2"/>
  <c r="H94" i="3"/>
  <c r="DO29" i="7"/>
  <c r="DO27" i="7"/>
  <c r="EZ86" i="2"/>
  <c r="EZ77" i="2"/>
  <c r="FA73" i="2"/>
  <c r="EW74" i="2"/>
  <c r="EW60" i="2"/>
  <c r="EX61" i="2"/>
  <c r="CT153" i="9" l="1"/>
  <c r="CT155" i="9" s="1"/>
  <c r="CU101" i="9"/>
  <c r="CT111" i="9"/>
  <c r="CT198" i="9"/>
  <c r="CT112" i="9"/>
  <c r="CT199" i="9"/>
  <c r="CT202" i="9"/>
  <c r="CT134" i="9"/>
  <c r="CT113" i="9"/>
  <c r="CT133" i="9"/>
  <c r="N197" i="2"/>
  <c r="EX62" i="2"/>
  <c r="EW206" i="2"/>
  <c r="M249" i="2"/>
  <c r="M230" i="2"/>
  <c r="M250" i="2"/>
  <c r="FB57" i="2"/>
  <c r="EW201" i="2"/>
  <c r="CU147" i="9"/>
  <c r="CJ203" i="9"/>
  <c r="EW200" i="2"/>
  <c r="EZ88" i="2"/>
  <c r="P61" i="2" s="1"/>
  <c r="DO17" i="7"/>
  <c r="CU197" i="9"/>
  <c r="CU196" i="9"/>
  <c r="CU154" i="9"/>
  <c r="CU130" i="9"/>
  <c r="CU146" i="9"/>
  <c r="CJ132" i="9"/>
  <c r="CJ131" i="9"/>
  <c r="FA77" i="2"/>
  <c r="FA86" i="2"/>
  <c r="EZ87" i="2"/>
  <c r="EZ66" i="2" s="1"/>
  <c r="DO19" i="7"/>
  <c r="CU109" i="9" l="1"/>
  <c r="CU108" i="9"/>
  <c r="EW240" i="2"/>
  <c r="EW203" i="2"/>
  <c r="EW202" i="2"/>
  <c r="EX198" i="2" s="1"/>
  <c r="M251" i="2"/>
  <c r="P62" i="2"/>
  <c r="EW216" i="2"/>
  <c r="EW207" i="2"/>
  <c r="EW209" i="2" s="1"/>
  <c r="FA88" i="2"/>
  <c r="Q61" i="2" s="1"/>
  <c r="Q62" i="2" s="1"/>
  <c r="FB70" i="2"/>
  <c r="FB73" i="2"/>
  <c r="FA87" i="2"/>
  <c r="FA66" i="2" s="1"/>
  <c r="I83" i="3"/>
  <c r="N212" i="2"/>
  <c r="EX58" i="2"/>
  <c r="CU145" i="9" l="1"/>
  <c r="CU204" i="9" s="1"/>
  <c r="CU190" i="9"/>
  <c r="CU191" i="9" s="1"/>
  <c r="CU193" i="9" s="1"/>
  <c r="CU141" i="9" s="1"/>
  <c r="CU144" i="9" s="1"/>
  <c r="CU157" i="9" s="1"/>
  <c r="EW208" i="2"/>
  <c r="EX204" i="2" s="1"/>
  <c r="EX205" i="2" s="1"/>
  <c r="DP28" i="7"/>
  <c r="DP18" i="7"/>
  <c r="DP12" i="7"/>
  <c r="EX196" i="2"/>
  <c r="N228" i="2"/>
  <c r="N229" i="2"/>
  <c r="I94" i="3"/>
  <c r="DP27" i="7"/>
  <c r="DP29" i="7"/>
  <c r="EX199" i="2"/>
  <c r="FC57" i="2"/>
  <c r="FC73" i="2" s="1"/>
  <c r="FB86" i="2"/>
  <c r="FB77" i="2"/>
  <c r="EW211" i="2"/>
  <c r="EX60" i="2"/>
  <c r="EY61" i="2"/>
  <c r="EX74" i="2"/>
  <c r="CU126" i="9" l="1"/>
  <c r="CU107" i="9" s="1"/>
  <c r="CU148" i="9" s="1"/>
  <c r="CU192" i="9"/>
  <c r="CV189" i="9" s="1"/>
  <c r="EX201" i="2"/>
  <c r="EX216" i="2" s="1"/>
  <c r="FC77" i="2"/>
  <c r="FC86" i="2"/>
  <c r="M233" i="2"/>
  <c r="EW212" i="2"/>
  <c r="EW217" i="2" s="1"/>
  <c r="EX206" i="2"/>
  <c r="N249" i="2"/>
  <c r="N250" i="2"/>
  <c r="N230" i="2"/>
  <c r="DP17" i="7"/>
  <c r="FB88" i="2"/>
  <c r="R61" i="2" s="1"/>
  <c r="R62" i="2" s="1"/>
  <c r="DP19" i="7"/>
  <c r="O197" i="2"/>
  <c r="EY62" i="2"/>
  <c r="EY58" i="2" s="1"/>
  <c r="EX200" i="2"/>
  <c r="FB87" i="2"/>
  <c r="FB66" i="2" s="1"/>
  <c r="FC70" i="2"/>
  <c r="CU103" i="9" l="1"/>
  <c r="CU110" i="9"/>
  <c r="CU113" i="9" s="1"/>
  <c r="CU128" i="9"/>
  <c r="CU136" i="9" s="1"/>
  <c r="CU149" i="9"/>
  <c r="CU205" i="9" s="1"/>
  <c r="EX207" i="2"/>
  <c r="EX208" i="2" s="1"/>
  <c r="EY204" i="2" s="1"/>
  <c r="EY205" i="2" s="1"/>
  <c r="EZ61" i="2"/>
  <c r="EY60" i="2"/>
  <c r="EY74" i="2"/>
  <c r="FD57" i="2"/>
  <c r="EX240" i="2"/>
  <c r="O212" i="2"/>
  <c r="J83" i="3"/>
  <c r="EW220" i="2"/>
  <c r="EW226" i="2"/>
  <c r="EW219" i="2"/>
  <c r="EW218" i="2"/>
  <c r="EX214" i="2" s="1"/>
  <c r="FC88" i="2"/>
  <c r="S61" i="2" s="1"/>
  <c r="S62" i="2" s="1"/>
  <c r="N251" i="2"/>
  <c r="EX203" i="2"/>
  <c r="EX202" i="2"/>
  <c r="EY198" i="2" s="1"/>
  <c r="FC87" i="2"/>
  <c r="FC66" i="2" s="1"/>
  <c r="CU151" i="9" l="1"/>
  <c r="CU200" i="9" s="1"/>
  <c r="CU201" i="9" s="1"/>
  <c r="EX209" i="2"/>
  <c r="CU202" i="9"/>
  <c r="CV101" i="9"/>
  <c r="CV108" i="9" s="1"/>
  <c r="CU112" i="9"/>
  <c r="CU111" i="9"/>
  <c r="CU135" i="9"/>
  <c r="EX211" i="2"/>
  <c r="N233" i="2" s="1"/>
  <c r="CU133" i="9"/>
  <c r="CV116" i="9"/>
  <c r="CV124" i="9" s="1"/>
  <c r="CU198" i="9"/>
  <c r="CU199" i="9"/>
  <c r="CU134" i="9"/>
  <c r="EX215" i="2"/>
  <c r="EW222" i="2"/>
  <c r="EY199" i="2"/>
  <c r="FD73" i="2"/>
  <c r="FD70" i="2"/>
  <c r="DQ18" i="7"/>
  <c r="DQ12" i="7"/>
  <c r="DQ28" i="7"/>
  <c r="EY196" i="2"/>
  <c r="O228" i="2"/>
  <c r="O229" i="2"/>
  <c r="J94" i="3"/>
  <c r="DQ27" i="7"/>
  <c r="DQ29" i="7"/>
  <c r="P197" i="2"/>
  <c r="EZ62" i="2"/>
  <c r="EZ58" i="2" s="1"/>
  <c r="CU153" i="9" l="1"/>
  <c r="CU155" i="9" s="1"/>
  <c r="CV109" i="9"/>
  <c r="CV145" i="9" s="1"/>
  <c r="CV123" i="9"/>
  <c r="CK131" i="9" s="1"/>
  <c r="EX212" i="2"/>
  <c r="EX217" i="2" s="1"/>
  <c r="EX218" i="2" s="1"/>
  <c r="EY214" i="2" s="1"/>
  <c r="EY201" i="2"/>
  <c r="EY216" i="2" s="1"/>
  <c r="FA61" i="2"/>
  <c r="EZ60" i="2"/>
  <c r="EZ74" i="2"/>
  <c r="EY200" i="2"/>
  <c r="EY206" i="2"/>
  <c r="O250" i="2"/>
  <c r="O249" i="2"/>
  <c r="O230" i="2"/>
  <c r="DQ17" i="7"/>
  <c r="CV147" i="9"/>
  <c r="P212" i="2"/>
  <c r="K83" i="3"/>
  <c r="FD86" i="2"/>
  <c r="FD87" i="2" s="1"/>
  <c r="FD77" i="2"/>
  <c r="DQ19" i="7"/>
  <c r="FE57" i="2"/>
  <c r="FE73" i="2" s="1"/>
  <c r="M234" i="2"/>
  <c r="EW223" i="2"/>
  <c r="CV190" i="9" l="1"/>
  <c r="CV191" i="9" s="1"/>
  <c r="CV192" i="9" s="1"/>
  <c r="CW189" i="9" s="1"/>
  <c r="CV154" i="9"/>
  <c r="CV196" i="9"/>
  <c r="CV146" i="9"/>
  <c r="CV204" i="9" s="1"/>
  <c r="CV130" i="9"/>
  <c r="CV197" i="9"/>
  <c r="EY207" i="2"/>
  <c r="EY211" i="2" s="1"/>
  <c r="CK203" i="9"/>
  <c r="CK132" i="9"/>
  <c r="FE70" i="2"/>
  <c r="FF57" i="2" s="1"/>
  <c r="FF73" i="2" s="1"/>
  <c r="FD88" i="2"/>
  <c r="T61" i="2" s="1"/>
  <c r="T62" i="2" s="1"/>
  <c r="FD66" i="2"/>
  <c r="EY203" i="2"/>
  <c r="EY202" i="2"/>
  <c r="EZ198" i="2" s="1"/>
  <c r="EY215" i="2"/>
  <c r="DR28" i="7"/>
  <c r="DR12" i="7"/>
  <c r="DR18" i="7"/>
  <c r="EZ196" i="2"/>
  <c r="P228" i="2"/>
  <c r="P229" i="2"/>
  <c r="K94" i="3"/>
  <c r="DR29" i="7"/>
  <c r="DR27" i="7"/>
  <c r="O251" i="2"/>
  <c r="EY240" i="2"/>
  <c r="EW227" i="2"/>
  <c r="FE86" i="2"/>
  <c r="FE87" i="2" s="1"/>
  <c r="FE77" i="2"/>
  <c r="Q197" i="2"/>
  <c r="FA62" i="2"/>
  <c r="FA58" i="2" s="1"/>
  <c r="FA74" i="2" s="1"/>
  <c r="EX220" i="2"/>
  <c r="EX226" i="2"/>
  <c r="EX219" i="2"/>
  <c r="EY208" i="2" l="1"/>
  <c r="EZ204" i="2" s="1"/>
  <c r="EZ205" i="2" s="1"/>
  <c r="EY209" i="2"/>
  <c r="EZ199" i="2"/>
  <c r="EZ201" i="2" s="1"/>
  <c r="CV193" i="9"/>
  <c r="CV141" i="9" s="1"/>
  <c r="CV144" i="9" s="1"/>
  <c r="EZ200" i="2"/>
  <c r="FE88" i="2"/>
  <c r="U61" i="2" s="1"/>
  <c r="U62" i="2" s="1"/>
  <c r="FE66" i="2"/>
  <c r="EX222" i="2"/>
  <c r="EZ206" i="2"/>
  <c r="P249" i="2"/>
  <c r="P230" i="2"/>
  <c r="P250" i="2"/>
  <c r="O233" i="2"/>
  <c r="EY212" i="2"/>
  <c r="EY217" i="2" s="1"/>
  <c r="FF86" i="2"/>
  <c r="FF77" i="2"/>
  <c r="DR19" i="7"/>
  <c r="Q212" i="2"/>
  <c r="L83" i="3"/>
  <c r="EW230" i="2"/>
  <c r="EW228" i="2"/>
  <c r="EX224" i="2" s="1"/>
  <c r="EW229" i="2"/>
  <c r="FB61" i="2"/>
  <c r="FA60" i="2"/>
  <c r="DR17" i="7"/>
  <c r="FF70" i="2"/>
  <c r="EY220" i="2" l="1"/>
  <c r="EY226" i="2"/>
  <c r="EY219" i="2"/>
  <c r="EY218" i="2"/>
  <c r="EZ214" i="2" s="1"/>
  <c r="EZ216" i="2"/>
  <c r="EZ207" i="2"/>
  <c r="EZ240" i="2"/>
  <c r="CV157" i="9"/>
  <c r="CV126" i="9"/>
  <c r="CV103" i="9" s="1"/>
  <c r="EX225" i="2"/>
  <c r="EZ202" i="2"/>
  <c r="FA198" i="2" s="1"/>
  <c r="N234" i="2"/>
  <c r="EX223" i="2"/>
  <c r="R197" i="2"/>
  <c r="FB62" i="2"/>
  <c r="FB58" i="2" s="1"/>
  <c r="DS12" i="7"/>
  <c r="DS17" i="7" s="1"/>
  <c r="DS28" i="7"/>
  <c r="DS18" i="7"/>
  <c r="DS19" i="7" s="1"/>
  <c r="FA196" i="2"/>
  <c r="Q228" i="2"/>
  <c r="Q229" i="2"/>
  <c r="L94" i="3"/>
  <c r="DS29" i="7"/>
  <c r="DS27" i="7"/>
  <c r="FG57" i="2"/>
  <c r="EW231" i="2"/>
  <c r="FF88" i="2"/>
  <c r="V61" i="2" s="1"/>
  <c r="V62" i="2" s="1"/>
  <c r="P251" i="2"/>
  <c r="FF87" i="2"/>
  <c r="FF66" i="2" s="1"/>
  <c r="EZ203" i="2"/>
  <c r="EX227" i="2" l="1"/>
  <c r="EX228" i="2" s="1"/>
  <c r="EY224" i="2" s="1"/>
  <c r="EY225" i="2" s="1"/>
  <c r="FC61" i="2"/>
  <c r="FB60" i="2"/>
  <c r="FB74" i="2"/>
  <c r="FG73" i="2"/>
  <c r="CV107" i="9"/>
  <c r="R212" i="2"/>
  <c r="M83" i="3"/>
  <c r="EZ215" i="2"/>
  <c r="M235" i="2"/>
  <c r="EW232" i="2"/>
  <c r="FG70" i="2"/>
  <c r="FA206" i="2"/>
  <c r="Q249" i="2"/>
  <c r="Q230" i="2"/>
  <c r="Q250" i="2"/>
  <c r="EZ211" i="2"/>
  <c r="EZ209" i="2"/>
  <c r="FA199" i="2"/>
  <c r="EY222" i="2"/>
  <c r="CV149" i="9"/>
  <c r="CV128" i="9"/>
  <c r="FA200" i="2"/>
  <c r="EZ208" i="2"/>
  <c r="FA204" i="2" s="1"/>
  <c r="EX229" i="2" l="1"/>
  <c r="EX230" i="2"/>
  <c r="EX231" i="2" s="1"/>
  <c r="FA201" i="2"/>
  <c r="FA202" i="2" s="1"/>
  <c r="FB198" i="2" s="1"/>
  <c r="FB199" i="2" s="1"/>
  <c r="FH57" i="2"/>
  <c r="FH70" i="2" s="1"/>
  <c r="Q251" i="2"/>
  <c r="FG77" i="2"/>
  <c r="FG86" i="2"/>
  <c r="FG87" i="2" s="1"/>
  <c r="DT28" i="7"/>
  <c r="DT12" i="7"/>
  <c r="DT17" i="7" s="1"/>
  <c r="DT18" i="7"/>
  <c r="DT19" i="7" s="1"/>
  <c r="FB196" i="2"/>
  <c r="R229" i="2"/>
  <c r="R228" i="2"/>
  <c r="M94" i="3"/>
  <c r="DT27" i="7"/>
  <c r="DT29" i="7"/>
  <c r="EW233" i="2"/>
  <c r="EW234" i="2"/>
  <c r="M239" i="2" s="1"/>
  <c r="S197" i="2"/>
  <c r="FC62" i="2"/>
  <c r="FC58" i="2" s="1"/>
  <c r="CW116" i="9"/>
  <c r="CV135" i="9"/>
  <c r="P233" i="2"/>
  <c r="EZ212" i="2"/>
  <c r="EZ217" i="2" s="1"/>
  <c r="O234" i="2"/>
  <c r="EY223" i="2"/>
  <c r="EY227" i="2" s="1"/>
  <c r="FA240" i="2"/>
  <c r="CV148" i="9"/>
  <c r="CV205" i="9" s="1"/>
  <c r="CV110" i="9"/>
  <c r="CV113" i="9" s="1"/>
  <c r="CV151" i="9"/>
  <c r="CV153" i="9" s="1"/>
  <c r="CV136" i="9"/>
  <c r="FA205" i="2"/>
  <c r="FA216" i="2" l="1"/>
  <c r="FA203" i="2"/>
  <c r="FA207" i="2"/>
  <c r="FA209" i="2" s="1"/>
  <c r="FB201" i="2"/>
  <c r="FB216" i="2" s="1"/>
  <c r="CV200" i="9"/>
  <c r="CV201" i="9" s="1"/>
  <c r="CV155" i="9"/>
  <c r="FD61" i="2"/>
  <c r="FC60" i="2"/>
  <c r="FC74" i="2"/>
  <c r="FI57" i="2"/>
  <c r="EZ220" i="2"/>
  <c r="EZ219" i="2"/>
  <c r="EZ226" i="2"/>
  <c r="EZ218" i="2"/>
  <c r="FA214" i="2" s="1"/>
  <c r="N235" i="2"/>
  <c r="EX232" i="2"/>
  <c r="CW123" i="9"/>
  <c r="CW124" i="9"/>
  <c r="EY230" i="2"/>
  <c r="EY229" i="2"/>
  <c r="EY228" i="2"/>
  <c r="EZ224" i="2" s="1"/>
  <c r="FB206" i="2"/>
  <c r="R230" i="2"/>
  <c r="R250" i="2"/>
  <c r="R249" i="2"/>
  <c r="FB200" i="2"/>
  <c r="S212" i="2"/>
  <c r="N83" i="3"/>
  <c r="M244" i="2"/>
  <c r="EW235" i="2"/>
  <c r="M236" i="2" s="1"/>
  <c r="M240" i="2"/>
  <c r="M241" i="2" s="1"/>
  <c r="FH73" i="2"/>
  <c r="CW101" i="9"/>
  <c r="CV112" i="9"/>
  <c r="CV111" i="9"/>
  <c r="CV198" i="9"/>
  <c r="CV134" i="9"/>
  <c r="CV199" i="9"/>
  <c r="CV133" i="9"/>
  <c r="CV202" i="9"/>
  <c r="FG88" i="2"/>
  <c r="W61" i="2" s="1"/>
  <c r="W62" i="2" s="1"/>
  <c r="FG66" i="2"/>
  <c r="FA211" i="2" l="1"/>
  <c r="Q233" i="2" s="1"/>
  <c r="FA208" i="2"/>
  <c r="FB204" i="2" s="1"/>
  <c r="FB205" i="2" s="1"/>
  <c r="FB207" i="2"/>
  <c r="FB240" i="2"/>
  <c r="DU12" i="7"/>
  <c r="DU17" i="7" s="1"/>
  <c r="DU18" i="7"/>
  <c r="DU19" i="7" s="1"/>
  <c r="DU28" i="7"/>
  <c r="FC196" i="2"/>
  <c r="S228" i="2"/>
  <c r="S229" i="2"/>
  <c r="N94" i="3"/>
  <c r="DU29" i="7"/>
  <c r="DU27" i="7"/>
  <c r="T197" i="2"/>
  <c r="FD62" i="2"/>
  <c r="FD58" i="2" s="1"/>
  <c r="CW196" i="9"/>
  <c r="CW197" i="9"/>
  <c r="CW154" i="9"/>
  <c r="CW130" i="9"/>
  <c r="CW146" i="9"/>
  <c r="CL131" i="9"/>
  <c r="CL132" i="9"/>
  <c r="EZ222" i="2"/>
  <c r="EX234" i="2"/>
  <c r="N239" i="2" s="1"/>
  <c r="EX233" i="2"/>
  <c r="FI70" i="2"/>
  <c r="FB203" i="2"/>
  <c r="FB202" i="2"/>
  <c r="FC198" i="2" s="1"/>
  <c r="FA215" i="2"/>
  <c r="CW108" i="9"/>
  <c r="CW109" i="9"/>
  <c r="FH86" i="2"/>
  <c r="FH87" i="2" s="1"/>
  <c r="FH77" i="2"/>
  <c r="FI73" i="2"/>
  <c r="M245" i="2"/>
  <c r="EZ225" i="2"/>
  <c r="DO13" i="7"/>
  <c r="EW236" i="2"/>
  <c r="R251" i="2"/>
  <c r="CW147" i="9"/>
  <c r="CL203" i="9"/>
  <c r="EY231" i="2"/>
  <c r="FA212" i="2" l="1"/>
  <c r="FA217" i="2" s="1"/>
  <c r="FA220" i="2" s="1"/>
  <c r="FB208" i="2"/>
  <c r="FC204" i="2" s="1"/>
  <c r="FC205" i="2" s="1"/>
  <c r="FB211" i="2"/>
  <c r="FB212" i="2" s="1"/>
  <c r="FB209" i="2"/>
  <c r="FE61" i="2"/>
  <c r="FD60" i="2"/>
  <c r="FD74" i="2"/>
  <c r="DO20" i="7"/>
  <c r="FC206" i="2"/>
  <c r="S250" i="2"/>
  <c r="S230" i="2"/>
  <c r="S249" i="2"/>
  <c r="DO14" i="7"/>
  <c r="DO36" i="7"/>
  <c r="DO31" i="7"/>
  <c r="DO37" i="7"/>
  <c r="DO38" i="7"/>
  <c r="DO34" i="7"/>
  <c r="DO35" i="7"/>
  <c r="DO30" i="7"/>
  <c r="DO32" i="7"/>
  <c r="CW145" i="9"/>
  <c r="CW204" i="9" s="1"/>
  <c r="CW190" i="9"/>
  <c r="O235" i="2"/>
  <c r="EY232" i="2"/>
  <c r="EX235" i="2"/>
  <c r="N236" i="2" s="1"/>
  <c r="N240" i="2"/>
  <c r="N241" i="2" s="1"/>
  <c r="N244" i="2"/>
  <c r="T212" i="2"/>
  <c r="O83" i="3"/>
  <c r="FJ57" i="2"/>
  <c r="FJ73" i="2" s="1"/>
  <c r="FI86" i="2"/>
  <c r="FI87" i="2" s="1"/>
  <c r="FI77" i="2"/>
  <c r="M246" i="2"/>
  <c r="P234" i="2"/>
  <c r="EZ223" i="2"/>
  <c r="FC200" i="2"/>
  <c r="EW241" i="2"/>
  <c r="FH88" i="2"/>
  <c r="X61" i="2" s="1"/>
  <c r="X62" i="2" s="1"/>
  <c r="FH66" i="2"/>
  <c r="FC199" i="2"/>
  <c r="R233" i="2" l="1"/>
  <c r="FA218" i="2"/>
  <c r="FB214" i="2" s="1"/>
  <c r="FB215" i="2" s="1"/>
  <c r="FB217" i="2" s="1"/>
  <c r="FA219" i="2"/>
  <c r="FA226" i="2"/>
  <c r="FC201" i="2"/>
  <c r="FC202" i="2" s="1"/>
  <c r="FD198" i="2" s="1"/>
  <c r="FD199" i="2" s="1"/>
  <c r="S251" i="2"/>
  <c r="DV12" i="7"/>
  <c r="DV17" i="7" s="1"/>
  <c r="DV18" i="7"/>
  <c r="DV19" i="7" s="1"/>
  <c r="DV28" i="7"/>
  <c r="FD196" i="2"/>
  <c r="T229" i="2"/>
  <c r="T228" i="2"/>
  <c r="O94" i="3"/>
  <c r="DV29" i="7"/>
  <c r="DV27" i="7"/>
  <c r="U197" i="2"/>
  <c r="FE62" i="2"/>
  <c r="FE58" i="2" s="1"/>
  <c r="EZ227" i="2"/>
  <c r="EW249" i="2"/>
  <c r="EW244" i="2"/>
  <c r="EW243" i="2"/>
  <c r="EW242" i="2"/>
  <c r="EX238" i="2" s="1"/>
  <c r="FC240" i="2"/>
  <c r="N245" i="2"/>
  <c r="N246" i="2" s="1"/>
  <c r="EY234" i="2"/>
  <c r="O239" i="2" s="1"/>
  <c r="EY233" i="2"/>
  <c r="FJ86" i="2"/>
  <c r="FJ87" i="2" s="1"/>
  <c r="FJ77" i="2"/>
  <c r="FI88" i="2"/>
  <c r="Y61" i="2" s="1"/>
  <c r="Y62" i="2" s="1"/>
  <c r="FI66" i="2"/>
  <c r="FA222" i="2"/>
  <c r="DP13" i="7"/>
  <c r="EX236" i="2"/>
  <c r="CW191" i="9"/>
  <c r="CW192" i="9" s="1"/>
  <c r="CX189" i="9" s="1"/>
  <c r="FJ70" i="2"/>
  <c r="DO15" i="7"/>
  <c r="DO21" i="7"/>
  <c r="FC203" i="2" l="1"/>
  <c r="FC207" i="2"/>
  <c r="FC209" i="2" s="1"/>
  <c r="FC216" i="2"/>
  <c r="FB220" i="2"/>
  <c r="FB226" i="2"/>
  <c r="FB219" i="2"/>
  <c r="FF61" i="2"/>
  <c r="FE60" i="2"/>
  <c r="FE74" i="2"/>
  <c r="EW245" i="2"/>
  <c r="CW193" i="9"/>
  <c r="CW141" i="9" s="1"/>
  <c r="CW144" i="9" s="1"/>
  <c r="FD200" i="2"/>
  <c r="FJ88" i="2"/>
  <c r="Z61" i="2" s="1"/>
  <c r="Z62" i="2" s="1"/>
  <c r="FJ66" i="2"/>
  <c r="FB218" i="2"/>
  <c r="FC214" i="2" s="1"/>
  <c r="U212" i="2"/>
  <c r="P83" i="3"/>
  <c r="EZ230" i="2"/>
  <c r="EZ229" i="2"/>
  <c r="EZ228" i="2"/>
  <c r="FA224" i="2" s="1"/>
  <c r="FK57" i="2"/>
  <c r="DP20" i="7"/>
  <c r="EY235" i="2"/>
  <c r="O236" i="2" s="1"/>
  <c r="O240" i="2"/>
  <c r="O241" i="2" s="1"/>
  <c r="O244" i="2"/>
  <c r="EX239" i="2"/>
  <c r="EX241" i="2" s="1"/>
  <c r="FD201" i="2"/>
  <c r="FD206" i="2"/>
  <c r="T249" i="2"/>
  <c r="T230" i="2"/>
  <c r="T250" i="2"/>
  <c r="Q234" i="2"/>
  <c r="FA223" i="2"/>
  <c r="DP14" i="7"/>
  <c r="DP34" i="7"/>
  <c r="DP37" i="7"/>
  <c r="DP31" i="7"/>
  <c r="DP35" i="7"/>
  <c r="DP38" i="7"/>
  <c r="DP36" i="7"/>
  <c r="DP32" i="7"/>
  <c r="DP30" i="7"/>
  <c r="FC208" i="2" l="1"/>
  <c r="FD204" i="2" s="1"/>
  <c r="FD205" i="2" s="1"/>
  <c r="FC211" i="2"/>
  <c r="S233" i="2" s="1"/>
  <c r="EX249" i="2"/>
  <c r="EX244" i="2"/>
  <c r="EX243" i="2"/>
  <c r="EX242" i="2"/>
  <c r="EY238" i="2" s="1"/>
  <c r="FC215" i="2"/>
  <c r="DW12" i="7"/>
  <c r="DW17" i="7" s="1"/>
  <c r="DW18" i="7"/>
  <c r="DW19" i="7" s="1"/>
  <c r="DW28" i="7"/>
  <c r="FE196" i="2"/>
  <c r="U228" i="2"/>
  <c r="U229" i="2"/>
  <c r="P94" i="3"/>
  <c r="DW29" i="7"/>
  <c r="DW27" i="7"/>
  <c r="M254" i="2"/>
  <c r="EW246" i="2"/>
  <c r="EW250" i="2" s="1"/>
  <c r="V197" i="2"/>
  <c r="FF62" i="2"/>
  <c r="FF58" i="2" s="1"/>
  <c r="DQ13" i="7"/>
  <c r="EY236" i="2"/>
  <c r="FA225" i="2"/>
  <c r="FA227" i="2" s="1"/>
  <c r="CW157" i="9"/>
  <c r="CW126" i="9"/>
  <c r="CW103" i="9" s="1"/>
  <c r="FD216" i="2"/>
  <c r="FD207" i="2"/>
  <c r="FD209" i="2" s="1"/>
  <c r="O245" i="2"/>
  <c r="O246" i="2" s="1"/>
  <c r="FD240" i="2"/>
  <c r="T251" i="2"/>
  <c r="DP15" i="7"/>
  <c r="DP21" i="7"/>
  <c r="EZ231" i="2"/>
  <c r="FB222" i="2"/>
  <c r="FK73" i="2"/>
  <c r="FK70" i="2"/>
  <c r="FD203" i="2"/>
  <c r="FD202" i="2"/>
  <c r="FE198" i="2" s="1"/>
  <c r="FC212" i="2" l="1"/>
  <c r="FC217" i="2" s="1"/>
  <c r="FC220" i="2" s="1"/>
  <c r="FD208" i="2"/>
  <c r="FE204" i="2" s="1"/>
  <c r="FE205" i="2" s="1"/>
  <c r="CW107" i="9"/>
  <c r="CW148" i="9" s="1"/>
  <c r="FA230" i="2"/>
  <c r="FA229" i="2"/>
  <c r="FA228" i="2"/>
  <c r="FB224" i="2" s="1"/>
  <c r="EW253" i="2"/>
  <c r="EW258" i="2"/>
  <c r="EW251" i="2"/>
  <c r="EX247" i="2" s="1"/>
  <c r="EW252" i="2"/>
  <c r="FG61" i="2"/>
  <c r="FF60" i="2"/>
  <c r="P235" i="2"/>
  <c r="EZ232" i="2"/>
  <c r="EY239" i="2"/>
  <c r="EY241" i="2" s="1"/>
  <c r="R234" i="2"/>
  <c r="FB223" i="2"/>
  <c r="CW149" i="9"/>
  <c r="CW128" i="9"/>
  <c r="FD211" i="2"/>
  <c r="DQ20" i="7"/>
  <c r="FE200" i="2"/>
  <c r="EX245" i="2"/>
  <c r="FF74" i="2"/>
  <c r="FE199" i="2"/>
  <c r="FE201" i="2" s="1"/>
  <c r="FL57" i="2"/>
  <c r="FE206" i="2"/>
  <c r="U230" i="2"/>
  <c r="U250" i="2"/>
  <c r="U249" i="2"/>
  <c r="DQ14" i="7"/>
  <c r="DQ38" i="7"/>
  <c r="DQ31" i="7"/>
  <c r="DQ34" i="7"/>
  <c r="DQ35" i="7"/>
  <c r="DQ36" i="7"/>
  <c r="DQ37" i="7"/>
  <c r="DQ32" i="7"/>
  <c r="DQ30" i="7"/>
  <c r="FK86" i="2"/>
  <c r="FK87" i="2" s="1"/>
  <c r="FK77" i="2"/>
  <c r="V212" i="2"/>
  <c r="Q83" i="3"/>
  <c r="CW110" i="9" l="1"/>
  <c r="CW113" i="9" s="1"/>
  <c r="FC218" i="2"/>
  <c r="FD214" i="2" s="1"/>
  <c r="FD215" i="2" s="1"/>
  <c r="FC219" i="2"/>
  <c r="FC226" i="2"/>
  <c r="EY249" i="2"/>
  <c r="EY244" i="2"/>
  <c r="EY243" i="2"/>
  <c r="EZ234" i="2"/>
  <c r="P239" i="2" s="1"/>
  <c r="EZ233" i="2"/>
  <c r="CW151" i="9"/>
  <c r="CW200" i="9" s="1"/>
  <c r="CW201" i="9" s="1"/>
  <c r="FB225" i="2"/>
  <c r="W197" i="2"/>
  <c r="FG62" i="2"/>
  <c r="FG58" i="2" s="1"/>
  <c r="FE203" i="2"/>
  <c r="EX248" i="2"/>
  <c r="CW205" i="9"/>
  <c r="FE216" i="2"/>
  <c r="FE207" i="2"/>
  <c r="FE209" i="2" s="1"/>
  <c r="DQ15" i="7"/>
  <c r="DQ21" i="7"/>
  <c r="T233" i="2"/>
  <c r="FD212" i="2"/>
  <c r="FC222" i="2"/>
  <c r="EW254" i="2"/>
  <c r="DX12" i="7"/>
  <c r="DX17" i="7" s="1"/>
  <c r="DX18" i="7"/>
  <c r="DX19" i="7" s="1"/>
  <c r="DX28" i="7"/>
  <c r="FF196" i="2"/>
  <c r="V228" i="2"/>
  <c r="V229" i="2"/>
  <c r="Q94" i="3"/>
  <c r="DX27" i="7"/>
  <c r="DX29" i="7"/>
  <c r="FL70" i="2"/>
  <c r="FE202" i="2"/>
  <c r="FF198" i="2" s="1"/>
  <c r="FK88" i="2"/>
  <c r="AA61" i="2" s="1"/>
  <c r="AA62" i="2" s="1"/>
  <c r="FK66" i="2"/>
  <c r="U251" i="2"/>
  <c r="FE240" i="2"/>
  <c r="N254" i="2"/>
  <c r="EX246" i="2"/>
  <c r="CX116" i="9"/>
  <c r="CW135" i="9"/>
  <c r="EY242" i="2"/>
  <c r="EZ238" i="2" s="1"/>
  <c r="FL73" i="2"/>
  <c r="CW136" i="9"/>
  <c r="FA231" i="2"/>
  <c r="CW134" i="9" l="1"/>
  <c r="CW199" i="9"/>
  <c r="CW202" i="9"/>
  <c r="CW112" i="9"/>
  <c r="CX101" i="9"/>
  <c r="CX109" i="9" s="1"/>
  <c r="CW111" i="9"/>
  <c r="CW133" i="9"/>
  <c r="CW153" i="9"/>
  <c r="CW155" i="9" s="1"/>
  <c r="CW198" i="9"/>
  <c r="FD217" i="2"/>
  <c r="FD220" i="2" s="1"/>
  <c r="M255" i="2"/>
  <c r="EW255" i="2"/>
  <c r="EX250" i="2"/>
  <c r="FH61" i="2"/>
  <c r="FG60" i="2"/>
  <c r="FB227" i="2"/>
  <c r="FB228" i="2" s="1"/>
  <c r="FC224" i="2" s="1"/>
  <c r="W212" i="2"/>
  <c r="R83" i="3"/>
  <c r="FM57" i="2"/>
  <c r="FM73" i="2" s="1"/>
  <c r="FF206" i="2"/>
  <c r="V230" i="2"/>
  <c r="V250" i="2"/>
  <c r="V249" i="2"/>
  <c r="FG74" i="2"/>
  <c r="EZ235" i="2"/>
  <c r="P236" i="2" s="1"/>
  <c r="P240" i="2"/>
  <c r="S234" i="2"/>
  <c r="FC223" i="2"/>
  <c r="FE211" i="2"/>
  <c r="FF200" i="2"/>
  <c r="Q235" i="2"/>
  <c r="FA232" i="2"/>
  <c r="P244" i="2"/>
  <c r="EY245" i="2"/>
  <c r="EZ239" i="2"/>
  <c r="FL86" i="2"/>
  <c r="FL87" i="2" s="1"/>
  <c r="FL77" i="2"/>
  <c r="FF199" i="2"/>
  <c r="FF201" i="2" s="1"/>
  <c r="CX123" i="9"/>
  <c r="CX124" i="9"/>
  <c r="FE208" i="2"/>
  <c r="FF204" i="2" s="1"/>
  <c r="CX108" i="9" l="1"/>
  <c r="CX190" i="9" s="1"/>
  <c r="FD218" i="2"/>
  <c r="FE214" i="2" s="1"/>
  <c r="FE215" i="2" s="1"/>
  <c r="FD219" i="2"/>
  <c r="FD226" i="2"/>
  <c r="FC225" i="2"/>
  <c r="FC227" i="2" s="1"/>
  <c r="X197" i="2"/>
  <c r="FH62" i="2"/>
  <c r="FH58" i="2" s="1"/>
  <c r="CX147" i="9"/>
  <c r="CM203" i="9"/>
  <c r="V251" i="2"/>
  <c r="FA234" i="2"/>
  <c r="Q239" i="2" s="1"/>
  <c r="FA233" i="2"/>
  <c r="FL88" i="2"/>
  <c r="AB61" i="2" s="1"/>
  <c r="AB62" i="2" s="1"/>
  <c r="FL66" i="2"/>
  <c r="FM86" i="2"/>
  <c r="FM87" i="2" s="1"/>
  <c r="FM77" i="2"/>
  <c r="FF205" i="2"/>
  <c r="FF240" i="2"/>
  <c r="EW259" i="2"/>
  <c r="FB230" i="2"/>
  <c r="FB229" i="2"/>
  <c r="O254" i="2"/>
  <c r="EY246" i="2"/>
  <c r="DY18" i="7"/>
  <c r="DY19" i="7" s="1"/>
  <c r="DY12" i="7"/>
  <c r="DY17" i="7" s="1"/>
  <c r="DY28" i="7"/>
  <c r="FG196" i="2"/>
  <c r="W229" i="2"/>
  <c r="W228" i="2"/>
  <c r="R94" i="3"/>
  <c r="DY27" i="7"/>
  <c r="DY29" i="7"/>
  <c r="FF203" i="2"/>
  <c r="FF216" i="2"/>
  <c r="FF207" i="2"/>
  <c r="FF209" i="2" s="1"/>
  <c r="FF202" i="2"/>
  <c r="FG198" i="2" s="1"/>
  <c r="DR13" i="7"/>
  <c r="EZ236" i="2"/>
  <c r="P245" i="2"/>
  <c r="FM70" i="2"/>
  <c r="FD222" i="2"/>
  <c r="EX253" i="2"/>
  <c r="EX258" i="2"/>
  <c r="EX252" i="2"/>
  <c r="CX197" i="9"/>
  <c r="CX196" i="9"/>
  <c r="CX154" i="9"/>
  <c r="CX130" i="9"/>
  <c r="CX146" i="9"/>
  <c r="CM131" i="9"/>
  <c r="CM132" i="9"/>
  <c r="U233" i="2"/>
  <c r="FE212" i="2"/>
  <c r="P241" i="2"/>
  <c r="EX251" i="2"/>
  <c r="EY247" i="2" s="1"/>
  <c r="CX145" i="9" l="1"/>
  <c r="CX204" i="9" s="1"/>
  <c r="FE217" i="2"/>
  <c r="FE218" i="2" s="1"/>
  <c r="FF214" i="2" s="1"/>
  <c r="FF215" i="2" s="1"/>
  <c r="FF208" i="2"/>
  <c r="FG204" i="2" s="1"/>
  <c r="FG205" i="2" s="1"/>
  <c r="FI61" i="2"/>
  <c r="FH60" i="2"/>
  <c r="FH74" i="2"/>
  <c r="FC230" i="2"/>
  <c r="FC229" i="2"/>
  <c r="FC228" i="2"/>
  <c r="FD224" i="2" s="1"/>
  <c r="EX254" i="2"/>
  <c r="FB231" i="2"/>
  <c r="T234" i="2"/>
  <c r="FD223" i="2"/>
  <c r="DR14" i="7"/>
  <c r="DR31" i="7"/>
  <c r="DR34" i="7"/>
  <c r="DR35" i="7"/>
  <c r="DR38" i="7"/>
  <c r="DR37" i="7"/>
  <c r="DR36" i="7"/>
  <c r="DR30" i="7"/>
  <c r="DR32" i="7"/>
  <c r="X212" i="2"/>
  <c r="S83" i="3"/>
  <c r="Q244" i="2"/>
  <c r="FM88" i="2"/>
  <c r="AC61" i="2" s="1"/>
  <c r="AC62" i="2" s="1"/>
  <c r="FM66" i="2"/>
  <c r="P246" i="2"/>
  <c r="FG206" i="2"/>
  <c r="W249" i="2"/>
  <c r="W230" i="2"/>
  <c r="W250" i="2"/>
  <c r="FN57" i="2"/>
  <c r="FN70" i="2" s="1"/>
  <c r="EW262" i="2"/>
  <c r="EW261" i="2"/>
  <c r="EW260" i="2"/>
  <c r="EX256" i="2" s="1"/>
  <c r="CX191" i="9"/>
  <c r="CX193" i="9" s="1"/>
  <c r="CX141" i="9" s="1"/>
  <c r="CX144" i="9" s="1"/>
  <c r="EY248" i="2"/>
  <c r="EY250" i="2" s="1"/>
  <c r="FG199" i="2"/>
  <c r="FG201" i="2" s="1"/>
  <c r="FG200" i="2"/>
  <c r="FF211" i="2"/>
  <c r="DR20" i="7"/>
  <c r="FA235" i="2"/>
  <c r="Q236" i="2" s="1"/>
  <c r="Q240" i="2"/>
  <c r="Q245" i="2" s="1"/>
  <c r="EZ241" i="2"/>
  <c r="FE226" i="2" l="1"/>
  <c r="FE219" i="2"/>
  <c r="FE220" i="2"/>
  <c r="FE222" i="2" s="1"/>
  <c r="CX192" i="9"/>
  <c r="CY189" i="9" s="1"/>
  <c r="FG202" i="2"/>
  <c r="FH198" i="2" s="1"/>
  <c r="FH199" i="2" s="1"/>
  <c r="EY253" i="2"/>
  <c r="EY258" i="2"/>
  <c r="EY252" i="2"/>
  <c r="EY251" i="2"/>
  <c r="EZ247" i="2" s="1"/>
  <c r="CX157" i="9"/>
  <c r="CX126" i="9"/>
  <c r="FO57" i="2"/>
  <c r="FG216" i="2"/>
  <c r="FG207" i="2"/>
  <c r="R235" i="2"/>
  <c r="FB232" i="2"/>
  <c r="EX257" i="2"/>
  <c r="EZ249" i="2"/>
  <c r="EZ244" i="2"/>
  <c r="EZ243" i="2"/>
  <c r="EZ242" i="2"/>
  <c r="FA238" i="2" s="1"/>
  <c r="W251" i="2"/>
  <c r="FG203" i="2"/>
  <c r="DS14" i="7"/>
  <c r="DS15" i="7" s="1"/>
  <c r="DS38" i="7"/>
  <c r="DS31" i="7"/>
  <c r="DS35" i="7"/>
  <c r="DS34" i="7"/>
  <c r="DS37" i="7"/>
  <c r="DS36" i="7"/>
  <c r="DS32" i="7"/>
  <c r="DS30" i="7"/>
  <c r="DS13" i="7"/>
  <c r="DS20" i="7" s="1"/>
  <c r="FA236" i="2"/>
  <c r="Q246" i="2"/>
  <c r="FC231" i="2"/>
  <c r="EW263" i="2"/>
  <c r="Q241" i="2"/>
  <c r="FG240" i="2"/>
  <c r="N255" i="2"/>
  <c r="EX255" i="2"/>
  <c r="Y197" i="2"/>
  <c r="FI62" i="2"/>
  <c r="FI58" i="2" s="1"/>
  <c r="FN73" i="2"/>
  <c r="V233" i="2"/>
  <c r="FF212" i="2"/>
  <c r="FF217" i="2" s="1"/>
  <c r="DZ18" i="7"/>
  <c r="DZ19" i="7" s="1"/>
  <c r="DZ28" i="7"/>
  <c r="DZ12" i="7"/>
  <c r="DZ17" i="7" s="1"/>
  <c r="FH196" i="2"/>
  <c r="X229" i="2"/>
  <c r="X228" i="2"/>
  <c r="S94" i="3"/>
  <c r="DZ29" i="7"/>
  <c r="DZ27" i="7"/>
  <c r="DR15" i="7"/>
  <c r="DR21" i="7"/>
  <c r="FD225" i="2"/>
  <c r="FD227" i="2" s="1"/>
  <c r="EX259" i="2" l="1"/>
  <c r="EX260" i="2" s="1"/>
  <c r="EY256" i="2" s="1"/>
  <c r="FF220" i="2"/>
  <c r="FF226" i="2"/>
  <c r="FF219" i="2"/>
  <c r="FF218" i="2"/>
  <c r="FG214" i="2" s="1"/>
  <c r="FD230" i="2"/>
  <c r="FD229" i="2"/>
  <c r="FD228" i="2"/>
  <c r="FE224" i="2" s="1"/>
  <c r="FJ61" i="2"/>
  <c r="FI60" i="2"/>
  <c r="FI74" i="2"/>
  <c r="FG211" i="2"/>
  <c r="U234" i="2"/>
  <c r="FE223" i="2"/>
  <c r="FO70" i="2"/>
  <c r="FN86" i="2"/>
  <c r="FN77" i="2"/>
  <c r="FO73" i="2"/>
  <c r="CX149" i="9"/>
  <c r="CX128" i="9"/>
  <c r="CX136" i="9" s="1"/>
  <c r="EY254" i="2"/>
  <c r="M256" i="2"/>
  <c r="EW264" i="2"/>
  <c r="FG208" i="2"/>
  <c r="FH204" i="2" s="1"/>
  <c r="EZ248" i="2"/>
  <c r="FA239" i="2"/>
  <c r="FA241" i="2" s="1"/>
  <c r="CX103" i="9"/>
  <c r="FH206" i="2"/>
  <c r="X250" i="2"/>
  <c r="X249" i="2"/>
  <c r="X230" i="2"/>
  <c r="S235" i="2"/>
  <c r="FC232" i="2"/>
  <c r="FB234" i="2"/>
  <c r="R239" i="2" s="1"/>
  <c r="FB233" i="2"/>
  <c r="FH201" i="2"/>
  <c r="FH200" i="2"/>
  <c r="Y212" i="2"/>
  <c r="T83" i="3"/>
  <c r="FG209" i="2"/>
  <c r="CX107" i="9"/>
  <c r="DS21" i="7"/>
  <c r="EZ245" i="2"/>
  <c r="EX262" i="2" l="1"/>
  <c r="EX263" i="2" s="1"/>
  <c r="EX261" i="2"/>
  <c r="FH202" i="2"/>
  <c r="FI198" i="2" s="1"/>
  <c r="FI199" i="2" s="1"/>
  <c r="R244" i="2"/>
  <c r="CY116" i="9"/>
  <c r="CX135" i="9"/>
  <c r="Z197" i="2"/>
  <c r="FJ62" i="2"/>
  <c r="FJ58" i="2" s="1"/>
  <c r="FB235" i="2"/>
  <c r="R236" i="2" s="1"/>
  <c r="R240" i="2"/>
  <c r="R245" i="2" s="1"/>
  <c r="FH205" i="2"/>
  <c r="FO86" i="2"/>
  <c r="FO77" i="2"/>
  <c r="FC234" i="2"/>
  <c r="S239" i="2" s="1"/>
  <c r="FC233" i="2"/>
  <c r="EY257" i="2"/>
  <c r="W233" i="2"/>
  <c r="FG212" i="2"/>
  <c r="P254" i="2"/>
  <c r="EZ246" i="2"/>
  <c r="EZ250" i="2" s="1"/>
  <c r="EW265" i="2"/>
  <c r="EW266" i="2"/>
  <c r="M260" i="2" s="1"/>
  <c r="FN88" i="2"/>
  <c r="AD61" i="2" s="1"/>
  <c r="AD62" i="2" s="1"/>
  <c r="FD231" i="2"/>
  <c r="FA249" i="2"/>
  <c r="FA244" i="2"/>
  <c r="FA243" i="2"/>
  <c r="FE225" i="2"/>
  <c r="FE227" i="2" s="1"/>
  <c r="FG215" i="2"/>
  <c r="O255" i="2"/>
  <c r="EY255" i="2"/>
  <c r="EA18" i="7"/>
  <c r="EA19" i="7" s="1"/>
  <c r="EA28" i="7"/>
  <c r="EA12" i="7"/>
  <c r="EA17" i="7" s="1"/>
  <c r="FI196" i="2"/>
  <c r="Y229" i="2"/>
  <c r="Y228" i="2"/>
  <c r="T94" i="3"/>
  <c r="EA29" i="7"/>
  <c r="EA27" i="7"/>
  <c r="FN87" i="2"/>
  <c r="FN66" i="2" s="1"/>
  <c r="FH240" i="2"/>
  <c r="FA242" i="2"/>
  <c r="FB238" i="2" s="1"/>
  <c r="FP57" i="2"/>
  <c r="FP70" i="2" s="1"/>
  <c r="CX148" i="9"/>
  <c r="CX205" i="9" s="1"/>
  <c r="CX110" i="9"/>
  <c r="CX113" i="9" s="1"/>
  <c r="CX151" i="9"/>
  <c r="X251" i="2"/>
  <c r="FH203" i="2"/>
  <c r="FH216" i="2"/>
  <c r="FH207" i="2"/>
  <c r="FF222" i="2"/>
  <c r="FH208" i="2" l="1"/>
  <c r="FI204" i="2" s="1"/>
  <c r="FI205" i="2" s="1"/>
  <c r="FG217" i="2"/>
  <c r="FG218" i="2" s="1"/>
  <c r="FH214" i="2" s="1"/>
  <c r="FH215" i="2" s="1"/>
  <c r="EY259" i="2"/>
  <c r="EY261" i="2" s="1"/>
  <c r="R241" i="2"/>
  <c r="FK61" i="2"/>
  <c r="FJ60" i="2"/>
  <c r="FJ74" i="2"/>
  <c r="EZ253" i="2"/>
  <c r="EZ258" i="2"/>
  <c r="EZ252" i="2"/>
  <c r="EZ251" i="2"/>
  <c r="FA247" i="2" s="1"/>
  <c r="FE230" i="2"/>
  <c r="FE229" i="2"/>
  <c r="Z212" i="2"/>
  <c r="U83" i="3"/>
  <c r="FQ57" i="2"/>
  <c r="FI200" i="2"/>
  <c r="FE228" i="2"/>
  <c r="FF224" i="2" s="1"/>
  <c r="FP73" i="2"/>
  <c r="CY123" i="9"/>
  <c r="CY124" i="9"/>
  <c r="M265" i="2"/>
  <c r="FB239" i="2"/>
  <c r="FO88" i="2"/>
  <c r="AE61" i="2" s="1"/>
  <c r="AE62" i="2" s="1"/>
  <c r="DT13" i="7"/>
  <c r="DT20" i="7" s="1"/>
  <c r="FB236" i="2"/>
  <c r="R246" i="2"/>
  <c r="S244" i="2"/>
  <c r="FA245" i="2"/>
  <c r="FO87" i="2"/>
  <c r="FO66" i="2" s="1"/>
  <c r="FI206" i="2"/>
  <c r="Y249" i="2"/>
  <c r="Y250" i="2"/>
  <c r="Y230" i="2"/>
  <c r="CX153" i="9"/>
  <c r="CX155" i="9" s="1"/>
  <c r="FC235" i="2"/>
  <c r="S236" i="2" s="1"/>
  <c r="S240" i="2"/>
  <c r="S245" i="2" s="1"/>
  <c r="FI201" i="2"/>
  <c r="EW267" i="2"/>
  <c r="M257" i="2" s="1"/>
  <c r="M261" i="2"/>
  <c r="N256" i="2"/>
  <c r="EX264" i="2"/>
  <c r="FH211" i="2"/>
  <c r="FH209" i="2"/>
  <c r="DT14" i="7"/>
  <c r="DT34" i="7"/>
  <c r="DT35" i="7"/>
  <c r="DT31" i="7"/>
  <c r="DT36" i="7"/>
  <c r="DT37" i="7"/>
  <c r="DT38" i="7"/>
  <c r="DT32" i="7"/>
  <c r="DT30" i="7"/>
  <c r="CX200" i="9"/>
  <c r="CX201" i="9" s="1"/>
  <c r="V234" i="2"/>
  <c r="FF223" i="2"/>
  <c r="CY101" i="9"/>
  <c r="CX112" i="9"/>
  <c r="CX111" i="9"/>
  <c r="CX134" i="9"/>
  <c r="CX198" i="9"/>
  <c r="CX202" i="9"/>
  <c r="CX199" i="9"/>
  <c r="CX133" i="9"/>
  <c r="T235" i="2"/>
  <c r="FD232" i="2"/>
  <c r="EY262" i="2" l="1"/>
  <c r="EY263" i="2" s="1"/>
  <c r="FB241" i="2"/>
  <c r="FB242" i="2" s="1"/>
  <c r="FC238" i="2" s="1"/>
  <c r="FC239" i="2" s="1"/>
  <c r="FG219" i="2"/>
  <c r="FG220" i="2"/>
  <c r="FG222" i="2" s="1"/>
  <c r="EY260" i="2"/>
  <c r="EZ256" i="2" s="1"/>
  <c r="EZ257" i="2" s="1"/>
  <c r="FG226" i="2"/>
  <c r="S241" i="2"/>
  <c r="EB28" i="7"/>
  <c r="EB18" i="7"/>
  <c r="EB19" i="7" s="1"/>
  <c r="EB12" i="7"/>
  <c r="EB17" i="7" s="1"/>
  <c r="FJ196" i="2"/>
  <c r="Z228" i="2"/>
  <c r="Z229" i="2"/>
  <c r="U94" i="3"/>
  <c r="EB29" i="7"/>
  <c r="EB27" i="7"/>
  <c r="CY108" i="9"/>
  <c r="CY109" i="9"/>
  <c r="DT15" i="7"/>
  <c r="DT21" i="7"/>
  <c r="FF225" i="2"/>
  <c r="DU14" i="7"/>
  <c r="DU34" i="7"/>
  <c r="DU35" i="7"/>
  <c r="DU31" i="7"/>
  <c r="DU37" i="7"/>
  <c r="DU36" i="7"/>
  <c r="DU38" i="7"/>
  <c r="DU30" i="7"/>
  <c r="DU32" i="7"/>
  <c r="Q254" i="2"/>
  <c r="FA246" i="2"/>
  <c r="M266" i="2"/>
  <c r="FD233" i="2"/>
  <c r="FD234" i="2"/>
  <c r="T239" i="2" s="1"/>
  <c r="DU13" i="7"/>
  <c r="DU20" i="7" s="1"/>
  <c r="FC236" i="2"/>
  <c r="S246" i="2"/>
  <c r="FI203" i="2"/>
  <c r="FI202" i="2"/>
  <c r="FJ198" i="2" s="1"/>
  <c r="FP86" i="2"/>
  <c r="FP77" i="2"/>
  <c r="FQ73" i="2"/>
  <c r="X233" i="2"/>
  <c r="FH212" i="2"/>
  <c r="FH217" i="2" s="1"/>
  <c r="EZ254" i="2"/>
  <c r="FQ70" i="2"/>
  <c r="FA248" i="2"/>
  <c r="M262" i="2"/>
  <c r="CY197" i="9"/>
  <c r="CY196" i="9"/>
  <c r="CY154" i="9"/>
  <c r="CY130" i="9"/>
  <c r="CY146" i="9"/>
  <c r="CN132" i="9"/>
  <c r="CN131" i="9"/>
  <c r="EX265" i="2"/>
  <c r="EX266" i="2"/>
  <c r="N260" i="2" s="1"/>
  <c r="FI240" i="2"/>
  <c r="CY147" i="9"/>
  <c r="CN203" i="9"/>
  <c r="FE231" i="2"/>
  <c r="FI216" i="2"/>
  <c r="FI207" i="2"/>
  <c r="FI209" i="2" s="1"/>
  <c r="Y251" i="2"/>
  <c r="AA197" i="2"/>
  <c r="FK62" i="2"/>
  <c r="FK58" i="2" s="1"/>
  <c r="FB243" i="2" l="1"/>
  <c r="FB244" i="2"/>
  <c r="FB245" i="2" s="1"/>
  <c r="FB249" i="2"/>
  <c r="FA250" i="2"/>
  <c r="FA258" i="2" s="1"/>
  <c r="FC241" i="2"/>
  <c r="FC244" i="2" s="1"/>
  <c r="FL61" i="2"/>
  <c r="FK60" i="2"/>
  <c r="FK74" i="2"/>
  <c r="FH220" i="2"/>
  <c r="FH226" i="2"/>
  <c r="FH219" i="2"/>
  <c r="FH218" i="2"/>
  <c r="FI214" i="2" s="1"/>
  <c r="FJ200" i="2"/>
  <c r="EX267" i="2"/>
  <c r="N257" i="2" s="1"/>
  <c r="N261" i="2"/>
  <c r="N262" i="2" s="1"/>
  <c r="FR57" i="2"/>
  <c r="FR73" i="2" s="1"/>
  <c r="T244" i="2"/>
  <c r="FJ206" i="2"/>
  <c r="Z250" i="2"/>
  <c r="Z230" i="2"/>
  <c r="Z249" i="2"/>
  <c r="CY145" i="9"/>
  <c r="CY204" i="9" s="1"/>
  <c r="CY190" i="9"/>
  <c r="FD235" i="2"/>
  <c r="T236" i="2" s="1"/>
  <c r="T240" i="2"/>
  <c r="T245" i="2" s="1"/>
  <c r="P255" i="2"/>
  <c r="EZ255" i="2"/>
  <c r="W234" i="2"/>
  <c r="FG223" i="2"/>
  <c r="FJ199" i="2"/>
  <c r="AA212" i="2"/>
  <c r="V83" i="3"/>
  <c r="FP88" i="2"/>
  <c r="AF61" i="2" s="1"/>
  <c r="AF62" i="2" s="1"/>
  <c r="N265" i="2"/>
  <c r="U235" i="2"/>
  <c r="FE232" i="2"/>
  <c r="DU15" i="7"/>
  <c r="DU21" i="7"/>
  <c r="M267" i="2"/>
  <c r="FF227" i="2"/>
  <c r="FF228" i="2" s="1"/>
  <c r="FG224" i="2" s="1"/>
  <c r="O256" i="2"/>
  <c r="EY264" i="2"/>
  <c r="FQ86" i="2"/>
  <c r="FQ87" i="2" s="1"/>
  <c r="FQ77" i="2"/>
  <c r="FI211" i="2"/>
  <c r="FI208" i="2"/>
  <c r="FJ204" i="2" s="1"/>
  <c r="FP87" i="2"/>
  <c r="FP66" i="2" s="1"/>
  <c r="FA251" i="2" l="1"/>
  <c r="FB247" i="2" s="1"/>
  <c r="FB248" i="2" s="1"/>
  <c r="FA252" i="2"/>
  <c r="FA253" i="2"/>
  <c r="FC242" i="2"/>
  <c r="FD238" i="2" s="1"/>
  <c r="FD239" i="2" s="1"/>
  <c r="FC249" i="2"/>
  <c r="FC243" i="2"/>
  <c r="Z251" i="2"/>
  <c r="R254" i="2"/>
  <c r="FB246" i="2"/>
  <c r="FJ240" i="2"/>
  <c r="FF230" i="2"/>
  <c r="FF229" i="2"/>
  <c r="FC245" i="2"/>
  <c r="FQ88" i="2"/>
  <c r="AG61" i="2" s="1"/>
  <c r="AG62" i="2" s="1"/>
  <c r="FQ66" i="2"/>
  <c r="EC18" i="7"/>
  <c r="EC19" i="7" s="1"/>
  <c r="EC28" i="7"/>
  <c r="EC12" i="7"/>
  <c r="EC17" i="7" s="1"/>
  <c r="FK196" i="2"/>
  <c r="AA228" i="2"/>
  <c r="AA229" i="2"/>
  <c r="V94" i="3"/>
  <c r="EC27" i="7"/>
  <c r="EC29" i="7"/>
  <c r="DV13" i="7"/>
  <c r="DV20" i="7" s="1"/>
  <c r="FD236" i="2"/>
  <c r="T246" i="2"/>
  <c r="AB197" i="2"/>
  <c r="FL62" i="2"/>
  <c r="FL58" i="2" s="1"/>
  <c r="FL74" i="2" s="1"/>
  <c r="EY265" i="2"/>
  <c r="EY266" i="2"/>
  <c r="O260" i="2" s="1"/>
  <c r="DV14" i="7"/>
  <c r="DV35" i="7"/>
  <c r="DV38" i="7"/>
  <c r="DV36" i="7"/>
  <c r="DV31" i="7"/>
  <c r="DV34" i="7"/>
  <c r="DV37" i="7"/>
  <c r="DV30" i="7"/>
  <c r="DV32" i="7"/>
  <c r="T241" i="2"/>
  <c r="FJ201" i="2"/>
  <c r="FJ203" i="2" s="1"/>
  <c r="FI215" i="2"/>
  <c r="FJ205" i="2"/>
  <c r="CY191" i="9"/>
  <c r="CY193" i="9" s="1"/>
  <c r="CY141" i="9" s="1"/>
  <c r="CY144" i="9" s="1"/>
  <c r="FR70" i="2"/>
  <c r="FG225" i="2"/>
  <c r="FG227" i="2" s="1"/>
  <c r="Y233" i="2"/>
  <c r="FI212" i="2"/>
  <c r="FE233" i="2"/>
  <c r="FE234" i="2"/>
  <c r="U239" i="2" s="1"/>
  <c r="EZ259" i="2"/>
  <c r="N266" i="2"/>
  <c r="N267" i="2" s="1"/>
  <c r="FH222" i="2"/>
  <c r="FR86" i="2"/>
  <c r="FR77" i="2"/>
  <c r="FA254" i="2"/>
  <c r="FI217" i="2" l="1"/>
  <c r="FI220" i="2" s="1"/>
  <c r="FB250" i="2"/>
  <c r="FB253" i="2" s="1"/>
  <c r="FD241" i="2"/>
  <c r="FD249" i="2" s="1"/>
  <c r="FG228" i="2"/>
  <c r="FH224" i="2" s="1"/>
  <c r="FH225" i="2" s="1"/>
  <c r="CY192" i="9"/>
  <c r="CZ189" i="9" s="1"/>
  <c r="CY157" i="9"/>
  <c r="CY126" i="9"/>
  <c r="CY103" i="9" s="1"/>
  <c r="S254" i="2"/>
  <c r="FC246" i="2"/>
  <c r="FS57" i="2"/>
  <c r="FG230" i="2"/>
  <c r="FG229" i="2"/>
  <c r="DV15" i="7"/>
  <c r="DV21" i="7"/>
  <c r="EZ262" i="2"/>
  <c r="EZ261" i="2"/>
  <c r="EZ260" i="2"/>
  <c r="FA256" i="2" s="1"/>
  <c r="EY267" i="2"/>
  <c r="O257" i="2" s="1"/>
  <c r="O261" i="2"/>
  <c r="FK206" i="2"/>
  <c r="AA249" i="2"/>
  <c r="AA250" i="2"/>
  <c r="AA230" i="2"/>
  <c r="FF231" i="2"/>
  <c r="O265" i="2"/>
  <c r="FK200" i="2"/>
  <c r="Q255" i="2"/>
  <c r="FA255" i="2"/>
  <c r="U244" i="2"/>
  <c r="AB212" i="2"/>
  <c r="W83" i="3"/>
  <c r="FM61" i="2"/>
  <c r="FL60" i="2"/>
  <c r="FE235" i="2"/>
  <c r="U236" i="2" s="1"/>
  <c r="U240" i="2"/>
  <c r="U245" i="2" s="1"/>
  <c r="FR88" i="2"/>
  <c r="AH61" i="2" s="1"/>
  <c r="AH62" i="2" s="1"/>
  <c r="X234" i="2"/>
  <c r="FH223" i="2"/>
  <c r="FR87" i="2"/>
  <c r="FR66" i="2" s="1"/>
  <c r="FJ216" i="2"/>
  <c r="FJ207" i="2"/>
  <c r="FJ202" i="2"/>
  <c r="FK198" i="2" s="1"/>
  <c r="FI219" i="2" l="1"/>
  <c r="FI218" i="2"/>
  <c r="FJ214" i="2" s="1"/>
  <c r="FJ215" i="2" s="1"/>
  <c r="FI226" i="2"/>
  <c r="FB252" i="2"/>
  <c r="FB251" i="2"/>
  <c r="FC247" i="2" s="1"/>
  <c r="FC248" i="2" s="1"/>
  <c r="FC250" i="2" s="1"/>
  <c r="FB258" i="2"/>
  <c r="U241" i="2"/>
  <c r="FD242" i="2"/>
  <c r="FE238" i="2" s="1"/>
  <c r="FE239" i="2" s="1"/>
  <c r="FD243" i="2"/>
  <c r="FD244" i="2"/>
  <c r="FD245" i="2" s="1"/>
  <c r="FH227" i="2"/>
  <c r="FH230" i="2" s="1"/>
  <c r="EZ263" i="2"/>
  <c r="FK240" i="2"/>
  <c r="FG231" i="2"/>
  <c r="FI222" i="2"/>
  <c r="FB254" i="2"/>
  <c r="FS73" i="2"/>
  <c r="O266" i="2"/>
  <c r="O267" i="2" s="1"/>
  <c r="FS70" i="2"/>
  <c r="CY107" i="9"/>
  <c r="FK199" i="2"/>
  <c r="FK201" i="2" s="1"/>
  <c r="ED28" i="7"/>
  <c r="ED12" i="7"/>
  <c r="ED17" i="7" s="1"/>
  <c r="ED18" i="7"/>
  <c r="ED19" i="7" s="1"/>
  <c r="FL196" i="2"/>
  <c r="AB228" i="2"/>
  <c r="AB229" i="2"/>
  <c r="W94" i="3"/>
  <c r="ED27" i="7"/>
  <c r="ED29" i="7"/>
  <c r="AC197" i="2"/>
  <c r="FM62" i="2"/>
  <c r="FM58" i="2" s="1"/>
  <c r="FA257" i="2"/>
  <c r="FA259" i="2" s="1"/>
  <c r="CY149" i="9"/>
  <c r="CY128" i="9"/>
  <c r="V235" i="2"/>
  <c r="FF232" i="2"/>
  <c r="DW13" i="7"/>
  <c r="DW20" i="7" s="1"/>
  <c r="FE236" i="2"/>
  <c r="U246" i="2"/>
  <c r="AA251" i="2"/>
  <c r="FJ211" i="2"/>
  <c r="FJ209" i="2"/>
  <c r="DW14" i="7"/>
  <c r="DW38" i="7"/>
  <c r="DW37" i="7"/>
  <c r="DW31" i="7"/>
  <c r="DW35" i="7"/>
  <c r="DW36" i="7"/>
  <c r="DW34" i="7"/>
  <c r="DW30" i="7"/>
  <c r="DW32" i="7"/>
  <c r="O262" i="2"/>
  <c r="FJ208" i="2"/>
  <c r="FK204" i="2" s="1"/>
  <c r="FH228" i="2" l="1"/>
  <c r="FI224" i="2" s="1"/>
  <c r="FI225" i="2" s="1"/>
  <c r="FH229" i="2"/>
  <c r="FE241" i="2"/>
  <c r="FE244" i="2" s="1"/>
  <c r="FN61" i="2"/>
  <c r="FM60" i="2"/>
  <c r="FM74" i="2"/>
  <c r="FA262" i="2"/>
  <c r="FA261" i="2"/>
  <c r="FA260" i="2"/>
  <c r="FB256" i="2" s="1"/>
  <c r="FK216" i="2"/>
  <c r="FK207" i="2"/>
  <c r="FK203" i="2"/>
  <c r="T254" i="2"/>
  <c r="FD246" i="2"/>
  <c r="W235" i="2"/>
  <c r="FG232" i="2"/>
  <c r="FC253" i="2"/>
  <c r="FC258" i="2"/>
  <c r="FC252" i="2"/>
  <c r="P256" i="2"/>
  <c r="EZ264" i="2"/>
  <c r="R255" i="2"/>
  <c r="FB255" i="2"/>
  <c r="CZ116" i="9"/>
  <c r="CY135" i="9"/>
  <c r="FT57" i="2"/>
  <c r="FT73" i="2" s="1"/>
  <c r="FL200" i="2"/>
  <c r="FL206" i="2"/>
  <c r="AB249" i="2"/>
  <c r="AB230" i="2"/>
  <c r="AB250" i="2"/>
  <c r="FC251" i="2"/>
  <c r="FD247" i="2" s="1"/>
  <c r="FK202" i="2"/>
  <c r="FL198" i="2" s="1"/>
  <c r="FF233" i="2"/>
  <c r="FF234" i="2"/>
  <c r="V239" i="2" s="1"/>
  <c r="DW15" i="7"/>
  <c r="DW21" i="7"/>
  <c r="FK205" i="2"/>
  <c r="CY136" i="9"/>
  <c r="Z233" i="2"/>
  <c r="FJ212" i="2"/>
  <c r="FJ217" i="2" s="1"/>
  <c r="FS77" i="2"/>
  <c r="FS86" i="2"/>
  <c r="CY148" i="9"/>
  <c r="CY205" i="9" s="1"/>
  <c r="CY110" i="9"/>
  <c r="CY113" i="9" s="1"/>
  <c r="CY151" i="9"/>
  <c r="Y234" i="2"/>
  <c r="FI223" i="2"/>
  <c r="AC212" i="2"/>
  <c r="X83" i="3"/>
  <c r="FH231" i="2"/>
  <c r="FK208" i="2" l="1"/>
  <c r="FL204" i="2" s="1"/>
  <c r="FL205" i="2" s="1"/>
  <c r="FE249" i="2"/>
  <c r="FE242" i="2"/>
  <c r="FF238" i="2" s="1"/>
  <c r="FF239" i="2" s="1"/>
  <c r="FE243" i="2"/>
  <c r="FI227" i="2"/>
  <c r="FI230" i="2" s="1"/>
  <c r="FJ220" i="2"/>
  <c r="FJ226" i="2"/>
  <c r="FJ219" i="2"/>
  <c r="FJ218" i="2"/>
  <c r="FK214" i="2" s="1"/>
  <c r="CY153" i="9"/>
  <c r="CY155" i="9" s="1"/>
  <c r="X235" i="2"/>
  <c r="FH232" i="2"/>
  <c r="CY200" i="9"/>
  <c r="CY201" i="9" s="1"/>
  <c r="FB257" i="2"/>
  <c r="FB259" i="2" s="1"/>
  <c r="FD248" i="2"/>
  <c r="FD250" i="2" s="1"/>
  <c r="V244" i="2"/>
  <c r="FE245" i="2"/>
  <c r="FK211" i="2"/>
  <c r="FK209" i="2"/>
  <c r="FL240" i="2"/>
  <c r="AB251" i="2"/>
  <c r="EE18" i="7"/>
  <c r="EE19" i="7" s="1"/>
  <c r="EE12" i="7"/>
  <c r="EE17" i="7" s="1"/>
  <c r="EE28" i="7"/>
  <c r="FM196" i="2"/>
  <c r="AC228" i="2"/>
  <c r="AC229" i="2"/>
  <c r="X94" i="3"/>
  <c r="EE29" i="7"/>
  <c r="EE27" i="7"/>
  <c r="FA263" i="2"/>
  <c r="FT86" i="2"/>
  <c r="FT87" i="2" s="1"/>
  <c r="FT77" i="2"/>
  <c r="FS88" i="2"/>
  <c r="AI61" i="2" s="1"/>
  <c r="AI62" i="2" s="1"/>
  <c r="FF235" i="2"/>
  <c r="V236" i="2" s="1"/>
  <c r="V240" i="2"/>
  <c r="V245" i="2" s="1"/>
  <c r="FT70" i="2"/>
  <c r="FS87" i="2"/>
  <c r="FS66" i="2" s="1"/>
  <c r="FL199" i="2"/>
  <c r="FC254" i="2"/>
  <c r="CZ123" i="9"/>
  <c r="CZ124" i="9"/>
  <c r="CZ101" i="9"/>
  <c r="CY112" i="9"/>
  <c r="CY111" i="9"/>
  <c r="CY198" i="9"/>
  <c r="CY199" i="9"/>
  <c r="CY202" i="9"/>
  <c r="CY133" i="9"/>
  <c r="CY134" i="9"/>
  <c r="EZ265" i="2"/>
  <c r="EZ266" i="2"/>
  <c r="P260" i="2" s="1"/>
  <c r="FG233" i="2"/>
  <c r="FG234" i="2"/>
  <c r="W239" i="2" s="1"/>
  <c r="AD197" i="2"/>
  <c r="FN62" i="2"/>
  <c r="FN58" i="2" s="1"/>
  <c r="V241" i="2" l="1"/>
  <c r="FD251" i="2"/>
  <c r="FE247" i="2" s="1"/>
  <c r="FE248" i="2" s="1"/>
  <c r="FI228" i="2"/>
  <c r="FJ224" i="2" s="1"/>
  <c r="FJ225" i="2" s="1"/>
  <c r="FI229" i="2"/>
  <c r="FB262" i="2"/>
  <c r="FB261" i="2"/>
  <c r="FB260" i="2"/>
  <c r="FC256" i="2" s="1"/>
  <c r="FO61" i="2"/>
  <c r="FN60" i="2"/>
  <c r="FN74" i="2"/>
  <c r="FM200" i="2"/>
  <c r="AA233" i="2"/>
  <c r="FK212" i="2"/>
  <c r="FD253" i="2"/>
  <c r="FD258" i="2"/>
  <c r="FD252" i="2"/>
  <c r="FK215" i="2"/>
  <c r="S255" i="2"/>
  <c r="FC255" i="2"/>
  <c r="FT88" i="2"/>
  <c r="AJ61" i="2" s="1"/>
  <c r="AJ62" i="2" s="1"/>
  <c r="FT66" i="2"/>
  <c r="FL201" i="2"/>
  <c r="AD212" i="2"/>
  <c r="Y83" i="3"/>
  <c r="FJ222" i="2"/>
  <c r="W244" i="2"/>
  <c r="P265" i="2"/>
  <c r="FG235" i="2"/>
  <c r="W236" i="2" s="1"/>
  <c r="W240" i="2"/>
  <c r="W245" i="2" s="1"/>
  <c r="FH233" i="2"/>
  <c r="FH234" i="2"/>
  <c r="X239" i="2" s="1"/>
  <c r="EZ267" i="2"/>
  <c r="P257" i="2" s="1"/>
  <c r="P261" i="2"/>
  <c r="P262" i="2" s="1"/>
  <c r="CZ197" i="9"/>
  <c r="CZ196" i="9"/>
  <c r="CZ154" i="9"/>
  <c r="CZ130" i="9"/>
  <c r="CZ146" i="9"/>
  <c r="CO132" i="9"/>
  <c r="CO131" i="9"/>
  <c r="FU57" i="2"/>
  <c r="FU70" i="2" s="1"/>
  <c r="FM206" i="2"/>
  <c r="AC249" i="2"/>
  <c r="AC230" i="2"/>
  <c r="AC250" i="2"/>
  <c r="U254" i="2"/>
  <c r="FE246" i="2"/>
  <c r="CZ108" i="9"/>
  <c r="CZ109" i="9"/>
  <c r="CZ147" i="9"/>
  <c r="CO203" i="9"/>
  <c r="Q256" i="2"/>
  <c r="FA264" i="2"/>
  <c r="DX13" i="7"/>
  <c r="DX20" i="7" s="1"/>
  <c r="FF236" i="2"/>
  <c r="V246" i="2"/>
  <c r="DX14" i="7"/>
  <c r="DX35" i="7"/>
  <c r="DX31" i="7"/>
  <c r="DX37" i="7"/>
  <c r="DX34" i="7"/>
  <c r="DX36" i="7"/>
  <c r="DX38" i="7"/>
  <c r="DX32" i="7"/>
  <c r="DX30" i="7"/>
  <c r="FI231" i="2"/>
  <c r="FK217" i="2" l="1"/>
  <c r="FK220" i="2" s="1"/>
  <c r="FE250" i="2"/>
  <c r="FE253" i="2" s="1"/>
  <c r="FH235" i="2"/>
  <c r="X236" i="2" s="1"/>
  <c r="X240" i="2"/>
  <c r="X245" i="2" s="1"/>
  <c r="DY14" i="7"/>
  <c r="DY38" i="7"/>
  <c r="DY37" i="7"/>
  <c r="DY35" i="7"/>
  <c r="DY36" i="7"/>
  <c r="DY31" i="7"/>
  <c r="DY34" i="7"/>
  <c r="DY32" i="7"/>
  <c r="DY30" i="7"/>
  <c r="FL216" i="2"/>
  <c r="FL207" i="2"/>
  <c r="FL203" i="2"/>
  <c r="FF241" i="2"/>
  <c r="FL202" i="2"/>
  <c r="FM198" i="2" s="1"/>
  <c r="CZ145" i="9"/>
  <c r="CZ204" i="9" s="1"/>
  <c r="CZ190" i="9"/>
  <c r="EF28" i="7"/>
  <c r="EF12" i="7"/>
  <c r="EF17" i="7" s="1"/>
  <c r="EF18" i="7"/>
  <c r="EF19" i="7" s="1"/>
  <c r="FN196" i="2"/>
  <c r="AD228" i="2"/>
  <c r="AD229" i="2"/>
  <c r="Y94" i="3"/>
  <c r="EF29" i="7"/>
  <c r="EF27" i="7"/>
  <c r="AE197" i="2"/>
  <c r="FO62" i="2"/>
  <c r="FO58" i="2" s="1"/>
  <c r="FO74" i="2" s="1"/>
  <c r="FA265" i="2"/>
  <c r="FA266" i="2"/>
  <c r="Q260" i="2" s="1"/>
  <c r="FC257" i="2"/>
  <c r="FC259" i="2" s="1"/>
  <c r="Z234" i="2"/>
  <c r="FJ223" i="2"/>
  <c r="FD254" i="2"/>
  <c r="FV57" i="2"/>
  <c r="P266" i="2"/>
  <c r="DY13" i="7"/>
  <c r="DY20" i="7" s="1"/>
  <c r="FG236" i="2"/>
  <c r="W246" i="2"/>
  <c r="DX15" i="7"/>
  <c r="DX21" i="7"/>
  <c r="AC251" i="2"/>
  <c r="W241" i="2"/>
  <c r="FB263" i="2"/>
  <c r="FM240" i="2"/>
  <c r="Y235" i="2"/>
  <c r="FI232" i="2"/>
  <c r="FU73" i="2"/>
  <c r="X244" i="2"/>
  <c r="FK218" i="2" l="1"/>
  <c r="FL214" i="2" s="1"/>
  <c r="FL215" i="2" s="1"/>
  <c r="FK219" i="2"/>
  <c r="FK226" i="2"/>
  <c r="FE251" i="2"/>
  <c r="FF247" i="2" s="1"/>
  <c r="FF248" i="2" s="1"/>
  <c r="FE252" i="2"/>
  <c r="FE258" i="2"/>
  <c r="FC260" i="2"/>
  <c r="FD256" i="2" s="1"/>
  <c r="FD257" i="2" s="1"/>
  <c r="FM199" i="2"/>
  <c r="FM201" i="2" s="1"/>
  <c r="DZ14" i="7"/>
  <c r="DZ35" i="7"/>
  <c r="DZ36" i="7"/>
  <c r="DZ31" i="7"/>
  <c r="DZ37" i="7"/>
  <c r="DZ38" i="7"/>
  <c r="DZ34" i="7"/>
  <c r="DZ30" i="7"/>
  <c r="DZ32" i="7"/>
  <c r="FI233" i="2"/>
  <c r="FI234" i="2"/>
  <c r="Y239" i="2" s="1"/>
  <c r="FF249" i="2"/>
  <c r="FF244" i="2"/>
  <c r="FF243" i="2"/>
  <c r="FF242" i="2"/>
  <c r="FG238" i="2" s="1"/>
  <c r="FN206" i="2"/>
  <c r="AD250" i="2"/>
  <c r="AD249" i="2"/>
  <c r="AD230" i="2"/>
  <c r="FK222" i="2"/>
  <c r="Q265" i="2"/>
  <c r="FL211" i="2"/>
  <c r="FL208" i="2"/>
  <c r="FM204" i="2" s="1"/>
  <c r="FL209" i="2"/>
  <c r="P267" i="2"/>
  <c r="DZ13" i="7"/>
  <c r="DZ20" i="7" s="1"/>
  <c r="FH236" i="2"/>
  <c r="X246" i="2"/>
  <c r="X241" i="2"/>
  <c r="FV70" i="2"/>
  <c r="FA267" i="2"/>
  <c r="Q257" i="2" s="1"/>
  <c r="Q261" i="2"/>
  <c r="Q266" i="2" s="1"/>
  <c r="FP61" i="2"/>
  <c r="FO60" i="2"/>
  <c r="FN200" i="2"/>
  <c r="R256" i="2"/>
  <c r="FB264" i="2"/>
  <c r="FU86" i="2"/>
  <c r="FU77" i="2"/>
  <c r="FV73" i="2"/>
  <c r="CZ191" i="9"/>
  <c r="CZ193" i="9" s="1"/>
  <c r="CZ141" i="9" s="1"/>
  <c r="CZ144" i="9" s="1"/>
  <c r="FE254" i="2"/>
  <c r="FC262" i="2"/>
  <c r="FC261" i="2"/>
  <c r="T255" i="2"/>
  <c r="FD255" i="2"/>
  <c r="AE212" i="2"/>
  <c r="Z83" i="3"/>
  <c r="FJ227" i="2"/>
  <c r="DY15" i="7"/>
  <c r="DY21" i="7"/>
  <c r="CZ192" i="9" l="1"/>
  <c r="DA189" i="9" s="1"/>
  <c r="CZ157" i="9"/>
  <c r="CZ126" i="9"/>
  <c r="CZ107" i="9" s="1"/>
  <c r="FM216" i="2"/>
  <c r="FM207" i="2"/>
  <c r="FM203" i="2"/>
  <c r="FN240" i="2"/>
  <c r="FF245" i="2"/>
  <c r="FW57" i="2"/>
  <c r="FW70" i="2" s="1"/>
  <c r="AB233" i="2"/>
  <c r="FL212" i="2"/>
  <c r="FL217" i="2" s="1"/>
  <c r="DZ15" i="7"/>
  <c r="DZ21" i="7"/>
  <c r="Y244" i="2"/>
  <c r="FB265" i="2"/>
  <c r="FB266" i="2"/>
  <c r="R260" i="2" s="1"/>
  <c r="Q262" i="2"/>
  <c r="FI235" i="2"/>
  <c r="Y236" i="2" s="1"/>
  <c r="Y240" i="2"/>
  <c r="Y245" i="2" s="1"/>
  <c r="FM202" i="2"/>
  <c r="FN198" i="2" s="1"/>
  <c r="U255" i="2"/>
  <c r="FE255" i="2"/>
  <c r="AA234" i="2"/>
  <c r="FK223" i="2"/>
  <c r="FU88" i="2"/>
  <c r="AK61" i="2" s="1"/>
  <c r="AK62" i="2" s="1"/>
  <c r="FM205" i="2"/>
  <c r="Q267" i="2"/>
  <c r="FD259" i="2"/>
  <c r="AD251" i="2"/>
  <c r="FC263" i="2"/>
  <c r="FJ230" i="2"/>
  <c r="FJ229" i="2"/>
  <c r="FJ228" i="2"/>
  <c r="FK224" i="2" s="1"/>
  <c r="FV86" i="2"/>
  <c r="FV87" i="2" s="1"/>
  <c r="FV77" i="2"/>
  <c r="EG18" i="7"/>
  <c r="EG19" i="7" s="1"/>
  <c r="EG12" i="7"/>
  <c r="EG17" i="7" s="1"/>
  <c r="EG28" i="7"/>
  <c r="FO196" i="2"/>
  <c r="AE228" i="2"/>
  <c r="AE229" i="2"/>
  <c r="Z94" i="3"/>
  <c r="EG27" i="7"/>
  <c r="EG29" i="7"/>
  <c r="FU87" i="2"/>
  <c r="FU66" i="2" s="1"/>
  <c r="AF197" i="2"/>
  <c r="FP62" i="2"/>
  <c r="FP58" i="2" s="1"/>
  <c r="FG239" i="2"/>
  <c r="FG241" i="2" s="1"/>
  <c r="CZ103" i="9" l="1"/>
  <c r="Y241" i="2"/>
  <c r="FG249" i="2"/>
  <c r="FG244" i="2"/>
  <c r="FG243" i="2"/>
  <c r="FX57" i="2"/>
  <c r="FQ61" i="2"/>
  <c r="FP60" i="2"/>
  <c r="FP74" i="2"/>
  <c r="FM211" i="2"/>
  <c r="FM209" i="2"/>
  <c r="R265" i="2"/>
  <c r="V254" i="2"/>
  <c r="FF246" i="2"/>
  <c r="FF250" i="2" s="1"/>
  <c r="FL220" i="2"/>
  <c r="FL226" i="2"/>
  <c r="FL219" i="2"/>
  <c r="FB267" i="2"/>
  <c r="R257" i="2" s="1"/>
  <c r="R261" i="2"/>
  <c r="R266" i="2" s="1"/>
  <c r="FD262" i="2"/>
  <c r="FD261" i="2"/>
  <c r="FO206" i="2"/>
  <c r="AE230" i="2"/>
  <c r="AE250" i="2"/>
  <c r="AE249" i="2"/>
  <c r="S256" i="2"/>
  <c r="FC264" i="2"/>
  <c r="FG242" i="2"/>
  <c r="FH238" i="2" s="1"/>
  <c r="FW73" i="2"/>
  <c r="EA13" i="7"/>
  <c r="EA20" i="7" s="1"/>
  <c r="FI236" i="2"/>
  <c r="Y246" i="2"/>
  <c r="FD260" i="2"/>
  <c r="FE256" i="2" s="1"/>
  <c r="AF212" i="2"/>
  <c r="AA83" i="3"/>
  <c r="FK225" i="2"/>
  <c r="FM208" i="2"/>
  <c r="FN204" i="2" s="1"/>
  <c r="FL218" i="2"/>
  <c r="FM214" i="2" s="1"/>
  <c r="CZ148" i="9"/>
  <c r="CZ110" i="9"/>
  <c r="CZ113" i="9" s="1"/>
  <c r="FJ231" i="2"/>
  <c r="FV88" i="2"/>
  <c r="AL61" i="2" s="1"/>
  <c r="AL62" i="2" s="1"/>
  <c r="FV66" i="2"/>
  <c r="FN199" i="2"/>
  <c r="FN201" i="2" s="1"/>
  <c r="CZ149" i="9"/>
  <c r="CZ128" i="9"/>
  <c r="CZ136" i="9" s="1"/>
  <c r="FO200" i="2"/>
  <c r="EA14" i="7"/>
  <c r="EA36" i="7"/>
  <c r="EA34" i="7"/>
  <c r="EA35" i="7"/>
  <c r="EA37" i="7"/>
  <c r="EA31" i="7"/>
  <c r="EA38" i="7"/>
  <c r="EA32" i="7"/>
  <c r="EA30" i="7"/>
  <c r="R267" i="2" l="1"/>
  <c r="R262" i="2"/>
  <c r="CZ205" i="9"/>
  <c r="FN202" i="2"/>
  <c r="FO198" i="2" s="1"/>
  <c r="FO199" i="2" s="1"/>
  <c r="Z235" i="2"/>
  <c r="FJ232" i="2"/>
  <c r="AC233" i="2"/>
  <c r="FM212" i="2"/>
  <c r="AG197" i="2"/>
  <c r="FQ62" i="2"/>
  <c r="FQ58" i="2" s="1"/>
  <c r="FQ74" i="2" s="1"/>
  <c r="FO240" i="2"/>
  <c r="FM215" i="2"/>
  <c r="AE251" i="2"/>
  <c r="DA116" i="9"/>
  <c r="CZ135" i="9"/>
  <c r="FN216" i="2"/>
  <c r="FN207" i="2"/>
  <c r="FN203" i="2"/>
  <c r="FH239" i="2"/>
  <c r="FH241" i="2" s="1"/>
  <c r="FX70" i="2"/>
  <c r="FL222" i="2"/>
  <c r="FW86" i="2"/>
  <c r="FW77" i="2"/>
  <c r="FX73" i="2"/>
  <c r="FD263" i="2"/>
  <c r="FE257" i="2"/>
  <c r="FE259" i="2" s="1"/>
  <c r="FK227" i="2"/>
  <c r="FF253" i="2"/>
  <c r="FF258" i="2"/>
  <c r="FF251" i="2"/>
  <c r="FG247" i="2" s="1"/>
  <c r="FF252" i="2"/>
  <c r="CZ151" i="9"/>
  <c r="CZ153" i="9" s="1"/>
  <c r="FN205" i="2"/>
  <c r="FG245" i="2"/>
  <c r="FC265" i="2"/>
  <c r="FC266" i="2"/>
  <c r="S260" i="2" s="1"/>
  <c r="DA101" i="9"/>
  <c r="CZ112" i="9"/>
  <c r="CZ111" i="9"/>
  <c r="CZ199" i="9"/>
  <c r="CZ198" i="9"/>
  <c r="CZ202" i="9"/>
  <c r="CZ133" i="9"/>
  <c r="CZ134" i="9"/>
  <c r="EA15" i="7"/>
  <c r="EA21" i="7"/>
  <c r="EH12" i="7"/>
  <c r="EH17" i="7" s="1"/>
  <c r="EH18" i="7"/>
  <c r="EH19" i="7" s="1"/>
  <c r="EH28" i="7"/>
  <c r="FP196" i="2"/>
  <c r="AF229" i="2"/>
  <c r="AF228" i="2"/>
  <c r="AA94" i="3"/>
  <c r="EH27" i="7"/>
  <c r="EH29" i="7"/>
  <c r="FN208" i="2" l="1"/>
  <c r="FO204" i="2" s="1"/>
  <c r="FO205" i="2" s="1"/>
  <c r="FM217" i="2"/>
  <c r="FM220" i="2" s="1"/>
  <c r="FH242" i="2"/>
  <c r="FI238" i="2" s="1"/>
  <c r="FI239" i="2" s="1"/>
  <c r="FI241" i="2" s="1"/>
  <c r="FE262" i="2"/>
  <c r="FE261" i="2"/>
  <c r="AG212" i="2"/>
  <c r="AB83" i="3"/>
  <c r="FK230" i="2"/>
  <c r="FK229" i="2"/>
  <c r="CZ200" i="9"/>
  <c r="CZ201" i="9" s="1"/>
  <c r="W254" i="2"/>
  <c r="FG246" i="2"/>
  <c r="FW88" i="2"/>
  <c r="AM61" i="2" s="1"/>
  <c r="AM62" i="2" s="1"/>
  <c r="CZ155" i="9"/>
  <c r="FE260" i="2"/>
  <c r="FF256" i="2" s="1"/>
  <c r="FY57" i="2"/>
  <c r="FH249" i="2"/>
  <c r="FH244" i="2"/>
  <c r="FH243" i="2"/>
  <c r="FJ234" i="2"/>
  <c r="Z239" i="2" s="1"/>
  <c r="FJ233" i="2"/>
  <c r="FP200" i="2"/>
  <c r="DA123" i="9"/>
  <c r="DA124" i="9"/>
  <c r="S265" i="2"/>
  <c r="FP206" i="2"/>
  <c r="AF230" i="2"/>
  <c r="AF249" i="2"/>
  <c r="AF250" i="2"/>
  <c r="FR61" i="2"/>
  <c r="FQ60" i="2"/>
  <c r="DA108" i="9"/>
  <c r="DA109" i="9"/>
  <c r="FC267" i="2"/>
  <c r="S257" i="2" s="1"/>
  <c r="S261" i="2"/>
  <c r="S266" i="2" s="1"/>
  <c r="FG248" i="2"/>
  <c r="FK228" i="2"/>
  <c r="FL224" i="2" s="1"/>
  <c r="AB234" i="2"/>
  <c r="FL223" i="2"/>
  <c r="T256" i="2"/>
  <c r="FD264" i="2"/>
  <c r="FX86" i="2"/>
  <c r="FX87" i="2" s="1"/>
  <c r="FX77" i="2"/>
  <c r="FO201" i="2"/>
  <c r="FO202" i="2" s="1"/>
  <c r="FP198" i="2" s="1"/>
  <c r="FF254" i="2"/>
  <c r="FW87" i="2"/>
  <c r="FW66" i="2" s="1"/>
  <c r="FN211" i="2"/>
  <c r="FN209" i="2"/>
  <c r="FM218" i="2" l="1"/>
  <c r="FN214" i="2" s="1"/>
  <c r="FN215" i="2" s="1"/>
  <c r="FM219" i="2"/>
  <c r="FM226" i="2"/>
  <c r="FG250" i="2"/>
  <c r="FG251" i="2" s="1"/>
  <c r="FH247" i="2" s="1"/>
  <c r="FH248" i="2" s="1"/>
  <c r="S262" i="2"/>
  <c r="FI242" i="2"/>
  <c r="FJ238" i="2" s="1"/>
  <c r="FJ239" i="2" s="1"/>
  <c r="FP199" i="2"/>
  <c r="FP201" i="2" s="1"/>
  <c r="FK231" i="2"/>
  <c r="FM222" i="2"/>
  <c r="FY73" i="2"/>
  <c r="EI12" i="7"/>
  <c r="EI17" i="7" s="1"/>
  <c r="EI28" i="7"/>
  <c r="EI18" i="7"/>
  <c r="EI19" i="7" s="1"/>
  <c r="FQ196" i="2"/>
  <c r="AG228" i="2"/>
  <c r="AG229" i="2"/>
  <c r="AB94" i="3"/>
  <c r="EI29" i="7"/>
  <c r="EI27" i="7"/>
  <c r="V255" i="2"/>
  <c r="FF255" i="2"/>
  <c r="FI249" i="2"/>
  <c r="FI244" i="2"/>
  <c r="FI243" i="2"/>
  <c r="FP240" i="2"/>
  <c r="FL225" i="2"/>
  <c r="FL227" i="2" s="1"/>
  <c r="FY70" i="2"/>
  <c r="FJ235" i="2"/>
  <c r="Z236" i="2" s="1"/>
  <c r="Z240" i="2"/>
  <c r="Z245" i="2" s="1"/>
  <c r="FO216" i="2"/>
  <c r="FO207" i="2"/>
  <c r="FO203" i="2"/>
  <c r="Z244" i="2"/>
  <c r="FF257" i="2"/>
  <c r="AF251" i="2"/>
  <c r="FX88" i="2"/>
  <c r="AN61" i="2" s="1"/>
  <c r="AN62" i="2" s="1"/>
  <c r="FX66" i="2"/>
  <c r="S267" i="2"/>
  <c r="FE263" i="2"/>
  <c r="AH197" i="2"/>
  <c r="FR62" i="2"/>
  <c r="FR58" i="2" s="1"/>
  <c r="AD233" i="2"/>
  <c r="FN212" i="2"/>
  <c r="FD265" i="2"/>
  <c r="FD266" i="2"/>
  <c r="T260" i="2" s="1"/>
  <c r="FH245" i="2"/>
  <c r="DA196" i="9"/>
  <c r="DA197" i="9"/>
  <c r="DA154" i="9"/>
  <c r="DA130" i="9"/>
  <c r="DA146" i="9"/>
  <c r="CP131" i="9"/>
  <c r="CP132" i="9"/>
  <c r="DA145" i="9"/>
  <c r="DA190" i="9"/>
  <c r="DA147" i="9"/>
  <c r="CP203" i="9"/>
  <c r="FF259" i="2" l="1"/>
  <c r="FF261" i="2" s="1"/>
  <c r="FG252" i="2"/>
  <c r="FG258" i="2"/>
  <c r="FN217" i="2"/>
  <c r="FN218" i="2" s="1"/>
  <c r="FO214" i="2" s="1"/>
  <c r="FO215" i="2" s="1"/>
  <c r="DA204" i="9"/>
  <c r="FG253" i="2"/>
  <c r="FG254" i="2" s="1"/>
  <c r="FL228" i="2"/>
  <c r="FM224" i="2" s="1"/>
  <c r="FM225" i="2" s="1"/>
  <c r="FP216" i="2"/>
  <c r="FP207" i="2"/>
  <c r="FP202" i="2"/>
  <c r="FQ198" i="2" s="1"/>
  <c r="FP203" i="2"/>
  <c r="FS61" i="2"/>
  <c r="FR60" i="2"/>
  <c r="FR74" i="2"/>
  <c r="FL230" i="2"/>
  <c r="FL229" i="2"/>
  <c r="EB14" i="7"/>
  <c r="EB31" i="7"/>
  <c r="EB36" i="7"/>
  <c r="EB37" i="7"/>
  <c r="EB34" i="7"/>
  <c r="EB38" i="7"/>
  <c r="EB35" i="7"/>
  <c r="EB32" i="7"/>
  <c r="EB30" i="7"/>
  <c r="AC234" i="2"/>
  <c r="FM223" i="2"/>
  <c r="AA235" i="2"/>
  <c r="FK232" i="2"/>
  <c r="Z241" i="2"/>
  <c r="X254" i="2"/>
  <c r="FH246" i="2"/>
  <c r="FH250" i="2" s="1"/>
  <c r="FQ200" i="2"/>
  <c r="T265" i="2"/>
  <c r="U256" i="2"/>
  <c r="FE264" i="2"/>
  <c r="FQ206" i="2"/>
  <c r="AG249" i="2"/>
  <c r="AG230" i="2"/>
  <c r="AG250" i="2"/>
  <c r="DA191" i="9"/>
  <c r="DA193" i="9" s="1"/>
  <c r="DA141" i="9" s="1"/>
  <c r="DA144" i="9" s="1"/>
  <c r="FD267" i="2"/>
  <c r="T257" i="2" s="1"/>
  <c r="T261" i="2"/>
  <c r="T266" i="2" s="1"/>
  <c r="FI245" i="2"/>
  <c r="EB13" i="7"/>
  <c r="EB20" i="7" s="1"/>
  <c r="FJ236" i="2"/>
  <c r="FJ241" i="2" s="1"/>
  <c r="Z246" i="2"/>
  <c r="AC83" i="3"/>
  <c r="AH212" i="2"/>
  <c r="FO211" i="2"/>
  <c r="FO209" i="2"/>
  <c r="FO208" i="2"/>
  <c r="FP204" i="2" s="1"/>
  <c r="FZ57" i="2"/>
  <c r="FZ73" i="2" s="1"/>
  <c r="FY77" i="2"/>
  <c r="FY86" i="2"/>
  <c r="FN219" i="2" l="1"/>
  <c r="FF260" i="2"/>
  <c r="FG256" i="2" s="1"/>
  <c r="FG257" i="2" s="1"/>
  <c r="FF262" i="2"/>
  <c r="FN226" i="2"/>
  <c r="FN220" i="2"/>
  <c r="FN222" i="2" s="1"/>
  <c r="DA192" i="9"/>
  <c r="DB189" i="9" s="1"/>
  <c r="FJ249" i="2"/>
  <c r="FJ244" i="2"/>
  <c r="FJ243" i="2"/>
  <c r="FJ242" i="2"/>
  <c r="FK238" i="2" s="1"/>
  <c r="DA157" i="9"/>
  <c r="DA126" i="9"/>
  <c r="DA107" i="9" s="1"/>
  <c r="AI197" i="2"/>
  <c r="FS62" i="2"/>
  <c r="FS58" i="2" s="1"/>
  <c r="FM227" i="2"/>
  <c r="W255" i="2"/>
  <c r="FG255" i="2"/>
  <c r="AE233" i="2"/>
  <c r="FO212" i="2"/>
  <c r="FO217" i="2" s="1"/>
  <c r="T262" i="2"/>
  <c r="FY88" i="2"/>
  <c r="AO61" i="2" s="1"/>
  <c r="AO62" i="2" s="1"/>
  <c r="FF263" i="2"/>
  <c r="EB15" i="7"/>
  <c r="EB21" i="7"/>
  <c r="FQ199" i="2"/>
  <c r="T267" i="2"/>
  <c r="FE266" i="2"/>
  <c r="U260" i="2" s="1"/>
  <c r="FE265" i="2"/>
  <c r="FZ86" i="2"/>
  <c r="FZ77" i="2"/>
  <c r="FK234" i="2"/>
  <c r="AA239" i="2" s="1"/>
  <c r="FK233" i="2"/>
  <c r="FY87" i="2"/>
  <c r="FY66" i="2" s="1"/>
  <c r="FQ240" i="2"/>
  <c r="FP211" i="2"/>
  <c r="FP209" i="2"/>
  <c r="FH253" i="2"/>
  <c r="FH258" i="2"/>
  <c r="FH252" i="2"/>
  <c r="FZ70" i="2"/>
  <c r="AG251" i="2"/>
  <c r="FL231" i="2"/>
  <c r="EJ12" i="7"/>
  <c r="EJ17" i="7" s="1"/>
  <c r="EJ18" i="7"/>
  <c r="EJ19" i="7" s="1"/>
  <c r="EJ28" i="7"/>
  <c r="FR196" i="2"/>
  <c r="AH229" i="2"/>
  <c r="AH228" i="2"/>
  <c r="AC94" i="3"/>
  <c r="EJ29" i="7"/>
  <c r="EJ27" i="7"/>
  <c r="FP205" i="2"/>
  <c r="FP208" i="2" s="1"/>
  <c r="FQ204" i="2" s="1"/>
  <c r="Y254" i="2"/>
  <c r="FI246" i="2"/>
  <c r="FH251" i="2"/>
  <c r="FI247" i="2" s="1"/>
  <c r="FT61" i="2" l="1"/>
  <c r="FS60" i="2"/>
  <c r="FS74" i="2"/>
  <c r="FQ205" i="2"/>
  <c r="FO220" i="2"/>
  <c r="FO226" i="2"/>
  <c r="FO219" i="2"/>
  <c r="FH254" i="2"/>
  <c r="FM230" i="2"/>
  <c r="FM229" i="2"/>
  <c r="FK239" i="2"/>
  <c r="FZ88" i="2"/>
  <c r="AP61" i="2" s="1"/>
  <c r="AP62" i="2" s="1"/>
  <c r="AI212" i="2"/>
  <c r="AD83" i="3"/>
  <c r="FI248" i="2"/>
  <c r="AB235" i="2"/>
  <c r="FL232" i="2"/>
  <c r="FG259" i="2"/>
  <c r="FG260" i="2" s="1"/>
  <c r="FH256" i="2" s="1"/>
  <c r="AD234" i="2"/>
  <c r="FN223" i="2"/>
  <c r="FJ245" i="2"/>
  <c r="DA149" i="9"/>
  <c r="DA151" i="9" s="1"/>
  <c r="DA153" i="9" s="1"/>
  <c r="DA128" i="9"/>
  <c r="DA136" i="9" s="1"/>
  <c r="FZ87" i="2"/>
  <c r="FZ66" i="2" s="1"/>
  <c r="FE267" i="2"/>
  <c r="U257" i="2" s="1"/>
  <c r="U261" i="2"/>
  <c r="U266" i="2" s="1"/>
  <c r="U265" i="2"/>
  <c r="DA103" i="9"/>
  <c r="FR200" i="2"/>
  <c r="FQ201" i="2"/>
  <c r="AF233" i="2"/>
  <c r="FP212" i="2"/>
  <c r="GA57" i="2"/>
  <c r="GA70" i="2" s="1"/>
  <c r="FK235" i="2"/>
  <c r="AA236" i="2" s="1"/>
  <c r="AA240" i="2"/>
  <c r="AA245" i="2" s="1"/>
  <c r="FO218" i="2"/>
  <c r="FP214" i="2" s="1"/>
  <c r="DA148" i="9"/>
  <c r="DA110" i="9"/>
  <c r="V256" i="2"/>
  <c r="FF264" i="2"/>
  <c r="FR206" i="2"/>
  <c r="AH249" i="2"/>
  <c r="AH250" i="2"/>
  <c r="AH230" i="2"/>
  <c r="AA244" i="2"/>
  <c r="FM228" i="2"/>
  <c r="FN224" i="2" s="1"/>
  <c r="AA241" i="2" l="1"/>
  <c r="DA205" i="9"/>
  <c r="FH257" i="2"/>
  <c r="Z254" i="2"/>
  <c r="FJ246" i="2"/>
  <c r="AH251" i="2"/>
  <c r="FG262" i="2"/>
  <c r="FG261" i="2"/>
  <c r="FO222" i="2"/>
  <c r="FI250" i="2"/>
  <c r="FI251" i="2" s="1"/>
  <c r="FJ247" i="2" s="1"/>
  <c r="DA155" i="9"/>
  <c r="DA200" i="9"/>
  <c r="DA201" i="9" s="1"/>
  <c r="FQ216" i="2"/>
  <c r="FQ207" i="2"/>
  <c r="FQ203" i="2"/>
  <c r="FP215" i="2"/>
  <c r="FP217" i="2" s="1"/>
  <c r="FM231" i="2"/>
  <c r="DB101" i="9"/>
  <c r="DA112" i="9"/>
  <c r="DA111" i="9"/>
  <c r="DA133" i="9"/>
  <c r="DA198" i="9"/>
  <c r="DA199" i="9"/>
  <c r="DA202" i="9"/>
  <c r="DA134" i="9"/>
  <c r="FN225" i="2"/>
  <c r="FN227" i="2" s="1"/>
  <c r="DB116" i="9"/>
  <c r="DA135" i="9"/>
  <c r="U267" i="2"/>
  <c r="EK18" i="7"/>
  <c r="EK19" i="7" s="1"/>
  <c r="EK12" i="7"/>
  <c r="EK17" i="7" s="1"/>
  <c r="EK28" i="7"/>
  <c r="FS196" i="2"/>
  <c r="AI228" i="2"/>
  <c r="AI229" i="2"/>
  <c r="AD94" i="3"/>
  <c r="EK29" i="7"/>
  <c r="EK27" i="7"/>
  <c r="X255" i="2"/>
  <c r="FH255" i="2"/>
  <c r="AJ197" i="2"/>
  <c r="FT62" i="2"/>
  <c r="FT58" i="2" s="1"/>
  <c r="GB57" i="2"/>
  <c r="FF266" i="2"/>
  <c r="V260" i="2" s="1"/>
  <c r="FF265" i="2"/>
  <c r="FL234" i="2"/>
  <c r="AB239" i="2" s="1"/>
  <c r="FL233" i="2"/>
  <c r="DA113" i="9"/>
  <c r="EC13" i="7"/>
  <c r="EC20" i="7" s="1"/>
  <c r="FK236" i="2"/>
  <c r="FK241" i="2" s="1"/>
  <c r="AA246" i="2"/>
  <c r="EC14" i="7"/>
  <c r="EC38" i="7"/>
  <c r="EC35" i="7"/>
  <c r="EC31" i="7"/>
  <c r="EC36" i="7"/>
  <c r="EC34" i="7"/>
  <c r="EC37" i="7"/>
  <c r="EC30" i="7"/>
  <c r="EC32" i="7"/>
  <c r="FR240" i="2"/>
  <c r="GA73" i="2"/>
  <c r="U262" i="2"/>
  <c r="FQ202" i="2"/>
  <c r="FR198" i="2" s="1"/>
  <c r="FN228" i="2" l="1"/>
  <c r="FO224" i="2" s="1"/>
  <c r="FO225" i="2" s="1"/>
  <c r="FP218" i="2"/>
  <c r="FQ214" i="2" s="1"/>
  <c r="FQ215" i="2" s="1"/>
  <c r="FU61" i="2"/>
  <c r="FT60" i="2"/>
  <c r="FT74" i="2"/>
  <c r="FK249" i="2"/>
  <c r="FK244" i="2"/>
  <c r="FK243" i="2"/>
  <c r="FK242" i="2"/>
  <c r="FL238" i="2" s="1"/>
  <c r="AE234" i="2"/>
  <c r="FO223" i="2"/>
  <c r="FJ248" i="2"/>
  <c r="FJ250" i="2" s="1"/>
  <c r="EC15" i="7"/>
  <c r="EC21" i="7"/>
  <c r="GA77" i="2"/>
  <c r="GA86" i="2"/>
  <c r="GA87" i="2" s="1"/>
  <c r="GB73" i="2"/>
  <c r="FQ211" i="2"/>
  <c r="FQ209" i="2"/>
  <c r="V265" i="2"/>
  <c r="FG263" i="2"/>
  <c r="AB244" i="2"/>
  <c r="FS206" i="2"/>
  <c r="AI250" i="2"/>
  <c r="AI249" i="2"/>
  <c r="AI230" i="2"/>
  <c r="FQ208" i="2"/>
  <c r="FR204" i="2" s="1"/>
  <c r="FF267" i="2"/>
  <c r="V257" i="2" s="1"/>
  <c r="V261" i="2"/>
  <c r="V266" i="2" s="1"/>
  <c r="DB108" i="9"/>
  <c r="DB109" i="9"/>
  <c r="FR199" i="2"/>
  <c r="FR201" i="2" s="1"/>
  <c r="FS200" i="2"/>
  <c r="DB123" i="9"/>
  <c r="DB124" i="9"/>
  <c r="FH259" i="2"/>
  <c r="GB70" i="2"/>
  <c r="AJ212" i="2"/>
  <c r="AE83" i="3"/>
  <c r="FN230" i="2"/>
  <c r="FN229" i="2"/>
  <c r="FP220" i="2"/>
  <c r="FP226" i="2"/>
  <c r="FP219" i="2"/>
  <c r="FL235" i="2"/>
  <c r="AB236" i="2" s="1"/>
  <c r="AB240" i="2"/>
  <c r="AB245" i="2" s="1"/>
  <c r="AC235" i="2"/>
  <c r="FM232" i="2"/>
  <c r="FI253" i="2"/>
  <c r="FI258" i="2"/>
  <c r="FI252" i="2"/>
  <c r="FR202" i="2" l="1"/>
  <c r="FS198" i="2" s="1"/>
  <c r="FS199" i="2" s="1"/>
  <c r="FS201" i="2" s="1"/>
  <c r="FS202" i="2" s="1"/>
  <c r="FT198" i="2" s="1"/>
  <c r="FO227" i="2"/>
  <c r="FO230" i="2" s="1"/>
  <c r="FJ253" i="2"/>
  <c r="FJ258" i="2"/>
  <c r="FJ252" i="2"/>
  <c r="AB241" i="2"/>
  <c r="W256" i="2"/>
  <c r="FG264" i="2"/>
  <c r="V262" i="2"/>
  <c r="GC57" i="2"/>
  <c r="GC73" i="2" s="1"/>
  <c r="FK245" i="2"/>
  <c r="FM234" i="2"/>
  <c r="AC239" i="2" s="1"/>
  <c r="FM233" i="2"/>
  <c r="ED14" i="7"/>
  <c r="ED36" i="7"/>
  <c r="ED38" i="7"/>
  <c r="ED37" i="7"/>
  <c r="ED34" i="7"/>
  <c r="ED31" i="7"/>
  <c r="ED35" i="7"/>
  <c r="ED30" i="7"/>
  <c r="ED32" i="7"/>
  <c r="V267" i="2"/>
  <c r="FH262" i="2"/>
  <c r="FH261" i="2"/>
  <c r="FJ251" i="2"/>
  <c r="FK247" i="2" s="1"/>
  <c r="FN231" i="2"/>
  <c r="EL12" i="7"/>
  <c r="EL17" i="7" s="1"/>
  <c r="EL18" i="7"/>
  <c r="EL19" i="7" s="1"/>
  <c r="EL28" i="7"/>
  <c r="FT196" i="2"/>
  <c r="AJ229" i="2"/>
  <c r="AJ228" i="2"/>
  <c r="AE94" i="3"/>
  <c r="EL27" i="7"/>
  <c r="EL29" i="7"/>
  <c r="FR205" i="2"/>
  <c r="DB147" i="9"/>
  <c r="CQ203" i="9"/>
  <c r="AI251" i="2"/>
  <c r="AG233" i="2"/>
  <c r="FQ212" i="2"/>
  <c r="FQ217" i="2" s="1"/>
  <c r="FL239" i="2"/>
  <c r="DB145" i="9"/>
  <c r="DB190" i="9"/>
  <c r="GB86" i="2"/>
  <c r="GB77" i="2"/>
  <c r="ED13" i="7"/>
  <c r="ED20" i="7" s="1"/>
  <c r="FL236" i="2"/>
  <c r="AB246" i="2"/>
  <c r="FR216" i="2"/>
  <c r="FR207" i="2"/>
  <c r="FR203" i="2"/>
  <c r="DB197" i="9"/>
  <c r="DB154" i="9"/>
  <c r="DB196" i="9"/>
  <c r="DB130" i="9"/>
  <c r="DB146" i="9"/>
  <c r="CQ131" i="9"/>
  <c r="CQ132" i="9"/>
  <c r="FS240" i="2"/>
  <c r="GA88" i="2"/>
  <c r="AQ61" i="2" s="1"/>
  <c r="AQ62" i="2" s="1"/>
  <c r="GA66" i="2"/>
  <c r="FP222" i="2"/>
  <c r="FI254" i="2"/>
  <c r="FH260" i="2"/>
  <c r="FI256" i="2" s="1"/>
  <c r="AK197" i="2"/>
  <c r="FU62" i="2"/>
  <c r="FU58" i="2" s="1"/>
  <c r="FL241" i="2" l="1"/>
  <c r="FL242" i="2" s="1"/>
  <c r="FM238" i="2" s="1"/>
  <c r="FM239" i="2" s="1"/>
  <c r="FO228" i="2"/>
  <c r="FP224" i="2" s="1"/>
  <c r="FP225" i="2" s="1"/>
  <c r="FO229" i="2"/>
  <c r="FR208" i="2"/>
  <c r="FS204" i="2" s="1"/>
  <c r="FS205" i="2" s="1"/>
  <c r="FV61" i="2"/>
  <c r="FU60" i="2"/>
  <c r="FU74" i="2"/>
  <c r="FK248" i="2"/>
  <c r="FT199" i="2"/>
  <c r="FH263" i="2"/>
  <c r="AC244" i="2"/>
  <c r="FM235" i="2"/>
  <c r="AC236" i="2" s="1"/>
  <c r="AC240" i="2"/>
  <c r="AC245" i="2" s="1"/>
  <c r="AK212" i="2"/>
  <c r="AF83" i="3"/>
  <c r="FQ220" i="2"/>
  <c r="FQ226" i="2"/>
  <c r="FQ218" i="2"/>
  <c r="FR214" i="2" s="1"/>
  <c r="FQ219" i="2"/>
  <c r="FT206" i="2"/>
  <c r="AJ250" i="2"/>
  <c r="AJ249" i="2"/>
  <c r="AJ230" i="2"/>
  <c r="FS216" i="2"/>
  <c r="FS207" i="2"/>
  <c r="FT200" i="2"/>
  <c r="AA254" i="2"/>
  <c r="FK246" i="2"/>
  <c r="ED15" i="7"/>
  <c r="ED21" i="7"/>
  <c r="GB88" i="2"/>
  <c r="AR61" i="2" s="1"/>
  <c r="AR62" i="2" s="1"/>
  <c r="GC70" i="2"/>
  <c r="FJ254" i="2"/>
  <c r="FI257" i="2"/>
  <c r="FS203" i="2"/>
  <c r="GB87" i="2"/>
  <c r="GB66" i="2" s="1"/>
  <c r="AD235" i="2"/>
  <c r="FN232" i="2"/>
  <c r="GC86" i="2"/>
  <c r="GC87" i="2" s="1"/>
  <c r="GC77" i="2"/>
  <c r="DB191" i="9"/>
  <c r="DB193" i="9" s="1"/>
  <c r="DB141" i="9" s="1"/>
  <c r="DB144" i="9" s="1"/>
  <c r="FG266" i="2"/>
  <c r="W260" i="2" s="1"/>
  <c r="FG265" i="2"/>
  <c r="AF234" i="2"/>
  <c r="FP223" i="2"/>
  <c r="FR211" i="2"/>
  <c r="FR209" i="2"/>
  <c r="Y255" i="2"/>
  <c r="FI255" i="2"/>
  <c r="DB204" i="9"/>
  <c r="FO231" i="2"/>
  <c r="FL244" i="2" l="1"/>
  <c r="FL245" i="2" s="1"/>
  <c r="FL243" i="2"/>
  <c r="FI259" i="2"/>
  <c r="FI261" i="2" s="1"/>
  <c r="FK250" i="2"/>
  <c r="FK252" i="2" s="1"/>
  <c r="FL249" i="2"/>
  <c r="DB192" i="9"/>
  <c r="DC189" i="9" s="1"/>
  <c r="AC241" i="2"/>
  <c r="FT201" i="2"/>
  <c r="FT203" i="2" s="1"/>
  <c r="DB157" i="9"/>
  <c r="DB126" i="9"/>
  <c r="DB103" i="9" s="1"/>
  <c r="FT240" i="2"/>
  <c r="AL197" i="2"/>
  <c r="FV62" i="2"/>
  <c r="FV58" i="2" s="1"/>
  <c r="FN234" i="2"/>
  <c r="AD239" i="2" s="1"/>
  <c r="FN233" i="2"/>
  <c r="X256" i="2"/>
  <c r="FH264" i="2"/>
  <c r="FS211" i="2"/>
  <c r="FS209" i="2"/>
  <c r="FP227" i="2"/>
  <c r="FQ222" i="2"/>
  <c r="FG267" i="2"/>
  <c r="W257" i="2" s="1"/>
  <c r="W261" i="2"/>
  <c r="W266" i="2" s="1"/>
  <c r="W265" i="2"/>
  <c r="FR215" i="2"/>
  <c r="AE235" i="2"/>
  <c r="FO232" i="2"/>
  <c r="Z255" i="2"/>
  <c r="FJ255" i="2"/>
  <c r="EM18" i="7"/>
  <c r="EM19" i="7" s="1"/>
  <c r="EM12" i="7"/>
  <c r="EM17" i="7" s="1"/>
  <c r="EM28" i="7"/>
  <c r="FU196" i="2"/>
  <c r="AK229" i="2"/>
  <c r="AK228" i="2"/>
  <c r="AF94" i="3"/>
  <c r="EM27" i="7"/>
  <c r="EM29" i="7"/>
  <c r="EE13" i="7"/>
  <c r="EE20" i="7" s="1"/>
  <c r="FM236" i="2"/>
  <c r="AC246" i="2"/>
  <c r="GD57" i="2"/>
  <c r="EE14" i="7"/>
  <c r="EE34" i="7"/>
  <c r="EE36" i="7"/>
  <c r="EE37" i="7"/>
  <c r="EE35" i="7"/>
  <c r="EE38" i="7"/>
  <c r="EE31" i="7"/>
  <c r="EE32" i="7"/>
  <c r="EE30" i="7"/>
  <c r="FS208" i="2"/>
  <c r="FT204" i="2" s="1"/>
  <c r="AH233" i="2"/>
  <c r="FR212" i="2"/>
  <c r="GC88" i="2"/>
  <c r="AS61" i="2" s="1"/>
  <c r="AS62" i="2" s="1"/>
  <c r="GC66" i="2"/>
  <c r="AJ251" i="2"/>
  <c r="FK253" i="2" l="1"/>
  <c r="FK254" i="2" s="1"/>
  <c r="FI260" i="2"/>
  <c r="FJ256" i="2" s="1"/>
  <c r="FJ257" i="2" s="1"/>
  <c r="FK258" i="2"/>
  <c r="FI262" i="2"/>
  <c r="FI263" i="2" s="1"/>
  <c r="FK251" i="2"/>
  <c r="FL247" i="2" s="1"/>
  <c r="FL248" i="2" s="1"/>
  <c r="W267" i="2"/>
  <c r="FT207" i="2"/>
  <c r="FT209" i="2" s="1"/>
  <c r="FT216" i="2"/>
  <c r="FT202" i="2"/>
  <c r="FU198" i="2" s="1"/>
  <c r="FU199" i="2" s="1"/>
  <c r="FR217" i="2"/>
  <c r="FR226" i="2" s="1"/>
  <c r="DB107" i="9"/>
  <c r="FW61" i="2"/>
  <c r="FV60" i="2"/>
  <c r="EE15" i="7"/>
  <c r="EE21" i="7"/>
  <c r="FO234" i="2"/>
  <c r="AE239" i="2" s="1"/>
  <c r="FO233" i="2"/>
  <c r="AI233" i="2"/>
  <c r="FS212" i="2"/>
  <c r="GD73" i="2"/>
  <c r="FH266" i="2"/>
  <c r="X260" i="2" s="1"/>
  <c r="FH265" i="2"/>
  <c r="FV74" i="2"/>
  <c r="FP230" i="2"/>
  <c r="FP229" i="2"/>
  <c r="DB149" i="9"/>
  <c r="DB128" i="9"/>
  <c r="DB136" i="9" s="1"/>
  <c r="FU206" i="2"/>
  <c r="AK230" i="2"/>
  <c r="AK249" i="2"/>
  <c r="AK250" i="2"/>
  <c r="FT205" i="2"/>
  <c r="FU200" i="2"/>
  <c r="W262" i="2"/>
  <c r="FN235" i="2"/>
  <c r="AD236" i="2" s="1"/>
  <c r="AD240" i="2"/>
  <c r="AD245" i="2" s="1"/>
  <c r="FP228" i="2"/>
  <c r="FQ224" i="2" s="1"/>
  <c r="GD70" i="2"/>
  <c r="AD244" i="2"/>
  <c r="FM241" i="2"/>
  <c r="AG234" i="2"/>
  <c r="FQ223" i="2"/>
  <c r="AB254" i="2"/>
  <c r="FL246" i="2"/>
  <c r="AL212" i="2"/>
  <c r="AG83" i="3"/>
  <c r="FT208" i="2" l="1"/>
  <c r="FU204" i="2" s="1"/>
  <c r="FU205" i="2" s="1"/>
  <c r="FT211" i="2"/>
  <c r="FT212" i="2" s="1"/>
  <c r="FJ259" i="2"/>
  <c r="FJ262" i="2" s="1"/>
  <c r="FJ263" i="2" s="1"/>
  <c r="FU201" i="2"/>
  <c r="FU202" i="2" s="1"/>
  <c r="FV198" i="2" s="1"/>
  <c r="FV199" i="2" s="1"/>
  <c r="FR218" i="2"/>
  <c r="FS214" i="2" s="1"/>
  <c r="FS215" i="2" s="1"/>
  <c r="FS217" i="2" s="1"/>
  <c r="FR219" i="2"/>
  <c r="FR220" i="2"/>
  <c r="FR222" i="2" s="1"/>
  <c r="EN28" i="7"/>
  <c r="EN12" i="7"/>
  <c r="EN17" i="7" s="1"/>
  <c r="EN18" i="7"/>
  <c r="EN19" i="7" s="1"/>
  <c r="FV196" i="2"/>
  <c r="AL228" i="2"/>
  <c r="AL229" i="2"/>
  <c r="AG94" i="3"/>
  <c r="EN29" i="7"/>
  <c r="EN27" i="7"/>
  <c r="AD241" i="2"/>
  <c r="AA255" i="2"/>
  <c r="FK255" i="2"/>
  <c r="DB148" i="9"/>
  <c r="DB205" i="9" s="1"/>
  <c r="DB110" i="9"/>
  <c r="DB113" i="9" s="1"/>
  <c r="DB151" i="9"/>
  <c r="DB153" i="9" s="1"/>
  <c r="GE57" i="2"/>
  <c r="Y256" i="2"/>
  <c r="FI264" i="2"/>
  <c r="FO235" i="2"/>
  <c r="AE236" i="2" s="1"/>
  <c r="AE240" i="2"/>
  <c r="AE245" i="2" s="1"/>
  <c r="AE244" i="2"/>
  <c r="EF13" i="7"/>
  <c r="EF20" i="7" s="1"/>
  <c r="FN236" i="2"/>
  <c r="AD246" i="2"/>
  <c r="FQ225" i="2"/>
  <c r="FQ227" i="2" s="1"/>
  <c r="FU240" i="2"/>
  <c r="FL250" i="2"/>
  <c r="AK251" i="2"/>
  <c r="FP231" i="2"/>
  <c r="FM249" i="2"/>
  <c r="FM244" i="2"/>
  <c r="FM243" i="2"/>
  <c r="FM242" i="2"/>
  <c r="FN238" i="2" s="1"/>
  <c r="FH267" i="2"/>
  <c r="X257" i="2" s="1"/>
  <c r="X261" i="2"/>
  <c r="X266" i="2" s="1"/>
  <c r="X265" i="2"/>
  <c r="AM197" i="2"/>
  <c r="FW62" i="2"/>
  <c r="FW58" i="2" s="1"/>
  <c r="EF14" i="7"/>
  <c r="EF31" i="7"/>
  <c r="EF35" i="7"/>
  <c r="EF34" i="7"/>
  <c r="EF36" i="7"/>
  <c r="EF37" i="7"/>
  <c r="EF38" i="7"/>
  <c r="EF30" i="7"/>
  <c r="EF32" i="7"/>
  <c r="DC116" i="9"/>
  <c r="DB135" i="9"/>
  <c r="GD86" i="2"/>
  <c r="GD87" i="2" s="1"/>
  <c r="GD77" i="2"/>
  <c r="FU203" i="2" l="1"/>
  <c r="FU207" i="2"/>
  <c r="FU211" i="2" s="1"/>
  <c r="FU216" i="2"/>
  <c r="AJ233" i="2"/>
  <c r="FJ261" i="2"/>
  <c r="FJ260" i="2"/>
  <c r="FK256" i="2" s="1"/>
  <c r="FK257" i="2" s="1"/>
  <c r="X262" i="2"/>
  <c r="DB200" i="9"/>
  <c r="DB201" i="9" s="1"/>
  <c r="X267" i="2"/>
  <c r="FQ230" i="2"/>
  <c r="FQ229" i="2"/>
  <c r="FQ228" i="2"/>
  <c r="FR224" i="2" s="1"/>
  <c r="FX61" i="2"/>
  <c r="FW60" i="2"/>
  <c r="FW74" i="2"/>
  <c r="AF235" i="2"/>
  <c r="FP232" i="2"/>
  <c r="EG14" i="7"/>
  <c r="EG31" i="7"/>
  <c r="EG37" i="7"/>
  <c r="EG34" i="7"/>
  <c r="EG35" i="7"/>
  <c r="EG38" i="7"/>
  <c r="EG36" i="7"/>
  <c r="EG30" i="7"/>
  <c r="EG32" i="7"/>
  <c r="DB155" i="9"/>
  <c r="FV200" i="2"/>
  <c r="FI265" i="2"/>
  <c r="FI266" i="2"/>
  <c r="Y260" i="2" s="1"/>
  <c r="FV206" i="2"/>
  <c r="AL230" i="2"/>
  <c r="AL250" i="2"/>
  <c r="AL249" i="2"/>
  <c r="GD88" i="2"/>
  <c r="AT61" i="2" s="1"/>
  <c r="AT62" i="2" s="1"/>
  <c r="GD66" i="2"/>
  <c r="DC123" i="9"/>
  <c r="DC124" i="9"/>
  <c r="FN239" i="2"/>
  <c r="FV201" i="2"/>
  <c r="FS220" i="2"/>
  <c r="FS226" i="2"/>
  <c r="FS219" i="2"/>
  <c r="GE70" i="2"/>
  <c r="AH234" i="2"/>
  <c r="FR223" i="2"/>
  <c r="Z256" i="2"/>
  <c r="FJ264" i="2"/>
  <c r="EG13" i="7"/>
  <c r="EG20" i="7" s="1"/>
  <c r="FO236" i="2"/>
  <c r="AE246" i="2"/>
  <c r="DC101" i="9"/>
  <c r="DB112" i="9"/>
  <c r="DB111" i="9"/>
  <c r="DB133" i="9"/>
  <c r="DB198" i="9"/>
  <c r="DB199" i="9"/>
  <c r="DB202" i="9"/>
  <c r="DB134" i="9"/>
  <c r="EF15" i="7"/>
  <c r="EF21" i="7"/>
  <c r="FL253" i="2"/>
  <c r="FL258" i="2"/>
  <c r="FL252" i="2"/>
  <c r="AE241" i="2"/>
  <c r="FS218" i="2"/>
  <c r="FT214" i="2" s="1"/>
  <c r="FM245" i="2"/>
  <c r="GE73" i="2"/>
  <c r="AM212" i="2"/>
  <c r="AH83" i="3"/>
  <c r="FL251" i="2"/>
  <c r="FM247" i="2" s="1"/>
  <c r="FU209" i="2" l="1"/>
  <c r="FU208" i="2"/>
  <c r="FV204" i="2" s="1"/>
  <c r="FV205" i="2" s="1"/>
  <c r="FK259" i="2"/>
  <c r="FK262" i="2" s="1"/>
  <c r="FK263" i="2" s="1"/>
  <c r="FV203" i="2"/>
  <c r="AN197" i="2"/>
  <c r="FX62" i="2"/>
  <c r="FX58" i="2" s="1"/>
  <c r="FV202" i="2"/>
  <c r="FW198" i="2" s="1"/>
  <c r="FJ265" i="2"/>
  <c r="FJ266" i="2"/>
  <c r="Z260" i="2" s="1"/>
  <c r="FV216" i="2"/>
  <c r="FV207" i="2"/>
  <c r="FV209" i="2" s="1"/>
  <c r="FI267" i="2"/>
  <c r="Y257" i="2" s="1"/>
  <c r="Y261" i="2"/>
  <c r="Y266" i="2" s="1"/>
  <c r="AC254" i="2"/>
  <c r="FM246" i="2"/>
  <c r="FS222" i="2"/>
  <c r="FN241" i="2"/>
  <c r="AL251" i="2"/>
  <c r="FT215" i="2"/>
  <c r="FT217" i="2" s="1"/>
  <c r="FT218" i="2" s="1"/>
  <c r="FU214" i="2" s="1"/>
  <c r="FV240" i="2"/>
  <c r="EG15" i="7"/>
  <c r="EG21" i="7"/>
  <c r="FM248" i="2"/>
  <c r="FP233" i="2"/>
  <c r="FP234" i="2"/>
  <c r="AF239" i="2" s="1"/>
  <c r="FR225" i="2"/>
  <c r="EO18" i="7"/>
  <c r="EO19" i="7" s="1"/>
  <c r="EO28" i="7"/>
  <c r="EO12" i="7"/>
  <c r="EO17" i="7" s="1"/>
  <c r="FW196" i="2"/>
  <c r="AM229" i="2"/>
  <c r="AM228" i="2"/>
  <c r="AH94" i="3"/>
  <c r="EO27" i="7"/>
  <c r="EO29" i="7"/>
  <c r="GE77" i="2"/>
  <c r="GE86" i="2"/>
  <c r="GE87" i="2" s="1"/>
  <c r="FL254" i="2"/>
  <c r="AK233" i="2"/>
  <c r="FU212" i="2"/>
  <c r="DC147" i="9"/>
  <c r="CR203" i="9"/>
  <c r="DC108" i="9"/>
  <c r="DC109" i="9"/>
  <c r="GF57" i="2"/>
  <c r="GF70" i="2" s="1"/>
  <c r="DC197" i="9"/>
  <c r="DC196" i="9"/>
  <c r="DC154" i="9"/>
  <c r="DC130" i="9"/>
  <c r="DC146" i="9"/>
  <c r="CR132" i="9"/>
  <c r="CR131" i="9"/>
  <c r="Y265" i="2"/>
  <c r="FQ231" i="2"/>
  <c r="FK261" i="2" l="1"/>
  <c r="FK260" i="2"/>
  <c r="FL256" i="2" s="1"/>
  <c r="FL257" i="2" s="1"/>
  <c r="Y262" i="2"/>
  <c r="Y267" i="2"/>
  <c r="FM250" i="2"/>
  <c r="FM251" i="2" s="1"/>
  <c r="FN247" i="2" s="1"/>
  <c r="FN248" i="2" s="1"/>
  <c r="FY61" i="2"/>
  <c r="FX60" i="2"/>
  <c r="FX74" i="2"/>
  <c r="GG57" i="2"/>
  <c r="GG70" i="2" s="1"/>
  <c r="FJ267" i="2"/>
  <c r="Z257" i="2" s="1"/>
  <c r="Z261" i="2"/>
  <c r="Z266" i="2" s="1"/>
  <c r="FT220" i="2"/>
  <c r="FT226" i="2"/>
  <c r="FT219" i="2"/>
  <c r="AN212" i="2"/>
  <c r="AI83" i="3"/>
  <c r="Z265" i="2"/>
  <c r="FW200" i="2"/>
  <c r="FW206" i="2"/>
  <c r="AM249" i="2"/>
  <c r="AM230" i="2"/>
  <c r="AM250" i="2"/>
  <c r="FW199" i="2"/>
  <c r="AB255" i="2"/>
  <c r="FL255" i="2"/>
  <c r="AA256" i="2"/>
  <c r="FK264" i="2"/>
  <c r="AF244" i="2"/>
  <c r="FP235" i="2"/>
  <c r="AF236" i="2" s="1"/>
  <c r="AF240" i="2"/>
  <c r="AF245" i="2" s="1"/>
  <c r="AG235" i="2"/>
  <c r="FQ232" i="2"/>
  <c r="DC145" i="9"/>
  <c r="DC204" i="9" s="1"/>
  <c r="DC190" i="9"/>
  <c r="GF73" i="2"/>
  <c r="FN249" i="2"/>
  <c r="FN244" i="2"/>
  <c r="FN243" i="2"/>
  <c r="FV211" i="2"/>
  <c r="FV208" i="2"/>
  <c r="FW204" i="2" s="1"/>
  <c r="FU215" i="2"/>
  <c r="FU217" i="2" s="1"/>
  <c r="GE88" i="2"/>
  <c r="AU61" i="2" s="1"/>
  <c r="AU62" i="2" s="1"/>
  <c r="GE66" i="2"/>
  <c r="FR227" i="2"/>
  <c r="FR228" i="2" s="1"/>
  <c r="FS224" i="2" s="1"/>
  <c r="FN242" i="2"/>
  <c r="FO238" i="2" s="1"/>
  <c r="AI234" i="2"/>
  <c r="FS223" i="2"/>
  <c r="FM253" i="2" l="1"/>
  <c r="FM254" i="2" s="1"/>
  <c r="FM258" i="2"/>
  <c r="Z262" i="2"/>
  <c r="FM252" i="2"/>
  <c r="FU220" i="2"/>
  <c r="FU226" i="2"/>
  <c r="FU219" i="2"/>
  <c r="FS225" i="2"/>
  <c r="FS227" i="2" s="1"/>
  <c r="EH14" i="7"/>
  <c r="EH34" i="7"/>
  <c r="EH36" i="7"/>
  <c r="EH31" i="7"/>
  <c r="EH35" i="7"/>
  <c r="EH38" i="7"/>
  <c r="EH37" i="7"/>
  <c r="EH30" i="7"/>
  <c r="EH32" i="7"/>
  <c r="AL233" i="2"/>
  <c r="FV212" i="2"/>
  <c r="AF241" i="2"/>
  <c r="FW240" i="2"/>
  <c r="FW205" i="2"/>
  <c r="FK265" i="2"/>
  <c r="FK266" i="2"/>
  <c r="AA260" i="2" s="1"/>
  <c r="AO197" i="2"/>
  <c r="FY62" i="2"/>
  <c r="FY58" i="2" s="1"/>
  <c r="FT222" i="2"/>
  <c r="GH57" i="2"/>
  <c r="FO239" i="2"/>
  <c r="FO241" i="2" s="1"/>
  <c r="FL259" i="2"/>
  <c r="AM251" i="2"/>
  <c r="EH13" i="7"/>
  <c r="EH20" i="7" s="1"/>
  <c r="FP236" i="2"/>
  <c r="AF246" i="2"/>
  <c r="FN245" i="2"/>
  <c r="GF86" i="2"/>
  <c r="GF87" i="2" s="1"/>
  <c r="GF77" i="2"/>
  <c r="GG73" i="2"/>
  <c r="DC191" i="9"/>
  <c r="DC193" i="9" s="1"/>
  <c r="DC141" i="9" s="1"/>
  <c r="DC144" i="9" s="1"/>
  <c r="EP28" i="7"/>
  <c r="EP18" i="7"/>
  <c r="EP19" i="7" s="1"/>
  <c r="EP12" i="7"/>
  <c r="EP17" i="7" s="1"/>
  <c r="FX196" i="2"/>
  <c r="AN228" i="2"/>
  <c r="AN229" i="2"/>
  <c r="AI94" i="3"/>
  <c r="EP27" i="7"/>
  <c r="EP29" i="7"/>
  <c r="FR230" i="2"/>
  <c r="FR229" i="2"/>
  <c r="FU218" i="2"/>
  <c r="FV214" i="2" s="1"/>
  <c r="FW201" i="2"/>
  <c r="FW202" i="2" s="1"/>
  <c r="FX198" i="2" s="1"/>
  <c r="FQ233" i="2"/>
  <c r="FQ234" i="2"/>
  <c r="AG239" i="2" s="1"/>
  <c r="Z267" i="2"/>
  <c r="FW203" i="2" l="1"/>
  <c r="DC192" i="9"/>
  <c r="DD189" i="9" s="1"/>
  <c r="FO242" i="2"/>
  <c r="FP238" i="2" s="1"/>
  <c r="FP239" i="2" s="1"/>
  <c r="FP241" i="2" s="1"/>
  <c r="FX199" i="2"/>
  <c r="FS230" i="2"/>
  <c r="FS229" i="2"/>
  <c r="FZ61" i="2"/>
  <c r="FY60" i="2"/>
  <c r="FY74" i="2"/>
  <c r="AJ234" i="2"/>
  <c r="FT223" i="2"/>
  <c r="AG244" i="2"/>
  <c r="AC255" i="2"/>
  <c r="FM255" i="2"/>
  <c r="EH15" i="7"/>
  <c r="EH21" i="7"/>
  <c r="FQ235" i="2"/>
  <c r="AG236" i="2" s="1"/>
  <c r="AG240" i="2"/>
  <c r="AG245" i="2" s="1"/>
  <c r="GG86" i="2"/>
  <c r="GG77" i="2"/>
  <c r="GH73" i="2"/>
  <c r="FX200" i="2"/>
  <c r="AO212" i="2"/>
  <c r="AJ83" i="3"/>
  <c r="FX206" i="2"/>
  <c r="AN250" i="2"/>
  <c r="AN249" i="2"/>
  <c r="AN230" i="2"/>
  <c r="FL262" i="2"/>
  <c r="FL261" i="2"/>
  <c r="FL260" i="2"/>
  <c r="FM256" i="2" s="1"/>
  <c r="FS228" i="2"/>
  <c r="FT224" i="2" s="1"/>
  <c r="FO249" i="2"/>
  <c r="FO244" i="2"/>
  <c r="FO243" i="2"/>
  <c r="AD254" i="2"/>
  <c r="FN246" i="2"/>
  <c r="FN250" i="2" s="1"/>
  <c r="FK267" i="2"/>
  <c r="AA257" i="2" s="1"/>
  <c r="AA261" i="2"/>
  <c r="AA266" i="2" s="1"/>
  <c r="GF88" i="2"/>
  <c r="AV61" i="2" s="1"/>
  <c r="AV62" i="2" s="1"/>
  <c r="GF66" i="2"/>
  <c r="FW216" i="2"/>
  <c r="FW207" i="2"/>
  <c r="FW208" i="2" s="1"/>
  <c r="FX204" i="2" s="1"/>
  <c r="AA265" i="2"/>
  <c r="FV215" i="2"/>
  <c r="FV217" i="2" s="1"/>
  <c r="GH70" i="2"/>
  <c r="FR231" i="2"/>
  <c r="DC157" i="9"/>
  <c r="DC126" i="9"/>
  <c r="DC103" i="9" s="1"/>
  <c r="FU222" i="2"/>
  <c r="AA262" i="2" l="1"/>
  <c r="DC107" i="9"/>
  <c r="DC110" i="9" s="1"/>
  <c r="DC113" i="9" s="1"/>
  <c r="FP242" i="2"/>
  <c r="FQ238" i="2" s="1"/>
  <c r="FQ239" i="2" s="1"/>
  <c r="FV220" i="2"/>
  <c r="FV226" i="2"/>
  <c r="FV219" i="2"/>
  <c r="FX205" i="2"/>
  <c r="AK234" i="2"/>
  <c r="FU223" i="2"/>
  <c r="GG88" i="2"/>
  <c r="AW61" i="2" s="1"/>
  <c r="AW62" i="2" s="1"/>
  <c r="AH235" i="2"/>
  <c r="FR232" i="2"/>
  <c r="EI14" i="7"/>
  <c r="EI35" i="7"/>
  <c r="EI38" i="7"/>
  <c r="EI37" i="7"/>
  <c r="EI31" i="7"/>
  <c r="EI36" i="7"/>
  <c r="EI34" i="7"/>
  <c r="EI32" i="7"/>
  <c r="EI30" i="7"/>
  <c r="FP249" i="2"/>
  <c r="FP244" i="2"/>
  <c r="FP243" i="2"/>
  <c r="FV218" i="2"/>
  <c r="FW214" i="2" s="1"/>
  <c r="FT225" i="2"/>
  <c r="FT227" i="2" s="1"/>
  <c r="AP197" i="2"/>
  <c r="FZ62" i="2"/>
  <c r="FZ58" i="2" s="1"/>
  <c r="FW211" i="2"/>
  <c r="FW209" i="2"/>
  <c r="EQ18" i="7"/>
  <c r="EQ19" i="7" s="1"/>
  <c r="EQ28" i="7"/>
  <c r="EQ12" i="7"/>
  <c r="EQ17" i="7" s="1"/>
  <c r="FY196" i="2"/>
  <c r="AO229" i="2"/>
  <c r="AO228" i="2"/>
  <c r="AJ94" i="3"/>
  <c r="EQ29" i="7"/>
  <c r="EQ27" i="7"/>
  <c r="AN251" i="2"/>
  <c r="EI13" i="7"/>
  <c r="EI20" i="7" s="1"/>
  <c r="FQ236" i="2"/>
  <c r="AG246" i="2"/>
  <c r="FM257" i="2"/>
  <c r="FM259" i="2" s="1"/>
  <c r="AG241" i="2"/>
  <c r="FS231" i="2"/>
  <c r="FO245" i="2"/>
  <c r="FX240" i="2"/>
  <c r="FN253" i="2"/>
  <c r="FN258" i="2"/>
  <c r="FN252" i="2"/>
  <c r="FN251" i="2"/>
  <c r="FO247" i="2" s="1"/>
  <c r="GH86" i="2"/>
  <c r="GH87" i="2" s="1"/>
  <c r="GH77" i="2"/>
  <c r="GI57" i="2"/>
  <c r="DC149" i="9"/>
  <c r="DC128" i="9"/>
  <c r="DC136" i="9" s="1"/>
  <c r="GG87" i="2"/>
  <c r="GG66" i="2" s="1"/>
  <c r="FX201" i="2"/>
  <c r="FX202" i="2" s="1"/>
  <c r="FY198" i="2" s="1"/>
  <c r="AA267" i="2"/>
  <c r="FL263" i="2"/>
  <c r="FX203" i="2" l="1"/>
  <c r="FQ241" i="2"/>
  <c r="FQ242" i="2" s="1"/>
  <c r="FR238" i="2" s="1"/>
  <c r="FR239" i="2" s="1"/>
  <c r="DC148" i="9"/>
  <c r="DC205" i="9" s="1"/>
  <c r="GA61" i="2"/>
  <c r="FZ60" i="2"/>
  <c r="FZ74" i="2"/>
  <c r="FT230" i="2"/>
  <c r="FT229" i="2"/>
  <c r="FT228" i="2"/>
  <c r="FU224" i="2" s="1"/>
  <c r="FY199" i="2"/>
  <c r="FY201" i="2" s="1"/>
  <c r="FM262" i="2"/>
  <c r="FM261" i="2"/>
  <c r="FM260" i="2"/>
  <c r="FN256" i="2" s="1"/>
  <c r="AI235" i="2"/>
  <c r="FS232" i="2"/>
  <c r="GH88" i="2"/>
  <c r="AX61" i="2" s="1"/>
  <c r="AX62" i="2" s="1"/>
  <c r="GH66" i="2"/>
  <c r="FN254" i="2"/>
  <c r="DC151" i="9"/>
  <c r="AM233" i="2"/>
  <c r="FW212" i="2"/>
  <c r="AP212" i="2"/>
  <c r="AK83" i="3"/>
  <c r="EI15" i="7"/>
  <c r="EI21" i="7"/>
  <c r="FW215" i="2"/>
  <c r="FY206" i="2"/>
  <c r="AO250" i="2"/>
  <c r="AO249" i="2"/>
  <c r="AO230" i="2"/>
  <c r="FP245" i="2"/>
  <c r="FR233" i="2"/>
  <c r="FR234" i="2"/>
  <c r="AH239" i="2" s="1"/>
  <c r="AB256" i="2"/>
  <c r="FL264" i="2"/>
  <c r="FY200" i="2"/>
  <c r="FO248" i="2"/>
  <c r="DD101" i="9"/>
  <c r="DC112" i="9"/>
  <c r="DC111" i="9"/>
  <c r="DC202" i="9"/>
  <c r="DC199" i="9"/>
  <c r="DC133" i="9"/>
  <c r="DC134" i="9"/>
  <c r="DC198" i="9"/>
  <c r="GI70" i="2"/>
  <c r="GI73" i="2"/>
  <c r="DD116" i="9"/>
  <c r="DC135" i="9"/>
  <c r="FX216" i="2"/>
  <c r="FX207" i="2"/>
  <c r="AE254" i="2"/>
  <c r="FO246" i="2"/>
  <c r="FV222" i="2"/>
  <c r="FW217" i="2" l="1"/>
  <c r="FW226" i="2" s="1"/>
  <c r="FQ249" i="2"/>
  <c r="FQ243" i="2"/>
  <c r="FQ244" i="2"/>
  <c r="FQ245" i="2" s="1"/>
  <c r="FO250" i="2"/>
  <c r="FO258" i="2" s="1"/>
  <c r="FY216" i="2"/>
  <c r="FY207" i="2"/>
  <c r="FY209" i="2" s="1"/>
  <c r="FY202" i="2"/>
  <c r="FZ198" i="2" s="1"/>
  <c r="FX211" i="2"/>
  <c r="FX209" i="2"/>
  <c r="FR235" i="2"/>
  <c r="AH236" i="2" s="1"/>
  <c r="AH240" i="2"/>
  <c r="AH245" i="2" s="1"/>
  <c r="GJ57" i="2"/>
  <c r="GJ73" i="2" s="1"/>
  <c r="ER28" i="7"/>
  <c r="ER12" i="7"/>
  <c r="ER17" i="7" s="1"/>
  <c r="ER18" i="7"/>
  <c r="ER19" i="7" s="1"/>
  <c r="FZ196" i="2"/>
  <c r="AP229" i="2"/>
  <c r="AP228" i="2"/>
  <c r="AK94" i="3"/>
  <c r="ER29" i="7"/>
  <c r="ER27" i="7"/>
  <c r="FN257" i="2"/>
  <c r="FT231" i="2"/>
  <c r="AH244" i="2"/>
  <c r="AL234" i="2"/>
  <c r="FV223" i="2"/>
  <c r="AO251" i="2"/>
  <c r="DD123" i="9"/>
  <c r="DD124" i="9"/>
  <c r="FM263" i="2"/>
  <c r="FX208" i="2"/>
  <c r="FY204" i="2" s="1"/>
  <c r="FU225" i="2"/>
  <c r="FU227" i="2" s="1"/>
  <c r="FU228" i="2" s="1"/>
  <c r="FV224" i="2" s="1"/>
  <c r="AF254" i="2"/>
  <c r="FP246" i="2"/>
  <c r="FL265" i="2"/>
  <c r="FL266" i="2"/>
  <c r="AB260" i="2" s="1"/>
  <c r="FY240" i="2"/>
  <c r="DC153" i="9"/>
  <c r="DC200" i="9"/>
  <c r="DC201" i="9" s="1"/>
  <c r="GI86" i="2"/>
  <c r="GI77" i="2"/>
  <c r="FS233" i="2"/>
  <c r="FS234" i="2"/>
  <c r="AI239" i="2" s="1"/>
  <c r="FY203" i="2"/>
  <c r="DD108" i="9"/>
  <c r="DD109" i="9"/>
  <c r="AD255" i="2"/>
  <c r="FN255" i="2"/>
  <c r="AQ197" i="2"/>
  <c r="GA62" i="2"/>
  <c r="GA58" i="2" s="1"/>
  <c r="FW220" i="2" l="1"/>
  <c r="FW222" i="2" s="1"/>
  <c r="FO251" i="2"/>
  <c r="FP247" i="2" s="1"/>
  <c r="FP248" i="2" s="1"/>
  <c r="FW218" i="2"/>
  <c r="FX214" i="2" s="1"/>
  <c r="FX215" i="2" s="1"/>
  <c r="FW219" i="2"/>
  <c r="FO253" i="2"/>
  <c r="FO254" i="2" s="1"/>
  <c r="AH241" i="2"/>
  <c r="FO252" i="2"/>
  <c r="FN259" i="2"/>
  <c r="FN262" i="2" s="1"/>
  <c r="FV225" i="2"/>
  <c r="FV227" i="2" s="1"/>
  <c r="GB61" i="2"/>
  <c r="GA60" i="2"/>
  <c r="GA74" i="2"/>
  <c r="DD145" i="9"/>
  <c r="DD190" i="9"/>
  <c r="GI88" i="2"/>
  <c r="AY61" i="2" s="1"/>
  <c r="AY62" i="2" s="1"/>
  <c r="FZ199" i="2"/>
  <c r="FZ200" i="2"/>
  <c r="AC256" i="2"/>
  <c r="FM264" i="2"/>
  <c r="EJ13" i="7"/>
  <c r="EJ20" i="7" s="1"/>
  <c r="FR236" i="2"/>
  <c r="AH246" i="2"/>
  <c r="FU230" i="2"/>
  <c r="FU229" i="2"/>
  <c r="AQ212" i="2"/>
  <c r="AL83" i="3"/>
  <c r="AB265" i="2"/>
  <c r="AG254" i="2"/>
  <c r="FQ246" i="2"/>
  <c r="FZ206" i="2"/>
  <c r="AP230" i="2"/>
  <c r="AP250" i="2"/>
  <c r="AP249" i="2"/>
  <c r="AJ235" i="2"/>
  <c r="FT232" i="2"/>
  <c r="FY211" i="2"/>
  <c r="AI244" i="2"/>
  <c r="FS235" i="2"/>
  <c r="AI236" i="2" s="1"/>
  <c r="AI240" i="2"/>
  <c r="AI245" i="2" s="1"/>
  <c r="DD147" i="9"/>
  <c r="CS203" i="9"/>
  <c r="AN233" i="2"/>
  <c r="FX212" i="2"/>
  <c r="FY205" i="2"/>
  <c r="FY208" i="2" s="1"/>
  <c r="FZ204" i="2" s="1"/>
  <c r="FL267" i="2"/>
  <c r="AB257" i="2" s="1"/>
  <c r="AB261" i="2"/>
  <c r="AB266" i="2" s="1"/>
  <c r="GJ86" i="2"/>
  <c r="GJ87" i="2" s="1"/>
  <c r="GJ77" i="2"/>
  <c r="DD197" i="9"/>
  <c r="DD196" i="9"/>
  <c r="DD154" i="9"/>
  <c r="DD130" i="9"/>
  <c r="DD146" i="9"/>
  <c r="CS132" i="9"/>
  <c r="CS131" i="9"/>
  <c r="GJ70" i="2"/>
  <c r="GI87" i="2"/>
  <c r="GI66" i="2" s="1"/>
  <c r="EJ14" i="7"/>
  <c r="EJ35" i="7"/>
  <c r="EJ34" i="7"/>
  <c r="EJ38" i="7"/>
  <c r="EJ36" i="7"/>
  <c r="EJ31" i="7"/>
  <c r="EJ37" i="7"/>
  <c r="EJ32" i="7"/>
  <c r="EJ30" i="7"/>
  <c r="DC155" i="9"/>
  <c r="FX217" i="2" l="1"/>
  <c r="FX218" i="2" s="1"/>
  <c r="FY214" i="2" s="1"/>
  <c r="FY215" i="2" s="1"/>
  <c r="FN260" i="2"/>
  <c r="FO256" i="2" s="1"/>
  <c r="FO257" i="2" s="1"/>
  <c r="FN261" i="2"/>
  <c r="AB267" i="2"/>
  <c r="FV230" i="2"/>
  <c r="FV229" i="2"/>
  <c r="FV228" i="2"/>
  <c r="FW224" i="2" s="1"/>
  <c r="FZ205" i="2"/>
  <c r="DD191" i="9"/>
  <c r="DD192" i="9" s="1"/>
  <c r="DE189" i="9" s="1"/>
  <c r="AO233" i="2"/>
  <c r="FY212" i="2"/>
  <c r="AB262" i="2"/>
  <c r="DD204" i="9"/>
  <c r="AP251" i="2"/>
  <c r="AE255" i="2"/>
  <c r="FO255" i="2"/>
  <c r="AR197" i="2"/>
  <c r="GB62" i="2"/>
  <c r="GB58" i="2" s="1"/>
  <c r="GB74" i="2" s="1"/>
  <c r="ES28" i="7"/>
  <c r="ES18" i="7"/>
  <c r="ES19" i="7" s="1"/>
  <c r="ES12" i="7"/>
  <c r="ES17" i="7" s="1"/>
  <c r="GA196" i="2"/>
  <c r="AQ229" i="2"/>
  <c r="AQ228" i="2"/>
  <c r="AL94" i="3"/>
  <c r="ES27" i="7"/>
  <c r="ES29" i="7"/>
  <c r="FR241" i="2"/>
  <c r="GJ88" i="2"/>
  <c r="AZ61" i="2" s="1"/>
  <c r="AZ62" i="2" s="1"/>
  <c r="GJ66" i="2"/>
  <c r="FP250" i="2"/>
  <c r="FZ201" i="2"/>
  <c r="FZ203" i="2" s="1"/>
  <c r="FT233" i="2"/>
  <c r="FT234" i="2"/>
  <c r="AJ239" i="2" s="1"/>
  <c r="AM234" i="2"/>
  <c r="FW223" i="2"/>
  <c r="FN263" i="2"/>
  <c r="GK57" i="2"/>
  <c r="FM265" i="2"/>
  <c r="FM266" i="2"/>
  <c r="AC260" i="2" s="1"/>
  <c r="FZ240" i="2"/>
  <c r="EK14" i="7"/>
  <c r="EK31" i="7"/>
  <c r="EK34" i="7"/>
  <c r="EK36" i="7"/>
  <c r="EK38" i="7"/>
  <c r="EK35" i="7"/>
  <c r="EK37" i="7"/>
  <c r="EK30" i="7"/>
  <c r="EK32" i="7"/>
  <c r="EK13" i="7"/>
  <c r="EK20" i="7" s="1"/>
  <c r="FS236" i="2"/>
  <c r="AI246" i="2"/>
  <c r="EJ15" i="7"/>
  <c r="EJ21" i="7"/>
  <c r="AI241" i="2"/>
  <c r="FU231" i="2"/>
  <c r="FX219" i="2" l="1"/>
  <c r="FX226" i="2"/>
  <c r="FX220" i="2"/>
  <c r="FX222" i="2" s="1"/>
  <c r="DD193" i="9"/>
  <c r="DD141" i="9" s="1"/>
  <c r="DD144" i="9" s="1"/>
  <c r="DD157" i="9" s="1"/>
  <c r="FY217" i="2"/>
  <c r="FY218" i="2" s="1"/>
  <c r="FZ214" i="2" s="1"/>
  <c r="FZ215" i="2" s="1"/>
  <c r="FO259" i="2"/>
  <c r="FO262" i="2" s="1"/>
  <c r="EK15" i="7"/>
  <c r="EK21" i="7"/>
  <c r="AJ244" i="2"/>
  <c r="FR249" i="2"/>
  <c r="FR244" i="2"/>
  <c r="FR243" i="2"/>
  <c r="FR242" i="2"/>
  <c r="FS238" i="2" s="1"/>
  <c r="AR212" i="2"/>
  <c r="AM83" i="3"/>
  <c r="AK235" i="2"/>
  <c r="FU232" i="2"/>
  <c r="GC61" i="2"/>
  <c r="GB60" i="2"/>
  <c r="FW225" i="2"/>
  <c r="FW227" i="2" s="1"/>
  <c r="FP253" i="2"/>
  <c r="FP258" i="2"/>
  <c r="FP252" i="2"/>
  <c r="FZ216" i="2"/>
  <c r="FZ207" i="2"/>
  <c r="GK73" i="2"/>
  <c r="FV231" i="2"/>
  <c r="AD256" i="2"/>
  <c r="FN264" i="2"/>
  <c r="FM267" i="2"/>
  <c r="AC257" i="2" s="1"/>
  <c r="AC261" i="2"/>
  <c r="AC266" i="2" s="1"/>
  <c r="GK70" i="2"/>
  <c r="GA206" i="2"/>
  <c r="AQ250" i="2"/>
  <c r="AQ230" i="2"/>
  <c r="AQ249" i="2"/>
  <c r="FP251" i="2"/>
  <c r="FQ247" i="2" s="1"/>
  <c r="FT235" i="2"/>
  <c r="AJ236" i="2" s="1"/>
  <c r="AJ240" i="2"/>
  <c r="AJ245" i="2" s="1"/>
  <c r="AC265" i="2"/>
  <c r="GA200" i="2"/>
  <c r="FZ202" i="2"/>
  <c r="GA198" i="2" s="1"/>
  <c r="FY219" i="2" l="1"/>
  <c r="DD126" i="9"/>
  <c r="DD103" i="9" s="1"/>
  <c r="FO260" i="2"/>
  <c r="FP256" i="2" s="1"/>
  <c r="FP257" i="2" s="1"/>
  <c r="FO261" i="2"/>
  <c r="FY226" i="2"/>
  <c r="FY220" i="2"/>
  <c r="FY222" i="2" s="1"/>
  <c r="AC262" i="2"/>
  <c r="FW228" i="2"/>
  <c r="FX224" i="2" s="1"/>
  <c r="FX225" i="2" s="1"/>
  <c r="AC267" i="2"/>
  <c r="GA199" i="2"/>
  <c r="GA201" i="2" s="1"/>
  <c r="FP254" i="2"/>
  <c r="GK86" i="2"/>
  <c r="GK87" i="2" s="1"/>
  <c r="GK77" i="2"/>
  <c r="FZ211" i="2"/>
  <c r="FZ209" i="2"/>
  <c r="AN234" i="2"/>
  <c r="FX223" i="2"/>
  <c r="GL57" i="2"/>
  <c r="FU233" i="2"/>
  <c r="FU234" i="2"/>
  <c r="AK239" i="2" s="1"/>
  <c r="FZ208" i="2"/>
  <c r="GA204" i="2" s="1"/>
  <c r="AQ251" i="2"/>
  <c r="FW230" i="2"/>
  <c r="FW229" i="2"/>
  <c r="ET12" i="7"/>
  <c r="ET17" i="7" s="1"/>
  <c r="ET28" i="7"/>
  <c r="ET18" i="7"/>
  <c r="ET19" i="7" s="1"/>
  <c r="GB196" i="2"/>
  <c r="AR229" i="2"/>
  <c r="AR228" i="2"/>
  <c r="AM94" i="3"/>
  <c r="ET29" i="7"/>
  <c r="ET27" i="7"/>
  <c r="FS239" i="2"/>
  <c r="FS241" i="2" s="1"/>
  <c r="EL14" i="7"/>
  <c r="EL38" i="7"/>
  <c r="EL37" i="7"/>
  <c r="EL35" i="7"/>
  <c r="EL36" i="7"/>
  <c r="EL34" i="7"/>
  <c r="EL31" i="7"/>
  <c r="EL30" i="7"/>
  <c r="EL32" i="7"/>
  <c r="FN265" i="2"/>
  <c r="FN266" i="2"/>
  <c r="AD260" i="2" s="1"/>
  <c r="FQ248" i="2"/>
  <c r="FQ250" i="2" s="1"/>
  <c r="AL235" i="2"/>
  <c r="FV232" i="2"/>
  <c r="AS197" i="2"/>
  <c r="GC62" i="2"/>
  <c r="GC58" i="2" s="1"/>
  <c r="EL13" i="7"/>
  <c r="EL20" i="7" s="1"/>
  <c r="FT236" i="2"/>
  <c r="AJ246" i="2"/>
  <c r="FO263" i="2"/>
  <c r="GA240" i="2"/>
  <c r="FR245" i="2"/>
  <c r="AJ241" i="2"/>
  <c r="DD149" i="9" l="1"/>
  <c r="DD107" i="9"/>
  <c r="DD110" i="9" s="1"/>
  <c r="DD113" i="9" s="1"/>
  <c r="DD128" i="9"/>
  <c r="DD136" i="9" s="1"/>
  <c r="FX227" i="2"/>
  <c r="FX230" i="2" s="1"/>
  <c r="FQ253" i="2"/>
  <c r="FQ258" i="2"/>
  <c r="FQ252" i="2"/>
  <c r="FQ251" i="2"/>
  <c r="FR247" i="2" s="1"/>
  <c r="FS249" i="2"/>
  <c r="FS244" i="2"/>
  <c r="FS243" i="2"/>
  <c r="GA216" i="2"/>
  <c r="GA207" i="2"/>
  <c r="GA203" i="2"/>
  <c r="GD61" i="2"/>
  <c r="GC60" i="2"/>
  <c r="GC74" i="2"/>
  <c r="FS242" i="2"/>
  <c r="FT238" i="2" s="1"/>
  <c r="GL70" i="2"/>
  <c r="AE256" i="2"/>
  <c r="FO264" i="2"/>
  <c r="GA202" i="2"/>
  <c r="GB198" i="2" s="1"/>
  <c r="EL15" i="7"/>
  <c r="EL21" i="7"/>
  <c r="GA205" i="2"/>
  <c r="GB206" i="2"/>
  <c r="AR250" i="2"/>
  <c r="AR249" i="2"/>
  <c r="AR230" i="2"/>
  <c r="AO234" i="2"/>
  <c r="FY223" i="2"/>
  <c r="GB200" i="2"/>
  <c r="AP233" i="2"/>
  <c r="FZ212" i="2"/>
  <c r="FZ217" i="2" s="1"/>
  <c r="AD265" i="2"/>
  <c r="FN267" i="2"/>
  <c r="AD257" i="2" s="1"/>
  <c r="AD261" i="2"/>
  <c r="AD266" i="2" s="1"/>
  <c r="AS212" i="2"/>
  <c r="AN83" i="3"/>
  <c r="AK244" i="2"/>
  <c r="GL73" i="2"/>
  <c r="FW231" i="2"/>
  <c r="FU235" i="2"/>
  <c r="AK236" i="2" s="1"/>
  <c r="AK240" i="2"/>
  <c r="AK245" i="2" s="1"/>
  <c r="AF255" i="2"/>
  <c r="FP255" i="2"/>
  <c r="AH254" i="2"/>
  <c r="FR246" i="2"/>
  <c r="FV234" i="2"/>
  <c r="AL239" i="2" s="1"/>
  <c r="FV233" i="2"/>
  <c r="GK88" i="2"/>
  <c r="BA61" i="2" s="1"/>
  <c r="BA62" i="2" s="1"/>
  <c r="GK66" i="2"/>
  <c r="DD111" i="9" l="1"/>
  <c r="DD112" i="9"/>
  <c r="DD151" i="9"/>
  <c r="DD200" i="9" s="1"/>
  <c r="DD201" i="9" s="1"/>
  <c r="DE101" i="9"/>
  <c r="DE108" i="9" s="1"/>
  <c r="DD148" i="9"/>
  <c r="DD205" i="9" s="1"/>
  <c r="DE116" i="9"/>
  <c r="DE124" i="9" s="1"/>
  <c r="DD135" i="9"/>
  <c r="DD199" i="9"/>
  <c r="DD134" i="9"/>
  <c r="DD202" i="9"/>
  <c r="DD198" i="9"/>
  <c r="DD133" i="9"/>
  <c r="FX228" i="2"/>
  <c r="FY224" i="2" s="1"/>
  <c r="FY225" i="2" s="1"/>
  <c r="FY227" i="2" s="1"/>
  <c r="FX229" i="2"/>
  <c r="GA208" i="2"/>
  <c r="GB204" i="2" s="1"/>
  <c r="GB205" i="2" s="1"/>
  <c r="AL244" i="2"/>
  <c r="EM13" i="7"/>
  <c r="EM20" i="7" s="1"/>
  <c r="FU236" i="2"/>
  <c r="AK246" i="2"/>
  <c r="AK241" i="2"/>
  <c r="GB199" i="2"/>
  <c r="FX231" i="2"/>
  <c r="FO265" i="2"/>
  <c r="FO266" i="2"/>
  <c r="AE260" i="2" s="1"/>
  <c r="AR251" i="2"/>
  <c r="AT197" i="2"/>
  <c r="GD62" i="2"/>
  <c r="GD58" i="2" s="1"/>
  <c r="FR248" i="2"/>
  <c r="FR250" i="2" s="1"/>
  <c r="FR251" i="2" s="1"/>
  <c r="FS247" i="2" s="1"/>
  <c r="FS245" i="2"/>
  <c r="EU12" i="7"/>
  <c r="EU17" i="7" s="1"/>
  <c r="EU18" i="7"/>
  <c r="EU19" i="7" s="1"/>
  <c r="EU28" i="7"/>
  <c r="GC196" i="2"/>
  <c r="AS229" i="2"/>
  <c r="AS228" i="2"/>
  <c r="AN94" i="3"/>
  <c r="EU29" i="7"/>
  <c r="EU27" i="7"/>
  <c r="EM14" i="7"/>
  <c r="EM36" i="7"/>
  <c r="EM31" i="7"/>
  <c r="EM35" i="7"/>
  <c r="EM34" i="7"/>
  <c r="EM38" i="7"/>
  <c r="EM37" i="7"/>
  <c r="EM32" i="7"/>
  <c r="EM30" i="7"/>
  <c r="AD267" i="2"/>
  <c r="GB240" i="2"/>
  <c r="AM235" i="2"/>
  <c r="FW232" i="2"/>
  <c r="AD262" i="2"/>
  <c r="GM57" i="2"/>
  <c r="GM70" i="2" s="1"/>
  <c r="GA211" i="2"/>
  <c r="GA209" i="2"/>
  <c r="FP259" i="2"/>
  <c r="FV235" i="2"/>
  <c r="AL236" i="2" s="1"/>
  <c r="AL240" i="2"/>
  <c r="AL245" i="2" s="1"/>
  <c r="GL86" i="2"/>
  <c r="GL87" i="2" s="1"/>
  <c r="GL77" i="2"/>
  <c r="FZ220" i="2"/>
  <c r="FZ226" i="2"/>
  <c r="FZ219" i="2"/>
  <c r="FZ218" i="2"/>
  <c r="GA214" i="2" s="1"/>
  <c r="FT239" i="2"/>
  <c r="FT241" i="2" s="1"/>
  <c r="FQ254" i="2"/>
  <c r="DD153" i="9" l="1"/>
  <c r="DD155" i="9" s="1"/>
  <c r="DE109" i="9"/>
  <c r="DE145" i="9" s="1"/>
  <c r="DE123" i="9"/>
  <c r="DE197" i="9" s="1"/>
  <c r="GM73" i="2"/>
  <c r="GM77" i="2" s="1"/>
  <c r="FS248" i="2"/>
  <c r="FY230" i="2"/>
  <c r="FY229" i="2"/>
  <c r="FY228" i="2"/>
  <c r="FZ224" i="2" s="1"/>
  <c r="GE61" i="2"/>
  <c r="GD60" i="2"/>
  <c r="GD74" i="2"/>
  <c r="FT249" i="2"/>
  <c r="FT244" i="2"/>
  <c r="FT243" i="2"/>
  <c r="FT242" i="2"/>
  <c r="FU238" i="2" s="1"/>
  <c r="EN14" i="7"/>
  <c r="EN38" i="7"/>
  <c r="EN35" i="7"/>
  <c r="EN36" i="7"/>
  <c r="EN37" i="7"/>
  <c r="EN31" i="7"/>
  <c r="EN34" i="7"/>
  <c r="EN32" i="7"/>
  <c r="EN30" i="7"/>
  <c r="AQ233" i="2"/>
  <c r="GA212" i="2"/>
  <c r="AE265" i="2"/>
  <c r="AI254" i="2"/>
  <c r="FS246" i="2"/>
  <c r="FO267" i="2"/>
  <c r="AE257" i="2" s="1"/>
  <c r="AE261" i="2"/>
  <c r="AE266" i="2" s="1"/>
  <c r="FP262" i="2"/>
  <c r="FP260" i="2"/>
  <c r="FQ256" i="2" s="1"/>
  <c r="FP261" i="2"/>
  <c r="GN57" i="2"/>
  <c r="GN70" i="2" s="1"/>
  <c r="EM15" i="7"/>
  <c r="EM21" i="7"/>
  <c r="FR253" i="2"/>
  <c r="FR258" i="2"/>
  <c r="FR252" i="2"/>
  <c r="AN235" i="2"/>
  <c r="FX232" i="2"/>
  <c r="EN13" i="7"/>
  <c r="EN20" i="7" s="1"/>
  <c r="FV236" i="2"/>
  <c r="AL246" i="2"/>
  <c r="GA215" i="2"/>
  <c r="AG255" i="2"/>
  <c r="FQ255" i="2"/>
  <c r="FW234" i="2"/>
  <c r="AM239" i="2" s="1"/>
  <c r="FW233" i="2"/>
  <c r="GB201" i="2"/>
  <c r="GB202" i="2" s="1"/>
  <c r="GC198" i="2" s="1"/>
  <c r="AL241" i="2"/>
  <c r="DE147" i="9"/>
  <c r="GC206" i="2"/>
  <c r="AS249" i="2"/>
  <c r="AS250" i="2"/>
  <c r="AS230" i="2"/>
  <c r="AT212" i="2"/>
  <c r="AO83" i="3"/>
  <c r="GL88" i="2"/>
  <c r="BB61" i="2" s="1"/>
  <c r="BB62" i="2" s="1"/>
  <c r="GL66" i="2"/>
  <c r="FZ222" i="2"/>
  <c r="GC200" i="2"/>
  <c r="CT203" i="9" l="1"/>
  <c r="DE190" i="9"/>
  <c r="DE191" i="9" s="1"/>
  <c r="DE193" i="9" s="1"/>
  <c r="DE141" i="9" s="1"/>
  <c r="DE144" i="9" s="1"/>
  <c r="CT131" i="9"/>
  <c r="CT132" i="9"/>
  <c r="DE146" i="9"/>
  <c r="DE204" i="9" s="1"/>
  <c r="DE154" i="9"/>
  <c r="GM86" i="2"/>
  <c r="GM87" i="2" s="1"/>
  <c r="DE130" i="9"/>
  <c r="DE196" i="9"/>
  <c r="GA217" i="2"/>
  <c r="GA220" i="2" s="1"/>
  <c r="GN73" i="2"/>
  <c r="GN86" i="2" s="1"/>
  <c r="GC199" i="2"/>
  <c r="GC201" i="2" s="1"/>
  <c r="EV12" i="7"/>
  <c r="EV17" i="7" s="1"/>
  <c r="EV18" i="7"/>
  <c r="EV19" i="7" s="1"/>
  <c r="EV28" i="7"/>
  <c r="GD196" i="2"/>
  <c r="AT228" i="2"/>
  <c r="AT229" i="2"/>
  <c r="AO94" i="3"/>
  <c r="EV29" i="7"/>
  <c r="EV27" i="7"/>
  <c r="FW235" i="2"/>
  <c r="AM236" i="2" s="1"/>
  <c r="AM240" i="2"/>
  <c r="AM245" i="2" s="1"/>
  <c r="FZ225" i="2"/>
  <c r="AU197" i="2"/>
  <c r="GE62" i="2"/>
  <c r="GE58" i="2" s="1"/>
  <c r="FU239" i="2"/>
  <c r="FU241" i="2" s="1"/>
  <c r="GC240" i="2"/>
  <c r="FY231" i="2"/>
  <c r="AM244" i="2"/>
  <c r="FQ257" i="2"/>
  <c r="FQ259" i="2" s="1"/>
  <c r="AE267" i="2"/>
  <c r="GO57" i="2"/>
  <c r="FX234" i="2"/>
  <c r="AN239" i="2" s="1"/>
  <c r="FX233" i="2"/>
  <c r="AE262" i="2"/>
  <c r="EN15" i="7"/>
  <c r="EN21" i="7"/>
  <c r="GB216" i="2"/>
  <c r="GB207" i="2"/>
  <c r="GB203" i="2"/>
  <c r="FR254" i="2"/>
  <c r="AS251" i="2"/>
  <c r="AP234" i="2"/>
  <c r="FZ223" i="2"/>
  <c r="FP263" i="2"/>
  <c r="FT245" i="2"/>
  <c r="FS250" i="2"/>
  <c r="GN77" i="2" l="1"/>
  <c r="GM88" i="2"/>
  <c r="BC61" i="2" s="1"/>
  <c r="BC62" i="2" s="1"/>
  <c r="GM66" i="2"/>
  <c r="GA218" i="2"/>
  <c r="GB214" i="2" s="1"/>
  <c r="GB215" i="2" s="1"/>
  <c r="GO73" i="2"/>
  <c r="GA226" i="2"/>
  <c r="GA219" i="2"/>
  <c r="DE192" i="9"/>
  <c r="DF189" i="9" s="1"/>
  <c r="DE157" i="9"/>
  <c r="DE126" i="9"/>
  <c r="GC216" i="2"/>
  <c r="GC207" i="2"/>
  <c r="GC203" i="2"/>
  <c r="FQ262" i="2"/>
  <c r="FQ261" i="2"/>
  <c r="GF61" i="2"/>
  <c r="GE60" i="2"/>
  <c r="GE74" i="2"/>
  <c r="FS253" i="2"/>
  <c r="FS258" i="2"/>
  <c r="FS252" i="2"/>
  <c r="AN244" i="2"/>
  <c r="FZ227" i="2"/>
  <c r="FZ228" i="2" s="1"/>
  <c r="GA224" i="2" s="1"/>
  <c r="GO70" i="2"/>
  <c r="GN88" i="2"/>
  <c r="BD61" i="2" s="1"/>
  <c r="BD62" i="2" s="1"/>
  <c r="EO14" i="7"/>
  <c r="EO36" i="7"/>
  <c r="EO35" i="7"/>
  <c r="EO37" i="7"/>
  <c r="EO34" i="7"/>
  <c r="EO38" i="7"/>
  <c r="EO31" i="7"/>
  <c r="EO30" i="7"/>
  <c r="EO32" i="7"/>
  <c r="FS251" i="2"/>
  <c r="FT247" i="2" s="1"/>
  <c r="FX235" i="2"/>
  <c r="AN236" i="2" s="1"/>
  <c r="AN240" i="2"/>
  <c r="AN245" i="2" s="1"/>
  <c r="AF256" i="2"/>
  <c r="FP264" i="2"/>
  <c r="GN87" i="2"/>
  <c r="GN66" i="2" s="1"/>
  <c r="AH255" i="2"/>
  <c r="FR255" i="2"/>
  <c r="FU249" i="2"/>
  <c r="FU244" i="2"/>
  <c r="FU243" i="2"/>
  <c r="GC202" i="2"/>
  <c r="GD198" i="2" s="1"/>
  <c r="AO235" i="2"/>
  <c r="FY232" i="2"/>
  <c r="AJ254" i="2"/>
  <c r="FT246" i="2"/>
  <c r="FU242" i="2"/>
  <c r="FV238" i="2" s="1"/>
  <c r="GB211" i="2"/>
  <c r="GB209" i="2"/>
  <c r="GB208" i="2"/>
  <c r="GC204" i="2" s="1"/>
  <c r="FQ260" i="2"/>
  <c r="FR256" i="2" s="1"/>
  <c r="AP83" i="3"/>
  <c r="AU212" i="2"/>
  <c r="AM241" i="2"/>
  <c r="GD200" i="2"/>
  <c r="EO13" i="7"/>
  <c r="EO20" i="7" s="1"/>
  <c r="FW236" i="2"/>
  <c r="AM246" i="2"/>
  <c r="GD206" i="2"/>
  <c r="AT249" i="2"/>
  <c r="AT230" i="2"/>
  <c r="AT250" i="2"/>
  <c r="GA222" i="2"/>
  <c r="GO77" i="2" l="1"/>
  <c r="GO86" i="2"/>
  <c r="GO87" i="2" s="1"/>
  <c r="GA225" i="2"/>
  <c r="GD240" i="2"/>
  <c r="FP265" i="2"/>
  <c r="FP266" i="2"/>
  <c r="AF260" i="2" s="1"/>
  <c r="FS254" i="2"/>
  <c r="GC211" i="2"/>
  <c r="GC209" i="2"/>
  <c r="FU245" i="2"/>
  <c r="DE149" i="9"/>
  <c r="DE128" i="9"/>
  <c r="DE136" i="9" s="1"/>
  <c r="EW18" i="7"/>
  <c r="EW19" i="7" s="1"/>
  <c r="EW28" i="7"/>
  <c r="EW12" i="7"/>
  <c r="EW17" i="7" s="1"/>
  <c r="GE196" i="2"/>
  <c r="AU229" i="2"/>
  <c r="AU228" i="2"/>
  <c r="AP94" i="3"/>
  <c r="EW27" i="7"/>
  <c r="EW29" i="7"/>
  <c r="FT248" i="2"/>
  <c r="FT250" i="2" s="1"/>
  <c r="GP57" i="2"/>
  <c r="GP70" i="2" s="1"/>
  <c r="EP14" i="7"/>
  <c r="EP35" i="7"/>
  <c r="EP34" i="7"/>
  <c r="EP31" i="7"/>
  <c r="EP37" i="7"/>
  <c r="EP38" i="7"/>
  <c r="EP36" i="7"/>
  <c r="EP32" i="7"/>
  <c r="EP30" i="7"/>
  <c r="DE103" i="9"/>
  <c r="AV197" i="2"/>
  <c r="GF62" i="2"/>
  <c r="GF58" i="2" s="1"/>
  <c r="DE107" i="9"/>
  <c r="AT251" i="2"/>
  <c r="FR257" i="2"/>
  <c r="GC205" i="2"/>
  <c r="GC208" i="2" s="1"/>
  <c r="GD204" i="2" s="1"/>
  <c r="FY234" i="2"/>
  <c r="AO239" i="2" s="1"/>
  <c r="FY233" i="2"/>
  <c r="EP13" i="7"/>
  <c r="EP20" i="7" s="1"/>
  <c r="FX236" i="2"/>
  <c r="AN246" i="2"/>
  <c r="FV239" i="2"/>
  <c r="AN241" i="2"/>
  <c r="AQ234" i="2"/>
  <c r="GA223" i="2"/>
  <c r="EO15" i="7"/>
  <c r="EO21" i="7"/>
  <c r="GD199" i="2"/>
  <c r="FQ263" i="2"/>
  <c r="FZ230" i="2"/>
  <c r="FZ229" i="2"/>
  <c r="AR233" i="2"/>
  <c r="GB212" i="2"/>
  <c r="GB217" i="2" s="1"/>
  <c r="GO66" i="2" l="1"/>
  <c r="GO88" i="2"/>
  <c r="BE61" i="2" s="1"/>
  <c r="BE62" i="2" s="1"/>
  <c r="GA227" i="2"/>
  <c r="GA228" i="2" s="1"/>
  <c r="GB224" i="2" s="1"/>
  <c r="FT253" i="2"/>
  <c r="FT258" i="2"/>
  <c r="FT252" i="2"/>
  <c r="GQ57" i="2"/>
  <c r="GD205" i="2"/>
  <c r="GG61" i="2"/>
  <c r="GF60" i="2"/>
  <c r="FZ231" i="2"/>
  <c r="FV241" i="2"/>
  <c r="FV242" i="2" s="1"/>
  <c r="FW238" i="2" s="1"/>
  <c r="FR259" i="2"/>
  <c r="FR260" i="2" s="1"/>
  <c r="FS256" i="2" s="1"/>
  <c r="FT251" i="2"/>
  <c r="FU247" i="2" s="1"/>
  <c r="DF116" i="9"/>
  <c r="DE135" i="9"/>
  <c r="AI255" i="2"/>
  <c r="FS255" i="2"/>
  <c r="AG256" i="2"/>
  <c r="FQ264" i="2"/>
  <c r="AF265" i="2"/>
  <c r="FP267" i="2"/>
  <c r="AF257" i="2" s="1"/>
  <c r="AF261" i="2"/>
  <c r="AF266" i="2" s="1"/>
  <c r="AK254" i="2"/>
  <c r="FU246" i="2"/>
  <c r="GP73" i="2"/>
  <c r="AO244" i="2"/>
  <c r="AS233" i="2"/>
  <c r="GC212" i="2"/>
  <c r="GB220" i="2"/>
  <c r="GB226" i="2"/>
  <c r="GB218" i="2"/>
  <c r="GC214" i="2" s="1"/>
  <c r="GB219" i="2"/>
  <c r="GD201" i="2"/>
  <c r="GD202" i="2" s="1"/>
  <c r="GE198" i="2" s="1"/>
  <c r="GE206" i="2"/>
  <c r="AU230" i="2"/>
  <c r="AU250" i="2"/>
  <c r="AU249" i="2"/>
  <c r="EP15" i="7"/>
  <c r="EP21" i="7"/>
  <c r="GE200" i="2"/>
  <c r="DE148" i="9"/>
  <c r="DE205" i="9" s="1"/>
  <c r="DE110" i="9"/>
  <c r="DE113" i="9" s="1"/>
  <c r="DE151" i="9"/>
  <c r="FY235" i="2"/>
  <c r="AO236" i="2" s="1"/>
  <c r="AO240" i="2"/>
  <c r="AO245" i="2" s="1"/>
  <c r="AV212" i="2"/>
  <c r="AQ83" i="3"/>
  <c r="GF74" i="2"/>
  <c r="GA229" i="2" l="1"/>
  <c r="GA230" i="2"/>
  <c r="GA231" i="2" s="1"/>
  <c r="FS257" i="2"/>
  <c r="FS259" i="2" s="1"/>
  <c r="DF123" i="9"/>
  <c r="DF124" i="9"/>
  <c r="DE153" i="9"/>
  <c r="FV249" i="2"/>
  <c r="FV244" i="2"/>
  <c r="FV243" i="2"/>
  <c r="GE199" i="2"/>
  <c r="GE201" i="2" s="1"/>
  <c r="AU251" i="2"/>
  <c r="DE200" i="9"/>
  <c r="DE201" i="9" s="1"/>
  <c r="GE240" i="2"/>
  <c r="AF267" i="2"/>
  <c r="AP235" i="2"/>
  <c r="FZ232" i="2"/>
  <c r="AO241" i="2"/>
  <c r="AF262" i="2"/>
  <c r="GQ70" i="2"/>
  <c r="FU248" i="2"/>
  <c r="FU250" i="2" s="1"/>
  <c r="FQ266" i="2"/>
  <c r="AG260" i="2" s="1"/>
  <c r="FQ265" i="2"/>
  <c r="AW197" i="2"/>
  <c r="GG62" i="2"/>
  <c r="GG58" i="2" s="1"/>
  <c r="GB222" i="2"/>
  <c r="GD216" i="2"/>
  <c r="GD207" i="2"/>
  <c r="GD203" i="2"/>
  <c r="FW239" i="2"/>
  <c r="FW241" i="2" s="1"/>
  <c r="DF101" i="9"/>
  <c r="DE112" i="9"/>
  <c r="DE111" i="9"/>
  <c r="DE199" i="9"/>
  <c r="DE198" i="9"/>
  <c r="DE133" i="9"/>
  <c r="DE134" i="9"/>
  <c r="DE202" i="9"/>
  <c r="GB225" i="2"/>
  <c r="EQ14" i="7"/>
  <c r="EQ36" i="7"/>
  <c r="EQ35" i="7"/>
  <c r="EQ31" i="7"/>
  <c r="EQ37" i="7"/>
  <c r="EQ34" i="7"/>
  <c r="EQ38" i="7"/>
  <c r="EQ30" i="7"/>
  <c r="EQ32" i="7"/>
  <c r="FR262" i="2"/>
  <c r="FR261" i="2"/>
  <c r="EQ13" i="7"/>
  <c r="EQ20" i="7" s="1"/>
  <c r="FY236" i="2"/>
  <c r="AO246" i="2"/>
  <c r="EX28" i="7"/>
  <c r="EX12" i="7"/>
  <c r="EX17" i="7" s="1"/>
  <c r="EX18" i="7"/>
  <c r="EX19" i="7" s="1"/>
  <c r="GF196" i="2"/>
  <c r="AV229" i="2"/>
  <c r="AV228" i="2"/>
  <c r="AQ94" i="3"/>
  <c r="EX27" i="7"/>
  <c r="EX29" i="7"/>
  <c r="GC215" i="2"/>
  <c r="GC217" i="2" s="1"/>
  <c r="GP86" i="2"/>
  <c r="GP87" i="2" s="1"/>
  <c r="GP77" i="2"/>
  <c r="GQ73" i="2"/>
  <c r="FT254" i="2"/>
  <c r="GC218" i="2" l="1"/>
  <c r="GD214" i="2" s="1"/>
  <c r="GD215" i="2" s="1"/>
  <c r="GE202" i="2"/>
  <c r="GF198" i="2" s="1"/>
  <c r="GF199" i="2" s="1"/>
  <c r="GH61" i="2"/>
  <c r="GG60" i="2"/>
  <c r="GG74" i="2"/>
  <c r="FU253" i="2"/>
  <c r="FU258" i="2"/>
  <c r="FU252" i="2"/>
  <c r="FU251" i="2"/>
  <c r="FV247" i="2" s="1"/>
  <c r="FW249" i="2"/>
  <c r="FW244" i="2"/>
  <c r="FW243" i="2"/>
  <c r="FS262" i="2"/>
  <c r="FS261" i="2"/>
  <c r="AG265" i="2"/>
  <c r="DF197" i="9"/>
  <c r="DF154" i="9"/>
  <c r="DF196" i="9"/>
  <c r="DF130" i="9"/>
  <c r="DF146" i="9"/>
  <c r="CU132" i="9"/>
  <c r="CU131" i="9"/>
  <c r="AR234" i="2"/>
  <c r="GB223" i="2"/>
  <c r="GE216" i="2"/>
  <c r="GE207" i="2"/>
  <c r="AJ255" i="2"/>
  <c r="FT255" i="2"/>
  <c r="FW242" i="2"/>
  <c r="FX238" i="2" s="1"/>
  <c r="DF108" i="9"/>
  <c r="DF109" i="9"/>
  <c r="GR57" i="2"/>
  <c r="GR70" i="2" s="1"/>
  <c r="GF206" i="2"/>
  <c r="AV250" i="2"/>
  <c r="AV249" i="2"/>
  <c r="AV230" i="2"/>
  <c r="FR263" i="2"/>
  <c r="GF200" i="2"/>
  <c r="GC220" i="2"/>
  <c r="GC226" i="2"/>
  <c r="GC219" i="2"/>
  <c r="EQ15" i="7"/>
  <c r="EQ21" i="7"/>
  <c r="AW212" i="2"/>
  <c r="AR83" i="3"/>
  <c r="FZ234" i="2"/>
  <c r="AP239" i="2" s="1"/>
  <c r="FZ233" i="2"/>
  <c r="FS260" i="2"/>
  <c r="FT256" i="2" s="1"/>
  <c r="GE203" i="2"/>
  <c r="AQ235" i="2"/>
  <c r="GA232" i="2"/>
  <c r="GQ77" i="2"/>
  <c r="GQ86" i="2"/>
  <c r="GQ87" i="2" s="1"/>
  <c r="FV245" i="2"/>
  <c r="DF147" i="9"/>
  <c r="CU203" i="9"/>
  <c r="GP88" i="2"/>
  <c r="BF61" i="2" s="1"/>
  <c r="BF62" i="2" s="1"/>
  <c r="GP66" i="2"/>
  <c r="GD211" i="2"/>
  <c r="GD209" i="2"/>
  <c r="GD208" i="2"/>
  <c r="GE204" i="2" s="1"/>
  <c r="FQ267" i="2"/>
  <c r="AG257" i="2" s="1"/>
  <c r="AG261" i="2"/>
  <c r="AG266" i="2" s="1"/>
  <c r="DE155" i="9"/>
  <c r="AG267" i="2" l="1"/>
  <c r="AG262" i="2"/>
  <c r="GS57" i="2"/>
  <c r="GF201" i="2"/>
  <c r="GF203" i="2" s="1"/>
  <c r="GA234" i="2"/>
  <c r="AQ239" i="2" s="1"/>
  <c r="GA233" i="2"/>
  <c r="FX239" i="2"/>
  <c r="FX241" i="2" s="1"/>
  <c r="FT257" i="2"/>
  <c r="FT259" i="2" s="1"/>
  <c r="GE211" i="2"/>
  <c r="GE209" i="2"/>
  <c r="FV248" i="2"/>
  <c r="DF145" i="9"/>
  <c r="DF204" i="9" s="1"/>
  <c r="DF190" i="9"/>
  <c r="GC222" i="2"/>
  <c r="AH256" i="2"/>
  <c r="FR264" i="2"/>
  <c r="FS263" i="2"/>
  <c r="GB227" i="2"/>
  <c r="GE205" i="2"/>
  <c r="GE208" i="2" s="1"/>
  <c r="GF204" i="2" s="1"/>
  <c r="FU254" i="2"/>
  <c r="FZ235" i="2"/>
  <c r="AP236" i="2" s="1"/>
  <c r="AP240" i="2"/>
  <c r="AP245" i="2" s="1"/>
  <c r="AL254" i="2"/>
  <c r="FV246" i="2"/>
  <c r="GR73" i="2"/>
  <c r="FW245" i="2"/>
  <c r="AP244" i="2"/>
  <c r="GQ88" i="2"/>
  <c r="BG61" i="2" s="1"/>
  <c r="BG62" i="2" s="1"/>
  <c r="GQ66" i="2"/>
  <c r="GF240" i="2"/>
  <c r="EY18" i="7"/>
  <c r="EY19" i="7" s="1"/>
  <c r="EY12" i="7"/>
  <c r="EY17" i="7" s="1"/>
  <c r="EY28" i="7"/>
  <c r="GG196" i="2"/>
  <c r="AW229" i="2"/>
  <c r="AW228" i="2"/>
  <c r="AR94" i="3"/>
  <c r="EY27" i="7"/>
  <c r="EY29" i="7"/>
  <c r="AV251" i="2"/>
  <c r="AT233" i="2"/>
  <c r="GD212" i="2"/>
  <c r="GD217" i="2" s="1"/>
  <c r="AX197" i="2"/>
  <c r="GH62" i="2"/>
  <c r="GH58" i="2" s="1"/>
  <c r="FV250" i="2" l="1"/>
  <c r="FV251" i="2" s="1"/>
  <c r="FW247" i="2" s="1"/>
  <c r="FW248" i="2" s="1"/>
  <c r="GF205" i="2"/>
  <c r="FT262" i="2"/>
  <c r="FT261" i="2"/>
  <c r="FT260" i="2"/>
  <c r="FU256" i="2" s="1"/>
  <c r="FX249" i="2"/>
  <c r="FX244" i="2"/>
  <c r="FX243" i="2"/>
  <c r="GR86" i="2"/>
  <c r="GR87" i="2" s="1"/>
  <c r="GR77" i="2"/>
  <c r="GS73" i="2"/>
  <c r="FX242" i="2"/>
  <c r="FY238" i="2" s="1"/>
  <c r="AI256" i="2"/>
  <c r="FS264" i="2"/>
  <c r="GD220" i="2"/>
  <c r="GD226" i="2"/>
  <c r="GD219" i="2"/>
  <c r="GD218" i="2"/>
  <c r="GE214" i="2" s="1"/>
  <c r="ER14" i="7"/>
  <c r="ER34" i="7"/>
  <c r="ER36" i="7"/>
  <c r="ER35" i="7"/>
  <c r="ER31" i="7"/>
  <c r="ER37" i="7"/>
  <c r="ER38" i="7"/>
  <c r="ER30" i="7"/>
  <c r="ER32" i="7"/>
  <c r="FR266" i="2"/>
  <c r="AH260" i="2" s="1"/>
  <c r="FR265" i="2"/>
  <c r="AU233" i="2"/>
  <c r="GE212" i="2"/>
  <c r="GA235" i="2"/>
  <c r="AQ236" i="2" s="1"/>
  <c r="AQ240" i="2"/>
  <c r="AQ245" i="2" s="1"/>
  <c r="AQ244" i="2"/>
  <c r="ER13" i="7"/>
  <c r="ER20" i="7" s="1"/>
  <c r="FZ236" i="2"/>
  <c r="AP246" i="2"/>
  <c r="AK255" i="2"/>
  <c r="FU255" i="2"/>
  <c r="AS234" i="2"/>
  <c r="GC223" i="2"/>
  <c r="GF216" i="2"/>
  <c r="GF207" i="2"/>
  <c r="AX212" i="2"/>
  <c r="AS83" i="3"/>
  <c r="GG206" i="2"/>
  <c r="AW250" i="2"/>
  <c r="AW230" i="2"/>
  <c r="AW249" i="2"/>
  <c r="AP241" i="2"/>
  <c r="GF202" i="2"/>
  <c r="GG198" i="2" s="1"/>
  <c r="AM254" i="2"/>
  <c r="FW246" i="2"/>
  <c r="GI61" i="2"/>
  <c r="GH60" i="2"/>
  <c r="DF191" i="9"/>
  <c r="DF193" i="9" s="1"/>
  <c r="DF141" i="9" s="1"/>
  <c r="DF144" i="9" s="1"/>
  <c r="GG200" i="2"/>
  <c r="GH74" i="2"/>
  <c r="GB230" i="2"/>
  <c r="GB229" i="2"/>
  <c r="GB228" i="2"/>
  <c r="GC224" i="2" s="1"/>
  <c r="GS70" i="2"/>
  <c r="FV252" i="2" l="1"/>
  <c r="FV258" i="2"/>
  <c r="FV253" i="2"/>
  <c r="FV254" i="2" s="1"/>
  <c r="FW250" i="2"/>
  <c r="FW253" i="2" s="1"/>
  <c r="AQ241" i="2"/>
  <c r="DF192" i="9"/>
  <c r="DG189" i="9" s="1"/>
  <c r="DF157" i="9"/>
  <c r="DF126" i="9"/>
  <c r="DF103" i="9" s="1"/>
  <c r="AW251" i="2"/>
  <c r="FX245" i="2"/>
  <c r="GT57" i="2"/>
  <c r="GT70" i="2" s="1"/>
  <c r="ER15" i="7"/>
  <c r="ER21" i="7"/>
  <c r="GS86" i="2"/>
  <c r="GS87" i="2" s="1"/>
  <c r="GS77" i="2"/>
  <c r="FT263" i="2"/>
  <c r="GG240" i="2"/>
  <c r="EZ28" i="7"/>
  <c r="EZ12" i="7"/>
  <c r="EZ17" i="7" s="1"/>
  <c r="EZ18" i="7"/>
  <c r="EZ19" i="7" s="1"/>
  <c r="GH196" i="2"/>
  <c r="AX229" i="2"/>
  <c r="AX228" i="2"/>
  <c r="AS94" i="3"/>
  <c r="EZ29" i="7"/>
  <c r="EZ27" i="7"/>
  <c r="FU257" i="2"/>
  <c r="FU259" i="2" s="1"/>
  <c r="FY239" i="2"/>
  <c r="FY241" i="2" s="1"/>
  <c r="FY242" i="2" s="1"/>
  <c r="FZ238" i="2" s="1"/>
  <c r="FR267" i="2"/>
  <c r="AH257" i="2" s="1"/>
  <c r="AH261" i="2"/>
  <c r="AH266" i="2" s="1"/>
  <c r="GD222" i="2"/>
  <c r="GC225" i="2"/>
  <c r="GC227" i="2" s="1"/>
  <c r="AY197" i="2"/>
  <c r="GI62" i="2"/>
  <c r="GI58" i="2" s="1"/>
  <c r="GF211" i="2"/>
  <c r="GF209" i="2"/>
  <c r="ES13" i="7"/>
  <c r="ES20" i="7" s="1"/>
  <c r="GA236" i="2"/>
  <c r="AQ246" i="2"/>
  <c r="AH265" i="2"/>
  <c r="GR88" i="2"/>
  <c r="BH61" i="2" s="1"/>
  <c r="BH62" i="2" s="1"/>
  <c r="GR66" i="2"/>
  <c r="FS266" i="2"/>
  <c r="AI260" i="2" s="1"/>
  <c r="FS265" i="2"/>
  <c r="GB231" i="2"/>
  <c r="GE215" i="2"/>
  <c r="GF208" i="2"/>
  <c r="GG204" i="2" s="1"/>
  <c r="GG199" i="2"/>
  <c r="GG201" i="2" s="1"/>
  <c r="GG203" i="2" s="1"/>
  <c r="ES14" i="7"/>
  <c r="ES31" i="7"/>
  <c r="ES35" i="7"/>
  <c r="ES37" i="7"/>
  <c r="ES34" i="7"/>
  <c r="ES36" i="7"/>
  <c r="ES38" i="7"/>
  <c r="ES32" i="7"/>
  <c r="ES30" i="7"/>
  <c r="FW251" i="2" l="1"/>
  <c r="FX247" i="2" s="1"/>
  <c r="FX248" i="2" s="1"/>
  <c r="FW252" i="2"/>
  <c r="FW258" i="2"/>
  <c r="GG202" i="2"/>
  <c r="GH198" i="2" s="1"/>
  <c r="GH199" i="2" s="1"/>
  <c r="GC228" i="2"/>
  <c r="GD224" i="2" s="1"/>
  <c r="GD225" i="2" s="1"/>
  <c r="GU57" i="2"/>
  <c r="FU262" i="2"/>
  <c r="FU261" i="2"/>
  <c r="GJ61" i="2"/>
  <c r="GI60" i="2"/>
  <c r="GI74" i="2"/>
  <c r="ES15" i="7"/>
  <c r="ES21" i="7"/>
  <c r="AR235" i="2"/>
  <c r="GB232" i="2"/>
  <c r="GG216" i="2"/>
  <c r="GG207" i="2"/>
  <c r="FS267" i="2"/>
  <c r="AI257" i="2" s="1"/>
  <c r="AI261" i="2"/>
  <c r="AI266" i="2" s="1"/>
  <c r="DF149" i="9"/>
  <c r="DF128" i="9"/>
  <c r="GH200" i="2"/>
  <c r="FZ239" i="2"/>
  <c r="FZ241" i="2" s="1"/>
  <c r="AY212" i="2"/>
  <c r="AT83" i="3"/>
  <c r="AJ256" i="2"/>
  <c r="FT264" i="2"/>
  <c r="AN254" i="2"/>
  <c r="FX246" i="2"/>
  <c r="AV233" i="2"/>
  <c r="GF212" i="2"/>
  <c r="FY249" i="2"/>
  <c r="FY244" i="2"/>
  <c r="FY243" i="2"/>
  <c r="GT73" i="2"/>
  <c r="GH206" i="2"/>
  <c r="AX250" i="2"/>
  <c r="AX249" i="2"/>
  <c r="AX230" i="2"/>
  <c r="AI265" i="2"/>
  <c r="AH267" i="2"/>
  <c r="AT234" i="2"/>
  <c r="GD223" i="2"/>
  <c r="AH262" i="2"/>
  <c r="GC230" i="2"/>
  <c r="GC229" i="2"/>
  <c r="FU260" i="2"/>
  <c r="FV256" i="2" s="1"/>
  <c r="GG205" i="2"/>
  <c r="GE217" i="2"/>
  <c r="GE218" i="2" s="1"/>
  <c r="GF214" i="2" s="1"/>
  <c r="AL255" i="2"/>
  <c r="FV255" i="2"/>
  <c r="GS88" i="2"/>
  <c r="BI61" i="2" s="1"/>
  <c r="BI62" i="2" s="1"/>
  <c r="GS66" i="2"/>
  <c r="DF107" i="9"/>
  <c r="FW254" i="2"/>
  <c r="GG208" i="2" l="1"/>
  <c r="GH204" i="2" s="1"/>
  <c r="GH205" i="2" s="1"/>
  <c r="GD227" i="2"/>
  <c r="GD230" i="2" s="1"/>
  <c r="FX250" i="2"/>
  <c r="FX252" i="2" s="1"/>
  <c r="FZ242" i="2"/>
  <c r="GA238" i="2" s="1"/>
  <c r="GA239" i="2" s="1"/>
  <c r="GF215" i="2"/>
  <c r="GF217" i="2" s="1"/>
  <c r="GF218" i="2" s="1"/>
  <c r="GG214" i="2" s="1"/>
  <c r="GH240" i="2"/>
  <c r="AZ197" i="2"/>
  <c r="GJ62" i="2"/>
  <c r="GJ58" i="2" s="1"/>
  <c r="DF148" i="9"/>
  <c r="DF205" i="9" s="1"/>
  <c r="DF110" i="9"/>
  <c r="DF113" i="9" s="1"/>
  <c r="DF151" i="9"/>
  <c r="DF200" i="9" s="1"/>
  <c r="DF201" i="9" s="1"/>
  <c r="AX251" i="2"/>
  <c r="GC231" i="2"/>
  <c r="FU263" i="2"/>
  <c r="GE220" i="2"/>
  <c r="GE226" i="2"/>
  <c r="GE219" i="2"/>
  <c r="GT86" i="2"/>
  <c r="GT87" i="2" s="1"/>
  <c r="GT77" i="2"/>
  <c r="GU73" i="2"/>
  <c r="FT266" i="2"/>
  <c r="AJ260" i="2" s="1"/>
  <c r="FT265" i="2"/>
  <c r="GB233" i="2"/>
  <c r="GB234" i="2"/>
  <c r="AR239" i="2" s="1"/>
  <c r="GH201" i="2"/>
  <c r="GH203" i="2" s="1"/>
  <c r="FZ249" i="2"/>
  <c r="FZ244" i="2"/>
  <c r="FZ243" i="2"/>
  <c r="GG211" i="2"/>
  <c r="GG209" i="2"/>
  <c r="DG116" i="9"/>
  <c r="DF135" i="9"/>
  <c r="AI267" i="2"/>
  <c r="DF136" i="9"/>
  <c r="AM255" i="2"/>
  <c r="FW255" i="2"/>
  <c r="FV257" i="2"/>
  <c r="FV259" i="2" s="1"/>
  <c r="AI262" i="2"/>
  <c r="FY245" i="2"/>
  <c r="FA18" i="7"/>
  <c r="FA19" i="7" s="1"/>
  <c r="FA12" i="7"/>
  <c r="FA17" i="7" s="1"/>
  <c r="FA28" i="7"/>
  <c r="GI196" i="2"/>
  <c r="AY229" i="2"/>
  <c r="AY228" i="2"/>
  <c r="AT94" i="3"/>
  <c r="FA27" i="7"/>
  <c r="FA29" i="7"/>
  <c r="GU70" i="2"/>
  <c r="FX258" i="2" l="1"/>
  <c r="GD229" i="2"/>
  <c r="GD228" i="2"/>
  <c r="GE224" i="2" s="1"/>
  <c r="GE225" i="2" s="1"/>
  <c r="FX251" i="2"/>
  <c r="FY247" i="2" s="1"/>
  <c r="FY248" i="2" s="1"/>
  <c r="FX253" i="2"/>
  <c r="FX254" i="2" s="1"/>
  <c r="GG215" i="2"/>
  <c r="GK61" i="2"/>
  <c r="GJ60" i="2"/>
  <c r="GJ74" i="2"/>
  <c r="GI200" i="2"/>
  <c r="FZ245" i="2"/>
  <c r="AJ265" i="2"/>
  <c r="AO254" i="2"/>
  <c r="FY246" i="2"/>
  <c r="GH216" i="2"/>
  <c r="GH207" i="2"/>
  <c r="GE222" i="2"/>
  <c r="GD231" i="2"/>
  <c r="AW233" i="2"/>
  <c r="GG212" i="2"/>
  <c r="GT88" i="2"/>
  <c r="BJ61" i="2" s="1"/>
  <c r="BJ62" i="2" s="1"/>
  <c r="GT66" i="2"/>
  <c r="AZ212" i="2"/>
  <c r="AU83" i="3"/>
  <c r="DF153" i="9"/>
  <c r="GV57" i="2"/>
  <c r="GV73" i="2" s="1"/>
  <c r="AR244" i="2"/>
  <c r="GA241" i="2"/>
  <c r="FV262" i="2"/>
  <c r="FV261" i="2"/>
  <c r="GF220" i="2"/>
  <c r="GF226" i="2"/>
  <c r="GF219" i="2"/>
  <c r="FV260" i="2"/>
  <c r="FW256" i="2" s="1"/>
  <c r="GB235" i="2"/>
  <c r="AR236" i="2" s="1"/>
  <c r="AR240" i="2"/>
  <c r="AR245" i="2" s="1"/>
  <c r="DG123" i="9"/>
  <c r="DG124" i="9"/>
  <c r="FT267" i="2"/>
  <c r="AJ257" i="2" s="1"/>
  <c r="AJ261" i="2"/>
  <c r="AJ266" i="2" s="1"/>
  <c r="AK256" i="2"/>
  <c r="FU264" i="2"/>
  <c r="DG101" i="9"/>
  <c r="DF112" i="9"/>
  <c r="DF111" i="9"/>
  <c r="DF134" i="9"/>
  <c r="DF198" i="9"/>
  <c r="DF199" i="9"/>
  <c r="DF133" i="9"/>
  <c r="DF202" i="9"/>
  <c r="GI206" i="2"/>
  <c r="AY230" i="2"/>
  <c r="AY250" i="2"/>
  <c r="AY249" i="2"/>
  <c r="GU86" i="2"/>
  <c r="GU87" i="2" s="1"/>
  <c r="GU77" i="2"/>
  <c r="AS235" i="2"/>
  <c r="GC232" i="2"/>
  <c r="GH202" i="2"/>
  <c r="GI198" i="2" s="1"/>
  <c r="AR241" i="2" l="1"/>
  <c r="FY250" i="2"/>
  <c r="FY258" i="2" s="1"/>
  <c r="GG217" i="2"/>
  <c r="GG220" i="2" s="1"/>
  <c r="FW257" i="2"/>
  <c r="FW259" i="2" s="1"/>
  <c r="GC233" i="2"/>
  <c r="GC234" i="2"/>
  <c r="AS239" i="2" s="1"/>
  <c r="GV70" i="2"/>
  <c r="GH211" i="2"/>
  <c r="GH209" i="2"/>
  <c r="DG147" i="9"/>
  <c r="CV203" i="9"/>
  <c r="ET13" i="7"/>
  <c r="ET20" i="7" s="1"/>
  <c r="GB236" i="2"/>
  <c r="AR246" i="2"/>
  <c r="AP254" i="2"/>
  <c r="FZ246" i="2"/>
  <c r="GF222" i="2"/>
  <c r="GH208" i="2"/>
  <c r="GI204" i="2" s="1"/>
  <c r="DG196" i="9"/>
  <c r="DG197" i="9"/>
  <c r="DG154" i="9"/>
  <c r="DG130" i="9"/>
  <c r="DG146" i="9"/>
  <c r="CV131" i="9"/>
  <c r="CV132" i="9"/>
  <c r="FV263" i="2"/>
  <c r="AT235" i="2"/>
  <c r="GD232" i="2"/>
  <c r="AJ267" i="2"/>
  <c r="BA197" i="2"/>
  <c r="GK62" i="2"/>
  <c r="GK58" i="2" s="1"/>
  <c r="DG108" i="9"/>
  <c r="DG109" i="9"/>
  <c r="GV86" i="2"/>
  <c r="GV87" i="2" s="1"/>
  <c r="GV77" i="2"/>
  <c r="GA249" i="2"/>
  <c r="GA244" i="2"/>
  <c r="GA243" i="2"/>
  <c r="DF155" i="9"/>
  <c r="AJ262" i="2"/>
  <c r="FU265" i="2"/>
  <c r="FU266" i="2"/>
  <c r="AK260" i="2" s="1"/>
  <c r="FB28" i="7"/>
  <c r="FB12" i="7"/>
  <c r="FB17" i="7" s="1"/>
  <c r="FB18" i="7"/>
  <c r="FB19" i="7" s="1"/>
  <c r="GJ196" i="2"/>
  <c r="AZ228" i="2"/>
  <c r="AZ229" i="2"/>
  <c r="AU94" i="3"/>
  <c r="FB27" i="7"/>
  <c r="FB29" i="7"/>
  <c r="AU234" i="2"/>
  <c r="GE223" i="2"/>
  <c r="AN255" i="2"/>
  <c r="FX255" i="2"/>
  <c r="GI199" i="2"/>
  <c r="GI201" i="2" s="1"/>
  <c r="GU88" i="2"/>
  <c r="BK61" i="2" s="1"/>
  <c r="BK62" i="2" s="1"/>
  <c r="GU66" i="2"/>
  <c r="AY251" i="2"/>
  <c r="GI240" i="2"/>
  <c r="ET14" i="7"/>
  <c r="ET35" i="7"/>
  <c r="ET34" i="7"/>
  <c r="ET37" i="7"/>
  <c r="ET31" i="7"/>
  <c r="ET36" i="7"/>
  <c r="ET38" i="7"/>
  <c r="ET30" i="7"/>
  <c r="ET32" i="7"/>
  <c r="GA242" i="2"/>
  <c r="GB238" i="2" s="1"/>
  <c r="FY251" i="2" l="1"/>
  <c r="FZ247" i="2" s="1"/>
  <c r="FZ248" i="2" s="1"/>
  <c r="FZ250" i="2" s="1"/>
  <c r="GG218" i="2"/>
  <c r="GH214" i="2" s="1"/>
  <c r="GH215" i="2" s="1"/>
  <c r="GG219" i="2"/>
  <c r="GG226" i="2"/>
  <c r="FY253" i="2"/>
  <c r="FY254" i="2" s="1"/>
  <c r="FY252" i="2"/>
  <c r="FW260" i="2"/>
  <c r="FX256" i="2" s="1"/>
  <c r="FX257" i="2" s="1"/>
  <c r="FX259" i="2" s="1"/>
  <c r="GI216" i="2"/>
  <c r="GI207" i="2"/>
  <c r="GI203" i="2"/>
  <c r="GI202" i="2"/>
  <c r="GJ198" i="2" s="1"/>
  <c r="GL61" i="2"/>
  <c r="GK60" i="2"/>
  <c r="GK74" i="2"/>
  <c r="GJ206" i="2"/>
  <c r="AZ249" i="2"/>
  <c r="AZ230" i="2"/>
  <c r="AZ250" i="2"/>
  <c r="FW262" i="2"/>
  <c r="FW261" i="2"/>
  <c r="GC235" i="2"/>
  <c r="AS236" i="2" s="1"/>
  <c r="AS240" i="2"/>
  <c r="AS245" i="2" s="1"/>
  <c r="GD233" i="2"/>
  <c r="GD234" i="2"/>
  <c r="AT239" i="2" s="1"/>
  <c r="GG222" i="2"/>
  <c r="AX233" i="2"/>
  <c r="GH212" i="2"/>
  <c r="AS244" i="2"/>
  <c r="FU267" i="2"/>
  <c r="AK257" i="2" s="1"/>
  <c r="AK261" i="2"/>
  <c r="AK266" i="2" s="1"/>
  <c r="GV88" i="2"/>
  <c r="BL61" i="2" s="1"/>
  <c r="BL62" i="2" s="1"/>
  <c r="GV66" i="2"/>
  <c r="BA212" i="2"/>
  <c r="AV83" i="3"/>
  <c r="ET15" i="7"/>
  <c r="ET21" i="7"/>
  <c r="GB239" i="2"/>
  <c r="GB241" i="2" s="1"/>
  <c r="GI205" i="2"/>
  <c r="DG145" i="9"/>
  <c r="DG204" i="9" s="1"/>
  <c r="DG190" i="9"/>
  <c r="GW57" i="2"/>
  <c r="GW70" i="2" s="1"/>
  <c r="GA245" i="2"/>
  <c r="AL256" i="2"/>
  <c r="FV264" i="2"/>
  <c r="AK265" i="2"/>
  <c r="GJ200" i="2"/>
  <c r="AV234" i="2"/>
  <c r="GF223" i="2"/>
  <c r="GE227" i="2"/>
  <c r="AK267" i="2" l="1"/>
  <c r="AK262" i="2"/>
  <c r="GH217" i="2"/>
  <c r="GH220" i="2" s="1"/>
  <c r="GI208" i="2"/>
  <c r="GJ204" i="2" s="1"/>
  <c r="GJ205" i="2" s="1"/>
  <c r="FX262" i="2"/>
  <c r="FX261" i="2"/>
  <c r="FZ253" i="2"/>
  <c r="FZ258" i="2"/>
  <c r="FZ252" i="2"/>
  <c r="GX57" i="2"/>
  <c r="GB249" i="2"/>
  <c r="GB244" i="2"/>
  <c r="GB243" i="2"/>
  <c r="GB242" i="2"/>
  <c r="GC238" i="2" s="1"/>
  <c r="FC12" i="7"/>
  <c r="FC17" i="7" s="1"/>
  <c r="FC18" i="7"/>
  <c r="FC19" i="7" s="1"/>
  <c r="FC28" i="7"/>
  <c r="GK196" i="2"/>
  <c r="BA228" i="2"/>
  <c r="BA229" i="2"/>
  <c r="AV94" i="3"/>
  <c r="FC29" i="7"/>
  <c r="FC27" i="7"/>
  <c r="AW234" i="2"/>
  <c r="GG223" i="2"/>
  <c r="GE230" i="2"/>
  <c r="GE229" i="2"/>
  <c r="GE228" i="2"/>
  <c r="GF224" i="2" s="1"/>
  <c r="AT244" i="2"/>
  <c r="BB197" i="2"/>
  <c r="GL62" i="2"/>
  <c r="GL58" i="2" s="1"/>
  <c r="AZ251" i="2"/>
  <c r="EU14" i="7"/>
  <c r="EU34" i="7"/>
  <c r="EU36" i="7"/>
  <c r="EU31" i="7"/>
  <c r="EU35" i="7"/>
  <c r="EU38" i="7"/>
  <c r="EU37" i="7"/>
  <c r="EU32" i="7"/>
  <c r="EU30" i="7"/>
  <c r="FW263" i="2"/>
  <c r="GJ199" i="2"/>
  <c r="GJ201" i="2" s="1"/>
  <c r="AQ254" i="2"/>
  <c r="GA246" i="2"/>
  <c r="FZ251" i="2"/>
  <c r="GA247" i="2" s="1"/>
  <c r="EU13" i="7"/>
  <c r="EU20" i="7" s="1"/>
  <c r="GC236" i="2"/>
  <c r="AS246" i="2"/>
  <c r="FX260" i="2"/>
  <c r="FY256" i="2" s="1"/>
  <c r="GJ240" i="2"/>
  <c r="GI211" i="2"/>
  <c r="GI209" i="2"/>
  <c r="FV265" i="2"/>
  <c r="FV266" i="2"/>
  <c r="AL260" i="2" s="1"/>
  <c r="GD235" i="2"/>
  <c r="AT236" i="2" s="1"/>
  <c r="AT240" i="2"/>
  <c r="AT245" i="2" s="1"/>
  <c r="GW73" i="2"/>
  <c r="AO255" i="2"/>
  <c r="FY255" i="2"/>
  <c r="DG191" i="9"/>
  <c r="DG193" i="9" s="1"/>
  <c r="DG141" i="9" s="1"/>
  <c r="DG144" i="9" s="1"/>
  <c r="AS241" i="2"/>
  <c r="GH218" i="2" l="1"/>
  <c r="GI214" i="2" s="1"/>
  <c r="GI215" i="2" s="1"/>
  <c r="GH219" i="2"/>
  <c r="GH226" i="2"/>
  <c r="DG192" i="9"/>
  <c r="DH189" i="9" s="1"/>
  <c r="GJ216" i="2"/>
  <c r="GJ207" i="2"/>
  <c r="GJ203" i="2"/>
  <c r="GJ202" i="2"/>
  <c r="GK198" i="2" s="1"/>
  <c r="GF225" i="2"/>
  <c r="GK200" i="2"/>
  <c r="AY233" i="2"/>
  <c r="GI212" i="2"/>
  <c r="EV14" i="7"/>
  <c r="EV31" i="7"/>
  <c r="EV37" i="7"/>
  <c r="EV34" i="7"/>
  <c r="EV38" i="7"/>
  <c r="EV35" i="7"/>
  <c r="EV36" i="7"/>
  <c r="EV30" i="7"/>
  <c r="EV32" i="7"/>
  <c r="FY257" i="2"/>
  <c r="GK206" i="2"/>
  <c r="BA250" i="2"/>
  <c r="BA249" i="2"/>
  <c r="BA230" i="2"/>
  <c r="GX70" i="2"/>
  <c r="GM61" i="2"/>
  <c r="GL60" i="2"/>
  <c r="EV13" i="7"/>
  <c r="EV20" i="7" s="1"/>
  <c r="GD236" i="2"/>
  <c r="AT246" i="2"/>
  <c r="AL265" i="2"/>
  <c r="FV267" i="2"/>
  <c r="AL257" i="2" s="1"/>
  <c r="AL261" i="2"/>
  <c r="AL266" i="2" s="1"/>
  <c r="GE231" i="2"/>
  <c r="DG157" i="9"/>
  <c r="DG126" i="9"/>
  <c r="DG107" i="9" s="1"/>
  <c r="AM256" i="2"/>
  <c r="FW264" i="2"/>
  <c r="FZ254" i="2"/>
  <c r="GW77" i="2"/>
  <c r="GW86" i="2"/>
  <c r="GW87" i="2" s="1"/>
  <c r="GX73" i="2"/>
  <c r="AT241" i="2"/>
  <c r="EU15" i="7"/>
  <c r="EU21" i="7"/>
  <c r="GA248" i="2"/>
  <c r="GC239" i="2"/>
  <c r="GH222" i="2"/>
  <c r="GL74" i="2"/>
  <c r="GB245" i="2"/>
  <c r="BB212" i="2"/>
  <c r="AW83" i="3"/>
  <c r="FX263" i="2"/>
  <c r="DG103" i="9" l="1"/>
  <c r="DG148" i="9"/>
  <c r="DG110" i="9"/>
  <c r="DG113" i="9" s="1"/>
  <c r="AN256" i="2"/>
  <c r="FX264" i="2"/>
  <c r="FD28" i="7"/>
  <c r="FD12" i="7"/>
  <c r="FD17" i="7" s="1"/>
  <c r="FD18" i="7"/>
  <c r="FD19" i="7" s="1"/>
  <c r="GL196" i="2"/>
  <c r="BB229" i="2"/>
  <c r="BB228" i="2"/>
  <c r="AW94" i="3"/>
  <c r="FD27" i="7"/>
  <c r="FD29" i="7"/>
  <c r="DG149" i="9"/>
  <c r="DG151" i="9" s="1"/>
  <c r="DG128" i="9"/>
  <c r="DG136" i="9" s="1"/>
  <c r="GF227" i="2"/>
  <c r="AX234" i="2"/>
  <c r="GH223" i="2"/>
  <c r="AL262" i="2"/>
  <c r="BA251" i="2"/>
  <c r="GK199" i="2"/>
  <c r="GX86" i="2"/>
  <c r="GX77" i="2"/>
  <c r="GI217" i="2"/>
  <c r="GC241" i="2"/>
  <c r="AP255" i="2"/>
  <c r="FZ255" i="2"/>
  <c r="GK240" i="2"/>
  <c r="BC197" i="2"/>
  <c r="GM62" i="2"/>
  <c r="GM58" i="2" s="1"/>
  <c r="GM74" i="2" s="1"/>
  <c r="EV15" i="7"/>
  <c r="EV21" i="7"/>
  <c r="GW88" i="2"/>
  <c r="BM61" i="2" s="1"/>
  <c r="BM62" i="2" s="1"/>
  <c r="GW66" i="2"/>
  <c r="AU235" i="2"/>
  <c r="GE232" i="2"/>
  <c r="GJ211" i="2"/>
  <c r="GJ209" i="2"/>
  <c r="AL267" i="2"/>
  <c r="GY57" i="2"/>
  <c r="GY70" i="2" s="1"/>
  <c r="FW265" i="2"/>
  <c r="FW266" i="2"/>
  <c r="AM260" i="2" s="1"/>
  <c r="GA250" i="2"/>
  <c r="GA251" i="2" s="1"/>
  <c r="GB247" i="2" s="1"/>
  <c r="FY259" i="2"/>
  <c r="FY260" i="2" s="1"/>
  <c r="FZ256" i="2" s="1"/>
  <c r="AR254" i="2"/>
  <c r="GB246" i="2"/>
  <c r="GJ208" i="2"/>
  <c r="GK204" i="2" s="1"/>
  <c r="GK201" i="2" l="1"/>
  <c r="GK202" i="2" s="1"/>
  <c r="GL198" i="2" s="1"/>
  <c r="GL199" i="2" s="1"/>
  <c r="GL201" i="2" s="1"/>
  <c r="FZ257" i="2"/>
  <c r="GB248" i="2"/>
  <c r="GB250" i="2" s="1"/>
  <c r="DG153" i="9"/>
  <c r="DG155" i="9" s="1"/>
  <c r="GL206" i="2"/>
  <c r="BB249" i="2"/>
  <c r="BB230" i="2"/>
  <c r="BB250" i="2"/>
  <c r="DH101" i="9"/>
  <c r="DG112" i="9"/>
  <c r="DG111" i="9"/>
  <c r="DG134" i="9"/>
  <c r="DG198" i="9"/>
  <c r="DG133" i="9"/>
  <c r="DG199" i="9"/>
  <c r="DG202" i="9"/>
  <c r="GC249" i="2"/>
  <c r="GC244" i="2"/>
  <c r="GC243" i="2"/>
  <c r="GL200" i="2"/>
  <c r="DG205" i="9"/>
  <c r="AM265" i="2"/>
  <c r="FW267" i="2"/>
  <c r="AM257" i="2" s="1"/>
  <c r="AM261" i="2"/>
  <c r="AM266" i="2" s="1"/>
  <c r="GI220" i="2"/>
  <c r="GI226" i="2"/>
  <c r="GI219" i="2"/>
  <c r="GN61" i="2"/>
  <c r="GM60" i="2"/>
  <c r="AZ233" i="2"/>
  <c r="GJ212" i="2"/>
  <c r="GE233" i="2"/>
  <c r="GE234" i="2"/>
  <c r="AU239" i="2" s="1"/>
  <c r="GK205" i="2"/>
  <c r="GY73" i="2"/>
  <c r="GI218" i="2"/>
  <c r="GJ214" i="2" s="1"/>
  <c r="FY262" i="2"/>
  <c r="FY261" i="2"/>
  <c r="GX88" i="2"/>
  <c r="BN61" i="2" s="1"/>
  <c r="BN62" i="2" s="1"/>
  <c r="GC242" i="2"/>
  <c r="GD238" i="2" s="1"/>
  <c r="BC212" i="2"/>
  <c r="AX83" i="3"/>
  <c r="GA253" i="2"/>
  <c r="GA258" i="2"/>
  <c r="GA252" i="2"/>
  <c r="GZ57" i="2"/>
  <c r="GZ70" i="2" s="1"/>
  <c r="GF230" i="2"/>
  <c r="GF229" i="2"/>
  <c r="DG200" i="9"/>
  <c r="DG201" i="9" s="1"/>
  <c r="GX87" i="2"/>
  <c r="GX66" i="2" s="1"/>
  <c r="DH116" i="9"/>
  <c r="DG135" i="9"/>
  <c r="FX265" i="2"/>
  <c r="FX266" i="2"/>
  <c r="AN260" i="2" s="1"/>
  <c r="GF228" i="2"/>
  <c r="GG224" i="2" s="1"/>
  <c r="GK203" i="2" l="1"/>
  <c r="AM262" i="2"/>
  <c r="GK207" i="2"/>
  <c r="GK211" i="2" s="1"/>
  <c r="GK216" i="2"/>
  <c r="AM267" i="2"/>
  <c r="GB251" i="2"/>
  <c r="GC247" i="2" s="1"/>
  <c r="GC248" i="2" s="1"/>
  <c r="GL216" i="2"/>
  <c r="GL207" i="2"/>
  <c r="GB253" i="2"/>
  <c r="GB258" i="2"/>
  <c r="GB252" i="2"/>
  <c r="GD239" i="2"/>
  <c r="GD241" i="2" s="1"/>
  <c r="GC245" i="2"/>
  <c r="FE18" i="7"/>
  <c r="FE19" i="7" s="1"/>
  <c r="DA53" i="7" s="1"/>
  <c r="FE28" i="7"/>
  <c r="GM196" i="2"/>
  <c r="BC229" i="2"/>
  <c r="BC228" i="2"/>
  <c r="AX94" i="3"/>
  <c r="FE27" i="7"/>
  <c r="FE29" i="7"/>
  <c r="DH108" i="9"/>
  <c r="DH109" i="9"/>
  <c r="GF231" i="2"/>
  <c r="AU244" i="2"/>
  <c r="GL240" i="2"/>
  <c r="GE235" i="2"/>
  <c r="AU236" i="2" s="1"/>
  <c r="AU240" i="2"/>
  <c r="AU245" i="2" s="1"/>
  <c r="GY77" i="2"/>
  <c r="GY86" i="2"/>
  <c r="GY87" i="2" s="1"/>
  <c r="GZ73" i="2"/>
  <c r="GL203" i="2"/>
  <c r="GI222" i="2"/>
  <c r="BB251" i="2"/>
  <c r="FZ259" i="2"/>
  <c r="GG225" i="2"/>
  <c r="GG227" i="2" s="1"/>
  <c r="HA57" i="2"/>
  <c r="HA70" i="2" s="1"/>
  <c r="FX267" i="2"/>
  <c r="AN257" i="2" s="1"/>
  <c r="AN261" i="2"/>
  <c r="AN266" i="2" s="1"/>
  <c r="FY263" i="2"/>
  <c r="BD197" i="2"/>
  <c r="GN62" i="2"/>
  <c r="GN58" i="2" s="1"/>
  <c r="GL202" i="2"/>
  <c r="GM198" i="2" s="1"/>
  <c r="AN265" i="2"/>
  <c r="GA254" i="2"/>
  <c r="DH123" i="9"/>
  <c r="DH124" i="9"/>
  <c r="GJ215" i="2"/>
  <c r="GJ217" i="2" s="1"/>
  <c r="AN267" i="2" l="1"/>
  <c r="AN262" i="2"/>
  <c r="GK209" i="2"/>
  <c r="GK208" i="2"/>
  <c r="GL204" i="2" s="1"/>
  <c r="GL205" i="2" s="1"/>
  <c r="HB57" i="2"/>
  <c r="GD249" i="2"/>
  <c r="GD244" i="2"/>
  <c r="GD243" i="2"/>
  <c r="GD242" i="2"/>
  <c r="GE238" i="2" s="1"/>
  <c r="GG230" i="2"/>
  <c r="GG229" i="2"/>
  <c r="GJ220" i="2"/>
  <c r="GJ226" i="2"/>
  <c r="GJ219" i="2"/>
  <c r="GL211" i="2"/>
  <c r="GO61" i="2"/>
  <c r="GN60" i="2"/>
  <c r="GN74" i="2"/>
  <c r="FZ262" i="2"/>
  <c r="FZ261" i="2"/>
  <c r="GM199" i="2"/>
  <c r="BA233" i="2"/>
  <c r="GK212" i="2"/>
  <c r="AY234" i="2"/>
  <c r="GI223" i="2"/>
  <c r="AS254" i="2"/>
  <c r="GC246" i="2"/>
  <c r="GC250" i="2" s="1"/>
  <c r="GC251" i="2" s="1"/>
  <c r="GD247" i="2" s="1"/>
  <c r="FZ260" i="2"/>
  <c r="GA256" i="2" s="1"/>
  <c r="AO256" i="2"/>
  <c r="FY264" i="2"/>
  <c r="AQ255" i="2"/>
  <c r="GA255" i="2"/>
  <c r="GB254" i="2"/>
  <c r="EW14" i="7"/>
  <c r="EW35" i="7"/>
  <c r="EW34" i="7"/>
  <c r="EW31" i="7"/>
  <c r="EW36" i="7"/>
  <c r="EW38" i="7"/>
  <c r="EW37" i="7"/>
  <c r="EW30" i="7"/>
  <c r="EW32" i="7"/>
  <c r="GJ218" i="2"/>
  <c r="GK214" i="2" s="1"/>
  <c r="DH147" i="9"/>
  <c r="CW203" i="9"/>
  <c r="GL209" i="2"/>
  <c r="EW13" i="7"/>
  <c r="EW20" i="7" s="1"/>
  <c r="GE236" i="2"/>
  <c r="AU246" i="2"/>
  <c r="GM206" i="2"/>
  <c r="BC230" i="2"/>
  <c r="BC250" i="2"/>
  <c r="BC249" i="2"/>
  <c r="DH145" i="9"/>
  <c r="DH190" i="9"/>
  <c r="AU241" i="2"/>
  <c r="GM200" i="2"/>
  <c r="GZ86" i="2"/>
  <c r="GZ87" i="2" s="1"/>
  <c r="GZ77" i="2"/>
  <c r="HA73" i="2"/>
  <c r="DH196" i="9"/>
  <c r="DH197" i="9"/>
  <c r="DH154" i="9"/>
  <c r="DH130" i="9"/>
  <c r="DH146" i="9"/>
  <c r="CW132" i="9"/>
  <c r="CW131" i="9"/>
  <c r="GG228" i="2"/>
  <c r="GH224" i="2" s="1"/>
  <c r="BD212" i="2"/>
  <c r="AY83" i="3"/>
  <c r="GY88" i="2"/>
  <c r="BO61" i="2" s="1"/>
  <c r="BO62" i="2" s="1"/>
  <c r="GY66" i="2"/>
  <c r="AV235" i="2"/>
  <c r="GF232" i="2"/>
  <c r="GL208" i="2" l="1"/>
  <c r="GM204" i="2" s="1"/>
  <c r="GM205" i="2" s="1"/>
  <c r="DH204" i="9"/>
  <c r="GD248" i="2"/>
  <c r="GG231" i="2"/>
  <c r="GK215" i="2"/>
  <c r="GK217" i="2" s="1"/>
  <c r="BB233" i="2"/>
  <c r="GL212" i="2"/>
  <c r="GE239" i="2"/>
  <c r="BC251" i="2"/>
  <c r="GM240" i="2"/>
  <c r="GC253" i="2"/>
  <c r="GC258" i="2"/>
  <c r="GC252" i="2"/>
  <c r="AR255" i="2"/>
  <c r="GB255" i="2"/>
  <c r="FY265" i="2"/>
  <c r="FY266" i="2"/>
  <c r="AO260" i="2" s="1"/>
  <c r="GM201" i="2"/>
  <c r="GD245" i="2"/>
  <c r="BE197" i="2"/>
  <c r="GO62" i="2"/>
  <c r="GO58" i="2" s="1"/>
  <c r="HA86" i="2"/>
  <c r="HA87" i="2" s="1"/>
  <c r="HA77" i="2"/>
  <c r="HB73" i="2"/>
  <c r="DH191" i="9"/>
  <c r="DH193" i="9" s="1"/>
  <c r="DH141" i="9" s="1"/>
  <c r="DH144" i="9" s="1"/>
  <c r="GA257" i="2"/>
  <c r="GA259" i="2" s="1"/>
  <c r="GJ222" i="2"/>
  <c r="FF28" i="7"/>
  <c r="GN196" i="2"/>
  <c r="BD228" i="2"/>
  <c r="BD229" i="2"/>
  <c r="AY94" i="3"/>
  <c r="FF27" i="7"/>
  <c r="FF29" i="7"/>
  <c r="GH225" i="2"/>
  <c r="GH227" i="2" s="1"/>
  <c r="GF233" i="2"/>
  <c r="GF234" i="2"/>
  <c r="AV239" i="2" s="1"/>
  <c r="GZ88" i="2"/>
  <c r="BP61" i="2" s="1"/>
  <c r="BP62" i="2" s="1"/>
  <c r="GZ66" i="2"/>
  <c r="EW15" i="7"/>
  <c r="EW21" i="7"/>
  <c r="FZ263" i="2"/>
  <c r="HB70" i="2"/>
  <c r="DH192" i="9" l="1"/>
  <c r="DI189" i="9" s="1"/>
  <c r="GA262" i="2"/>
  <c r="GA261" i="2"/>
  <c r="GA260" i="2"/>
  <c r="GB256" i="2" s="1"/>
  <c r="GP61" i="2"/>
  <c r="GO60" i="2"/>
  <c r="GO74" i="2"/>
  <c r="DH157" i="9"/>
  <c r="DH126" i="9"/>
  <c r="DH107" i="9" s="1"/>
  <c r="AT254" i="2"/>
  <c r="GD246" i="2"/>
  <c r="GD250" i="2" s="1"/>
  <c r="AW235" i="2"/>
  <c r="GG232" i="2"/>
  <c r="GM216" i="2"/>
  <c r="GM207" i="2"/>
  <c r="FY267" i="2"/>
  <c r="AO257" i="2" s="1"/>
  <c r="AO261" i="2"/>
  <c r="AO266" i="2" s="1"/>
  <c r="GE241" i="2"/>
  <c r="GE242" i="2" s="1"/>
  <c r="GF238" i="2" s="1"/>
  <c r="GH230" i="2"/>
  <c r="GH229" i="2"/>
  <c r="AZ234" i="2"/>
  <c r="GJ223" i="2"/>
  <c r="GK220" i="2"/>
  <c r="GK226" i="2"/>
  <c r="GK219" i="2"/>
  <c r="AO265" i="2"/>
  <c r="GF235" i="2"/>
  <c r="AV236" i="2" s="1"/>
  <c r="AV240" i="2"/>
  <c r="AV245" i="2" s="1"/>
  <c r="GH228" i="2"/>
  <c r="GI224" i="2" s="1"/>
  <c r="GM202" i="2"/>
  <c r="GN198" i="2" s="1"/>
  <c r="GN200" i="2"/>
  <c r="GN206" i="2"/>
  <c r="BD230" i="2"/>
  <c r="BD250" i="2"/>
  <c r="BD249" i="2"/>
  <c r="HB86" i="2"/>
  <c r="HB77" i="2"/>
  <c r="HC57" i="2"/>
  <c r="HC70" i="2" s="1"/>
  <c r="AP256" i="2"/>
  <c r="FZ264" i="2"/>
  <c r="HA88" i="2"/>
  <c r="BQ61" i="2" s="1"/>
  <c r="BQ62" i="2" s="1"/>
  <c r="HA66" i="2"/>
  <c r="GK218" i="2"/>
  <c r="GL214" i="2" s="1"/>
  <c r="AV244" i="2"/>
  <c r="GM203" i="2"/>
  <c r="AZ83" i="3"/>
  <c r="BE212" i="2"/>
  <c r="GC254" i="2"/>
  <c r="HC73" i="2" l="1"/>
  <c r="HC86" i="2" s="1"/>
  <c r="DH103" i="9"/>
  <c r="GD253" i="2"/>
  <c r="GD258" i="2"/>
  <c r="GD252" i="2"/>
  <c r="GD251" i="2"/>
  <c r="GE247" i="2" s="1"/>
  <c r="DH148" i="9"/>
  <c r="DH110" i="9"/>
  <c r="DH113" i="9" s="1"/>
  <c r="GK222" i="2"/>
  <c r="HB88" i="2"/>
  <c r="BR61" i="2" s="1"/>
  <c r="BR62" i="2" s="1"/>
  <c r="AV241" i="2"/>
  <c r="GH231" i="2"/>
  <c r="AO267" i="2"/>
  <c r="BF197" i="2"/>
  <c r="GP62" i="2"/>
  <c r="GP58" i="2" s="1"/>
  <c r="GN199" i="2"/>
  <c r="GN201" i="2" s="1"/>
  <c r="EX13" i="7"/>
  <c r="EX20" i="7" s="1"/>
  <c r="GF236" i="2"/>
  <c r="AV246" i="2"/>
  <c r="GL215" i="2"/>
  <c r="GL217" i="2" s="1"/>
  <c r="GL218" i="2" s="1"/>
  <c r="GM214" i="2" s="1"/>
  <c r="GB257" i="2"/>
  <c r="GB259" i="2" s="1"/>
  <c r="HD57" i="2"/>
  <c r="GI225" i="2"/>
  <c r="GI227" i="2" s="1"/>
  <c r="GE249" i="2"/>
  <c r="GE244" i="2"/>
  <c r="GE243" i="2"/>
  <c r="AS255" i="2"/>
  <c r="GC255" i="2"/>
  <c r="FZ265" i="2"/>
  <c r="FZ266" i="2"/>
  <c r="AP260" i="2" s="1"/>
  <c r="DH149" i="9"/>
  <c r="DH151" i="9" s="1"/>
  <c r="DH153" i="9" s="1"/>
  <c r="DH128" i="9"/>
  <c r="DH136" i="9" s="1"/>
  <c r="GF239" i="2"/>
  <c r="FG28" i="7"/>
  <c r="GO196" i="2"/>
  <c r="BE229" i="2"/>
  <c r="BE228" i="2"/>
  <c r="AZ94" i="3"/>
  <c r="FG27" i="7"/>
  <c r="FG29" i="7"/>
  <c r="GG233" i="2"/>
  <c r="GG234" i="2"/>
  <c r="AW239" i="2" s="1"/>
  <c r="HB87" i="2"/>
  <c r="HB66" i="2" s="1"/>
  <c r="EX14" i="7"/>
  <c r="EX37" i="7"/>
  <c r="EX38" i="7"/>
  <c r="EX34" i="7"/>
  <c r="EX31" i="7"/>
  <c r="EX36" i="7"/>
  <c r="EX35" i="7"/>
  <c r="EX32" i="7"/>
  <c r="EX30" i="7"/>
  <c r="BD251" i="2"/>
  <c r="AO262" i="2"/>
  <c r="GN240" i="2"/>
  <c r="GM211" i="2"/>
  <c r="GM208" i="2"/>
  <c r="GN204" i="2" s="1"/>
  <c r="GM209" i="2"/>
  <c r="GA263" i="2"/>
  <c r="HD73" i="2" l="1"/>
  <c r="HD86" i="2" s="1"/>
  <c r="HD87" i="2" s="1"/>
  <c r="HC77" i="2"/>
  <c r="GI228" i="2"/>
  <c r="GJ224" i="2" s="1"/>
  <c r="GJ225" i="2" s="1"/>
  <c r="GN216" i="2"/>
  <c r="GN207" i="2"/>
  <c r="GN203" i="2"/>
  <c r="GM215" i="2"/>
  <c r="GB262" i="2"/>
  <c r="GB261" i="2"/>
  <c r="GN205" i="2"/>
  <c r="FZ267" i="2"/>
  <c r="AP257" i="2" s="1"/>
  <c r="AP261" i="2"/>
  <c r="AP266" i="2" s="1"/>
  <c r="DH200" i="9"/>
  <c r="DH201" i="9" s="1"/>
  <c r="DI101" i="9"/>
  <c r="DH112" i="9"/>
  <c r="DH111" i="9"/>
  <c r="DH202" i="9"/>
  <c r="DH198" i="9"/>
  <c r="DH133" i="9"/>
  <c r="DH199" i="9"/>
  <c r="DH134" i="9"/>
  <c r="GI230" i="2"/>
  <c r="GI229" i="2"/>
  <c r="AX235" i="2"/>
  <c r="GH232" i="2"/>
  <c r="DH205" i="9"/>
  <c r="BA234" i="2"/>
  <c r="GK223" i="2"/>
  <c r="HC88" i="2"/>
  <c r="BS61" i="2" s="1"/>
  <c r="BS62" i="2" s="1"/>
  <c r="GE248" i="2"/>
  <c r="HD70" i="2"/>
  <c r="GN202" i="2"/>
  <c r="GO198" i="2" s="1"/>
  <c r="GL220" i="2"/>
  <c r="GL226" i="2"/>
  <c r="GL219" i="2"/>
  <c r="GO206" i="2"/>
  <c r="BE230" i="2"/>
  <c r="BE249" i="2"/>
  <c r="BE250" i="2"/>
  <c r="HC87" i="2"/>
  <c r="HC66" i="2" s="1"/>
  <c r="GQ61" i="2"/>
  <c r="GP60" i="2"/>
  <c r="DI116" i="9"/>
  <c r="DH135" i="9"/>
  <c r="GO200" i="2"/>
  <c r="EX15" i="7"/>
  <c r="EX21" i="7"/>
  <c r="AW244" i="2"/>
  <c r="GB260" i="2"/>
  <c r="GC256" i="2" s="1"/>
  <c r="DH155" i="9"/>
  <c r="BC233" i="2"/>
  <c r="GM212" i="2"/>
  <c r="AP265" i="2"/>
  <c r="GF241" i="2"/>
  <c r="AQ256" i="2"/>
  <c r="GA264" i="2"/>
  <c r="GE245" i="2"/>
  <c r="GP74" i="2"/>
  <c r="GG235" i="2"/>
  <c r="AW236" i="2" s="1"/>
  <c r="AW240" i="2"/>
  <c r="AW245" i="2" s="1"/>
  <c r="BF212" i="2"/>
  <c r="BA83" i="3"/>
  <c r="GD254" i="2"/>
  <c r="HD77" i="2" l="1"/>
  <c r="AP267" i="2"/>
  <c r="AP262" i="2"/>
  <c r="GN208" i="2"/>
  <c r="GO204" i="2" s="1"/>
  <c r="GO205" i="2" s="1"/>
  <c r="GM217" i="2"/>
  <c r="GM220" i="2" s="1"/>
  <c r="AW241" i="2"/>
  <c r="GJ227" i="2"/>
  <c r="GO199" i="2"/>
  <c r="GO201" i="2" s="1"/>
  <c r="GL222" i="2"/>
  <c r="DI108" i="9"/>
  <c r="DI109" i="9"/>
  <c r="AU254" i="2"/>
  <c r="GE246" i="2"/>
  <c r="GE250" i="2" s="1"/>
  <c r="GE251" i="2" s="1"/>
  <c r="GF247" i="2" s="1"/>
  <c r="BG197" i="2"/>
  <c r="GQ62" i="2"/>
  <c r="GQ58" i="2" s="1"/>
  <c r="HE57" i="2"/>
  <c r="GF249" i="2"/>
  <c r="GF244" i="2"/>
  <c r="GF243" i="2"/>
  <c r="GC257" i="2"/>
  <c r="GC259" i="2" s="1"/>
  <c r="HD88" i="2"/>
  <c r="BT61" i="2" s="1"/>
  <c r="BT62" i="2" s="1"/>
  <c r="HD66" i="2"/>
  <c r="GB263" i="2"/>
  <c r="AT255" i="2"/>
  <c r="GD255" i="2"/>
  <c r="EY13" i="7"/>
  <c r="EY20" i="7" s="1"/>
  <c r="GG236" i="2"/>
  <c r="AW246" i="2"/>
  <c r="GO240" i="2"/>
  <c r="GI231" i="2"/>
  <c r="GF242" i="2"/>
  <c r="GG238" i="2" s="1"/>
  <c r="DI123" i="9"/>
  <c r="DI124" i="9"/>
  <c r="GH234" i="2"/>
  <c r="AX239" i="2" s="1"/>
  <c r="GH233" i="2"/>
  <c r="FH28" i="7"/>
  <c r="GP196" i="2"/>
  <c r="BF228" i="2"/>
  <c r="BF229" i="2"/>
  <c r="BA94" i="3"/>
  <c r="FH29" i="7"/>
  <c r="FH27" i="7"/>
  <c r="GN211" i="2"/>
  <c r="GN209" i="2"/>
  <c r="BE251" i="2"/>
  <c r="EY14" i="7"/>
  <c r="EY34" i="7"/>
  <c r="EY37" i="7"/>
  <c r="EY35" i="7"/>
  <c r="EY36" i="7"/>
  <c r="EY31" i="7"/>
  <c r="EY38" i="7"/>
  <c r="EY30" i="7"/>
  <c r="EY32" i="7"/>
  <c r="GA265" i="2"/>
  <c r="GA266" i="2"/>
  <c r="AQ260" i="2" s="1"/>
  <c r="GM218" i="2" l="1"/>
  <c r="GN214" i="2" s="1"/>
  <c r="GN215" i="2" s="1"/>
  <c r="GM226" i="2"/>
  <c r="GM219" i="2"/>
  <c r="GR61" i="2"/>
  <c r="GQ60" i="2"/>
  <c r="GQ74" i="2"/>
  <c r="GO216" i="2"/>
  <c r="GO207" i="2"/>
  <c r="GO208" i="2" s="1"/>
  <c r="GP204" i="2" s="1"/>
  <c r="GO203" i="2"/>
  <c r="GO202" i="2"/>
  <c r="GP198" i="2" s="1"/>
  <c r="GC262" i="2"/>
  <c r="GC261" i="2"/>
  <c r="BD233" i="2"/>
  <c r="GN212" i="2"/>
  <c r="GF245" i="2"/>
  <c r="GJ230" i="2"/>
  <c r="GJ229" i="2"/>
  <c r="DI196" i="9"/>
  <c r="DI197" i="9"/>
  <c r="DI154" i="9"/>
  <c r="DI130" i="9"/>
  <c r="DI146" i="9"/>
  <c r="CX131" i="9"/>
  <c r="CX132" i="9"/>
  <c r="DI145" i="9"/>
  <c r="DI190" i="9"/>
  <c r="GM222" i="2"/>
  <c r="AX244" i="2"/>
  <c r="AR256" i="2"/>
  <c r="GB264" i="2"/>
  <c r="EY15" i="7"/>
  <c r="EY21" i="7"/>
  <c r="GP206" i="2"/>
  <c r="BF230" i="2"/>
  <c r="BF250" i="2"/>
  <c r="BF249" i="2"/>
  <c r="DI147" i="9"/>
  <c r="CX203" i="9"/>
  <c r="GG239" i="2"/>
  <c r="GG241" i="2" s="1"/>
  <c r="HE73" i="2"/>
  <c r="AQ265" i="2"/>
  <c r="GP200" i="2"/>
  <c r="HE70" i="2"/>
  <c r="GA267" i="2"/>
  <c r="AQ257" i="2" s="1"/>
  <c r="AQ261" i="2"/>
  <c r="AQ266" i="2" s="1"/>
  <c r="AY235" i="2"/>
  <c r="GI232" i="2"/>
  <c r="GJ228" i="2"/>
  <c r="GK224" i="2" s="1"/>
  <c r="GF248" i="2"/>
  <c r="BG212" i="2"/>
  <c r="BB83" i="3"/>
  <c r="BB234" i="2"/>
  <c r="GL223" i="2"/>
  <c r="GE253" i="2"/>
  <c r="GE258" i="2"/>
  <c r="GE252" i="2"/>
  <c r="GH235" i="2"/>
  <c r="AX236" i="2" s="1"/>
  <c r="AX240" i="2"/>
  <c r="AX245" i="2" s="1"/>
  <c r="GC260" i="2"/>
  <c r="GD256" i="2" s="1"/>
  <c r="GN217" i="2" l="1"/>
  <c r="GN220" i="2" s="1"/>
  <c r="GG242" i="2"/>
  <c r="GH238" i="2" s="1"/>
  <c r="GH239" i="2" s="1"/>
  <c r="AX241" i="2"/>
  <c r="GB265" i="2"/>
  <c r="GB266" i="2"/>
  <c r="AR260" i="2" s="1"/>
  <c r="FI28" i="7"/>
  <c r="GQ196" i="2"/>
  <c r="BG228" i="2"/>
  <c r="BG229" i="2"/>
  <c r="BB94" i="3"/>
  <c r="FI29" i="7"/>
  <c r="FI27" i="7"/>
  <c r="EZ13" i="7"/>
  <c r="EZ20" i="7" s="1"/>
  <c r="GH236" i="2"/>
  <c r="AX246" i="2"/>
  <c r="GO211" i="2"/>
  <c r="GO209" i="2"/>
  <c r="GG249" i="2"/>
  <c r="GG244" i="2"/>
  <c r="GG243" i="2"/>
  <c r="GP205" i="2"/>
  <c r="AQ267" i="2"/>
  <c r="GD257" i="2"/>
  <c r="GD259" i="2" s="1"/>
  <c r="EZ14" i="7"/>
  <c r="EZ37" i="7"/>
  <c r="EZ34" i="7"/>
  <c r="EZ35" i="7"/>
  <c r="EZ38" i="7"/>
  <c r="EZ36" i="7"/>
  <c r="EZ31" i="7"/>
  <c r="EZ30" i="7"/>
  <c r="EZ32" i="7"/>
  <c r="AQ262" i="2"/>
  <c r="BF251" i="2"/>
  <c r="BC234" i="2"/>
  <c r="GM223" i="2"/>
  <c r="HF57" i="2"/>
  <c r="HF73" i="2" s="1"/>
  <c r="GP240" i="2"/>
  <c r="BH197" i="2"/>
  <c r="GR62" i="2"/>
  <c r="GR58" i="2" s="1"/>
  <c r="GE254" i="2"/>
  <c r="AV254" i="2"/>
  <c r="GF246" i="2"/>
  <c r="GF250" i="2" s="1"/>
  <c r="DI191" i="9"/>
  <c r="DI193" i="9" s="1"/>
  <c r="DI141" i="9" s="1"/>
  <c r="DI144" i="9" s="1"/>
  <c r="DI204" i="9"/>
  <c r="GJ231" i="2"/>
  <c r="GP199" i="2"/>
  <c r="GP201" i="2" s="1"/>
  <c r="HE86" i="2"/>
  <c r="HE87" i="2" s="1"/>
  <c r="HE77" i="2"/>
  <c r="GK225" i="2"/>
  <c r="GI234" i="2"/>
  <c r="AY239" i="2" s="1"/>
  <c r="GI233" i="2"/>
  <c r="GC263" i="2"/>
  <c r="GN218" i="2" l="1"/>
  <c r="GO214" i="2" s="1"/>
  <c r="GO215" i="2" s="1"/>
  <c r="GN219" i="2"/>
  <c r="GN226" i="2"/>
  <c r="GP203" i="2"/>
  <c r="GP202" i="2"/>
  <c r="GQ198" i="2" s="1"/>
  <c r="GQ199" i="2" s="1"/>
  <c r="GQ201" i="2" s="1"/>
  <c r="GD260" i="2"/>
  <c r="GE256" i="2" s="1"/>
  <c r="GE257" i="2" s="1"/>
  <c r="DI192" i="9"/>
  <c r="DJ189" i="9" s="1"/>
  <c r="GK227" i="2"/>
  <c r="GK228" i="2" s="1"/>
  <c r="GL224" i="2" s="1"/>
  <c r="GL225" i="2" s="1"/>
  <c r="GL227" i="2" s="1"/>
  <c r="HF86" i="2"/>
  <c r="HF77" i="2"/>
  <c r="GF253" i="2"/>
  <c r="GF258" i="2"/>
  <c r="GF252" i="2"/>
  <c r="GF251" i="2"/>
  <c r="GG247" i="2" s="1"/>
  <c r="DI157" i="9"/>
  <c r="DI126" i="9"/>
  <c r="GS61" i="2"/>
  <c r="GR60" i="2"/>
  <c r="GR74" i="2"/>
  <c r="GH241" i="2"/>
  <c r="HE88" i="2"/>
  <c r="BU61" i="2" s="1"/>
  <c r="BU62" i="2" s="1"/>
  <c r="HE66" i="2"/>
  <c r="BE233" i="2"/>
  <c r="GO212" i="2"/>
  <c r="HF70" i="2"/>
  <c r="GB267" i="2"/>
  <c r="AR257" i="2" s="1"/>
  <c r="AR261" i="2"/>
  <c r="AR266" i="2" s="1"/>
  <c r="AU255" i="2"/>
  <c r="GE255" i="2"/>
  <c r="AS256" i="2"/>
  <c r="GC264" i="2"/>
  <c r="GI235" i="2"/>
  <c r="AY236" i="2" s="1"/>
  <c r="AY240" i="2"/>
  <c r="AY245" i="2" s="1"/>
  <c r="BH212" i="2"/>
  <c r="BC83" i="3"/>
  <c r="GQ200" i="2"/>
  <c r="GG245" i="2"/>
  <c r="GQ206" i="2"/>
  <c r="BG230" i="2"/>
  <c r="BG250" i="2"/>
  <c r="BG249" i="2"/>
  <c r="AR265" i="2"/>
  <c r="EZ15" i="7"/>
  <c r="EZ21" i="7"/>
  <c r="GP216" i="2"/>
  <c r="GP207" i="2"/>
  <c r="GD262" i="2"/>
  <c r="GD261" i="2"/>
  <c r="AY244" i="2"/>
  <c r="AZ235" i="2"/>
  <c r="GJ232" i="2"/>
  <c r="GN222" i="2"/>
  <c r="GK230" i="2" l="1"/>
  <c r="GK231" i="2" s="1"/>
  <c r="GK229" i="2"/>
  <c r="AR262" i="2"/>
  <c r="GO217" i="2"/>
  <c r="GO226" i="2" s="1"/>
  <c r="GE259" i="2"/>
  <c r="GE262" i="2" s="1"/>
  <c r="AY241" i="2"/>
  <c r="GQ202" i="2"/>
  <c r="GR198" i="2" s="1"/>
  <c r="GR199" i="2" s="1"/>
  <c r="GL230" i="2"/>
  <c r="GL229" i="2"/>
  <c r="GG248" i="2"/>
  <c r="DI149" i="9"/>
  <c r="DI128" i="9"/>
  <c r="DI136" i="9" s="1"/>
  <c r="GF254" i="2"/>
  <c r="GP211" i="2"/>
  <c r="GP209" i="2"/>
  <c r="GP208" i="2"/>
  <c r="GQ204" i="2" s="1"/>
  <c r="GQ216" i="2"/>
  <c r="GQ207" i="2"/>
  <c r="BG251" i="2"/>
  <c r="DI107" i="9"/>
  <c r="HF88" i="2"/>
  <c r="BV61" i="2" s="1"/>
  <c r="BV62" i="2" s="1"/>
  <c r="FA14" i="7"/>
  <c r="FA34" i="7"/>
  <c r="FA36" i="7"/>
  <c r="FA37" i="7"/>
  <c r="FA31" i="7"/>
  <c r="FA38" i="7"/>
  <c r="FA35" i="7"/>
  <c r="FA30" i="7"/>
  <c r="FA32" i="7"/>
  <c r="GC266" i="2"/>
  <c r="AS260" i="2" s="1"/>
  <c r="GC265" i="2"/>
  <c r="HF87" i="2"/>
  <c r="HF66" i="2" s="1"/>
  <c r="FJ28" i="7"/>
  <c r="GR196" i="2"/>
  <c r="BH229" i="2"/>
  <c r="BH228" i="2"/>
  <c r="BC94" i="3"/>
  <c r="FJ27" i="7"/>
  <c r="FJ29" i="7"/>
  <c r="GD263" i="2"/>
  <c r="HG57" i="2"/>
  <c r="HG70" i="2" s="1"/>
  <c r="GJ234" i="2"/>
  <c r="AZ239" i="2" s="1"/>
  <c r="GJ233" i="2"/>
  <c r="AW254" i="2"/>
  <c r="GG246" i="2"/>
  <c r="GL228" i="2"/>
  <c r="GM224" i="2" s="1"/>
  <c r="BI197" i="2"/>
  <c r="GS62" i="2"/>
  <c r="GS58" i="2" s="1"/>
  <c r="GH249" i="2"/>
  <c r="GH244" i="2"/>
  <c r="GH243" i="2"/>
  <c r="BD234" i="2"/>
  <c r="GN223" i="2"/>
  <c r="GQ240" i="2"/>
  <c r="DI103" i="9"/>
  <c r="FA13" i="7"/>
  <c r="FA20" i="7" s="1"/>
  <c r="GI236" i="2"/>
  <c r="AY246" i="2"/>
  <c r="AR267" i="2"/>
  <c r="GQ203" i="2"/>
  <c r="GH242" i="2"/>
  <c r="GI238" i="2" s="1"/>
  <c r="GE260" i="2" l="1"/>
  <c r="GF256" i="2" s="1"/>
  <c r="GF257" i="2" s="1"/>
  <c r="GE261" i="2"/>
  <c r="GO220" i="2"/>
  <c r="GO222" i="2" s="1"/>
  <c r="GO218" i="2"/>
  <c r="GP214" i="2" s="1"/>
  <c r="GP215" i="2" s="1"/>
  <c r="GG250" i="2"/>
  <c r="GG253" i="2" s="1"/>
  <c r="GO219" i="2"/>
  <c r="GR201" i="2"/>
  <c r="GR207" i="2" s="1"/>
  <c r="GT61" i="2"/>
  <c r="GS60" i="2"/>
  <c r="GS74" i="2"/>
  <c r="AS265" i="2"/>
  <c r="DI148" i="9"/>
  <c r="DI205" i="9" s="1"/>
  <c r="DI110" i="9"/>
  <c r="DI113" i="9" s="1"/>
  <c r="DI151" i="9"/>
  <c r="DI153" i="9" s="1"/>
  <c r="BI212" i="2"/>
  <c r="BD83" i="3"/>
  <c r="AV255" i="2"/>
  <c r="GF255" i="2"/>
  <c r="BA235" i="2"/>
  <c r="GK232" i="2"/>
  <c r="HH57" i="2"/>
  <c r="HH70" i="2" s="1"/>
  <c r="GC267" i="2"/>
  <c r="AS257" i="2" s="1"/>
  <c r="AS261" i="2"/>
  <c r="AS266" i="2" s="1"/>
  <c r="GL231" i="2"/>
  <c r="GJ235" i="2"/>
  <c r="AZ236" i="2" s="1"/>
  <c r="AZ240" i="2"/>
  <c r="AZ245" i="2" s="1"/>
  <c r="GR200" i="2"/>
  <c r="BF233" i="2"/>
  <c r="GP212" i="2"/>
  <c r="GR206" i="2"/>
  <c r="BH250" i="2"/>
  <c r="BH249" i="2"/>
  <c r="BH230" i="2"/>
  <c r="GQ211" i="2"/>
  <c r="AZ244" i="2"/>
  <c r="FA15" i="7"/>
  <c r="FA21" i="7"/>
  <c r="GI239" i="2"/>
  <c r="GI241" i="2" s="1"/>
  <c r="GM225" i="2"/>
  <c r="GM227" i="2" s="1"/>
  <c r="AT256" i="2"/>
  <c r="GD264" i="2"/>
  <c r="GE263" i="2"/>
  <c r="DJ116" i="9"/>
  <c r="DI135" i="9"/>
  <c r="GH245" i="2"/>
  <c r="GQ209" i="2"/>
  <c r="GQ205" i="2"/>
  <c r="GQ208" i="2" s="1"/>
  <c r="GR204" i="2" s="1"/>
  <c r="HG73" i="2"/>
  <c r="GG251" i="2" l="1"/>
  <c r="GH247" i="2" s="1"/>
  <c r="GH248" i="2" s="1"/>
  <c r="GG252" i="2"/>
  <c r="GG258" i="2"/>
  <c r="GR216" i="2"/>
  <c r="AZ241" i="2"/>
  <c r="GF259" i="2"/>
  <c r="GF260" i="2" s="1"/>
  <c r="GG256" i="2" s="1"/>
  <c r="GI242" i="2"/>
  <c r="GJ238" i="2" s="1"/>
  <c r="GJ239" i="2" s="1"/>
  <c r="DI200" i="9"/>
  <c r="DI201" i="9" s="1"/>
  <c r="HI57" i="2"/>
  <c r="BE234" i="2"/>
  <c r="GO223" i="2"/>
  <c r="BB235" i="2"/>
  <c r="GL232" i="2"/>
  <c r="GR211" i="2"/>
  <c r="GM230" i="2"/>
  <c r="GM229" i="2"/>
  <c r="GM228" i="2"/>
  <c r="GN224" i="2" s="1"/>
  <c r="GR203" i="2"/>
  <c r="GI249" i="2"/>
  <c r="GI244" i="2"/>
  <c r="GI243" i="2"/>
  <c r="GR240" i="2"/>
  <c r="DJ101" i="9"/>
  <c r="DI112" i="9"/>
  <c r="DI111" i="9"/>
  <c r="DI202" i="9"/>
  <c r="DI199" i="9"/>
  <c r="DI198" i="9"/>
  <c r="DI133" i="9"/>
  <c r="DI134" i="9"/>
  <c r="FK28" i="7"/>
  <c r="GS196" i="2"/>
  <c r="BI229" i="2"/>
  <c r="BI228" i="2"/>
  <c r="BD94" i="3"/>
  <c r="FK29" i="7"/>
  <c r="FK27" i="7"/>
  <c r="BG233" i="2"/>
  <c r="GQ212" i="2"/>
  <c r="DJ123" i="9"/>
  <c r="DJ124" i="9"/>
  <c r="HG86" i="2"/>
  <c r="HG87" i="2" s="1"/>
  <c r="HG77" i="2"/>
  <c r="HH73" i="2"/>
  <c r="GK234" i="2"/>
  <c r="BA239" i="2" s="1"/>
  <c r="GK233" i="2"/>
  <c r="BH251" i="2"/>
  <c r="AS267" i="2"/>
  <c r="GP217" i="2"/>
  <c r="GP218" i="2" s="1"/>
  <c r="GQ214" i="2" s="1"/>
  <c r="BJ197" i="2"/>
  <c r="GT62" i="2"/>
  <c r="GT58" i="2" s="1"/>
  <c r="GR209" i="2"/>
  <c r="AU256" i="2"/>
  <c r="GE264" i="2"/>
  <c r="AS262" i="2"/>
  <c r="GR205" i="2"/>
  <c r="GR208" i="2" s="1"/>
  <c r="GS204" i="2" s="1"/>
  <c r="GD266" i="2"/>
  <c r="AT260" i="2" s="1"/>
  <c r="GD265" i="2"/>
  <c r="AX254" i="2"/>
  <c r="GH246" i="2"/>
  <c r="DI155" i="9"/>
  <c r="FB14" i="7"/>
  <c r="FB38" i="7"/>
  <c r="FB35" i="7"/>
  <c r="FB31" i="7"/>
  <c r="FB34" i="7"/>
  <c r="FB37" i="7"/>
  <c r="FB36" i="7"/>
  <c r="FB30" i="7"/>
  <c r="FB32" i="7"/>
  <c r="FB13" i="7"/>
  <c r="FB20" i="7" s="1"/>
  <c r="GJ236" i="2"/>
  <c r="AZ246" i="2"/>
  <c r="GR202" i="2"/>
  <c r="GS198" i="2" s="1"/>
  <c r="GG254" i="2"/>
  <c r="GF262" i="2" l="1"/>
  <c r="GF263" i="2" s="1"/>
  <c r="GF261" i="2"/>
  <c r="GH250" i="2"/>
  <c r="GH253" i="2" s="1"/>
  <c r="GJ241" i="2"/>
  <c r="GJ243" i="2" s="1"/>
  <c r="GU61" i="2"/>
  <c r="GT60" i="2"/>
  <c r="GT74" i="2"/>
  <c r="GS205" i="2"/>
  <c r="GS199" i="2"/>
  <c r="HH86" i="2"/>
  <c r="HH87" i="2" s="1"/>
  <c r="HH77" i="2"/>
  <c r="HI73" i="2"/>
  <c r="GI245" i="2"/>
  <c r="FB15" i="7"/>
  <c r="FB21" i="7"/>
  <c r="GS206" i="2"/>
  <c r="BI230" i="2"/>
  <c r="BI249" i="2"/>
  <c r="BI250" i="2"/>
  <c r="GQ215" i="2"/>
  <c r="GS200" i="2"/>
  <c r="GN225" i="2"/>
  <c r="AW255" i="2"/>
  <c r="GG255" i="2"/>
  <c r="DJ147" i="9"/>
  <c r="CY203" i="9"/>
  <c r="DJ108" i="9"/>
  <c r="DJ109" i="9"/>
  <c r="HI70" i="2"/>
  <c r="GL234" i="2"/>
  <c r="BB239" i="2" s="1"/>
  <c r="GL233" i="2"/>
  <c r="GG257" i="2"/>
  <c r="DJ197" i="9"/>
  <c r="DJ196" i="9"/>
  <c r="DJ154" i="9"/>
  <c r="DJ130" i="9"/>
  <c r="DJ146" i="9"/>
  <c r="CY131" i="9"/>
  <c r="CY132" i="9"/>
  <c r="GK235" i="2"/>
  <c r="BA236" i="2" s="1"/>
  <c r="BA240" i="2"/>
  <c r="BA245" i="2" s="1"/>
  <c r="BA244" i="2"/>
  <c r="GE266" i="2"/>
  <c r="AU260" i="2" s="1"/>
  <c r="GE265" i="2"/>
  <c r="GD267" i="2"/>
  <c r="AT257" i="2" s="1"/>
  <c r="AT261" i="2"/>
  <c r="AT266" i="2" s="1"/>
  <c r="BH233" i="2"/>
  <c r="GR212" i="2"/>
  <c r="HG88" i="2"/>
  <c r="BW61" i="2" s="1"/>
  <c r="BW62" i="2" s="1"/>
  <c r="HG66" i="2"/>
  <c r="BJ212" i="2"/>
  <c r="BE83" i="3"/>
  <c r="AT265" i="2"/>
  <c r="GP220" i="2"/>
  <c r="GP226" i="2"/>
  <c r="GP219" i="2"/>
  <c r="GM231" i="2"/>
  <c r="GJ244" i="2" l="1"/>
  <c r="GJ245" i="2" s="1"/>
  <c r="GJ249" i="2"/>
  <c r="GH251" i="2"/>
  <c r="GI247" i="2" s="1"/>
  <c r="GI248" i="2" s="1"/>
  <c r="GH252" i="2"/>
  <c r="GH258" i="2"/>
  <c r="GJ242" i="2"/>
  <c r="GK238" i="2" s="1"/>
  <c r="GK239" i="2" s="1"/>
  <c r="BA241" i="2"/>
  <c r="AT267" i="2"/>
  <c r="AT262" i="2"/>
  <c r="GS201" i="2"/>
  <c r="GS202" i="2" s="1"/>
  <c r="GT198" i="2" s="1"/>
  <c r="GT199" i="2" s="1"/>
  <c r="GP222" i="2"/>
  <c r="GL235" i="2"/>
  <c r="BB236" i="2" s="1"/>
  <c r="BB240" i="2"/>
  <c r="BB245" i="2" s="1"/>
  <c r="BI251" i="2"/>
  <c r="GG259" i="2"/>
  <c r="GQ217" i="2"/>
  <c r="HH88" i="2"/>
  <c r="BX61" i="2" s="1"/>
  <c r="BX62" i="2" s="1"/>
  <c r="HH66" i="2"/>
  <c r="FC13" i="7"/>
  <c r="FC20" i="7" s="1"/>
  <c r="GK236" i="2"/>
  <c r="BA246" i="2"/>
  <c r="HJ57" i="2"/>
  <c r="HJ70" i="2" s="1"/>
  <c r="BB244" i="2"/>
  <c r="GE267" i="2"/>
  <c r="AU257" i="2" s="1"/>
  <c r="AU261" i="2"/>
  <c r="AU266" i="2" s="1"/>
  <c r="DJ145" i="9"/>
  <c r="DJ204" i="9" s="1"/>
  <c r="DJ190" i="9"/>
  <c r="GN227" i="2"/>
  <c r="AV256" i="2"/>
  <c r="GF264" i="2"/>
  <c r="FL28" i="7"/>
  <c r="GT196" i="2"/>
  <c r="BJ229" i="2"/>
  <c r="BJ228" i="2"/>
  <c r="BE94" i="3"/>
  <c r="FL29" i="7"/>
  <c r="FL27" i="7"/>
  <c r="GH254" i="2"/>
  <c r="AU265" i="2"/>
  <c r="HI86" i="2"/>
  <c r="HI77" i="2"/>
  <c r="FC14" i="7"/>
  <c r="FC31" i="7"/>
  <c r="FC38" i="7"/>
  <c r="FC34" i="7"/>
  <c r="FC35" i="7"/>
  <c r="FC36" i="7"/>
  <c r="FC37" i="7"/>
  <c r="FC32" i="7"/>
  <c r="FC30" i="7"/>
  <c r="GS240" i="2"/>
  <c r="BC235" i="2"/>
  <c r="GM232" i="2"/>
  <c r="AY254" i="2"/>
  <c r="GI246" i="2"/>
  <c r="BK197" i="2"/>
  <c r="GU62" i="2"/>
  <c r="GU58" i="2" s="1"/>
  <c r="GS207" i="2" l="1"/>
  <c r="GS211" i="2" s="1"/>
  <c r="GS216" i="2"/>
  <c r="HJ73" i="2"/>
  <c r="HJ86" i="2" s="1"/>
  <c r="HJ87" i="2" s="1"/>
  <c r="GK241" i="2"/>
  <c r="GK249" i="2" s="1"/>
  <c r="GS203" i="2"/>
  <c r="GT201" i="2"/>
  <c r="GT216" i="2" s="1"/>
  <c r="AU267" i="2"/>
  <c r="AU262" i="2"/>
  <c r="GV61" i="2"/>
  <c r="GU60" i="2"/>
  <c r="GU74" i="2"/>
  <c r="HK57" i="2"/>
  <c r="GQ220" i="2"/>
  <c r="GQ219" i="2"/>
  <c r="GQ226" i="2"/>
  <c r="GM234" i="2"/>
  <c r="BC239" i="2" s="1"/>
  <c r="GM233" i="2"/>
  <c r="AX255" i="2"/>
  <c r="GH255" i="2"/>
  <c r="BB241" i="2"/>
  <c r="GN230" i="2"/>
  <c r="GN229" i="2"/>
  <c r="GG262" i="2"/>
  <c r="GG261" i="2"/>
  <c r="DJ191" i="9"/>
  <c r="DJ193" i="9" s="1"/>
  <c r="DJ141" i="9" s="1"/>
  <c r="DJ144" i="9" s="1"/>
  <c r="GI250" i="2"/>
  <c r="FD13" i="7"/>
  <c r="FD20" i="7" s="1"/>
  <c r="GL236" i="2"/>
  <c r="BB246" i="2"/>
  <c r="GF266" i="2"/>
  <c r="AV260" i="2" s="1"/>
  <c r="GF265" i="2"/>
  <c r="HI88" i="2"/>
  <c r="BY61" i="2" s="1"/>
  <c r="BY62" i="2" s="1"/>
  <c r="HI87" i="2"/>
  <c r="HI66" i="2" s="1"/>
  <c r="AZ254" i="2"/>
  <c r="GJ246" i="2"/>
  <c r="BK212" i="2"/>
  <c r="BF83" i="3"/>
  <c r="GN228" i="2"/>
  <c r="GO224" i="2" s="1"/>
  <c r="FD14" i="7"/>
  <c r="FD31" i="7"/>
  <c r="FD37" i="7"/>
  <c r="FD35" i="7"/>
  <c r="FD34" i="7"/>
  <c r="FD38" i="7"/>
  <c r="FD36" i="7"/>
  <c r="FD32" i="7"/>
  <c r="FD30" i="7"/>
  <c r="GT206" i="2"/>
  <c r="BJ250" i="2"/>
  <c r="BJ230" i="2"/>
  <c r="BJ249" i="2"/>
  <c r="GG260" i="2"/>
  <c r="GH256" i="2" s="1"/>
  <c r="FC15" i="7"/>
  <c r="FC21" i="7"/>
  <c r="BF234" i="2"/>
  <c r="GP223" i="2"/>
  <c r="GT200" i="2"/>
  <c r="GQ218" i="2"/>
  <c r="GR214" i="2" s="1"/>
  <c r="GS209" i="2" l="1"/>
  <c r="GT207" i="2"/>
  <c r="GT209" i="2" s="1"/>
  <c r="GS208" i="2"/>
  <c r="GT204" i="2" s="1"/>
  <c r="GT205" i="2" s="1"/>
  <c r="HJ77" i="2"/>
  <c r="HK73" i="2"/>
  <c r="HK86" i="2" s="1"/>
  <c r="GK242" i="2"/>
  <c r="GL238" i="2" s="1"/>
  <c r="GL239" i="2" s="1"/>
  <c r="GL241" i="2" s="1"/>
  <c r="GK244" i="2"/>
  <c r="GK245" i="2" s="1"/>
  <c r="DJ192" i="9"/>
  <c r="DK189" i="9" s="1"/>
  <c r="GK243" i="2"/>
  <c r="GG263" i="2"/>
  <c r="GO225" i="2"/>
  <c r="GO227" i="2" s="1"/>
  <c r="DJ157" i="9"/>
  <c r="DJ126" i="9"/>
  <c r="DJ103" i="9" s="1"/>
  <c r="BI233" i="2"/>
  <c r="GS212" i="2"/>
  <c r="GR215" i="2"/>
  <c r="GR217" i="2" s="1"/>
  <c r="HK70" i="2"/>
  <c r="AV265" i="2"/>
  <c r="BJ251" i="2"/>
  <c r="GQ222" i="2"/>
  <c r="GT203" i="2"/>
  <c r="FM28" i="7"/>
  <c r="GU196" i="2"/>
  <c r="BK229" i="2"/>
  <c r="BK228" i="2"/>
  <c r="BF94" i="3"/>
  <c r="FM29" i="7"/>
  <c r="FM27" i="7"/>
  <c r="GT202" i="2"/>
  <c r="GU198" i="2" s="1"/>
  <c r="FD15" i="7"/>
  <c r="FD21" i="7"/>
  <c r="HJ88" i="2"/>
  <c r="BZ61" i="2" s="1"/>
  <c r="BZ62" i="2" s="1"/>
  <c r="HJ66" i="2"/>
  <c r="GH257" i="2"/>
  <c r="GH259" i="2" s="1"/>
  <c r="GN231" i="2"/>
  <c r="GI253" i="2"/>
  <c r="GI258" i="2"/>
  <c r="GI252" i="2"/>
  <c r="BL197" i="2"/>
  <c r="GV62" i="2"/>
  <c r="GV58" i="2" s="1"/>
  <c r="GF267" i="2"/>
  <c r="AV257" i="2" s="1"/>
  <c r="AV261" i="2"/>
  <c r="AV266" i="2" s="1"/>
  <c r="GT240" i="2"/>
  <c r="GM235" i="2"/>
  <c r="BC236" i="2" s="1"/>
  <c r="BC240" i="2"/>
  <c r="BC245" i="2" s="1"/>
  <c r="GI251" i="2"/>
  <c r="GJ247" i="2" s="1"/>
  <c r="BC244" i="2"/>
  <c r="GT211" i="2" l="1"/>
  <c r="GT212" i="2" s="1"/>
  <c r="GT208" i="2"/>
  <c r="GU204" i="2" s="1"/>
  <c r="GU205" i="2" s="1"/>
  <c r="HK77" i="2"/>
  <c r="BC241" i="2"/>
  <c r="DJ107" i="9"/>
  <c r="DJ110" i="9" s="1"/>
  <c r="DJ113" i="9" s="1"/>
  <c r="GW61" i="2"/>
  <c r="GV60" i="2"/>
  <c r="GV74" i="2"/>
  <c r="GH262" i="2"/>
  <c r="GH261" i="2"/>
  <c r="GR220" i="2"/>
  <c r="GR226" i="2"/>
  <c r="GR219" i="2"/>
  <c r="GR218" i="2"/>
  <c r="GS214" i="2" s="1"/>
  <c r="GO230" i="2"/>
  <c r="GO229" i="2"/>
  <c r="GO228" i="2"/>
  <c r="GP224" i="2" s="1"/>
  <c r="GL249" i="2"/>
  <c r="GL244" i="2"/>
  <c r="GL243" i="2"/>
  <c r="GU200" i="2"/>
  <c r="HL57" i="2"/>
  <c r="HL70" i="2" s="1"/>
  <c r="GH260" i="2"/>
  <c r="GI256" i="2" s="1"/>
  <c r="HK88" i="2"/>
  <c r="CA61" i="2" s="1"/>
  <c r="CA62" i="2" s="1"/>
  <c r="BA254" i="2"/>
  <c r="GK246" i="2"/>
  <c r="HK87" i="2"/>
  <c r="HK66" i="2" s="1"/>
  <c r="GI254" i="2"/>
  <c r="GU199" i="2"/>
  <c r="BG234" i="2"/>
  <c r="GQ223" i="2"/>
  <c r="GL242" i="2"/>
  <c r="GM238" i="2" s="1"/>
  <c r="GM236" i="2"/>
  <c r="BC246" i="2"/>
  <c r="BL212" i="2"/>
  <c r="BG83" i="3"/>
  <c r="GJ248" i="2"/>
  <c r="DJ149" i="9"/>
  <c r="DJ128" i="9"/>
  <c r="DJ136" i="9" s="1"/>
  <c r="AV267" i="2"/>
  <c r="FE31" i="7"/>
  <c r="FE32" i="7"/>
  <c r="FE30" i="7"/>
  <c r="AW256" i="2"/>
  <c r="GG264" i="2"/>
  <c r="GU206" i="2"/>
  <c r="BK249" i="2"/>
  <c r="BK230" i="2"/>
  <c r="BK250" i="2"/>
  <c r="AV262" i="2"/>
  <c r="BD235" i="2"/>
  <c r="GN232" i="2"/>
  <c r="BJ233" i="2" l="1"/>
  <c r="DJ148" i="9"/>
  <c r="DJ205" i="9" s="1"/>
  <c r="GU201" i="2"/>
  <c r="GU202" i="2" s="1"/>
  <c r="GV198" i="2" s="1"/>
  <c r="HM57" i="2"/>
  <c r="GG265" i="2"/>
  <c r="GG266" i="2"/>
  <c r="AW260" i="2" s="1"/>
  <c r="GM239" i="2"/>
  <c r="GM241" i="2" s="1"/>
  <c r="BK251" i="2"/>
  <c r="DJ151" i="9"/>
  <c r="GN233" i="2"/>
  <c r="GN234" i="2"/>
  <c r="BD239" i="2" s="1"/>
  <c r="GJ250" i="2"/>
  <c r="GR222" i="2"/>
  <c r="DK101" i="9"/>
  <c r="DJ112" i="9"/>
  <c r="DJ111" i="9"/>
  <c r="DJ199" i="9"/>
  <c r="DJ198" i="9"/>
  <c r="DJ202" i="9"/>
  <c r="DJ133" i="9"/>
  <c r="DJ134" i="9"/>
  <c r="GO231" i="2"/>
  <c r="GL245" i="2"/>
  <c r="HL73" i="2"/>
  <c r="GH263" i="2"/>
  <c r="FN28" i="7"/>
  <c r="GV196" i="2"/>
  <c r="BL229" i="2"/>
  <c r="BL228" i="2"/>
  <c r="BG94" i="3"/>
  <c r="FN27" i="7"/>
  <c r="FN29" i="7"/>
  <c r="GP225" i="2"/>
  <c r="GS215" i="2"/>
  <c r="GS217" i="2" s="1"/>
  <c r="GU240" i="2"/>
  <c r="DK116" i="9"/>
  <c r="DJ135" i="9"/>
  <c r="AY255" i="2"/>
  <c r="GI255" i="2"/>
  <c r="GI257" i="2"/>
  <c r="BM197" i="2"/>
  <c r="GW62" i="2"/>
  <c r="GW58" i="2" s="1"/>
  <c r="GU216" i="2" l="1"/>
  <c r="GU207" i="2"/>
  <c r="GU209" i="2" s="1"/>
  <c r="GU203" i="2"/>
  <c r="GI259" i="2"/>
  <c r="GI262" i="2" s="1"/>
  <c r="GV199" i="2"/>
  <c r="GV201" i="2" s="1"/>
  <c r="GS220" i="2"/>
  <c r="GS226" i="2"/>
  <c r="GS219" i="2"/>
  <c r="GX61" i="2"/>
  <c r="GW60" i="2"/>
  <c r="GW74" i="2"/>
  <c r="GM249" i="2"/>
  <c r="GM244" i="2"/>
  <c r="GM243" i="2"/>
  <c r="GM242" i="2"/>
  <c r="GN238" i="2" s="1"/>
  <c r="AW265" i="2"/>
  <c r="AX256" i="2"/>
  <c r="GH264" i="2"/>
  <c r="DJ200" i="9"/>
  <c r="DJ201" i="9" s="1"/>
  <c r="DK123" i="9"/>
  <c r="DK124" i="9"/>
  <c r="DJ153" i="9"/>
  <c r="HL86" i="2"/>
  <c r="HL87" i="2" s="1"/>
  <c r="HL77" i="2"/>
  <c r="HM73" i="2"/>
  <c r="DK108" i="9"/>
  <c r="DK109" i="9"/>
  <c r="BM212" i="2"/>
  <c r="BH83" i="3"/>
  <c r="BB254" i="2"/>
  <c r="GL246" i="2"/>
  <c r="GV206" i="2"/>
  <c r="BL249" i="2"/>
  <c r="BL230" i="2"/>
  <c r="BL250" i="2"/>
  <c r="BE235" i="2"/>
  <c r="GO232" i="2"/>
  <c r="GJ253" i="2"/>
  <c r="GJ258" i="2"/>
  <c r="GJ252" i="2"/>
  <c r="HM70" i="2"/>
  <c r="GP227" i="2"/>
  <c r="BD244" i="2"/>
  <c r="GJ251" i="2"/>
  <c r="GK247" i="2" s="1"/>
  <c r="GG267" i="2"/>
  <c r="AW257" i="2" s="1"/>
  <c r="AW261" i="2"/>
  <c r="AW266" i="2" s="1"/>
  <c r="BH234" i="2"/>
  <c r="GR223" i="2"/>
  <c r="GS218" i="2"/>
  <c r="GT214" i="2" s="1"/>
  <c r="GV200" i="2"/>
  <c r="GN235" i="2"/>
  <c r="BD236" i="2" s="1"/>
  <c r="BD240" i="2"/>
  <c r="BD245" i="2" s="1"/>
  <c r="GU211" i="2" l="1"/>
  <c r="GU212" i="2" s="1"/>
  <c r="GU208" i="2"/>
  <c r="GV204" i="2" s="1"/>
  <c r="GV205" i="2" s="1"/>
  <c r="GI260" i="2"/>
  <c r="GJ256" i="2" s="1"/>
  <c r="GJ257" i="2" s="1"/>
  <c r="GI261" i="2"/>
  <c r="GV216" i="2"/>
  <c r="GV207" i="2"/>
  <c r="GV209" i="2" s="1"/>
  <c r="GM245" i="2"/>
  <c r="HL88" i="2"/>
  <c r="CB61" i="2" s="1"/>
  <c r="CB62" i="2" s="1"/>
  <c r="HL66" i="2"/>
  <c r="BN197" i="2"/>
  <c r="GX62" i="2"/>
  <c r="GX58" i="2" s="1"/>
  <c r="GV240" i="2"/>
  <c r="AW267" i="2"/>
  <c r="GK248" i="2"/>
  <c r="GK250" i="2" s="1"/>
  <c r="DK147" i="9"/>
  <c r="CZ203" i="9"/>
  <c r="AW262" i="2"/>
  <c r="FF31" i="7"/>
  <c r="FF30" i="7"/>
  <c r="FF32" i="7"/>
  <c r="GH265" i="2"/>
  <c r="GH266" i="2"/>
  <c r="AX260" i="2" s="1"/>
  <c r="GV203" i="2"/>
  <c r="GV202" i="2"/>
  <c r="GW198" i="2" s="1"/>
  <c r="FO28" i="7"/>
  <c r="GW196" i="2"/>
  <c r="BM229" i="2"/>
  <c r="BM228" i="2"/>
  <c r="BH94" i="3"/>
  <c r="FO27" i="7"/>
  <c r="FO29" i="7"/>
  <c r="GT215" i="2"/>
  <c r="GT217" i="2" s="1"/>
  <c r="GN236" i="2"/>
  <c r="BD246" i="2"/>
  <c r="HM86" i="2"/>
  <c r="HM87" i="2" s="1"/>
  <c r="HM77" i="2"/>
  <c r="GJ254" i="2"/>
  <c r="DK196" i="9"/>
  <c r="DK197" i="9"/>
  <c r="DK154" i="9"/>
  <c r="DK130" i="9"/>
  <c r="DK146" i="9"/>
  <c r="CZ131" i="9"/>
  <c r="CZ132" i="9"/>
  <c r="GN239" i="2"/>
  <c r="GS222" i="2"/>
  <c r="GI263" i="2"/>
  <c r="GO233" i="2"/>
  <c r="GO234" i="2"/>
  <c r="BE239" i="2" s="1"/>
  <c r="BD241" i="2"/>
  <c r="BL251" i="2"/>
  <c r="GP230" i="2"/>
  <c r="GP229" i="2"/>
  <c r="GP228" i="2"/>
  <c r="GQ224" i="2" s="1"/>
  <c r="HN57" i="2"/>
  <c r="DK145" i="9"/>
  <c r="DK190" i="9"/>
  <c r="DJ155" i="9"/>
  <c r="GV211" i="2" l="1"/>
  <c r="GV212" i="2" s="1"/>
  <c r="BK233" i="2"/>
  <c r="GV208" i="2"/>
  <c r="GW204" i="2" s="1"/>
  <c r="GW205" i="2" s="1"/>
  <c r="GK253" i="2"/>
  <c r="GK258" i="2"/>
  <c r="GK252" i="2"/>
  <c r="GY61" i="2"/>
  <c r="GX60" i="2"/>
  <c r="GX74" i="2"/>
  <c r="GT220" i="2"/>
  <c r="GT226" i="2"/>
  <c r="GT219" i="2"/>
  <c r="GT218" i="2"/>
  <c r="GU214" i="2" s="1"/>
  <c r="AZ255" i="2"/>
  <c r="GJ255" i="2"/>
  <c r="DK204" i="9"/>
  <c r="GH267" i="2"/>
  <c r="AX257" i="2" s="1"/>
  <c r="AX261" i="2"/>
  <c r="AX266" i="2" s="1"/>
  <c r="GW206" i="2"/>
  <c r="BM250" i="2"/>
  <c r="BM249" i="2"/>
  <c r="BM230" i="2"/>
  <c r="HM88" i="2"/>
  <c r="CC61" i="2" s="1"/>
  <c r="CC62" i="2" s="1"/>
  <c r="HM66" i="2"/>
  <c r="GW200" i="2"/>
  <c r="BE244" i="2"/>
  <c r="AY256" i="2"/>
  <c r="GI264" i="2"/>
  <c r="BC254" i="2"/>
  <c r="GM246" i="2"/>
  <c r="GK251" i="2"/>
  <c r="GL247" i="2" s="1"/>
  <c r="HN70" i="2"/>
  <c r="HN73" i="2"/>
  <c r="BN212" i="2"/>
  <c r="BI83" i="3"/>
  <c r="GQ225" i="2"/>
  <c r="GQ227" i="2" s="1"/>
  <c r="BI234" i="2"/>
  <c r="GS223" i="2"/>
  <c r="GW199" i="2"/>
  <c r="AX265" i="2"/>
  <c r="GN241" i="2"/>
  <c r="GN242" i="2" s="1"/>
  <c r="GO238" i="2" s="1"/>
  <c r="GO235" i="2"/>
  <c r="BE236" i="2" s="1"/>
  <c r="BE240" i="2"/>
  <c r="BE245" i="2" s="1"/>
  <c r="GP231" i="2"/>
  <c r="DK191" i="9"/>
  <c r="DK193" i="9" s="1"/>
  <c r="DK141" i="9" s="1"/>
  <c r="DK144" i="9" s="1"/>
  <c r="BL233" i="2" l="1"/>
  <c r="AX267" i="2"/>
  <c r="AX262" i="2"/>
  <c r="DK192" i="9"/>
  <c r="DL189" i="9" s="1"/>
  <c r="BE241" i="2"/>
  <c r="GQ230" i="2"/>
  <c r="GQ229" i="2"/>
  <c r="FP28" i="7"/>
  <c r="GX196" i="2"/>
  <c r="BN229" i="2"/>
  <c r="BN228" i="2"/>
  <c r="BI94" i="3"/>
  <c r="FP27" i="7"/>
  <c r="FP29" i="7"/>
  <c r="DK157" i="9"/>
  <c r="DK126" i="9"/>
  <c r="DK103" i="9" s="1"/>
  <c r="GW201" i="2"/>
  <c r="GJ259" i="2"/>
  <c r="GT222" i="2"/>
  <c r="BO197" i="2"/>
  <c r="GY62" i="2"/>
  <c r="GY58" i="2" s="1"/>
  <c r="HN86" i="2"/>
  <c r="HN77" i="2"/>
  <c r="GL248" i="2"/>
  <c r="GL250" i="2" s="1"/>
  <c r="GN249" i="2"/>
  <c r="GN244" i="2"/>
  <c r="GN243" i="2"/>
  <c r="GQ228" i="2"/>
  <c r="GR224" i="2" s="1"/>
  <c r="GW240" i="2"/>
  <c r="HO57" i="2"/>
  <c r="HO70" i="2" s="1"/>
  <c r="GO236" i="2"/>
  <c r="BE246" i="2"/>
  <c r="GI265" i="2"/>
  <c r="GI266" i="2"/>
  <c r="AY260" i="2" s="1"/>
  <c r="BM251" i="2"/>
  <c r="GU215" i="2"/>
  <c r="GO239" i="2"/>
  <c r="BF235" i="2"/>
  <c r="GP232" i="2"/>
  <c r="FG31" i="7"/>
  <c r="FG30" i="7"/>
  <c r="FG32" i="7"/>
  <c r="GK254" i="2"/>
  <c r="DK107" i="9" l="1"/>
  <c r="DK148" i="9" s="1"/>
  <c r="GO241" i="2"/>
  <c r="GO249" i="2" s="1"/>
  <c r="GZ61" i="2"/>
  <c r="GY60" i="2"/>
  <c r="GY74" i="2"/>
  <c r="HP57" i="2"/>
  <c r="HP70" i="2" s="1"/>
  <c r="HN88" i="2"/>
  <c r="CD61" i="2" s="1"/>
  <c r="CD62" i="2" s="1"/>
  <c r="GX206" i="2"/>
  <c r="BN249" i="2"/>
  <c r="BN230" i="2"/>
  <c r="BN250" i="2"/>
  <c r="HN87" i="2"/>
  <c r="HN66" i="2" s="1"/>
  <c r="GP233" i="2"/>
  <c r="GP234" i="2"/>
  <c r="BF239" i="2" s="1"/>
  <c r="GR225" i="2"/>
  <c r="GR227" i="2" s="1"/>
  <c r="GW216" i="2"/>
  <c r="GW207" i="2"/>
  <c r="AY265" i="2"/>
  <c r="GI267" i="2"/>
  <c r="AY257" i="2" s="1"/>
  <c r="AY261" i="2"/>
  <c r="AY266" i="2" s="1"/>
  <c r="GW202" i="2"/>
  <c r="GX198" i="2" s="1"/>
  <c r="GL253" i="2"/>
  <c r="GL258" i="2"/>
  <c r="GL252" i="2"/>
  <c r="GU217" i="2"/>
  <c r="GU218" i="2" s="1"/>
  <c r="GV214" i="2" s="1"/>
  <c r="BJ234" i="2"/>
  <c r="GT223" i="2"/>
  <c r="GX200" i="2"/>
  <c r="GL251" i="2"/>
  <c r="GM247" i="2" s="1"/>
  <c r="GJ262" i="2"/>
  <c r="GJ261" i="2"/>
  <c r="GJ260" i="2"/>
  <c r="GK256" i="2" s="1"/>
  <c r="DK149" i="9"/>
  <c r="DK128" i="9"/>
  <c r="GN245" i="2"/>
  <c r="BO212" i="2"/>
  <c r="BJ83" i="3"/>
  <c r="HO73" i="2"/>
  <c r="BA255" i="2"/>
  <c r="GK255" i="2"/>
  <c r="GW203" i="2"/>
  <c r="GQ231" i="2"/>
  <c r="DK110" i="9" l="1"/>
  <c r="DL101" i="9" s="1"/>
  <c r="GO242" i="2"/>
  <c r="GP238" i="2" s="1"/>
  <c r="GP239" i="2" s="1"/>
  <c r="GO243" i="2"/>
  <c r="GO244" i="2"/>
  <c r="GO245" i="2" s="1"/>
  <c r="GR230" i="2"/>
  <c r="GR229" i="2"/>
  <c r="HQ57" i="2"/>
  <c r="GV215" i="2"/>
  <c r="DK205" i="9"/>
  <c r="GW211" i="2"/>
  <c r="GW208" i="2"/>
  <c r="GX204" i="2" s="1"/>
  <c r="GW209" i="2"/>
  <c r="GX199" i="2"/>
  <c r="GJ263" i="2"/>
  <c r="GX240" i="2"/>
  <c r="BF244" i="2"/>
  <c r="FQ28" i="7"/>
  <c r="GY196" i="2"/>
  <c r="BO228" i="2"/>
  <c r="BO229" i="2"/>
  <c r="BJ94" i="3"/>
  <c r="FQ29" i="7"/>
  <c r="FQ27" i="7"/>
  <c r="GR228" i="2"/>
  <c r="GS224" i="2" s="1"/>
  <c r="BP197" i="2"/>
  <c r="GZ62" i="2"/>
  <c r="GZ58" i="2" s="1"/>
  <c r="AY267" i="2"/>
  <c r="BN251" i="2"/>
  <c r="GK257" i="2"/>
  <c r="GL254" i="2"/>
  <c r="HO77" i="2"/>
  <c r="HO86" i="2"/>
  <c r="HO87" i="2" s="1"/>
  <c r="HP73" i="2"/>
  <c r="BD254" i="2"/>
  <c r="GN246" i="2"/>
  <c r="AY262" i="2"/>
  <c r="GU220" i="2"/>
  <c r="GU226" i="2"/>
  <c r="GU219" i="2"/>
  <c r="GP235" i="2"/>
  <c r="BF236" i="2" s="1"/>
  <c r="BF240" i="2"/>
  <c r="BF245" i="2" s="1"/>
  <c r="GM248" i="2"/>
  <c r="GM250" i="2" s="1"/>
  <c r="BG235" i="2"/>
  <c r="GQ232" i="2"/>
  <c r="DL116" i="9"/>
  <c r="DK135" i="9"/>
  <c r="DK151" i="9"/>
  <c r="DK200" i="9" s="1"/>
  <c r="DK201" i="9" s="1"/>
  <c r="DK136" i="9"/>
  <c r="DK134" i="9" l="1"/>
  <c r="DK202" i="9"/>
  <c r="DK113" i="9"/>
  <c r="DK133" i="9"/>
  <c r="DK199" i="9"/>
  <c r="DK198" i="9"/>
  <c r="DK111" i="9"/>
  <c r="DK112" i="9"/>
  <c r="BF241" i="2"/>
  <c r="DK153" i="9"/>
  <c r="DK155" i="9" s="1"/>
  <c r="GM251" i="2"/>
  <c r="GN247" i="2" s="1"/>
  <c r="GN248" i="2" s="1"/>
  <c r="HA61" i="2"/>
  <c r="GZ60" i="2"/>
  <c r="GZ74" i="2"/>
  <c r="GP236" i="2"/>
  <c r="BF246" i="2"/>
  <c r="GV217" i="2"/>
  <c r="GV218" i="2" s="1"/>
  <c r="GW214" i="2" s="1"/>
  <c r="BP212" i="2"/>
  <c r="BK83" i="3"/>
  <c r="GX201" i="2"/>
  <c r="GM253" i="2"/>
  <c r="GM258" i="2"/>
  <c r="GM252" i="2"/>
  <c r="BM233" i="2"/>
  <c r="GW212" i="2"/>
  <c r="BB255" i="2"/>
  <c r="GL255" i="2"/>
  <c r="BE254" i="2"/>
  <c r="GO246" i="2"/>
  <c r="GS225" i="2"/>
  <c r="GS227" i="2" s="1"/>
  <c r="AZ256" i="2"/>
  <c r="GJ264" i="2"/>
  <c r="GK259" i="2"/>
  <c r="GY200" i="2"/>
  <c r="HQ70" i="2"/>
  <c r="DL123" i="9"/>
  <c r="DL124" i="9"/>
  <c r="HP86" i="2"/>
  <c r="HP87" i="2" s="1"/>
  <c r="HP77" i="2"/>
  <c r="HQ73" i="2"/>
  <c r="GY206" i="2"/>
  <c r="BO230" i="2"/>
  <c r="BO249" i="2"/>
  <c r="BO250" i="2"/>
  <c r="DL108" i="9"/>
  <c r="DL109" i="9"/>
  <c r="GU222" i="2"/>
  <c r="HO88" i="2"/>
  <c r="CE61" i="2" s="1"/>
  <c r="CE62" i="2" s="1"/>
  <c r="HO66" i="2"/>
  <c r="FH31" i="7"/>
  <c r="FH32" i="7"/>
  <c r="FH30" i="7"/>
  <c r="GQ233" i="2"/>
  <c r="GQ234" i="2"/>
  <c r="BG239" i="2" s="1"/>
  <c r="GX205" i="2"/>
  <c r="GR231" i="2"/>
  <c r="GN250" i="2" l="1"/>
  <c r="GN253" i="2" s="1"/>
  <c r="GS228" i="2"/>
  <c r="GT224" i="2" s="1"/>
  <c r="GT225" i="2" s="1"/>
  <c r="GT227" i="2" s="1"/>
  <c r="GW215" i="2"/>
  <c r="GW217" i="2" s="1"/>
  <c r="GV220" i="2"/>
  <c r="GV226" i="2"/>
  <c r="GV219" i="2"/>
  <c r="GX216" i="2"/>
  <c r="GX207" i="2"/>
  <c r="GX203" i="2"/>
  <c r="BK234" i="2"/>
  <c r="GU223" i="2"/>
  <c r="FR28" i="7"/>
  <c r="GZ196" i="2"/>
  <c r="BP229" i="2"/>
  <c r="BP228" i="2"/>
  <c r="BK94" i="3"/>
  <c r="FR27" i="7"/>
  <c r="FX27" i="7"/>
  <c r="FR29" i="7"/>
  <c r="GP241" i="2"/>
  <c r="GK262" i="2"/>
  <c r="GK261" i="2"/>
  <c r="GX202" i="2"/>
  <c r="GY198" i="2" s="1"/>
  <c r="BH235" i="2"/>
  <c r="GR232" i="2"/>
  <c r="BG244" i="2"/>
  <c r="HP88" i="2"/>
  <c r="CF61" i="2" s="1"/>
  <c r="CF62" i="2" s="1"/>
  <c r="HP66" i="2"/>
  <c r="GQ235" i="2"/>
  <c r="BG236" i="2" s="1"/>
  <c r="BG240" i="2"/>
  <c r="BG245" i="2" s="1"/>
  <c r="GK260" i="2"/>
  <c r="GL256" i="2" s="1"/>
  <c r="HQ86" i="2"/>
  <c r="HQ87" i="2" s="1"/>
  <c r="HQ77" i="2"/>
  <c r="DL147" i="9"/>
  <c r="DA203" i="9"/>
  <c r="DL197" i="9"/>
  <c r="DL196" i="9"/>
  <c r="DL154" i="9"/>
  <c r="DL130" i="9"/>
  <c r="DL146" i="9"/>
  <c r="DA132" i="9"/>
  <c r="DA131" i="9"/>
  <c r="GJ265" i="2"/>
  <c r="GJ266" i="2"/>
  <c r="AZ260" i="2" s="1"/>
  <c r="GS230" i="2"/>
  <c r="GS229" i="2"/>
  <c r="GM254" i="2"/>
  <c r="DL145" i="9"/>
  <c r="DL190" i="9"/>
  <c r="GY240" i="2"/>
  <c r="BO251" i="2"/>
  <c r="HR57" i="2"/>
  <c r="HR73" i="2" s="1"/>
  <c r="BQ197" i="2"/>
  <c r="HA62" i="2"/>
  <c r="HA58" i="2" s="1"/>
  <c r="GN251" i="2" l="1"/>
  <c r="GO247" i="2" s="1"/>
  <c r="GO248" i="2" s="1"/>
  <c r="GN252" i="2"/>
  <c r="GN258" i="2"/>
  <c r="BG241" i="2"/>
  <c r="HB61" i="2"/>
  <c r="HA60" i="2"/>
  <c r="HA74" i="2"/>
  <c r="HR86" i="2"/>
  <c r="HR87" i="2" s="1"/>
  <c r="HR77" i="2"/>
  <c r="GT230" i="2"/>
  <c r="GT229" i="2"/>
  <c r="GZ206" i="2"/>
  <c r="BP250" i="2"/>
  <c r="BP230" i="2"/>
  <c r="BP249" i="2"/>
  <c r="AZ265" i="2"/>
  <c r="GJ267" i="2"/>
  <c r="AZ257" i="2" s="1"/>
  <c r="AZ261" i="2"/>
  <c r="AZ266" i="2" s="1"/>
  <c r="GY199" i="2"/>
  <c r="GY201" i="2" s="1"/>
  <c r="GZ200" i="2"/>
  <c r="GW220" i="2"/>
  <c r="GW226" i="2"/>
  <c r="GW219" i="2"/>
  <c r="GW218" i="2"/>
  <c r="GX214" i="2" s="1"/>
  <c r="GV222" i="2"/>
  <c r="GX211" i="2"/>
  <c r="GX209" i="2"/>
  <c r="GS231" i="2"/>
  <c r="FI31" i="7"/>
  <c r="FI30" i="7"/>
  <c r="FI32" i="7"/>
  <c r="GK263" i="2"/>
  <c r="GX208" i="2"/>
  <c r="GY204" i="2" s="1"/>
  <c r="GL257" i="2"/>
  <c r="GL259" i="2" s="1"/>
  <c r="GQ236" i="2"/>
  <c r="BG246" i="2"/>
  <c r="GR233" i="2"/>
  <c r="GR234" i="2"/>
  <c r="BH239" i="2" s="1"/>
  <c r="HQ88" i="2"/>
  <c r="CG61" i="2" s="1"/>
  <c r="CG62" i="2" s="1"/>
  <c r="HQ66" i="2"/>
  <c r="BQ212" i="2"/>
  <c r="BL83" i="3"/>
  <c r="BC255" i="2"/>
  <c r="GM255" i="2"/>
  <c r="GP249" i="2"/>
  <c r="GP244" i="2"/>
  <c r="GP243" i="2"/>
  <c r="GP242" i="2"/>
  <c r="GQ238" i="2" s="1"/>
  <c r="GT228" i="2"/>
  <c r="GU224" i="2" s="1"/>
  <c r="HR70" i="2"/>
  <c r="GN254" i="2"/>
  <c r="DL191" i="9"/>
  <c r="DL193" i="9" s="1"/>
  <c r="DL141" i="9" s="1"/>
  <c r="DL144" i="9" s="1"/>
  <c r="DL204" i="9"/>
  <c r="DL192" i="9" l="1"/>
  <c r="DM189" i="9" s="1"/>
  <c r="GY216" i="2"/>
  <c r="GY207" i="2"/>
  <c r="GY203" i="2"/>
  <c r="DL157" i="9"/>
  <c r="DL126" i="9"/>
  <c r="DL107" i="9" s="1"/>
  <c r="GO250" i="2"/>
  <c r="GO251" i="2" s="1"/>
  <c r="GP247" i="2" s="1"/>
  <c r="GY202" i="2"/>
  <c r="GZ198" i="2" s="1"/>
  <c r="BD255" i="2"/>
  <c r="GN255" i="2"/>
  <c r="BL234" i="2"/>
  <c r="GV223" i="2"/>
  <c r="GX215" i="2"/>
  <c r="GT231" i="2"/>
  <c r="GL262" i="2"/>
  <c r="GL261" i="2"/>
  <c r="BI235" i="2"/>
  <c r="GS232" i="2"/>
  <c r="AZ262" i="2"/>
  <c r="HR88" i="2"/>
  <c r="CH61" i="2" s="1"/>
  <c r="CH62" i="2" s="1"/>
  <c r="HR66" i="2"/>
  <c r="GZ240" i="2"/>
  <c r="GR235" i="2"/>
  <c r="BH236" i="2" s="1"/>
  <c r="BH240" i="2"/>
  <c r="BH245" i="2" s="1"/>
  <c r="FS28" i="7"/>
  <c r="HA196" i="2"/>
  <c r="BQ229" i="2"/>
  <c r="BQ228" i="2"/>
  <c r="BL94" i="3"/>
  <c r="FS29" i="7"/>
  <c r="FY27" i="7"/>
  <c r="FS27" i="7"/>
  <c r="GL260" i="2"/>
  <c r="GM256" i="2" s="1"/>
  <c r="HS57" i="2"/>
  <c r="HS70" i="2" s="1"/>
  <c r="GU225" i="2"/>
  <c r="GU227" i="2" s="1"/>
  <c r="GU228" i="2" s="1"/>
  <c r="GV224" i="2" s="1"/>
  <c r="GQ239" i="2"/>
  <c r="BP251" i="2"/>
  <c r="BH244" i="2"/>
  <c r="BA256" i="2"/>
  <c r="GK264" i="2"/>
  <c r="AZ267" i="2"/>
  <c r="GP245" i="2"/>
  <c r="GY205" i="2"/>
  <c r="BN233" i="2"/>
  <c r="GX212" i="2"/>
  <c r="GW222" i="2"/>
  <c r="BR197" i="2"/>
  <c r="HB62" i="2"/>
  <c r="HB58" i="2" s="1"/>
  <c r="GY208" i="2" l="1"/>
  <c r="GZ204" i="2" s="1"/>
  <c r="GZ205" i="2" s="1"/>
  <c r="GX217" i="2"/>
  <c r="GX220" i="2" s="1"/>
  <c r="BH241" i="2"/>
  <c r="DL103" i="9"/>
  <c r="HT57" i="2"/>
  <c r="HC61" i="2"/>
  <c r="HB60" i="2"/>
  <c r="HB74" i="2"/>
  <c r="GV225" i="2"/>
  <c r="GV227" i="2" s="1"/>
  <c r="GV228" i="2" s="1"/>
  <c r="GW224" i="2" s="1"/>
  <c r="BM234" i="2"/>
  <c r="GW223" i="2"/>
  <c r="BR212" i="2"/>
  <c r="BM83" i="3"/>
  <c r="GS233" i="2"/>
  <c r="GS234" i="2"/>
  <c r="BI239" i="2" s="1"/>
  <c r="HA206" i="2"/>
  <c r="BQ249" i="2"/>
  <c r="BQ230" i="2"/>
  <c r="BQ250" i="2"/>
  <c r="FJ31" i="7"/>
  <c r="FJ32" i="7"/>
  <c r="FJ30" i="7"/>
  <c r="GL263" i="2"/>
  <c r="GK265" i="2"/>
  <c r="GK266" i="2"/>
  <c r="BA260" i="2" s="1"/>
  <c r="GU230" i="2"/>
  <c r="GU229" i="2"/>
  <c r="HA200" i="2"/>
  <c r="HS73" i="2"/>
  <c r="GZ199" i="2"/>
  <c r="GZ201" i="2" s="1"/>
  <c r="DL148" i="9"/>
  <c r="DL110" i="9"/>
  <c r="BJ235" i="2"/>
  <c r="GT232" i="2"/>
  <c r="GR236" i="2"/>
  <c r="BH246" i="2"/>
  <c r="GM257" i="2"/>
  <c r="GM259" i="2" s="1"/>
  <c r="GO253" i="2"/>
  <c r="GO258" i="2"/>
  <c r="GO252" i="2"/>
  <c r="GY211" i="2"/>
  <c r="GY209" i="2"/>
  <c r="GP248" i="2"/>
  <c r="GQ241" i="2"/>
  <c r="GQ242" i="2" s="1"/>
  <c r="GR238" i="2" s="1"/>
  <c r="BF254" i="2"/>
  <c r="GP246" i="2"/>
  <c r="DL149" i="9"/>
  <c r="DL151" i="9" s="1"/>
  <c r="DL200" i="9" s="1"/>
  <c r="DL201" i="9" s="1"/>
  <c r="DL128" i="9"/>
  <c r="DL205" i="9" l="1"/>
  <c r="GX218" i="2"/>
  <c r="GY214" i="2" s="1"/>
  <c r="GY215" i="2" s="1"/>
  <c r="GX219" i="2"/>
  <c r="GX226" i="2"/>
  <c r="GZ216" i="2"/>
  <c r="GZ207" i="2"/>
  <c r="GZ203" i="2"/>
  <c r="GZ202" i="2"/>
  <c r="HA198" i="2" s="1"/>
  <c r="GW225" i="2"/>
  <c r="GM262" i="2"/>
  <c r="GM261" i="2"/>
  <c r="DL153" i="9"/>
  <c r="DL155" i="9" s="1"/>
  <c r="BS197" i="2"/>
  <c r="HC62" i="2"/>
  <c r="HC58" i="2" s="1"/>
  <c r="GR239" i="2"/>
  <c r="GR241" i="2" s="1"/>
  <c r="GK267" i="2"/>
  <c r="BA257" i="2" s="1"/>
  <c r="BA261" i="2"/>
  <c r="BA266" i="2" s="1"/>
  <c r="BO233" i="2"/>
  <c r="GY212" i="2"/>
  <c r="FT28" i="7"/>
  <c r="HB196" i="2"/>
  <c r="BR228" i="2"/>
  <c r="BR229" i="2"/>
  <c r="BM94" i="3"/>
  <c r="FZ27" i="7"/>
  <c r="FT29" i="7"/>
  <c r="FT27" i="7"/>
  <c r="HT70" i="2"/>
  <c r="DM116" i="9"/>
  <c r="DL135" i="9"/>
  <c r="BB256" i="2"/>
  <c r="GL264" i="2"/>
  <c r="GT234" i="2"/>
  <c r="BJ239" i="2" s="1"/>
  <c r="GT233" i="2"/>
  <c r="DM101" i="9"/>
  <c r="DL112" i="9"/>
  <c r="DL111" i="9"/>
  <c r="DL202" i="9"/>
  <c r="DL198" i="9"/>
  <c r="DL134" i="9"/>
  <c r="DL199" i="9"/>
  <c r="DL133" i="9"/>
  <c r="DL136" i="9"/>
  <c r="GS235" i="2"/>
  <c r="BI236" i="2" s="1"/>
  <c r="BI240" i="2"/>
  <c r="BI245" i="2" s="1"/>
  <c r="GQ249" i="2"/>
  <c r="GQ244" i="2"/>
  <c r="GQ243" i="2"/>
  <c r="HA240" i="2"/>
  <c r="BQ251" i="2"/>
  <c r="GV230" i="2"/>
  <c r="GV229" i="2"/>
  <c r="BA265" i="2"/>
  <c r="BI244" i="2"/>
  <c r="HS86" i="2"/>
  <c r="HS87" i="2" s="1"/>
  <c r="HS77" i="2"/>
  <c r="HT73" i="2"/>
  <c r="GO254" i="2"/>
  <c r="GP250" i="2"/>
  <c r="GM260" i="2"/>
  <c r="GN256" i="2" s="1"/>
  <c r="DL113" i="9"/>
  <c r="GU231" i="2"/>
  <c r="GX222" i="2"/>
  <c r="GY217" i="2" l="1"/>
  <c r="GY218" i="2" s="1"/>
  <c r="GZ214" i="2" s="1"/>
  <c r="GZ215" i="2" s="1"/>
  <c r="BI241" i="2"/>
  <c r="HD61" i="2"/>
  <c r="HC60" i="2"/>
  <c r="HC74" i="2"/>
  <c r="GR249" i="2"/>
  <c r="GR244" i="2"/>
  <c r="GR243" i="2"/>
  <c r="GR242" i="2"/>
  <c r="GS238" i="2" s="1"/>
  <c r="HT86" i="2"/>
  <c r="HT87" i="2" s="1"/>
  <c r="HT77" i="2"/>
  <c r="HB200" i="2"/>
  <c r="GW227" i="2"/>
  <c r="GW228" i="2" s="1"/>
  <c r="GX224" i="2" s="1"/>
  <c r="GV231" i="2"/>
  <c r="HU57" i="2"/>
  <c r="BN234" i="2"/>
  <c r="GX223" i="2"/>
  <c r="HS88" i="2"/>
  <c r="CI61" i="2" s="1"/>
  <c r="CI62" i="2" s="1"/>
  <c r="HS66" i="2"/>
  <c r="GL265" i="2"/>
  <c r="GL266" i="2"/>
  <c r="BB260" i="2" s="1"/>
  <c r="BK235" i="2"/>
  <c r="GU232" i="2"/>
  <c r="GS236" i="2"/>
  <c r="BI246" i="2"/>
  <c r="HB206" i="2"/>
  <c r="BR230" i="2"/>
  <c r="BR249" i="2"/>
  <c r="BR250" i="2"/>
  <c r="HA199" i="2"/>
  <c r="HA201" i="2" s="1"/>
  <c r="GM263" i="2"/>
  <c r="BA267" i="2"/>
  <c r="DM108" i="9"/>
  <c r="DM109" i="9"/>
  <c r="BS212" i="2"/>
  <c r="BN83" i="3"/>
  <c r="GQ245" i="2"/>
  <c r="GN257" i="2"/>
  <c r="GN259" i="2" s="1"/>
  <c r="GP253" i="2"/>
  <c r="GP258" i="2"/>
  <c r="GP252" i="2"/>
  <c r="BA262" i="2"/>
  <c r="GZ211" i="2"/>
  <c r="GZ209" i="2"/>
  <c r="GZ208" i="2"/>
  <c r="HA204" i="2" s="1"/>
  <c r="FK31" i="7"/>
  <c r="FK30" i="7"/>
  <c r="FK32" i="7"/>
  <c r="GT235" i="2"/>
  <c r="BJ236" i="2" s="1"/>
  <c r="BJ240" i="2"/>
  <c r="BJ245" i="2" s="1"/>
  <c r="BE255" i="2"/>
  <c r="GO255" i="2"/>
  <c r="BJ244" i="2"/>
  <c r="DM123" i="9"/>
  <c r="DM124" i="9"/>
  <c r="GP251" i="2"/>
  <c r="GQ247" i="2" s="1"/>
  <c r="GY220" i="2" l="1"/>
  <c r="GY222" i="2" s="1"/>
  <c r="GY219" i="2"/>
  <c r="GY226" i="2"/>
  <c r="GN262" i="2"/>
  <c r="GN261" i="2"/>
  <c r="HA216" i="2"/>
  <c r="HA207" i="2"/>
  <c r="HA203" i="2"/>
  <c r="GS239" i="2"/>
  <c r="GS241" i="2" s="1"/>
  <c r="HT88" i="2"/>
  <c r="CJ61" i="2" s="1"/>
  <c r="CJ62" i="2" s="1"/>
  <c r="HT66" i="2"/>
  <c r="GP254" i="2"/>
  <c r="FU28" i="7"/>
  <c r="HC196" i="2"/>
  <c r="BS229" i="2"/>
  <c r="BS228" i="2"/>
  <c r="BN94" i="3"/>
  <c r="GA27" i="7"/>
  <c r="FU27" i="7"/>
  <c r="FU29" i="7"/>
  <c r="BJ241" i="2"/>
  <c r="FL31" i="7"/>
  <c r="FL32" i="7"/>
  <c r="FL30" i="7"/>
  <c r="BC256" i="2"/>
  <c r="GM264" i="2"/>
  <c r="GN260" i="2"/>
  <c r="GO256" i="2" s="1"/>
  <c r="BL235" i="2"/>
  <c r="GV232" i="2"/>
  <c r="GR245" i="2"/>
  <c r="DM147" i="9"/>
  <c r="DB203" i="9"/>
  <c r="GU234" i="2"/>
  <c r="BK239" i="2" s="1"/>
  <c r="GU233" i="2"/>
  <c r="GW230" i="2"/>
  <c r="GW229" i="2"/>
  <c r="GX225" i="2"/>
  <c r="GX227" i="2" s="1"/>
  <c r="GT236" i="2"/>
  <c r="BJ246" i="2"/>
  <c r="HU70" i="2"/>
  <c r="HA202" i="2"/>
  <c r="HB198" i="2" s="1"/>
  <c r="DM197" i="9"/>
  <c r="DM154" i="9"/>
  <c r="DM196" i="9"/>
  <c r="DM130" i="9"/>
  <c r="DM146" i="9"/>
  <c r="DB132" i="9"/>
  <c r="DB131" i="9"/>
  <c r="HA205" i="2"/>
  <c r="BG254" i="2"/>
  <c r="GQ246" i="2"/>
  <c r="BB265" i="2"/>
  <c r="BR251" i="2"/>
  <c r="GQ248" i="2"/>
  <c r="BP233" i="2"/>
  <c r="GZ212" i="2"/>
  <c r="GZ217" i="2" s="1"/>
  <c r="GL267" i="2"/>
  <c r="BB257" i="2" s="1"/>
  <c r="BB261" i="2"/>
  <c r="BB266" i="2" s="1"/>
  <c r="HU73" i="2"/>
  <c r="DM145" i="9"/>
  <c r="DM190" i="9"/>
  <c r="HB240" i="2"/>
  <c r="BT197" i="2"/>
  <c r="HD62" i="2"/>
  <c r="HD58" i="2" s="1"/>
  <c r="HA208" i="2" l="1"/>
  <c r="HB204" i="2" s="1"/>
  <c r="HB205" i="2" s="1"/>
  <c r="GQ250" i="2"/>
  <c r="GQ253" i="2" s="1"/>
  <c r="DM204" i="9"/>
  <c r="GS249" i="2"/>
  <c r="GS244" i="2"/>
  <c r="GS243" i="2"/>
  <c r="HE61" i="2"/>
  <c r="HD60" i="2"/>
  <c r="HD74" i="2"/>
  <c r="GM265" i="2"/>
  <c r="GM266" i="2"/>
  <c r="BC260" i="2" s="1"/>
  <c r="HA211" i="2"/>
  <c r="HA209" i="2"/>
  <c r="HU77" i="2"/>
  <c r="HU86" i="2"/>
  <c r="GX230" i="2"/>
  <c r="GX229" i="2"/>
  <c r="GV234" i="2"/>
  <c r="BL239" i="2" s="1"/>
  <c r="GV233" i="2"/>
  <c r="HC206" i="2"/>
  <c r="BS249" i="2"/>
  <c r="BS230" i="2"/>
  <c r="BS250" i="2"/>
  <c r="HC200" i="2"/>
  <c r="BB267" i="2"/>
  <c r="GZ220" i="2"/>
  <c r="GZ226" i="2"/>
  <c r="GZ219" i="2"/>
  <c r="BB262" i="2"/>
  <c r="BF255" i="2"/>
  <c r="GP255" i="2"/>
  <c r="GZ218" i="2"/>
  <c r="HA214" i="2" s="1"/>
  <c r="BH254" i="2"/>
  <c r="GR246" i="2"/>
  <c r="BO83" i="3"/>
  <c r="BT212" i="2"/>
  <c r="GW231" i="2"/>
  <c r="GX228" i="2"/>
  <c r="GY224" i="2" s="1"/>
  <c r="GU235" i="2"/>
  <c r="BK236" i="2" s="1"/>
  <c r="BK240" i="2"/>
  <c r="BK245" i="2" s="1"/>
  <c r="BO234" i="2"/>
  <c r="GY223" i="2"/>
  <c r="HB199" i="2"/>
  <c r="BK244" i="2"/>
  <c r="GO257" i="2"/>
  <c r="GS242" i="2"/>
  <c r="GT238" i="2" s="1"/>
  <c r="GN263" i="2"/>
  <c r="DM191" i="9"/>
  <c r="DM193" i="9" s="1"/>
  <c r="DM141" i="9" s="1"/>
  <c r="DM144" i="9" s="1"/>
  <c r="HV57" i="2"/>
  <c r="HV70" i="2" s="1"/>
  <c r="GQ251" i="2" l="1"/>
  <c r="GR247" i="2" s="1"/>
  <c r="GR248" i="2" s="1"/>
  <c r="GQ252" i="2"/>
  <c r="GQ258" i="2"/>
  <c r="BK241" i="2"/>
  <c r="DM192" i="9"/>
  <c r="DN189" i="9" s="1"/>
  <c r="GO259" i="2"/>
  <c r="GO260" i="2" s="1"/>
  <c r="GP256" i="2" s="1"/>
  <c r="GP257" i="2" s="1"/>
  <c r="HW57" i="2"/>
  <c r="DM157" i="9"/>
  <c r="DM126" i="9"/>
  <c r="DM103" i="9" s="1"/>
  <c r="GQ254" i="2"/>
  <c r="GZ222" i="2"/>
  <c r="GT239" i="2"/>
  <c r="GY225" i="2"/>
  <c r="GY227" i="2" s="1"/>
  <c r="BQ233" i="2"/>
  <c r="HA212" i="2"/>
  <c r="GU236" i="2"/>
  <c r="BK246" i="2"/>
  <c r="BL244" i="2"/>
  <c r="HB201" i="2"/>
  <c r="BC265" i="2"/>
  <c r="GX231" i="2"/>
  <c r="GM267" i="2"/>
  <c r="BC257" i="2" s="1"/>
  <c r="BC261" i="2"/>
  <c r="BC266" i="2" s="1"/>
  <c r="GS245" i="2"/>
  <c r="BS251" i="2"/>
  <c r="FV28" i="7"/>
  <c r="HD196" i="2"/>
  <c r="BT229" i="2"/>
  <c r="BT228" i="2"/>
  <c r="BO94" i="3"/>
  <c r="FV27" i="7"/>
  <c r="FV29" i="7"/>
  <c r="GB27" i="7"/>
  <c r="HV73" i="2"/>
  <c r="GV235" i="2"/>
  <c r="BL236" i="2" s="1"/>
  <c r="BL240" i="2"/>
  <c r="BL245" i="2" s="1"/>
  <c r="BM235" i="2"/>
  <c r="GW232" i="2"/>
  <c r="HU88" i="2"/>
  <c r="CK61" i="2" s="1"/>
  <c r="CK62" i="2" s="1"/>
  <c r="BU197" i="2"/>
  <c r="HE62" i="2"/>
  <c r="HE58" i="2" s="1"/>
  <c r="HA215" i="2"/>
  <c r="HC240" i="2"/>
  <c r="BD256" i="2"/>
  <c r="GN264" i="2"/>
  <c r="FM31" i="7"/>
  <c r="FM32" i="7"/>
  <c r="FM30" i="7"/>
  <c r="HU87" i="2"/>
  <c r="HU66" i="2" s="1"/>
  <c r="GO262" i="2" l="1"/>
  <c r="GO263" i="2" s="1"/>
  <c r="HA217" i="2"/>
  <c r="HA218" i="2" s="1"/>
  <c r="HB214" i="2" s="1"/>
  <c r="BL241" i="2"/>
  <c r="BC262" i="2"/>
  <c r="DM107" i="9"/>
  <c r="DM148" i="9" s="1"/>
  <c r="GO261" i="2"/>
  <c r="HF61" i="2"/>
  <c r="HE60" i="2"/>
  <c r="HE74" i="2"/>
  <c r="GY230" i="2"/>
  <c r="GY229" i="2"/>
  <c r="HB216" i="2"/>
  <c r="HB207" i="2"/>
  <c r="HB203" i="2"/>
  <c r="GY228" i="2"/>
  <c r="GZ224" i="2" s="1"/>
  <c r="GT241" i="2"/>
  <c r="GT242" i="2" s="1"/>
  <c r="GU238" i="2" s="1"/>
  <c r="HV86" i="2"/>
  <c r="HV87" i="2" s="1"/>
  <c r="HV77" i="2"/>
  <c r="HW73" i="2"/>
  <c r="GV236" i="2"/>
  <c r="BL246" i="2"/>
  <c r="GW234" i="2"/>
  <c r="BM239" i="2" s="1"/>
  <c r="GW233" i="2"/>
  <c r="BI254" i="2"/>
  <c r="GS246" i="2"/>
  <c r="BP234" i="2"/>
  <c r="GZ223" i="2"/>
  <c r="HB202" i="2"/>
  <c r="HC198" i="2" s="1"/>
  <c r="GR250" i="2"/>
  <c r="BU212" i="2"/>
  <c r="BP83" i="3"/>
  <c r="I197" i="2"/>
  <c r="HD206" i="2"/>
  <c r="BT250" i="2"/>
  <c r="BT249" i="2"/>
  <c r="BT230" i="2"/>
  <c r="BN235" i="2"/>
  <c r="GX232" i="2"/>
  <c r="BG255" i="2"/>
  <c r="GQ255" i="2"/>
  <c r="HW70" i="2"/>
  <c r="HD200" i="2"/>
  <c r="DM149" i="9"/>
  <c r="DM128" i="9"/>
  <c r="DM136" i="9" s="1"/>
  <c r="GP259" i="2"/>
  <c r="FN31" i="7"/>
  <c r="FN30" i="7"/>
  <c r="FN32" i="7"/>
  <c r="GN265" i="2"/>
  <c r="GN266" i="2"/>
  <c r="BD260" i="2" s="1"/>
  <c r="BC267" i="2"/>
  <c r="HA220" i="2" l="1"/>
  <c r="HA222" i="2" s="1"/>
  <c r="HA219" i="2"/>
  <c r="HA226" i="2"/>
  <c r="DM151" i="9"/>
  <c r="DM153" i="9" s="1"/>
  <c r="DM110" i="9"/>
  <c r="DM113" i="9" s="1"/>
  <c r="DM205" i="9"/>
  <c r="GU239" i="2"/>
  <c r="GU241" i="2" s="1"/>
  <c r="GN267" i="2"/>
  <c r="BD257" i="2" s="1"/>
  <c r="BD261" i="2"/>
  <c r="BD266" i="2" s="1"/>
  <c r="GZ225" i="2"/>
  <c r="GZ227" i="2" s="1"/>
  <c r="GW235" i="2"/>
  <c r="BM236" i="2" s="1"/>
  <c r="BM240" i="2"/>
  <c r="BM245" i="2" s="1"/>
  <c r="GR253" i="2"/>
  <c r="GR258" i="2"/>
  <c r="GR252" i="2"/>
  <c r="BT251" i="2"/>
  <c r="HB211" i="2"/>
  <c r="HB209" i="2"/>
  <c r="HB208" i="2"/>
  <c r="HC204" i="2" s="1"/>
  <c r="BM244" i="2"/>
  <c r="GT249" i="2"/>
  <c r="GT244" i="2"/>
  <c r="GT243" i="2"/>
  <c r="GX234" i="2"/>
  <c r="BN239" i="2" s="1"/>
  <c r="GX233" i="2"/>
  <c r="GP262" i="2"/>
  <c r="GP261" i="2"/>
  <c r="HC199" i="2"/>
  <c r="HC201" i="2" s="1"/>
  <c r="HD240" i="2"/>
  <c r="BE256" i="2"/>
  <c r="GO264" i="2"/>
  <c r="GY231" i="2"/>
  <c r="GR251" i="2"/>
  <c r="GS247" i="2" s="1"/>
  <c r="DN116" i="9"/>
  <c r="DM135" i="9"/>
  <c r="HW77" i="2"/>
  <c r="HW86" i="2"/>
  <c r="HW87" i="2" s="1"/>
  <c r="GP260" i="2"/>
  <c r="GQ256" i="2" s="1"/>
  <c r="M25" i="6"/>
  <c r="H25" i="6"/>
  <c r="I25" i="6"/>
  <c r="J25" i="6"/>
  <c r="K25" i="6"/>
  <c r="L25" i="6"/>
  <c r="BD265" i="2"/>
  <c r="HX57" i="2"/>
  <c r="HX73" i="2" s="1"/>
  <c r="FW28" i="7"/>
  <c r="HE196" i="2"/>
  <c r="BU229" i="2"/>
  <c r="BU228" i="2"/>
  <c r="BP94" i="3"/>
  <c r="FW29" i="7"/>
  <c r="GC27" i="7"/>
  <c r="FW27" i="7"/>
  <c r="DA49" i="7"/>
  <c r="C98" i="7" s="1"/>
  <c r="DA48" i="7"/>
  <c r="H212" i="2"/>
  <c r="I212" i="2"/>
  <c r="Q26" i="1" s="1"/>
  <c r="DA46" i="7"/>
  <c r="C96" i="7" s="1"/>
  <c r="G212" i="2"/>
  <c r="HV88" i="2"/>
  <c r="CL61" i="2" s="1"/>
  <c r="CL62" i="2" s="1"/>
  <c r="HV66" i="2"/>
  <c r="HB215" i="2"/>
  <c r="HF62" i="2"/>
  <c r="HF58" i="2" s="1"/>
  <c r="DM133" i="9" l="1"/>
  <c r="DM199" i="9"/>
  <c r="DM112" i="9"/>
  <c r="DM155" i="9"/>
  <c r="DN101" i="9"/>
  <c r="DN109" i="9" s="1"/>
  <c r="DM200" i="9"/>
  <c r="DM201" i="9" s="1"/>
  <c r="DM198" i="9"/>
  <c r="DM111" i="9"/>
  <c r="DM134" i="9"/>
  <c r="DM202" i="9"/>
  <c r="BD267" i="2"/>
  <c r="BD262" i="2"/>
  <c r="BM241" i="2"/>
  <c r="HC216" i="2"/>
  <c r="HC207" i="2"/>
  <c r="HC203" i="2"/>
  <c r="GU249" i="2"/>
  <c r="GU244" i="2"/>
  <c r="GU243" i="2"/>
  <c r="HG61" i="2"/>
  <c r="HF60" i="2"/>
  <c r="HF74" i="2"/>
  <c r="GZ230" i="2"/>
  <c r="GZ229" i="2"/>
  <c r="GZ228" i="2"/>
  <c r="HA224" i="2" s="1"/>
  <c r="BO235" i="2"/>
  <c r="GY232" i="2"/>
  <c r="K72" i="6"/>
  <c r="K26" i="6"/>
  <c r="K28" i="6" s="1"/>
  <c r="J72" i="6"/>
  <c r="J26" i="6"/>
  <c r="J28" i="6" s="1"/>
  <c r="GU242" i="2"/>
  <c r="GV238" i="2" s="1"/>
  <c r="GQ257" i="2"/>
  <c r="GQ259" i="2" s="1"/>
  <c r="GP263" i="2"/>
  <c r="HX86" i="2"/>
  <c r="HX87" i="2" s="1"/>
  <c r="HX77" i="2"/>
  <c r="GX235" i="2"/>
  <c r="BN236" i="2" s="1"/>
  <c r="BN240" i="2"/>
  <c r="BN245" i="2" s="1"/>
  <c r="DE75" i="7"/>
  <c r="CY75" i="7"/>
  <c r="DB75" i="7"/>
  <c r="I72" i="6"/>
  <c r="I26" i="6"/>
  <c r="I28" i="6" s="1"/>
  <c r="GT245" i="2"/>
  <c r="GO266" i="2"/>
  <c r="BE260" i="2" s="1"/>
  <c r="GO265" i="2"/>
  <c r="H72" i="6"/>
  <c r="H26" i="6"/>
  <c r="H28" i="6" s="1"/>
  <c r="GW236" i="2"/>
  <c r="BM246" i="2"/>
  <c r="GR254" i="2"/>
  <c r="L72" i="6"/>
  <c r="L26" i="6"/>
  <c r="L28" i="6" s="1"/>
  <c r="BN244" i="2"/>
  <c r="M72" i="6"/>
  <c r="M26" i="6"/>
  <c r="M28" i="6" s="1"/>
  <c r="HC202" i="2"/>
  <c r="HD198" i="2" s="1"/>
  <c r="HW88" i="2"/>
  <c r="CM61" i="2" s="1"/>
  <c r="CM62" i="2" s="1"/>
  <c r="HW66" i="2"/>
  <c r="DE77" i="7"/>
  <c r="DB77" i="7"/>
  <c r="CY77" i="7"/>
  <c r="M44" i="3"/>
  <c r="H44" i="3"/>
  <c r="I44" i="3"/>
  <c r="J44" i="3"/>
  <c r="K44" i="3"/>
  <c r="L44" i="3"/>
  <c r="HE206" i="2"/>
  <c r="BU249" i="2"/>
  <c r="BU230" i="2"/>
  <c r="BU250" i="2"/>
  <c r="I228" i="2"/>
  <c r="HE200" i="2"/>
  <c r="I229" i="2"/>
  <c r="D223" i="2" s="1"/>
  <c r="G33" i="1" s="1"/>
  <c r="HC205" i="2"/>
  <c r="FO31" i="7"/>
  <c r="FO30" i="7"/>
  <c r="FO32" i="7"/>
  <c r="DE76" i="7"/>
  <c r="DB76" i="7"/>
  <c r="CY76" i="7"/>
  <c r="BQ234" i="2"/>
  <c r="HA223" i="2"/>
  <c r="DN123" i="9"/>
  <c r="DN124" i="9"/>
  <c r="K15" i="7"/>
  <c r="DA50" i="7"/>
  <c r="C99" i="7" s="1"/>
  <c r="I272" i="2"/>
  <c r="S33" i="1" s="1"/>
  <c r="E272" i="2"/>
  <c r="I281" i="2"/>
  <c r="E281" i="2"/>
  <c r="F247" i="2"/>
  <c r="R26" i="1"/>
  <c r="E5" i="2"/>
  <c r="GS248" i="2"/>
  <c r="GS250" i="2" s="1"/>
  <c r="DA47" i="7"/>
  <c r="C97" i="7" s="1"/>
  <c r="G247" i="2"/>
  <c r="S26" i="1"/>
  <c r="C5" i="2"/>
  <c r="HX70" i="2"/>
  <c r="BR233" i="2"/>
  <c r="HB212" i="2"/>
  <c r="HB217" i="2" s="1"/>
  <c r="HC208" i="2" l="1"/>
  <c r="HD204" i="2" s="1"/>
  <c r="HD205" i="2" s="1"/>
  <c r="DN108" i="9"/>
  <c r="DN145" i="9" s="1"/>
  <c r="BN241" i="2"/>
  <c r="HB220" i="2"/>
  <c r="HB226" i="2"/>
  <c r="HB218" i="2"/>
  <c r="HC214" i="2" s="1"/>
  <c r="HB219" i="2"/>
  <c r="GQ262" i="2"/>
  <c r="GQ261" i="2"/>
  <c r="GQ260" i="2"/>
  <c r="GR256" i="2" s="1"/>
  <c r="GS253" i="2"/>
  <c r="GS258" i="2"/>
  <c r="GS252" i="2"/>
  <c r="BJ254" i="2"/>
  <c r="GT246" i="2"/>
  <c r="GU245" i="2"/>
  <c r="GV239" i="2"/>
  <c r="GV241" i="2" s="1"/>
  <c r="HA225" i="2"/>
  <c r="HG62" i="2"/>
  <c r="HG58" i="2" s="1"/>
  <c r="BU251" i="2"/>
  <c r="I249" i="2"/>
  <c r="BF256" i="2"/>
  <c r="GP264" i="2"/>
  <c r="GS251" i="2"/>
  <c r="GT247" i="2" s="1"/>
  <c r="DN197" i="9"/>
  <c r="DN196" i="9"/>
  <c r="DN154" i="9"/>
  <c r="DN130" i="9"/>
  <c r="DN146" i="9"/>
  <c r="DC132" i="9"/>
  <c r="DC131" i="9"/>
  <c r="F33" i="1"/>
  <c r="GX236" i="2"/>
  <c r="BN246" i="2"/>
  <c r="FP31" i="7"/>
  <c r="FP32" i="7"/>
  <c r="FP30" i="7"/>
  <c r="BH255" i="2"/>
  <c r="GR255" i="2"/>
  <c r="GY234" i="2"/>
  <c r="BO239" i="2" s="1"/>
  <c r="GY233" i="2"/>
  <c r="DN147" i="9"/>
  <c r="DC203" i="9"/>
  <c r="HY57" i="2"/>
  <c r="I230" i="2"/>
  <c r="D224" i="2"/>
  <c r="G34" i="1" s="1"/>
  <c r="F34" i="1" s="1"/>
  <c r="HE240" i="2"/>
  <c r="I250" i="2"/>
  <c r="HD199" i="2"/>
  <c r="GO267" i="2"/>
  <c r="BE257" i="2" s="1"/>
  <c r="BE261" i="2"/>
  <c r="BE266" i="2" s="1"/>
  <c r="GZ231" i="2"/>
  <c r="HC211" i="2"/>
  <c r="HC209" i="2"/>
  <c r="BE265" i="2"/>
  <c r="HX88" i="2"/>
  <c r="CN61" i="2" s="1"/>
  <c r="CN62" i="2" s="1"/>
  <c r="HX66" i="2"/>
  <c r="DN204" i="9" l="1"/>
  <c r="DN190" i="9"/>
  <c r="DN191" i="9" s="1"/>
  <c r="DN192" i="9" s="1"/>
  <c r="DO189" i="9" s="1"/>
  <c r="HD201" i="2"/>
  <c r="HD202" i="2" s="1"/>
  <c r="HE198" i="2" s="1"/>
  <c r="HE199" i="2" s="1"/>
  <c r="HE201" i="2" s="1"/>
  <c r="GV249" i="2"/>
  <c r="GV244" i="2"/>
  <c r="GV243" i="2"/>
  <c r="HH61" i="2"/>
  <c r="HG60" i="2"/>
  <c r="HG74" i="2"/>
  <c r="HA227" i="2"/>
  <c r="GQ263" i="2"/>
  <c r="GT248" i="2"/>
  <c r="GT250" i="2" s="1"/>
  <c r="GV242" i="2"/>
  <c r="GW238" i="2" s="1"/>
  <c r="BS233" i="2"/>
  <c r="HC212" i="2"/>
  <c r="GP266" i="2"/>
  <c r="BF260" i="2" s="1"/>
  <c r="GP265" i="2"/>
  <c r="BP235" i="2"/>
  <c r="GZ232" i="2"/>
  <c r="HC215" i="2"/>
  <c r="HY73" i="2"/>
  <c r="BK254" i="2"/>
  <c r="GU246" i="2"/>
  <c r="HY70" i="2"/>
  <c r="GY235" i="2"/>
  <c r="BO236" i="2" s="1"/>
  <c r="BO240" i="2"/>
  <c r="BO245" i="2" s="1"/>
  <c r="GR257" i="2"/>
  <c r="G35" i="1"/>
  <c r="BE267" i="2"/>
  <c r="I251" i="2"/>
  <c r="GS254" i="2"/>
  <c r="BO244" i="2"/>
  <c r="BE262" i="2"/>
  <c r="HB222" i="2"/>
  <c r="BO241" i="2" l="1"/>
  <c r="HD207" i="2"/>
  <c r="HD211" i="2" s="1"/>
  <c r="HD203" i="2"/>
  <c r="HD216" i="2"/>
  <c r="HC217" i="2"/>
  <c r="HC218" i="2" s="1"/>
  <c r="HD214" i="2" s="1"/>
  <c r="GT253" i="2"/>
  <c r="GT258" i="2"/>
  <c r="GT252" i="2"/>
  <c r="HE216" i="2"/>
  <c r="HE207" i="2"/>
  <c r="HE203" i="2"/>
  <c r="ET203" i="2" s="1"/>
  <c r="DN193" i="9"/>
  <c r="DN141" i="9" s="1"/>
  <c r="DN144" i="9" s="1"/>
  <c r="HH62" i="2"/>
  <c r="HH58" i="2" s="1"/>
  <c r="HZ57" i="2"/>
  <c r="HZ73" i="2" s="1"/>
  <c r="BI255" i="2"/>
  <c r="GS255" i="2"/>
  <c r="HE202" i="2"/>
  <c r="HF198" i="2" s="1"/>
  <c r="BF265" i="2"/>
  <c r="GT251" i="2"/>
  <c r="GU247" i="2" s="1"/>
  <c r="GP267" i="2"/>
  <c r="BF257" i="2" s="1"/>
  <c r="BF261" i="2"/>
  <c r="BF266" i="2" s="1"/>
  <c r="BR234" i="2"/>
  <c r="HB223" i="2"/>
  <c r="GR259" i="2"/>
  <c r="GW239" i="2"/>
  <c r="BG256" i="2"/>
  <c r="GQ264" i="2"/>
  <c r="GV245" i="2"/>
  <c r="HA230" i="2"/>
  <c r="HA229" i="2"/>
  <c r="F35" i="1"/>
  <c r="E33" i="1"/>
  <c r="E35" i="1"/>
  <c r="E34" i="1"/>
  <c r="E32" i="1"/>
  <c r="GZ233" i="2"/>
  <c r="GZ234" i="2"/>
  <c r="BP239" i="2" s="1"/>
  <c r="GY236" i="2"/>
  <c r="BO246" i="2"/>
  <c r="FQ31" i="7"/>
  <c r="FQ30" i="7"/>
  <c r="FQ32" i="7"/>
  <c r="HY86" i="2"/>
  <c r="HY87" i="2" s="1"/>
  <c r="HY77" i="2"/>
  <c r="HA228" i="2"/>
  <c r="HB224" i="2" s="1"/>
  <c r="HD208" i="2" l="1"/>
  <c r="HE204" i="2" s="1"/>
  <c r="HE205" i="2" s="1"/>
  <c r="HE208" i="2" s="1"/>
  <c r="HF204" i="2" s="1"/>
  <c r="HD209" i="2"/>
  <c r="HC219" i="2"/>
  <c r="HC226" i="2"/>
  <c r="HC220" i="2"/>
  <c r="HC222" i="2" s="1"/>
  <c r="BF262" i="2"/>
  <c r="HZ86" i="2"/>
  <c r="HZ77" i="2"/>
  <c r="HI61" i="2"/>
  <c r="HH60" i="2"/>
  <c r="HH74" i="2"/>
  <c r="HE211" i="2"/>
  <c r="HE209" i="2"/>
  <c r="GW241" i="2"/>
  <c r="GW242" i="2" s="1"/>
  <c r="GX238" i="2" s="1"/>
  <c r="HD215" i="2"/>
  <c r="HZ70" i="2"/>
  <c r="BP244" i="2"/>
  <c r="HF199" i="2"/>
  <c r="HF201" i="2" s="1"/>
  <c r="DN157" i="9"/>
  <c r="DN126" i="9"/>
  <c r="DN107" i="9" s="1"/>
  <c r="GR262" i="2"/>
  <c r="GR261" i="2"/>
  <c r="HB225" i="2"/>
  <c r="HB227" i="2" s="1"/>
  <c r="BT233" i="2"/>
  <c r="HD212" i="2"/>
  <c r="HY88" i="2"/>
  <c r="CO61" i="2" s="1"/>
  <c r="CO62" i="2" s="1"/>
  <c r="HY66" i="2"/>
  <c r="BL254" i="2"/>
  <c r="GV246" i="2"/>
  <c r="GU248" i="2"/>
  <c r="GU250" i="2" s="1"/>
  <c r="GR260" i="2"/>
  <c r="GS256" i="2" s="1"/>
  <c r="HA231" i="2"/>
  <c r="GZ235" i="2"/>
  <c r="BP236" i="2" s="1"/>
  <c r="BP240" i="2"/>
  <c r="BP245" i="2" s="1"/>
  <c r="GQ266" i="2"/>
  <c r="BG260" i="2" s="1"/>
  <c r="GQ265" i="2"/>
  <c r="BF267" i="2"/>
  <c r="GT254" i="2"/>
  <c r="ET209" i="2" l="1"/>
  <c r="HD217" i="2"/>
  <c r="HD218" i="2" s="1"/>
  <c r="HE214" i="2" s="1"/>
  <c r="GU251" i="2"/>
  <c r="GV247" i="2" s="1"/>
  <c r="GV248" i="2" s="1"/>
  <c r="GV250" i="2" s="1"/>
  <c r="HF202" i="2"/>
  <c r="HG198" i="2" s="1"/>
  <c r="HG199" i="2" s="1"/>
  <c r="BP241" i="2"/>
  <c r="HF205" i="2"/>
  <c r="DN148" i="9"/>
  <c r="DN110" i="9"/>
  <c r="DN113" i="9" s="1"/>
  <c r="GZ236" i="2"/>
  <c r="BP246" i="2"/>
  <c r="GU253" i="2"/>
  <c r="GU258" i="2"/>
  <c r="GU252" i="2"/>
  <c r="HI62" i="2"/>
  <c r="HI58" i="2" s="1"/>
  <c r="DN149" i="9"/>
  <c r="DN151" i="9" s="1"/>
  <c r="DN128" i="9"/>
  <c r="BU233" i="2"/>
  <c r="HE212" i="2"/>
  <c r="IA57" i="2"/>
  <c r="IA70" i="2" s="1"/>
  <c r="GX239" i="2"/>
  <c r="GX241" i="2" s="1"/>
  <c r="GQ267" i="2"/>
  <c r="BG257" i="2" s="1"/>
  <c r="BG261" i="2"/>
  <c r="BG266" i="2" s="1"/>
  <c r="GS257" i="2"/>
  <c r="GS259" i="2" s="1"/>
  <c r="GS260" i="2" s="1"/>
  <c r="GT256" i="2" s="1"/>
  <c r="HF216" i="2"/>
  <c r="HF207" i="2"/>
  <c r="HF203" i="2"/>
  <c r="HZ88" i="2"/>
  <c r="CP61" i="2" s="1"/>
  <c r="CP62" i="2" s="1"/>
  <c r="DN103" i="9"/>
  <c r="BG265" i="2"/>
  <c r="GR263" i="2"/>
  <c r="FR31" i="7"/>
  <c r="FR30" i="7"/>
  <c r="FX30" i="7"/>
  <c r="FR32" i="7"/>
  <c r="HZ87" i="2"/>
  <c r="HZ66" i="2" s="1"/>
  <c r="BQ235" i="2"/>
  <c r="HA232" i="2"/>
  <c r="HB230" i="2"/>
  <c r="HB229" i="2"/>
  <c r="HB228" i="2"/>
  <c r="HC224" i="2" s="1"/>
  <c r="BJ255" i="2"/>
  <c r="GT255" i="2"/>
  <c r="BS234" i="2"/>
  <c r="HC223" i="2"/>
  <c r="GW249" i="2"/>
  <c r="GW244" i="2"/>
  <c r="GW243" i="2"/>
  <c r="HD219" i="2" l="1"/>
  <c r="HD226" i="2"/>
  <c r="HD220" i="2"/>
  <c r="HD222" i="2" s="1"/>
  <c r="BG262" i="2"/>
  <c r="GX242" i="2"/>
  <c r="GY238" i="2" s="1"/>
  <c r="GY239" i="2" s="1"/>
  <c r="IB57" i="2"/>
  <c r="GV253" i="2"/>
  <c r="GV258" i="2"/>
  <c r="GV252" i="2"/>
  <c r="DN200" i="9"/>
  <c r="DN201" i="9" s="1"/>
  <c r="DN153" i="9"/>
  <c r="HJ61" i="2"/>
  <c r="HI60" i="2"/>
  <c r="HI74" i="2"/>
  <c r="HC225" i="2"/>
  <c r="HC227" i="2" s="1"/>
  <c r="HC228" i="2" s="1"/>
  <c r="HD224" i="2" s="1"/>
  <c r="DO101" i="9"/>
  <c r="DN112" i="9"/>
  <c r="DN111" i="9"/>
  <c r="DN198" i="9"/>
  <c r="DN134" i="9"/>
  <c r="DN199" i="9"/>
  <c r="DN202" i="9"/>
  <c r="DN133" i="9"/>
  <c r="DO116" i="9"/>
  <c r="DN135" i="9"/>
  <c r="DN205" i="9"/>
  <c r="HF211" i="2"/>
  <c r="HF209" i="2"/>
  <c r="GT257" i="2"/>
  <c r="GT259" i="2" s="1"/>
  <c r="BG267" i="2"/>
  <c r="DN136" i="9"/>
  <c r="HG201" i="2"/>
  <c r="HG202" i="2" s="1"/>
  <c r="HH198" i="2" s="1"/>
  <c r="HB231" i="2"/>
  <c r="HE215" i="2"/>
  <c r="BH256" i="2"/>
  <c r="GR264" i="2"/>
  <c r="HA233" i="2"/>
  <c r="HA234" i="2"/>
  <c r="BQ239" i="2" s="1"/>
  <c r="GV251" i="2"/>
  <c r="GW247" i="2" s="1"/>
  <c r="IA73" i="2"/>
  <c r="GU254" i="2"/>
  <c r="GS262" i="2"/>
  <c r="GS261" i="2"/>
  <c r="GW245" i="2"/>
  <c r="GX249" i="2"/>
  <c r="GX244" i="2"/>
  <c r="GX243" i="2"/>
  <c r="HF208" i="2"/>
  <c r="HG204" i="2" s="1"/>
  <c r="GT260" i="2" l="1"/>
  <c r="GU256" i="2" s="1"/>
  <c r="GU257" i="2" s="1"/>
  <c r="GY241" i="2"/>
  <c r="GY244" i="2" s="1"/>
  <c r="HH199" i="2"/>
  <c r="HH201" i="2" s="1"/>
  <c r="HD225" i="2"/>
  <c r="GS263" i="2"/>
  <c r="DO108" i="9"/>
  <c r="DO109" i="9"/>
  <c r="GT262" i="2"/>
  <c r="GT261" i="2"/>
  <c r="HE217" i="2"/>
  <c r="HE218" i="2" s="1"/>
  <c r="HF214" i="2" s="1"/>
  <c r="GV254" i="2"/>
  <c r="HG205" i="2"/>
  <c r="IA77" i="2"/>
  <c r="IA86" i="2"/>
  <c r="IB73" i="2"/>
  <c r="BR235" i="2"/>
  <c r="HB232" i="2"/>
  <c r="GW248" i="2"/>
  <c r="GX245" i="2"/>
  <c r="IB70" i="2"/>
  <c r="HF212" i="2"/>
  <c r="BQ244" i="2"/>
  <c r="BT234" i="2"/>
  <c r="HD223" i="2"/>
  <c r="HA235" i="2"/>
  <c r="BQ236" i="2" s="1"/>
  <c r="BQ240" i="2"/>
  <c r="BQ245" i="2" s="1"/>
  <c r="DO123" i="9"/>
  <c r="DO124" i="9"/>
  <c r="BK255" i="2"/>
  <c r="GU255" i="2"/>
  <c r="HC230" i="2"/>
  <c r="HC229" i="2"/>
  <c r="GR266" i="2"/>
  <c r="BH260" i="2" s="1"/>
  <c r="GR265" i="2"/>
  <c r="HG216" i="2"/>
  <c r="HG207" i="2"/>
  <c r="HG203" i="2"/>
  <c r="BM254" i="2"/>
  <c r="GW246" i="2"/>
  <c r="HJ62" i="2"/>
  <c r="HJ58" i="2" s="1"/>
  <c r="DN155" i="9"/>
  <c r="GY243" i="2" l="1"/>
  <c r="GY249" i="2"/>
  <c r="GW250" i="2"/>
  <c r="GW258" i="2" s="1"/>
  <c r="HD227" i="2"/>
  <c r="HD229" i="2" s="1"/>
  <c r="BQ241" i="2"/>
  <c r="GY242" i="2"/>
  <c r="GZ238" i="2" s="1"/>
  <c r="GZ239" i="2" s="1"/>
  <c r="HH202" i="2"/>
  <c r="HI198" i="2" s="1"/>
  <c r="HI199" i="2" s="1"/>
  <c r="HI201" i="2" s="1"/>
  <c r="GU259" i="2"/>
  <c r="GU260" i="2" s="1"/>
  <c r="GV256" i="2" s="1"/>
  <c r="HK61" i="2"/>
  <c r="HJ60" i="2"/>
  <c r="HJ74" i="2"/>
  <c r="HA236" i="2"/>
  <c r="BQ246" i="2"/>
  <c r="HB233" i="2"/>
  <c r="HB234" i="2"/>
  <c r="BR239" i="2" s="1"/>
  <c r="GY245" i="2"/>
  <c r="GR267" i="2"/>
  <c r="BH257" i="2" s="1"/>
  <c r="BH261" i="2"/>
  <c r="BH266" i="2" s="1"/>
  <c r="IB86" i="2"/>
  <c r="IB87" i="2" s="1"/>
  <c r="IB77" i="2"/>
  <c r="BH265" i="2"/>
  <c r="IA88" i="2"/>
  <c r="CQ61" i="2" s="1"/>
  <c r="CQ62" i="2" s="1"/>
  <c r="DO197" i="9"/>
  <c r="DO196" i="9"/>
  <c r="DO154" i="9"/>
  <c r="DO130" i="9"/>
  <c r="DO146" i="9"/>
  <c r="DD131" i="9"/>
  <c r="DD132" i="9"/>
  <c r="IC57" i="2"/>
  <c r="IC73" i="2" s="1"/>
  <c r="IA87" i="2"/>
  <c r="IA66" i="2" s="1"/>
  <c r="DO145" i="9"/>
  <c r="DO190" i="9"/>
  <c r="HG211" i="2"/>
  <c r="HG209" i="2"/>
  <c r="DO147" i="9"/>
  <c r="DD203" i="9"/>
  <c r="HC231" i="2"/>
  <c r="HG208" i="2"/>
  <c r="HH204" i="2" s="1"/>
  <c r="HF215" i="2"/>
  <c r="HH216" i="2"/>
  <c r="HH207" i="2"/>
  <c r="HH203" i="2"/>
  <c r="GT263" i="2"/>
  <c r="FS31" i="7"/>
  <c r="FS30" i="7"/>
  <c r="FY30" i="7"/>
  <c r="FS32" i="7"/>
  <c r="BL255" i="2"/>
  <c r="GV255" i="2"/>
  <c r="BI256" i="2"/>
  <c r="GS264" i="2"/>
  <c r="BN254" i="2"/>
  <c r="GX246" i="2"/>
  <c r="HE220" i="2"/>
  <c r="HE226" i="2"/>
  <c r="HE219" i="2"/>
  <c r="ET219" i="2" s="1"/>
  <c r="GW251" i="2" l="1"/>
  <c r="GX247" i="2" s="1"/>
  <c r="GX248" i="2" s="1"/>
  <c r="GX250" i="2" s="1"/>
  <c r="GW253" i="2"/>
  <c r="GW254" i="2" s="1"/>
  <c r="HD230" i="2"/>
  <c r="HD231" i="2" s="1"/>
  <c r="GW252" i="2"/>
  <c r="HD228" i="2"/>
  <c r="HE224" i="2" s="1"/>
  <c r="HE225" i="2" s="1"/>
  <c r="GU261" i="2"/>
  <c r="GZ241" i="2"/>
  <c r="GZ242" i="2" s="1"/>
  <c r="HA238" i="2" s="1"/>
  <c r="HA239" i="2" s="1"/>
  <c r="HA241" i="2" s="1"/>
  <c r="GU262" i="2"/>
  <c r="GU263" i="2" s="1"/>
  <c r="HI216" i="2"/>
  <c r="HI207" i="2"/>
  <c r="HI203" i="2"/>
  <c r="HI202" i="2"/>
  <c r="HJ198" i="2" s="1"/>
  <c r="IC86" i="2"/>
  <c r="IC87" i="2" s="1"/>
  <c r="IC77" i="2"/>
  <c r="GV257" i="2"/>
  <c r="BJ256" i="2"/>
  <c r="GT264" i="2"/>
  <c r="BS235" i="2"/>
  <c r="HC232" i="2"/>
  <c r="DO191" i="9"/>
  <c r="DO193" i="9" s="1"/>
  <c r="DO141" i="9" s="1"/>
  <c r="DO144" i="9" s="1"/>
  <c r="IB88" i="2"/>
  <c r="CR61" i="2" s="1"/>
  <c r="CR62" i="2" s="1"/>
  <c r="IB66" i="2"/>
  <c r="HF217" i="2"/>
  <c r="DO204" i="9"/>
  <c r="BO254" i="2"/>
  <c r="GY246" i="2"/>
  <c r="BR244" i="2"/>
  <c r="GS265" i="2"/>
  <c r="GS266" i="2"/>
  <c r="BI260" i="2" s="1"/>
  <c r="HG212" i="2"/>
  <c r="BH267" i="2"/>
  <c r="HB235" i="2"/>
  <c r="BR236" i="2" s="1"/>
  <c r="BR240" i="2"/>
  <c r="BR245" i="2" s="1"/>
  <c r="HE222" i="2"/>
  <c r="HH205" i="2"/>
  <c r="HH208" i="2" s="1"/>
  <c r="HI204" i="2" s="1"/>
  <c r="IC70" i="2"/>
  <c r="BH262" i="2"/>
  <c r="HH211" i="2"/>
  <c r="HH209" i="2"/>
  <c r="HK62" i="2"/>
  <c r="HK58" i="2" s="1"/>
  <c r="BR241" i="2" l="1"/>
  <c r="GZ243" i="2"/>
  <c r="GZ244" i="2"/>
  <c r="GZ245" i="2" s="1"/>
  <c r="GZ249" i="2"/>
  <c r="GX253" i="2"/>
  <c r="GX258" i="2"/>
  <c r="GX252" i="2"/>
  <c r="HI205" i="2"/>
  <c r="HI208" i="2" s="1"/>
  <c r="HJ204" i="2" s="1"/>
  <c r="HL61" i="2"/>
  <c r="HK60" i="2"/>
  <c r="HK74" i="2"/>
  <c r="HA249" i="2"/>
  <c r="HA244" i="2"/>
  <c r="HA243" i="2"/>
  <c r="DO157" i="9"/>
  <c r="DO126" i="9"/>
  <c r="DO107" i="9" s="1"/>
  <c r="BK256" i="2"/>
  <c r="GU264" i="2"/>
  <c r="HA242" i="2"/>
  <c r="HB238" i="2" s="1"/>
  <c r="GX251" i="2"/>
  <c r="GY247" i="2" s="1"/>
  <c r="HH212" i="2"/>
  <c r="BU234" i="2"/>
  <c r="HE223" i="2"/>
  <c r="HJ199" i="2"/>
  <c r="HJ201" i="2" s="1"/>
  <c r="GV259" i="2"/>
  <c r="HC233" i="2"/>
  <c r="HC234" i="2"/>
  <c r="BS239" i="2" s="1"/>
  <c r="BI265" i="2"/>
  <c r="HI211" i="2"/>
  <c r="HI209" i="2"/>
  <c r="GS267" i="2"/>
  <c r="BI257" i="2" s="1"/>
  <c r="BI261" i="2"/>
  <c r="BI266" i="2" s="1"/>
  <c r="HB236" i="2"/>
  <c r="BR246" i="2"/>
  <c r="ID57" i="2"/>
  <c r="ID70" i="2" s="1"/>
  <c r="GT265" i="2"/>
  <c r="GT266" i="2"/>
  <c r="BJ260" i="2" s="1"/>
  <c r="BM255" i="2"/>
  <c r="GW255" i="2"/>
  <c r="DO192" i="9"/>
  <c r="DP189" i="9" s="1"/>
  <c r="HF220" i="2"/>
  <c r="HF222" i="2" s="1"/>
  <c r="HF223" i="2" s="1"/>
  <c r="HF226" i="2"/>
  <c r="HF219" i="2"/>
  <c r="BT235" i="2"/>
  <c r="HD232" i="2"/>
  <c r="FT31" i="7"/>
  <c r="FT30" i="7"/>
  <c r="FT32" i="7"/>
  <c r="FZ30" i="7"/>
  <c r="IC88" i="2"/>
  <c r="CS61" i="2" s="1"/>
  <c r="CS62" i="2" s="1"/>
  <c r="IC66" i="2"/>
  <c r="HF218" i="2"/>
  <c r="HG214" i="2" s="1"/>
  <c r="HJ202" i="2" l="1"/>
  <c r="HK198" i="2" s="1"/>
  <c r="HK199" i="2" s="1"/>
  <c r="DO148" i="9"/>
  <c r="DO110" i="9"/>
  <c r="DO113" i="9" s="1"/>
  <c r="HJ205" i="2"/>
  <c r="IE57" i="2"/>
  <c r="HC235" i="2"/>
  <c r="BS236" i="2" s="1"/>
  <c r="BS240" i="2"/>
  <c r="BS245" i="2" s="1"/>
  <c r="HA245" i="2"/>
  <c r="GV262" i="2"/>
  <c r="GV261" i="2"/>
  <c r="HJ216" i="2"/>
  <c r="HJ207" i="2"/>
  <c r="HJ203" i="2"/>
  <c r="HE227" i="2"/>
  <c r="HL62" i="2"/>
  <c r="HL58" i="2" s="1"/>
  <c r="HG215" i="2"/>
  <c r="HG217" i="2" s="1"/>
  <c r="DO103" i="9"/>
  <c r="BP254" i="2"/>
  <c r="GZ246" i="2"/>
  <c r="HI212" i="2"/>
  <c r="BI267" i="2"/>
  <c r="GY248" i="2"/>
  <c r="GV260" i="2"/>
  <c r="GW256" i="2" s="1"/>
  <c r="BJ265" i="2"/>
  <c r="GT267" i="2"/>
  <c r="BJ257" i="2" s="1"/>
  <c r="BJ261" i="2"/>
  <c r="BJ266" i="2" s="1"/>
  <c r="BI262" i="2"/>
  <c r="HB239" i="2"/>
  <c r="DO149" i="9"/>
  <c r="DO151" i="9" s="1"/>
  <c r="DO128" i="9"/>
  <c r="DO136" i="9" s="1"/>
  <c r="HD233" i="2"/>
  <c r="HD234" i="2"/>
  <c r="BT239" i="2" s="1"/>
  <c r="ID73" i="2"/>
  <c r="BS244" i="2"/>
  <c r="GU265" i="2"/>
  <c r="GU266" i="2"/>
  <c r="BK260" i="2" s="1"/>
  <c r="GX254" i="2"/>
  <c r="HJ208" i="2" l="1"/>
  <c r="HK204" i="2" s="1"/>
  <c r="HK205" i="2" s="1"/>
  <c r="GY250" i="2"/>
  <c r="GY251" i="2" s="1"/>
  <c r="GZ247" i="2" s="1"/>
  <c r="GZ248" i="2" s="1"/>
  <c r="GZ250" i="2" s="1"/>
  <c r="BS241" i="2"/>
  <c r="DO200" i="9"/>
  <c r="DO201" i="9" s="1"/>
  <c r="DO205" i="9"/>
  <c r="DO153" i="9"/>
  <c r="DO155" i="9" s="1"/>
  <c r="HG220" i="2"/>
  <c r="HG222" i="2" s="1"/>
  <c r="HG223" i="2" s="1"/>
  <c r="HG226" i="2"/>
  <c r="HG219" i="2"/>
  <c r="HM61" i="2"/>
  <c r="HL60" i="2"/>
  <c r="HL74" i="2"/>
  <c r="BK265" i="2"/>
  <c r="BQ254" i="2"/>
  <c r="HA246" i="2"/>
  <c r="DP101" i="9"/>
  <c r="DO112" i="9"/>
  <c r="DO111" i="9"/>
  <c r="DO133" i="9"/>
  <c r="DO198" i="9"/>
  <c r="DO134" i="9"/>
  <c r="DO199" i="9"/>
  <c r="DO202" i="9"/>
  <c r="FU31" i="7"/>
  <c r="GA30" i="7"/>
  <c r="FU32" i="7"/>
  <c r="FU30" i="7"/>
  <c r="BN255" i="2"/>
  <c r="GX255" i="2"/>
  <c r="GU267" i="2"/>
  <c r="BK257" i="2" s="1"/>
  <c r="BK261" i="2"/>
  <c r="BK266" i="2" s="1"/>
  <c r="ID86" i="2"/>
  <c r="ID87" i="2" s="1"/>
  <c r="ID77" i="2"/>
  <c r="IE73" i="2"/>
  <c r="BJ267" i="2"/>
  <c r="HD235" i="2"/>
  <c r="BT236" i="2" s="1"/>
  <c r="BT240" i="2"/>
  <c r="BT245" i="2" s="1"/>
  <c r="HE230" i="2"/>
  <c r="HE228" i="2"/>
  <c r="HF224" i="2" s="1"/>
  <c r="HE229" i="2"/>
  <c r="ET229" i="2" s="1"/>
  <c r="HB241" i="2"/>
  <c r="HB242" i="2" s="1"/>
  <c r="HC238" i="2" s="1"/>
  <c r="GV263" i="2"/>
  <c r="GW257" i="2"/>
  <c r="GW259" i="2" s="1"/>
  <c r="GW260" i="2" s="1"/>
  <c r="GX256" i="2" s="1"/>
  <c r="HC236" i="2"/>
  <c r="BS246" i="2"/>
  <c r="HG218" i="2"/>
  <c r="HH214" i="2" s="1"/>
  <c r="BJ262" i="2"/>
  <c r="IE70" i="2"/>
  <c r="HK201" i="2"/>
  <c r="HK202" i="2" s="1"/>
  <c r="HL198" i="2" s="1"/>
  <c r="BT244" i="2"/>
  <c r="DP116" i="9"/>
  <c r="DO135" i="9"/>
  <c r="HJ211" i="2"/>
  <c r="HJ209" i="2"/>
  <c r="GY252" i="2" l="1"/>
  <c r="GY258" i="2"/>
  <c r="GY253" i="2"/>
  <c r="GY254" i="2" s="1"/>
  <c r="BT241" i="2"/>
  <c r="GZ253" i="2"/>
  <c r="GZ258" i="2"/>
  <c r="GZ252" i="2"/>
  <c r="GZ251" i="2"/>
  <c r="HA247" i="2" s="1"/>
  <c r="GX257" i="2"/>
  <c r="HC239" i="2"/>
  <c r="HC241" i="2" s="1"/>
  <c r="HF225" i="2"/>
  <c r="HF227" i="2" s="1"/>
  <c r="DP123" i="9"/>
  <c r="DP124" i="9"/>
  <c r="FV31" i="7"/>
  <c r="GB30" i="7"/>
  <c r="FV32" i="7"/>
  <c r="FV30" i="7"/>
  <c r="HM62" i="2"/>
  <c r="HM58" i="2" s="1"/>
  <c r="HL199" i="2"/>
  <c r="HK216" i="2"/>
  <c r="HK207" i="2"/>
  <c r="HK203" i="2"/>
  <c r="IF57" i="2"/>
  <c r="IF73" i="2" s="1"/>
  <c r="IE86" i="2"/>
  <c r="IE87" i="2" s="1"/>
  <c r="IE77" i="2"/>
  <c r="BK267" i="2"/>
  <c r="GW262" i="2"/>
  <c r="GW261" i="2"/>
  <c r="BK262" i="2"/>
  <c r="HJ212" i="2"/>
  <c r="HH215" i="2"/>
  <c r="HH217" i="2" s="1"/>
  <c r="HH218" i="2" s="1"/>
  <c r="HI214" i="2" s="1"/>
  <c r="BL256" i="2"/>
  <c r="GV264" i="2"/>
  <c r="HE231" i="2"/>
  <c r="HD236" i="2"/>
  <c r="BT246" i="2"/>
  <c r="HB249" i="2"/>
  <c r="HB244" i="2"/>
  <c r="HB243" i="2"/>
  <c r="ID88" i="2"/>
  <c r="CT61" i="2" s="1"/>
  <c r="CT62" i="2" s="1"/>
  <c r="ID66" i="2"/>
  <c r="DP108" i="9"/>
  <c r="DP109" i="9"/>
  <c r="IF70" i="2" l="1"/>
  <c r="IG57" i="2" s="1"/>
  <c r="IG73" i="2" s="1"/>
  <c r="HF230" i="2"/>
  <c r="HF231" i="2" s="1"/>
  <c r="HF232" i="2" s="1"/>
  <c r="HF229" i="2"/>
  <c r="HI215" i="2"/>
  <c r="HI217" i="2" s="1"/>
  <c r="HN61" i="2"/>
  <c r="HM60" i="2"/>
  <c r="HM74" i="2"/>
  <c r="HC249" i="2"/>
  <c r="HC244" i="2"/>
  <c r="HC243" i="2"/>
  <c r="HK211" i="2"/>
  <c r="HK209" i="2"/>
  <c r="HK208" i="2"/>
  <c r="HL204" i="2" s="1"/>
  <c r="HL201" i="2"/>
  <c r="DP147" i="9"/>
  <c r="DE203" i="9"/>
  <c r="DP196" i="9"/>
  <c r="DP197" i="9"/>
  <c r="DP154" i="9"/>
  <c r="DP130" i="9"/>
  <c r="DP146" i="9"/>
  <c r="DE131" i="9"/>
  <c r="DE132" i="9"/>
  <c r="GX259" i="2"/>
  <c r="GX260" i="2" s="1"/>
  <c r="GY256" i="2" s="1"/>
  <c r="BU235" i="2"/>
  <c r="HE232" i="2"/>
  <c r="HC242" i="2"/>
  <c r="HD238" i="2" s="1"/>
  <c r="BO255" i="2"/>
  <c r="GY255" i="2"/>
  <c r="HA248" i="2"/>
  <c r="HH220" i="2"/>
  <c r="HH222" i="2" s="1"/>
  <c r="HH223" i="2" s="1"/>
  <c r="HH226" i="2"/>
  <c r="HH219" i="2"/>
  <c r="HF228" i="2"/>
  <c r="HG224" i="2" s="1"/>
  <c r="DP145" i="9"/>
  <c r="DP190" i="9"/>
  <c r="GV265" i="2"/>
  <c r="GV266" i="2"/>
  <c r="BL260" i="2" s="1"/>
  <c r="IF86" i="2"/>
  <c r="IF77" i="2"/>
  <c r="HB245" i="2"/>
  <c r="IE88" i="2"/>
  <c r="CU61" i="2" s="1"/>
  <c r="CU62" i="2" s="1"/>
  <c r="IE66" i="2"/>
  <c r="GW263" i="2"/>
  <c r="GZ254" i="2"/>
  <c r="IG70" i="2" l="1"/>
  <c r="IH57" i="2" s="1"/>
  <c r="IH73" i="2" s="1"/>
  <c r="DP204" i="9"/>
  <c r="DP191" i="9"/>
  <c r="DP193" i="9" s="1"/>
  <c r="DP141" i="9" s="1"/>
  <c r="DP144" i="9" s="1"/>
  <c r="GV267" i="2"/>
  <c r="BL257" i="2" s="1"/>
  <c r="BL261" i="2"/>
  <c r="BL266" i="2" s="1"/>
  <c r="HN62" i="2"/>
  <c r="HN58" i="2" s="1"/>
  <c r="IF88" i="2"/>
  <c r="CV61" i="2" s="1"/>
  <c r="CV62" i="2" s="1"/>
  <c r="HL216" i="2"/>
  <c r="HL207" i="2"/>
  <c r="HL203" i="2"/>
  <c r="GY257" i="2"/>
  <c r="GY259" i="2" s="1"/>
  <c r="HG225" i="2"/>
  <c r="HL205" i="2"/>
  <c r="HI220" i="2"/>
  <c r="HI222" i="2" s="1"/>
  <c r="HI223" i="2" s="1"/>
  <c r="HI226" i="2"/>
  <c r="HI219" i="2"/>
  <c r="HD239" i="2"/>
  <c r="HE233" i="2"/>
  <c r="HE234" i="2"/>
  <c r="BU239" i="2" s="1"/>
  <c r="BP255" i="2"/>
  <c r="GZ255" i="2"/>
  <c r="GX262" i="2"/>
  <c r="GX261" i="2"/>
  <c r="HI218" i="2"/>
  <c r="HJ214" i="2" s="1"/>
  <c r="BR254" i="2"/>
  <c r="HB246" i="2"/>
  <c r="HK212" i="2"/>
  <c r="BL265" i="2"/>
  <c r="IG86" i="2"/>
  <c r="IG87" i="2" s="1"/>
  <c r="IG77" i="2"/>
  <c r="BM256" i="2"/>
  <c r="GW264" i="2"/>
  <c r="HA250" i="2"/>
  <c r="HF234" i="2"/>
  <c r="HF233" i="2"/>
  <c r="IF87" i="2"/>
  <c r="IF66" i="2" s="1"/>
  <c r="HC245" i="2"/>
  <c r="HL202" i="2"/>
  <c r="HM198" i="2" s="1"/>
  <c r="BL262" i="2" l="1"/>
  <c r="HL208" i="2"/>
  <c r="HM204" i="2" s="1"/>
  <c r="HM205" i="2" s="1"/>
  <c r="GY262" i="2"/>
  <c r="GY261" i="2"/>
  <c r="GY260" i="2"/>
  <c r="GZ256" i="2" s="1"/>
  <c r="HO61" i="2"/>
  <c r="HN60" i="2"/>
  <c r="HN74" i="2"/>
  <c r="DP157" i="9"/>
  <c r="DP126" i="9"/>
  <c r="DP103" i="9" s="1"/>
  <c r="HA253" i="2"/>
  <c r="HA258" i="2"/>
  <c r="HA252" i="2"/>
  <c r="HE235" i="2"/>
  <c r="BU236" i="2" s="1"/>
  <c r="BU240" i="2"/>
  <c r="BU241" i="2" s="1"/>
  <c r="HG227" i="2"/>
  <c r="HG228" i="2" s="1"/>
  <c r="HH224" i="2" s="1"/>
  <c r="IH86" i="2"/>
  <c r="IH87" i="2" s="1"/>
  <c r="IH77" i="2"/>
  <c r="HD241" i="2"/>
  <c r="HD242" i="2" s="1"/>
  <c r="HE238" i="2" s="1"/>
  <c r="I239" i="2"/>
  <c r="BU244" i="2"/>
  <c r="GW265" i="2"/>
  <c r="GW266" i="2"/>
  <c r="BM260" i="2" s="1"/>
  <c r="HM199" i="2"/>
  <c r="HM201" i="2" s="1"/>
  <c r="DP192" i="9"/>
  <c r="DQ189" i="9" s="1"/>
  <c r="GX263" i="2"/>
  <c r="HJ215" i="2"/>
  <c r="HJ217" i="2" s="1"/>
  <c r="IG88" i="2"/>
  <c r="CW61" i="2" s="1"/>
  <c r="CW62" i="2" s="1"/>
  <c r="IG66" i="2"/>
  <c r="BS254" i="2"/>
  <c r="HC246" i="2"/>
  <c r="IH70" i="2"/>
  <c r="HF235" i="2"/>
  <c r="BL267" i="2"/>
  <c r="HL211" i="2"/>
  <c r="HL209" i="2"/>
  <c r="HA251" i="2"/>
  <c r="HB247" i="2" s="1"/>
  <c r="HE239" i="2" l="1"/>
  <c r="HJ220" i="2"/>
  <c r="HJ222" i="2" s="1"/>
  <c r="HJ223" i="2" s="1"/>
  <c r="HJ226" i="2"/>
  <c r="HJ219" i="2"/>
  <c r="HH225" i="2"/>
  <c r="HH227" i="2" s="1"/>
  <c r="HM216" i="2"/>
  <c r="HM207" i="2"/>
  <c r="HM203" i="2"/>
  <c r="HM202" i="2"/>
  <c r="HN198" i="2" s="1"/>
  <c r="F244" i="2"/>
  <c r="H224" i="2" s="1"/>
  <c r="R22" i="1" s="1"/>
  <c r="HL212" i="2"/>
  <c r="II57" i="2"/>
  <c r="II70" i="2" s="1"/>
  <c r="BN256" i="2"/>
  <c r="GX264" i="2"/>
  <c r="HO62" i="2"/>
  <c r="HO58" i="2" s="1"/>
  <c r="HO74" i="2" s="1"/>
  <c r="HJ218" i="2"/>
  <c r="HK214" i="2" s="1"/>
  <c r="IH88" i="2"/>
  <c r="CX61" i="2" s="1"/>
  <c r="CX62" i="2" s="1"/>
  <c r="IH66" i="2"/>
  <c r="HA254" i="2"/>
  <c r="HE236" i="2"/>
  <c r="G244" i="2"/>
  <c r="I224" i="2" s="1"/>
  <c r="S22" i="1" s="1"/>
  <c r="I244" i="2"/>
  <c r="DP149" i="9"/>
  <c r="DP128" i="9"/>
  <c r="DP136" i="9" s="1"/>
  <c r="HG230" i="2"/>
  <c r="HG231" i="2" s="1"/>
  <c r="HG232" i="2" s="1"/>
  <c r="HG229" i="2"/>
  <c r="DP107" i="9"/>
  <c r="GZ257" i="2"/>
  <c r="GZ259" i="2" s="1"/>
  <c r="HD249" i="2"/>
  <c r="HD244" i="2"/>
  <c r="HD243" i="2"/>
  <c r="I240" i="2"/>
  <c r="I241" i="2" s="1"/>
  <c r="BU245" i="2"/>
  <c r="BU246" i="2" s="1"/>
  <c r="BM265" i="2"/>
  <c r="HB248" i="2"/>
  <c r="HB250" i="2" s="1"/>
  <c r="GW267" i="2"/>
  <c r="BM257" i="2" s="1"/>
  <c r="BM261" i="2"/>
  <c r="BM266" i="2" s="1"/>
  <c r="GY263" i="2"/>
  <c r="HH228" i="2" l="1"/>
  <c r="HI224" i="2" s="1"/>
  <c r="HI225" i="2" s="1"/>
  <c r="HI227" i="2" s="1"/>
  <c r="HE241" i="2"/>
  <c r="HE249" i="2" s="1"/>
  <c r="GZ262" i="2"/>
  <c r="GZ261" i="2"/>
  <c r="H239" i="2"/>
  <c r="H240" i="2"/>
  <c r="H241" i="2"/>
  <c r="IJ57" i="2"/>
  <c r="GX265" i="2"/>
  <c r="GX266" i="2"/>
  <c r="BN260" i="2" s="1"/>
  <c r="E224" i="2"/>
  <c r="G224" i="2" s="1"/>
  <c r="Q22" i="1" s="1"/>
  <c r="G246" i="2"/>
  <c r="F246" i="2"/>
  <c r="GZ260" i="2"/>
  <c r="HA256" i="2" s="1"/>
  <c r="HB253" i="2"/>
  <c r="HB258" i="2"/>
  <c r="HB252" i="2"/>
  <c r="DP148" i="9"/>
  <c r="DP205" i="9" s="1"/>
  <c r="DP110" i="9"/>
  <c r="DP113" i="9" s="1"/>
  <c r="DP151" i="9"/>
  <c r="DP153" i="9" s="1"/>
  <c r="HH230" i="2"/>
  <c r="HH231" i="2" s="1"/>
  <c r="HH232" i="2" s="1"/>
  <c r="HH229" i="2"/>
  <c r="BM262" i="2"/>
  <c r="BQ255" i="2"/>
  <c r="HA255" i="2"/>
  <c r="HB251" i="2"/>
  <c r="HC247" i="2" s="1"/>
  <c r="HG234" i="2"/>
  <c r="HG233" i="2"/>
  <c r="HM211" i="2"/>
  <c r="HM209" i="2"/>
  <c r="HM208" i="2"/>
  <c r="HN204" i="2" s="1"/>
  <c r="II73" i="2"/>
  <c r="BM267" i="2"/>
  <c r="FW31" i="7"/>
  <c r="FW32" i="7"/>
  <c r="GC30" i="7"/>
  <c r="FW30" i="7"/>
  <c r="I245" i="2"/>
  <c r="E223" i="2" s="1"/>
  <c r="G223" i="2" s="1"/>
  <c r="Q21" i="1" s="1"/>
  <c r="G245" i="2"/>
  <c r="I223" i="2" s="1"/>
  <c r="S21" i="1" s="1"/>
  <c r="F245" i="2"/>
  <c r="H223" i="2" s="1"/>
  <c r="R21" i="1" s="1"/>
  <c r="DQ116" i="9"/>
  <c r="DP135" i="9"/>
  <c r="HK215" i="2"/>
  <c r="HK217" i="2" s="1"/>
  <c r="HN199" i="2"/>
  <c r="HN201" i="2" s="1"/>
  <c r="HP61" i="2"/>
  <c r="HO60" i="2"/>
  <c r="BO256" i="2"/>
  <c r="GY264" i="2"/>
  <c r="HD245" i="2"/>
  <c r="HE243" i="2" l="1"/>
  <c r="ET243" i="2" s="1"/>
  <c r="HE242" i="2"/>
  <c r="HF238" i="2" s="1"/>
  <c r="HF239" i="2" s="1"/>
  <c r="HF241" i="2" s="1"/>
  <c r="HE244" i="2"/>
  <c r="HE245" i="2" s="1"/>
  <c r="DP200" i="9"/>
  <c r="DP201" i="9" s="1"/>
  <c r="HK218" i="2"/>
  <c r="HL214" i="2" s="1"/>
  <c r="HL215" i="2" s="1"/>
  <c r="HL217" i="2" s="1"/>
  <c r="DP155" i="9"/>
  <c r="HI230" i="2"/>
  <c r="HI231" i="2" s="1"/>
  <c r="HI232" i="2" s="1"/>
  <c r="HI229" i="2"/>
  <c r="HN216" i="2"/>
  <c r="HN207" i="2"/>
  <c r="HN203" i="2"/>
  <c r="HN202" i="2"/>
  <c r="HO198" i="2" s="1"/>
  <c r="HC248" i="2"/>
  <c r="HC250" i="2" s="1"/>
  <c r="BN265" i="2"/>
  <c r="HK220" i="2"/>
  <c r="HK222" i="2" s="1"/>
  <c r="HK223" i="2" s="1"/>
  <c r="HK226" i="2"/>
  <c r="HK219" i="2"/>
  <c r="II86" i="2"/>
  <c r="II77" i="2"/>
  <c r="IJ73" i="2"/>
  <c r="BT254" i="2"/>
  <c r="HD246" i="2"/>
  <c r="HI228" i="2"/>
  <c r="HJ224" i="2" s="1"/>
  <c r="GX267" i="2"/>
  <c r="BN257" i="2" s="1"/>
  <c r="BN261" i="2"/>
  <c r="BN266" i="2" s="1"/>
  <c r="GY265" i="2"/>
  <c r="GY266" i="2"/>
  <c r="BO260" i="2" s="1"/>
  <c r="DQ123" i="9"/>
  <c r="DQ124" i="9"/>
  <c r="HH234" i="2"/>
  <c r="HH233" i="2"/>
  <c r="HB254" i="2"/>
  <c r="HN205" i="2"/>
  <c r="HA257" i="2"/>
  <c r="HA259" i="2" s="1"/>
  <c r="HA260" i="2" s="1"/>
  <c r="HB256" i="2" s="1"/>
  <c r="IJ70" i="2"/>
  <c r="HM212" i="2"/>
  <c r="GZ263" i="2"/>
  <c r="HP62" i="2"/>
  <c r="HP58" i="2" s="1"/>
  <c r="HG235" i="2"/>
  <c r="DQ101" i="9"/>
  <c r="DP112" i="9"/>
  <c r="DP111" i="9"/>
  <c r="DP202" i="9"/>
  <c r="DP199" i="9"/>
  <c r="DP198" i="9"/>
  <c r="DP133" i="9"/>
  <c r="DP134" i="9"/>
  <c r="I246" i="2"/>
  <c r="HN208" i="2" l="1"/>
  <c r="HO204" i="2" s="1"/>
  <c r="HO205" i="2" s="1"/>
  <c r="BN262" i="2"/>
  <c r="HC251" i="2"/>
  <c r="HD247" i="2" s="1"/>
  <c r="HD248" i="2" s="1"/>
  <c r="HF242" i="2"/>
  <c r="HG238" i="2" s="1"/>
  <c r="HG239" i="2" s="1"/>
  <c r="BN267" i="2"/>
  <c r="HB257" i="2"/>
  <c r="HQ61" i="2"/>
  <c r="HP60" i="2"/>
  <c r="HP74" i="2"/>
  <c r="HL220" i="2"/>
  <c r="HL222" i="2" s="1"/>
  <c r="HL223" i="2" s="1"/>
  <c r="HL226" i="2"/>
  <c r="HL219" i="2"/>
  <c r="HL218" i="2"/>
  <c r="HM214" i="2" s="1"/>
  <c r="HH235" i="2"/>
  <c r="HJ225" i="2"/>
  <c r="DQ147" i="9"/>
  <c r="DF203" i="9"/>
  <c r="DQ108" i="9"/>
  <c r="DQ109" i="9"/>
  <c r="HI234" i="2"/>
  <c r="HI233" i="2"/>
  <c r="IJ86" i="2"/>
  <c r="IJ77" i="2"/>
  <c r="HC253" i="2"/>
  <c r="HC258" i="2"/>
  <c r="HC252" i="2"/>
  <c r="HF249" i="2"/>
  <c r="HF244" i="2"/>
  <c r="HF245" i="2" s="1"/>
  <c r="HF243" i="2"/>
  <c r="DQ197" i="9"/>
  <c r="DQ196" i="9"/>
  <c r="DQ154" i="9"/>
  <c r="DQ130" i="9"/>
  <c r="DQ146" i="9"/>
  <c r="DF131" i="9"/>
  <c r="DF132" i="9"/>
  <c r="H244" i="2"/>
  <c r="H245" i="2"/>
  <c r="H246" i="2"/>
  <c r="BO265" i="2"/>
  <c r="II88" i="2"/>
  <c r="CY61" i="2" s="1"/>
  <c r="CY62" i="2" s="1"/>
  <c r="HO199" i="2"/>
  <c r="HO201" i="2" s="1"/>
  <c r="BP256" i="2"/>
  <c r="GZ264" i="2"/>
  <c r="GY267" i="2"/>
  <c r="BO257" i="2" s="1"/>
  <c r="BO261" i="2"/>
  <c r="BO266" i="2" s="1"/>
  <c r="II87" i="2"/>
  <c r="II66" i="2" s="1"/>
  <c r="BR255" i="2"/>
  <c r="HB255" i="2"/>
  <c r="BU254" i="2"/>
  <c r="HE246" i="2"/>
  <c r="IK57" i="2"/>
  <c r="IK70" i="2" s="1"/>
  <c r="HA262" i="2"/>
  <c r="HA261" i="2"/>
  <c r="HN211" i="2"/>
  <c r="HN209" i="2"/>
  <c r="HD250" i="2" l="1"/>
  <c r="HD258" i="2" s="1"/>
  <c r="HI235" i="2"/>
  <c r="BO267" i="2"/>
  <c r="HB259" i="2"/>
  <c r="HB260" i="2" s="1"/>
  <c r="HC256" i="2" s="1"/>
  <c r="HO216" i="2"/>
  <c r="HO207" i="2"/>
  <c r="HO203" i="2"/>
  <c r="HO202" i="2"/>
  <c r="HP198" i="2" s="1"/>
  <c r="IL57" i="2"/>
  <c r="IL70" i="2" s="1"/>
  <c r="IJ88" i="2"/>
  <c r="CZ61" i="2" s="1"/>
  <c r="CZ62" i="2" s="1"/>
  <c r="HM215" i="2"/>
  <c r="BO262" i="2"/>
  <c r="IJ87" i="2"/>
  <c r="IJ66" i="2" s="1"/>
  <c r="HJ227" i="2"/>
  <c r="GZ265" i="2"/>
  <c r="GZ266" i="2"/>
  <c r="BP260" i="2" s="1"/>
  <c r="DQ145" i="9"/>
  <c r="DQ204" i="9" s="1"/>
  <c r="DQ190" i="9"/>
  <c r="HG241" i="2"/>
  <c r="HQ62" i="2"/>
  <c r="HQ58" i="2" s="1"/>
  <c r="HN212" i="2"/>
  <c r="HC254" i="2"/>
  <c r="IK73" i="2"/>
  <c r="HA263" i="2"/>
  <c r="HB261" i="2" l="1"/>
  <c r="HB262" i="2"/>
  <c r="HB263" i="2" s="1"/>
  <c r="HD253" i="2"/>
  <c r="HD254" i="2" s="1"/>
  <c r="HD251" i="2"/>
  <c r="HE247" i="2" s="1"/>
  <c r="HE248" i="2" s="1"/>
  <c r="HE250" i="2" s="1"/>
  <c r="HE251" i="2" s="1"/>
  <c r="HF247" i="2" s="1"/>
  <c r="HD252" i="2"/>
  <c r="HR61" i="2"/>
  <c r="HQ60" i="2"/>
  <c r="HQ74" i="2"/>
  <c r="BQ256" i="2"/>
  <c r="HA264" i="2"/>
  <c r="BP265" i="2"/>
  <c r="GZ267" i="2"/>
  <c r="BP257" i="2" s="1"/>
  <c r="BP261" i="2"/>
  <c r="BP266" i="2" s="1"/>
  <c r="IM57" i="2"/>
  <c r="IK86" i="2"/>
  <c r="IK87" i="2" s="1"/>
  <c r="IK77" i="2"/>
  <c r="IL73" i="2"/>
  <c r="HP199" i="2"/>
  <c r="HP201" i="2" s="1"/>
  <c r="HJ230" i="2"/>
  <c r="HJ231" i="2" s="1"/>
  <c r="HJ232" i="2" s="1"/>
  <c r="HJ229" i="2"/>
  <c r="HJ228" i="2"/>
  <c r="HK224" i="2" s="1"/>
  <c r="HM217" i="2"/>
  <c r="HG249" i="2"/>
  <c r="HG244" i="2"/>
  <c r="HG245" i="2" s="1"/>
  <c r="HG243" i="2"/>
  <c r="HO211" i="2"/>
  <c r="HO209" i="2"/>
  <c r="HO208" i="2"/>
  <c r="HP204" i="2" s="1"/>
  <c r="DQ191" i="9"/>
  <c r="DQ193" i="9" s="1"/>
  <c r="DQ141" i="9" s="1"/>
  <c r="DQ144" i="9" s="1"/>
  <c r="BS255" i="2"/>
  <c r="HC255" i="2"/>
  <c r="HC257" i="2"/>
  <c r="HG242" i="2"/>
  <c r="HH238" i="2" s="1"/>
  <c r="HC259" i="2" l="1"/>
  <c r="HC262" i="2" s="1"/>
  <c r="HP202" i="2"/>
  <c r="HQ198" i="2" s="1"/>
  <c r="HQ199" i="2" s="1"/>
  <c r="HF248" i="2"/>
  <c r="HF250" i="2" s="1"/>
  <c r="DQ157" i="9"/>
  <c r="DQ126" i="9"/>
  <c r="DQ103" i="9" s="1"/>
  <c r="BR256" i="2"/>
  <c r="HB264" i="2"/>
  <c r="BP267" i="2"/>
  <c r="HP216" i="2"/>
  <c r="HP207" i="2"/>
  <c r="HP203" i="2"/>
  <c r="IK88" i="2"/>
  <c r="DA61" i="2" s="1"/>
  <c r="DA62" i="2" s="1"/>
  <c r="IK66" i="2"/>
  <c r="BP262" i="2"/>
  <c r="HA266" i="2"/>
  <c r="BQ260" i="2" s="1"/>
  <c r="HA265" i="2"/>
  <c r="IL86" i="2"/>
  <c r="IL77" i="2"/>
  <c r="IM73" i="2"/>
  <c r="HM220" i="2"/>
  <c r="HM222" i="2" s="1"/>
  <c r="HM223" i="2" s="1"/>
  <c r="HM226" i="2"/>
  <c r="HM219" i="2"/>
  <c r="IM70" i="2"/>
  <c r="HK225" i="2"/>
  <c r="HK227" i="2" s="1"/>
  <c r="HP205" i="2"/>
  <c r="BT255" i="2"/>
  <c r="HD255" i="2"/>
  <c r="DQ192" i="9"/>
  <c r="DR189" i="9" s="1"/>
  <c r="HO212" i="2"/>
  <c r="HE253" i="2"/>
  <c r="HE258" i="2"/>
  <c r="HE252" i="2"/>
  <c r="ET252" i="2" s="1"/>
  <c r="HR62" i="2"/>
  <c r="HR58" i="2" s="1"/>
  <c r="HJ234" i="2"/>
  <c r="HJ233" i="2"/>
  <c r="HH239" i="2"/>
  <c r="HH241" i="2" s="1"/>
  <c r="HM218" i="2"/>
  <c r="HN214" i="2" s="1"/>
  <c r="HC260" i="2" l="1"/>
  <c r="HD256" i="2" s="1"/>
  <c r="HD257" i="2" s="1"/>
  <c r="HD259" i="2" s="1"/>
  <c r="HC261" i="2"/>
  <c r="HP208" i="2"/>
  <c r="HQ204" i="2" s="1"/>
  <c r="HQ205" i="2" s="1"/>
  <c r="DQ107" i="9"/>
  <c r="DQ110" i="9" s="1"/>
  <c r="HH242" i="2"/>
  <c r="HI238" i="2" s="1"/>
  <c r="HI239" i="2" s="1"/>
  <c r="HI241" i="2" s="1"/>
  <c r="HK230" i="2"/>
  <c r="HK231" i="2" s="1"/>
  <c r="HK232" i="2" s="1"/>
  <c r="HK229" i="2"/>
  <c r="HK228" i="2"/>
  <c r="HL224" i="2" s="1"/>
  <c r="HS61" i="2"/>
  <c r="HR60" i="2"/>
  <c r="HR74" i="2"/>
  <c r="HF253" i="2"/>
  <c r="HF254" i="2" s="1"/>
  <c r="HF255" i="2" s="1"/>
  <c r="HF258" i="2"/>
  <c r="HF252" i="2"/>
  <c r="HP211" i="2"/>
  <c r="HP209" i="2"/>
  <c r="HC263" i="2"/>
  <c r="HB266" i="2"/>
  <c r="BR260" i="2" s="1"/>
  <c r="HB265" i="2"/>
  <c r="HE254" i="2"/>
  <c r="DQ149" i="9"/>
  <c r="DQ128" i="9"/>
  <c r="IM77" i="2"/>
  <c r="IM86" i="2"/>
  <c r="BQ265" i="2"/>
  <c r="HQ201" i="2"/>
  <c r="HQ202" i="2" s="1"/>
  <c r="HR198" i="2" s="1"/>
  <c r="IL88" i="2"/>
  <c r="DB61" i="2" s="1"/>
  <c r="DB62" i="2" s="1"/>
  <c r="IL87" i="2"/>
  <c r="IL66" i="2" s="1"/>
  <c r="HN215" i="2"/>
  <c r="HN217" i="2" s="1"/>
  <c r="HF251" i="2"/>
  <c r="HG247" i="2" s="1"/>
  <c r="HA267" i="2"/>
  <c r="BQ257" i="2" s="1"/>
  <c r="BQ261" i="2"/>
  <c r="BQ266" i="2" s="1"/>
  <c r="HH249" i="2"/>
  <c r="HH244" i="2"/>
  <c r="HH245" i="2" s="1"/>
  <c r="HH243" i="2"/>
  <c r="IN57" i="2"/>
  <c r="IN70" i="2" s="1"/>
  <c r="HJ235" i="2"/>
  <c r="IN73" i="2" l="1"/>
  <c r="IN86" i="2" s="1"/>
  <c r="IN87" i="2" s="1"/>
  <c r="DQ148" i="9"/>
  <c r="DQ205" i="9" s="1"/>
  <c r="BQ267" i="2"/>
  <c r="DQ151" i="9"/>
  <c r="DQ200" i="9" s="1"/>
  <c r="DQ201" i="9" s="1"/>
  <c r="BQ262" i="2"/>
  <c r="HR199" i="2"/>
  <c r="HD262" i="2"/>
  <c r="HD261" i="2"/>
  <c r="HI249" i="2"/>
  <c r="HI244" i="2"/>
  <c r="HI245" i="2" s="1"/>
  <c r="HI243" i="2"/>
  <c r="HI242" i="2"/>
  <c r="HJ238" i="2" s="1"/>
  <c r="HN220" i="2"/>
  <c r="HN222" i="2" s="1"/>
  <c r="HN223" i="2" s="1"/>
  <c r="HN226" i="2"/>
  <c r="HN219" i="2"/>
  <c r="HN218" i="2"/>
  <c r="HO214" i="2" s="1"/>
  <c r="HB267" i="2"/>
  <c r="BR257" i="2" s="1"/>
  <c r="BR261" i="2"/>
  <c r="BR266" i="2" s="1"/>
  <c r="HS62" i="2"/>
  <c r="HS58" i="2" s="1"/>
  <c r="DR101" i="9"/>
  <c r="DQ112" i="9"/>
  <c r="DQ111" i="9"/>
  <c r="DQ134" i="9"/>
  <c r="DQ199" i="9"/>
  <c r="DQ198" i="9"/>
  <c r="DQ133" i="9"/>
  <c r="DQ202" i="9"/>
  <c r="IM88" i="2"/>
  <c r="DC61" i="2" s="1"/>
  <c r="DC62" i="2" s="1"/>
  <c r="BS256" i="2"/>
  <c r="HC264" i="2"/>
  <c r="HL225" i="2"/>
  <c r="HL227" i="2" s="1"/>
  <c r="IO57" i="2"/>
  <c r="IO70" i="2" s="1"/>
  <c r="IM87" i="2"/>
  <c r="IM66" i="2" s="1"/>
  <c r="HK234" i="2"/>
  <c r="HK233" i="2"/>
  <c r="BR265" i="2"/>
  <c r="DR116" i="9"/>
  <c r="DQ135" i="9"/>
  <c r="HP212" i="2"/>
  <c r="DQ136" i="9"/>
  <c r="DQ113" i="9"/>
  <c r="HG248" i="2"/>
  <c r="HG250" i="2" s="1"/>
  <c r="HQ216" i="2"/>
  <c r="HQ207" i="2"/>
  <c r="HQ208" i="2" s="1"/>
  <c r="HR204" i="2" s="1"/>
  <c r="HQ203" i="2"/>
  <c r="HD260" i="2"/>
  <c r="HE256" i="2" s="1"/>
  <c r="BU255" i="2"/>
  <c r="HE255" i="2"/>
  <c r="DQ153" i="9" l="1"/>
  <c r="DQ155" i="9" s="1"/>
  <c r="IN77" i="2"/>
  <c r="HK235" i="2"/>
  <c r="BR267" i="2"/>
  <c r="HG251" i="2"/>
  <c r="HH247" i="2" s="1"/>
  <c r="HH248" i="2" s="1"/>
  <c r="HH250" i="2" s="1"/>
  <c r="HH251" i="2" s="1"/>
  <c r="HI247" i="2" s="1"/>
  <c r="BR262" i="2"/>
  <c r="HL228" i="2"/>
  <c r="HM224" i="2" s="1"/>
  <c r="HM225" i="2" s="1"/>
  <c r="HM227" i="2" s="1"/>
  <c r="HR205" i="2"/>
  <c r="HT61" i="2"/>
  <c r="HS60" i="2"/>
  <c r="HS74" i="2"/>
  <c r="HG253" i="2"/>
  <c r="HG254" i="2" s="1"/>
  <c r="HG255" i="2" s="1"/>
  <c r="HG258" i="2"/>
  <c r="HG252" i="2"/>
  <c r="HL230" i="2"/>
  <c r="HL231" i="2" s="1"/>
  <c r="HL232" i="2" s="1"/>
  <c r="HL229" i="2"/>
  <c r="HC266" i="2"/>
  <c r="BS260" i="2" s="1"/>
  <c r="HC265" i="2"/>
  <c r="IP57" i="2"/>
  <c r="IP70" i="2" s="1"/>
  <c r="HO215" i="2"/>
  <c r="HO217" i="2" s="1"/>
  <c r="IO73" i="2"/>
  <c r="HD263" i="2"/>
  <c r="DR108" i="9"/>
  <c r="DR109" i="9"/>
  <c r="HE257" i="2"/>
  <c r="HQ211" i="2"/>
  <c r="HQ209" i="2"/>
  <c r="HR201" i="2"/>
  <c r="HR202" i="2" s="1"/>
  <c r="HS198" i="2" s="1"/>
  <c r="DR123" i="9"/>
  <c r="DR124" i="9"/>
  <c r="IN88" i="2"/>
  <c r="DD61" i="2" s="1"/>
  <c r="DD62" i="2" s="1"/>
  <c r="IN66" i="2"/>
  <c r="HJ239" i="2"/>
  <c r="HJ241" i="2" s="1"/>
  <c r="HM228" i="2" l="1"/>
  <c r="HN224" i="2" s="1"/>
  <c r="HN225" i="2" s="1"/>
  <c r="HN227" i="2" s="1"/>
  <c r="HJ249" i="2"/>
  <c r="HJ244" i="2"/>
  <c r="HJ245" i="2" s="1"/>
  <c r="HJ243" i="2"/>
  <c r="IQ57" i="2"/>
  <c r="IQ70" i="2" s="1"/>
  <c r="HJ242" i="2"/>
  <c r="HK238" i="2" s="1"/>
  <c r="BT256" i="2"/>
  <c r="HD264" i="2"/>
  <c r="HM230" i="2"/>
  <c r="HM231" i="2" s="1"/>
  <c r="HM232" i="2" s="1"/>
  <c r="HM229" i="2"/>
  <c r="HH253" i="2"/>
  <c r="HH254" i="2" s="1"/>
  <c r="HH255" i="2" s="1"/>
  <c r="HH258" i="2"/>
  <c r="HH252" i="2"/>
  <c r="HE259" i="2"/>
  <c r="HE260" i="2" s="1"/>
  <c r="HF256" i="2" s="1"/>
  <c r="HS199" i="2"/>
  <c r="HS201" i="2" s="1"/>
  <c r="IO86" i="2"/>
  <c r="IO87" i="2" s="1"/>
  <c r="IO77" i="2"/>
  <c r="IP73" i="2"/>
  <c r="HC267" i="2"/>
  <c r="BS257" i="2" s="1"/>
  <c r="BS261" i="2"/>
  <c r="BS266" i="2" s="1"/>
  <c r="HO220" i="2"/>
  <c r="HO222" i="2" s="1"/>
  <c r="HO223" i="2" s="1"/>
  <c r="HO226" i="2"/>
  <c r="HO219" i="2"/>
  <c r="BS265" i="2"/>
  <c r="HQ212" i="2"/>
  <c r="DR145" i="9"/>
  <c r="DR190" i="9"/>
  <c r="HT62" i="2"/>
  <c r="HT58" i="2" s="1"/>
  <c r="HI248" i="2"/>
  <c r="HI250" i="2" s="1"/>
  <c r="DR147" i="9"/>
  <c r="DG203" i="9"/>
  <c r="DR196" i="9"/>
  <c r="DR197" i="9"/>
  <c r="DR154" i="9"/>
  <c r="DR130" i="9"/>
  <c r="DR146" i="9"/>
  <c r="DG131" i="9"/>
  <c r="DG132" i="9"/>
  <c r="HL233" i="2"/>
  <c r="HL234" i="2"/>
  <c r="HO218" i="2"/>
  <c r="HP214" i="2" s="1"/>
  <c r="HR216" i="2"/>
  <c r="HR207" i="2"/>
  <c r="HR208" i="2" s="1"/>
  <c r="HS204" i="2" s="1"/>
  <c r="HR203" i="2"/>
  <c r="HN228" i="2" l="1"/>
  <c r="HO224" i="2" s="1"/>
  <c r="HO225" i="2" s="1"/>
  <c r="HO227" i="2" s="1"/>
  <c r="IR57" i="2"/>
  <c r="HU61" i="2"/>
  <c r="HT60" i="2"/>
  <c r="HT74" i="2"/>
  <c r="HI253" i="2"/>
  <c r="HI254" i="2" s="1"/>
  <c r="HI255" i="2" s="1"/>
  <c r="HI258" i="2"/>
  <c r="HI252" i="2"/>
  <c r="HF257" i="2"/>
  <c r="HF259" i="2" s="1"/>
  <c r="HS216" i="2"/>
  <c r="HS207" i="2"/>
  <c r="HS203" i="2"/>
  <c r="HS202" i="2"/>
  <c r="HT198" i="2" s="1"/>
  <c r="HN230" i="2"/>
  <c r="HN231" i="2" s="1"/>
  <c r="HN232" i="2" s="1"/>
  <c r="HN229" i="2"/>
  <c r="HL235" i="2"/>
  <c r="HI251" i="2"/>
  <c r="HJ247" i="2" s="1"/>
  <c r="DR191" i="9"/>
  <c r="DR193" i="9" s="1"/>
  <c r="DR141" i="9" s="1"/>
  <c r="DR144" i="9" s="1"/>
  <c r="DR204" i="9"/>
  <c r="HM233" i="2"/>
  <c r="HM234" i="2"/>
  <c r="HE262" i="2"/>
  <c r="HE261" i="2"/>
  <c r="ET261" i="2" s="1"/>
  <c r="IP86" i="2"/>
  <c r="IP87" i="2" s="1"/>
  <c r="IP77" i="2"/>
  <c r="IQ73" i="2"/>
  <c r="IO88" i="2"/>
  <c r="DE61" i="2" s="1"/>
  <c r="DE62" i="2" s="1"/>
  <c r="IO66" i="2"/>
  <c r="HD266" i="2"/>
  <c r="BT260" i="2" s="1"/>
  <c r="HD265" i="2"/>
  <c r="BS267" i="2"/>
  <c r="HS205" i="2"/>
  <c r="HR211" i="2"/>
  <c r="HR209" i="2"/>
  <c r="BS262" i="2"/>
  <c r="HK239" i="2"/>
  <c r="HK241" i="2" s="1"/>
  <c r="HP215" i="2"/>
  <c r="HP217" i="2" s="1"/>
  <c r="HS208" i="2" l="1"/>
  <c r="HT204" i="2" s="1"/>
  <c r="HT205" i="2" s="1"/>
  <c r="HM235" i="2"/>
  <c r="HK242" i="2"/>
  <c r="HL238" i="2" s="1"/>
  <c r="HL239" i="2" s="1"/>
  <c r="HF262" i="2"/>
  <c r="HF263" i="2" s="1"/>
  <c r="HF264" i="2" s="1"/>
  <c r="HF261" i="2"/>
  <c r="HF260" i="2"/>
  <c r="HG256" i="2" s="1"/>
  <c r="HP220" i="2"/>
  <c r="HP222" i="2" s="1"/>
  <c r="HP223" i="2" s="1"/>
  <c r="HP226" i="2"/>
  <c r="HP219" i="2"/>
  <c r="DR157" i="9"/>
  <c r="DR126" i="9"/>
  <c r="HO230" i="2"/>
  <c r="HO231" i="2" s="1"/>
  <c r="HO232" i="2" s="1"/>
  <c r="HO229" i="2"/>
  <c r="HO228" i="2"/>
  <c r="HP224" i="2" s="1"/>
  <c r="HP218" i="2"/>
  <c r="HQ214" i="2" s="1"/>
  <c r="IP88" i="2"/>
  <c r="DF61" i="2" s="1"/>
  <c r="DF62" i="2" s="1"/>
  <c r="IP66" i="2"/>
  <c r="HE263" i="2"/>
  <c r="HD267" i="2"/>
  <c r="BT257" i="2" s="1"/>
  <c r="BT261" i="2"/>
  <c r="BT266" i="2" s="1"/>
  <c r="HK249" i="2"/>
  <c r="HK244" i="2"/>
  <c r="HK245" i="2" s="1"/>
  <c r="HK243" i="2"/>
  <c r="DR192" i="9"/>
  <c r="DS189" i="9" s="1"/>
  <c r="HT199" i="2"/>
  <c r="HT201" i="2" s="1"/>
  <c r="HN233" i="2"/>
  <c r="HN234" i="2"/>
  <c r="BT265" i="2"/>
  <c r="HU62" i="2"/>
  <c r="HU58" i="2" s="1"/>
  <c r="IQ86" i="2"/>
  <c r="IQ77" i="2"/>
  <c r="IR73" i="2"/>
  <c r="HS211" i="2"/>
  <c r="HS209" i="2"/>
  <c r="HR212" i="2"/>
  <c r="HJ248" i="2"/>
  <c r="HJ250" i="2" s="1"/>
  <c r="IR70" i="2"/>
  <c r="BT267" i="2" l="1"/>
  <c r="HN235" i="2"/>
  <c r="BT262" i="2"/>
  <c r="HT202" i="2"/>
  <c r="HU198" i="2" s="1"/>
  <c r="HU199" i="2" s="1"/>
  <c r="HU201" i="2" s="1"/>
  <c r="HV61" i="2"/>
  <c r="HU60" i="2"/>
  <c r="HU74" i="2"/>
  <c r="HJ253" i="2"/>
  <c r="HJ254" i="2" s="1"/>
  <c r="HJ255" i="2" s="1"/>
  <c r="HJ258" i="2"/>
  <c r="HJ252" i="2"/>
  <c r="HJ251" i="2"/>
  <c r="HK247" i="2" s="1"/>
  <c r="IS57" i="2"/>
  <c r="IS73" i="2" s="1"/>
  <c r="IQ88" i="2"/>
  <c r="DG61" i="2" s="1"/>
  <c r="DG62" i="2" s="1"/>
  <c r="HO233" i="2"/>
  <c r="HO234" i="2"/>
  <c r="HL241" i="2"/>
  <c r="HL242" i="2" s="1"/>
  <c r="HM238" i="2" s="1"/>
  <c r="DR149" i="9"/>
  <c r="DR128" i="9"/>
  <c r="DR136" i="9" s="1"/>
  <c r="HG257" i="2"/>
  <c r="HP225" i="2"/>
  <c r="HP227" i="2" s="1"/>
  <c r="HT216" i="2"/>
  <c r="HT207" i="2"/>
  <c r="HT208" i="2" s="1"/>
  <c r="HU204" i="2" s="1"/>
  <c r="HT203" i="2"/>
  <c r="HS212" i="2"/>
  <c r="BU256" i="2"/>
  <c r="HE264" i="2"/>
  <c r="HF265" i="2"/>
  <c r="HF266" i="2"/>
  <c r="DR107" i="9"/>
  <c r="IQ87" i="2"/>
  <c r="IQ66" i="2" s="1"/>
  <c r="HQ215" i="2"/>
  <c r="IR86" i="2"/>
  <c r="IR87" i="2" s="1"/>
  <c r="IR77" i="2"/>
  <c r="DR103" i="9"/>
  <c r="HP230" i="2" l="1"/>
  <c r="HP231" i="2" s="1"/>
  <c r="HP232" i="2" s="1"/>
  <c r="HP233" i="2" s="1"/>
  <c r="HP229" i="2"/>
  <c r="HM239" i="2"/>
  <c r="HU216" i="2"/>
  <c r="HU207" i="2"/>
  <c r="HU203" i="2"/>
  <c r="HU205" i="2"/>
  <c r="HQ217" i="2"/>
  <c r="HT211" i="2"/>
  <c r="HT209" i="2"/>
  <c r="HK248" i="2"/>
  <c r="HK250" i="2" s="1"/>
  <c r="DR148" i="9"/>
  <c r="DR205" i="9" s="1"/>
  <c r="DR110" i="9"/>
  <c r="DR113" i="9" s="1"/>
  <c r="DR151" i="9"/>
  <c r="DR153" i="9" s="1"/>
  <c r="HL249" i="2"/>
  <c r="HL244" i="2"/>
  <c r="HL245" i="2" s="1"/>
  <c r="HL243" i="2"/>
  <c r="HP228" i="2"/>
  <c r="HQ224" i="2" s="1"/>
  <c r="HO235" i="2"/>
  <c r="HE265" i="2"/>
  <c r="HE266" i="2"/>
  <c r="BU260" i="2" s="1"/>
  <c r="HV62" i="2"/>
  <c r="HV58" i="2" s="1"/>
  <c r="HF267" i="2"/>
  <c r="IS77" i="2"/>
  <c r="IS86" i="2"/>
  <c r="IS87" i="2" s="1"/>
  <c r="HG259" i="2"/>
  <c r="HU202" i="2"/>
  <c r="HV198" i="2" s="1"/>
  <c r="IR88" i="2"/>
  <c r="DH61" i="2" s="1"/>
  <c r="DH62" i="2" s="1"/>
  <c r="IR66" i="2"/>
  <c r="DS116" i="9"/>
  <c r="DR135" i="9"/>
  <c r="IS70" i="2"/>
  <c r="HU208" i="2" l="1"/>
  <c r="HV204" i="2" s="1"/>
  <c r="HV205" i="2" s="1"/>
  <c r="DR200" i="9"/>
  <c r="DR201" i="9" s="1"/>
  <c r="HP234" i="2"/>
  <c r="HP235" i="2" s="1"/>
  <c r="HW61" i="2"/>
  <c r="HV60" i="2"/>
  <c r="HV74" i="2"/>
  <c r="HK253" i="2"/>
  <c r="HK254" i="2" s="1"/>
  <c r="HK255" i="2" s="1"/>
  <c r="HK258" i="2"/>
  <c r="HK252" i="2"/>
  <c r="HK251" i="2"/>
  <c r="HL247" i="2" s="1"/>
  <c r="HV199" i="2"/>
  <c r="HV201" i="2" s="1"/>
  <c r="HE267" i="2"/>
  <c r="BU257" i="2" s="1"/>
  <c r="BU261" i="2"/>
  <c r="BU262" i="2" s="1"/>
  <c r="HM241" i="2"/>
  <c r="HU211" i="2"/>
  <c r="HU209" i="2"/>
  <c r="HQ225" i="2"/>
  <c r="IT57" i="2"/>
  <c r="DS101" i="9"/>
  <c r="DR112" i="9"/>
  <c r="DR111" i="9"/>
  <c r="DR134" i="9"/>
  <c r="DR198" i="9"/>
  <c r="DR199" i="9"/>
  <c r="DR202" i="9"/>
  <c r="DR133" i="9"/>
  <c r="IS88" i="2"/>
  <c r="DI61" i="2" s="1"/>
  <c r="DI62" i="2" s="1"/>
  <c r="IS66" i="2"/>
  <c r="DR155" i="9"/>
  <c r="HT212" i="2"/>
  <c r="HQ220" i="2"/>
  <c r="HQ222" i="2" s="1"/>
  <c r="HQ223" i="2" s="1"/>
  <c r="HQ226" i="2"/>
  <c r="HQ219" i="2"/>
  <c r="HG262" i="2"/>
  <c r="HG263" i="2" s="1"/>
  <c r="HG264" i="2" s="1"/>
  <c r="HG261" i="2"/>
  <c r="HG260" i="2"/>
  <c r="HH256" i="2" s="1"/>
  <c r="DS123" i="9"/>
  <c r="DS124" i="9"/>
  <c r="I260" i="2"/>
  <c r="BU265" i="2"/>
  <c r="HQ218" i="2"/>
  <c r="HR214" i="2" s="1"/>
  <c r="HQ227" i="2" l="1"/>
  <c r="HQ230" i="2" s="1"/>
  <c r="HQ231" i="2" s="1"/>
  <c r="HQ232" i="2" s="1"/>
  <c r="HV216" i="2"/>
  <c r="HV207" i="2"/>
  <c r="HV208" i="2" s="1"/>
  <c r="HW204" i="2" s="1"/>
  <c r="HV203" i="2"/>
  <c r="HM249" i="2"/>
  <c r="HM244" i="2"/>
  <c r="HM245" i="2" s="1"/>
  <c r="HM243" i="2"/>
  <c r="DS108" i="9"/>
  <c r="DS109" i="9"/>
  <c r="I261" i="2"/>
  <c r="I262" i="2" s="1"/>
  <c r="BU266" i="2"/>
  <c r="BU267" i="2" s="1"/>
  <c r="G267" i="2" s="1"/>
  <c r="HM242" i="2"/>
  <c r="HN238" i="2" s="1"/>
  <c r="G265" i="2"/>
  <c r="I265" i="2"/>
  <c r="HL248" i="2"/>
  <c r="HL250" i="2" s="1"/>
  <c r="IT73" i="2"/>
  <c r="HU212" i="2"/>
  <c r="DS147" i="9"/>
  <c r="DH203" i="9"/>
  <c r="IT70" i="2"/>
  <c r="HV202" i="2"/>
  <c r="HW198" i="2" s="1"/>
  <c r="HR215" i="2"/>
  <c r="F265" i="2"/>
  <c r="H260" i="2"/>
  <c r="DS197" i="9"/>
  <c r="DS196" i="9"/>
  <c r="DS154" i="9"/>
  <c r="DS130" i="9"/>
  <c r="DS146" i="9"/>
  <c r="DH132" i="9"/>
  <c r="DH131" i="9"/>
  <c r="HH257" i="2"/>
  <c r="HG265" i="2"/>
  <c r="HG266" i="2"/>
  <c r="HW62" i="2"/>
  <c r="HW58" i="2" s="1"/>
  <c r="HQ228" i="2" l="1"/>
  <c r="HR224" i="2" s="1"/>
  <c r="HR225" i="2" s="1"/>
  <c r="HQ229" i="2"/>
  <c r="HL251" i="2"/>
  <c r="HM247" i="2" s="1"/>
  <c r="HM248" i="2" s="1"/>
  <c r="HX61" i="2"/>
  <c r="HW60" i="2"/>
  <c r="HW74" i="2"/>
  <c r="DS145" i="9"/>
  <c r="DS204" i="9" s="1"/>
  <c r="DS190" i="9"/>
  <c r="HR217" i="2"/>
  <c r="HQ233" i="2"/>
  <c r="HQ234" i="2"/>
  <c r="HN239" i="2"/>
  <c r="HN241" i="2" s="1"/>
  <c r="HW205" i="2"/>
  <c r="HG267" i="2"/>
  <c r="HH259" i="2"/>
  <c r="HH260" i="2" s="1"/>
  <c r="HI256" i="2" s="1"/>
  <c r="IU57" i="2"/>
  <c r="IU70" i="2" s="1"/>
  <c r="G266" i="2"/>
  <c r="I266" i="2"/>
  <c r="H266" i="2" s="1"/>
  <c r="H265" i="2"/>
  <c r="F267" i="2"/>
  <c r="H262" i="2"/>
  <c r="F266" i="2"/>
  <c r="H261" i="2"/>
  <c r="HV211" i="2"/>
  <c r="HV209" i="2"/>
  <c r="HL253" i="2"/>
  <c r="HL254" i="2" s="1"/>
  <c r="HL255" i="2" s="1"/>
  <c r="HL258" i="2"/>
  <c r="HL252" i="2"/>
  <c r="HW199" i="2"/>
  <c r="HW201" i="2" s="1"/>
  <c r="IT86" i="2"/>
  <c r="IT87" i="2" s="1"/>
  <c r="IT77" i="2"/>
  <c r="HQ235" i="2" l="1"/>
  <c r="HW202" i="2"/>
  <c r="HX198" i="2" s="1"/>
  <c r="HX199" i="2" s="1"/>
  <c r="HX201" i="2" s="1"/>
  <c r="HN242" i="2"/>
  <c r="HO238" i="2" s="1"/>
  <c r="HO239" i="2" s="1"/>
  <c r="DS191" i="9"/>
  <c r="DS192" i="9" s="1"/>
  <c r="DT189" i="9" s="1"/>
  <c r="HI257" i="2"/>
  <c r="HI259" i="2" s="1"/>
  <c r="HN249" i="2"/>
  <c r="HN244" i="2"/>
  <c r="HN245" i="2" s="1"/>
  <c r="HN243" i="2"/>
  <c r="HM250" i="2"/>
  <c r="HM251" i="2" s="1"/>
  <c r="HN247" i="2" s="1"/>
  <c r="IT88" i="2"/>
  <c r="DJ61" i="2" s="1"/>
  <c r="DJ62" i="2" s="1"/>
  <c r="IT66" i="2"/>
  <c r="HW216" i="2"/>
  <c r="HW207" i="2"/>
  <c r="HW208" i="2" s="1"/>
  <c r="HX204" i="2" s="1"/>
  <c r="HW203" i="2"/>
  <c r="I267" i="2"/>
  <c r="H267" i="2" s="1"/>
  <c r="HX62" i="2"/>
  <c r="HX58" i="2" s="1"/>
  <c r="IV57" i="2"/>
  <c r="IV70" i="2" s="1"/>
  <c r="IU73" i="2"/>
  <c r="HV212" i="2"/>
  <c r="HH262" i="2"/>
  <c r="HH263" i="2" s="1"/>
  <c r="HH264" i="2" s="1"/>
  <c r="HH261" i="2"/>
  <c r="HR220" i="2"/>
  <c r="HR222" i="2" s="1"/>
  <c r="HR223" i="2" s="1"/>
  <c r="HR226" i="2"/>
  <c r="HR219" i="2"/>
  <c r="HR218" i="2"/>
  <c r="HS214" i="2" s="1"/>
  <c r="HR227" i="2" l="1"/>
  <c r="HR230" i="2" s="1"/>
  <c r="HR231" i="2" s="1"/>
  <c r="HR232" i="2" s="1"/>
  <c r="HI260" i="2"/>
  <c r="HJ256" i="2" s="1"/>
  <c r="HJ257" i="2" s="1"/>
  <c r="HJ259" i="2" s="1"/>
  <c r="HN248" i="2"/>
  <c r="HY61" i="2"/>
  <c r="HX60" i="2"/>
  <c r="HX74" i="2"/>
  <c r="IW57" i="2"/>
  <c r="HX216" i="2"/>
  <c r="HX207" i="2"/>
  <c r="HX203" i="2"/>
  <c r="DS193" i="9"/>
  <c r="DS141" i="9" s="1"/>
  <c r="DS144" i="9" s="1"/>
  <c r="HM253" i="2"/>
  <c r="HM254" i="2" s="1"/>
  <c r="HM255" i="2" s="1"/>
  <c r="HM258" i="2"/>
  <c r="HM252" i="2"/>
  <c r="HO241" i="2"/>
  <c r="HH265" i="2"/>
  <c r="HH266" i="2"/>
  <c r="HX202" i="2"/>
  <c r="HY198" i="2" s="1"/>
  <c r="HI262" i="2"/>
  <c r="HI263" i="2" s="1"/>
  <c r="HI264" i="2" s="1"/>
  <c r="HI261" i="2"/>
  <c r="HS215" i="2"/>
  <c r="HS217" i="2" s="1"/>
  <c r="HW211" i="2"/>
  <c r="HW209" i="2"/>
  <c r="HX205" i="2"/>
  <c r="IU77" i="2"/>
  <c r="IU86" i="2"/>
  <c r="IV73" i="2"/>
  <c r="HR229" i="2" l="1"/>
  <c r="HR228" i="2"/>
  <c r="HS224" i="2" s="1"/>
  <c r="HS225" i="2" s="1"/>
  <c r="HJ262" i="2"/>
  <c r="HJ263" i="2" s="1"/>
  <c r="HJ264" i="2" s="1"/>
  <c r="HJ261" i="2"/>
  <c r="HJ260" i="2"/>
  <c r="HK256" i="2" s="1"/>
  <c r="HH267" i="2"/>
  <c r="IU88" i="2"/>
  <c r="DK61" i="2" s="1"/>
  <c r="DK62" i="2" s="1"/>
  <c r="DS157" i="9"/>
  <c r="DS126" i="9"/>
  <c r="DS103" i="9" s="1"/>
  <c r="HW212" i="2"/>
  <c r="IW70" i="2"/>
  <c r="IV86" i="2"/>
  <c r="IV77" i="2"/>
  <c r="IW73" i="2"/>
  <c r="HX211" i="2"/>
  <c r="HX209" i="2"/>
  <c r="HY62" i="2"/>
  <c r="HY58" i="2" s="1"/>
  <c r="HO249" i="2"/>
  <c r="HO244" i="2"/>
  <c r="HO245" i="2" s="1"/>
  <c r="HO243" i="2"/>
  <c r="HR234" i="2"/>
  <c r="HR233" i="2"/>
  <c r="HS220" i="2"/>
  <c r="HS222" i="2" s="1"/>
  <c r="HS223" i="2" s="1"/>
  <c r="HS226" i="2"/>
  <c r="HS219" i="2"/>
  <c r="HS218" i="2"/>
  <c r="HT214" i="2" s="1"/>
  <c r="HI265" i="2"/>
  <c r="HI266" i="2"/>
  <c r="HY199" i="2"/>
  <c r="HN250" i="2"/>
  <c r="HN251" i="2" s="1"/>
  <c r="HO247" i="2" s="1"/>
  <c r="IU87" i="2"/>
  <c r="IU66" i="2" s="1"/>
  <c r="HX208" i="2"/>
  <c r="HY204" i="2" s="1"/>
  <c r="HO242" i="2"/>
  <c r="HP238" i="2" s="1"/>
  <c r="HR235" i="2" l="1"/>
  <c r="DS107" i="9"/>
  <c r="HS227" i="2"/>
  <c r="HS230" i="2" s="1"/>
  <c r="HS231" i="2" s="1"/>
  <c r="HS232" i="2" s="1"/>
  <c r="HO248" i="2"/>
  <c r="HO250" i="2" s="1"/>
  <c r="HZ61" i="2"/>
  <c r="HY60" i="2"/>
  <c r="HY74" i="2"/>
  <c r="HY201" i="2"/>
  <c r="HT215" i="2"/>
  <c r="HP239" i="2"/>
  <c r="HP241" i="2" s="1"/>
  <c r="HY205" i="2"/>
  <c r="HI267" i="2"/>
  <c r="HK257" i="2"/>
  <c r="HX212" i="2"/>
  <c r="IV88" i="2"/>
  <c r="DL61" i="2" s="1"/>
  <c r="DL62" i="2" s="1"/>
  <c r="DS149" i="9"/>
  <c r="DS128" i="9"/>
  <c r="HN253" i="2"/>
  <c r="HN254" i="2" s="1"/>
  <c r="HN255" i="2" s="1"/>
  <c r="HN258" i="2"/>
  <c r="HN252" i="2"/>
  <c r="IV87" i="2"/>
  <c r="IV66" i="2" s="1"/>
  <c r="IW86" i="2"/>
  <c r="IW87" i="2" s="1"/>
  <c r="IW77" i="2"/>
  <c r="IX57" i="2"/>
  <c r="IX70" i="2" s="1"/>
  <c r="HJ265" i="2"/>
  <c r="HJ266" i="2"/>
  <c r="DS151" i="9" l="1"/>
  <c r="DS153" i="9" s="1"/>
  <c r="DS155" i="9" s="1"/>
  <c r="HS229" i="2"/>
  <c r="DS110" i="9"/>
  <c r="DS113" i="9" s="1"/>
  <c r="HS228" i="2"/>
  <c r="HT224" i="2" s="1"/>
  <c r="HT225" i="2" s="1"/>
  <c r="DS148" i="9"/>
  <c r="DS205" i="9" s="1"/>
  <c r="IX73" i="2"/>
  <c r="IX86" i="2" s="1"/>
  <c r="HS234" i="2"/>
  <c r="HS233" i="2"/>
  <c r="HO253" i="2"/>
  <c r="HO254" i="2" s="1"/>
  <c r="HO255" i="2" s="1"/>
  <c r="HO258" i="2"/>
  <c r="HO252" i="2"/>
  <c r="DT116" i="9"/>
  <c r="DS135" i="9"/>
  <c r="HT217" i="2"/>
  <c r="HP249" i="2"/>
  <c r="HP244" i="2"/>
  <c r="HP245" i="2" s="1"/>
  <c r="HP243" i="2"/>
  <c r="HP242" i="2"/>
  <c r="HQ238" i="2" s="1"/>
  <c r="HZ62" i="2"/>
  <c r="HZ58" i="2" s="1"/>
  <c r="DS136" i="9"/>
  <c r="HO251" i="2"/>
  <c r="HP247" i="2" s="1"/>
  <c r="HY216" i="2"/>
  <c r="HY207" i="2"/>
  <c r="HY208" i="2" s="1"/>
  <c r="HZ204" i="2" s="1"/>
  <c r="HY203" i="2"/>
  <c r="IW88" i="2"/>
  <c r="DM61" i="2" s="1"/>
  <c r="DM62" i="2" s="1"/>
  <c r="IW66" i="2"/>
  <c r="HK259" i="2"/>
  <c r="HK260" i="2" s="1"/>
  <c r="HL256" i="2" s="1"/>
  <c r="IY57" i="2"/>
  <c r="HJ267" i="2"/>
  <c r="HY202" i="2"/>
  <c r="HZ198" i="2" s="1"/>
  <c r="HS235" i="2" l="1"/>
  <c r="DS200" i="9"/>
  <c r="DS201" i="9" s="1"/>
  <c r="DS202" i="9"/>
  <c r="DS134" i="9"/>
  <c r="DS111" i="9"/>
  <c r="DS112" i="9"/>
  <c r="DS198" i="9"/>
  <c r="DS133" i="9"/>
  <c r="DT101" i="9"/>
  <c r="DT108" i="9" s="1"/>
  <c r="DS199" i="9"/>
  <c r="IX77" i="2"/>
  <c r="IA61" i="2"/>
  <c r="HZ60" i="2"/>
  <c r="HZ74" i="2"/>
  <c r="HP248" i="2"/>
  <c r="HP250" i="2" s="1"/>
  <c r="HT220" i="2"/>
  <c r="HT222" i="2" s="1"/>
  <c r="HT223" i="2" s="1"/>
  <c r="HT226" i="2"/>
  <c r="HT219" i="2"/>
  <c r="HZ205" i="2"/>
  <c r="HL257" i="2"/>
  <c r="HL259" i="2" s="1"/>
  <c r="DT123" i="9"/>
  <c r="DT124" i="9"/>
  <c r="IY73" i="2"/>
  <c r="HQ239" i="2"/>
  <c r="HQ241" i="2" s="1"/>
  <c r="IY70" i="2"/>
  <c r="IX88" i="2"/>
  <c r="DN61" i="2" s="1"/>
  <c r="DN62" i="2" s="1"/>
  <c r="HK262" i="2"/>
  <c r="HK263" i="2" s="1"/>
  <c r="HK264" i="2" s="1"/>
  <c r="HK261" i="2"/>
  <c r="HY211" i="2"/>
  <c r="HY209" i="2"/>
  <c r="IX87" i="2"/>
  <c r="IX66" i="2" s="1"/>
  <c r="HZ199" i="2"/>
  <c r="HZ201" i="2" s="1"/>
  <c r="HT218" i="2"/>
  <c r="HU214" i="2" s="1"/>
  <c r="DT109" i="9" l="1"/>
  <c r="DT145" i="9" s="1"/>
  <c r="HL260" i="2"/>
  <c r="HM256" i="2" s="1"/>
  <c r="HM257" i="2" s="1"/>
  <c r="HM259" i="2" s="1"/>
  <c r="HT227" i="2"/>
  <c r="HT230" i="2" s="1"/>
  <c r="HT231" i="2" s="1"/>
  <c r="HT232" i="2" s="1"/>
  <c r="HZ216" i="2"/>
  <c r="HZ207" i="2"/>
  <c r="HZ203" i="2"/>
  <c r="HQ249" i="2"/>
  <c r="HQ244" i="2"/>
  <c r="HQ245" i="2" s="1"/>
  <c r="HQ243" i="2"/>
  <c r="HP253" i="2"/>
  <c r="HP254" i="2" s="1"/>
  <c r="HP255" i="2" s="1"/>
  <c r="HP258" i="2"/>
  <c r="HP252" i="2"/>
  <c r="DT190" i="9"/>
  <c r="HU215" i="2"/>
  <c r="HU217" i="2" s="1"/>
  <c r="IZ57" i="2"/>
  <c r="IZ70" i="2" s="1"/>
  <c r="HP251" i="2"/>
  <c r="HQ247" i="2" s="1"/>
  <c r="HL262" i="2"/>
  <c r="HL263" i="2" s="1"/>
  <c r="HL264" i="2" s="1"/>
  <c r="HL261" i="2"/>
  <c r="DT147" i="9"/>
  <c r="DI203" i="9"/>
  <c r="HZ202" i="2"/>
  <c r="IA198" i="2" s="1"/>
  <c r="HQ242" i="2"/>
  <c r="HR238" i="2" s="1"/>
  <c r="IY77" i="2"/>
  <c r="IY86" i="2"/>
  <c r="HK265" i="2"/>
  <c r="HK266" i="2"/>
  <c r="DT197" i="9"/>
  <c r="DT196" i="9"/>
  <c r="DT154" i="9"/>
  <c r="DT130" i="9"/>
  <c r="DT146" i="9"/>
  <c r="DI131" i="9"/>
  <c r="DI132" i="9"/>
  <c r="HY212" i="2"/>
  <c r="IA62" i="2"/>
  <c r="IA58" i="2" s="1"/>
  <c r="HT228" i="2" l="1"/>
  <c r="HU224" i="2" s="1"/>
  <c r="HU225" i="2" s="1"/>
  <c r="IZ73" i="2"/>
  <c r="IZ77" i="2" s="1"/>
  <c r="HT229" i="2"/>
  <c r="HU220" i="2"/>
  <c r="HU222" i="2" s="1"/>
  <c r="HU223" i="2" s="1"/>
  <c r="HU226" i="2"/>
  <c r="HU219" i="2"/>
  <c r="JA57" i="2"/>
  <c r="HM262" i="2"/>
  <c r="HM263" i="2" s="1"/>
  <c r="HM264" i="2" s="1"/>
  <c r="HM261" i="2"/>
  <c r="IB61" i="2"/>
  <c r="IA60" i="2"/>
  <c r="IY88" i="2"/>
  <c r="DO61" i="2" s="1"/>
  <c r="DO62" i="2" s="1"/>
  <c r="IA74" i="2"/>
  <c r="HU218" i="2"/>
  <c r="HV214" i="2" s="1"/>
  <c r="HZ211" i="2"/>
  <c r="HZ209" i="2"/>
  <c r="HZ208" i="2"/>
  <c r="IA204" i="2" s="1"/>
  <c r="IY87" i="2"/>
  <c r="IY66" i="2" s="1"/>
  <c r="IA199" i="2"/>
  <c r="IA201" i="2" s="1"/>
  <c r="DT191" i="9"/>
  <c r="DT193" i="9" s="1"/>
  <c r="DT141" i="9" s="1"/>
  <c r="DT144" i="9" s="1"/>
  <c r="HQ248" i="2"/>
  <c r="HQ250" i="2" s="1"/>
  <c r="DT204" i="9"/>
  <c r="HR239" i="2"/>
  <c r="HT234" i="2"/>
  <c r="HT233" i="2"/>
  <c r="HM260" i="2"/>
  <c r="HN256" i="2" s="1"/>
  <c r="HL265" i="2"/>
  <c r="HL266" i="2"/>
  <c r="HK267" i="2"/>
  <c r="JA73" i="2" l="1"/>
  <c r="JA86" i="2" s="1"/>
  <c r="IZ86" i="2"/>
  <c r="IZ87" i="2" s="1"/>
  <c r="HT235" i="2"/>
  <c r="DT192" i="9"/>
  <c r="DU189" i="9" s="1"/>
  <c r="HL267" i="2"/>
  <c r="IA216" i="2"/>
  <c r="IA207" i="2"/>
  <c r="IA203" i="2"/>
  <c r="IA202" i="2"/>
  <c r="IB198" i="2" s="1"/>
  <c r="HQ253" i="2"/>
  <c r="HQ254" i="2" s="1"/>
  <c r="HQ255" i="2" s="1"/>
  <c r="HQ258" i="2"/>
  <c r="HQ252" i="2"/>
  <c r="IB62" i="2"/>
  <c r="IB58" i="2" s="1"/>
  <c r="HZ212" i="2"/>
  <c r="HV215" i="2"/>
  <c r="HV217" i="2" s="1"/>
  <c r="HQ251" i="2"/>
  <c r="HR247" i="2" s="1"/>
  <c r="HM266" i="2"/>
  <c r="HM265" i="2"/>
  <c r="IA205" i="2"/>
  <c r="DT157" i="9"/>
  <c r="DT126" i="9"/>
  <c r="DT103" i="9" s="1"/>
  <c r="JA70" i="2"/>
  <c r="HR241" i="2"/>
  <c r="HR242" i="2" s="1"/>
  <c r="HS238" i="2" s="1"/>
  <c r="HU227" i="2"/>
  <c r="HU230" i="2" s="1"/>
  <c r="HU231" i="2" s="1"/>
  <c r="HU232" i="2" s="1"/>
  <c r="HN257" i="2"/>
  <c r="HN259" i="2" s="1"/>
  <c r="HM267" i="2" l="1"/>
  <c r="IZ88" i="2"/>
  <c r="DP61" i="2" s="1"/>
  <c r="DP62" i="2" s="1"/>
  <c r="IZ66" i="2"/>
  <c r="JA77" i="2"/>
  <c r="HU228" i="2"/>
  <c r="HV224" i="2" s="1"/>
  <c r="HV225" i="2" s="1"/>
  <c r="IA208" i="2"/>
  <c r="IB204" i="2" s="1"/>
  <c r="IB205" i="2" s="1"/>
  <c r="HN262" i="2"/>
  <c r="HN263" i="2" s="1"/>
  <c r="HN264" i="2" s="1"/>
  <c r="HN261" i="2"/>
  <c r="IC61" i="2"/>
  <c r="IB60" i="2"/>
  <c r="IB74" i="2"/>
  <c r="HV220" i="2"/>
  <c r="HV222" i="2" s="1"/>
  <c r="HV223" i="2" s="1"/>
  <c r="HV226" i="2"/>
  <c r="HV219" i="2"/>
  <c r="HV218" i="2"/>
  <c r="HW214" i="2" s="1"/>
  <c r="JA88" i="2"/>
  <c r="DQ61" i="2" s="1"/>
  <c r="DQ62" i="2" s="1"/>
  <c r="HN260" i="2"/>
  <c r="HO256" i="2" s="1"/>
  <c r="HS239" i="2"/>
  <c r="IB199" i="2"/>
  <c r="IB201" i="2" s="1"/>
  <c r="HR248" i="2"/>
  <c r="HU229" i="2"/>
  <c r="JB57" i="2"/>
  <c r="JB70" i="2" s="1"/>
  <c r="IA211" i="2"/>
  <c r="IA209" i="2"/>
  <c r="HU234" i="2"/>
  <c r="HU233" i="2"/>
  <c r="DT149" i="9"/>
  <c r="DT128" i="9"/>
  <c r="HR249" i="2"/>
  <c r="HR244" i="2"/>
  <c r="HR245" i="2" s="1"/>
  <c r="HR243" i="2"/>
  <c r="DT107" i="9"/>
  <c r="JA87" i="2"/>
  <c r="JA66" i="2" s="1"/>
  <c r="HV227" i="2" l="1"/>
  <c r="HV230" i="2" s="1"/>
  <c r="HV231" i="2" s="1"/>
  <c r="HV232" i="2" s="1"/>
  <c r="HR250" i="2"/>
  <c r="HR253" i="2" s="1"/>
  <c r="HR254" i="2" s="1"/>
  <c r="HR255" i="2" s="1"/>
  <c r="HS241" i="2"/>
  <c r="HS249" i="2" s="1"/>
  <c r="IB216" i="2"/>
  <c r="IB207" i="2"/>
  <c r="IB203" i="2"/>
  <c r="HU235" i="2"/>
  <c r="IB202" i="2"/>
  <c r="IC198" i="2" s="1"/>
  <c r="HW215" i="2"/>
  <c r="HW217" i="2" s="1"/>
  <c r="DT148" i="9"/>
  <c r="DT205" i="9" s="1"/>
  <c r="DT110" i="9"/>
  <c r="DT113" i="9" s="1"/>
  <c r="DT151" i="9"/>
  <c r="DT200" i="9" s="1"/>
  <c r="DT201" i="9" s="1"/>
  <c r="IA212" i="2"/>
  <c r="JB73" i="2"/>
  <c r="HO257" i="2"/>
  <c r="HO259" i="2" s="1"/>
  <c r="HO260" i="2" s="1"/>
  <c r="HP256" i="2" s="1"/>
  <c r="IC62" i="2"/>
  <c r="IC58" i="2" s="1"/>
  <c r="DU116" i="9"/>
  <c r="DT135" i="9"/>
  <c r="JC57" i="2"/>
  <c r="DT136" i="9"/>
  <c r="HN266" i="2"/>
  <c r="HN265" i="2"/>
  <c r="HV228" i="2" l="1"/>
  <c r="HW224" i="2" s="1"/>
  <c r="HW225" i="2" s="1"/>
  <c r="HR252" i="2"/>
  <c r="HN267" i="2"/>
  <c r="DT153" i="9"/>
  <c r="DT155" i="9" s="1"/>
  <c r="HW218" i="2"/>
  <c r="HX214" i="2" s="1"/>
  <c r="HX215" i="2" s="1"/>
  <c r="HS242" i="2"/>
  <c r="HT238" i="2" s="1"/>
  <c r="HR258" i="2"/>
  <c r="HS243" i="2"/>
  <c r="HS244" i="2"/>
  <c r="HS245" i="2" s="1"/>
  <c r="HV229" i="2"/>
  <c r="HR251" i="2"/>
  <c r="HS247" i="2" s="1"/>
  <c r="HS248" i="2" s="1"/>
  <c r="HS250" i="2" s="1"/>
  <c r="HS252" i="2" s="1"/>
  <c r="HP257" i="2"/>
  <c r="HP259" i="2" s="1"/>
  <c r="ID61" i="2"/>
  <c r="IC60" i="2"/>
  <c r="IC74" i="2"/>
  <c r="DU101" i="9"/>
  <c r="DT112" i="9"/>
  <c r="DT111" i="9"/>
  <c r="DT202" i="9"/>
  <c r="DT198" i="9"/>
  <c r="DT133" i="9"/>
  <c r="DT134" i="9"/>
  <c r="DT199" i="9"/>
  <c r="HV234" i="2"/>
  <c r="HV233" i="2"/>
  <c r="IB211" i="2"/>
  <c r="IB209" i="2"/>
  <c r="DU123" i="9"/>
  <c r="DU124" i="9"/>
  <c r="JB86" i="2"/>
  <c r="JB87" i="2" s="1"/>
  <c r="JB77" i="2"/>
  <c r="JC73" i="2"/>
  <c r="HW220" i="2"/>
  <c r="HW222" i="2" s="1"/>
  <c r="HW223" i="2" s="1"/>
  <c r="HW226" i="2"/>
  <c r="HW219" i="2"/>
  <c r="IC199" i="2"/>
  <c r="IC201" i="2" s="1"/>
  <c r="JC70" i="2"/>
  <c r="HO262" i="2"/>
  <c r="HO263" i="2" s="1"/>
  <c r="HO264" i="2" s="1"/>
  <c r="HO261" i="2"/>
  <c r="IB208" i="2"/>
  <c r="IC204" i="2" s="1"/>
  <c r="HV235" i="2" l="1"/>
  <c r="HT239" i="2"/>
  <c r="HT241" i="2" s="1"/>
  <c r="IC216" i="2"/>
  <c r="IC207" i="2"/>
  <c r="IC203" i="2"/>
  <c r="HP262" i="2"/>
  <c r="HP263" i="2" s="1"/>
  <c r="HP264" i="2" s="1"/>
  <c r="HP261" i="2"/>
  <c r="HP260" i="2"/>
  <c r="HQ256" i="2" s="1"/>
  <c r="HO266" i="2"/>
  <c r="HO265" i="2"/>
  <c r="ID62" i="2"/>
  <c r="ID58" i="2" s="1"/>
  <c r="HS253" i="2"/>
  <c r="HS254" i="2" s="1"/>
  <c r="HS255" i="2" s="1"/>
  <c r="HS258" i="2"/>
  <c r="HW227" i="2"/>
  <c r="HW230" i="2" s="1"/>
  <c r="HW231" i="2" s="1"/>
  <c r="HW232" i="2" s="1"/>
  <c r="HX217" i="2"/>
  <c r="JD57" i="2"/>
  <c r="JD70" i="2" s="1"/>
  <c r="IC202" i="2"/>
  <c r="ID198" i="2" s="1"/>
  <c r="JC86" i="2"/>
  <c r="JC87" i="2" s="1"/>
  <c r="JC77" i="2"/>
  <c r="DU197" i="9"/>
  <c r="DU196" i="9"/>
  <c r="DU154" i="9"/>
  <c r="DU130" i="9"/>
  <c r="DU146" i="9"/>
  <c r="DJ132" i="9"/>
  <c r="DJ131" i="9"/>
  <c r="DU108" i="9"/>
  <c r="DU109" i="9"/>
  <c r="IC205" i="2"/>
  <c r="JB88" i="2"/>
  <c r="DR61" i="2" s="1"/>
  <c r="DR62" i="2" s="1"/>
  <c r="JB66" i="2"/>
  <c r="DU147" i="9"/>
  <c r="DJ203" i="9"/>
  <c r="IB212" i="2"/>
  <c r="HS251" i="2"/>
  <c r="HT247" i="2" s="1"/>
  <c r="HW229" i="2" l="1"/>
  <c r="IC208" i="2"/>
  <c r="ID204" i="2" s="1"/>
  <c r="ID205" i="2" s="1"/>
  <c r="HO267" i="2"/>
  <c r="HT249" i="2"/>
  <c r="HT244" i="2"/>
  <c r="HT245" i="2" s="1"/>
  <c r="HT243" i="2"/>
  <c r="HT242" i="2"/>
  <c r="HU238" i="2" s="1"/>
  <c r="IE61" i="2"/>
  <c r="ID60" i="2"/>
  <c r="ID74" i="2"/>
  <c r="HW234" i="2"/>
  <c r="HW233" i="2"/>
  <c r="HX220" i="2"/>
  <c r="HX222" i="2" s="1"/>
  <c r="HX223" i="2" s="1"/>
  <c r="HX226" i="2"/>
  <c r="HX219" i="2"/>
  <c r="HP266" i="2"/>
  <c r="HP265" i="2"/>
  <c r="HX218" i="2"/>
  <c r="HY214" i="2" s="1"/>
  <c r="HQ257" i="2"/>
  <c r="HQ259" i="2" s="1"/>
  <c r="HW228" i="2"/>
  <c r="HX224" i="2" s="1"/>
  <c r="JE57" i="2"/>
  <c r="JE70" i="2" s="1"/>
  <c r="HT248" i="2"/>
  <c r="JD73" i="2"/>
  <c r="DU145" i="9"/>
  <c r="DU204" i="9" s="1"/>
  <c r="DU190" i="9"/>
  <c r="IC211" i="2"/>
  <c r="IC209" i="2"/>
  <c r="ID199" i="2"/>
  <c r="ID201" i="2" s="1"/>
  <c r="JC88" i="2"/>
  <c r="DS61" i="2" s="1"/>
  <c r="DS62" i="2" s="1"/>
  <c r="JC66" i="2"/>
  <c r="HW235" i="2" l="1"/>
  <c r="HU239" i="2"/>
  <c r="HU241" i="2" s="1"/>
  <c r="HQ262" i="2"/>
  <c r="HQ263" i="2" s="1"/>
  <c r="HQ264" i="2" s="1"/>
  <c r="HQ261" i="2"/>
  <c r="JF57" i="2"/>
  <c r="ID216" i="2"/>
  <c r="ID207" i="2"/>
  <c r="ID203" i="2"/>
  <c r="HP267" i="2"/>
  <c r="IC212" i="2"/>
  <c r="HX225" i="2"/>
  <c r="DU191" i="9"/>
  <c r="DU192" i="9" s="1"/>
  <c r="DV189" i="9" s="1"/>
  <c r="JD86" i="2"/>
  <c r="JD87" i="2" s="1"/>
  <c r="JD77" i="2"/>
  <c r="JE73" i="2"/>
  <c r="ID202" i="2"/>
  <c r="IE198" i="2" s="1"/>
  <c r="HT250" i="2"/>
  <c r="HQ260" i="2"/>
  <c r="HR256" i="2" s="1"/>
  <c r="HY215" i="2"/>
  <c r="HY217" i="2" s="1"/>
  <c r="IE62" i="2"/>
  <c r="IE58" i="2" s="1"/>
  <c r="HU244" i="2" l="1"/>
  <c r="HU245" i="2" s="1"/>
  <c r="HU249" i="2"/>
  <c r="HU243" i="2"/>
  <c r="HU242" i="2"/>
  <c r="HV238" i="2" s="1"/>
  <c r="HY218" i="2"/>
  <c r="HZ214" i="2" s="1"/>
  <c r="HZ215" i="2" s="1"/>
  <c r="HZ217" i="2" s="1"/>
  <c r="IF61" i="2"/>
  <c r="IE60" i="2"/>
  <c r="IE74" i="2"/>
  <c r="DU193" i="9"/>
  <c r="DU141" i="9" s="1"/>
  <c r="DU144" i="9" s="1"/>
  <c r="ID211" i="2"/>
  <c r="ID209" i="2"/>
  <c r="HT253" i="2"/>
  <c r="HT254" i="2" s="1"/>
  <c r="HT255" i="2" s="1"/>
  <c r="HT258" i="2"/>
  <c r="HT252" i="2"/>
  <c r="JF70" i="2"/>
  <c r="IE199" i="2"/>
  <c r="HX227" i="2"/>
  <c r="HQ265" i="2"/>
  <c r="HQ266" i="2"/>
  <c r="HR257" i="2"/>
  <c r="JE86" i="2"/>
  <c r="JE77" i="2"/>
  <c r="JF73" i="2"/>
  <c r="JD88" i="2"/>
  <c r="DT61" i="2" s="1"/>
  <c r="DT62" i="2" s="1"/>
  <c r="JD66" i="2"/>
  <c r="HY220" i="2"/>
  <c r="HY222" i="2" s="1"/>
  <c r="HY223" i="2" s="1"/>
  <c r="HY226" i="2"/>
  <c r="HY219" i="2"/>
  <c r="ID208" i="2"/>
  <c r="IE204" i="2" s="1"/>
  <c r="HT251" i="2"/>
  <c r="HU247" i="2" s="1"/>
  <c r="HV239" i="2" l="1"/>
  <c r="HR259" i="2"/>
  <c r="HR260" i="2" s="1"/>
  <c r="HS256" i="2" s="1"/>
  <c r="HQ267" i="2"/>
  <c r="HZ220" i="2"/>
  <c r="HZ222" i="2" s="1"/>
  <c r="HZ223" i="2" s="1"/>
  <c r="HZ226" i="2"/>
  <c r="HZ219" i="2"/>
  <c r="HX230" i="2"/>
  <c r="HX231" i="2" s="1"/>
  <c r="HX232" i="2" s="1"/>
  <c r="HX229" i="2"/>
  <c r="ID212" i="2"/>
  <c r="JE88" i="2"/>
  <c r="DU61" i="2" s="1"/>
  <c r="DU62" i="2" s="1"/>
  <c r="HZ218" i="2"/>
  <c r="IA214" i="2" s="1"/>
  <c r="JF86" i="2"/>
  <c r="JF77" i="2"/>
  <c r="IE201" i="2"/>
  <c r="JE87" i="2"/>
  <c r="JE66" i="2" s="1"/>
  <c r="JG57" i="2"/>
  <c r="JG70" i="2" s="1"/>
  <c r="HX228" i="2"/>
  <c r="HY224" i="2" s="1"/>
  <c r="IE205" i="2"/>
  <c r="HU248" i="2"/>
  <c r="HU250" i="2" s="1"/>
  <c r="DU157" i="9"/>
  <c r="DU126" i="9"/>
  <c r="DU103" i="9" s="1"/>
  <c r="IF62" i="2"/>
  <c r="IF58" i="2" s="1"/>
  <c r="HR261" i="2" l="1"/>
  <c r="HR262" i="2"/>
  <c r="HR263" i="2" s="1"/>
  <c r="HR264" i="2" s="1"/>
  <c r="HR265" i="2" s="1"/>
  <c r="HS257" i="2"/>
  <c r="HS259" i="2" s="1"/>
  <c r="HV241" i="2"/>
  <c r="HU253" i="2"/>
  <c r="HU254" i="2" s="1"/>
  <c r="HU255" i="2" s="1"/>
  <c r="HU258" i="2"/>
  <c r="HU252" i="2"/>
  <c r="IG61" i="2"/>
  <c r="IF60" i="2"/>
  <c r="IF74" i="2"/>
  <c r="JH57" i="2"/>
  <c r="JH70" i="2" s="1"/>
  <c r="DU149" i="9"/>
  <c r="DU128" i="9"/>
  <c r="DU136" i="9" s="1"/>
  <c r="HU251" i="2"/>
  <c r="HV247" i="2" s="1"/>
  <c r="HX233" i="2"/>
  <c r="HX234" i="2"/>
  <c r="IE216" i="2"/>
  <c r="IE207" i="2"/>
  <c r="IE203" i="2"/>
  <c r="IE202" i="2"/>
  <c r="IF198" i="2" s="1"/>
  <c r="JF88" i="2"/>
  <c r="DV61" i="2" s="1"/>
  <c r="DV62" i="2" s="1"/>
  <c r="JF87" i="2"/>
  <c r="JF66" i="2" s="1"/>
  <c r="JG73" i="2"/>
  <c r="HY225" i="2"/>
  <c r="HY227" i="2" s="1"/>
  <c r="IA215" i="2"/>
  <c r="DU107" i="9"/>
  <c r="HR266" i="2" l="1"/>
  <c r="HR267" i="2" s="1"/>
  <c r="HS262" i="2"/>
  <c r="HS263" i="2" s="1"/>
  <c r="HS264" i="2" s="1"/>
  <c r="HS265" i="2" s="1"/>
  <c r="HS260" i="2"/>
  <c r="HT256" i="2" s="1"/>
  <c r="HT257" i="2" s="1"/>
  <c r="HT259" i="2" s="1"/>
  <c r="HS261" i="2"/>
  <c r="HV244" i="2"/>
  <c r="HV245" i="2" s="1"/>
  <c r="HV249" i="2"/>
  <c r="HV243" i="2"/>
  <c r="HV242" i="2"/>
  <c r="HW238" i="2" s="1"/>
  <c r="HX235" i="2"/>
  <c r="JI57" i="2"/>
  <c r="HY230" i="2"/>
  <c r="HY231" i="2" s="1"/>
  <c r="HY232" i="2" s="1"/>
  <c r="HY229" i="2"/>
  <c r="DV116" i="9"/>
  <c r="DU135" i="9"/>
  <c r="JG86" i="2"/>
  <c r="JG87" i="2" s="1"/>
  <c r="JG77" i="2"/>
  <c r="JH73" i="2"/>
  <c r="IE211" i="2"/>
  <c r="IE209" i="2"/>
  <c r="IE208" i="2"/>
  <c r="IF204" i="2" s="1"/>
  <c r="HY228" i="2"/>
  <c r="HZ224" i="2" s="1"/>
  <c r="IG62" i="2"/>
  <c r="IG58" i="2" s="1"/>
  <c r="DU148" i="9"/>
  <c r="DU205" i="9" s="1"/>
  <c r="DU110" i="9"/>
  <c r="DU151" i="9"/>
  <c r="DU200" i="9" s="1"/>
  <c r="DU201" i="9" s="1"/>
  <c r="IA217" i="2"/>
  <c r="IF199" i="2"/>
  <c r="HV248" i="2"/>
  <c r="HV250" i="2" l="1"/>
  <c r="HV258" i="2" s="1"/>
  <c r="HS266" i="2"/>
  <c r="HS267" i="2" s="1"/>
  <c r="DU153" i="9"/>
  <c r="DU155" i="9" s="1"/>
  <c r="HT260" i="2"/>
  <c r="HU256" i="2" s="1"/>
  <c r="HU257" i="2" s="1"/>
  <c r="HU259" i="2" s="1"/>
  <c r="HW239" i="2"/>
  <c r="HW241" i="2" s="1"/>
  <c r="HW242" i="2" s="1"/>
  <c r="HX238" i="2" s="1"/>
  <c r="IH61" i="2"/>
  <c r="IG60" i="2"/>
  <c r="IG74" i="2"/>
  <c r="DV101" i="9"/>
  <c r="DU112" i="9"/>
  <c r="DU111" i="9"/>
  <c r="DU198" i="9"/>
  <c r="DU133" i="9"/>
  <c r="DU134" i="9"/>
  <c r="DU202" i="9"/>
  <c r="DU199" i="9"/>
  <c r="JH86" i="2"/>
  <c r="JH87" i="2" s="1"/>
  <c r="JH77" i="2"/>
  <c r="JI73" i="2"/>
  <c r="HT262" i="2"/>
  <c r="HT263" i="2" s="1"/>
  <c r="HT264" i="2" s="1"/>
  <c r="HT261" i="2"/>
  <c r="IA220" i="2"/>
  <c r="IA222" i="2" s="1"/>
  <c r="IA223" i="2" s="1"/>
  <c r="IA226" i="2"/>
  <c r="IA219" i="2"/>
  <c r="JG88" i="2"/>
  <c r="DW61" i="2" s="1"/>
  <c r="DW62" i="2" s="1"/>
  <c r="JG66" i="2"/>
  <c r="DV123" i="9"/>
  <c r="DV124" i="9"/>
  <c r="HZ225" i="2"/>
  <c r="HZ227" i="2" s="1"/>
  <c r="HY233" i="2"/>
  <c r="HY234" i="2"/>
  <c r="IF205" i="2"/>
  <c r="IA218" i="2"/>
  <c r="IB214" i="2" s="1"/>
  <c r="DU113" i="9"/>
  <c r="IF201" i="2"/>
  <c r="IF202" i="2" s="1"/>
  <c r="IG198" i="2" s="1"/>
  <c r="IE212" i="2"/>
  <c r="JI70" i="2"/>
  <c r="HV251" i="2" l="1"/>
  <c r="HW247" i="2" s="1"/>
  <c r="HW248" i="2" s="1"/>
  <c r="HV253" i="2"/>
  <c r="HV254" i="2" s="1"/>
  <c r="HV255" i="2" s="1"/>
  <c r="HV252" i="2"/>
  <c r="HX239" i="2"/>
  <c r="HX241" i="2" s="1"/>
  <c r="HW249" i="2"/>
  <c r="HW244" i="2"/>
  <c r="HW245" i="2" s="1"/>
  <c r="HW243" i="2"/>
  <c r="IG199" i="2"/>
  <c r="IG201" i="2" s="1"/>
  <c r="HU262" i="2"/>
  <c r="HU263" i="2" s="1"/>
  <c r="HU264" i="2" s="1"/>
  <c r="HU261" i="2"/>
  <c r="IH62" i="2"/>
  <c r="IH58" i="2" s="1"/>
  <c r="HY235" i="2"/>
  <c r="HT265" i="2"/>
  <c r="HT266" i="2"/>
  <c r="HZ230" i="2"/>
  <c r="HZ231" i="2" s="1"/>
  <c r="HZ232" i="2" s="1"/>
  <c r="HZ229" i="2"/>
  <c r="JI86" i="2"/>
  <c r="JI77" i="2"/>
  <c r="JJ57" i="2"/>
  <c r="DV108" i="9"/>
  <c r="DV109" i="9"/>
  <c r="K12" i="9" s="1"/>
  <c r="JH88" i="2"/>
  <c r="DX61" i="2" s="1"/>
  <c r="DX62" i="2" s="1"/>
  <c r="JH66" i="2"/>
  <c r="C441" i="10"/>
  <c r="DV147" i="9"/>
  <c r="DK203" i="9"/>
  <c r="DL203" i="9"/>
  <c r="DM203" i="9"/>
  <c r="DN203" i="9"/>
  <c r="DO203" i="9"/>
  <c r="DP203" i="9"/>
  <c r="DQ203" i="9"/>
  <c r="DV197" i="9"/>
  <c r="DV203" i="9"/>
  <c r="DV196" i="9"/>
  <c r="DV154" i="9"/>
  <c r="B170" i="9" s="1"/>
  <c r="DV130" i="9"/>
  <c r="K20" i="9" s="1"/>
  <c r="DV131" i="9"/>
  <c r="DV132" i="9"/>
  <c r="DV146" i="9"/>
  <c r="DK132" i="9"/>
  <c r="DK131" i="9"/>
  <c r="DM131" i="9"/>
  <c r="DL132" i="9"/>
  <c r="DL131" i="9"/>
  <c r="DM132" i="9"/>
  <c r="DN131" i="9"/>
  <c r="DN132" i="9"/>
  <c r="DO131" i="9"/>
  <c r="DO132" i="9"/>
  <c r="DP132" i="9"/>
  <c r="DQ132" i="9"/>
  <c r="DP131" i="9"/>
  <c r="DQ131" i="9"/>
  <c r="DR203" i="9"/>
  <c r="DR131" i="9"/>
  <c r="DS203" i="9"/>
  <c r="DS131" i="9"/>
  <c r="DT131" i="9"/>
  <c r="DS132" i="9"/>
  <c r="DT203" i="9"/>
  <c r="DU203" i="9"/>
  <c r="DR132" i="9"/>
  <c r="DU132" i="9"/>
  <c r="DU131" i="9"/>
  <c r="DT132" i="9"/>
  <c r="IB215" i="2"/>
  <c r="HZ228" i="2"/>
  <c r="IA224" i="2" s="1"/>
  <c r="HU260" i="2"/>
  <c r="HV256" i="2" s="1"/>
  <c r="IF216" i="2"/>
  <c r="IF207" i="2"/>
  <c r="IF203" i="2"/>
  <c r="HW250" i="2" l="1"/>
  <c r="HW251" i="2" s="1"/>
  <c r="HX247" i="2" s="1"/>
  <c r="HX248" i="2" s="1"/>
  <c r="K19" i="9"/>
  <c r="HX249" i="2"/>
  <c r="HX244" i="2"/>
  <c r="HX245" i="2" s="1"/>
  <c r="HX243" i="2"/>
  <c r="HX242" i="2"/>
  <c r="HY238" i="2" s="1"/>
  <c r="IB217" i="2"/>
  <c r="IB218" i="2" s="1"/>
  <c r="IC214" i="2" s="1"/>
  <c r="IC215" i="2" s="1"/>
  <c r="IC217" i="2" s="1"/>
  <c r="II61" i="2"/>
  <c r="IH60" i="2"/>
  <c r="IH74" i="2"/>
  <c r="IG216" i="2"/>
  <c r="IG207" i="2"/>
  <c r="IG203" i="2"/>
  <c r="IG202" i="2"/>
  <c r="IH198" i="2" s="1"/>
  <c r="HZ233" i="2"/>
  <c r="HZ234" i="2"/>
  <c r="HU265" i="2"/>
  <c r="HU266" i="2"/>
  <c r="DV145" i="9"/>
  <c r="DV190" i="9"/>
  <c r="K11" i="9"/>
  <c r="HT267" i="2"/>
  <c r="E158" i="8"/>
  <c r="K17" i="9"/>
  <c r="K18" i="9"/>
  <c r="E157" i="8"/>
  <c r="JJ70" i="2"/>
  <c r="IF211" i="2"/>
  <c r="IF209" i="2"/>
  <c r="IF208" i="2"/>
  <c r="IG204" i="2" s="1"/>
  <c r="JJ73" i="2"/>
  <c r="JI88" i="2"/>
  <c r="DY61" i="2" s="1"/>
  <c r="DY62" i="2" s="1"/>
  <c r="HV257" i="2"/>
  <c r="JI87" i="2"/>
  <c r="JI66" i="2" s="1"/>
  <c r="IA225" i="2"/>
  <c r="IA227" i="2" s="1"/>
  <c r="E159" i="8"/>
  <c r="HW252" i="2" l="1"/>
  <c r="HW258" i="2"/>
  <c r="HX250" i="2"/>
  <c r="HX253" i="2" s="1"/>
  <c r="HX254" i="2" s="1"/>
  <c r="HX255" i="2" s="1"/>
  <c r="HW253" i="2"/>
  <c r="HW254" i="2" s="1"/>
  <c r="HW255" i="2" s="1"/>
  <c r="IB219" i="2"/>
  <c r="IB226" i="2"/>
  <c r="IB220" i="2"/>
  <c r="IB222" i="2" s="1"/>
  <c r="IB223" i="2" s="1"/>
  <c r="HY239" i="2"/>
  <c r="HY241" i="2" s="1"/>
  <c r="IA230" i="2"/>
  <c r="IA231" i="2" s="1"/>
  <c r="IA232" i="2" s="1"/>
  <c r="IA229" i="2"/>
  <c r="IC220" i="2"/>
  <c r="IC222" i="2" s="1"/>
  <c r="IC223" i="2" s="1"/>
  <c r="IC226" i="2"/>
  <c r="IC219" i="2"/>
  <c r="IC218" i="2"/>
  <c r="ID214" i="2" s="1"/>
  <c r="IG211" i="2"/>
  <c r="IG209" i="2"/>
  <c r="IF212" i="2"/>
  <c r="DV191" i="9"/>
  <c r="DV193" i="9" s="1"/>
  <c r="HV259" i="2"/>
  <c r="JK57" i="2"/>
  <c r="JK73" i="2" s="1"/>
  <c r="DV204" i="9"/>
  <c r="D170" i="8"/>
  <c r="E170" i="8"/>
  <c r="F170" i="8"/>
  <c r="HU267" i="2"/>
  <c r="II62" i="2"/>
  <c r="II58" i="2" s="1"/>
  <c r="HZ235" i="2"/>
  <c r="IA228" i="2"/>
  <c r="IB224" i="2" s="1"/>
  <c r="JJ86" i="2"/>
  <c r="JJ77" i="2"/>
  <c r="IH199" i="2"/>
  <c r="IH201" i="2" s="1"/>
  <c r="IH202" i="2" s="1"/>
  <c r="II198" i="2" s="1"/>
  <c r="IG205" i="2"/>
  <c r="IG208" i="2" s="1"/>
  <c r="IH204" i="2" s="1"/>
  <c r="HX252" i="2" l="1"/>
  <c r="HX258" i="2"/>
  <c r="HX251" i="2"/>
  <c r="HY247" i="2" s="1"/>
  <c r="HY248" i="2" s="1"/>
  <c r="HY242" i="2"/>
  <c r="HZ238" i="2" s="1"/>
  <c r="HZ239" i="2" s="1"/>
  <c r="HZ241" i="2" s="1"/>
  <c r="DV192" i="9"/>
  <c r="HY244" i="2"/>
  <c r="HY245" i="2" s="1"/>
  <c r="HY249" i="2"/>
  <c r="HY243" i="2"/>
  <c r="IJ61" i="2"/>
  <c r="II60" i="2"/>
  <c r="II74" i="2"/>
  <c r="II199" i="2"/>
  <c r="II201" i="2" s="1"/>
  <c r="IH216" i="2"/>
  <c r="IH207" i="2"/>
  <c r="IH203" i="2"/>
  <c r="JK77" i="2"/>
  <c r="JK86" i="2"/>
  <c r="JK87" i="2" s="1"/>
  <c r="ID215" i="2"/>
  <c r="ID217" i="2" s="1"/>
  <c r="G170" i="8"/>
  <c r="DV141" i="9"/>
  <c r="DV144" i="9" s="1"/>
  <c r="H29" i="6"/>
  <c r="I29" i="6"/>
  <c r="J29" i="6"/>
  <c r="K29" i="6"/>
  <c r="L29" i="6"/>
  <c r="M29" i="6"/>
  <c r="N29" i="6"/>
  <c r="IB225" i="2"/>
  <c r="JK70" i="2"/>
  <c r="JJ88" i="2"/>
  <c r="DZ61" i="2" s="1"/>
  <c r="DZ62" i="2" s="1"/>
  <c r="JJ87" i="2"/>
  <c r="JJ66" i="2" s="1"/>
  <c r="IG212" i="2"/>
  <c r="HV262" i="2"/>
  <c r="HV263" i="2" s="1"/>
  <c r="HV264" i="2" s="1"/>
  <c r="HV261" i="2"/>
  <c r="IA233" i="2"/>
  <c r="IA234" i="2"/>
  <c r="IH205" i="2"/>
  <c r="HV260" i="2"/>
  <c r="HW256" i="2" s="1"/>
  <c r="HY250" i="2" l="1"/>
  <c r="HY252" i="2" s="1"/>
  <c r="IH208" i="2"/>
  <c r="II204" i="2" s="1"/>
  <c r="II205" i="2" s="1"/>
  <c r="HZ242" i="2"/>
  <c r="IA238" i="2" s="1"/>
  <c r="IA239" i="2" s="1"/>
  <c r="HZ243" i="2"/>
  <c r="HZ249" i="2"/>
  <c r="HZ244" i="2"/>
  <c r="HZ245" i="2" s="1"/>
  <c r="II216" i="2"/>
  <c r="II207" i="2"/>
  <c r="II203" i="2"/>
  <c r="II202" i="2"/>
  <c r="IJ198" i="2" s="1"/>
  <c r="ID220" i="2"/>
  <c r="ID222" i="2" s="1"/>
  <c r="ID223" i="2" s="1"/>
  <c r="ID226" i="2"/>
  <c r="ID219" i="2"/>
  <c r="M60" i="6"/>
  <c r="M62" i="6" s="1"/>
  <c r="M30" i="6"/>
  <c r="M90" i="6" s="1"/>
  <c r="ID218" i="2"/>
  <c r="IE214" i="2" s="1"/>
  <c r="J60" i="6"/>
  <c r="J62" i="6" s="1"/>
  <c r="J30" i="6"/>
  <c r="J90" i="6" s="1"/>
  <c r="I60" i="6"/>
  <c r="I62" i="6" s="1"/>
  <c r="I30" i="6"/>
  <c r="I90" i="6" s="1"/>
  <c r="H60" i="6"/>
  <c r="H62" i="6" s="1"/>
  <c r="H30" i="6"/>
  <c r="HW257" i="2"/>
  <c r="HW259" i="2" s="1"/>
  <c r="DV157" i="9"/>
  <c r="D169" i="8"/>
  <c r="E169" i="8"/>
  <c r="F169" i="8"/>
  <c r="DV126" i="9"/>
  <c r="DV107" i="9" s="1"/>
  <c r="L60" i="6"/>
  <c r="L62" i="6" s="1"/>
  <c r="L30" i="6"/>
  <c r="L90" i="6" s="1"/>
  <c r="JK88" i="2"/>
  <c r="EA61" i="2" s="1"/>
  <c r="EA62" i="2" s="1"/>
  <c r="JK66" i="2"/>
  <c r="K60" i="6"/>
  <c r="K62" i="6" s="1"/>
  <c r="K30" i="6"/>
  <c r="K90" i="6" s="1"/>
  <c r="IB227" i="2"/>
  <c r="IH211" i="2"/>
  <c r="IH209" i="2"/>
  <c r="JL57" i="2"/>
  <c r="IA235" i="2"/>
  <c r="HV265" i="2"/>
  <c r="HV266" i="2"/>
  <c r="N60" i="6"/>
  <c r="N62" i="6" s="1"/>
  <c r="N30" i="6"/>
  <c r="N90" i="6" s="1"/>
  <c r="IJ62" i="2"/>
  <c r="IJ58" i="2" s="1"/>
  <c r="HY258" i="2" l="1"/>
  <c r="HY253" i="2"/>
  <c r="HY254" i="2" s="1"/>
  <c r="HY255" i="2" s="1"/>
  <c r="HY251" i="2"/>
  <c r="HZ247" i="2" s="1"/>
  <c r="HZ248" i="2" s="1"/>
  <c r="IA241" i="2"/>
  <c r="IA249" i="2" s="1"/>
  <c r="II208" i="2"/>
  <c r="IJ204" i="2" s="1"/>
  <c r="IJ205" i="2" s="1"/>
  <c r="HW260" i="2"/>
  <c r="HX256" i="2" s="1"/>
  <c r="HX257" i="2" s="1"/>
  <c r="HX259" i="2" s="1"/>
  <c r="IK61" i="2"/>
  <c r="IJ60" i="2"/>
  <c r="IJ74" i="2"/>
  <c r="B167" i="9"/>
  <c r="C440" i="10"/>
  <c r="IH212" i="2"/>
  <c r="H90" i="6"/>
  <c r="J43" i="6"/>
  <c r="L43" i="6"/>
  <c r="H43" i="6"/>
  <c r="K43" i="6"/>
  <c r="N43" i="6"/>
  <c r="I43" i="6"/>
  <c r="M43" i="6"/>
  <c r="IB230" i="2"/>
  <c r="IB231" i="2" s="1"/>
  <c r="IB232" i="2" s="1"/>
  <c r="IB229" i="2"/>
  <c r="DV149" i="9"/>
  <c r="DV151" i="9" s="1"/>
  <c r="K26" i="9" s="1"/>
  <c r="DV128" i="9"/>
  <c r="DV136" i="9" s="1"/>
  <c r="H73" i="6"/>
  <c r="H74" i="6"/>
  <c r="IB228" i="2"/>
  <c r="IC224" i="2" s="1"/>
  <c r="DV148" i="9"/>
  <c r="B165" i="9"/>
  <c r="DV110" i="9"/>
  <c r="DV113" i="9" s="1"/>
  <c r="IJ199" i="2"/>
  <c r="HV267" i="2"/>
  <c r="HW262" i="2"/>
  <c r="HW263" i="2" s="1"/>
  <c r="HW264" i="2" s="1"/>
  <c r="HW261" i="2"/>
  <c r="JL73" i="2"/>
  <c r="JL70" i="2"/>
  <c r="DV103" i="9"/>
  <c r="II211" i="2"/>
  <c r="II209" i="2"/>
  <c r="F172" i="8"/>
  <c r="F171" i="8"/>
  <c r="A176" i="8" s="1"/>
  <c r="E172" i="8"/>
  <c r="E171" i="8"/>
  <c r="G169" i="8"/>
  <c r="D172" i="8"/>
  <c r="G172" i="8" s="1"/>
  <c r="D171" i="8"/>
  <c r="G171" i="8" s="1"/>
  <c r="IE215" i="2"/>
  <c r="HZ250" i="2" l="1"/>
  <c r="HZ252" i="2" s="1"/>
  <c r="IA244" i="2"/>
  <c r="IA245" i="2" s="1"/>
  <c r="IA242" i="2"/>
  <c r="IB238" i="2" s="1"/>
  <c r="IB239" i="2" s="1"/>
  <c r="IA243" i="2"/>
  <c r="DV205" i="9"/>
  <c r="DV200" i="9"/>
  <c r="DV201" i="9" s="1"/>
  <c r="HX262" i="2"/>
  <c r="HX263" i="2" s="1"/>
  <c r="HX264" i="2" s="1"/>
  <c r="HX261" i="2"/>
  <c r="JM57" i="2"/>
  <c r="JM73" i="2" s="1"/>
  <c r="HX260" i="2"/>
  <c r="HY256" i="2" s="1"/>
  <c r="IC225" i="2"/>
  <c r="IC227" i="2" s="1"/>
  <c r="H42" i="6"/>
  <c r="II212" i="2"/>
  <c r="IE217" i="2"/>
  <c r="H44" i="6"/>
  <c r="H91" i="6" s="1"/>
  <c r="H75" i="6"/>
  <c r="H78" i="6" s="1"/>
  <c r="H81" i="6" s="1"/>
  <c r="HW265" i="2"/>
  <c r="HW266" i="2"/>
  <c r="IJ201" i="2"/>
  <c r="C439" i="10"/>
  <c r="O14" i="1"/>
  <c r="C390" i="10" s="1"/>
  <c r="E390" i="10" s="1"/>
  <c r="JL86" i="2"/>
  <c r="JL87" i="2" s="1"/>
  <c r="JL77" i="2"/>
  <c r="DV135" i="9"/>
  <c r="E160" i="8"/>
  <c r="DV153" i="9"/>
  <c r="DV112" i="9"/>
  <c r="DV111" i="9"/>
  <c r="K13" i="9"/>
  <c r="B161" i="9"/>
  <c r="K8" i="9"/>
  <c r="DV199" i="9"/>
  <c r="DV198" i="9"/>
  <c r="DV202" i="9"/>
  <c r="E154" i="8" s="1"/>
  <c r="E156" i="8" s="1"/>
  <c r="DV133" i="9"/>
  <c r="B174" i="9" s="1"/>
  <c r="DV134" i="9"/>
  <c r="K15" i="9" s="1"/>
  <c r="K21" i="9"/>
  <c r="IB233" i="2"/>
  <c r="IB234" i="2"/>
  <c r="IK62" i="2"/>
  <c r="IK58" i="2" s="1"/>
  <c r="HZ253" i="2" l="1"/>
  <c r="HZ254" i="2" s="1"/>
  <c r="HZ255" i="2" s="1"/>
  <c r="HZ258" i="2"/>
  <c r="HZ251" i="2"/>
  <c r="IA247" i="2" s="1"/>
  <c r="IA248" i="2" s="1"/>
  <c r="IA250" i="2" s="1"/>
  <c r="IA252" i="2" s="1"/>
  <c r="C442" i="10"/>
  <c r="HW267" i="2"/>
  <c r="IL61" i="2"/>
  <c r="IK60" i="2"/>
  <c r="IK74" i="2"/>
  <c r="JM86" i="2"/>
  <c r="JM87" i="2" s="1"/>
  <c r="JM77" i="2"/>
  <c r="IC230" i="2"/>
  <c r="IC231" i="2" s="1"/>
  <c r="IC232" i="2" s="1"/>
  <c r="IC229" i="2"/>
  <c r="H45" i="6"/>
  <c r="H89" i="6"/>
  <c r="H92" i="6" s="1"/>
  <c r="IC228" i="2"/>
  <c r="ID224" i="2" s="1"/>
  <c r="JM70" i="2"/>
  <c r="IE220" i="2"/>
  <c r="IE222" i="2" s="1"/>
  <c r="IE223" i="2" s="1"/>
  <c r="IE226" i="2"/>
  <c r="IE219" i="2"/>
  <c r="JL88" i="2"/>
  <c r="EB61" i="2" s="1"/>
  <c r="EB62" i="2" s="1"/>
  <c r="JL66" i="2"/>
  <c r="IB235" i="2"/>
  <c r="IJ216" i="2"/>
  <c r="IJ207" i="2"/>
  <c r="IJ203" i="2"/>
  <c r="HX265" i="2"/>
  <c r="HX266" i="2"/>
  <c r="D44" i="8"/>
  <c r="H44" i="8" s="1"/>
  <c r="J44" i="8" s="1"/>
  <c r="M44" i="8" s="1"/>
  <c r="D58" i="8"/>
  <c r="B168" i="9"/>
  <c r="DV155" i="9"/>
  <c r="B173" i="9" s="1"/>
  <c r="IB241" i="2"/>
  <c r="IB242" i="2" s="1"/>
  <c r="IC238" i="2" s="1"/>
  <c r="IJ202" i="2"/>
  <c r="IK198" i="2" s="1"/>
  <c r="B171" i="9"/>
  <c r="K16" i="9"/>
  <c r="B169" i="9"/>
  <c r="IE218" i="2"/>
  <c r="IF214" i="2" s="1"/>
  <c r="HY257" i="2"/>
  <c r="HY259" i="2" s="1"/>
  <c r="H33" i="6"/>
  <c r="H35" i="6" s="1"/>
  <c r="I80" i="6"/>
  <c r="IA258" i="2" l="1"/>
  <c r="IA253" i="2"/>
  <c r="IA254" i="2" s="1"/>
  <c r="IA255" i="2" s="1"/>
  <c r="IA251" i="2"/>
  <c r="IB247" i="2" s="1"/>
  <c r="IB248" i="2" s="1"/>
  <c r="H51" i="6"/>
  <c r="IC239" i="2"/>
  <c r="IC241" i="2" s="1"/>
  <c r="HY262" i="2"/>
  <c r="HY263" i="2" s="1"/>
  <c r="HY264" i="2" s="1"/>
  <c r="HY261" i="2"/>
  <c r="IC233" i="2"/>
  <c r="IC234" i="2"/>
  <c r="J58" i="8"/>
  <c r="N44" i="8"/>
  <c r="JM88" i="2"/>
  <c r="EC61" i="2" s="1"/>
  <c r="EC62" i="2" s="1"/>
  <c r="JM66" i="2"/>
  <c r="I73" i="6"/>
  <c r="I74" i="6"/>
  <c r="HY260" i="2"/>
  <c r="HZ256" i="2" s="1"/>
  <c r="IF215" i="2"/>
  <c r="IF217" i="2" s="1"/>
  <c r="IF218" i="2" s="1"/>
  <c r="IG214" i="2" s="1"/>
  <c r="JN57" i="2"/>
  <c r="JN70" i="2" s="1"/>
  <c r="IL62" i="2"/>
  <c r="IL58" i="2" s="1"/>
  <c r="ID225" i="2"/>
  <c r="ID227" i="2" s="1"/>
  <c r="IJ211" i="2"/>
  <c r="IJ209" i="2"/>
  <c r="IJ208" i="2"/>
  <c r="IK204" i="2" s="1"/>
  <c r="I88" i="6"/>
  <c r="HX267" i="2"/>
  <c r="H93" i="6"/>
  <c r="H94" i="6" s="1"/>
  <c r="H46" i="6"/>
  <c r="H50" i="6" s="1"/>
  <c r="IK199" i="2"/>
  <c r="IK201" i="2" s="1"/>
  <c r="H82" i="6"/>
  <c r="H54" i="6" s="1"/>
  <c r="IB249" i="2"/>
  <c r="IB244" i="2"/>
  <c r="IB245" i="2" s="1"/>
  <c r="IB243" i="2"/>
  <c r="IB250" i="2" l="1"/>
  <c r="IB253" i="2" s="1"/>
  <c r="IB254" i="2" s="1"/>
  <c r="IB255" i="2" s="1"/>
  <c r="IC235" i="2"/>
  <c r="IK216" i="2"/>
  <c r="IK207" i="2"/>
  <c r="IK203" i="2"/>
  <c r="ID230" i="2"/>
  <c r="ID231" i="2" s="1"/>
  <c r="ID232" i="2" s="1"/>
  <c r="ID229" i="2"/>
  <c r="IM61" i="2"/>
  <c r="IL60" i="2"/>
  <c r="IL74" i="2"/>
  <c r="H52" i="6"/>
  <c r="H53" i="6" s="1"/>
  <c r="IG215" i="2"/>
  <c r="IC249" i="2"/>
  <c r="IC244" i="2"/>
  <c r="IC245" i="2" s="1"/>
  <c r="IC243" i="2"/>
  <c r="IK202" i="2"/>
  <c r="IL198" i="2" s="1"/>
  <c r="IK205" i="2"/>
  <c r="IJ212" i="2"/>
  <c r="ID228" i="2"/>
  <c r="IE224" i="2" s="1"/>
  <c r="IF220" i="2"/>
  <c r="IF222" i="2" s="1"/>
  <c r="IF223" i="2" s="1"/>
  <c r="IF226" i="2"/>
  <c r="IF219" i="2"/>
  <c r="HZ257" i="2"/>
  <c r="HY266" i="2"/>
  <c r="HY265" i="2"/>
  <c r="I75" i="6"/>
  <c r="I78" i="6" s="1"/>
  <c r="I81" i="6" s="1"/>
  <c r="I44" i="6"/>
  <c r="I91" i="6" s="1"/>
  <c r="IC242" i="2"/>
  <c r="ID238" i="2" s="1"/>
  <c r="JO57" i="2"/>
  <c r="JO70" i="2" s="1"/>
  <c r="H55" i="6"/>
  <c r="JN73" i="2"/>
  <c r="I42" i="6"/>
  <c r="IB258" i="2" l="1"/>
  <c r="IB252" i="2"/>
  <c r="IB251" i="2"/>
  <c r="IC247" i="2" s="1"/>
  <c r="IC248" i="2" s="1"/>
  <c r="IK208" i="2"/>
  <c r="IL204" i="2" s="1"/>
  <c r="IL205" i="2" s="1"/>
  <c r="HY267" i="2"/>
  <c r="JP57" i="2"/>
  <c r="JP70" i="2" s="1"/>
  <c r="IM62" i="2"/>
  <c r="IM58" i="2" s="1"/>
  <c r="I89" i="6"/>
  <c r="I92" i="6" s="1"/>
  <c r="I45" i="6"/>
  <c r="JN86" i="2"/>
  <c r="JN87" i="2" s="1"/>
  <c r="JN77" i="2"/>
  <c r="JO73" i="2"/>
  <c r="IG217" i="2"/>
  <c r="IG218" i="2" s="1"/>
  <c r="IH214" i="2" s="1"/>
  <c r="HZ259" i="2"/>
  <c r="ID234" i="2"/>
  <c r="ID233" i="2"/>
  <c r="ID239" i="2"/>
  <c r="ID241" i="2" s="1"/>
  <c r="IE225" i="2"/>
  <c r="IE227" i="2" s="1"/>
  <c r="IE228" i="2" s="1"/>
  <c r="IF224" i="2" s="1"/>
  <c r="IL199" i="2"/>
  <c r="IK211" i="2"/>
  <c r="IK209" i="2"/>
  <c r="J80" i="6"/>
  <c r="I33" i="6"/>
  <c r="I35" i="6" s="1"/>
  <c r="IC250" i="2" l="1"/>
  <c r="IC253" i="2" s="1"/>
  <c r="IC254" i="2" s="1"/>
  <c r="IC255" i="2" s="1"/>
  <c r="ID235" i="2"/>
  <c r="IF225" i="2"/>
  <c r="IF227" i="2" s="1"/>
  <c r="IN61" i="2"/>
  <c r="IM60" i="2"/>
  <c r="IM74" i="2"/>
  <c r="ID249" i="2"/>
  <c r="ID244" i="2"/>
  <c r="ID245" i="2" s="1"/>
  <c r="ID243" i="2"/>
  <c r="IH215" i="2"/>
  <c r="IH217" i="2" s="1"/>
  <c r="JQ57" i="2"/>
  <c r="JQ70" i="2" s="1"/>
  <c r="HZ262" i="2"/>
  <c r="HZ263" i="2" s="1"/>
  <c r="HZ264" i="2" s="1"/>
  <c r="HZ261" i="2"/>
  <c r="I51" i="6"/>
  <c r="ID242" i="2"/>
  <c r="IE238" i="2" s="1"/>
  <c r="IL201" i="2"/>
  <c r="IL202" i="2" s="1"/>
  <c r="IM198" i="2" s="1"/>
  <c r="JO86" i="2"/>
  <c r="JO87" i="2" s="1"/>
  <c r="JO77" i="2"/>
  <c r="JP73" i="2"/>
  <c r="I82" i="6"/>
  <c r="I54" i="6" s="1"/>
  <c r="IE230" i="2"/>
  <c r="IE231" i="2" s="1"/>
  <c r="IE232" i="2" s="1"/>
  <c r="IE229" i="2"/>
  <c r="J73" i="6"/>
  <c r="J74" i="6"/>
  <c r="J88" i="6"/>
  <c r="IG220" i="2"/>
  <c r="IG222" i="2" s="1"/>
  <c r="IG223" i="2" s="1"/>
  <c r="IG226" i="2"/>
  <c r="IG219" i="2"/>
  <c r="JN88" i="2"/>
  <c r="ED61" i="2" s="1"/>
  <c r="ED62" i="2" s="1"/>
  <c r="JN66" i="2"/>
  <c r="I93" i="6"/>
  <c r="I94" i="6" s="1"/>
  <c r="I46" i="6"/>
  <c r="I50" i="6" s="1"/>
  <c r="IK212" i="2"/>
  <c r="HZ260" i="2"/>
  <c r="IA256" i="2" s="1"/>
  <c r="IC251" i="2" l="1"/>
  <c r="ID247" i="2" s="1"/>
  <c r="ID248" i="2" s="1"/>
  <c r="IC258" i="2"/>
  <c r="IC252" i="2"/>
  <c r="JR57" i="2"/>
  <c r="JR70" i="2" s="1"/>
  <c r="I55" i="6"/>
  <c r="I52" i="6"/>
  <c r="I53" i="6" s="1"/>
  <c r="IH220" i="2"/>
  <c r="IH222" i="2" s="1"/>
  <c r="IH223" i="2" s="1"/>
  <c r="IH226" i="2"/>
  <c r="IH219" i="2"/>
  <c r="IF230" i="2"/>
  <c r="IF231" i="2" s="1"/>
  <c r="IF232" i="2" s="1"/>
  <c r="IF229" i="2"/>
  <c r="IF228" i="2"/>
  <c r="IG224" i="2" s="1"/>
  <c r="J75" i="6"/>
  <c r="J78" i="6" s="1"/>
  <c r="J81" i="6" s="1"/>
  <c r="J44" i="6"/>
  <c r="J91" i="6" s="1"/>
  <c r="IE234" i="2"/>
  <c r="IE233" i="2"/>
  <c r="IN62" i="2"/>
  <c r="IN58" i="2" s="1"/>
  <c r="IM199" i="2"/>
  <c r="JO88" i="2"/>
  <c r="EE61" i="2" s="1"/>
  <c r="EE62" i="2" s="1"/>
  <c r="JO66" i="2"/>
  <c r="J42" i="6"/>
  <c r="HZ266" i="2"/>
  <c r="HZ265" i="2"/>
  <c r="IA257" i="2"/>
  <c r="IA259" i="2" s="1"/>
  <c r="IL216" i="2"/>
  <c r="IL207" i="2"/>
  <c r="IL203" i="2"/>
  <c r="IH218" i="2"/>
  <c r="II214" i="2" s="1"/>
  <c r="JP86" i="2"/>
  <c r="JP87" i="2" s="1"/>
  <c r="JP77" i="2"/>
  <c r="JQ73" i="2"/>
  <c r="IE239" i="2"/>
  <c r="ID250" i="2" l="1"/>
  <c r="ID253" i="2" s="1"/>
  <c r="ID254" i="2" s="1"/>
  <c r="ID255" i="2" s="1"/>
  <c r="IE235" i="2"/>
  <c r="IE241" i="2"/>
  <c r="IE242" i="2" s="1"/>
  <c r="IF238" i="2" s="1"/>
  <c r="IF239" i="2" s="1"/>
  <c r="HZ267" i="2"/>
  <c r="IO61" i="2"/>
  <c r="IN60" i="2"/>
  <c r="IN74" i="2"/>
  <c r="JP88" i="2"/>
  <c r="EF61" i="2" s="1"/>
  <c r="EF62" i="2" s="1"/>
  <c r="JP66" i="2"/>
  <c r="IM201" i="2"/>
  <c r="J33" i="6"/>
  <c r="J35" i="6" s="1"/>
  <c r="K80" i="6"/>
  <c r="IG225" i="2"/>
  <c r="IA262" i="2"/>
  <c r="IA263" i="2" s="1"/>
  <c r="IA264" i="2" s="1"/>
  <c r="IA261" i="2"/>
  <c r="II215" i="2"/>
  <c r="II217" i="2" s="1"/>
  <c r="IL211" i="2"/>
  <c r="IL209" i="2"/>
  <c r="IL208" i="2"/>
  <c r="IM204" i="2" s="1"/>
  <c r="J45" i="6"/>
  <c r="J89" i="6"/>
  <c r="J92" i="6" s="1"/>
  <c r="JQ77" i="2"/>
  <c r="JQ86" i="2"/>
  <c r="JR73" i="2"/>
  <c r="IF234" i="2"/>
  <c r="IF233" i="2"/>
  <c r="IA260" i="2"/>
  <c r="IB256" i="2" s="1"/>
  <c r="JS57" i="2"/>
  <c r="JS70" i="2" s="1"/>
  <c r="ID251" i="2" l="1"/>
  <c r="IE247" i="2" s="1"/>
  <c r="IE248" i="2" s="1"/>
  <c r="ID258" i="2"/>
  <c r="ID252" i="2"/>
  <c r="IE243" i="2"/>
  <c r="IE249" i="2"/>
  <c r="IF235" i="2"/>
  <c r="J82" i="6"/>
  <c r="J54" i="6" s="1"/>
  <c r="J51" i="6"/>
  <c r="IG227" i="2"/>
  <c r="IG228" i="2" s="1"/>
  <c r="IH224" i="2" s="1"/>
  <c r="IE244" i="2"/>
  <c r="IE245" i="2" s="1"/>
  <c r="JT57" i="2"/>
  <c r="II220" i="2"/>
  <c r="II222" i="2" s="1"/>
  <c r="II223" i="2" s="1"/>
  <c r="II226" i="2"/>
  <c r="II219" i="2"/>
  <c r="IM216" i="2"/>
  <c r="IM207" i="2"/>
  <c r="IM203" i="2"/>
  <c r="IL212" i="2"/>
  <c r="J93" i="6"/>
  <c r="J94" i="6" s="1"/>
  <c r="J46" i="6"/>
  <c r="J50" i="6" s="1"/>
  <c r="K73" i="6"/>
  <c r="K74" i="6"/>
  <c r="IF241" i="2"/>
  <c r="K88" i="6"/>
  <c r="IM205" i="2"/>
  <c r="JR86" i="2"/>
  <c r="JR77" i="2"/>
  <c r="JS73" i="2"/>
  <c r="IB257" i="2"/>
  <c r="IB259" i="2" s="1"/>
  <c r="II218" i="2"/>
  <c r="IJ214" i="2" s="1"/>
  <c r="IA266" i="2"/>
  <c r="IA265" i="2"/>
  <c r="IO62" i="2"/>
  <c r="IO58" i="2" s="1"/>
  <c r="JQ88" i="2"/>
  <c r="EG61" i="2" s="1"/>
  <c r="EG62" i="2" s="1"/>
  <c r="JQ87" i="2"/>
  <c r="JQ66" i="2" s="1"/>
  <c r="IM202" i="2"/>
  <c r="IN198" i="2" s="1"/>
  <c r="IE250" i="2" l="1"/>
  <c r="IE251" i="2" s="1"/>
  <c r="IF247" i="2" s="1"/>
  <c r="IF248" i="2" s="1"/>
  <c r="IG229" i="2"/>
  <c r="IG230" i="2"/>
  <c r="IG231" i="2" s="1"/>
  <c r="IG232" i="2" s="1"/>
  <c r="IG234" i="2" s="1"/>
  <c r="IM208" i="2"/>
  <c r="IN204" i="2" s="1"/>
  <c r="IN205" i="2" s="1"/>
  <c r="IH225" i="2"/>
  <c r="IH227" i="2" s="1"/>
  <c r="IB262" i="2"/>
  <c r="IB263" i="2" s="1"/>
  <c r="IB264" i="2" s="1"/>
  <c r="IB261" i="2"/>
  <c r="IP61" i="2"/>
  <c r="IO60" i="2"/>
  <c r="IO74" i="2"/>
  <c r="J52" i="6"/>
  <c r="J53" i="6" s="1"/>
  <c r="IB260" i="2"/>
  <c r="IC256" i="2" s="1"/>
  <c r="J55" i="6"/>
  <c r="K75" i="6"/>
  <c r="K78" i="6" s="1"/>
  <c r="K81" i="6" s="1"/>
  <c r="K44" i="6"/>
  <c r="K91" i="6" s="1"/>
  <c r="IF249" i="2"/>
  <c r="IF244" i="2"/>
  <c r="IF245" i="2" s="1"/>
  <c r="IF243" i="2"/>
  <c r="IM211" i="2"/>
  <c r="IM209" i="2"/>
  <c r="JS77" i="2"/>
  <c r="JS86" i="2"/>
  <c r="JS87" i="2" s="1"/>
  <c r="JT73" i="2"/>
  <c r="JR88" i="2"/>
  <c r="EH61" i="2" s="1"/>
  <c r="EH62" i="2" s="1"/>
  <c r="IF242" i="2"/>
  <c r="IG238" i="2" s="1"/>
  <c r="K42" i="6"/>
  <c r="IJ215" i="2"/>
  <c r="IJ217" i="2" s="1"/>
  <c r="JR87" i="2"/>
  <c r="JR66" i="2" s="1"/>
  <c r="IN199" i="2"/>
  <c r="IN201" i="2" s="1"/>
  <c r="IN202" i="2" s="1"/>
  <c r="IO198" i="2" s="1"/>
  <c r="IA267" i="2"/>
  <c r="JT70" i="2"/>
  <c r="IE258" i="2" l="1"/>
  <c r="IE253" i="2"/>
  <c r="IE254" i="2" s="1"/>
  <c r="IE255" i="2" s="1"/>
  <c r="IE252" i="2"/>
  <c r="IG233" i="2"/>
  <c r="IG235" i="2" s="1"/>
  <c r="IH230" i="2"/>
  <c r="IH231" i="2" s="1"/>
  <c r="IH232" i="2" s="1"/>
  <c r="IH233" i="2" s="1"/>
  <c r="IH229" i="2"/>
  <c r="IH228" i="2"/>
  <c r="II224" i="2" s="1"/>
  <c r="IF250" i="2"/>
  <c r="IF252" i="2" s="1"/>
  <c r="IJ220" i="2"/>
  <c r="IJ222" i="2" s="1"/>
  <c r="IJ223" i="2" s="1"/>
  <c r="IJ226" i="2"/>
  <c r="IJ219" i="2"/>
  <c r="IJ218" i="2"/>
  <c r="IK214" i="2" s="1"/>
  <c r="IO199" i="2"/>
  <c r="IO201" i="2" s="1"/>
  <c r="JT86" i="2"/>
  <c r="JT87" i="2" s="1"/>
  <c r="JT77" i="2"/>
  <c r="K45" i="6"/>
  <c r="K89" i="6"/>
  <c r="K92" i="6" s="1"/>
  <c r="L80" i="6"/>
  <c r="K33" i="6"/>
  <c r="IC257" i="2"/>
  <c r="IM212" i="2"/>
  <c r="JS88" i="2"/>
  <c r="EI61" i="2" s="1"/>
  <c r="EI62" i="2" s="1"/>
  <c r="JS66" i="2"/>
  <c r="IP62" i="2"/>
  <c r="IP58" i="2" s="1"/>
  <c r="IG239" i="2"/>
  <c r="IN216" i="2"/>
  <c r="IN207" i="2"/>
  <c r="IN203" i="2"/>
  <c r="JU57" i="2"/>
  <c r="JU70" i="2" s="1"/>
  <c r="IB266" i="2"/>
  <c r="IB265" i="2"/>
  <c r="IF258" i="2" l="1"/>
  <c r="IF253" i="2"/>
  <c r="IF254" i="2" s="1"/>
  <c r="IF255" i="2" s="1"/>
  <c r="IF251" i="2"/>
  <c r="IG247" i="2" s="1"/>
  <c r="IG248" i="2" s="1"/>
  <c r="IH234" i="2"/>
  <c r="IH235" i="2" s="1"/>
  <c r="IB267" i="2"/>
  <c r="JU73" i="2"/>
  <c r="JU86" i="2" s="1"/>
  <c r="JU87" i="2" s="1"/>
  <c r="II225" i="2"/>
  <c r="IO216" i="2"/>
  <c r="IO207" i="2"/>
  <c r="IO203" i="2"/>
  <c r="IO202" i="2"/>
  <c r="IP198" i="2" s="1"/>
  <c r="IQ61" i="2"/>
  <c r="IP60" i="2"/>
  <c r="IP74" i="2"/>
  <c r="IN211" i="2"/>
  <c r="IN209" i="2"/>
  <c r="K93" i="6"/>
  <c r="K94" i="6" s="1"/>
  <c r="K46" i="6"/>
  <c r="L73" i="6"/>
  <c r="L42" i="6" s="1"/>
  <c r="L74" i="6"/>
  <c r="IN208" i="2"/>
  <c r="IO204" i="2" s="1"/>
  <c r="CR16" i="7"/>
  <c r="CR45" i="7" s="1"/>
  <c r="K35" i="6"/>
  <c r="IG241" i="2"/>
  <c r="IC259" i="2"/>
  <c r="IC260" i="2" s="1"/>
  <c r="ID256" i="2" s="1"/>
  <c r="IK215" i="2"/>
  <c r="L88" i="6"/>
  <c r="JT88" i="2"/>
  <c r="EJ61" i="2" s="1"/>
  <c r="EJ62" i="2" s="1"/>
  <c r="JT66" i="2"/>
  <c r="K51" i="6"/>
  <c r="JV57" i="2"/>
  <c r="K82" i="6"/>
  <c r="K54" i="6" s="1"/>
  <c r="JU77" i="2" l="1"/>
  <c r="K50" i="6"/>
  <c r="K52" i="6" s="1"/>
  <c r="K53" i="6" s="1"/>
  <c r="IK217" i="2"/>
  <c r="IK218" i="2" s="1"/>
  <c r="IL214" i="2" s="1"/>
  <c r="IL215" i="2" s="1"/>
  <c r="II227" i="2"/>
  <c r="JU88" i="2"/>
  <c r="EK61" i="2" s="1"/>
  <c r="EK62" i="2" s="1"/>
  <c r="JU66" i="2"/>
  <c r="ID257" i="2"/>
  <c r="ID259" i="2" s="1"/>
  <c r="IO205" i="2"/>
  <c r="IO208" i="2" s="1"/>
  <c r="IP204" i="2" s="1"/>
  <c r="IQ62" i="2"/>
  <c r="IQ58" i="2" s="1"/>
  <c r="IG249" i="2"/>
  <c r="IG244" i="2"/>
  <c r="IG245" i="2" s="1"/>
  <c r="IG243" i="2"/>
  <c r="G20" i="8"/>
  <c r="CR46" i="7"/>
  <c r="CR51" i="7" s="1"/>
  <c r="CR52" i="7" s="1"/>
  <c r="CR115" i="7"/>
  <c r="C110" i="7" s="1"/>
  <c r="L89" i="6"/>
  <c r="IO211" i="2"/>
  <c r="IO209" i="2"/>
  <c r="K55" i="6"/>
  <c r="JV70" i="2"/>
  <c r="L75" i="6"/>
  <c r="L78" i="6" s="1"/>
  <c r="L81" i="6" s="1"/>
  <c r="M44" i="6"/>
  <c r="L44" i="6"/>
  <c r="L91" i="6" s="1"/>
  <c r="JV73" i="2"/>
  <c r="IN212" i="2"/>
  <c r="IP199" i="2"/>
  <c r="IP201" i="2" s="1"/>
  <c r="IC262" i="2"/>
  <c r="IC263" i="2" s="1"/>
  <c r="IC264" i="2" s="1"/>
  <c r="IC261" i="2"/>
  <c r="IG242" i="2"/>
  <c r="IH238" i="2" s="1"/>
  <c r="IK220" i="2" l="1"/>
  <c r="IK222" i="2" s="1"/>
  <c r="IK223" i="2" s="1"/>
  <c r="L92" i="6"/>
  <c r="M88" i="6" s="1"/>
  <c r="L45" i="6"/>
  <c r="L93" i="6" s="1"/>
  <c r="II230" i="2"/>
  <c r="II231" i="2" s="1"/>
  <c r="II232" i="2" s="1"/>
  <c r="II229" i="2"/>
  <c r="IK219" i="2"/>
  <c r="II228" i="2"/>
  <c r="IJ224" i="2" s="1"/>
  <c r="IK226" i="2"/>
  <c r="IP216" i="2"/>
  <c r="IP207" i="2"/>
  <c r="IP203" i="2"/>
  <c r="IP205" i="2"/>
  <c r="IR61" i="2"/>
  <c r="IQ60" i="2"/>
  <c r="IQ74" i="2"/>
  <c r="ID262" i="2"/>
  <c r="ID263" i="2" s="1"/>
  <c r="ID264" i="2" s="1"/>
  <c r="ID261" i="2"/>
  <c r="ID260" i="2"/>
  <c r="IE256" i="2" s="1"/>
  <c r="IO212" i="2"/>
  <c r="L33" i="6"/>
  <c r="L35" i="6" s="1"/>
  <c r="M80" i="6"/>
  <c r="JW57" i="2"/>
  <c r="JW73" i="2" s="1"/>
  <c r="IG250" i="2"/>
  <c r="IG251" i="2" s="1"/>
  <c r="IH247" i="2" s="1"/>
  <c r="JV86" i="2"/>
  <c r="JV87" i="2" s="1"/>
  <c r="JV77" i="2"/>
  <c r="I20" i="8"/>
  <c r="S20" i="8"/>
  <c r="L20" i="8" s="1"/>
  <c r="K20" i="8"/>
  <c r="IL217" i="2"/>
  <c r="IL218" i="2" s="1"/>
  <c r="IM214" i="2" s="1"/>
  <c r="CR105" i="7"/>
  <c r="K86" i="7"/>
  <c r="CR103" i="7"/>
  <c r="CR102" i="7"/>
  <c r="CR106" i="7"/>
  <c r="CR104" i="7"/>
  <c r="CR112" i="7"/>
  <c r="C107" i="7" s="1"/>
  <c r="CR53" i="7"/>
  <c r="CR54" i="7"/>
  <c r="CR55" i="7" s="1"/>
  <c r="C451" i="10"/>
  <c r="C449" i="10"/>
  <c r="CR123" i="7"/>
  <c r="FE12" i="7"/>
  <c r="FE17" i="7" s="1"/>
  <c r="DA54" i="7" s="1"/>
  <c r="DA51" i="7" s="1"/>
  <c r="C100" i="7" s="1"/>
  <c r="FE14" i="7"/>
  <c r="FE13" i="7"/>
  <c r="FE20" i="7" s="1"/>
  <c r="IH239" i="2"/>
  <c r="IH241" i="2" s="1"/>
  <c r="IC265" i="2"/>
  <c r="IC266" i="2"/>
  <c r="IP202" i="2"/>
  <c r="IQ198" i="2" s="1"/>
  <c r="M91" i="6"/>
  <c r="L46" i="6" l="1"/>
  <c r="L50" i="6" s="1"/>
  <c r="L94" i="6"/>
  <c r="L55" i="6" s="1"/>
  <c r="IP208" i="2"/>
  <c r="IQ204" i="2" s="1"/>
  <c r="IQ205" i="2" s="1"/>
  <c r="L82" i="6"/>
  <c r="L54" i="6" s="1"/>
  <c r="L51" i="6"/>
  <c r="IH242" i="2"/>
  <c r="II238" i="2" s="1"/>
  <c r="II239" i="2" s="1"/>
  <c r="II241" i="2" s="1"/>
  <c r="IJ225" i="2"/>
  <c r="IJ227" i="2" s="1"/>
  <c r="IJ228" i="2" s="1"/>
  <c r="IK224" i="2" s="1"/>
  <c r="II233" i="2"/>
  <c r="II234" i="2"/>
  <c r="IM215" i="2"/>
  <c r="IM217" i="2" s="1"/>
  <c r="IH249" i="2"/>
  <c r="IH244" i="2"/>
  <c r="IH245" i="2" s="1"/>
  <c r="IH243" i="2"/>
  <c r="IH248" i="2"/>
  <c r="M73" i="6"/>
  <c r="IG253" i="2"/>
  <c r="IG254" i="2" s="1"/>
  <c r="IG255" i="2" s="1"/>
  <c r="IG258" i="2"/>
  <c r="IR62" i="2"/>
  <c r="IR58" i="2" s="1"/>
  <c r="IG252" i="2"/>
  <c r="C116" i="7"/>
  <c r="IQ199" i="2"/>
  <c r="IQ201" i="2" s="1"/>
  <c r="IE257" i="2"/>
  <c r="IP211" i="2"/>
  <c r="IP209" i="2"/>
  <c r="JV88" i="2"/>
  <c r="EL61" i="2" s="1"/>
  <c r="EL62" i="2" s="1"/>
  <c r="JV66" i="2"/>
  <c r="IC267" i="2"/>
  <c r="JW77" i="2"/>
  <c r="JW86" i="2"/>
  <c r="JW87" i="2" s="1"/>
  <c r="FE15" i="7"/>
  <c r="FE21" i="7"/>
  <c r="IL220" i="2"/>
  <c r="IL222" i="2" s="1"/>
  <c r="IL223" i="2" s="1"/>
  <c r="IL226" i="2"/>
  <c r="IL219" i="2"/>
  <c r="JW70" i="2"/>
  <c r="ID265" i="2"/>
  <c r="ID266" i="2"/>
  <c r="L52" i="6" l="1"/>
  <c r="L53" i="6" s="1"/>
  <c r="II235" i="2"/>
  <c r="IH250" i="2"/>
  <c r="IH253" i="2" s="1"/>
  <c r="IH254" i="2" s="1"/>
  <c r="IH255" i="2" s="1"/>
  <c r="IK225" i="2"/>
  <c r="IK227" i="2" s="1"/>
  <c r="IJ230" i="2"/>
  <c r="IJ231" i="2" s="1"/>
  <c r="IJ232" i="2" s="1"/>
  <c r="IJ229" i="2"/>
  <c r="IM218" i="2"/>
  <c r="IN214" i="2" s="1"/>
  <c r="IN215" i="2" s="1"/>
  <c r="IN217" i="2" s="1"/>
  <c r="II249" i="2"/>
  <c r="II244" i="2"/>
  <c r="II245" i="2" s="1"/>
  <c r="II243" i="2"/>
  <c r="IQ216" i="2"/>
  <c r="IQ207" i="2"/>
  <c r="IQ203" i="2"/>
  <c r="IS61" i="2"/>
  <c r="IR60" i="2"/>
  <c r="IR74" i="2"/>
  <c r="II242" i="2"/>
  <c r="IJ238" i="2" s="1"/>
  <c r="IQ202" i="2"/>
  <c r="IR198" i="2" s="1"/>
  <c r="IE259" i="2"/>
  <c r="IE260" i="2" s="1"/>
  <c r="IF256" i="2" s="1"/>
  <c r="ID267" i="2"/>
  <c r="JX57" i="2"/>
  <c r="M75" i="6"/>
  <c r="M78" i="6" s="1"/>
  <c r="M81" i="6" s="1"/>
  <c r="M42" i="6"/>
  <c r="FE34" i="7"/>
  <c r="FE35" i="7"/>
  <c r="FE36" i="7"/>
  <c r="FE38" i="7"/>
  <c r="FE37" i="7"/>
  <c r="IM220" i="2"/>
  <c r="IM222" i="2" s="1"/>
  <c r="IM223" i="2" s="1"/>
  <c r="IM226" i="2"/>
  <c r="IM219" i="2"/>
  <c r="JW88" i="2"/>
  <c r="EM61" i="2" s="1"/>
  <c r="EM62" i="2" s="1"/>
  <c r="JW66" i="2"/>
  <c r="IP212" i="2"/>
  <c r="IH258" i="2" l="1"/>
  <c r="IH252" i="2"/>
  <c r="IK228" i="2"/>
  <c r="IL224" i="2" s="1"/>
  <c r="IL225" i="2" s="1"/>
  <c r="IL227" i="2" s="1"/>
  <c r="IJ233" i="2"/>
  <c r="IJ234" i="2"/>
  <c r="IK230" i="2"/>
  <c r="IK231" i="2" s="1"/>
  <c r="IK232" i="2" s="1"/>
  <c r="IK229" i="2"/>
  <c r="IH251" i="2"/>
  <c r="II247" i="2" s="1"/>
  <c r="IF257" i="2"/>
  <c r="IF259" i="2" s="1"/>
  <c r="IN220" i="2"/>
  <c r="IN222" i="2" s="1"/>
  <c r="IN223" i="2" s="1"/>
  <c r="IN226" i="2"/>
  <c r="IN219" i="2"/>
  <c r="M89" i="6"/>
  <c r="M92" i="6" s="1"/>
  <c r="M45" i="6"/>
  <c r="JX73" i="2"/>
  <c r="IN218" i="2"/>
  <c r="IO214" i="2" s="1"/>
  <c r="IQ211" i="2"/>
  <c r="IQ209" i="2"/>
  <c r="IE262" i="2"/>
  <c r="IE263" i="2" s="1"/>
  <c r="IE264" i="2" s="1"/>
  <c r="IE261" i="2"/>
  <c r="N80" i="6"/>
  <c r="M33" i="6"/>
  <c r="M35" i="6" s="1"/>
  <c r="JX70" i="2"/>
  <c r="IQ208" i="2"/>
  <c r="IR204" i="2" s="1"/>
  <c r="IR199" i="2"/>
  <c r="IS62" i="2"/>
  <c r="IS58" i="2" s="1"/>
  <c r="IJ239" i="2"/>
  <c r="CR118" i="7"/>
  <c r="IK233" i="2" l="1"/>
  <c r="IK234" i="2"/>
  <c r="IJ241" i="2"/>
  <c r="IJ242" i="2" s="1"/>
  <c r="IK238" i="2" s="1"/>
  <c r="IK239" i="2" s="1"/>
  <c r="IL230" i="2"/>
  <c r="IL231" i="2" s="1"/>
  <c r="IL232" i="2" s="1"/>
  <c r="IL229" i="2"/>
  <c r="IL228" i="2"/>
  <c r="IM224" i="2" s="1"/>
  <c r="IM225" i="2" s="1"/>
  <c r="IM227" i="2" s="1"/>
  <c r="II248" i="2"/>
  <c r="II250" i="2" s="1"/>
  <c r="IJ235" i="2"/>
  <c r="IT61" i="2"/>
  <c r="IS60" i="2"/>
  <c r="IS74" i="2"/>
  <c r="IF262" i="2"/>
  <c r="IF263" i="2" s="1"/>
  <c r="IF264" i="2" s="1"/>
  <c r="IF261" i="2"/>
  <c r="IE265" i="2"/>
  <c r="IE266" i="2"/>
  <c r="C169" i="10"/>
  <c r="C113" i="7"/>
  <c r="IR201" i="2"/>
  <c r="IR205" i="2"/>
  <c r="IQ212" i="2"/>
  <c r="N88" i="6"/>
  <c r="G106" i="7" a="1"/>
  <c r="G106" i="7" s="1"/>
  <c r="M51" i="6"/>
  <c r="IF260" i="2"/>
  <c r="IG256" i="2" s="1"/>
  <c r="G107" i="7" a="1"/>
  <c r="G107" i="7" s="1"/>
  <c r="M82" i="6"/>
  <c r="M54" i="6" s="1"/>
  <c r="IO215" i="2"/>
  <c r="IO217" i="2" s="1"/>
  <c r="M93" i="6"/>
  <c r="M94" i="6" s="1"/>
  <c r="M55" i="6" s="1"/>
  <c r="M46" i="6"/>
  <c r="M50" i="6" s="1"/>
  <c r="N73" i="6"/>
  <c r="N74" i="6"/>
  <c r="N44" i="6" s="1"/>
  <c r="N91" i="6" s="1"/>
  <c r="JX86" i="2"/>
  <c r="JX77" i="2"/>
  <c r="EQ77" i="2" s="1"/>
  <c r="ES73" i="2"/>
  <c r="G108" i="7" l="1" a="1"/>
  <c r="G108" i="7" s="1"/>
  <c r="IK235" i="2"/>
  <c r="II253" i="2"/>
  <c r="II254" i="2" s="1"/>
  <c r="II255" i="2" s="1"/>
  <c r="II258" i="2"/>
  <c r="II252" i="2"/>
  <c r="II251" i="2"/>
  <c r="IJ247" i="2" s="1"/>
  <c r="IJ249" i="2"/>
  <c r="IL233" i="2"/>
  <c r="IL234" i="2"/>
  <c r="IJ244" i="2"/>
  <c r="IJ245" i="2" s="1"/>
  <c r="IJ243" i="2"/>
  <c r="IM230" i="2"/>
  <c r="IM231" i="2" s="1"/>
  <c r="IM232" i="2" s="1"/>
  <c r="IM229" i="2"/>
  <c r="IO220" i="2"/>
  <c r="IO222" i="2" s="1"/>
  <c r="IO223" i="2" s="1"/>
  <c r="IO226" i="2"/>
  <c r="IO219" i="2"/>
  <c r="IO218" i="2"/>
  <c r="IP214" i="2" s="1"/>
  <c r="JX88" i="2"/>
  <c r="EN61" i="2" s="1"/>
  <c r="EN62" i="2" s="1"/>
  <c r="K75" i="2" s="1"/>
  <c r="ES86" i="2"/>
  <c r="IF265" i="2"/>
  <c r="IF266" i="2"/>
  <c r="N75" i="6"/>
  <c r="N78" i="6" s="1"/>
  <c r="N81" i="6" s="1"/>
  <c r="N42" i="6"/>
  <c r="IK241" i="2"/>
  <c r="IK242" i="2" s="1"/>
  <c r="IL238" i="2" s="1"/>
  <c r="IG257" i="2"/>
  <c r="IG259" i="2" s="1"/>
  <c r="IE267" i="2"/>
  <c r="JX87" i="2"/>
  <c r="ES87" i="2" s="1"/>
  <c r="M52" i="6"/>
  <c r="M53" i="6" s="1"/>
  <c r="IR216" i="2"/>
  <c r="IR207" i="2"/>
  <c r="IR203" i="2"/>
  <c r="IM228" i="2"/>
  <c r="IN224" i="2" s="1"/>
  <c r="IT62" i="2"/>
  <c r="IT58" i="2" s="1"/>
  <c r="IR202" i="2"/>
  <c r="IS198" i="2" s="1"/>
  <c r="IL235" i="2" l="1"/>
  <c r="IJ248" i="2"/>
  <c r="IJ250" i="2" s="1"/>
  <c r="IU61" i="2"/>
  <c r="IT60" i="2"/>
  <c r="IT74" i="2"/>
  <c r="IG262" i="2"/>
  <c r="IG263" i="2" s="1"/>
  <c r="IG264" i="2" s="1"/>
  <c r="IG261" i="2"/>
  <c r="IS199" i="2"/>
  <c r="IS201" i="2" s="1"/>
  <c r="IN225" i="2"/>
  <c r="IN227" i="2" s="1"/>
  <c r="IG260" i="2"/>
  <c r="IH256" i="2" s="1"/>
  <c r="IF267" i="2"/>
  <c r="JX66" i="2"/>
  <c r="E61" i="2" s="1"/>
  <c r="IL239" i="2"/>
  <c r="IL241" i="2" s="1"/>
  <c r="IP215" i="2"/>
  <c r="IR211" i="2"/>
  <c r="IR209" i="2"/>
  <c r="IR208" i="2"/>
  <c r="IS204" i="2" s="1"/>
  <c r="N89" i="6"/>
  <c r="N92" i="6" s="1"/>
  <c r="N45" i="6"/>
  <c r="IK249" i="2"/>
  <c r="IK244" i="2"/>
  <c r="IK245" i="2" s="1"/>
  <c r="IK243" i="2"/>
  <c r="N33" i="6"/>
  <c r="N35" i="6" s="1"/>
  <c r="IM233" i="2"/>
  <c r="IM234" i="2"/>
  <c r="IJ253" i="2" l="1"/>
  <c r="IJ254" i="2" s="1"/>
  <c r="IJ255" i="2" s="1"/>
  <c r="IJ258" i="2"/>
  <c r="IJ251" i="2"/>
  <c r="IK247" i="2" s="1"/>
  <c r="IK248" i="2" s="1"/>
  <c r="IJ252" i="2"/>
  <c r="IN230" i="2"/>
  <c r="IN231" i="2" s="1"/>
  <c r="IN232" i="2" s="1"/>
  <c r="IN229" i="2"/>
  <c r="IL249" i="2"/>
  <c r="IL244" i="2"/>
  <c r="IL245" i="2" s="1"/>
  <c r="IL243" i="2"/>
  <c r="IS216" i="2"/>
  <c r="IS207" i="2"/>
  <c r="IS203" i="2"/>
  <c r="IS202" i="2"/>
  <c r="IT198" i="2" s="1"/>
  <c r="IL242" i="2"/>
  <c r="IM238" i="2" s="1"/>
  <c r="IN228" i="2"/>
  <c r="IO224" i="2" s="1"/>
  <c r="IP217" i="2"/>
  <c r="IG265" i="2"/>
  <c r="IG266" i="2"/>
  <c r="N51" i="6"/>
  <c r="C437" i="10" s="1"/>
  <c r="IS205" i="2"/>
  <c r="N93" i="6"/>
  <c r="N94" i="6" s="1"/>
  <c r="N46" i="6"/>
  <c r="N50" i="6" s="1"/>
  <c r="IM235" i="2"/>
  <c r="N82" i="6"/>
  <c r="N54" i="6" s="1"/>
  <c r="IH257" i="2"/>
  <c r="IH259" i="2" s="1"/>
  <c r="IR212" i="2"/>
  <c r="IU62" i="2"/>
  <c r="IU58" i="2" s="1"/>
  <c r="IK250" i="2" l="1"/>
  <c r="IK251" i="2" s="1"/>
  <c r="IL247" i="2" s="1"/>
  <c r="IL248" i="2" s="1"/>
  <c r="IH262" i="2"/>
  <c r="IH263" i="2" s="1"/>
  <c r="IH264" i="2" s="1"/>
  <c r="IH261" i="2"/>
  <c r="IV61" i="2"/>
  <c r="IU60" i="2"/>
  <c r="IU74" i="2"/>
  <c r="IS211" i="2"/>
  <c r="IS209" i="2"/>
  <c r="N55" i="6"/>
  <c r="C438" i="10"/>
  <c r="IP220" i="2"/>
  <c r="IP222" i="2" s="1"/>
  <c r="IP223" i="2" s="1"/>
  <c r="IP226" i="2"/>
  <c r="IP219" i="2"/>
  <c r="N52" i="6"/>
  <c r="N53" i="6" s="1"/>
  <c r="O12" i="1"/>
  <c r="C436" i="10"/>
  <c r="IH260" i="2"/>
  <c r="II256" i="2" s="1"/>
  <c r="IP218" i="2"/>
  <c r="IQ214" i="2" s="1"/>
  <c r="IO225" i="2"/>
  <c r="IM239" i="2"/>
  <c r="IM241" i="2" s="1"/>
  <c r="IG267" i="2"/>
  <c r="IS208" i="2"/>
  <c r="IT204" i="2" s="1"/>
  <c r="IT199" i="2"/>
  <c r="IT201" i="2" s="1"/>
  <c r="IN233" i="2"/>
  <c r="IN234" i="2"/>
  <c r="IK253" i="2" l="1"/>
  <c r="IK254" i="2" s="1"/>
  <c r="IK255" i="2" s="1"/>
  <c r="IK252" i="2"/>
  <c r="IK258" i="2"/>
  <c r="IN235" i="2"/>
  <c r="IM249" i="2"/>
  <c r="IM244" i="2"/>
  <c r="IM245" i="2" s="1"/>
  <c r="IM243" i="2"/>
  <c r="IT216" i="2"/>
  <c r="IT207" i="2"/>
  <c r="IT203" i="2"/>
  <c r="IS212" i="2"/>
  <c r="IT202" i="2"/>
  <c r="IU198" i="2" s="1"/>
  <c r="C388" i="10"/>
  <c r="E388" i="10" s="1"/>
  <c r="C56" i="17"/>
  <c r="C494" i="10"/>
  <c r="IL250" i="2"/>
  <c r="IQ215" i="2"/>
  <c r="IQ217" i="2" s="1"/>
  <c r="II257" i="2"/>
  <c r="II259" i="2" s="1"/>
  <c r="IM242" i="2"/>
  <c r="IN238" i="2" s="1"/>
  <c r="IV62" i="2"/>
  <c r="IV58" i="2" s="1"/>
  <c r="IO227" i="2"/>
  <c r="IT205" i="2"/>
  <c r="IH265" i="2"/>
  <c r="IH266" i="2"/>
  <c r="IT208" i="2" l="1"/>
  <c r="IU204" i="2" s="1"/>
  <c r="IU205" i="2" s="1"/>
  <c r="IQ218" i="2"/>
  <c r="IR214" i="2" s="1"/>
  <c r="IR215" i="2" s="1"/>
  <c r="IR217" i="2" s="1"/>
  <c r="IW61" i="2"/>
  <c r="IV60" i="2"/>
  <c r="IV74" i="2"/>
  <c r="IO230" i="2"/>
  <c r="IO231" i="2" s="1"/>
  <c r="IO232" i="2" s="1"/>
  <c r="IO229" i="2"/>
  <c r="IL253" i="2"/>
  <c r="IL254" i="2" s="1"/>
  <c r="IL255" i="2" s="1"/>
  <c r="IL258" i="2"/>
  <c r="IL252" i="2"/>
  <c r="IQ220" i="2"/>
  <c r="IQ222" i="2" s="1"/>
  <c r="IQ223" i="2" s="1"/>
  <c r="IQ226" i="2"/>
  <c r="IQ219" i="2"/>
  <c r="IT211" i="2"/>
  <c r="IT209" i="2"/>
  <c r="IU199" i="2"/>
  <c r="IU201" i="2" s="1"/>
  <c r="II262" i="2"/>
  <c r="II263" i="2" s="1"/>
  <c r="II264" i="2" s="1"/>
  <c r="II261" i="2"/>
  <c r="IL251" i="2"/>
  <c r="IM247" i="2" s="1"/>
  <c r="IN239" i="2"/>
  <c r="IN241" i="2" s="1"/>
  <c r="II260" i="2"/>
  <c r="IJ256" i="2" s="1"/>
  <c r="IH267" i="2"/>
  <c r="IO228" i="2"/>
  <c r="IP224" i="2" s="1"/>
  <c r="IU202" i="2" l="1"/>
  <c r="IV198" i="2" s="1"/>
  <c r="IV199" i="2" s="1"/>
  <c r="IR220" i="2"/>
  <c r="IR222" i="2" s="1"/>
  <c r="IR223" i="2" s="1"/>
  <c r="IR226" i="2"/>
  <c r="IR219" i="2"/>
  <c r="IR218" i="2"/>
  <c r="IS214" i="2" s="1"/>
  <c r="IO233" i="2"/>
  <c r="IO234" i="2"/>
  <c r="IN249" i="2"/>
  <c r="IN244" i="2"/>
  <c r="IN245" i="2" s="1"/>
  <c r="IN243" i="2"/>
  <c r="IM248" i="2"/>
  <c r="IM250" i="2" s="1"/>
  <c r="IP225" i="2"/>
  <c r="IP227" i="2" s="1"/>
  <c r="IJ257" i="2"/>
  <c r="IJ259" i="2" s="1"/>
  <c r="IU216" i="2"/>
  <c r="IU207" i="2"/>
  <c r="IU203" i="2"/>
  <c r="IN242" i="2"/>
  <c r="IO238" i="2" s="1"/>
  <c r="IT212" i="2"/>
  <c r="II265" i="2"/>
  <c r="II266" i="2"/>
  <c r="IW62" i="2"/>
  <c r="IW58" i="2" s="1"/>
  <c r="IO235" i="2" l="1"/>
  <c r="II267" i="2"/>
  <c r="IJ260" i="2"/>
  <c r="IK256" i="2" s="1"/>
  <c r="IK257" i="2" s="1"/>
  <c r="IP228" i="2"/>
  <c r="IQ224" i="2" s="1"/>
  <c r="IQ225" i="2" s="1"/>
  <c r="IQ227" i="2" s="1"/>
  <c r="IM253" i="2"/>
  <c r="IM254" i="2" s="1"/>
  <c r="IM255" i="2" s="1"/>
  <c r="IM258" i="2"/>
  <c r="IM252" i="2"/>
  <c r="IX61" i="2"/>
  <c r="IW60" i="2"/>
  <c r="IW74" i="2"/>
  <c r="IS215" i="2"/>
  <c r="IP230" i="2"/>
  <c r="IP231" i="2" s="1"/>
  <c r="IP232" i="2" s="1"/>
  <c r="IP229" i="2"/>
  <c r="IM251" i="2"/>
  <c r="IN247" i="2" s="1"/>
  <c r="IU211" i="2"/>
  <c r="IU209" i="2"/>
  <c r="IU208" i="2"/>
  <c r="IV204" i="2" s="1"/>
  <c r="IJ262" i="2"/>
  <c r="IJ263" i="2" s="1"/>
  <c r="IJ264" i="2" s="1"/>
  <c r="IJ261" i="2"/>
  <c r="IO239" i="2"/>
  <c r="IO241" i="2" s="1"/>
  <c r="IO242" i="2" s="1"/>
  <c r="IP238" i="2" s="1"/>
  <c r="IV201" i="2"/>
  <c r="IS217" i="2" l="1"/>
  <c r="IS218" i="2" s="1"/>
  <c r="IT214" i="2" s="1"/>
  <c r="IQ230" i="2"/>
  <c r="IQ231" i="2" s="1"/>
  <c r="IQ232" i="2" s="1"/>
  <c r="IQ229" i="2"/>
  <c r="IK259" i="2"/>
  <c r="IU212" i="2"/>
  <c r="IX62" i="2"/>
  <c r="IX58" i="2" s="1"/>
  <c r="IN248" i="2"/>
  <c r="IN250" i="2" s="1"/>
  <c r="IV216" i="2"/>
  <c r="IV207" i="2"/>
  <c r="IV203" i="2"/>
  <c r="IP239" i="2"/>
  <c r="IP241" i="2" s="1"/>
  <c r="IQ228" i="2"/>
  <c r="IR224" i="2" s="1"/>
  <c r="IV205" i="2"/>
  <c r="IP234" i="2"/>
  <c r="IP233" i="2"/>
  <c r="IO249" i="2"/>
  <c r="IO244" i="2"/>
  <c r="IO245" i="2" s="1"/>
  <c r="IO243" i="2"/>
  <c r="IJ265" i="2"/>
  <c r="IJ266" i="2"/>
  <c r="IV202" i="2"/>
  <c r="IW198" i="2" s="1"/>
  <c r="IS220" i="2" l="1"/>
  <c r="IS222" i="2" s="1"/>
  <c r="IS223" i="2" s="1"/>
  <c r="IP235" i="2"/>
  <c r="IS219" i="2"/>
  <c r="IS226" i="2"/>
  <c r="IT215" i="2"/>
  <c r="IT217" i="2" s="1"/>
  <c r="IV208" i="2"/>
  <c r="IW204" i="2" s="1"/>
  <c r="IW205" i="2" s="1"/>
  <c r="IJ267" i="2"/>
  <c r="IP249" i="2"/>
  <c r="IP244" i="2"/>
  <c r="IP245" i="2" s="1"/>
  <c r="IP243" i="2"/>
  <c r="IP242" i="2"/>
  <c r="IQ238" i="2" s="1"/>
  <c r="IN253" i="2"/>
  <c r="IN254" i="2" s="1"/>
  <c r="IN255" i="2" s="1"/>
  <c r="IN258" i="2"/>
  <c r="IN252" i="2"/>
  <c r="IN251" i="2"/>
  <c r="IO247" i="2" s="1"/>
  <c r="IY61" i="2"/>
  <c r="IX60" i="2"/>
  <c r="IX74" i="2"/>
  <c r="IK262" i="2"/>
  <c r="IK263" i="2" s="1"/>
  <c r="IK264" i="2" s="1"/>
  <c r="IK261" i="2"/>
  <c r="IR225" i="2"/>
  <c r="IR227" i="2" s="1"/>
  <c r="IV211" i="2"/>
  <c r="IV209" i="2"/>
  <c r="IK260" i="2"/>
  <c r="IL256" i="2" s="1"/>
  <c r="IW199" i="2"/>
  <c r="IW201" i="2" s="1"/>
  <c r="IQ234" i="2"/>
  <c r="IQ233" i="2"/>
  <c r="IQ235" i="2" l="1"/>
  <c r="IT220" i="2"/>
  <c r="IT222" i="2" s="1"/>
  <c r="IT223" i="2" s="1"/>
  <c r="IT226" i="2"/>
  <c r="IT219" i="2"/>
  <c r="IT218" i="2"/>
  <c r="IU214" i="2" s="1"/>
  <c r="IU215" i="2" s="1"/>
  <c r="IU217" i="2" s="1"/>
  <c r="IU226" i="2" s="1"/>
  <c r="IR230" i="2"/>
  <c r="IR231" i="2" s="1"/>
  <c r="IR232" i="2" s="1"/>
  <c r="IR229" i="2"/>
  <c r="IR228" i="2"/>
  <c r="IS224" i="2" s="1"/>
  <c r="IW216" i="2"/>
  <c r="IW207" i="2"/>
  <c r="IW208" i="2" s="1"/>
  <c r="IX204" i="2" s="1"/>
  <c r="IW203" i="2"/>
  <c r="IW202" i="2"/>
  <c r="IX198" i="2" s="1"/>
  <c r="IY62" i="2"/>
  <c r="IY58" i="2" s="1"/>
  <c r="IV212" i="2"/>
  <c r="IK266" i="2"/>
  <c r="IK265" i="2"/>
  <c r="IO248" i="2"/>
  <c r="IO250" i="2" s="1"/>
  <c r="IL257" i="2"/>
  <c r="IL259" i="2" s="1"/>
  <c r="IL260" i="2" s="1"/>
  <c r="IM256" i="2" s="1"/>
  <c r="IQ239" i="2"/>
  <c r="IQ241" i="2" s="1"/>
  <c r="IK267" i="2" l="1"/>
  <c r="IU218" i="2"/>
  <c r="IV214" i="2" s="1"/>
  <c r="IV215" i="2" s="1"/>
  <c r="IV217" i="2" s="1"/>
  <c r="IU220" i="2"/>
  <c r="IU222" i="2" s="1"/>
  <c r="IU223" i="2" s="1"/>
  <c r="IU219" i="2"/>
  <c r="IQ249" i="2"/>
  <c r="IQ244" i="2"/>
  <c r="IQ245" i="2" s="1"/>
  <c r="IQ243" i="2"/>
  <c r="IZ61" i="2"/>
  <c r="IY60" i="2"/>
  <c r="IY74" i="2"/>
  <c r="IM257" i="2"/>
  <c r="IX205" i="2"/>
  <c r="IQ242" i="2"/>
  <c r="IR238" i="2" s="1"/>
  <c r="IX199" i="2"/>
  <c r="IX201" i="2" s="1"/>
  <c r="IL262" i="2"/>
  <c r="IL263" i="2" s="1"/>
  <c r="IL264" i="2" s="1"/>
  <c r="IL261" i="2"/>
  <c r="IS225" i="2"/>
  <c r="IS227" i="2" s="1"/>
  <c r="IO253" i="2"/>
  <c r="IO254" i="2" s="1"/>
  <c r="IO255" i="2" s="1"/>
  <c r="IO258" i="2"/>
  <c r="IO252" i="2"/>
  <c r="IO251" i="2"/>
  <c r="IP247" i="2" s="1"/>
  <c r="IW211" i="2"/>
  <c r="IW209" i="2"/>
  <c r="IR234" i="2"/>
  <c r="IR233" i="2"/>
  <c r="IR235" i="2" l="1"/>
  <c r="IX216" i="2"/>
  <c r="IX207" i="2"/>
  <c r="IX208" i="2" s="1"/>
  <c r="IY204" i="2" s="1"/>
  <c r="IX203" i="2"/>
  <c r="IX202" i="2"/>
  <c r="IY198" i="2" s="1"/>
  <c r="IV220" i="2"/>
  <c r="IV222" i="2" s="1"/>
  <c r="IV223" i="2" s="1"/>
  <c r="IV226" i="2"/>
  <c r="IV219" i="2"/>
  <c r="IS230" i="2"/>
  <c r="IS231" i="2" s="1"/>
  <c r="IS232" i="2" s="1"/>
  <c r="IS229" i="2"/>
  <c r="IS228" i="2"/>
  <c r="IT224" i="2" s="1"/>
  <c r="IV218" i="2"/>
  <c r="IW214" i="2" s="1"/>
  <c r="IM259" i="2"/>
  <c r="IL266" i="2"/>
  <c r="IL265" i="2"/>
  <c r="IP248" i="2"/>
  <c r="IP250" i="2" s="1"/>
  <c r="IZ62" i="2"/>
  <c r="IZ58" i="2" s="1"/>
  <c r="IR239" i="2"/>
  <c r="IW212" i="2"/>
  <c r="IL267" i="2" l="1"/>
  <c r="IP251" i="2"/>
  <c r="IQ247" i="2" s="1"/>
  <c r="IQ248" i="2" s="1"/>
  <c r="IQ250" i="2" s="1"/>
  <c r="JA61" i="2"/>
  <c r="IZ60" i="2"/>
  <c r="IZ74" i="2"/>
  <c r="IS234" i="2"/>
  <c r="IS233" i="2"/>
  <c r="IM262" i="2"/>
  <c r="IM263" i="2" s="1"/>
  <c r="IM264" i="2" s="1"/>
  <c r="IM261" i="2"/>
  <c r="IY205" i="2"/>
  <c r="IY199" i="2"/>
  <c r="IX211" i="2"/>
  <c r="IX209" i="2"/>
  <c r="IW215" i="2"/>
  <c r="IR241" i="2"/>
  <c r="IR242" i="2" s="1"/>
  <c r="IS238" i="2" s="1"/>
  <c r="IP253" i="2"/>
  <c r="IP254" i="2" s="1"/>
  <c r="IP255" i="2" s="1"/>
  <c r="IP258" i="2"/>
  <c r="IP252" i="2"/>
  <c r="IM260" i="2"/>
  <c r="IN256" i="2" s="1"/>
  <c r="IT225" i="2"/>
  <c r="IT227" i="2" s="1"/>
  <c r="IS235" i="2" l="1"/>
  <c r="IQ253" i="2"/>
  <c r="IQ254" i="2" s="1"/>
  <c r="IQ255" i="2" s="1"/>
  <c r="IQ258" i="2"/>
  <c r="IQ252" i="2"/>
  <c r="IQ251" i="2"/>
  <c r="IR247" i="2" s="1"/>
  <c r="IT230" i="2"/>
  <c r="IT231" i="2" s="1"/>
  <c r="IT232" i="2" s="1"/>
  <c r="IT229" i="2"/>
  <c r="IS239" i="2"/>
  <c r="IM266" i="2"/>
  <c r="IM265" i="2"/>
  <c r="IW217" i="2"/>
  <c r="IW218" i="2" s="1"/>
  <c r="IX214" i="2" s="1"/>
  <c r="IN257" i="2"/>
  <c r="IN259" i="2" s="1"/>
  <c r="IY201" i="2"/>
  <c r="IT228" i="2"/>
  <c r="IU224" i="2" s="1"/>
  <c r="IX212" i="2"/>
  <c r="IR249" i="2"/>
  <c r="IR244" i="2"/>
  <c r="IR245" i="2" s="1"/>
  <c r="IR243" i="2"/>
  <c r="JA62" i="2"/>
  <c r="JA58" i="2" s="1"/>
  <c r="JB61" i="2" l="1"/>
  <c r="JA60" i="2"/>
  <c r="JA74" i="2"/>
  <c r="IN262" i="2"/>
  <c r="IN263" i="2" s="1"/>
  <c r="IN264" i="2" s="1"/>
  <c r="IN261" i="2"/>
  <c r="IX215" i="2"/>
  <c r="IX217" i="2" s="1"/>
  <c r="IT234" i="2"/>
  <c r="IT233" i="2"/>
  <c r="IU225" i="2"/>
  <c r="IU227" i="2" s="1"/>
  <c r="IR248" i="2"/>
  <c r="IR250" i="2" s="1"/>
  <c r="IN260" i="2"/>
  <c r="IO256" i="2" s="1"/>
  <c r="IS241" i="2"/>
  <c r="IY216" i="2"/>
  <c r="IY207" i="2"/>
  <c r="IY203" i="2"/>
  <c r="IW220" i="2"/>
  <c r="IW222" i="2" s="1"/>
  <c r="IW223" i="2" s="1"/>
  <c r="IW226" i="2"/>
  <c r="IW219" i="2"/>
  <c r="IM267" i="2"/>
  <c r="IY202" i="2"/>
  <c r="IZ198" i="2" s="1"/>
  <c r="IT235" i="2" l="1"/>
  <c r="IU230" i="2"/>
  <c r="IU231" i="2" s="1"/>
  <c r="IU232" i="2" s="1"/>
  <c r="IU229" i="2"/>
  <c r="IR253" i="2"/>
  <c r="IR254" i="2" s="1"/>
  <c r="IR255" i="2" s="1"/>
  <c r="IR258" i="2"/>
  <c r="IR252" i="2"/>
  <c r="IX220" i="2"/>
  <c r="IX222" i="2" s="1"/>
  <c r="IX223" i="2" s="1"/>
  <c r="IX226" i="2"/>
  <c r="IX219" i="2"/>
  <c r="IY211" i="2"/>
  <c r="IY209" i="2"/>
  <c r="IY208" i="2"/>
  <c r="IZ204" i="2" s="1"/>
  <c r="IO257" i="2"/>
  <c r="IR251" i="2"/>
  <c r="IS247" i="2" s="1"/>
  <c r="IX218" i="2"/>
  <c r="IY214" i="2" s="1"/>
  <c r="IS249" i="2"/>
  <c r="IS244" i="2"/>
  <c r="IS245" i="2" s="1"/>
  <c r="IS243" i="2"/>
  <c r="IS242" i="2"/>
  <c r="IT238" i="2" s="1"/>
  <c r="IN266" i="2"/>
  <c r="IN265" i="2"/>
  <c r="IU228" i="2"/>
  <c r="IV224" i="2" s="1"/>
  <c r="IZ199" i="2"/>
  <c r="IZ201" i="2" s="1"/>
  <c r="JB62" i="2"/>
  <c r="JB58" i="2" s="1"/>
  <c r="IN267" i="2" l="1"/>
  <c r="JC61" i="2"/>
  <c r="JB60" i="2"/>
  <c r="JB74" i="2"/>
  <c r="IZ216" i="2"/>
  <c r="IZ207" i="2"/>
  <c r="IZ203" i="2"/>
  <c r="IS248" i="2"/>
  <c r="IS250" i="2" s="1"/>
  <c r="IS252" i="2" s="1"/>
  <c r="IZ202" i="2"/>
  <c r="JA198" i="2" s="1"/>
  <c r="IZ205" i="2"/>
  <c r="IY212" i="2"/>
  <c r="IY215" i="2"/>
  <c r="IV225" i="2"/>
  <c r="IV227" i="2" s="1"/>
  <c r="IV228" i="2" s="1"/>
  <c r="IW224" i="2" s="1"/>
  <c r="IO259" i="2"/>
  <c r="IT239" i="2"/>
  <c r="IU234" i="2"/>
  <c r="IU233" i="2"/>
  <c r="IZ208" i="2" l="1"/>
  <c r="JA204" i="2" s="1"/>
  <c r="JA205" i="2" s="1"/>
  <c r="IU235" i="2"/>
  <c r="IS251" i="2"/>
  <c r="IT247" i="2" s="1"/>
  <c r="IT248" i="2" s="1"/>
  <c r="IY217" i="2"/>
  <c r="IY220" i="2" s="1"/>
  <c r="IY222" i="2" s="1"/>
  <c r="IY223" i="2" s="1"/>
  <c r="IW225" i="2"/>
  <c r="IW227" i="2" s="1"/>
  <c r="IZ211" i="2"/>
  <c r="IZ209" i="2"/>
  <c r="IT241" i="2"/>
  <c r="IO262" i="2"/>
  <c r="IO263" i="2" s="1"/>
  <c r="IO264" i="2" s="1"/>
  <c r="IO261" i="2"/>
  <c r="JA199" i="2"/>
  <c r="JA201" i="2" s="1"/>
  <c r="IS253" i="2"/>
  <c r="IS254" i="2" s="1"/>
  <c r="IS255" i="2" s="1"/>
  <c r="IS258" i="2"/>
  <c r="JC62" i="2"/>
  <c r="JC58" i="2" s="1"/>
  <c r="IV230" i="2"/>
  <c r="IV231" i="2" s="1"/>
  <c r="IV232" i="2" s="1"/>
  <c r="IV229" i="2"/>
  <c r="IO260" i="2"/>
  <c r="IP256" i="2" s="1"/>
  <c r="IY218" i="2" l="1"/>
  <c r="IZ214" i="2" s="1"/>
  <c r="IZ215" i="2" s="1"/>
  <c r="IY219" i="2"/>
  <c r="IY226" i="2"/>
  <c r="IW228" i="2"/>
  <c r="IX224" i="2" s="1"/>
  <c r="JD61" i="2"/>
  <c r="JC60" i="2"/>
  <c r="JC74" i="2"/>
  <c r="JA216" i="2"/>
  <c r="JA207" i="2"/>
  <c r="JA203" i="2"/>
  <c r="IX225" i="2"/>
  <c r="IX227" i="2" s="1"/>
  <c r="IT249" i="2"/>
  <c r="IT250" i="2" s="1"/>
  <c r="IT244" i="2"/>
  <c r="IT245" i="2" s="1"/>
  <c r="IT243" i="2"/>
  <c r="IZ212" i="2"/>
  <c r="IO265" i="2"/>
  <c r="IO266" i="2"/>
  <c r="JA202" i="2"/>
  <c r="JB198" i="2" s="1"/>
  <c r="IT242" i="2"/>
  <c r="IU238" i="2" s="1"/>
  <c r="IW230" i="2"/>
  <c r="IW231" i="2" s="1"/>
  <c r="IW232" i="2" s="1"/>
  <c r="IW229" i="2"/>
  <c r="IP257" i="2"/>
  <c r="IV233" i="2"/>
  <c r="IV234" i="2"/>
  <c r="IZ217" i="2" l="1"/>
  <c r="IZ220" i="2" s="1"/>
  <c r="IZ222" i="2" s="1"/>
  <c r="IZ223" i="2" s="1"/>
  <c r="IP259" i="2"/>
  <c r="IP260" i="2" s="1"/>
  <c r="IQ256" i="2" s="1"/>
  <c r="IT253" i="2"/>
  <c r="IT254" i="2" s="1"/>
  <c r="IT255" i="2" s="1"/>
  <c r="IT258" i="2"/>
  <c r="IT251" i="2"/>
  <c r="IU247" i="2" s="1"/>
  <c r="IX230" i="2"/>
  <c r="IX231" i="2" s="1"/>
  <c r="IX232" i="2" s="1"/>
  <c r="IX229" i="2"/>
  <c r="JB199" i="2"/>
  <c r="JA211" i="2"/>
  <c r="JA209" i="2"/>
  <c r="JA208" i="2"/>
  <c r="JB204" i="2" s="1"/>
  <c r="IX228" i="2"/>
  <c r="IY224" i="2" s="1"/>
  <c r="IV235" i="2"/>
  <c r="IW233" i="2"/>
  <c r="IW234" i="2"/>
  <c r="IU239" i="2"/>
  <c r="IU241" i="2" s="1"/>
  <c r="IO267" i="2"/>
  <c r="IT252" i="2"/>
  <c r="JD62" i="2"/>
  <c r="JD58" i="2" s="1"/>
  <c r="IZ218" i="2" l="1"/>
  <c r="JA214" i="2" s="1"/>
  <c r="JA215" i="2" s="1"/>
  <c r="IP261" i="2"/>
  <c r="IZ219" i="2"/>
  <c r="IZ226" i="2"/>
  <c r="IP262" i="2"/>
  <c r="IP263" i="2" s="1"/>
  <c r="IP264" i="2" s="1"/>
  <c r="IP265" i="2" s="1"/>
  <c r="IQ257" i="2"/>
  <c r="IQ259" i="2" s="1"/>
  <c r="JB201" i="2"/>
  <c r="JB202" i="2" s="1"/>
  <c r="JC198" i="2" s="1"/>
  <c r="JC199" i="2" s="1"/>
  <c r="IU249" i="2"/>
  <c r="IU244" i="2"/>
  <c r="IU245" i="2" s="1"/>
  <c r="IU243" i="2"/>
  <c r="JE61" i="2"/>
  <c r="JD60" i="2"/>
  <c r="JD74" i="2"/>
  <c r="IU242" i="2"/>
  <c r="IV238" i="2" s="1"/>
  <c r="JB205" i="2"/>
  <c r="IX233" i="2"/>
  <c r="IX234" i="2"/>
  <c r="IY225" i="2"/>
  <c r="JA212" i="2"/>
  <c r="IW235" i="2"/>
  <c r="IU248" i="2"/>
  <c r="IU250" i="2" l="1"/>
  <c r="IU253" i="2" s="1"/>
  <c r="IU254" i="2" s="1"/>
  <c r="IU255" i="2" s="1"/>
  <c r="IP266" i="2"/>
  <c r="IP267" i="2" s="1"/>
  <c r="JB203" i="2"/>
  <c r="JB207" i="2"/>
  <c r="JB208" i="2" s="1"/>
  <c r="JC204" i="2" s="1"/>
  <c r="JC205" i="2" s="1"/>
  <c r="IQ261" i="2"/>
  <c r="IQ262" i="2"/>
  <c r="IQ263" i="2" s="1"/>
  <c r="IQ264" i="2" s="1"/>
  <c r="IQ265" i="2" s="1"/>
  <c r="IQ260" i="2"/>
  <c r="IR256" i="2" s="1"/>
  <c r="IR257" i="2" s="1"/>
  <c r="IR259" i="2" s="1"/>
  <c r="IX235" i="2"/>
  <c r="JB216" i="2"/>
  <c r="JE62" i="2"/>
  <c r="JE58" i="2" s="1"/>
  <c r="IY227" i="2"/>
  <c r="IV239" i="2"/>
  <c r="IV241" i="2" s="1"/>
  <c r="JC201" i="2"/>
  <c r="JA217" i="2"/>
  <c r="JA218" i="2" s="1"/>
  <c r="JB214" i="2" s="1"/>
  <c r="IU251" i="2" l="1"/>
  <c r="IV247" i="2" s="1"/>
  <c r="IV248" i="2" s="1"/>
  <c r="IU258" i="2"/>
  <c r="IU252" i="2"/>
  <c r="JB209" i="2"/>
  <c r="IQ266" i="2"/>
  <c r="IQ267" i="2" s="1"/>
  <c r="JB211" i="2"/>
  <c r="JB212" i="2" s="1"/>
  <c r="JB215" i="2"/>
  <c r="IV249" i="2"/>
  <c r="IV244" i="2"/>
  <c r="IV245" i="2" s="1"/>
  <c r="IV243" i="2"/>
  <c r="IR262" i="2"/>
  <c r="IR263" i="2" s="1"/>
  <c r="IR264" i="2" s="1"/>
  <c r="IR261" i="2"/>
  <c r="IR260" i="2"/>
  <c r="IS256" i="2" s="1"/>
  <c r="JF61" i="2"/>
  <c r="JE60" i="2"/>
  <c r="JC216" i="2"/>
  <c r="JC207" i="2"/>
  <c r="JC203" i="2"/>
  <c r="IV242" i="2"/>
  <c r="IW238" i="2" s="1"/>
  <c r="JA220" i="2"/>
  <c r="JA222" i="2" s="1"/>
  <c r="JA223" i="2" s="1"/>
  <c r="JA226" i="2"/>
  <c r="JA219" i="2"/>
  <c r="IY230" i="2"/>
  <c r="IY231" i="2" s="1"/>
  <c r="IY232" i="2" s="1"/>
  <c r="IY229" i="2"/>
  <c r="JC202" i="2"/>
  <c r="JD198" i="2" s="1"/>
  <c r="JE74" i="2"/>
  <c r="IY228" i="2"/>
  <c r="IZ224" i="2" s="1"/>
  <c r="IV250" i="2" l="1"/>
  <c r="IV258" i="2" s="1"/>
  <c r="JF62" i="2"/>
  <c r="JF58" i="2" s="1"/>
  <c r="IS257" i="2"/>
  <c r="IR265" i="2"/>
  <c r="IR266" i="2"/>
  <c r="IZ225" i="2"/>
  <c r="IZ227" i="2" s="1"/>
  <c r="JB217" i="2"/>
  <c r="IY233" i="2"/>
  <c r="IY234" i="2"/>
  <c r="IW239" i="2"/>
  <c r="IW241" i="2" s="1"/>
  <c r="JC211" i="2"/>
  <c r="JC209" i="2"/>
  <c r="JC208" i="2"/>
  <c r="JD204" i="2" s="1"/>
  <c r="JD199" i="2"/>
  <c r="JD201" i="2" s="1"/>
  <c r="JD202" i="2" s="1"/>
  <c r="JE198" i="2" s="1"/>
  <c r="IV251" i="2" l="1"/>
  <c r="IW247" i="2" s="1"/>
  <c r="IW248" i="2" s="1"/>
  <c r="IV252" i="2"/>
  <c r="IV253" i="2"/>
  <c r="IV254" i="2" s="1"/>
  <c r="IV255" i="2" s="1"/>
  <c r="IY235" i="2"/>
  <c r="IZ230" i="2"/>
  <c r="IZ231" i="2" s="1"/>
  <c r="IZ232" i="2" s="1"/>
  <c r="IZ229" i="2"/>
  <c r="IZ228" i="2"/>
  <c r="JA224" i="2" s="1"/>
  <c r="JE199" i="2"/>
  <c r="JG61" i="2"/>
  <c r="JF60" i="2"/>
  <c r="JF74" i="2"/>
  <c r="IW249" i="2"/>
  <c r="IW244" i="2"/>
  <c r="IW245" i="2" s="1"/>
  <c r="IW243" i="2"/>
  <c r="IR267" i="2"/>
  <c r="JB220" i="2"/>
  <c r="JB222" i="2" s="1"/>
  <c r="JB223" i="2" s="1"/>
  <c r="JB226" i="2"/>
  <c r="JB219" i="2"/>
  <c r="IS259" i="2"/>
  <c r="IS260" i="2" s="1"/>
  <c r="IT256" i="2" s="1"/>
  <c r="IW242" i="2"/>
  <c r="IX238" i="2" s="1"/>
  <c r="JD205" i="2"/>
  <c r="JC212" i="2"/>
  <c r="JD216" i="2"/>
  <c r="JD207" i="2"/>
  <c r="JD203" i="2"/>
  <c r="JB218" i="2"/>
  <c r="JC214" i="2" s="1"/>
  <c r="IW250" i="2" l="1"/>
  <c r="IW258" i="2" s="1"/>
  <c r="JE201" i="2"/>
  <c r="JE202" i="2" s="1"/>
  <c r="JF198" i="2" s="1"/>
  <c r="JF199" i="2" s="1"/>
  <c r="JF201" i="2" s="1"/>
  <c r="JD208" i="2"/>
  <c r="JE204" i="2" s="1"/>
  <c r="JE205" i="2" s="1"/>
  <c r="IT257" i="2"/>
  <c r="IT259" i="2" s="1"/>
  <c r="JC215" i="2"/>
  <c r="IX239" i="2"/>
  <c r="JG62" i="2"/>
  <c r="JG58" i="2" s="1"/>
  <c r="IS262" i="2"/>
  <c r="IS263" i="2" s="1"/>
  <c r="IS264" i="2" s="1"/>
  <c r="IS261" i="2"/>
  <c r="JA225" i="2"/>
  <c r="JA227" i="2" s="1"/>
  <c r="JD211" i="2"/>
  <c r="JD209" i="2"/>
  <c r="IZ233" i="2"/>
  <c r="IZ234" i="2"/>
  <c r="IW251" i="2" l="1"/>
  <c r="IX247" i="2" s="1"/>
  <c r="IX248" i="2" s="1"/>
  <c r="IW252" i="2"/>
  <c r="IW253" i="2"/>
  <c r="IW254" i="2" s="1"/>
  <c r="IW255" i="2" s="1"/>
  <c r="JE216" i="2"/>
  <c r="JE207" i="2"/>
  <c r="JE208" i="2" s="1"/>
  <c r="JF204" i="2" s="1"/>
  <c r="JF205" i="2" s="1"/>
  <c r="JE203" i="2"/>
  <c r="IT260" i="2"/>
  <c r="IU256" i="2" s="1"/>
  <c r="IU257" i="2" s="1"/>
  <c r="IU259" i="2" s="1"/>
  <c r="IZ235" i="2"/>
  <c r="IX241" i="2"/>
  <c r="IX242" i="2" s="1"/>
  <c r="IY238" i="2" s="1"/>
  <c r="JA230" i="2"/>
  <c r="JA231" i="2" s="1"/>
  <c r="JA232" i="2" s="1"/>
  <c r="JA229" i="2"/>
  <c r="JH61" i="2"/>
  <c r="JG60" i="2"/>
  <c r="JG74" i="2"/>
  <c r="JF216" i="2"/>
  <c r="JF207" i="2"/>
  <c r="JF203" i="2"/>
  <c r="JF202" i="2"/>
  <c r="JG198" i="2" s="1"/>
  <c r="IT262" i="2"/>
  <c r="IT263" i="2" s="1"/>
  <c r="IT264" i="2" s="1"/>
  <c r="IT261" i="2"/>
  <c r="JA228" i="2"/>
  <c r="JB224" i="2" s="1"/>
  <c r="JC217" i="2"/>
  <c r="JD212" i="2"/>
  <c r="IS265" i="2"/>
  <c r="IS266" i="2"/>
  <c r="JE209" i="2" l="1"/>
  <c r="JF208" i="2"/>
  <c r="JG204" i="2" s="1"/>
  <c r="JG205" i="2" s="1"/>
  <c r="JE211" i="2"/>
  <c r="JE212" i="2" s="1"/>
  <c r="IX243" i="2"/>
  <c r="IY239" i="2"/>
  <c r="IY241" i="2" s="1"/>
  <c r="IX244" i="2"/>
  <c r="IX245" i="2" s="1"/>
  <c r="IX249" i="2"/>
  <c r="IX250" i="2" s="1"/>
  <c r="IU262" i="2"/>
  <c r="IU263" i="2" s="1"/>
  <c r="IU264" i="2" s="1"/>
  <c r="IU261" i="2"/>
  <c r="IU260" i="2"/>
  <c r="IV256" i="2" s="1"/>
  <c r="IT265" i="2"/>
  <c r="IT266" i="2"/>
  <c r="JC220" i="2"/>
  <c r="JC222" i="2" s="1"/>
  <c r="JC223" i="2" s="1"/>
  <c r="JC226" i="2"/>
  <c r="JC219" i="2"/>
  <c r="JG199" i="2"/>
  <c r="JG201" i="2" s="1"/>
  <c r="JG202" i="2" s="1"/>
  <c r="JH198" i="2" s="1"/>
  <c r="JH62" i="2"/>
  <c r="JH58" i="2" s="1"/>
  <c r="JC218" i="2"/>
  <c r="JD214" i="2" s="1"/>
  <c r="JB225" i="2"/>
  <c r="JB227" i="2" s="1"/>
  <c r="JF211" i="2"/>
  <c r="JF209" i="2"/>
  <c r="IS267" i="2"/>
  <c r="JA233" i="2"/>
  <c r="JA234" i="2"/>
  <c r="IY242" i="2" l="1"/>
  <c r="IZ238" i="2" s="1"/>
  <c r="IZ239" i="2" s="1"/>
  <c r="IZ241" i="2" s="1"/>
  <c r="IZ242" i="2" s="1"/>
  <c r="JA238" i="2" s="1"/>
  <c r="IY249" i="2"/>
  <c r="IY244" i="2"/>
  <c r="IY245" i="2" s="1"/>
  <c r="IY243" i="2"/>
  <c r="IX253" i="2"/>
  <c r="IX254" i="2" s="1"/>
  <c r="IX255" i="2" s="1"/>
  <c r="IX258" i="2"/>
  <c r="IX252" i="2"/>
  <c r="IX251" i="2"/>
  <c r="IY247" i="2" s="1"/>
  <c r="IY248" i="2" s="1"/>
  <c r="JB230" i="2"/>
  <c r="JB231" i="2" s="1"/>
  <c r="JB232" i="2" s="1"/>
  <c r="JB229" i="2"/>
  <c r="JB228" i="2"/>
  <c r="JC224" i="2" s="1"/>
  <c r="JI61" i="2"/>
  <c r="JH60" i="2"/>
  <c r="JH74" i="2"/>
  <c r="JH199" i="2"/>
  <c r="JH201" i="2" s="1"/>
  <c r="IU265" i="2"/>
  <c r="IU266" i="2"/>
  <c r="IT267" i="2"/>
  <c r="JF212" i="2"/>
  <c r="IV257" i="2"/>
  <c r="JD215" i="2"/>
  <c r="JD217" i="2" s="1"/>
  <c r="JG216" i="2"/>
  <c r="JG207" i="2"/>
  <c r="JG203" i="2"/>
  <c r="JA235" i="2"/>
  <c r="IY250" i="2" l="1"/>
  <c r="IY253" i="2" s="1"/>
  <c r="IY254" i="2" s="1"/>
  <c r="IY255" i="2" s="1"/>
  <c r="JH216" i="2"/>
  <c r="JH207" i="2"/>
  <c r="JH203" i="2"/>
  <c r="JA239" i="2"/>
  <c r="IV259" i="2"/>
  <c r="IV260" i="2" s="1"/>
  <c r="IW256" i="2" s="1"/>
  <c r="JH202" i="2"/>
  <c r="JI198" i="2" s="1"/>
  <c r="JC225" i="2"/>
  <c r="JG211" i="2"/>
  <c r="JG209" i="2"/>
  <c r="IZ249" i="2"/>
  <c r="IZ244" i="2"/>
  <c r="IZ245" i="2" s="1"/>
  <c r="IZ243" i="2"/>
  <c r="JB234" i="2"/>
  <c r="JB233" i="2"/>
  <c r="JI62" i="2"/>
  <c r="JI58" i="2" s="1"/>
  <c r="JD220" i="2"/>
  <c r="JD222" i="2" s="1"/>
  <c r="JD223" i="2" s="1"/>
  <c r="JD226" i="2"/>
  <c r="JD219" i="2"/>
  <c r="JD218" i="2"/>
  <c r="JE214" i="2" s="1"/>
  <c r="IU267" i="2"/>
  <c r="JG208" i="2"/>
  <c r="JH204" i="2" s="1"/>
  <c r="JB235" i="2" l="1"/>
  <c r="IY251" i="2"/>
  <c r="IZ247" i="2" s="1"/>
  <c r="IZ248" i="2" s="1"/>
  <c r="IY258" i="2"/>
  <c r="IY252" i="2"/>
  <c r="IW257" i="2"/>
  <c r="JJ61" i="2"/>
  <c r="JI60" i="2"/>
  <c r="JI74" i="2"/>
  <c r="JE215" i="2"/>
  <c r="JG212" i="2"/>
  <c r="JH205" i="2"/>
  <c r="JH208" i="2" s="1"/>
  <c r="JI204" i="2" s="1"/>
  <c r="JC227" i="2"/>
  <c r="IV262" i="2"/>
  <c r="IV263" i="2" s="1"/>
  <c r="IV264" i="2" s="1"/>
  <c r="IV261" i="2"/>
  <c r="JA241" i="2"/>
  <c r="JA242" i="2" s="1"/>
  <c r="JB238" i="2" s="1"/>
  <c r="JH211" i="2"/>
  <c r="JH209" i="2"/>
  <c r="JI199" i="2"/>
  <c r="JI205" i="2" l="1"/>
  <c r="JB239" i="2"/>
  <c r="JB241" i="2" s="1"/>
  <c r="JE217" i="2"/>
  <c r="IV265" i="2"/>
  <c r="IV266" i="2"/>
  <c r="JI201" i="2"/>
  <c r="JI202" i="2" s="1"/>
  <c r="JJ198" i="2" s="1"/>
  <c r="JH212" i="2"/>
  <c r="IW259" i="2"/>
  <c r="JA249" i="2"/>
  <c r="JA244" i="2"/>
  <c r="JA245" i="2" s="1"/>
  <c r="JA243" i="2"/>
  <c r="JC230" i="2"/>
  <c r="JC231" i="2" s="1"/>
  <c r="JC232" i="2" s="1"/>
  <c r="JC229" i="2"/>
  <c r="JJ62" i="2"/>
  <c r="JJ58" i="2" s="1"/>
  <c r="IZ250" i="2"/>
  <c r="JC228" i="2"/>
  <c r="JD224" i="2" s="1"/>
  <c r="IV267" i="2" l="1"/>
  <c r="JB249" i="2"/>
  <c r="JB244" i="2"/>
  <c r="JB245" i="2" s="1"/>
  <c r="JB243" i="2"/>
  <c r="IW262" i="2"/>
  <c r="IW263" i="2" s="1"/>
  <c r="IW264" i="2" s="1"/>
  <c r="IW261" i="2"/>
  <c r="JC234" i="2"/>
  <c r="JC233" i="2"/>
  <c r="JB242" i="2"/>
  <c r="JC238" i="2" s="1"/>
  <c r="JE220" i="2"/>
  <c r="JE222" i="2" s="1"/>
  <c r="JE223" i="2" s="1"/>
  <c r="JE226" i="2"/>
  <c r="JE219" i="2"/>
  <c r="IW260" i="2"/>
  <c r="IX256" i="2" s="1"/>
  <c r="JJ199" i="2"/>
  <c r="JJ201" i="2" s="1"/>
  <c r="JE218" i="2"/>
  <c r="JF214" i="2" s="1"/>
  <c r="JI216" i="2"/>
  <c r="JI207" i="2"/>
  <c r="JI208" i="2" s="1"/>
  <c r="JJ204" i="2" s="1"/>
  <c r="JI203" i="2"/>
  <c r="JK61" i="2"/>
  <c r="JJ60" i="2"/>
  <c r="JJ74" i="2"/>
  <c r="JD225" i="2"/>
  <c r="JD227" i="2" s="1"/>
  <c r="JD228" i="2" s="1"/>
  <c r="JE224" i="2" s="1"/>
  <c r="IZ253" i="2"/>
  <c r="IZ254" i="2" s="1"/>
  <c r="IZ255" i="2" s="1"/>
  <c r="IZ258" i="2"/>
  <c r="IZ252" i="2"/>
  <c r="IZ251" i="2"/>
  <c r="JA247" i="2" s="1"/>
  <c r="JC235" i="2" l="1"/>
  <c r="JE225" i="2"/>
  <c r="JJ205" i="2"/>
  <c r="JJ216" i="2"/>
  <c r="JJ207" i="2"/>
  <c r="JJ203" i="2"/>
  <c r="JJ202" i="2"/>
  <c r="JK198" i="2" s="1"/>
  <c r="JK62" i="2"/>
  <c r="JK58" i="2" s="1"/>
  <c r="JF215" i="2"/>
  <c r="JF217" i="2" s="1"/>
  <c r="JA248" i="2"/>
  <c r="JI211" i="2"/>
  <c r="JI209" i="2"/>
  <c r="IW266" i="2"/>
  <c r="IW265" i="2"/>
  <c r="JC239" i="2"/>
  <c r="JC241" i="2" s="1"/>
  <c r="JD230" i="2"/>
  <c r="JD231" i="2" s="1"/>
  <c r="JD232" i="2" s="1"/>
  <c r="JD229" i="2"/>
  <c r="IX257" i="2"/>
  <c r="IX259" i="2" s="1"/>
  <c r="JC242" i="2" l="1"/>
  <c r="JD238" i="2" s="1"/>
  <c r="JD239" i="2" s="1"/>
  <c r="JJ208" i="2"/>
  <c r="JK204" i="2" s="1"/>
  <c r="JK205" i="2" s="1"/>
  <c r="IW267" i="2"/>
  <c r="JF220" i="2"/>
  <c r="JF222" i="2" s="1"/>
  <c r="JF223" i="2" s="1"/>
  <c r="JF226" i="2"/>
  <c r="JF219" i="2"/>
  <c r="JL61" i="2"/>
  <c r="JK60" i="2"/>
  <c r="JK74" i="2"/>
  <c r="IX262" i="2"/>
  <c r="IX263" i="2" s="1"/>
  <c r="IX264" i="2" s="1"/>
  <c r="IX261" i="2"/>
  <c r="IX260" i="2"/>
  <c r="IY256" i="2" s="1"/>
  <c r="JA250" i="2"/>
  <c r="JK199" i="2"/>
  <c r="JK201" i="2" s="1"/>
  <c r="JJ211" i="2"/>
  <c r="JJ209" i="2"/>
  <c r="JI212" i="2"/>
  <c r="JD234" i="2"/>
  <c r="JD233" i="2"/>
  <c r="JF218" i="2"/>
  <c r="JG214" i="2" s="1"/>
  <c r="JE227" i="2"/>
  <c r="JE228" i="2" s="1"/>
  <c r="JF224" i="2" s="1"/>
  <c r="JC249" i="2"/>
  <c r="JC244" i="2"/>
  <c r="JC245" i="2" s="1"/>
  <c r="JC243" i="2"/>
  <c r="JD235" i="2" l="1"/>
  <c r="JK202" i="2"/>
  <c r="JL198" i="2" s="1"/>
  <c r="JL199" i="2" s="1"/>
  <c r="JF225" i="2"/>
  <c r="JF227" i="2" s="1"/>
  <c r="JF230" i="2" s="1"/>
  <c r="JF231" i="2" s="1"/>
  <c r="JF232" i="2" s="1"/>
  <c r="IX266" i="2"/>
  <c r="IX265" i="2"/>
  <c r="JE230" i="2"/>
  <c r="JE231" i="2" s="1"/>
  <c r="JE232" i="2" s="1"/>
  <c r="JE229" i="2"/>
  <c r="JL62" i="2"/>
  <c r="JL58" i="2" s="1"/>
  <c r="JK216" i="2"/>
  <c r="JK207" i="2"/>
  <c r="JK203" i="2"/>
  <c r="JA253" i="2"/>
  <c r="JA254" i="2" s="1"/>
  <c r="JA255" i="2" s="1"/>
  <c r="JA258" i="2"/>
  <c r="JA252" i="2"/>
  <c r="JG215" i="2"/>
  <c r="JG217" i="2" s="1"/>
  <c r="JJ212" i="2"/>
  <c r="IY257" i="2"/>
  <c r="IY259" i="2" s="1"/>
  <c r="JD241" i="2"/>
  <c r="JA251" i="2"/>
  <c r="JB247" i="2" s="1"/>
  <c r="IX267" i="2" l="1"/>
  <c r="IY262" i="2"/>
  <c r="IY263" i="2" s="1"/>
  <c r="IY264" i="2" s="1"/>
  <c r="IY261" i="2"/>
  <c r="JM61" i="2"/>
  <c r="JL60" i="2"/>
  <c r="JL74" i="2"/>
  <c r="JG220" i="2"/>
  <c r="JG222" i="2" s="1"/>
  <c r="JG223" i="2" s="1"/>
  <c r="JG226" i="2"/>
  <c r="JG219" i="2"/>
  <c r="JG218" i="2"/>
  <c r="JH214" i="2" s="1"/>
  <c r="JF234" i="2"/>
  <c r="JF233" i="2"/>
  <c r="JE234" i="2"/>
  <c r="JE233" i="2"/>
  <c r="JB248" i="2"/>
  <c r="JB250" i="2" s="1"/>
  <c r="JD249" i="2"/>
  <c r="JD244" i="2"/>
  <c r="JD245" i="2" s="1"/>
  <c r="JD243" i="2"/>
  <c r="IY260" i="2"/>
  <c r="IZ256" i="2" s="1"/>
  <c r="JK211" i="2"/>
  <c r="JK209" i="2"/>
  <c r="JK208" i="2"/>
  <c r="JL204" i="2" s="1"/>
  <c r="JF228" i="2"/>
  <c r="JG224" i="2" s="1"/>
  <c r="JL201" i="2"/>
  <c r="JL202" i="2" s="1"/>
  <c r="JM198" i="2" s="1"/>
  <c r="JF229" i="2"/>
  <c r="JD242" i="2"/>
  <c r="JE238" i="2" s="1"/>
  <c r="JF235" i="2" l="1"/>
  <c r="JE235" i="2"/>
  <c r="JB253" i="2"/>
  <c r="JB254" i="2" s="1"/>
  <c r="JB255" i="2" s="1"/>
  <c r="JB258" i="2"/>
  <c r="JB252" i="2"/>
  <c r="JM199" i="2"/>
  <c r="JM201" i="2" s="1"/>
  <c r="JE239" i="2"/>
  <c r="JE241" i="2" s="1"/>
  <c r="JH215" i="2"/>
  <c r="JM62" i="2"/>
  <c r="JM58" i="2" s="1"/>
  <c r="JL216" i="2"/>
  <c r="JL207" i="2"/>
  <c r="JL203" i="2"/>
  <c r="JG225" i="2"/>
  <c r="JL205" i="2"/>
  <c r="IZ257" i="2"/>
  <c r="IZ259" i="2" s="1"/>
  <c r="JB251" i="2"/>
  <c r="JC247" i="2" s="1"/>
  <c r="JK212" i="2"/>
  <c r="IY266" i="2"/>
  <c r="IY265" i="2"/>
  <c r="IY267" i="2" l="1"/>
  <c r="JE249" i="2"/>
  <c r="JE244" i="2"/>
  <c r="JE245" i="2" s="1"/>
  <c r="JE243" i="2"/>
  <c r="JE242" i="2"/>
  <c r="JF238" i="2" s="1"/>
  <c r="JM216" i="2"/>
  <c r="JM207" i="2"/>
  <c r="JM203" i="2"/>
  <c r="JN61" i="2"/>
  <c r="JM60" i="2"/>
  <c r="JM74" i="2"/>
  <c r="IZ262" i="2"/>
  <c r="IZ263" i="2" s="1"/>
  <c r="IZ264" i="2" s="1"/>
  <c r="IZ261" i="2"/>
  <c r="JC248" i="2"/>
  <c r="JC250" i="2" s="1"/>
  <c r="JM202" i="2"/>
  <c r="JN198" i="2" s="1"/>
  <c r="JG227" i="2"/>
  <c r="JG228" i="2" s="1"/>
  <c r="JH224" i="2" s="1"/>
  <c r="JH217" i="2"/>
  <c r="JL211" i="2"/>
  <c r="JL209" i="2"/>
  <c r="IZ260" i="2"/>
  <c r="JA256" i="2" s="1"/>
  <c r="JL208" i="2"/>
  <c r="JM204" i="2" s="1"/>
  <c r="JH225" i="2" l="1"/>
  <c r="JL212" i="2"/>
  <c r="JH220" i="2"/>
  <c r="JH222" i="2" s="1"/>
  <c r="JH223" i="2" s="1"/>
  <c r="JH226" i="2"/>
  <c r="JH219" i="2"/>
  <c r="JN199" i="2"/>
  <c r="JN201" i="2" s="1"/>
  <c r="JC253" i="2"/>
  <c r="JC254" i="2" s="1"/>
  <c r="JC255" i="2" s="1"/>
  <c r="JC258" i="2"/>
  <c r="JC252" i="2"/>
  <c r="JM205" i="2"/>
  <c r="JM208" i="2" s="1"/>
  <c r="JN204" i="2" s="1"/>
  <c r="IZ266" i="2"/>
  <c r="IZ265" i="2"/>
  <c r="JN62" i="2"/>
  <c r="JN58" i="2" s="1"/>
  <c r="JG230" i="2"/>
  <c r="JG231" i="2" s="1"/>
  <c r="JG232" i="2" s="1"/>
  <c r="JG229" i="2"/>
  <c r="JM211" i="2"/>
  <c r="JM209" i="2"/>
  <c r="JC251" i="2"/>
  <c r="JD247" i="2" s="1"/>
  <c r="JF239" i="2"/>
  <c r="JF241" i="2" s="1"/>
  <c r="JA257" i="2"/>
  <c r="JA259" i="2" s="1"/>
  <c r="JH218" i="2"/>
  <c r="JI214" i="2" s="1"/>
  <c r="JN202" i="2" l="1"/>
  <c r="JO198" i="2" s="1"/>
  <c r="JN205" i="2"/>
  <c r="JA262" i="2"/>
  <c r="JA263" i="2" s="1"/>
  <c r="JA264" i="2" s="1"/>
  <c r="JA261" i="2"/>
  <c r="JO61" i="2"/>
  <c r="JN60" i="2"/>
  <c r="JN74" i="2"/>
  <c r="JI215" i="2"/>
  <c r="JI217" i="2" s="1"/>
  <c r="JG234" i="2"/>
  <c r="JG233" i="2"/>
  <c r="JN216" i="2"/>
  <c r="JN207" i="2"/>
  <c r="JN203" i="2"/>
  <c r="JA260" i="2"/>
  <c r="JB256" i="2" s="1"/>
  <c r="IZ267" i="2"/>
  <c r="JF249" i="2"/>
  <c r="JF244" i="2"/>
  <c r="JF245" i="2" s="1"/>
  <c r="JF243" i="2"/>
  <c r="JF242" i="2"/>
  <c r="JG238" i="2" s="1"/>
  <c r="JD248" i="2"/>
  <c r="JH227" i="2"/>
  <c r="JH230" i="2" s="1"/>
  <c r="JH231" i="2" s="1"/>
  <c r="JH232" i="2" s="1"/>
  <c r="JM212" i="2"/>
  <c r="JG235" i="2" l="1"/>
  <c r="JO199" i="2"/>
  <c r="JO201" i="2" s="1"/>
  <c r="JI218" i="2"/>
  <c r="JJ214" i="2" s="1"/>
  <c r="JJ215" i="2" s="1"/>
  <c r="JN208" i="2"/>
  <c r="JO204" i="2" s="1"/>
  <c r="JO205" i="2" s="1"/>
  <c r="JH233" i="2"/>
  <c r="JH234" i="2"/>
  <c r="JO62" i="2"/>
  <c r="JO58" i="2" s="1"/>
  <c r="JN211" i="2"/>
  <c r="JN209" i="2"/>
  <c r="JB257" i="2"/>
  <c r="JB259" i="2" s="1"/>
  <c r="JB260" i="2" s="1"/>
  <c r="JC256" i="2" s="1"/>
  <c r="JD250" i="2"/>
  <c r="JD251" i="2" s="1"/>
  <c r="JE247" i="2" s="1"/>
  <c r="JH229" i="2"/>
  <c r="JA265" i="2"/>
  <c r="JA266" i="2"/>
  <c r="JH228" i="2"/>
  <c r="JI224" i="2" s="1"/>
  <c r="JG239" i="2"/>
  <c r="JI220" i="2"/>
  <c r="JI222" i="2" s="1"/>
  <c r="JI223" i="2" s="1"/>
  <c r="JI226" i="2"/>
  <c r="JI219" i="2"/>
  <c r="JO202" i="2" l="1"/>
  <c r="JP198" i="2" s="1"/>
  <c r="JP199" i="2" s="1"/>
  <c r="JP201" i="2" s="1"/>
  <c r="JP216" i="2" s="1"/>
  <c r="JO203" i="2"/>
  <c r="JO207" i="2"/>
  <c r="JO211" i="2" s="1"/>
  <c r="JO216" i="2"/>
  <c r="JE248" i="2"/>
  <c r="JE250" i="2" s="1"/>
  <c r="JC257" i="2"/>
  <c r="JP61" i="2"/>
  <c r="JO60" i="2"/>
  <c r="JO74" i="2"/>
  <c r="JN212" i="2"/>
  <c r="JG241" i="2"/>
  <c r="JG242" i="2" s="1"/>
  <c r="JH238" i="2" s="1"/>
  <c r="JJ217" i="2"/>
  <c r="JI225" i="2"/>
  <c r="JB262" i="2"/>
  <c r="JB263" i="2" s="1"/>
  <c r="JB264" i="2" s="1"/>
  <c r="JB261" i="2"/>
  <c r="JD253" i="2"/>
  <c r="JD254" i="2" s="1"/>
  <c r="JD255" i="2" s="1"/>
  <c r="JD258" i="2"/>
  <c r="JD252" i="2"/>
  <c r="JA267" i="2"/>
  <c r="JH235" i="2"/>
  <c r="JO209" i="2" l="1"/>
  <c r="JO208" i="2"/>
  <c r="JP204" i="2" s="1"/>
  <c r="JP205" i="2" s="1"/>
  <c r="JP203" i="2"/>
  <c r="JP202" i="2"/>
  <c r="JQ198" i="2" s="1"/>
  <c r="JQ199" i="2" s="1"/>
  <c r="JQ201" i="2" s="1"/>
  <c r="JP207" i="2"/>
  <c r="JP211" i="2" s="1"/>
  <c r="JI227" i="2"/>
  <c r="JI230" i="2" s="1"/>
  <c r="JI231" i="2" s="1"/>
  <c r="JI232" i="2" s="1"/>
  <c r="JI233" i="2" s="1"/>
  <c r="JE251" i="2"/>
  <c r="JF247" i="2" s="1"/>
  <c r="JF248" i="2" s="1"/>
  <c r="JF250" i="2" s="1"/>
  <c r="JF251" i="2" s="1"/>
  <c r="JG247" i="2" s="1"/>
  <c r="JH239" i="2"/>
  <c r="JH241" i="2" s="1"/>
  <c r="JP209" i="2"/>
  <c r="JO212" i="2"/>
  <c r="JJ220" i="2"/>
  <c r="JJ222" i="2" s="1"/>
  <c r="JJ223" i="2" s="1"/>
  <c r="JJ226" i="2"/>
  <c r="JJ219" i="2"/>
  <c r="JG249" i="2"/>
  <c r="JG244" i="2"/>
  <c r="JG245" i="2" s="1"/>
  <c r="JG243" i="2"/>
  <c r="JE253" i="2"/>
  <c r="JE254" i="2" s="1"/>
  <c r="JE255" i="2" s="1"/>
  <c r="JE258" i="2"/>
  <c r="JE252" i="2"/>
  <c r="JC259" i="2"/>
  <c r="JB265" i="2"/>
  <c r="JB266" i="2"/>
  <c r="JJ218" i="2"/>
  <c r="JK214" i="2" s="1"/>
  <c r="JP62" i="2"/>
  <c r="JP58" i="2" s="1"/>
  <c r="JP208" i="2" l="1"/>
  <c r="JQ204" i="2" s="1"/>
  <c r="JQ205" i="2" s="1"/>
  <c r="JI234" i="2"/>
  <c r="JI235" i="2" s="1"/>
  <c r="JI229" i="2"/>
  <c r="JI228" i="2"/>
  <c r="JJ224" i="2" s="1"/>
  <c r="JJ225" i="2" s="1"/>
  <c r="JH242" i="2"/>
  <c r="JI238" i="2" s="1"/>
  <c r="JI239" i="2" s="1"/>
  <c r="JI241" i="2" s="1"/>
  <c r="JB267" i="2"/>
  <c r="JQ216" i="2"/>
  <c r="JQ207" i="2"/>
  <c r="JQ203" i="2"/>
  <c r="JQ61" i="2"/>
  <c r="JP60" i="2"/>
  <c r="JP74" i="2"/>
  <c r="JQ202" i="2"/>
  <c r="JR198" i="2" s="1"/>
  <c r="JP212" i="2"/>
  <c r="JC262" i="2"/>
  <c r="JC263" i="2" s="1"/>
  <c r="JC264" i="2" s="1"/>
  <c r="JC261" i="2"/>
  <c r="JF253" i="2"/>
  <c r="JF254" i="2" s="1"/>
  <c r="JF255" i="2" s="1"/>
  <c r="JF258" i="2"/>
  <c r="JF252" i="2"/>
  <c r="JH249" i="2"/>
  <c r="JH244" i="2"/>
  <c r="JH245" i="2" s="1"/>
  <c r="JH243" i="2"/>
  <c r="JG248" i="2"/>
  <c r="JG250" i="2" s="1"/>
  <c r="JG252" i="2" s="1"/>
  <c r="JK215" i="2"/>
  <c r="JK217" i="2" s="1"/>
  <c r="JC260" i="2"/>
  <c r="JD256" i="2" s="1"/>
  <c r="JJ227" i="2" l="1"/>
  <c r="JJ230" i="2" s="1"/>
  <c r="JJ231" i="2" s="1"/>
  <c r="JJ232" i="2" s="1"/>
  <c r="JJ233" i="2" s="1"/>
  <c r="JQ208" i="2"/>
  <c r="JR204" i="2" s="1"/>
  <c r="JR205" i="2" s="1"/>
  <c r="JK220" i="2"/>
  <c r="JK222" i="2" s="1"/>
  <c r="JK223" i="2" s="1"/>
  <c r="JK226" i="2"/>
  <c r="JK219" i="2"/>
  <c r="JK218" i="2"/>
  <c r="JL214" i="2" s="1"/>
  <c r="JI249" i="2"/>
  <c r="JI244" i="2"/>
  <c r="JI245" i="2" s="1"/>
  <c r="JI243" i="2"/>
  <c r="JI242" i="2"/>
  <c r="JJ238" i="2" s="1"/>
  <c r="JG251" i="2"/>
  <c r="JH247" i="2" s="1"/>
  <c r="JC265" i="2"/>
  <c r="JC266" i="2"/>
  <c r="JR199" i="2"/>
  <c r="JD257" i="2"/>
  <c r="JD259" i="2" s="1"/>
  <c r="JQ62" i="2"/>
  <c r="JQ58" i="2" s="1"/>
  <c r="JQ211" i="2"/>
  <c r="JQ209" i="2"/>
  <c r="JG253" i="2"/>
  <c r="JG254" i="2" s="1"/>
  <c r="JG255" i="2" s="1"/>
  <c r="JG258" i="2"/>
  <c r="JJ229" i="2" l="1"/>
  <c r="JJ234" i="2"/>
  <c r="JJ235" i="2" s="1"/>
  <c r="JJ228" i="2"/>
  <c r="JK224" i="2" s="1"/>
  <c r="JK225" i="2" s="1"/>
  <c r="JR61" i="2"/>
  <c r="JQ60" i="2"/>
  <c r="JQ74" i="2"/>
  <c r="JD262" i="2"/>
  <c r="JD263" i="2" s="1"/>
  <c r="JD264" i="2" s="1"/>
  <c r="JD261" i="2"/>
  <c r="JD260" i="2"/>
  <c r="JE256" i="2" s="1"/>
  <c r="JR201" i="2"/>
  <c r="JR202" i="2" s="1"/>
  <c r="JS198" i="2" s="1"/>
  <c r="JC267" i="2"/>
  <c r="JQ212" i="2"/>
  <c r="JH248" i="2"/>
  <c r="JL215" i="2"/>
  <c r="JJ239" i="2"/>
  <c r="JS199" i="2" l="1"/>
  <c r="JL217" i="2"/>
  <c r="JK227" i="2"/>
  <c r="JD265" i="2"/>
  <c r="JD266" i="2"/>
  <c r="JE257" i="2"/>
  <c r="JJ241" i="2"/>
  <c r="JJ242" i="2" s="1"/>
  <c r="JK238" i="2" s="1"/>
  <c r="JH250" i="2"/>
  <c r="JR216" i="2"/>
  <c r="JR207" i="2"/>
  <c r="JR203" i="2"/>
  <c r="JR62" i="2"/>
  <c r="JR58" i="2" s="1"/>
  <c r="JE259" i="2" l="1"/>
  <c r="JE260" i="2" s="1"/>
  <c r="JF256" i="2" s="1"/>
  <c r="JF257" i="2" s="1"/>
  <c r="JF259" i="2" s="1"/>
  <c r="JS61" i="2"/>
  <c r="JR60" i="2"/>
  <c r="JR74" i="2"/>
  <c r="JL220" i="2"/>
  <c r="JL222" i="2" s="1"/>
  <c r="JL223" i="2" s="1"/>
  <c r="JL226" i="2"/>
  <c r="JL219" i="2"/>
  <c r="JH253" i="2"/>
  <c r="JH254" i="2" s="1"/>
  <c r="JH255" i="2" s="1"/>
  <c r="JH258" i="2"/>
  <c r="JH252" i="2"/>
  <c r="JK230" i="2"/>
  <c r="JK231" i="2" s="1"/>
  <c r="JK232" i="2" s="1"/>
  <c r="JK229" i="2"/>
  <c r="JS201" i="2"/>
  <c r="JD267" i="2"/>
  <c r="JR211" i="2"/>
  <c r="JR209" i="2"/>
  <c r="JR208" i="2"/>
  <c r="JS204" i="2" s="1"/>
  <c r="JK239" i="2"/>
  <c r="JK228" i="2"/>
  <c r="JL224" i="2" s="1"/>
  <c r="JJ249" i="2"/>
  <c r="JJ244" i="2"/>
  <c r="JJ245" i="2" s="1"/>
  <c r="JJ243" i="2"/>
  <c r="JH251" i="2"/>
  <c r="JI247" i="2" s="1"/>
  <c r="JL218" i="2"/>
  <c r="JM214" i="2" s="1"/>
  <c r="JE262" i="2" l="1"/>
  <c r="JE263" i="2" s="1"/>
  <c r="JE264" i="2" s="1"/>
  <c r="JE266" i="2" s="1"/>
  <c r="JE261" i="2"/>
  <c r="JF262" i="2"/>
  <c r="JF263" i="2" s="1"/>
  <c r="JF264" i="2" s="1"/>
  <c r="JF261" i="2"/>
  <c r="JF260" i="2"/>
  <c r="JG256" i="2" s="1"/>
  <c r="JM215" i="2"/>
  <c r="JM217" i="2" s="1"/>
  <c r="JS205" i="2"/>
  <c r="JS216" i="2"/>
  <c r="JS207" i="2"/>
  <c r="JS203" i="2"/>
  <c r="JK241" i="2"/>
  <c r="JK242" i="2" s="1"/>
  <c r="JL238" i="2" s="1"/>
  <c r="JS202" i="2"/>
  <c r="JT198" i="2" s="1"/>
  <c r="JI248" i="2"/>
  <c r="JI250" i="2" s="1"/>
  <c r="JK233" i="2"/>
  <c r="JK234" i="2"/>
  <c r="JR212" i="2"/>
  <c r="JL225" i="2"/>
  <c r="JL227" i="2" s="1"/>
  <c r="JS62" i="2"/>
  <c r="JS58" i="2" s="1"/>
  <c r="JE265" i="2" l="1"/>
  <c r="JE267" i="2" s="1"/>
  <c r="JS208" i="2"/>
  <c r="JT204" i="2" s="1"/>
  <c r="JT205" i="2" s="1"/>
  <c r="JM220" i="2"/>
  <c r="JM222" i="2" s="1"/>
  <c r="JM223" i="2" s="1"/>
  <c r="JM226" i="2"/>
  <c r="JM219" i="2"/>
  <c r="JL239" i="2"/>
  <c r="JL241" i="2" s="1"/>
  <c r="JT61" i="2"/>
  <c r="JS60" i="2"/>
  <c r="JS74" i="2"/>
  <c r="JL230" i="2"/>
  <c r="JL231" i="2" s="1"/>
  <c r="JL232" i="2" s="1"/>
  <c r="JL229" i="2"/>
  <c r="JI253" i="2"/>
  <c r="JI254" i="2" s="1"/>
  <c r="JI255" i="2" s="1"/>
  <c r="JI258" i="2"/>
  <c r="JI252" i="2"/>
  <c r="JM218" i="2"/>
  <c r="JN214" i="2" s="1"/>
  <c r="JL228" i="2"/>
  <c r="JM224" i="2" s="1"/>
  <c r="JK235" i="2"/>
  <c r="JG257" i="2"/>
  <c r="JG259" i="2" s="1"/>
  <c r="JT199" i="2"/>
  <c r="JS211" i="2"/>
  <c r="JS209" i="2"/>
  <c r="JI251" i="2"/>
  <c r="JJ247" i="2" s="1"/>
  <c r="JK249" i="2"/>
  <c r="JK244" i="2"/>
  <c r="JK245" i="2" s="1"/>
  <c r="JK243" i="2"/>
  <c r="JF265" i="2"/>
  <c r="JF266" i="2"/>
  <c r="JG262" i="2" l="1"/>
  <c r="JG263" i="2" s="1"/>
  <c r="JG264" i="2" s="1"/>
  <c r="JG261" i="2"/>
  <c r="JL249" i="2"/>
  <c r="JL244" i="2"/>
  <c r="JL245" i="2" s="1"/>
  <c r="JL243" i="2"/>
  <c r="JL242" i="2"/>
  <c r="JM238" i="2" s="1"/>
  <c r="JF267" i="2"/>
  <c r="JJ248" i="2"/>
  <c r="JJ250" i="2" s="1"/>
  <c r="JJ251" i="2" s="1"/>
  <c r="JK247" i="2" s="1"/>
  <c r="JN215" i="2"/>
  <c r="JN217" i="2" s="1"/>
  <c r="JT62" i="2"/>
  <c r="JT58" i="2" s="1"/>
  <c r="JL233" i="2"/>
  <c r="JL234" i="2"/>
  <c r="JG260" i="2"/>
  <c r="JH256" i="2" s="1"/>
  <c r="JM225" i="2"/>
  <c r="JM227" i="2" s="1"/>
  <c r="JS212" i="2"/>
  <c r="JT201" i="2"/>
  <c r="JN218" i="2" l="1"/>
  <c r="JO214" i="2" s="1"/>
  <c r="JO215" i="2" s="1"/>
  <c r="JO217" i="2" s="1"/>
  <c r="JK248" i="2"/>
  <c r="JK250" i="2" s="1"/>
  <c r="JU61" i="2"/>
  <c r="JT60" i="2"/>
  <c r="JT74" i="2"/>
  <c r="JM230" i="2"/>
  <c r="JM231" i="2" s="1"/>
  <c r="JM232" i="2" s="1"/>
  <c r="JM229" i="2"/>
  <c r="JH257" i="2"/>
  <c r="JH259" i="2" s="1"/>
  <c r="JM228" i="2"/>
  <c r="JN224" i="2" s="1"/>
  <c r="JL235" i="2"/>
  <c r="JT216" i="2"/>
  <c r="JT207" i="2"/>
  <c r="JT203" i="2"/>
  <c r="JT202" i="2"/>
  <c r="JU198" i="2" s="1"/>
  <c r="JM239" i="2"/>
  <c r="JJ253" i="2"/>
  <c r="JJ254" i="2" s="1"/>
  <c r="JJ255" i="2" s="1"/>
  <c r="JJ258" i="2"/>
  <c r="JJ252" i="2"/>
  <c r="JN220" i="2"/>
  <c r="JN222" i="2" s="1"/>
  <c r="JN223" i="2" s="1"/>
  <c r="JN226" i="2"/>
  <c r="JN219" i="2"/>
  <c r="JG265" i="2"/>
  <c r="JG266" i="2"/>
  <c r="JM241" i="2" l="1"/>
  <c r="JM242" i="2" s="1"/>
  <c r="JN238" i="2" s="1"/>
  <c r="JN239" i="2" s="1"/>
  <c r="JH262" i="2"/>
  <c r="JH263" i="2" s="1"/>
  <c r="JH264" i="2" s="1"/>
  <c r="JH261" i="2"/>
  <c r="JK253" i="2"/>
  <c r="JK254" i="2" s="1"/>
  <c r="JK255" i="2" s="1"/>
  <c r="JK258" i="2"/>
  <c r="JK252" i="2"/>
  <c r="JO220" i="2"/>
  <c r="JO222" i="2" s="1"/>
  <c r="JO223" i="2" s="1"/>
  <c r="JO226" i="2"/>
  <c r="JO219" i="2"/>
  <c r="JM233" i="2"/>
  <c r="JM234" i="2"/>
  <c r="JT211" i="2"/>
  <c r="JT209" i="2"/>
  <c r="JT208" i="2"/>
  <c r="JU204" i="2" s="1"/>
  <c r="JG267" i="2"/>
  <c r="JU62" i="2"/>
  <c r="JU58" i="2" s="1"/>
  <c r="JN225" i="2"/>
  <c r="JH260" i="2"/>
  <c r="JI256" i="2" s="1"/>
  <c r="JO218" i="2"/>
  <c r="JP214" i="2" s="1"/>
  <c r="JU199" i="2"/>
  <c r="JK251" i="2"/>
  <c r="JL247" i="2" s="1"/>
  <c r="JM244" i="2" l="1"/>
  <c r="JM245" i="2" s="1"/>
  <c r="JM243" i="2"/>
  <c r="JM249" i="2"/>
  <c r="JM235" i="2"/>
  <c r="JV61" i="2"/>
  <c r="JU60" i="2"/>
  <c r="JU74" i="2"/>
  <c r="JI257" i="2"/>
  <c r="JU201" i="2"/>
  <c r="JN241" i="2"/>
  <c r="JN242" i="2" s="1"/>
  <c r="JO238" i="2" s="1"/>
  <c r="JU205" i="2"/>
  <c r="JN227" i="2"/>
  <c r="JL248" i="2"/>
  <c r="JT212" i="2"/>
  <c r="JP215" i="2"/>
  <c r="JP217" i="2" s="1"/>
  <c r="JH265" i="2"/>
  <c r="JH266" i="2"/>
  <c r="JH267" i="2" l="1"/>
  <c r="JO239" i="2"/>
  <c r="JO241" i="2" s="1"/>
  <c r="JL250" i="2"/>
  <c r="JI259" i="2"/>
  <c r="JI260" i="2" s="1"/>
  <c r="JJ256" i="2" s="1"/>
  <c r="JV62" i="2"/>
  <c r="JV58" i="2" s="1"/>
  <c r="JN230" i="2"/>
  <c r="JN231" i="2" s="1"/>
  <c r="JN232" i="2" s="1"/>
  <c r="JN229" i="2"/>
  <c r="JP220" i="2"/>
  <c r="JP222" i="2" s="1"/>
  <c r="JP223" i="2" s="1"/>
  <c r="JP226" i="2"/>
  <c r="JP219" i="2"/>
  <c r="JN249" i="2"/>
  <c r="JN244" i="2"/>
  <c r="JN245" i="2" s="1"/>
  <c r="JN243" i="2"/>
  <c r="JN228" i="2"/>
  <c r="JO224" i="2" s="1"/>
  <c r="JU216" i="2"/>
  <c r="JU207" i="2"/>
  <c r="JU203" i="2"/>
  <c r="JP218" i="2"/>
  <c r="JQ214" i="2" s="1"/>
  <c r="JU202" i="2"/>
  <c r="JV198" i="2" s="1"/>
  <c r="JJ257" i="2" l="1"/>
  <c r="JJ259" i="2" s="1"/>
  <c r="JW61" i="2"/>
  <c r="JV60" i="2"/>
  <c r="JV74" i="2"/>
  <c r="JO249" i="2"/>
  <c r="JO244" i="2"/>
  <c r="JO245" i="2" s="1"/>
  <c r="JO243" i="2"/>
  <c r="JO225" i="2"/>
  <c r="JO227" i="2" s="1"/>
  <c r="JO228" i="2" s="1"/>
  <c r="JP224" i="2" s="1"/>
  <c r="JU211" i="2"/>
  <c r="JU209" i="2"/>
  <c r="JL253" i="2"/>
  <c r="JL254" i="2" s="1"/>
  <c r="JL255" i="2" s="1"/>
  <c r="JL258" i="2"/>
  <c r="JL252" i="2"/>
  <c r="JO242" i="2"/>
  <c r="JP238" i="2" s="1"/>
  <c r="JV199" i="2"/>
  <c r="JN234" i="2"/>
  <c r="JN233" i="2"/>
  <c r="JU208" i="2"/>
  <c r="JV204" i="2" s="1"/>
  <c r="JI262" i="2"/>
  <c r="JI263" i="2" s="1"/>
  <c r="JI264" i="2" s="1"/>
  <c r="JI261" i="2"/>
  <c r="JQ215" i="2"/>
  <c r="JQ217" i="2" s="1"/>
  <c r="JL251" i="2"/>
  <c r="JM247" i="2" s="1"/>
  <c r="JN235" i="2" l="1"/>
  <c r="JJ260" i="2"/>
  <c r="JK256" i="2" s="1"/>
  <c r="JK257" i="2" s="1"/>
  <c r="JK259" i="2" s="1"/>
  <c r="JQ220" i="2"/>
  <c r="JQ222" i="2" s="1"/>
  <c r="JQ223" i="2" s="1"/>
  <c r="JQ226" i="2"/>
  <c r="JQ219" i="2"/>
  <c r="JP225" i="2"/>
  <c r="JP227" i="2" s="1"/>
  <c r="JM248" i="2"/>
  <c r="JM250" i="2" s="1"/>
  <c r="JP239" i="2"/>
  <c r="JQ218" i="2"/>
  <c r="JR214" i="2" s="1"/>
  <c r="JW62" i="2"/>
  <c r="JW58" i="2" s="1"/>
  <c r="JJ262" i="2"/>
  <c r="JJ263" i="2" s="1"/>
  <c r="JJ264" i="2" s="1"/>
  <c r="JJ261" i="2"/>
  <c r="JV201" i="2"/>
  <c r="JV202" i="2" s="1"/>
  <c r="JW198" i="2" s="1"/>
  <c r="JI266" i="2"/>
  <c r="JI265" i="2"/>
  <c r="JV205" i="2"/>
  <c r="JU212" i="2"/>
  <c r="JO230" i="2"/>
  <c r="JO231" i="2" s="1"/>
  <c r="JO232" i="2" s="1"/>
  <c r="JO229" i="2"/>
  <c r="JI267" i="2" l="1"/>
  <c r="JK260" i="2"/>
  <c r="JL256" i="2" s="1"/>
  <c r="JL257" i="2" s="1"/>
  <c r="JL259" i="2" s="1"/>
  <c r="JM251" i="2"/>
  <c r="JN247" i="2" s="1"/>
  <c r="JN248" i="2" s="1"/>
  <c r="JN250" i="2" s="1"/>
  <c r="JP230" i="2"/>
  <c r="JP231" i="2" s="1"/>
  <c r="JP232" i="2" s="1"/>
  <c r="JP229" i="2"/>
  <c r="JP228" i="2"/>
  <c r="JQ224" i="2" s="1"/>
  <c r="JX61" i="2"/>
  <c r="JW60" i="2"/>
  <c r="JW74" i="2"/>
  <c r="JO234" i="2"/>
  <c r="JO233" i="2"/>
  <c r="JW199" i="2"/>
  <c r="JP241" i="2"/>
  <c r="JR215" i="2"/>
  <c r="JR217" i="2" s="1"/>
  <c r="JK262" i="2"/>
  <c r="JK263" i="2" s="1"/>
  <c r="JK264" i="2" s="1"/>
  <c r="JK261" i="2"/>
  <c r="JM253" i="2"/>
  <c r="JM254" i="2" s="1"/>
  <c r="JM255" i="2" s="1"/>
  <c r="JM258" i="2"/>
  <c r="JM252" i="2"/>
  <c r="JJ266" i="2"/>
  <c r="JJ265" i="2"/>
  <c r="JV216" i="2"/>
  <c r="JV207" i="2"/>
  <c r="JV203" i="2"/>
  <c r="JO235" i="2" l="1"/>
  <c r="JJ267" i="2"/>
  <c r="JR218" i="2"/>
  <c r="JS214" i="2" s="1"/>
  <c r="JS215" i="2" s="1"/>
  <c r="JW201" i="2"/>
  <c r="JW202" i="2" s="1"/>
  <c r="JX198" i="2" s="1"/>
  <c r="JX199" i="2" s="1"/>
  <c r="JX201" i="2" s="1"/>
  <c r="JL262" i="2"/>
  <c r="JL263" i="2" s="1"/>
  <c r="JL264" i="2" s="1"/>
  <c r="JL261" i="2"/>
  <c r="JN253" i="2"/>
  <c r="JN254" i="2" s="1"/>
  <c r="JN255" i="2" s="1"/>
  <c r="JN258" i="2"/>
  <c r="JN252" i="2"/>
  <c r="JR220" i="2"/>
  <c r="JR222" i="2" s="1"/>
  <c r="JR223" i="2" s="1"/>
  <c r="JR226" i="2"/>
  <c r="JR219" i="2"/>
  <c r="JV211" i="2"/>
  <c r="JV209" i="2"/>
  <c r="JV208" i="2"/>
  <c r="JW204" i="2" s="1"/>
  <c r="JL260" i="2"/>
  <c r="JM256" i="2" s="1"/>
  <c r="JP249" i="2"/>
  <c r="JP244" i="2"/>
  <c r="JP245" i="2" s="1"/>
  <c r="JP243" i="2"/>
  <c r="JQ225" i="2"/>
  <c r="JQ227" i="2" s="1"/>
  <c r="JX62" i="2"/>
  <c r="EU62" i="2" s="1"/>
  <c r="EU61" i="2"/>
  <c r="JN251" i="2"/>
  <c r="JO247" i="2" s="1"/>
  <c r="JP234" i="2"/>
  <c r="JP233" i="2"/>
  <c r="JK266" i="2"/>
  <c r="JK265" i="2"/>
  <c r="JP242" i="2"/>
  <c r="JQ238" i="2" s="1"/>
  <c r="JW207" i="2" l="1"/>
  <c r="JW209" i="2" s="1"/>
  <c r="JW203" i="2"/>
  <c r="JS217" i="2"/>
  <c r="JS218" i="2" s="1"/>
  <c r="JT214" i="2" s="1"/>
  <c r="JT215" i="2" s="1"/>
  <c r="JT217" i="2" s="1"/>
  <c r="JW216" i="2"/>
  <c r="JQ230" i="2"/>
  <c r="JQ231" i="2" s="1"/>
  <c r="JQ232" i="2" s="1"/>
  <c r="JQ229" i="2"/>
  <c r="JQ228" i="2"/>
  <c r="JR224" i="2" s="1"/>
  <c r="JX216" i="2"/>
  <c r="JX207" i="2"/>
  <c r="JX203" i="2"/>
  <c r="JX202" i="2"/>
  <c r="JW205" i="2"/>
  <c r="JM257" i="2"/>
  <c r="JM259" i="2" s="1"/>
  <c r="JK267" i="2"/>
  <c r="JX58" i="2"/>
  <c r="JV212" i="2"/>
  <c r="JO248" i="2"/>
  <c r="JP235" i="2"/>
  <c r="JQ239" i="2"/>
  <c r="JQ241" i="2" s="1"/>
  <c r="JL266" i="2"/>
  <c r="JL265" i="2"/>
  <c r="JW208" i="2" l="1"/>
  <c r="JX204" i="2" s="1"/>
  <c r="JX205" i="2" s="1"/>
  <c r="JX208" i="2" s="1"/>
  <c r="JW211" i="2"/>
  <c r="JW212" i="2" s="1"/>
  <c r="JL267" i="2"/>
  <c r="JS226" i="2"/>
  <c r="JS219" i="2"/>
  <c r="JS220" i="2"/>
  <c r="JS222" i="2" s="1"/>
  <c r="JS223" i="2" s="1"/>
  <c r="JT218" i="2"/>
  <c r="JU214" i="2" s="1"/>
  <c r="JU215" i="2" s="1"/>
  <c r="JU217" i="2" s="1"/>
  <c r="JO250" i="2"/>
  <c r="JO251" i="2" s="1"/>
  <c r="JP247" i="2" s="1"/>
  <c r="JP248" i="2" s="1"/>
  <c r="JP250" i="2" s="1"/>
  <c r="JM262" i="2"/>
  <c r="JM263" i="2" s="1"/>
  <c r="JM264" i="2" s="1"/>
  <c r="JM261" i="2"/>
  <c r="JQ249" i="2"/>
  <c r="JQ244" i="2"/>
  <c r="JQ245" i="2" s="1"/>
  <c r="JQ243" i="2"/>
  <c r="EU58" i="2"/>
  <c r="JX60" i="2"/>
  <c r="JX74" i="2"/>
  <c r="ES74" i="2" s="1"/>
  <c r="JX211" i="2"/>
  <c r="JX209" i="2"/>
  <c r="JM260" i="2"/>
  <c r="JN256" i="2" s="1"/>
  <c r="JR225" i="2"/>
  <c r="JR227" i="2" s="1"/>
  <c r="JQ234" i="2"/>
  <c r="JQ233" i="2"/>
  <c r="JT220" i="2"/>
  <c r="JT222" i="2" s="1"/>
  <c r="JT223" i="2" s="1"/>
  <c r="JT226" i="2"/>
  <c r="JT219" i="2"/>
  <c r="JQ242" i="2"/>
  <c r="JR238" i="2" s="1"/>
  <c r="JQ235" i="2" l="1"/>
  <c r="JO252" i="2"/>
  <c r="JO258" i="2"/>
  <c r="JO253" i="2"/>
  <c r="JO254" i="2" s="1"/>
  <c r="JO255" i="2" s="1"/>
  <c r="JU220" i="2"/>
  <c r="JU222" i="2" s="1"/>
  <c r="JU223" i="2" s="1"/>
  <c r="JU226" i="2"/>
  <c r="JU219" i="2"/>
  <c r="JU218" i="2"/>
  <c r="JV214" i="2" s="1"/>
  <c r="JP253" i="2"/>
  <c r="JP254" i="2" s="1"/>
  <c r="JP255" i="2" s="1"/>
  <c r="JP258" i="2"/>
  <c r="JP252" i="2"/>
  <c r="JP251" i="2"/>
  <c r="JQ247" i="2" s="1"/>
  <c r="JR230" i="2"/>
  <c r="JR231" i="2" s="1"/>
  <c r="JR232" i="2" s="1"/>
  <c r="JR229" i="2"/>
  <c r="JR228" i="2"/>
  <c r="JS224" i="2" s="1"/>
  <c r="JR239" i="2"/>
  <c r="JR241" i="2" s="1"/>
  <c r="JR242" i="2" s="1"/>
  <c r="JS238" i="2" s="1"/>
  <c r="JN257" i="2"/>
  <c r="JN259" i="2" s="1"/>
  <c r="EU71" i="2"/>
  <c r="EV71" i="2" s="1"/>
  <c r="EW71" i="2" s="1"/>
  <c r="EX71" i="2" s="1"/>
  <c r="EY71" i="2" s="1"/>
  <c r="EZ71" i="2" s="1"/>
  <c r="FA71" i="2" s="1"/>
  <c r="FB71" i="2" s="1"/>
  <c r="FC71" i="2" s="1"/>
  <c r="FD71" i="2" s="1"/>
  <c r="FE71" i="2" s="1"/>
  <c r="FF71" i="2" s="1"/>
  <c r="FG71" i="2" s="1"/>
  <c r="FH71" i="2" s="1"/>
  <c r="FI71" i="2" s="1"/>
  <c r="FJ71" i="2" s="1"/>
  <c r="FK71" i="2" s="1"/>
  <c r="FL71" i="2" s="1"/>
  <c r="FM71" i="2" s="1"/>
  <c r="FN71" i="2" s="1"/>
  <c r="FO71" i="2" s="1"/>
  <c r="FP71" i="2" s="1"/>
  <c r="FQ71" i="2" s="1"/>
  <c r="FR71" i="2" s="1"/>
  <c r="FS71" i="2" s="1"/>
  <c r="FT71" i="2" s="1"/>
  <c r="FU71" i="2" s="1"/>
  <c r="FV71" i="2" s="1"/>
  <c r="FW71" i="2" s="1"/>
  <c r="FX71" i="2" s="1"/>
  <c r="FY71" i="2" s="1"/>
  <c r="FZ71" i="2" s="1"/>
  <c r="GA71" i="2" s="1"/>
  <c r="GB71" i="2" s="1"/>
  <c r="GC71" i="2" s="1"/>
  <c r="GD71" i="2" s="1"/>
  <c r="GE71" i="2" s="1"/>
  <c r="GF71" i="2" s="1"/>
  <c r="GG71" i="2" s="1"/>
  <c r="GH71" i="2" s="1"/>
  <c r="GI71" i="2" s="1"/>
  <c r="GJ71" i="2" s="1"/>
  <c r="GK71" i="2" s="1"/>
  <c r="GL71" i="2" s="1"/>
  <c r="GM71" i="2" s="1"/>
  <c r="GN71" i="2" s="1"/>
  <c r="GO71" i="2" s="1"/>
  <c r="GP71" i="2" s="1"/>
  <c r="GQ71" i="2" s="1"/>
  <c r="GR71" i="2" s="1"/>
  <c r="GS71" i="2" s="1"/>
  <c r="GT71" i="2" s="1"/>
  <c r="GU71" i="2" s="1"/>
  <c r="GV71" i="2" s="1"/>
  <c r="GW71" i="2" s="1"/>
  <c r="GX71" i="2" s="1"/>
  <c r="GY71" i="2" s="1"/>
  <c r="GZ71" i="2" s="1"/>
  <c r="HA71" i="2" s="1"/>
  <c r="HB71" i="2" s="1"/>
  <c r="HC71" i="2" s="1"/>
  <c r="HD71" i="2" s="1"/>
  <c r="HE71" i="2" s="1"/>
  <c r="HF71" i="2" s="1"/>
  <c r="HG71" i="2" s="1"/>
  <c r="HH71" i="2" s="1"/>
  <c r="HI71" i="2" s="1"/>
  <c r="HJ71" i="2" s="1"/>
  <c r="HK71" i="2" s="1"/>
  <c r="HL71" i="2" s="1"/>
  <c r="HM71" i="2" s="1"/>
  <c r="HN71" i="2" s="1"/>
  <c r="HO71" i="2" s="1"/>
  <c r="HP71" i="2" s="1"/>
  <c r="HQ71" i="2" s="1"/>
  <c r="HR71" i="2" s="1"/>
  <c r="HS71" i="2" s="1"/>
  <c r="HT71" i="2" s="1"/>
  <c r="HU71" i="2" s="1"/>
  <c r="HV71" i="2" s="1"/>
  <c r="HW71" i="2" s="1"/>
  <c r="HX71" i="2" s="1"/>
  <c r="HY71" i="2" s="1"/>
  <c r="HZ71" i="2" s="1"/>
  <c r="IA71" i="2" s="1"/>
  <c r="IB71" i="2" s="1"/>
  <c r="IC71" i="2" s="1"/>
  <c r="ID71" i="2" s="1"/>
  <c r="IE71" i="2" s="1"/>
  <c r="IF71" i="2" s="1"/>
  <c r="IG71" i="2" s="1"/>
  <c r="IH71" i="2" s="1"/>
  <c r="II71" i="2" s="1"/>
  <c r="IJ71" i="2" s="1"/>
  <c r="IK71" i="2" s="1"/>
  <c r="IL71" i="2" s="1"/>
  <c r="IM71" i="2" s="1"/>
  <c r="IN71" i="2" s="1"/>
  <c r="IO71" i="2" s="1"/>
  <c r="IP71" i="2" s="1"/>
  <c r="IQ71" i="2" s="1"/>
  <c r="IR71" i="2" s="1"/>
  <c r="IS71" i="2" s="1"/>
  <c r="IT71" i="2" s="1"/>
  <c r="IU71" i="2" s="1"/>
  <c r="IV71" i="2" s="1"/>
  <c r="IW71" i="2" s="1"/>
  <c r="IX71" i="2" s="1"/>
  <c r="IY71" i="2" s="1"/>
  <c r="IZ71" i="2" s="1"/>
  <c r="JA71" i="2" s="1"/>
  <c r="JB71" i="2" s="1"/>
  <c r="JC71" i="2" s="1"/>
  <c r="JD71" i="2" s="1"/>
  <c r="JE71" i="2" s="1"/>
  <c r="JF71" i="2" s="1"/>
  <c r="JG71" i="2" s="1"/>
  <c r="JH71" i="2" s="1"/>
  <c r="JI71" i="2" s="1"/>
  <c r="JJ71" i="2" s="1"/>
  <c r="JK71" i="2" s="1"/>
  <c r="JL71" i="2" s="1"/>
  <c r="JM71" i="2" s="1"/>
  <c r="JN71" i="2" s="1"/>
  <c r="JO71" i="2" s="1"/>
  <c r="JP71" i="2" s="1"/>
  <c r="JQ71" i="2" s="1"/>
  <c r="JR71" i="2" s="1"/>
  <c r="JS71" i="2" s="1"/>
  <c r="JT71" i="2" s="1"/>
  <c r="JU71" i="2" s="1"/>
  <c r="JV71" i="2" s="1"/>
  <c r="JW71" i="2" s="1"/>
  <c r="JX71" i="2" s="1"/>
  <c r="EU60" i="2"/>
  <c r="ET60" i="2" s="1"/>
  <c r="JX212" i="2"/>
  <c r="JM265" i="2"/>
  <c r="JM266" i="2"/>
  <c r="JN262" i="2" l="1"/>
  <c r="JN263" i="2" s="1"/>
  <c r="JN264" i="2" s="1"/>
  <c r="JN261" i="2"/>
  <c r="JS225" i="2"/>
  <c r="JS239" i="2"/>
  <c r="JS241" i="2" s="1"/>
  <c r="JQ248" i="2"/>
  <c r="JN260" i="2"/>
  <c r="JO256" i="2" s="1"/>
  <c r="JV215" i="2"/>
  <c r="JR234" i="2"/>
  <c r="JR233" i="2"/>
  <c r="JR249" i="2"/>
  <c r="JR244" i="2"/>
  <c r="JR245" i="2" s="1"/>
  <c r="JR243" i="2"/>
  <c r="JM267" i="2"/>
  <c r="JR235" i="2" l="1"/>
  <c r="JS249" i="2"/>
  <c r="JS244" i="2"/>
  <c r="JS245" i="2" s="1"/>
  <c r="JS243" i="2"/>
  <c r="JS242" i="2"/>
  <c r="JT238" i="2" s="1"/>
  <c r="JS227" i="2"/>
  <c r="JQ250" i="2"/>
  <c r="JV217" i="2"/>
  <c r="JV218" i="2" s="1"/>
  <c r="JW214" i="2" s="1"/>
  <c r="JO257" i="2"/>
  <c r="JO259" i="2" s="1"/>
  <c r="JN265" i="2"/>
  <c r="JN266" i="2"/>
  <c r="JN267" i="2" l="1"/>
  <c r="JO262" i="2"/>
  <c r="JO263" i="2" s="1"/>
  <c r="JO264" i="2" s="1"/>
  <c r="JO261" i="2"/>
  <c r="JO260" i="2"/>
  <c r="JP256" i="2" s="1"/>
  <c r="JS230" i="2"/>
  <c r="JS231" i="2" s="1"/>
  <c r="JS232" i="2" s="1"/>
  <c r="JS229" i="2"/>
  <c r="JQ253" i="2"/>
  <c r="JQ254" i="2" s="1"/>
  <c r="JQ255" i="2" s="1"/>
  <c r="JQ258" i="2"/>
  <c r="JQ252" i="2"/>
  <c r="JS228" i="2"/>
  <c r="JT224" i="2" s="1"/>
  <c r="JT239" i="2"/>
  <c r="JT241" i="2" s="1"/>
  <c r="JT242" i="2" s="1"/>
  <c r="JU238" i="2" s="1"/>
  <c r="JW215" i="2"/>
  <c r="JW217" i="2" s="1"/>
  <c r="JV220" i="2"/>
  <c r="JV222" i="2" s="1"/>
  <c r="JV223" i="2" s="1"/>
  <c r="JV226" i="2"/>
  <c r="JV219" i="2"/>
  <c r="JQ251" i="2"/>
  <c r="JR247" i="2" s="1"/>
  <c r="JW220" i="2" l="1"/>
  <c r="JW222" i="2" s="1"/>
  <c r="JW223" i="2" s="1"/>
  <c r="JW226" i="2"/>
  <c r="JW219" i="2"/>
  <c r="JT225" i="2"/>
  <c r="JS234" i="2"/>
  <c r="JS233" i="2"/>
  <c r="JW218" i="2"/>
  <c r="JX214" i="2" s="1"/>
  <c r="JP257" i="2"/>
  <c r="JR248" i="2"/>
  <c r="JR250" i="2" s="1"/>
  <c r="JU239" i="2"/>
  <c r="JU241" i="2" s="1"/>
  <c r="JT249" i="2"/>
  <c r="JT244" i="2"/>
  <c r="JT245" i="2" s="1"/>
  <c r="JT243" i="2"/>
  <c r="JO265" i="2"/>
  <c r="JO266" i="2"/>
  <c r="JS235" i="2" l="1"/>
  <c r="JO267" i="2"/>
  <c r="JU242" i="2"/>
  <c r="JV238" i="2" s="1"/>
  <c r="JV239" i="2" s="1"/>
  <c r="JR253" i="2"/>
  <c r="JR254" i="2" s="1"/>
  <c r="JR255" i="2" s="1"/>
  <c r="JR258" i="2"/>
  <c r="JR252" i="2"/>
  <c r="JU249" i="2"/>
  <c r="JU244" i="2"/>
  <c r="JU245" i="2" s="1"/>
  <c r="JU243" i="2"/>
  <c r="JX215" i="2"/>
  <c r="JX217" i="2" s="1"/>
  <c r="JR251" i="2"/>
  <c r="JS247" i="2" s="1"/>
  <c r="JP259" i="2"/>
  <c r="JT227" i="2"/>
  <c r="JX220" i="2" l="1"/>
  <c r="JX222" i="2" s="1"/>
  <c r="JX223" i="2" s="1"/>
  <c r="JX226" i="2"/>
  <c r="JX219" i="2"/>
  <c r="JP262" i="2"/>
  <c r="JP263" i="2" s="1"/>
  <c r="JP264" i="2" s="1"/>
  <c r="JP261" i="2"/>
  <c r="JT230" i="2"/>
  <c r="JT231" i="2" s="1"/>
  <c r="JT232" i="2" s="1"/>
  <c r="JT229" i="2"/>
  <c r="JT228" i="2"/>
  <c r="JU224" i="2" s="1"/>
  <c r="JP260" i="2"/>
  <c r="JQ256" i="2" s="1"/>
  <c r="JS248" i="2"/>
  <c r="JS250" i="2" s="1"/>
  <c r="JX218" i="2"/>
  <c r="JV241" i="2"/>
  <c r="JS253" i="2" l="1"/>
  <c r="JS254" i="2" s="1"/>
  <c r="JS255" i="2" s="1"/>
  <c r="JS258" i="2"/>
  <c r="JS252" i="2"/>
  <c r="JT233" i="2"/>
  <c r="JT234" i="2"/>
  <c r="JU225" i="2"/>
  <c r="JU227" i="2" s="1"/>
  <c r="JS251" i="2"/>
  <c r="JT247" i="2" s="1"/>
  <c r="JQ257" i="2"/>
  <c r="JP265" i="2"/>
  <c r="JP266" i="2"/>
  <c r="JV249" i="2"/>
  <c r="JV244" i="2"/>
  <c r="JV245" i="2" s="1"/>
  <c r="JV243" i="2"/>
  <c r="JV242" i="2"/>
  <c r="JW238" i="2" s="1"/>
  <c r="JU228" i="2" l="1"/>
  <c r="JV224" i="2" s="1"/>
  <c r="JV225" i="2" s="1"/>
  <c r="JV227" i="2" s="1"/>
  <c r="JT235" i="2"/>
  <c r="JW239" i="2"/>
  <c r="JW241" i="2" s="1"/>
  <c r="JP267" i="2"/>
  <c r="JQ259" i="2"/>
  <c r="JT248" i="2"/>
  <c r="JU230" i="2"/>
  <c r="JU231" i="2" s="1"/>
  <c r="JU232" i="2" s="1"/>
  <c r="JU229" i="2"/>
  <c r="JV230" i="2" l="1"/>
  <c r="JV231" i="2" s="1"/>
  <c r="JV232" i="2" s="1"/>
  <c r="JV229" i="2"/>
  <c r="JW249" i="2"/>
  <c r="JW244" i="2"/>
  <c r="JW245" i="2" s="1"/>
  <c r="JW243" i="2"/>
  <c r="JT250" i="2"/>
  <c r="JV228" i="2"/>
  <c r="JW224" i="2" s="1"/>
  <c r="JQ262" i="2"/>
  <c r="JQ263" i="2" s="1"/>
  <c r="JQ264" i="2" s="1"/>
  <c r="JQ261" i="2"/>
  <c r="JW242" i="2"/>
  <c r="JX238" i="2" s="1"/>
  <c r="JU233" i="2"/>
  <c r="JU234" i="2"/>
  <c r="JQ260" i="2"/>
  <c r="JR256" i="2" s="1"/>
  <c r="JU235" i="2" l="1"/>
  <c r="JX239" i="2"/>
  <c r="JW225" i="2"/>
  <c r="JW227" i="2" s="1"/>
  <c r="JQ265" i="2"/>
  <c r="JQ266" i="2"/>
  <c r="JT253" i="2"/>
  <c r="JT254" i="2" s="1"/>
  <c r="JT255" i="2" s="1"/>
  <c r="JT258" i="2"/>
  <c r="JT252" i="2"/>
  <c r="JT251" i="2"/>
  <c r="JU247" i="2" s="1"/>
  <c r="JR257" i="2"/>
  <c r="JR259" i="2" s="1"/>
  <c r="JR260" i="2" s="1"/>
  <c r="JS256" i="2" s="1"/>
  <c r="JV233" i="2"/>
  <c r="JV234" i="2"/>
  <c r="JQ267" i="2" l="1"/>
  <c r="JS257" i="2"/>
  <c r="JS259" i="2" s="1"/>
  <c r="JW230" i="2"/>
  <c r="JW231" i="2" s="1"/>
  <c r="JW232" i="2" s="1"/>
  <c r="JW229" i="2"/>
  <c r="JW228" i="2"/>
  <c r="JX224" i="2" s="1"/>
  <c r="JR262" i="2"/>
  <c r="JR263" i="2" s="1"/>
  <c r="JR264" i="2" s="1"/>
  <c r="JR261" i="2"/>
  <c r="JX241" i="2"/>
  <c r="JV235" i="2"/>
  <c r="JU248" i="2"/>
  <c r="JU250" i="2" s="1"/>
  <c r="JS260" i="2" l="1"/>
  <c r="JT256" i="2" s="1"/>
  <c r="JT257" i="2" s="1"/>
  <c r="JT259" i="2" s="1"/>
  <c r="JU253" i="2"/>
  <c r="JU254" i="2" s="1"/>
  <c r="JU255" i="2" s="1"/>
  <c r="JU258" i="2"/>
  <c r="JU252" i="2"/>
  <c r="JR265" i="2"/>
  <c r="JR266" i="2"/>
  <c r="JX249" i="2"/>
  <c r="JX244" i="2"/>
  <c r="JX245" i="2" s="1"/>
  <c r="JX243" i="2"/>
  <c r="JX225" i="2"/>
  <c r="JX227" i="2" s="1"/>
  <c r="JX242" i="2"/>
  <c r="JW233" i="2"/>
  <c r="JW234" i="2"/>
  <c r="JU251" i="2"/>
  <c r="JV247" i="2" s="1"/>
  <c r="JS262" i="2"/>
  <c r="JS263" i="2" s="1"/>
  <c r="JS264" i="2" s="1"/>
  <c r="JS261" i="2"/>
  <c r="JR267" i="2" l="1"/>
  <c r="JX228" i="2"/>
  <c r="JS265" i="2"/>
  <c r="JS266" i="2"/>
  <c r="JV248" i="2"/>
  <c r="JV250" i="2" s="1"/>
  <c r="JV251" i="2" s="1"/>
  <c r="JW247" i="2" s="1"/>
  <c r="JT262" i="2"/>
  <c r="JT263" i="2" s="1"/>
  <c r="JT264" i="2" s="1"/>
  <c r="JT261" i="2"/>
  <c r="JW235" i="2"/>
  <c r="JT260" i="2"/>
  <c r="JU256" i="2" s="1"/>
  <c r="JX230" i="2"/>
  <c r="JX231" i="2" s="1"/>
  <c r="JX232" i="2" s="1"/>
  <c r="JX229" i="2"/>
  <c r="JW248" i="2" l="1"/>
  <c r="JW250" i="2" s="1"/>
  <c r="JT265" i="2"/>
  <c r="JT266" i="2"/>
  <c r="JU257" i="2"/>
  <c r="JV253" i="2"/>
  <c r="JV254" i="2" s="1"/>
  <c r="JV255" i="2" s="1"/>
  <c r="JV258" i="2"/>
  <c r="JV252" i="2"/>
  <c r="JX233" i="2"/>
  <c r="JX234" i="2"/>
  <c r="JS267" i="2"/>
  <c r="JX235" i="2" l="1"/>
  <c r="JW253" i="2"/>
  <c r="JW254" i="2" s="1"/>
  <c r="JW255" i="2" s="1"/>
  <c r="JW258" i="2"/>
  <c r="JW252" i="2"/>
  <c r="JT267" i="2"/>
  <c r="JU259" i="2"/>
  <c r="JW251" i="2"/>
  <c r="JX247" i="2" s="1"/>
  <c r="JU262" i="2" l="1"/>
  <c r="JU263" i="2" s="1"/>
  <c r="JU264" i="2" s="1"/>
  <c r="JU261" i="2"/>
  <c r="JX248" i="2"/>
  <c r="JU260" i="2"/>
  <c r="JV256" i="2" s="1"/>
  <c r="JV257" i="2" l="1"/>
  <c r="JX250" i="2"/>
  <c r="JU266" i="2"/>
  <c r="JU265" i="2"/>
  <c r="JU267" i="2" l="1"/>
  <c r="JX253" i="2"/>
  <c r="JX254" i="2" s="1"/>
  <c r="JX255" i="2" s="1"/>
  <c r="JX258" i="2"/>
  <c r="JX252" i="2"/>
  <c r="JV259" i="2"/>
  <c r="JX251" i="2"/>
  <c r="JV262" i="2" l="1"/>
  <c r="JV263" i="2" s="1"/>
  <c r="JV264" i="2" s="1"/>
  <c r="JV261" i="2"/>
  <c r="JV260" i="2"/>
  <c r="JW256" i="2" s="1"/>
  <c r="JW257" i="2" l="1"/>
  <c r="JW259" i="2" s="1"/>
  <c r="JV266" i="2"/>
  <c r="JV265" i="2"/>
  <c r="JV267" i="2" l="1"/>
  <c r="JW262" i="2"/>
  <c r="JW263" i="2" s="1"/>
  <c r="JW264" i="2" s="1"/>
  <c r="JW261" i="2"/>
  <c r="JW260" i="2"/>
  <c r="JX256" i="2" s="1"/>
  <c r="JX257" i="2" l="1"/>
  <c r="JX259" i="2" s="1"/>
  <c r="JW266" i="2"/>
  <c r="JW265" i="2"/>
  <c r="JW267" i="2" l="1"/>
  <c r="JX262" i="2"/>
  <c r="JX263" i="2" s="1"/>
  <c r="JX264" i="2" s="1"/>
  <c r="JX261" i="2"/>
  <c r="JX260" i="2"/>
  <c r="JX266" i="2" l="1"/>
  <c r="JX265" i="2"/>
  <c r="JX267" i="2" l="1"/>
  <c r="E391" i="10" l="1"/>
  <c r="C391" i="10"/>
  <c r="C489" i="10"/>
  <c r="C469" i="10"/>
  <c r="C488" i="10"/>
  <c r="C57" i="17"/>
  <c r="C460" i="10"/>
  <c r="A6" i="8"/>
  <c r="A130" i="8"/>
  <c r="I22" i="8"/>
  <c r="B12" i="17"/>
  <c r="C63" i="17"/>
  <c r="C495" i="10"/>
  <c r="B9" i="17"/>
  <c r="I4" i="8"/>
  <c r="C170" i="10"/>
  <c r="C173" i="10"/>
  <c r="C471" i="10"/>
</calcChain>
</file>

<file path=xl/sharedStrings.xml><?xml version="1.0" encoding="utf-8"?>
<sst xmlns="http://schemas.openxmlformats.org/spreadsheetml/2006/main" count="28657" uniqueCount="9594">
  <si>
    <t>INVESTMENT DESCRIPTION</t>
  </si>
  <si>
    <t>Run Residual Land Value Tool</t>
  </si>
  <si>
    <t>Address</t>
  </si>
  <si>
    <t>STRENGTHS</t>
  </si>
  <si>
    <t>MODEL GOVERNANCE &amp; CONTROL STATUS</t>
  </si>
  <si>
    <t>Large Fishermans Bend urban-renewal location</t>
  </si>
  <si>
    <t>Purpose</t>
  </si>
  <si>
    <t>Integrated development, debt, valuation and investor-return model for The Bend Precinct.</t>
  </si>
  <si>
    <t>Land Area</t>
  </si>
  <si>
    <t>Diversified leisure, PBSA and ancillary uses</t>
  </si>
  <si>
    <t>Audience</t>
  </si>
  <si>
    <t>Management, prospective investors and lenders; not a substitute for legal, tax, valuation or lender advice.</t>
  </si>
  <si>
    <t>Retail Type</t>
  </si>
  <si>
    <t>Integrated property and operating schedules</t>
  </si>
  <si>
    <t>Version</t>
  </si>
  <si>
    <t>V16 | 1 Aug 2026 | Phase 11 exact S-curve compatibility modernisation applied; full desktop-Excel recalculation remains required.</t>
  </si>
  <si>
    <t># of Retail Buildings</t>
  </si>
  <si>
    <t>Livehouse is quick to market operation.</t>
  </si>
  <si>
    <t>Input hub</t>
  </si>
  <si>
    <t>PROJECT INPUTS is the sole ProjectCo assumption hub. Detailed source-evidence rows remain read-only and are not calculation inputs.</t>
  </si>
  <si>
    <t>Parking (Surfaces + Structured)</t>
  </si>
  <si>
    <t>Reduced single-use concentration risk</t>
  </si>
  <si>
    <t>Scenario control</t>
  </si>
  <si>
    <t>Authoritative ProjectCo scenario: PROJECT INPUTS!B8. VALUATION &amp; RETURNS!CR7 and INVESTOR REPORT!I3 are formula-linked displays.</t>
  </si>
  <si>
    <t>Analysis Start</t>
  </si>
  <si>
    <t>Sustainability and green-building objectives</t>
  </si>
  <si>
    <t>Period status</t>
  </si>
  <si>
    <t>Forecast-only base model. Explicit Actual / Forecast classification is shown at Underwriting!L4:EN4.</t>
  </si>
  <si>
    <t>Construction Start</t>
  </si>
  <si>
    <t>WEAKNESSES</t>
  </si>
  <si>
    <t>Balance sheet control</t>
  </si>
  <si>
    <t>Construction End</t>
  </si>
  <si>
    <t>Commercial assumptions remain provisional</t>
  </si>
  <si>
    <t>Sources and uses control</t>
  </si>
  <si>
    <t>Operation Begin</t>
  </si>
  <si>
    <t>Independent valuation evidence required</t>
  </si>
  <si>
    <t>Debt roll-forward control</t>
  </si>
  <si>
    <t>Stabilization</t>
  </si>
  <si>
    <t>Executed lender terms remain outstanding</t>
  </si>
  <si>
    <t>Macros / calculation</t>
  </si>
  <si>
    <t>Existing VBA retained. Full recalculation is forced on open; external reliance remains gated until owner decisions and specialist tax, lender, valuation and QS confirmation are complete.</t>
  </si>
  <si>
    <t>Sale Date</t>
  </si>
  <si>
    <t>Final QS scope and cost sign-off required</t>
  </si>
  <si>
    <t>Macro modules</t>
  </si>
  <si>
    <t>ThisWorkbook; Sheet modules; General; Budget; Sensitivity; Returns; Operating; PermDebt.</t>
  </si>
  <si>
    <t>Tax, GST and depreciation assumptions require specialist advice</t>
  </si>
  <si>
    <t>Tax and GST assumptions require specialist advice</t>
  </si>
  <si>
    <t>Open commercial items</t>
  </si>
  <si>
    <t>OWNER DECISIONS: executed lender terms; written Australian tax/GST advice; independent property valuation; approved OpCo margin and multiple; final QS cost plan; executed shareholder and waterfall terms.</t>
  </si>
  <si>
    <t>Returns remain sensitive to cost, timing, stabilisation and exit-yield assumptions</t>
  </si>
  <si>
    <t>Exit yield remains a material sensitivity</t>
  </si>
  <si>
    <t>Governance record</t>
  </si>
  <si>
    <t>30 Jul 2026: FAST/SAVi/project-finance best practice and official Australian benchmark/regulatory research applied through source records, detailed evidence checklists and fail-safe release gates. Public research has not been treated as executed project evidence.</t>
  </si>
  <si>
    <t>KEY ASSUMPTIONS &amp; RETURN METRICS</t>
  </si>
  <si>
    <t xml:space="preserve">TENANT ANALYSIS REPORT: </t>
  </si>
  <si>
    <t>Hide</t>
  </si>
  <si>
    <t>Show</t>
  </si>
  <si>
    <t>Growth Rates - Income / Expense</t>
  </si>
  <si>
    <t>PRO FORMA</t>
  </si>
  <si>
    <t>PARTNERSHIP RETURNS</t>
  </si>
  <si>
    <t>ROI</t>
  </si>
  <si>
    <t xml:space="preserve">EMx </t>
  </si>
  <si>
    <t>IRR</t>
  </si>
  <si>
    <t>Effective Gross Revenue</t>
  </si>
  <si>
    <t>Limited Partners</t>
  </si>
  <si>
    <t>General Vacancy &amp; Credit Loss</t>
  </si>
  <si>
    <t>- Operating Expenses</t>
  </si>
  <si>
    <t>General Partner / Sponsor</t>
  </si>
  <si>
    <t>Expense Recovery Ratio</t>
  </si>
  <si>
    <t>Net Operating Income</t>
  </si>
  <si>
    <t>CapEx Reserve % of NOI</t>
  </si>
  <si>
    <t>- Capital Expenditures</t>
  </si>
  <si>
    <t>PROPERTY RETURNS</t>
  </si>
  <si>
    <t>Cash Flow from Operations</t>
  </si>
  <si>
    <t>Unlevered</t>
  </si>
  <si>
    <t>Cap Rate</t>
  </si>
  <si>
    <t>Levered</t>
  </si>
  <si>
    <t>Reversion Net Proceeds (After Selling Costs)</t>
  </si>
  <si>
    <t>Valuation</t>
  </si>
  <si>
    <t>DEVELOPMENT RETURNS</t>
  </si>
  <si>
    <t>% of Total Project Cost</t>
  </si>
  <si>
    <t>Equity Proceeds from Sale</t>
  </si>
  <si>
    <t>SOURCES</t>
  </si>
  <si>
    <t>%</t>
  </si>
  <si>
    <t>/Unit</t>
  </si>
  <si>
    <t>Amount</t>
  </si>
  <si>
    <t>USES</t>
  </si>
  <si>
    <t>SENSITIVITY</t>
  </si>
  <si>
    <t>Exit Cap Rate</t>
  </si>
  <si>
    <t>Total Uses</t>
  </si>
  <si>
    <t>PROPERTY-LEVEL CASH FLOW</t>
  </si>
  <si>
    <t xml:space="preserve">ANNUAL CASH FLOW REPORT: </t>
  </si>
  <si>
    <t>Mayabay Active (Melbourne) Pty Ltd</t>
  </si>
  <si>
    <t>Analysis Year</t>
  </si>
  <si>
    <t>Analysis Month</t>
  </si>
  <si>
    <t>Actual / Forecast Status</t>
  </si>
  <si>
    <t>Levered IRR</t>
  </si>
  <si>
    <t>Levered EMx:</t>
  </si>
  <si>
    <t>Development Spread (Untrended)</t>
  </si>
  <si>
    <t>Hide Calc</t>
  </si>
  <si>
    <t>Show Calc</t>
  </si>
  <si>
    <t>M2</t>
  </si>
  <si>
    <t>Name</t>
  </si>
  <si>
    <t>County</t>
  </si>
  <si>
    <t>[County]</t>
  </si>
  <si>
    <t>State</t>
  </si>
  <si>
    <t>City</t>
  </si>
  <si>
    <t>Zip Code</t>
  </si>
  <si>
    <t>[Zip Code]</t>
  </si>
  <si>
    <t>Analysis Begin Date</t>
  </si>
  <si>
    <t>Country</t>
  </si>
  <si>
    <t>Retail Building Type</t>
  </si>
  <si>
    <t>Neighborhood Center</t>
  </si>
  <si>
    <t>Leasing Strategy</t>
  </si>
  <si>
    <t>Speculative</t>
  </si>
  <si>
    <t>Analysis Period</t>
  </si>
  <si>
    <t>Suites/Tenants</t>
  </si>
  <si>
    <t># of Buildings</t>
  </si>
  <si>
    <t>Building Coverage (Assumes one-story bldgs)</t>
  </si>
  <si>
    <t>Surface Parking Spaces</t>
  </si>
  <si>
    <t>Efficiency Ratio</t>
  </si>
  <si>
    <t>Structured Parking Spaces</t>
  </si>
  <si>
    <t>INVESTMENT PERIOD CASH FLOWS</t>
  </si>
  <si>
    <t>S-CURVE CALCULATION</t>
  </si>
  <si>
    <t>GROWTH/DECLINE CALCULATION</t>
  </si>
  <si>
    <t>SOURCES AND USES</t>
  </si>
  <si>
    <t>Analysis Date</t>
  </si>
  <si>
    <t>Start Period</t>
  </si>
  <si>
    <t>End Period</t>
  </si>
  <si>
    <t>Months</t>
  </si>
  <si>
    <t>Timing</t>
  </si>
  <si>
    <t>StDev</t>
  </si>
  <si>
    <t>START</t>
  </si>
  <si>
    <t>END</t>
  </si>
  <si>
    <t>METHOD</t>
  </si>
  <si>
    <t>AMOUNT</t>
  </si>
  <si>
    <t>Cum. Spent %</t>
  </si>
  <si>
    <t>Start</t>
  </si>
  <si>
    <t>End</t>
  </si>
  <si>
    <t>Length</t>
  </si>
  <si>
    <t>Land Costs</t>
  </si>
  <si>
    <t>Spent %</t>
  </si>
  <si>
    <t>Straight-Line</t>
  </si>
  <si>
    <t>Interim site acquisition lease deposit</t>
  </si>
  <si>
    <t>Other acquisition costs</t>
  </si>
  <si>
    <t>ARENA grant / development incentive (funding source; excluded from gross cost)</t>
  </si>
  <si>
    <t>Total Land Costs</t>
  </si>
  <si>
    <t># of Land Cost Items</t>
  </si>
  <si>
    <t>S-Curve</t>
  </si>
  <si>
    <t>Net infrastructure fund</t>
  </si>
  <si>
    <t>Development-period operating adjustments (funding bridge only)</t>
  </si>
  <si>
    <t>Staged operating funding sources (funding bridge only)</t>
  </si>
  <si>
    <t>Total Hard Costs</t>
  </si>
  <si>
    <t># of Hard Cost Items</t>
  </si>
  <si>
    <t>Included in detailed component CAPEX</t>
  </si>
  <si>
    <t>Total Soft Costs</t>
  </si>
  <si>
    <t># of Soft Cost Items</t>
  </si>
  <si>
    <t>SOURCES AND USES CALCULATIONS</t>
  </si>
  <si>
    <t>Total</t>
  </si>
  <si>
    <t>Financing fees and carry calculated in DEBT</t>
  </si>
  <si>
    <t>Total Development Costs (before Carry Costs)</t>
  </si>
  <si>
    <t>Other financing costs</t>
  </si>
  <si>
    <t>Carry Costs</t>
  </si>
  <si>
    <t>Capitalised interest transfer</t>
  </si>
  <si>
    <t>Total financing costs</t>
  </si>
  <si>
    <t>CASH FLOW BY SOURCE</t>
  </si>
  <si>
    <t>Equity</t>
  </si>
  <si>
    <t>Debt w/o interest</t>
  </si>
  <si>
    <t>Debt Interest Reserve</t>
  </si>
  <si>
    <t>LTC</t>
  </si>
  <si>
    <t>FUNDING ORDER</t>
  </si>
  <si>
    <t>ANNUAL RATE</t>
  </si>
  <si>
    <t>% OF SOURCES</t>
  </si>
  <si>
    <t>Debt Operating Shortfall Reserve</t>
  </si>
  <si>
    <t>Error Check</t>
  </si>
  <si>
    <t>See Waterfall</t>
  </si>
  <si>
    <t>Funding (Construction Loan vs. Mezzanine Loan)</t>
  </si>
  <si>
    <t>Total Cash Flow by Source</t>
  </si>
  <si>
    <t>Construction Debt</t>
  </si>
  <si>
    <t>Gross Construction Interest</t>
  </si>
  <si>
    <t>Total Sources</t>
  </si>
  <si>
    <t>Lease-up Income Available to Pay Construction Interest</t>
  </si>
  <si>
    <t>/RENTABLE SF</t>
  </si>
  <si>
    <t>/UNIT</t>
  </si>
  <si>
    <t>Construction Loan</t>
  </si>
  <si>
    <t>One</t>
  </si>
  <si>
    <t>Mezzanine Loan</t>
  </si>
  <si>
    <t>Two</t>
  </si>
  <si>
    <t>Blended Interest Rate</t>
  </si>
  <si>
    <t>Fixed</t>
  </si>
  <si>
    <t>Variable</t>
  </si>
  <si>
    <t>Construction Loan Interest Rate</t>
  </si>
  <si>
    <t>CASH FLOW OF SOURCES</t>
  </si>
  <si>
    <t>BALANCE TRACKING</t>
  </si>
  <si>
    <t>Mezzanine Loan Interest Rate</t>
  </si>
  <si>
    <t>Total Equity</t>
  </si>
  <si>
    <t>Available</t>
  </si>
  <si>
    <t>Debt interest reserve</t>
  </si>
  <si>
    <t>Construction Debt before Reserves</t>
  </si>
  <si>
    <t>Debt with Operating Shortfall</t>
  </si>
  <si>
    <t>Interest Reserve</t>
  </si>
  <si>
    <t>Outstanding</t>
  </si>
  <si>
    <t>Operating Shortfall Reserve</t>
  </si>
  <si>
    <t>PAYOFF MONTH</t>
  </si>
  <si>
    <t>Total Construction Debt</t>
  </si>
  <si>
    <t>First Loan Draw</t>
  </si>
  <si>
    <t>No Perm. Debt</t>
  </si>
  <si>
    <t>Perm. Debt</t>
  </si>
  <si>
    <t>% of Stab. Value (LTV)</t>
  </si>
  <si>
    <t>% OF COST</t>
  </si>
  <si>
    <t>INTEREST-ONLY?</t>
  </si>
  <si>
    <t>AMORT.</t>
  </si>
  <si>
    <t>PAYMENT</t>
  </si>
  <si>
    <t>Permanent Debt</t>
  </si>
  <si>
    <t>Loan Funding</t>
  </si>
  <si>
    <t>Loan Fees + Closing Costs</t>
  </si>
  <si>
    <t>Loan Payoff</t>
  </si>
  <si>
    <t>Share</t>
  </si>
  <si>
    <t>Amount w/o Int</t>
  </si>
  <si>
    <t>OPERATING PERIOD CASH FLOWS</t>
  </si>
  <si>
    <t>Construction Loan Balance (w/o interest)</t>
  </si>
  <si>
    <t>RETAIL INCOME</t>
  </si>
  <si>
    <t>PROPERTY TAX PHASE IN (% OF FULL TAX BY OPERATING YEAR)</t>
  </si>
  <si>
    <t>Mezzanine Loan Balance (w/o interest)</t>
  </si>
  <si>
    <t>Operation Begin Month</t>
  </si>
  <si>
    <t>EOY 1 of Op</t>
  </si>
  <si>
    <t>EOY 3 of Op</t>
  </si>
  <si>
    <t>Schedule</t>
  </si>
  <si>
    <t>Share of Required Debt Funding</t>
  </si>
  <si>
    <t>1st Stabilized Month</t>
  </si>
  <si>
    <t>EOY 2 of Op</t>
  </si>
  <si>
    <t>EOY 4 of Op</t>
  </si>
  <si>
    <t>Leased %</t>
  </si>
  <si>
    <t>RETAIL BASE RENTAL INCOME</t>
  </si>
  <si>
    <t>Operation Mo</t>
  </si>
  <si>
    <t>SUITE</t>
  </si>
  <si>
    <t>TENANT</t>
  </si>
  <si>
    <t>LEASE START</t>
  </si>
  <si>
    <t>RENT START</t>
  </si>
  <si>
    <t>RENT GROWTH %</t>
  </si>
  <si>
    <t>ANNUAL RENT (YR 1)</t>
  </si>
  <si>
    <t>RENT STEPS</t>
  </si>
  <si>
    <t>OCCUPANCY</t>
  </si>
  <si>
    <t>SF</t>
  </si>
  <si>
    <t>RENT</t>
  </si>
  <si>
    <t>Frequency</t>
  </si>
  <si>
    <t>URWLD</t>
  </si>
  <si>
    <t>Annual</t>
  </si>
  <si>
    <t>Student Accommodation</t>
  </si>
  <si>
    <t>Macquarie/IGLU; Brookfield/Journal</t>
  </si>
  <si>
    <t>LiveHouse</t>
  </si>
  <si>
    <t>Flexible Retail/F&amp;B</t>
  </si>
  <si>
    <t>Food Truck Park</t>
  </si>
  <si>
    <t>Genesis Health &amp; Fitness</t>
  </si>
  <si>
    <t>Car Park</t>
  </si>
  <si>
    <t>Secure (Preferred)</t>
  </si>
  <si>
    <t>Snowtunnel</t>
  </si>
  <si>
    <t>Go Kart</t>
  </si>
  <si>
    <t>Funtime Group</t>
  </si>
  <si>
    <t>Landscape-Based Attraction</t>
  </si>
  <si>
    <t>Operating Group</t>
  </si>
  <si>
    <t>Self-Storage Facility</t>
  </si>
  <si>
    <t>Storage King</t>
  </si>
  <si>
    <t>Convenience Store / Laundromat</t>
  </si>
  <si>
    <t>7-Eleven / App Automation</t>
  </si>
  <si>
    <t>eBike / eScooter Storage</t>
  </si>
  <si>
    <t>App Automation</t>
  </si>
  <si>
    <t>TOTAL RENTAL INCOME</t>
  </si>
  <si>
    <t>Total Rental Income</t>
  </si>
  <si>
    <t>RECOVERY INCOME</t>
  </si>
  <si>
    <t>STATUS</t>
  </si>
  <si>
    <t>TENANT TYPE</t>
  </si>
  <si>
    <t>RECOVERY START</t>
  </si>
  <si>
    <t>RECOVERY %</t>
  </si>
  <si>
    <t>PRO RATA SHARE</t>
  </si>
  <si>
    <t>AMOUNT/YR</t>
  </si>
  <si>
    <t>Signed LOI</t>
  </si>
  <si>
    <t>Anchor</t>
  </si>
  <si>
    <t>Discussion</t>
  </si>
  <si>
    <t>Inline</t>
  </si>
  <si>
    <t>Spec</t>
  </si>
  <si>
    <t>Outparcel</t>
  </si>
  <si>
    <t>TOTAL RECOVERY INCOME</t>
  </si>
  <si>
    <t>OTHER INCOME</t>
  </si>
  <si>
    <t>% FIXED</t>
  </si>
  <si>
    <t>ANN. GROWTH</t>
  </si>
  <si>
    <t>% OF RENTAL INC.</t>
  </si>
  <si>
    <t>Car-park net operating contribution</t>
  </si>
  <si>
    <t>Storage net operating contribution</t>
  </si>
  <si>
    <t>Management operating forecast adjustment</t>
  </si>
  <si>
    <t>Total other revenue</t>
  </si>
  <si>
    <t>Gross operating revenue</t>
  </si>
  <si>
    <t>Vacancy and credit loss</t>
  </si>
  <si>
    <t>Effective gross revenue</t>
  </si>
  <si>
    <t>EXP. GROWTH</t>
  </si>
  <si>
    <t>% OF EGR</t>
  </si>
  <si>
    <t>Source operating costs</t>
  </si>
  <si>
    <t>Management fee included in source operating costs</t>
  </si>
  <si>
    <t>Other operating expenses included in source operating costs</t>
  </si>
  <si>
    <t>Operation Year</t>
  </si>
  <si>
    <t>Property taxes / insurance included in source operating costs</t>
  </si>
  <si>
    <t>Mill Rate</t>
  </si>
  <si>
    <t>Property Tax Phase In %</t>
  </si>
  <si>
    <t>Total operating costs</t>
  </si>
  <si>
    <t>Operating Expenses</t>
  </si>
  <si>
    <t># of OpEx Items</t>
  </si>
  <si>
    <t>CAPITAL EXPENDITURES</t>
  </si>
  <si>
    <t>ASSUMPTIONS</t>
  </si>
  <si>
    <t>New Lease</t>
  </si>
  <si>
    <t>Renewal Lease</t>
  </si>
  <si>
    <t>CALCULATION</t>
  </si>
  <si>
    <t>Renewal Probability</t>
  </si>
  <si>
    <t>Average Retail Market Rent</t>
  </si>
  <si>
    <t>Tenant Improvements</t>
  </si>
  <si>
    <t>Leasing Commissions</t>
  </si>
  <si>
    <t>Total Leasing Costs</t>
  </si>
  <si>
    <t>Lease Term</t>
  </si>
  <si>
    <t>Leasing Cost/Yr</t>
  </si>
  <si>
    <t>Downtime + Free Rent</t>
  </si>
  <si>
    <t>Growth Rate</t>
  </si>
  <si>
    <t>Leasing Cost Reserve</t>
  </si>
  <si>
    <t>CapEx Reserve</t>
  </si>
  <si>
    <t>TOTAL CAPITAL EXPENDITURES</t>
  </si>
  <si>
    <t>Capital Expenditures</t>
  </si>
  <si>
    <t>CASH FLOW FROM OPERATIONS</t>
  </si>
  <si>
    <t>Debt Service (Permanent Debt)</t>
  </si>
  <si>
    <t>CASH FLOW AFTER FINANCING</t>
  </si>
  <si>
    <t>Cash Flow after Financing</t>
  </si>
  <si>
    <t>REVERSION (SALE) CASH FLOWS</t>
  </si>
  <si>
    <t>TIMING</t>
  </si>
  <si>
    <t>Detailed Sale/Valuation?</t>
  </si>
  <si>
    <t>No</t>
  </si>
  <si>
    <t>REVERSION (SALE) ASSUMPTIONS</t>
  </si>
  <si>
    <t>DETAILED SALE/VALUATION</t>
  </si>
  <si>
    <t>Sale Month:</t>
  </si>
  <si>
    <t>Market Cap Rate Today</t>
  </si>
  <si>
    <t>Portion</t>
  </si>
  <si>
    <t>Untrended NOI</t>
  </si>
  <si>
    <t>Sale NOI</t>
  </si>
  <si>
    <t>Stab. Cap</t>
  </si>
  <si>
    <t>Terminal Cap</t>
  </si>
  <si>
    <t>Stabilized (Untrended)</t>
  </si>
  <si>
    <t xml:space="preserve">Sale </t>
  </si>
  <si>
    <t>Cap Rate at Sale (Terminal Cap)</t>
  </si>
  <si>
    <t>Remaining Portion</t>
  </si>
  <si>
    <t>Selling Costs</t>
  </si>
  <si>
    <t>Sale Month</t>
  </si>
  <si>
    <t>STABILIZED (UNTRENDED)</t>
  </si>
  <si>
    <t>SALE</t>
  </si>
  <si>
    <t>Rental Income</t>
  </si>
  <si>
    <t>Inline Space</t>
  </si>
  <si>
    <t>Recovery Income</t>
  </si>
  <si>
    <t>Other Income</t>
  </si>
  <si>
    <t>[Portion]</t>
  </si>
  <si>
    <t>POTENTIAL GROSS INCOME</t>
  </si>
  <si>
    <t>- Retail Vacancy and Credit Loss</t>
  </si>
  <si>
    <t>EFFECTIVE GROSS REVENUE</t>
  </si>
  <si>
    <t>Error Check:</t>
  </si>
  <si>
    <t>Stabilized</t>
  </si>
  <si>
    <t>Sale</t>
  </si>
  <si>
    <t>TOTAL OPERATING EXPENSES</t>
  </si>
  <si>
    <t>NET OPERATING INCOME</t>
  </si>
  <si>
    <t>Retail Leasing Reserve</t>
  </si>
  <si>
    <t>SALE PROCEEDS</t>
  </si>
  <si>
    <t>VALUATION</t>
  </si>
  <si>
    <t>Gross Sale Proceeds (Direct Cap)</t>
  </si>
  <si>
    <t>Net Sale Proceeds</t>
  </si>
  <si>
    <t>PROJECT COST</t>
  </si>
  <si>
    <t>NOI</t>
  </si>
  <si>
    <t>Stabilized Value</t>
  </si>
  <si>
    <t>RETURNS</t>
  </si>
  <si>
    <t>PARTNERSHIP WATERFALL</t>
  </si>
  <si>
    <t>PROPERTY-LEVEL CASH FLOWS</t>
  </si>
  <si>
    <t>Asset Management Fee</t>
  </si>
  <si>
    <t>Total Project Cost (Before Carry Costs)</t>
  </si>
  <si>
    <t>DISTRIBUTIONS TO GP AND LP</t>
  </si>
  <si>
    <t>Adjusted Net Levered Cash Flow</t>
  </si>
  <si>
    <t>Total Construction Loan Interest (Before Lease-up Income)</t>
  </si>
  <si>
    <t>RETURN OF CAPITAL &amp;</t>
  </si>
  <si>
    <t>Beginning Balance (LP Capital Account)</t>
  </si>
  <si>
    <t>Total Construction Loan Draws</t>
  </si>
  <si>
    <t>HURDLE 1 DISTRIBUTION</t>
  </si>
  <si>
    <t>Req'd Return by LP (Pref)</t>
  </si>
  <si>
    <t>Permanent Loan Funding</t>
  </si>
  <si>
    <t>Hurdle</t>
  </si>
  <si>
    <t>Contributions from LP</t>
  </si>
  <si>
    <t>Distributions to LP (Hurdle 1)</t>
  </si>
  <si>
    <t>Ending Balance (LP Capital Account)</t>
  </si>
  <si>
    <t>Permanent Loan Debt Service</t>
  </si>
  <si>
    <t>IRR Check</t>
  </si>
  <si>
    <t>Beginning Balance (GP Capital Account)</t>
  </si>
  <si>
    <t>Req'd Return by GP (Pref)</t>
  </si>
  <si>
    <t>- Construction Loan Payoff</t>
  </si>
  <si>
    <t>Contributions from GP</t>
  </si>
  <si>
    <t>- Permanent Loan Payoff</t>
  </si>
  <si>
    <t>Catch Up?</t>
  </si>
  <si>
    <t>Distributions to GP (Hurdle 1)</t>
  </si>
  <si>
    <t>Equity Proceeds from Capital Event(s)</t>
  </si>
  <si>
    <t>Ending Balance (GP Capital Account)</t>
  </si>
  <si>
    <t>EQUITY MULTIPLE</t>
  </si>
  <si>
    <t>NET PROFIT</t>
  </si>
  <si>
    <t>Developer Fee to GP + AUM Fee</t>
  </si>
  <si>
    <t>Net Unlevered Cash Flow</t>
  </si>
  <si>
    <t>Total Distributions (Hurdle 1)</t>
  </si>
  <si>
    <t>Net Levered Cash Flow</t>
  </si>
  <si>
    <t>Cash Flow Remaining</t>
  </si>
  <si>
    <t>HURDLE 2 DISTRIBUTION</t>
  </si>
  <si>
    <t>Yield-on-Cost</t>
  </si>
  <si>
    <t>Market Cap Rate</t>
  </si>
  <si>
    <t>Prior Distributions</t>
  </si>
  <si>
    <t>Development Spread</t>
  </si>
  <si>
    <t>Distributions to LP (Hurdle 2)</t>
  </si>
  <si>
    <t>PARTNERSHIP-LEVEL CASH FLOWS</t>
  </si>
  <si>
    <t>Sgl. Promote</t>
  </si>
  <si>
    <t>Single waterfall active; second waterfall remains dormant pending executed terms.</t>
  </si>
  <si>
    <t>Include Dev. Fee?</t>
  </si>
  <si>
    <t>Distribution to GP</t>
  </si>
  <si>
    <t>AUM fee — canonical Project Inputs rate</t>
  </si>
  <si>
    <t>AUM Fee:</t>
  </si>
  <si>
    <t>% of Project Cost</t>
  </si>
  <si>
    <t>AUM Fee Starts:</t>
  </si>
  <si>
    <t>AUM Fee %:</t>
  </si>
  <si>
    <t>RETURNS SUMMARY</t>
  </si>
  <si>
    <t>Contributions</t>
  </si>
  <si>
    <t>Net Profit</t>
  </si>
  <si>
    <t>Total Distributions (Hurdle 2)</t>
  </si>
  <si>
    <t>HURDLE 3 DISTRIBUTION</t>
  </si>
  <si>
    <t>GP-LP CONTRIBUTIONS</t>
  </si>
  <si>
    <t>Distributions to LP (Hurdle 3)</t>
  </si>
  <si>
    <t>GP</t>
  </si>
  <si>
    <t>LP</t>
  </si>
  <si>
    <t>Total Distributions (Hurdle 3)</t>
  </si>
  <si>
    <t>DISTRIBUTION WATERFALL</t>
  </si>
  <si>
    <t>IRR Hurdle</t>
  </si>
  <si>
    <t>GP Promote</t>
  </si>
  <si>
    <t>Dist. % to GP</t>
  </si>
  <si>
    <t>Dist. % to LP</t>
  </si>
  <si>
    <t>Pref. Return</t>
  </si>
  <si>
    <t>GP Catch Up?</t>
  </si>
  <si>
    <t>Yes</t>
  </si>
  <si>
    <t>up to</t>
  </si>
  <si>
    <t>HURDLE 4 DISTRIBUTION</t>
  </si>
  <si>
    <t>Distribution to LP</t>
  </si>
  <si>
    <t>2nd Tier</t>
  </si>
  <si>
    <t>3rd Tier</t>
  </si>
  <si>
    <t>Total Distributions (Hurdle 4)</t>
  </si>
  <si>
    <t>4th Tier</t>
  </si>
  <si>
    <t>above</t>
  </si>
  <si>
    <t>Net Levered GP Cash Flow (before Dev. Fee)</t>
  </si>
  <si>
    <t>DISTRIBUTIONS TO GP 1 AND GP 2</t>
  </si>
  <si>
    <t>GP-LP DISTRIBUTIONS</t>
  </si>
  <si>
    <t>Beginning Balance (GP 2 Capital Account)</t>
  </si>
  <si>
    <t>Req'd Return by GP 2 (Pref)</t>
  </si>
  <si>
    <t>Contributions from GP 2</t>
  </si>
  <si>
    <t>Distributions to GP 2 (Hurdle 1)</t>
  </si>
  <si>
    <t>Ending Balance (GP 2 Capital Account)</t>
  </si>
  <si>
    <t>GP-LP NET CASH FLOW</t>
  </si>
  <si>
    <t>Distribution to GP 1</t>
  </si>
  <si>
    <t>2ND WATERFALL (GP 1 AND GP 2)</t>
  </si>
  <si>
    <t>CO-GP CONTRIBUTIONS</t>
  </si>
  <si>
    <t>Share of Dev. Fee</t>
  </si>
  <si>
    <t>Share of Equity</t>
  </si>
  <si>
    <t>Equity Amount</t>
  </si>
  <si>
    <t>GP 1</t>
  </si>
  <si>
    <t>[General Partner 1 Name]</t>
  </si>
  <si>
    <t>GP 2</t>
  </si>
  <si>
    <t>[General Partner 2 Name]</t>
  </si>
  <si>
    <t>Distributions to GP 2 (Hurdle 2)</t>
  </si>
  <si>
    <t>Distributions to GP 2 (Hurdle 3)</t>
  </si>
  <si>
    <t>Distribution to GP 2</t>
  </si>
  <si>
    <t>SENSITIVITY ANALYSIS</t>
  </si>
  <si>
    <t>SENSITIVITY #1</t>
  </si>
  <si>
    <t>SENSITIVITY #2</t>
  </si>
  <si>
    <t>Vacancy</t>
  </si>
  <si>
    <t>Dev. Spread</t>
  </si>
  <si>
    <t>Levered EMx</t>
  </si>
  <si>
    <t>Base Case</t>
  </si>
  <si>
    <t>Downside #1</t>
  </si>
  <si>
    <t>Downside #2</t>
  </si>
  <si>
    <t>Downside #3</t>
  </si>
  <si>
    <t>Downside #4</t>
  </si>
  <si>
    <t>Downside #5</t>
  </si>
  <si>
    <t>SENSITIVITY #3</t>
  </si>
  <si>
    <t>SENSITIVITY #4</t>
  </si>
  <si>
    <t>Inc. Growth</t>
  </si>
  <si>
    <t>Exp. Growth</t>
  </si>
  <si>
    <t>Recalculate Module</t>
  </si>
  <si>
    <t>Complete</t>
  </si>
  <si>
    <t>Mgmt Fee Calculate</t>
  </si>
  <si>
    <t>ProForma</t>
  </si>
  <si>
    <t>Mgmt Fee</t>
  </si>
  <si>
    <t>Target</t>
  </si>
  <si>
    <t>Recalculate Complete?</t>
  </si>
  <si>
    <t>Actual</t>
  </si>
  <si>
    <t>ANNUAL CASH FLOW</t>
  </si>
  <si>
    <t>Period Ending</t>
  </si>
  <si>
    <t>ANNUAL DEVELOPMENT CASH FLOWS</t>
  </si>
  <si>
    <t>Hard Costs / Development Adjustments</t>
  </si>
  <si>
    <t>Soft Costs</t>
  </si>
  <si>
    <t>TOTAL PROJECT COST BEFORE FINANCING</t>
  </si>
  <si>
    <t>TOTAL PROJECT COST</t>
  </si>
  <si>
    <t>FUNDING TIMING / ELIGIBILITY BRIDGE</t>
  </si>
  <si>
    <t>SOURCES LESS USES LESS BRIDGE (CHECK)</t>
  </si>
  <si>
    <t>ANNUAL OPERATING CASH FLOWS</t>
  </si>
  <si>
    <t>TOTAL POTENTIAL INCOME</t>
  </si>
  <si>
    <t>- General Vacancy and Credit Loss</t>
  </si>
  <si>
    <t>OPERATING EXPENSES</t>
  </si>
  <si>
    <t>ANNUAL PROPERTY-LEVEL CASH FLOWS</t>
  </si>
  <si>
    <t>ANALYSIS YEAR</t>
  </si>
  <si>
    <t>MONTHLY DEVELOPMENT CASH FLOWS</t>
  </si>
  <si>
    <t>MONTH END</t>
  </si>
  <si>
    <t>GROSS SOURCES</t>
  </si>
  <si>
    <t>GROSS SOURCES LESS USES (TIMING / ELIGIBILITY BRIDGE)</t>
  </si>
  <si>
    <t>MONTHLY OPERATING CASH FLOWS</t>
  </si>
  <si>
    <t>MONTHLY PROPERTY-LEVEL CASH FLOWS</t>
  </si>
  <si>
    <t>Total Loan Draws</t>
  </si>
  <si>
    <t>Financing Costs</t>
  </si>
  <si>
    <t>- Loan Payoff</t>
  </si>
  <si>
    <t>TENANT &amp; LEASE REGISTER</t>
  </si>
  <si>
    <t>PORTFOLIO LEASE-UP PROFILE</t>
  </si>
  <si>
    <t>New NRA Leased</t>
  </si>
  <si>
    <t>% of NRA Leased</t>
  </si>
  <si>
    <t>Cumulative % of NRA Leased</t>
  </si>
  <si>
    <t>PORTFOLIO SUMMARY</t>
  </si>
  <si>
    <t>Total linked NRA</t>
  </si>
  <si>
    <t>sqm</t>
  </si>
  <si>
    <t>Source lease schedule GLA</t>
  </si>
  <si>
    <t>Source / linked area variance</t>
  </si>
  <si>
    <t>Area reconciliation status</t>
  </si>
  <si>
    <t>Annual lease rent — Year 1</t>
  </si>
  <si>
    <t>A$m</t>
  </si>
  <si>
    <t>Weighted average lease rent</t>
  </si>
  <si>
    <t>A$/sqm p.a.</t>
  </si>
  <si>
    <t>Standard rental escalation</t>
  </si>
  <si>
    <t>Committed occupancy</t>
  </si>
  <si>
    <t>First model lease start</t>
  </si>
  <si>
    <t>month</t>
  </si>
  <si>
    <t>First model rent start</t>
  </si>
  <si>
    <t>Lease-based components</t>
  </si>
  <si>
    <t>count</t>
  </si>
  <si>
    <t>Operating-revenue components</t>
  </si>
  <si>
    <t>TENANT RENT ROLL — LINKED TO UNDERWRITING</t>
  </si>
  <si>
    <t>Component</t>
  </si>
  <si>
    <t>Current Model Tenant / Operator</t>
  </si>
  <si>
    <t>Commercial Basis</t>
  </si>
  <si>
    <t>Linked GLA (sqm)</t>
  </si>
  <si>
    <t>GLA %</t>
  </si>
  <si>
    <t>Lease Start (Mo.)</t>
  </si>
  <si>
    <t>Rent Start (Mo.)</t>
  </si>
  <si>
    <t>Base Rent ($/sqm p.a.)</t>
  </si>
  <si>
    <t>Annual Rent — Yr 1 (A$m)</t>
  </si>
  <si>
    <t>Escalation</t>
  </si>
  <si>
    <t>Rent Step</t>
  </si>
  <si>
    <t>Source GLA (sqm)</t>
  </si>
  <si>
    <t>Source Area Variance (sqm)</t>
  </si>
  <si>
    <t>Source 2029 Lease / Revenue (A$m)</t>
  </si>
  <si>
    <t>Model Status / Basis</t>
  </si>
  <si>
    <t>Control Note</t>
  </si>
  <si>
    <t>Lease</t>
  </si>
  <si>
    <t>Modelled / committed assumption</t>
  </si>
  <si>
    <t>Source model identifies Mayabay as operator; 30-year term plus options.</t>
  </si>
  <si>
    <t>Operating revenue</t>
  </si>
  <si>
    <t>Revenue-after-expenses basis; no lease terms or definitive counterparty in the source workbook.</t>
  </si>
  <si>
    <t>20-year lease input. Commencement and 18-month fit-out chronology requires validation.</t>
  </si>
  <si>
    <t>Food Truck Park with 8 stalls; 3-year lease input; no abatement in source label.</t>
  </si>
  <si>
    <t>5-year term with extensions; 6-month fit-out and 50% abatement.</t>
  </si>
  <si>
    <t>Operating-income component; source model also states 800 spaces.</t>
  </si>
  <si>
    <t>10-year term with options; 9-month fit-out and 50% abatement.</t>
  </si>
  <si>
    <t>5-year term with options; abatement duration conflicts across source sheets.</t>
  </si>
  <si>
    <t>Source label says no abatement, but source inputs include 25%; reconcile.</t>
  </si>
  <si>
    <t>Operating-revenue component; no contractual lease terms in the source schedule.</t>
  </si>
  <si>
    <t>Source GLA is 2,000 sqm versus 64 sqm linked in Underwriting; reconcile.</t>
  </si>
  <si>
    <t>Source GLA is 120 sqm versus 48 sqm linked in Underwriting; reconcile.</t>
  </si>
  <si>
    <t>TOTAL / WEIGHTED AVERAGE</t>
  </si>
  <si>
    <t>100% committed model assumption</t>
  </si>
  <si>
    <t>Source GLA and linked model NRA do not reconcile; see controls below.</t>
  </si>
  <si>
    <t>LEASE TERMS &amp; INCENTIVES — SOURCE WORKBOOK</t>
  </si>
  <si>
    <t>Payment Frequency</t>
  </si>
  <si>
    <t>GST Included</t>
  </si>
  <si>
    <t>Market Review (Yr)</t>
  </si>
  <si>
    <t>Lease Term (Yr)</t>
  </si>
  <si>
    <t>Extensions (Yr)</t>
  </si>
  <si>
    <t>Further Options (Yr)</t>
  </si>
  <si>
    <t>Site Works / Access</t>
  </si>
  <si>
    <t>Lease Commencement / Outgoings</t>
  </si>
  <si>
    <t>Fit-out Rent-Free (Months)</t>
  </si>
  <si>
    <t>Rent Abatement (Years)</t>
  </si>
  <si>
    <t>Abatement Level</t>
  </si>
  <si>
    <t>Abatement Treatment</t>
  </si>
  <si>
    <t>Source Cells</t>
  </si>
  <si>
    <t>Open Item / Control</t>
  </si>
  <si>
    <t>Current Model Link</t>
  </si>
  <si>
    <t>50% for first 4 years</t>
  </si>
  <si>
    <t>LTA!B9:Q9 | LAM!D8:F8</t>
  </si>
  <si>
    <t>Terms appear internally consistent; executed lease not supplied.</t>
  </si>
  <si>
    <t>No abatement / revenue basis</t>
  </si>
  <si>
    <t>LTA!B10:Q10 | LAM!D9:F9</t>
  </si>
  <si>
    <t>No lease-term assumptions supplied; operating-revenue basis.</t>
  </si>
  <si>
    <t>LTA!B11:Q11 | LAM!D10:F10</t>
  </si>
  <si>
    <t>Source commencement is Jun-2027 while fit-out rent-free is 18 months; verify chronology.</t>
  </si>
  <si>
    <t>No abatement</t>
  </si>
  <si>
    <t>LTA!B12:Q12 | LAM!D11:F11</t>
  </si>
  <si>
    <t>No site-access or commencement dates supplied.</t>
  </si>
  <si>
    <t>LTA!B13:Q13 | LAM!D12:F12</t>
  </si>
  <si>
    <t>Definitive lease documentation not supplied.</t>
  </si>
  <si>
    <t>LTA!B14:Q14 | LAM!D13:F13</t>
  </si>
  <si>
    <t>LTA!B15:Q15 | LAM!D14:F14</t>
  </si>
  <si>
    <t>Lease terms: 2 years; abatement model: 4 years</t>
  </si>
  <si>
    <t>LTA!B16:Q16 | LAM!D15:F15</t>
  </si>
  <si>
    <t>Abatement-period conflict between source sheets.</t>
  </si>
  <si>
    <t>Label says no abatement; inputs show 25% and conflicting duration</t>
  </si>
  <si>
    <t>LTA!B17:Q17 | LAM!D16:F16</t>
  </si>
  <si>
    <t>Abatement label, percentage and duration conflict within source workbook.</t>
  </si>
  <si>
    <t>LTA!B18:Q18 | LAM!D17:F17</t>
  </si>
  <si>
    <t>LTA!B19:Q19 | LAM!D18:F18</t>
  </si>
  <si>
    <t>Area conflicts with linked model and prior project detail.</t>
  </si>
  <si>
    <t>LTA!B20:Q20 | LAM!D19:F19</t>
  </si>
  <si>
    <t>CONTROL SUMMARY</t>
  </si>
  <si>
    <t>Lease terms populated</t>
  </si>
  <si>
    <t>Area variance rows</t>
  </si>
  <si>
    <t>Abatement conflicts</t>
  </si>
  <si>
    <t>Missing lease terms</t>
  </si>
  <si>
    <t>Status</t>
  </si>
  <si>
    <t>RECONCILIATION REQUIRED</t>
  </si>
  <si>
    <t>KEY CONTROLS &amp; OPEN ITEMS</t>
  </si>
  <si>
    <t>1. Source hierarchy: lease terms are taken from 20260724_BENDPRECINCT_INSTITUTIONAL_MODEL_EXECUTIVE_DASHBOARD_V1.11. LTA = LEASE_TERMS_ASSUMPTIONS; LAM = LEASE ABATEMENT MODEL.</t>
  </si>
  <si>
    <t>2. Model linkage: component names, current tenant/operator labels, GLA, lease-start months, rent-start months, base rent, annual rent, escalation and rent-step frequency link directly to Underwriting rows 93–104.</t>
  </si>
  <si>
    <t>3. Occupancy: the source model assumes 100% committed occupancy and no vacancy allowance. This is a modelling assumption, not confirmation of executed lease documentation.</t>
  </si>
  <si>
    <t>4. Area reconciliation: source lease-schedule GLA is 80,320.38 sqm versus linked model NRA of 78,312.38 sqm. The 2,008 sqm variance is driven by Convenience Store/Laundromat and eBike/eScooter inputs.</t>
  </si>
  <si>
    <t>5. Abatement reconciliation: Go Kart and Landscape-Based Attraction contain conflicting abatement duration or labelling across the source worksheets. No silent correction has been made.</t>
  </si>
  <si>
    <t>6. Operating components: Student Accommodation, Car Park, Self-Storage, Convenience Store/Laundromat and eBike/eScooter are shown as operating-revenue components rather than contractual base-rent lines.</t>
  </si>
  <si>
    <t>7. Finalisation: executed leases, HOAs, commencement certificates, fit-out handover dates, guarantees, deposits, outgoings recoveries and definitive counterparties should replace working assumptions when available.</t>
  </si>
  <si>
    <t>BACKEND SETTINGS</t>
  </si>
  <si>
    <t>Example</t>
  </si>
  <si>
    <t>S-Curve Steepness</t>
  </si>
  <si>
    <t>Mo</t>
  </si>
  <si>
    <t>Type</t>
  </si>
  <si>
    <t>Std</t>
  </si>
  <si>
    <t>1 (Flat)</t>
  </si>
  <si>
    <t>Sensitivity Metrics</t>
  </si>
  <si>
    <t>DATA VALIDATION</t>
  </si>
  <si>
    <t>Rent Inc. Frequency</t>
  </si>
  <si>
    <t>Building Type</t>
  </si>
  <si>
    <t>Tenant Type</t>
  </si>
  <si>
    <t>Auto Repair/Parts</t>
  </si>
  <si>
    <t>Every 2 Years</t>
  </si>
  <si>
    <t>Bank</t>
  </si>
  <si>
    <t>Jr. Anchor</t>
  </si>
  <si>
    <t>Every 3 Years</t>
  </si>
  <si>
    <t>Convenience Store</t>
  </si>
  <si>
    <t>Every 4 Years</t>
  </si>
  <si>
    <t>Day Care/Nursery</t>
  </si>
  <si>
    <t>Every 5 Years</t>
  </si>
  <si>
    <t>QSR/Fast Food</t>
  </si>
  <si>
    <t>Other</t>
  </si>
  <si>
    <t>Every 6 Years</t>
  </si>
  <si>
    <t>Gas Station</t>
  </si>
  <si>
    <t>Every 7 Years</t>
  </si>
  <si>
    <t>Grocery Store</t>
  </si>
  <si>
    <t>Every 8 Years</t>
  </si>
  <si>
    <t>Pharmacy/Drug</t>
  </si>
  <si>
    <t>Every 9 Years</t>
  </si>
  <si>
    <t>Every 10 Years</t>
  </si>
  <si>
    <t>Restaurant/Bar</t>
  </si>
  <si>
    <t>Community Center</t>
  </si>
  <si>
    <t>Regional Mall</t>
  </si>
  <si>
    <t>Super-Regional Mall</t>
  </si>
  <si>
    <t>Fashion / Specialty Center</t>
  </si>
  <si>
    <t>Power Center</t>
  </si>
  <si>
    <t>Outlet Center</t>
  </si>
  <si>
    <t>THE BEND PRECINCT</t>
  </si>
  <si>
    <t>Port Melbourne, Victoria</t>
  </si>
  <si>
    <t>FINANCIAL STATEMENTS</t>
  </si>
  <si>
    <t>Wind-up</t>
  </si>
  <si>
    <t>STATEMENT OF PROFIT OR LOSS (MODEL BASIS)</t>
  </si>
  <si>
    <t>TOTAL REVENUE</t>
  </si>
  <si>
    <t>- Vacancy and Credit Loss</t>
  </si>
  <si>
    <t>Common Area Maintenance</t>
  </si>
  <si>
    <t>Management Fee</t>
  </si>
  <si>
    <t>Insurance</t>
  </si>
  <si>
    <t>Property Taxes</t>
  </si>
  <si>
    <t>Finance Costs</t>
  </si>
  <si>
    <t>OPERATING PROFIT / (LOSS) AFTER FINANCE COSTS</t>
  </si>
  <si>
    <t>Gain / (Loss) on Sale (Net Proceeds less Model Cost Basis)</t>
  </si>
  <si>
    <t>NET PROFIT / (LOSS) BEFORE TAX</t>
  </si>
  <si>
    <t>Income Tax Expense</t>
  </si>
  <si>
    <t>NET PROFIT / (LOSS) AFTER TAX</t>
  </si>
  <si>
    <t>STATEMENT OF FINANCIAL POSITION</t>
  </si>
  <si>
    <t>ASSETS</t>
  </si>
  <si>
    <t>Cash</t>
  </si>
  <si>
    <t>Development Property, Capitalised Project Costs &amp; GST Receivable</t>
  </si>
  <si>
    <t>TOTAL ASSETS</t>
  </si>
  <si>
    <t>LIABILITIES</t>
  </si>
  <si>
    <t>Total Interest-Bearing Debt</t>
  </si>
  <si>
    <t>TOTAL LIABILITIES</t>
  </si>
  <si>
    <t>EQUITY</t>
  </si>
  <si>
    <t>Contributed Equity</t>
  </si>
  <si>
    <t>Cumulative Accumulated Profit / (Loss)</t>
  </si>
  <si>
    <t>Cumulative Distributions to Equity</t>
  </si>
  <si>
    <t>TOTAL EQUITY</t>
  </si>
  <si>
    <t>TOTAL LIABILITIES AND EQUITY</t>
  </si>
  <si>
    <t>BALANCE SHEET CHECK</t>
  </si>
  <si>
    <t>Assets less Liabilities and Equity</t>
  </si>
  <si>
    <t>Closing Cash per Cash Flow Statement</t>
  </si>
  <si>
    <t>TOTAL CHECK</t>
  </si>
  <si>
    <t>BALANCE SHEET STATUS</t>
  </si>
  <si>
    <t>CASH ROLL-FORWARD STATUS</t>
  </si>
  <si>
    <t>EQUITY / RETAINED EARNINGS STATUS</t>
  </si>
  <si>
    <t>STATEMENT OF CASH FLOWS</t>
  </si>
  <si>
    <t>OPERATING ACTIVITIES</t>
  </si>
  <si>
    <t>Cash Income Tax Paid</t>
  </si>
  <si>
    <t>Change in Operating Working Capital</t>
  </si>
  <si>
    <t>Net Cash from Operating Activities</t>
  </si>
  <si>
    <t>INVESTING ACTIVITIES</t>
  </si>
  <si>
    <t>Development Property and Project Costs</t>
  </si>
  <si>
    <t>Net Cash from Investing Activities</t>
  </si>
  <si>
    <t>Net GST Funding / (Recovery)</t>
  </si>
  <si>
    <t>FINANCING ACTIVITIES</t>
  </si>
  <si>
    <t>Construction Debt Draws</t>
  </si>
  <si>
    <t>Construction Debt Repayment</t>
  </si>
  <si>
    <t>Finance Costs Paid</t>
  </si>
  <si>
    <t>Equity Contributions</t>
  </si>
  <si>
    <t>Distributions to Equity</t>
  </si>
  <si>
    <t>Net Cash from Financing Activities</t>
  </si>
  <si>
    <t>NET CHANGE IN CASH</t>
  </si>
  <si>
    <t>Opening Cash Balance</t>
  </si>
  <si>
    <t>Closing Cash Balance</t>
  </si>
  <si>
    <t>Cash Flow Statement Check</t>
  </si>
  <si>
    <t>STATEMENT OF CHANGES IN EQUITY</t>
  </si>
  <si>
    <t>Opening Equity Balance</t>
  </si>
  <si>
    <t>Net Profit / (Loss)</t>
  </si>
  <si>
    <t>Closing Equity Balance</t>
  </si>
  <si>
    <t>Closing Equity per Statement of Financial Position</t>
  </si>
  <si>
    <t>EQUITY CHECK</t>
  </si>
  <si>
    <t>PROJECT VALUATION, SCENARIOS &amp; INVESTOR RETURNS</t>
  </si>
  <si>
    <t>VALUATIONS | PROPERTY, COMPANY, PROJECT &amp; INVESTOR RETURNS</t>
  </si>
  <si>
    <t>Dynamic formula-linked schedule. Amounts are A$m unless noted. Yellow/blue assumptions are illustrative and require confirmation.</t>
  </si>
  <si>
    <t>PROJECT VALUATION INPUTS &amp; LINKED RETURNS</t>
  </si>
  <si>
    <t>KEY VALUATION ASSUMPTIONS</t>
  </si>
  <si>
    <t>PROPERTY VALUATION SUMMARY</t>
  </si>
  <si>
    <t>Stabilised NOI</t>
  </si>
  <si>
    <t>A$m p.a.</t>
  </si>
  <si>
    <t>Underwriting!H190</t>
  </si>
  <si>
    <t>Base gross project value</t>
  </si>
  <si>
    <t>Capitalised stabilised NOI at the current model cap rate.</t>
  </si>
  <si>
    <t>Selected valuation case</t>
  </si>
  <si>
    <t>Downside / Base / Upside</t>
  </si>
  <si>
    <t>Completed property value at stabilisation date (capitalised)</t>
  </si>
  <si>
    <t>Selected scenario capitalised terminal NOI.</t>
  </si>
  <si>
    <t>Current capitalisation rate</t>
  </si>
  <si>
    <t>Underwriting!H189</t>
  </si>
  <si>
    <t>Base selling costs</t>
  </si>
  <si>
    <t>Linked selling-cost percentage applied to gross value.</t>
  </si>
  <si>
    <t>Discount rate</t>
  </si>
  <si>
    <t>Completed property value (base, untrended)</t>
  </si>
  <si>
    <t>Selling cost rate</t>
  </si>
  <si>
    <t>Underwriting!I163</t>
  </si>
  <si>
    <t>Base net sale proceeds</t>
  </si>
  <si>
    <t>Gross value less selling costs.</t>
  </si>
  <si>
    <t>Required developer profit on cost</t>
  </si>
  <si>
    <t>Current / as-is value</t>
  </si>
  <si>
    <t>Debt at valuation date</t>
  </si>
  <si>
    <t>Underwriting!E191</t>
  </si>
  <si>
    <t>Base net equity value</t>
  </si>
  <si>
    <t>Net sale proceeds less debt repayment.</t>
  </si>
  <si>
    <t>OpCo EBITDA margin</t>
  </si>
  <si>
    <t>Stabilised NOI at exit</t>
  </si>
  <si>
    <t>Total project cost</t>
  </si>
  <si>
    <t>Underwriting!I57</t>
  </si>
  <si>
    <t>Development profit vs cost</t>
  </si>
  <si>
    <t>Net sale proceeds less total project cost.</t>
  </si>
  <si>
    <t>OpCo valuation multiple</t>
  </si>
  <si>
    <t>Capitalisation rate</t>
  </si>
  <si>
    <t>Current model equity requirement</t>
  </si>
  <si>
    <t>Underwriting!I69</t>
  </si>
  <si>
    <t>Development margin on cost</t>
  </si>
  <si>
    <t>Development profit divided by total project cost.</t>
  </si>
  <si>
    <t>Fully diluted dilution</t>
  </si>
  <si>
    <t>Cross-check current DCF value (present value)</t>
  </si>
  <si>
    <t>Pre-terminal unlevered cash flows plus one discounted terminal value.</t>
  </si>
  <si>
    <t>Net rentable area</t>
  </si>
  <si>
    <t>Underwriting!I18</t>
  </si>
  <si>
    <t>Yield on cost</t>
  </si>
  <si>
    <t>Stabilised NOI divided by total project cost.</t>
  </si>
  <si>
    <t>Ownership units / shares</t>
  </si>
  <si>
    <t>Terminal value</t>
  </si>
  <si>
    <t>Valuation / realisation date</t>
  </si>
  <si>
    <t>date</t>
  </si>
  <si>
    <t>Underwriting!I15</t>
  </si>
  <si>
    <t>Loan-to-value</t>
  </si>
  <si>
    <t>Debt divided by gross project value.</t>
  </si>
  <si>
    <t>Shareholder loans</t>
  </si>
  <si>
    <t>Residual land value</t>
  </si>
  <si>
    <t>Net GDV solved for land after non-land costs and target profit.</t>
  </si>
  <si>
    <t>Current model levered MOIC</t>
  </si>
  <si>
    <t>x</t>
  </si>
  <si>
    <t>Existing levered project cash-flow output; named investor returns below use the investor register.</t>
  </si>
  <si>
    <t>Other liabilities</t>
  </si>
  <si>
    <t>Total development cost</t>
  </si>
  <si>
    <t>Linked: Financial Statements!K33</t>
  </si>
  <si>
    <t>Development profit</t>
  </si>
  <si>
    <t>PROJECT VALUATION SCENARIOS</t>
  </si>
  <si>
    <t>Selected investor</t>
  </si>
  <si>
    <t>Linked: Underwriting GP/LP waterfall</t>
  </si>
  <si>
    <t>Profit on cost</t>
  </si>
  <si>
    <t>Scenario</t>
  </si>
  <si>
    <t>Capitalisation Rate</t>
  </si>
  <si>
    <t>Gross Project Value (A$m)</t>
  </si>
  <si>
    <t>Selling Costs (A$m)</t>
  </si>
  <si>
    <t>Net Sale Proceeds (A$m)</t>
  </si>
  <si>
    <t>Debt (A$m)</t>
  </si>
  <si>
    <t>Net Equity Value (A$m)</t>
  </si>
  <si>
    <t>Profit vs Cost (A$m)</t>
  </si>
  <si>
    <t>Development Margin</t>
  </si>
  <si>
    <t>LTV</t>
  </si>
  <si>
    <t>Value / sqm (A$)</t>
  </si>
  <si>
    <t>Investor Register MOIC</t>
  </si>
  <si>
    <t>Model Equity MOIC</t>
  </si>
  <si>
    <t>Support</t>
  </si>
  <si>
    <t>Basis / Limitation</t>
  </si>
  <si>
    <t>VALUATION BRIDGE | EXIT VALUE TO CURRENT DCF</t>
  </si>
  <si>
    <t>Profit on value</t>
  </si>
  <si>
    <t>Cost cross-check</t>
  </si>
  <si>
    <t>n.a.</t>
  </si>
  <si>
    <t>Headline completed property value at exit</t>
  </si>
  <si>
    <t>Selected scenario capitalised terminal NOI at the exit date.</t>
  </si>
  <si>
    <t>Downside</t>
  </si>
  <si>
    <t>Less: selling costs</t>
  </si>
  <si>
    <t>Selling costs applied once to the exit value.</t>
  </si>
  <si>
    <t>Exit yield</t>
  </si>
  <si>
    <t>Base</t>
  </si>
  <si>
    <t>Less: time-value discount to present</t>
  </si>
  <si>
    <t>Discounts net terminal value from exit date to the current valuation date.</t>
  </si>
  <si>
    <t>Value creation</t>
  </si>
  <si>
    <t>Upside</t>
  </si>
  <si>
    <t>Add: PV of pre-terminal and other terminal cash flows</t>
  </si>
  <si>
    <t>Actual pre-terminal cash flows plus other terminal cash flow, discounted on actual dates.</t>
  </si>
  <si>
    <t>Component property value</t>
  </si>
  <si>
    <t>Reconciles to the property portion of the component SOTP.</t>
  </si>
  <si>
    <t>VALUATION TRIANGULATION &amp; EVIDENCE STATUS</t>
  </si>
  <si>
    <t>Cross-check current DCF value</t>
  </si>
  <si>
    <t>Residual</t>
  </si>
  <si>
    <t>Method</t>
  </si>
  <si>
    <t>Value (A$m)</t>
  </si>
  <si>
    <t>Weight</t>
  </si>
  <si>
    <t>Weighted value (A$m)</t>
  </si>
  <si>
    <t>Evidence / status</t>
  </si>
  <si>
    <t>INVESTOR RETURNS — FUNDED ORDINARY EQUITY, PRO RATA</t>
  </si>
  <si>
    <t>SUM-OF-THE-PARTS | PROPERTY &amp; OPERATING BUSINESSES</t>
  </si>
  <si>
    <t>Income capitalisation</t>
  </si>
  <si>
    <t>Selected model method; independent valuation required</t>
  </si>
  <si>
    <t>Investor</t>
  </si>
  <si>
    <t>Funded Draw (A$m)</t>
  </si>
  <si>
    <t>Shareholder Loans (A$m)</t>
  </si>
  <si>
    <t>Other Funded Equity (A$m)</t>
  </si>
  <si>
    <t>Total Invested (A$m)</t>
  </si>
  <si>
    <t>Ownership</t>
  </si>
  <si>
    <t>Downside Value (A$m)</t>
  </si>
  <si>
    <t>Base Value (A$m)</t>
  </si>
  <si>
    <t>Upside Value (A$m)</t>
  </si>
  <si>
    <t>Base Profit / (Loss) (A$m)</t>
  </si>
  <si>
    <t>Base MOIC</t>
  </si>
  <si>
    <t>Base XIRR</t>
  </si>
  <si>
    <t>Security / Rights</t>
  </si>
  <si>
    <t>Basis / Note</t>
  </si>
  <si>
    <t>GLA (sqm)</t>
  </si>
  <si>
    <t>Model Rent (A$m)</t>
  </si>
  <si>
    <t>Allocated NOI (A$m)</t>
  </si>
  <si>
    <t>Property Value (A$m)</t>
  </si>
  <si>
    <t>Linked OpCo Revenue (A$m)</t>
  </si>
  <si>
    <t>EBITDA Margin</t>
  </si>
  <si>
    <t>EBITDA (A$m)</t>
  </si>
  <si>
    <t>Multiple</t>
  </si>
  <si>
    <t>OpCo Value (A$m)</t>
  </si>
  <si>
    <t>Total Value (A$m)</t>
  </si>
  <si>
    <t>Basis / Status</t>
  </si>
  <si>
    <t>Property DCF</t>
  </si>
  <si>
    <t>Cross-check only; timing and terminal inputs remain provisional</t>
  </si>
  <si>
    <t>Ordinary shares + pro-rata right</t>
  </si>
  <si>
    <t>PROJECT CASH FLOW!E104/F104. Funded ordinary equity; legal rights and dates require confirmation.</t>
  </si>
  <si>
    <t>Cost approach</t>
  </si>
  <si>
    <t>Cost cross-check; not automatically market value</t>
  </si>
  <si>
    <t>PROJECT CASH FLOW!E103/F103. Funded ordinary equity; legal rights and dates require confirmation.</t>
  </si>
  <si>
    <t>Selected weighted value</t>
  </si>
  <si>
    <t>Provisional pending valuer and owner approval</t>
  </si>
  <si>
    <t>Brian Mirfin</t>
  </si>
  <si>
    <t>PROJECT CASH FLOW!E105/F105. Funded ordinary equity; legal rights and dates require confirmation.</t>
  </si>
  <si>
    <t>Maximum method spread</t>
  </si>
  <si>
    <t>Highest less lowest method</t>
  </si>
  <si>
    <t>PROJECT CASH FLOW!E106/F106. Funded ordinary equity; legal rights and dates require confirmation.</t>
  </si>
  <si>
    <t>Spread as % of selected value</t>
  </si>
  <si>
    <t>Material uncertainty indicator</t>
  </si>
  <si>
    <t>PROJECT CASH FLOW!E107/F107. Funded ordinary equity; legal rights and dates require confirmation.</t>
  </si>
  <si>
    <t>Independent valuation</t>
  </si>
  <si>
    <t>NOT PROVIDED</t>
  </si>
  <si>
    <t>OWNER DECISION REQUIRED</t>
  </si>
  <si>
    <t>PROJECT CASH FLOW!E108/F108. Funded ordinary equity; legal rights and dates require confirmation.</t>
  </si>
  <si>
    <t>Methods have not been silently forced to agree</t>
  </si>
  <si>
    <t>PROJECT CASH FLOW!E109/F109. Funded ordinary equity; legal rights and dates require confirmation.</t>
  </si>
  <si>
    <t>Residual funded ordinary equity after all other named investors; A$150m commitment remains separate. Legal rights and dates require confirmation.</t>
  </si>
  <si>
    <t>Ordinary equity assumption</t>
  </si>
  <si>
    <t>All named investors; amounts and legal terms remain subject to confirmation.</t>
  </si>
  <si>
    <t>FUNDING RECONCILIATION, TIMING &amp; CONTROLS</t>
  </si>
  <si>
    <t>Linked to the current industrial development model.</t>
  </si>
  <si>
    <t>Primary valuation method</t>
  </si>
  <si>
    <t>Stabilised NOI capitalised at the current model cap rate.</t>
  </si>
  <si>
    <t>TOTAL COMPONENT SOTP</t>
  </si>
  <si>
    <t>Property and OpCo values are mutually exclusive by component to prevent double counting.</t>
  </si>
  <si>
    <t>Investor register total</t>
  </si>
  <si>
    <t>Named investor amounts sourced from the investor register workbook.</t>
  </si>
  <si>
    <t>Equity value bridge</t>
  </si>
  <si>
    <t>Gross project value less selling costs and debt repayment.</t>
  </si>
  <si>
    <t>Operating-business revenue is disclosed for completeness but excluded from value until an independent valuer approves both the margin and multiple. Each component is valued under one method only.</t>
  </si>
  <si>
    <t>Excess / (shortfall) vs model</t>
  </si>
  <si>
    <t>A material difference means investor funding and project funding are not yet reconciled.</t>
  </si>
  <si>
    <t>Investor allocation</t>
  </si>
  <si>
    <t>Pro-rata ownership based on total invested across the named investor register.</t>
  </si>
  <si>
    <t>Ownership check</t>
  </si>
  <si>
    <t>Must equal 100.0%.</t>
  </si>
  <si>
    <t>Return metrics</t>
  </si>
  <si>
    <t>Value, profit / loss, MOIC, XIRR, XNPV and payback from dated cash flows.</t>
  </si>
  <si>
    <t>COMPANY VALUATION | ENTERPRISE VALUE TO EQUITY VALUE</t>
  </si>
  <si>
    <t>PROJECT RETURNS | ACTUAL MONTHLY CASH FLOWS</t>
  </si>
  <si>
    <t>Reconciliation status</t>
  </si>
  <si>
    <t>status</t>
  </si>
  <si>
    <t>Named investor returns should not be treated as final until funding reconciles.</t>
  </si>
  <si>
    <t>Not modelled</t>
  </si>
  <si>
    <t>Tax, fees, promote, preferences, anti-dilution, interim distributions or special rights.</t>
  </si>
  <si>
    <t>Property value</t>
  </si>
  <si>
    <t>Project IRR (annualised)</t>
  </si>
  <si>
    <t>Periodic IRR annualised from actual monthly unlevered cash flows.</t>
  </si>
  <si>
    <t>Initial / pre-construction funding date</t>
  </si>
  <si>
    <t>Linked to the model analysis start date.</t>
  </si>
  <si>
    <t>Critical control</t>
  </si>
  <si>
    <t>The named investor register is formula-reconciled to the current funded-equity requirement. Legal terms and capital-call timing remain provisional.</t>
  </si>
  <si>
    <t>Operating-business value</t>
  </si>
  <si>
    <t>Project XIRR</t>
  </si>
  <si>
    <t>Future development funding date</t>
  </si>
  <si>
    <t>Assumed midpoint of the 18-month construction programme; replace when the final capital-call schedule is available.</t>
  </si>
  <si>
    <t>Valuation cross-check</t>
  </si>
  <si>
    <t>Cost is shown as a cross-check only and should not be interpreted as market value.</t>
  </si>
  <si>
    <t>Enterprise value</t>
  </si>
  <si>
    <t>Property SOTP plus OpCo value.</t>
  </si>
  <si>
    <t>Project NPV</t>
  </si>
  <si>
    <t>Periodic NPV using the monthly equivalent discount rate and the same actual unlevered cash-flow series.</t>
  </si>
  <si>
    <t>Linked to the model sale date.</t>
  </si>
  <si>
    <t>Finalisation required</t>
  </si>
  <si>
    <t>Replace provisional investor names, funding dates and legal economics when confirmed.</t>
  </si>
  <si>
    <t>Project XNPV</t>
  </si>
  <si>
    <t>Date-based XNPV using the same actual unlevered cash-flow series.</t>
  </si>
  <si>
    <t>Initial-to-exit holding period</t>
  </si>
  <si>
    <t>years</t>
  </si>
  <si>
    <t>Simple elapsed period from initial funding date to the selected valuation date.</t>
  </si>
  <si>
    <t>Current waterfall</t>
  </si>
  <si>
    <t>Named investors are allocated pro rata to funded ordinary equity.</t>
  </si>
  <si>
    <t>Gross asset value</t>
  </si>
  <si>
    <t>Equity IRR (annualised)</t>
  </si>
  <si>
    <t>Periodic IRR annualised from actual monthly levered cash flows.</t>
  </si>
  <si>
    <t>Preferred return</t>
  </si>
  <si>
    <t>Not modelled — blank pending executed shareholder agreement.</t>
  </si>
  <si>
    <t>Less: debt</t>
  </si>
  <si>
    <t>Equity XIRR</t>
  </si>
  <si>
    <t>Promote / carry</t>
  </si>
  <si>
    <t>Less: shareholder loans</t>
  </si>
  <si>
    <t>Equity NPV</t>
  </si>
  <si>
    <t>VALUATION &amp; RETURN METHODOLOGY</t>
  </si>
  <si>
    <t>Special rights</t>
  </si>
  <si>
    <t>Not modelled — executed documents required.</t>
  </si>
  <si>
    <t>Less: other liabilities</t>
  </si>
  <si>
    <t>Equity XNPV</t>
  </si>
  <si>
    <t>Property value is primarily derived using the income approach: stabilised net operating income divided by a capitalisation rate. This is consistent with standard investment-method practice.</t>
  </si>
  <si>
    <t>Control status</t>
  </si>
  <si>
    <t>OWNER DECISION REQUIRED — no undocumented waterfall has been invented.</t>
  </si>
  <si>
    <t>Less: selling / realisation costs</t>
  </si>
  <si>
    <t>Equity MOIC</t>
  </si>
  <si>
    <t>The cost cross-check is not a market valuation. It is included to compare market value with the modelled development cost and to identify development profit or loss.</t>
  </si>
  <si>
    <t>Net asset value</t>
  </si>
  <si>
    <t>Cash-on-cash return</t>
  </si>
  <si>
    <t>Named investor returns are valuation outcomes rather than guaranteed cash payments. They assume ordinary shares with equal economics and a pro-rata allocation of net equity value.</t>
  </si>
  <si>
    <t>Equity value</t>
  </si>
  <si>
    <t>EV + cash − debt − shareholder loans − other liabilities − selling costs.</t>
  </si>
  <si>
    <t>Simple payback period</t>
  </si>
  <si>
    <t>months</t>
  </si>
  <si>
    <t>First month cumulative cash flow is non-negative.</t>
  </si>
  <si>
    <t>The investor register and the current model equity requirement do not presently reconcile. This control must be resolved before the return table is used as a final investor representation.</t>
  </si>
  <si>
    <t>Fully diluted equity value</t>
  </si>
  <si>
    <t>Discounted payback period</t>
  </si>
  <si>
    <t>Investor XIRRs and XNPVs use the dated named-investor contributions and scenario-specific exit values. Replace the provisional funding dates when the executed capital-call schedule is available.</t>
  </si>
  <si>
    <t>Value per current unit</t>
  </si>
  <si>
    <t>A$m / unit</t>
  </si>
  <si>
    <t>Peak equity</t>
  </si>
  <si>
    <t>Value per fully diluted unit</t>
  </si>
  <si>
    <t>Peak debt</t>
  </si>
  <si>
    <t>INVESTOR DATED RETURN ANALYTICS — PRO RATA ORDINARY EQUITY</t>
  </si>
  <si>
    <t>Loan-to-cost</t>
  </si>
  <si>
    <t>Total invested (A$m)</t>
  </si>
  <si>
    <t>Current ownership</t>
  </si>
  <si>
    <t>Fully diluted ownership</t>
  </si>
  <si>
    <t>Current attributable value (A$m)</t>
  </si>
  <si>
    <t>Downside exit (A$m)</t>
  </si>
  <si>
    <t>Base exit (A$m)</t>
  </si>
  <si>
    <t>Upside exit (A$m)</t>
  </si>
  <si>
    <t>Base gain / (loss) (A$m)</t>
  </si>
  <si>
    <t>Downside XIRR</t>
  </si>
  <si>
    <t>Upside XIRR</t>
  </si>
  <si>
    <t>Base XNPV (A$m)</t>
  </si>
  <si>
    <t>Payback (months)</t>
  </si>
  <si>
    <t>NPV / XNPV consistency</t>
  </si>
  <si>
    <t>Same cash flows; 5% tolerance for monthly-periodic versus actual-date discounting.</t>
  </si>
  <si>
    <t>INDIVIDUAL INVESTOR VALUATION | FUNDED ORDINARY EQUITY</t>
  </si>
  <si>
    <t>Total Investment</t>
  </si>
  <si>
    <t>Shareholder Loans</t>
  </si>
  <si>
    <t>Current Ownership</t>
  </si>
  <si>
    <t>Fully Diluted Ownership</t>
  </si>
  <si>
    <t>Distributions</t>
  </si>
  <si>
    <t>Current Attributable Value</t>
  </si>
  <si>
    <t>Exit Value</t>
  </si>
  <si>
    <t>Gain / (Loss)</t>
  </si>
  <si>
    <t>XIRR</t>
  </si>
  <si>
    <t>NPV</t>
  </si>
  <si>
    <t>MOIC</t>
  </si>
  <si>
    <t>Payback</t>
  </si>
  <si>
    <t>Model Source / Basis</t>
  </si>
  <si>
    <t>Underwriting rows 228, 239 and 244; selected case adjusts terminal value only.</t>
  </si>
  <si>
    <t>Underwriting rows 229, 240 and 245; selected case adjusts terminal value only.</t>
  </si>
  <si>
    <t>Current ownership sums to 100%; fully diluted ownership reflects the dilution input.</t>
  </si>
  <si>
    <t>Investment</t>
  </si>
  <si>
    <t>Current value</t>
  </si>
  <si>
    <t>Exit value</t>
  </si>
  <si>
    <t>Gain / (loss)</t>
  </si>
  <si>
    <t>DOWNSIDE / BASE / UPSIDE VALUATION &amp; RETURNS</t>
  </si>
  <si>
    <t>Case</t>
  </si>
  <si>
    <t>NOI Factor</t>
  </si>
  <si>
    <t>Terminal NOI</t>
  </si>
  <si>
    <t>Exit Yield</t>
  </si>
  <si>
    <t>Property Value</t>
  </si>
  <si>
    <t>Enterprise Value</t>
  </si>
  <si>
    <t>Equity Value</t>
  </si>
  <si>
    <t>Selected Investor XIRR</t>
  </si>
  <si>
    <t>Basis</t>
  </si>
  <si>
    <t>Detailed data-book NOI and scenario exit yield; selling costs and debt deducted once.</t>
  </si>
  <si>
    <t>VALUATION ENGINE | UNIQUE SUPPORTING OUTPUTS</t>
  </si>
  <si>
    <t>The detailed scenario and named-investor schedules above remain authoritative. The sections below add only the unique valuation bridge, company/project returns, sensitivities and engine controls from the consolidated valuation model.</t>
  </si>
  <si>
    <t>Scenario project and equity returns include scenario-specific cost, operating-ramp, value and funding effects. The downside also delays post-completion cash flows and exit by six months.</t>
  </si>
  <si>
    <t>EXIT VALUE TO CURRENT DCF BRIDGE | A$ MILLION</t>
  </si>
  <si>
    <t>COMPANY VALUATION | ENTERPRISE TO EQUITY</t>
  </si>
  <si>
    <t>Bridge line</t>
  </si>
  <si>
    <t>Unit</t>
  </si>
  <si>
    <t>Interpretation</t>
  </si>
  <si>
    <t>Metric</t>
  </si>
  <si>
    <t>SENSITIVITY | NOI VS EXIT YIELD (PROPERTY VALUE A$m)</t>
  </si>
  <si>
    <t>SENSITIVITY | DISCOUNT RATE VS EXIT YIELD (PROPERTY DCF A$m)</t>
  </si>
  <si>
    <t>Headline completed property value</t>
  </si>
  <si>
    <t>Selected terminal value at exit</t>
  </si>
  <si>
    <t>Property SOTP</t>
  </si>
  <si>
    <t>NOI / Exit Yield</t>
  </si>
  <si>
    <t>Discount / Exit Yield</t>
  </si>
  <si>
    <t>Applied once</t>
  </si>
  <si>
    <t>Zero-rent operating components only</t>
  </si>
  <si>
    <t>Less: time-value discount</t>
  </si>
  <si>
    <t>Exit to present value</t>
  </si>
  <si>
    <t>Property plus OpCo</t>
  </si>
  <si>
    <t>PV pre-terminal and other terminal cash flows</t>
  </si>
  <si>
    <t>Actual cash flows discounted on actual dates</t>
  </si>
  <si>
    <t>Debt at valuation</t>
  </si>
  <si>
    <t>Current DCF value</t>
  </si>
  <si>
    <t>Present-value cross-check</t>
  </si>
  <si>
    <t>Realisation costs</t>
  </si>
  <si>
    <t>Net asset / equity value</t>
  </si>
  <si>
    <t>EV less senior claims and costs</t>
  </si>
  <si>
    <t>Debt / cost</t>
  </si>
  <si>
    <t>Debt / value</t>
  </si>
  <si>
    <t>SENSITIVITY | DEVELOPMENT COST VS COMPLETED VALUE (MARGIN)</t>
  </si>
  <si>
    <t>SENSITIVITY | EBITDA VS VALUATION MULTIPLE (OPCO VALUE A$m)</t>
  </si>
  <si>
    <t>PROJECT &amp; EQUITY RETURNS | ACTUAL MONTHLY CASH FLOWS</t>
  </si>
  <si>
    <t>SELECTED SENSITIVITY ANCHORS</t>
  </si>
  <si>
    <t>TDC / Value Factor</t>
  </si>
  <si>
    <t>EBITDA / Multiple</t>
  </si>
  <si>
    <t>Return metric</t>
  </si>
  <si>
    <t>Output</t>
  </si>
  <si>
    <t>Sensitivity</t>
  </si>
  <si>
    <t>Base / Mid</t>
  </si>
  <si>
    <t>Monthly unlevered cash flows</t>
  </si>
  <si>
    <t>Property value: NOI 80% / 100% / 120% at 6.8% yield</t>
  </si>
  <si>
    <t>Actual-date cash flows</t>
  </si>
  <si>
    <t>Investor IRR: exit value 80% / 100% / 120%</t>
  </si>
  <si>
    <t>Actual-date discounted value</t>
  </si>
  <si>
    <t>Monthly levered cash flows</t>
  </si>
  <si>
    <t>Full sensitivity matrices remain retained in the hidden valuation engine support columns CQ:GC.</t>
  </si>
  <si>
    <t>Operating-business sensitivity is intentionally blank until an independent valuer approves both the margin and multiple.</t>
  </si>
  <si>
    <t>Total inflows / outflows</t>
  </si>
  <si>
    <t>Cash yield</t>
  </si>
  <si>
    <t>SENSITIVITY | EXIT VALUE VS SELECTED INVESTOR IRR</t>
  </si>
  <si>
    <t>Simple payback</t>
  </si>
  <si>
    <t>First non-negative cumulative month</t>
  </si>
  <si>
    <t>Exit Value Factor</t>
  </si>
  <si>
    <t>Exit Value (A$m)</t>
  </si>
  <si>
    <t>Investor IRR</t>
  </si>
  <si>
    <t>Selected investor from B17; genuine contribution/distribution timing with terminal value adjusted.</t>
  </si>
  <si>
    <t>VALUATION ENGINE CONTROLS</t>
  </si>
  <si>
    <t>Control</t>
  </si>
  <si>
    <t>Result</t>
  </si>
  <si>
    <t>Component values sum to property value</t>
  </si>
  <si>
    <t>Engine retention check</t>
  </si>
  <si>
    <t>2,468 populated cells / 2,116 formulas</t>
  </si>
  <si>
    <t>Enterprise value reconciles to equity value</t>
  </si>
  <si>
    <t>Engine contains no Excel errors</t>
  </si>
  <si>
    <t>Full hidden engine</t>
  </si>
  <si>
    <t>Investor ownership sums to 100%</t>
  </si>
  <si>
    <t>Visible merged report contains no Excel errors</t>
  </si>
  <si>
    <t>Rows 2:118</t>
  </si>
  <si>
    <t>Investor values sum to total equity value</t>
  </si>
  <si>
    <t>VALUATION CONTROL CHECKS</t>
  </si>
  <si>
    <t>Debt and cash reconcile to model</t>
  </si>
  <si>
    <t>Check</t>
  </si>
  <si>
    <t>Evidence / Exception</t>
  </si>
  <si>
    <t>Terminal value included only once</t>
  </si>
  <si>
    <t>Component values sum to total property value</t>
  </si>
  <si>
    <t>SUM(G26:G37) compared with the selected property value.</t>
  </si>
  <si>
    <t>No asset double counted</t>
  </si>
  <si>
    <t>No circular references introduced</t>
  </si>
  <si>
    <t>Funded ordinary-equity ownership in FUNDING &amp; CAP TABLE.</t>
  </si>
  <si>
    <t>No external links added</t>
  </si>
  <si>
    <t>Named-investor values reconcile to the selected scenario equity value.</t>
  </si>
  <si>
    <t>No formula errors in valuation engine</t>
  </si>
  <si>
    <t>Debt and cash reconcile to the model</t>
  </si>
  <si>
    <t>Debt: Underwriting!I75. Cash: Financial Statements!K33.</t>
  </si>
  <si>
    <t>Selected investor exists in live register</t>
  </si>
  <si>
    <t>Terminal value is included only once</t>
  </si>
  <si>
    <t>Base scenario project cash flows reconcile to the model's unlevered cash flows.</t>
  </si>
  <si>
    <t>Selected scenario flows to investor value</t>
  </si>
  <si>
    <t>No asset is double counted</t>
  </si>
  <si>
    <t>OpCo value is applied only where allocated property NOI is zero.</t>
  </si>
  <si>
    <t>Selected investor cash-flow signs valid</t>
  </si>
  <si>
    <t>No circular references were introduced</t>
  </si>
  <si>
    <t>Static dependency scan of 63,392 formulas found no formula cycles; key valuation ranges remain formula-error controlled and iteration remains disabled.</t>
  </si>
  <si>
    <t>No external links were added</t>
  </si>
  <si>
    <t>OK</t>
  </si>
  <si>
    <t>Release-package QA: no externalLink parts were introduced.</t>
  </si>
  <si>
    <t>Property SOTP equals selected capitalised property value</t>
  </si>
  <si>
    <t>All rent-bearing components use allocated NOI divided by the selected cap rate.</t>
  </si>
  <si>
    <t>Unsupported OpCo value excluded</t>
  </si>
  <si>
    <t>OpCo value remains zero until both margin and multiple are approved.</t>
  </si>
  <si>
    <t>Development cost is a cross-check only</t>
  </si>
  <si>
    <t>Project cost is not treated as market value or investor exit value.</t>
  </si>
  <si>
    <t>Named-investor values reconcile to selected equity value</t>
  </si>
  <si>
    <t>Investor allocations use funded ordinary-equity ownership.</t>
  </si>
  <si>
    <t>Selected investor report ties to valuation engine</t>
  </si>
  <si>
    <t>Selected investor value and MOIC must agree with the selected scenario.</t>
  </si>
  <si>
    <t>No double counting between property and operating businesses</t>
  </si>
  <si>
    <t>Each component is valued under one method only.</t>
  </si>
  <si>
    <t>Operating businesses: linked revenue is shown only for components with zero property rent. No OpCo value is included while the approved margin or multiple is blank.</t>
  </si>
  <si>
    <t>Project and equity returns: genuine monthly cash flows and dates are sourced from Underwriting!L211:BC212 and L195:BC195. IRR is annualised; XIRR/XNPV use actual dates.</t>
  </si>
  <si>
    <t>Investor returns: genuine GP/LP contributions and distributions are sourced from Underwriting rows 228:245. Scenario analysis changes terminal value, not historical contributions.</t>
  </si>
  <si>
    <t>The provisional investor register above is preserved for traceability but is not used by the live engine because it does not reconcile to the model equity requirement. No external market data was added.</t>
  </si>
  <si>
    <t>BUILD &amp; HOLD | INDEPENDENT POST-STABILISATION STRATEGY</t>
  </si>
  <si>
    <t>Assumption</t>
  </si>
  <si>
    <t>Selected</t>
  </si>
  <si>
    <t>Unit / source</t>
  </si>
  <si>
    <t>Hold period</t>
  </si>
  <si>
    <t>Starting NOI</t>
  </si>
  <si>
    <t>A$m; selected scenario</t>
  </si>
  <si>
    <t>Annual NOI growth</t>
  </si>
  <si>
    <t>% p.a.; selected scenario</t>
  </si>
  <si>
    <t>Lifecycle capex reserve</t>
  </si>
  <si>
    <t>% of NOI</t>
  </si>
  <si>
    <t>Selling costs</t>
  </si>
  <si>
    <t>Gross term debt</t>
  </si>
  <si>
    <t>A$m; debt-capacity sized</t>
  </si>
  <si>
    <t>Equity requirement</t>
  </si>
  <si>
    <t>A$m; scenario sources and uses</t>
  </si>
  <si>
    <t>Term debt rate</t>
  </si>
  <si>
    <t>Year</t>
  </si>
  <si>
    <t>Date</t>
  </si>
  <si>
    <t>Lifecycle capex</t>
  </si>
  <si>
    <t>Cash tax</t>
  </si>
  <si>
    <t>Unlevered cash flow</t>
  </si>
  <si>
    <t>Opening term debt</t>
  </si>
  <si>
    <t>Cash interest</t>
  </si>
  <si>
    <t>Scheduled principal / bullet</t>
  </si>
  <si>
    <t>Closing term debt</t>
  </si>
  <si>
    <t>Equity cash flow</t>
  </si>
  <si>
    <t>Equity XIRR / MOIC</t>
  </si>
  <si>
    <t>Build &amp; Hold cash flows are independent of Build &amp; Sell</t>
  </si>
  <si>
    <t>Separate ten-year NOI, capex, tax, terminal value and debt-amortisation series.</t>
  </si>
  <si>
    <t>Build &amp; Hold debt repays by exit</t>
  </si>
  <si>
    <t>Closing term debt in the terminal year must be zero.</t>
  </si>
  <si>
    <t>THE BEND | INVESTMENT SUMMARY</t>
  </si>
  <si>
    <t>SELECT INVESTOR</t>
  </si>
  <si>
    <t>SELECT SCENARIO</t>
  </si>
  <si>
    <t>VALUATION DATE</t>
  </si>
  <si>
    <t>LEGAL HOLDER</t>
  </si>
  <si>
    <t>MODEL STATUS</t>
  </si>
  <si>
    <t>SECURITY / RIGHTS</t>
  </si>
  <si>
    <t>1. SELECTED INVESTOR — INVESTMENT AND RETURN SUMMARY</t>
  </si>
  <si>
    <t>TOTAL INVESTED</t>
  </si>
  <si>
    <t>OWNERSHIP</t>
  </si>
  <si>
    <t>SCENARIO VALUATION RANGE</t>
  </si>
  <si>
    <t>SELECTED SCENARIO VALUE</t>
  </si>
  <si>
    <t>RETURN</t>
  </si>
  <si>
    <t>Initial → fully diluted</t>
  </si>
  <si>
    <t>Alternative valuation methods</t>
  </si>
  <si>
    <t>Detailed return decomposition, capital deployment, project economics, debt, operating support, revenue mix, valuation readiness and investor protections are included below in this consolidated report.</t>
  </si>
  <si>
    <t>VALUATION METHOD — SELECTED INVESTOR RETURN RANGE</t>
  </si>
  <si>
    <t>Valuation approach</t>
  </si>
  <si>
    <t>Gross project value</t>
  </si>
  <si>
    <t>Investor total value</t>
  </si>
  <si>
    <t>Gain</t>
  </si>
  <si>
    <t>Base income-capitalisation case</t>
  </si>
  <si>
    <t>Modelled</t>
  </si>
  <si>
    <t>Downside income-capitalisation case</t>
  </si>
  <si>
    <t>Upside income-capitalisation case</t>
  </si>
  <si>
    <t>Cost cross-check (not market value)</t>
  </si>
  <si>
    <t>Reference only</t>
  </si>
  <si>
    <t>Not a return</t>
  </si>
  <si>
    <t>Property DCF cross-check</t>
  </si>
  <si>
    <t>Cross-check</t>
  </si>
  <si>
    <t>SELECTED INVESTOR VALUE BY PROJECT STAGE</t>
  </si>
  <si>
    <t>Stage</t>
  </si>
  <si>
    <t>Gross value</t>
  </si>
  <si>
    <t>Debt</t>
  </si>
  <si>
    <t>Net equity</t>
  </si>
  <si>
    <t>Investor value</t>
  </si>
  <si>
    <t>Current / as-is</t>
  </si>
  <si>
    <t>Analysis start / pre-DA</t>
  </si>
  <si>
    <t>Practical completion</t>
  </si>
  <si>
    <t>Stabilised operations</t>
  </si>
  <si>
    <t>Selected scenario valuation date</t>
  </si>
  <si>
    <t>Debt final repayment</t>
  </si>
  <si>
    <t>*Net equity equals gross project value less debt and other senior liabilities plus modelled surplus cash. Investor value includes cumulative distributions, if any.</t>
  </si>
  <si>
    <t>LAND VALUE, CAPITAL STRUCTURE AND STRATEGIC UPSIDE</t>
  </si>
  <si>
    <t>LAND VALUE AT KEY JUNCTURES AND NEAREST MODELLED INVESTOR VALUE</t>
  </si>
  <si>
    <t>Juncture</t>
  </si>
  <si>
    <t>Indicative date</t>
  </si>
  <si>
    <t>Land-only estimate</t>
  </si>
  <si>
    <t>A$/sqm</t>
  </si>
  <si>
    <t>Remediation initiation</t>
  </si>
  <si>
    <t>Model land cost only; not a market-value conclusion.</t>
  </si>
  <si>
    <t>SSD planning approval</t>
  </si>
  <si>
    <t>Clean audit &amp; settlement</t>
  </si>
  <si>
    <t>Precinct completion</t>
  </si>
  <si>
    <t>Mature operations</t>
  </si>
  <si>
    <t>Long-term land view</t>
  </si>
  <si>
    <t>Land values above are limited to the live modelled land cost. No planning, remediation or market uplift is booked without independent valuation evidence.</t>
  </si>
  <si>
    <t>Institutional investment</t>
  </si>
  <si>
    <t>Total shares</t>
  </si>
  <si>
    <t>Selected ownership</t>
  </si>
  <si>
    <t>Selected value</t>
  </si>
  <si>
    <t>Funding condition</t>
  </si>
  <si>
    <t>A$0m</t>
  </si>
  <si>
    <t>Replacement funding required</t>
  </si>
  <si>
    <t>A$50m</t>
  </si>
  <si>
    <t>A$100m</t>
  </si>
  <si>
    <t>Base — A$136m</t>
  </si>
  <si>
    <t>Current model assumption</t>
  </si>
  <si>
    <t>A$150m</t>
  </si>
  <si>
    <t>Incremental dilution</t>
  </si>
  <si>
    <t>A$200m</t>
  </si>
  <si>
    <t>IPO AND MULTI-SITE UPSIDE. Management anticipates that a successful Bend launch could support further Australian and international sites, with The Bend operating as the flagship precinct. A future group roll-up or IPO could create value beyond the Bend-only return shown above through platform scale, brand licensing, development fees and ownership of multiple sites. This upside is not included in the current selected BAU value and would accrue to the selected investor only if the final investment documents provide an economic interest in the relevant holding company, future-site vehicles or an agreed rollover / conversion into the IPO entity.</t>
  </si>
  <si>
    <t>IMPORTANT INFORMATION AND DISCLAIMER</t>
  </si>
  <si>
    <t>Preliminary and confidential | The Bend, Fishermans Bend, Victoria | Model as at 20 Jul 2026
High-level initial analysis only — no promise of returns. This page forms part of the dashboard and should be read with every valuation, ownership and returns figure above.</t>
  </si>
  <si>
    <t>1. STATUS AND PURPOSE</t>
  </si>
  <si>
    <t>4. AUSTRALIAN REGULATORY STATUS AND NO ADVICE</t>
  </si>
  <si>
    <t>This dashboard is not a prospectus, product disclosure statement or other disclosure document for the purposes of the Corporations Act 2001 (Cth), has not been lodged with the Australian Securities and Investments Commission (ASIC), and must not be used to make an offer where regulated disclosure is required. Any actual offer must be made separately, in accordance with applicable Australian law and only to a person lawfully eligible to receive it.
Nothing in this dashboard constitutes financial product advice, personal advice, legal advice, tax advice or a recommendation to acquire, hold or dispose of any security or financial product.</t>
  </si>
  <si>
    <t>2. PRELIMINARY MODEL, VALUATION AND RETURNS</t>
  </si>
  <si>
    <t>5. FORWARD-LOOKING STATEMENTS AND STRATEGIC UPSIDE</t>
  </si>
  <si>
    <t>All land values, project values, ownership outcomes, MOICs and annualised returns are illustrative model outputs—not promises, forecasts or guaranteed outcomes. The analysis has not been independently audited or valued. It relies on preliminary assumptions concerning the site acquisition cost, planning and environmental outcomes, development cost, financing, dilution, tenant terms, operating performance, retained cash and exit valuation.
Land-only estimates are management estimates and are not treated as NewCo value unless the legal and economic interest in the land is established and supported by an independent valuation. Alternative methods are cross-checks at a common assumed date and must not be added together.</t>
  </si>
  <si>
    <t>Statements about planning approval, construction, operations, land appreciation, income, refinancing, valuation, additional sites, a group roll-up or an IPO are forward-looking and depend on assumptions and events outside the control of the project parties. Actual timing, costs, ownership and returns may differ materially. No representation is made that an IPO, liquidity event, additional site or management valuation target will occur.
The selected BAU value is a Bend-only model output. IPO and multi-site potential is unquantified and would benefit the selected investor only if final documents provide an enforceable economic interest in the relevant holding company, future-site vehicles or an agreed rollover or conversion into an IPO entity.</t>
  </si>
  <si>
    <t>3. PROJECT-SPECIFIC UNCERTAINTIES</t>
  </si>
  <si>
    <t>6. INDEPENDENT REVIEW, RELIANCE AND CONFIDENTIALITY</t>
  </si>
  <si>
    <t>Material uncertainties include site control and acquisition; lease, deposit and bank-guarantee terms; SSD/DA pathway and permitted uses; contamination, asbestos, remediation and clean-audit outcomes; Fishermans Bend infrastructure contributions; design development; construction cost, programme and completion risk; grant availability; debt capacity, interest rates, covenants and refinancing; tenant commitments, incentives, occupancy and revenue; operating costs, maintenance capex and working capital; valuation yields; future equity pricing and dilution; liquidity; and changes in law, tax or market conditions.
An investment in an unlisted development company is illiquid and involves risk, including delay, dilution, loss of income and loss of some or all invested capital.</t>
  </si>
  <si>
    <t>The selected investor should undertake independent commercial, legal, financial, tax, accounting, property, planning, environmental and technical due diligence and obtain independent professional advice before making any decision. Particular attention should be given to the cap table, future issue pricing, pre-emptive and anti-dilution rights, information rights, reserved matters, funding obligations, security, distributions, transfer rights, exit rights and treatment on any group reorganisation or IPO.
No representation or warranty, express or implied, is made as to the accuracy, completeness or reasonableness of this dashboard or its assumptions. To the maximum extent permitted by law, the project parties and their representatives accept no liability arising from reliance on it; nothing excludes liability that cannot lawfully be excluded. The dashboard is confidential, intended only for its selected recipient, may not be reproduced or distributed without consent, and may be amended or withdrawn without notice.</t>
  </si>
  <si>
    <t>KEY POINT: the figures in this dashboard illustrate possible outcomes under preliminary assumptions. They are not promised returns and should not be relied upon as the basis for an investment decision.</t>
  </si>
  <si>
    <t>DETAILED INVESTOR ANALYTICS | UNIQUE SUPPORTING INFORMATION</t>
  </si>
  <si>
    <t>RETURN VALUE COMPOSITION</t>
  </si>
  <si>
    <t>Return component</t>
  </si>
  <si>
    <t>% value</t>
  </si>
  <si>
    <t>Invested capital</t>
  </si>
  <si>
    <t>Property equity at selected valuation â€” ex retained cash</t>
  </si>
  <si>
    <t>Retained cash at selected valuation</t>
  </si>
  <si>
    <t>Cash distributions through selected valuation</t>
  </si>
  <si>
    <t>Selected scenario total value</t>
  </si>
  <si>
    <t>Gross gain</t>
  </si>
  <si>
    <t>CAPITAL DEPLOYMENT AND DILUTION</t>
  </si>
  <si>
    <t>Funding round</t>
  </si>
  <si>
    <t>Investor cash</t>
  </si>
  <si>
    <t>Issue price</t>
  </si>
  <si>
    <t>Shares</t>
  </si>
  <si>
    <t>% capital</t>
  </si>
  <si>
    <t>Initial NewCo close</t>
  </si>
  <si>
    <t>Pre-construction equity</t>
  </si>
  <si>
    <t>Future development equity</t>
  </si>
  <si>
    <t>PROJECT ECONOMICS, DEBT AND OPERATING SUPPORT</t>
  </si>
  <si>
    <t>PROJECT VALUE CREATION</t>
  </si>
  <si>
    <t>SELECTED SCENARIO GROSS VALUE</t>
  </si>
  <si>
    <t>GROSS VALUE UPLIFT</t>
  </si>
  <si>
    <t>VALUE / COST</t>
  </si>
  <si>
    <t>BAU LTV</t>
  </si>
  <si>
    <t>Total cash uses incl. financing</t>
  </si>
  <si>
    <t>Selected valuation method</t>
  </si>
  <si>
    <t>Gross value / total cost</t>
  </si>
  <si>
    <t>Gross project value multiple</t>
  </si>
  <si>
    <t>Debt / gross project value</t>
  </si>
  <si>
    <t>DEBT QUALITY AND DELEVERAGING</t>
  </si>
  <si>
    <t>Credit metric</t>
  </si>
  <si>
    <t>Peak construction debt</t>
  </si>
  <si>
    <t>Maximum total interest-bearing debt</t>
  </si>
  <si>
    <t>Debt outstanding at the selected valuation date</t>
  </si>
  <si>
    <t>Debt paydown to valuation date</t>
  </si>
  <si>
    <t>Peak debt less valuation-date debt</t>
  </si>
  <si>
    <t>Minimum DSCR</t>
  </si>
  <si>
    <t>Minimum active forward 12-month DSCR</t>
  </si>
  <si>
    <t>Average DSCR</t>
  </si>
  <si>
    <t>Average active forward 12-month DSCR</t>
  </si>
  <si>
    <t>Annual debt service</t>
  </si>
  <si>
    <t>Peak forward 12-month scheduled debt service</t>
  </si>
  <si>
    <t>Debt fully repaid</t>
  </si>
  <si>
    <t>Term debt fully repaid by the end of the model horizon</t>
  </si>
  <si>
    <t>OPERATING TRAJECTORY SUPPORTING THE VALUATION</t>
  </si>
  <si>
    <t>Year 1</t>
  </si>
  <si>
    <t>Year 5</t>
  </si>
  <si>
    <t>Sale year</t>
  </si>
  <si>
    <t>Growth / change</t>
  </si>
  <si>
    <t>Gross revenue incl. recoveries</t>
  </si>
  <si>
    <t>Core revenue excl. recoveries</t>
  </si>
  <si>
    <t>EBITDA / NOI proxy</t>
  </si>
  <si>
    <t>CFADS</t>
  </si>
  <si>
    <t>Scheduled debt service</t>
  </si>
  <si>
    <t>DSCR</t>
  </si>
  <si>
    <t>Cash to equity before distributions</t>
  </si>
  <si>
    <t>Closing debt</t>
  </si>
  <si>
    <t>Closing retained cash</t>
  </si>
  <si>
    <t>REASONABLENESS ANCHORS</t>
  </si>
  <si>
    <t>Stabilised gross revenue per sqm</t>
  </si>
  <si>
    <t>Stabilised NOI per sqm</t>
  </si>
  <si>
    <t>SELECTED OPERATING REVENUE MIX</t>
  </si>
  <si>
    <t>MODELLED PROPERTY RENT MIX</t>
  </si>
  <si>
    <t>Operating-business revenue is excluded from valuation until approved margin and multiple assumptions are supplied.</t>
  </si>
  <si>
    <t>REVENUE MIX, VALUATION ASSUMPTIONS AND FUNDING CONTEXT</t>
  </si>
  <si>
    <t>8. SELECTED OPERATING REVENUE MIX</t>
  </si>
  <si>
    <t>Revenue category</t>
  </si>
  <si>
    <t>% total</t>
  </si>
  <si>
    <t>PBSA / student accommodation</t>
  </si>
  <si>
    <t>Genesis</t>
  </si>
  <si>
    <t>Parking</t>
  </si>
  <si>
    <t>Other commercial and leisure</t>
  </si>
  <si>
    <t>VALUATION ASSUMPTIONS AND MODEL READINESS</t>
  </si>
  <si>
    <t>9. VALUATION ASSUMPTIONS AND MODEL READINESS</t>
  </si>
  <si>
    <t>Valuation / model item</t>
  </si>
  <si>
    <t>Selected assumption</t>
  </si>
  <si>
    <t>Status / interpretation</t>
  </si>
  <si>
    <t>Selected-case capitalisation rate</t>
  </si>
  <si>
    <t>Scenario-linked source input</t>
  </si>
  <si>
    <t>OpCo EBITDA / NOI multiple</t>
  </si>
  <si>
    <t>DCF discount rate</t>
  </si>
  <si>
    <t>Source data-book / provisional valuation input; independent valuation required</t>
  </si>
  <si>
    <t>Residual-land-value cross-check only; not the selected market-value method</t>
  </si>
  <si>
    <t>Maintenance capex schedule</t>
  </si>
  <si>
    <t>Formula-linked lifecycle / maintenance CAPEX schedule</t>
  </si>
  <si>
    <t>Working-capital schedule</t>
  </si>
  <si>
    <t>Formula-linked operating working-capital schedule</t>
  </si>
  <si>
    <t>FUNDING AND INVESTOR PROTECTION CONTEXT</t>
  </si>
  <si>
    <t>10. FUNDING AND INVESTOR PROTECTION CONTEXT</t>
  </si>
  <si>
    <t>INVESTOR DOCUMENTATION PRIORITIES
• Final issue price and fully diluted cap table
• Pre-emptive and anti-dilution rights
• Information and consent rights
• Funding obligations and default consequences
• Distribution and retained-cash policy
• Exit, transfer and tag/drag rights
• Treatment in any future-site roll-up or IPO</t>
  </si>
  <si>
    <t>DEBT | CONSTRUCTION, WORKING CAPITAL, TERM REFINANCING &amp; CASH WATERFALL</t>
  </si>
  <si>
    <t>CONSTRUCTION FACILITY | ASSUMPTIONS &amp; EXISTING MODEL LINKS</t>
  </si>
  <si>
    <t>KEY DEBT METRICS | SELECTED SCENARIO</t>
  </si>
  <si>
    <t>Selected scenario</t>
  </si>
  <si>
    <t>Linked: VALUATION &amp; RETURNS selected scenario</t>
  </si>
  <si>
    <t>Total debt commitments</t>
  </si>
  <si>
    <t>$</t>
  </si>
  <si>
    <t>Funding selection</t>
  </si>
  <si>
    <t>Editable: Equity First / Pro Rata / Debt Last</t>
  </si>
  <si>
    <t>Minimum equity contribution</t>
  </si>
  <si>
    <t>Linked: existing equity funding</t>
  </si>
  <si>
    <t>Peak working-capital debt</t>
  </si>
  <si>
    <t>Maximum facility commitment</t>
  </si>
  <si>
    <t>Linked: existing construction debt less operating-shortfall reserve</t>
  </si>
  <si>
    <t>Term debt at conversion</t>
  </si>
  <si>
    <t>Loan-to-cost limit</t>
  </si>
  <si>
    <t>Linked: existing LTC target</t>
  </si>
  <si>
    <t>Total capitalised interest</t>
  </si>
  <si>
    <t>Loan-to-value limit</t>
  </si>
  <si>
    <t>Illustrative; lender confirmation required</t>
  </si>
  <si>
    <t>Total cash interest</t>
  </si>
  <si>
    <t>Construction base rate</t>
  </si>
  <si>
    <t>Provisional BBSW proxy; executed benchmark, reset and floor required</t>
  </si>
  <si>
    <t>Total financing fees</t>
  </si>
  <si>
    <t>Construction margin</t>
  </si>
  <si>
    <t>Residual margin preserves the current 6.50% all-in model rate</t>
  </si>
  <si>
    <t>Weighted-average interest rate</t>
  </si>
  <si>
    <t>Commitment fee</t>
  </si>
  <si>
    <t>Establishment fee</t>
  </si>
  <si>
    <t>Linked: existing financing fee</t>
  </si>
  <si>
    <t>Line fee</t>
  </si>
  <si>
    <t>Debt yield</t>
  </si>
  <si>
    <t>Interest calculation basis</t>
  </si>
  <si>
    <t>Linked: central day-count convention</t>
  </si>
  <si>
    <t>Practical completion date</t>
  </si>
  <si>
    <t>Linked: construction end month</t>
  </si>
  <si>
    <t>Facility maturity</t>
  </si>
  <si>
    <t>Illustrative: three months after calculated term-debt conversion; replace with executed facility maturity.</t>
  </si>
  <si>
    <t>Minimum interest-cover ratio</t>
  </si>
  <si>
    <t>Longstop date</t>
  </si>
  <si>
    <t>Illustrative: later of six months after practical completion and the calculated conversion date.</t>
  </si>
  <si>
    <t>Debt-service reserve requirement</t>
  </si>
  <si>
    <t>Covenant drawstop enabled</t>
  </si>
  <si>
    <t>Editable: Yes / No</t>
  </si>
  <si>
    <t>Final repayment date</t>
  </si>
  <si>
    <t>Term-debt maturity</t>
  </si>
  <si>
    <t>WORKING-CAPITAL FACILITY | ASSUMPTIONS</t>
  </si>
  <si>
    <t>Balloon amount</t>
  </si>
  <si>
    <t>Working-capital facility limit</t>
  </si>
  <si>
    <t>Linked: existing operating-shortfall reserve</t>
  </si>
  <si>
    <t>Refinance requirement</t>
  </si>
  <si>
    <t>Working-capital base rate</t>
  </si>
  <si>
    <t>Refinance shortfall</t>
  </si>
  <si>
    <t>Working-capital margin</t>
  </si>
  <si>
    <t>Equity funding requirement</t>
  </si>
  <si>
    <t>Minimum cash balance</t>
  </si>
  <si>
    <t>Illustrative; confirm</t>
  </si>
  <si>
    <t>Minimum undrawn facility headroom</t>
  </si>
  <si>
    <t>Unused-line fee</t>
  </si>
  <si>
    <t>Working-capital maturity</t>
  </si>
  <si>
    <t>Illustrative: 12 months after stabilisation</t>
  </si>
  <si>
    <t>SCENARIOS | INPUT IMPACTS (ILLUSTRATIVE; CONFIRM)</t>
  </si>
  <si>
    <t>Eligible use</t>
  </si>
  <si>
    <t>Operating / pre-opening liquidity only</t>
  </si>
  <si>
    <t>Construction expenditure excluded</t>
  </si>
  <si>
    <t>Cost overrun</t>
  </si>
  <si>
    <t>Delay (mths)</t>
  </si>
  <si>
    <t>Rate shock</t>
  </si>
  <si>
    <t>Op. ramp</t>
  </si>
  <si>
    <t>Value</t>
  </si>
  <si>
    <t>Refi proceeds</t>
  </si>
  <si>
    <t>LTC / LTV adj.</t>
  </si>
  <si>
    <t>TERM DEBT | CONVERSION, REPAYMENT &amp; COVENANTS</t>
  </si>
  <si>
    <t>Conversion trigger</t>
  </si>
  <si>
    <t>Editable: Practical Completion / Stabilisation / Manual Date</t>
  </si>
  <si>
    <t>Manual conversion date</t>
  </si>
  <si>
    <t>Used only when Manual Date is selected</t>
  </si>
  <si>
    <t>Calculated conversion date</t>
  </si>
  <si>
    <t>Includes selected scenario delay</t>
  </si>
  <si>
    <t>SCENARIO DEBT OUTCOMES | INDICATIVE SIZING</t>
  </si>
  <si>
    <t>Working-capital debt may refinance</t>
  </si>
  <si>
    <t>Capitalised interest</t>
  </si>
  <si>
    <t>Term debt</t>
  </si>
  <si>
    <t>Repayment date</t>
  </si>
  <si>
    <t>Refi shortfall</t>
  </si>
  <si>
    <t>Term-debt facility limit</t>
  </si>
  <si>
    <t>Linked: existing potential permanent debt</t>
  </si>
  <si>
    <t>Term-debt LTV limit</t>
  </si>
  <si>
    <t>Term-debt base rate</t>
  </si>
  <si>
    <t>Term-debt margin</t>
  </si>
  <si>
    <t>Term</t>
  </si>
  <si>
    <t>Illustrative years; confirm</t>
  </si>
  <si>
    <t>Amortisation period</t>
  </si>
  <si>
    <t>Linked: existing permanent-debt assumption</t>
  </si>
  <si>
    <t>Interest-only period</t>
  </si>
  <si>
    <t>Illustrative months; confirm</t>
  </si>
  <si>
    <t>Repayment profile</t>
  </si>
  <si>
    <t>Editable; sculpting uses model CFADS</t>
  </si>
  <si>
    <t>Bullet percentage</t>
  </si>
  <si>
    <t>Illustrative; applies to partial-amortisation profile</t>
  </si>
  <si>
    <t>Cash-sweep percentage</t>
  </si>
  <si>
    <t>Refinancing fee</t>
  </si>
  <si>
    <t>Linked: existing permanent-debt fee</t>
  </si>
  <si>
    <t>Minimum DSCR covenant</t>
  </si>
  <si>
    <t>Minimum debt yield</t>
  </si>
  <si>
    <t>Debt-service reserve</t>
  </si>
  <si>
    <t>Calculated from conversion date and term</t>
  </si>
  <si>
    <t>Tax / working-capital source gap</t>
  </si>
  <si>
    <t>Tax / GST / working-capital assumptions</t>
  </si>
  <si>
    <t>Provisional schedules are formula-linked below; tax adviser, lender and management confirmation remains required</t>
  </si>
  <si>
    <t>MONTHLY DEBT SCHEDULE | SELECTED CASE</t>
  </si>
  <si>
    <t>Facility / cash-waterfall line</t>
  </si>
  <si>
    <t>Units</t>
  </si>
  <si>
    <t>Source / calculation convention</t>
  </si>
  <si>
    <t>TIMELINE &amp; TRIGGERS</t>
  </si>
  <si>
    <t>Period</t>
  </si>
  <si>
    <t>Underwriting monthly timeline</t>
  </si>
  <si>
    <t>Underwriting row 24</t>
  </si>
  <si>
    <t>Days in period</t>
  </si>
  <si>
    <t>days</t>
  </si>
  <si>
    <t>Actual days / selected basis</t>
  </si>
  <si>
    <t>Phase</t>
  </si>
  <si>
    <t>Construction / stabilisation / operations</t>
  </si>
  <si>
    <t>Practical-completion flag</t>
  </si>
  <si>
    <t>0 / 1</t>
  </si>
  <si>
    <t>Scenario-adjusted</t>
  </si>
  <si>
    <t>Stabilisation flag</t>
  </si>
  <si>
    <t>Term-debt conversion flag</t>
  </si>
  <si>
    <t>Selected trigger</t>
  </si>
  <si>
    <t>Sale / mandatory-repayment flag</t>
  </si>
  <si>
    <t>Underwriting reversion month</t>
  </si>
  <si>
    <t>CONSTRUCTION FACILITY</t>
  </si>
  <si>
    <t>Opening commitment</t>
  </si>
  <si>
    <t>Facility limit roll-forward</t>
  </si>
  <si>
    <t>Opening drawn balance</t>
  </si>
  <si>
    <t>Prior closing balance</t>
  </si>
  <si>
    <t>Eligible development expenditure</t>
  </si>
  <si>
    <t>Underwriting row 196</t>
  </si>
  <si>
    <t>Scenario cost overrun / (saving)</t>
  </si>
  <si>
    <t>Selected scenario factor</t>
  </si>
  <si>
    <t>Total eligible expenditure</t>
  </si>
  <si>
    <t>Development spend + overrun + establishment fee</t>
  </si>
  <si>
    <t>Equity-funded expenditure</t>
  </si>
  <si>
    <t>Residual eligible expenditure</t>
  </si>
  <si>
    <t>Construction debt request</t>
  </si>
  <si>
    <t>Funding method</t>
  </si>
  <si>
    <t>Permitted draw</t>
  </si>
  <si>
    <t>Commitment, LTC, LTV, maturity and drawstop</t>
  </si>
  <si>
    <t>Construction drawdown</t>
  </si>
  <si>
    <t>Permitted lender advance</t>
  </si>
  <si>
    <t>Average-balance, non-circular</t>
  </si>
  <si>
    <t>Accrued construction interest</t>
  </si>
  <si>
    <t>Average-balance interest</t>
  </si>
  <si>
    <t>Construction cash interest</t>
  </si>
  <si>
    <t>Accrued less capitalised</t>
  </si>
  <si>
    <t>Undrawn commitment</t>
  </si>
  <si>
    <t>Opening commitment less debt and draw</t>
  </si>
  <si>
    <t>Average undrawn commitment</t>
  </si>
  <si>
    <t>Linked existing financing fee</t>
  </si>
  <si>
    <t>Closing drawn balance</t>
  </si>
  <si>
    <t>Scheduled principal repayment</t>
  </si>
  <si>
    <t>Interest-only construction period</t>
  </si>
  <si>
    <t>Refinancing repayment</t>
  </si>
  <si>
    <t>Term-debt proceeds</t>
  </si>
  <si>
    <t>Mandatory repayment</t>
  </si>
  <si>
    <t>Sale / maturity</t>
  </si>
  <si>
    <t>Debt roll-forward</t>
  </si>
  <si>
    <t>Closing commitment</t>
  </si>
  <si>
    <t>Zero after conversion / maturity</t>
  </si>
  <si>
    <t>Available headroom</t>
  </si>
  <si>
    <t>Commitment less drawn balance</t>
  </si>
  <si>
    <t>Construction LTC</t>
  </si>
  <si>
    <t>Closing balance / cumulative eligible uses</t>
  </si>
  <si>
    <t>Construction LTV</t>
  </si>
  <si>
    <t>Closing balance / scenario property value</t>
  </si>
  <si>
    <t>Covenant / drawstop status</t>
  </si>
  <si>
    <t>Selected LTC, LTV, maturity and longstop</t>
  </si>
  <si>
    <t>Construction roll-forward check</t>
  </si>
  <si>
    <t>Must equal zero</t>
  </si>
  <si>
    <t>WORKING-CAPITAL FACILITY</t>
  </si>
  <si>
    <t>Opening working-capital balance</t>
  </si>
  <si>
    <t>Linked assumption</t>
  </si>
  <si>
    <t>Operating cash requirement</t>
  </si>
  <si>
    <t>Liquidity needed to minimum cash</t>
  </si>
  <si>
    <t>Minimum cash requirement</t>
  </si>
  <si>
    <t>Editable lender assumption</t>
  </si>
  <si>
    <t>Permitted working-capital draw</t>
  </si>
  <si>
    <t>Eligible liquidity need only</t>
  </si>
  <si>
    <t>Working-capital drawdown</t>
  </si>
  <si>
    <t>Revolver advance</t>
  </si>
  <si>
    <t>Working-capital repayments</t>
  </si>
  <si>
    <t>Refinance plus surplus cash</t>
  </si>
  <si>
    <t>Working-capital cash interest</t>
  </si>
  <si>
    <t>Opening-balance interest</t>
  </si>
  <si>
    <t>Working-capital fees</t>
  </si>
  <si>
    <t>Closing working-capital balance</t>
  </si>
  <si>
    <t>Revolver roll-forward</t>
  </si>
  <si>
    <t>Unused working-capital capacity</t>
  </si>
  <si>
    <t>Facility limit less closing balance</t>
  </si>
  <si>
    <t>Working-capital maturity flag</t>
  </si>
  <si>
    <t>Maturity compliance</t>
  </si>
  <si>
    <t>Working-capital roll-forward check</t>
  </si>
  <si>
    <t>TERM-DEBT CONVERSION &amp; AMORTISATION</t>
  </si>
  <si>
    <t>Opening term-debt balance</t>
  </si>
  <si>
    <t>Construction debt refinanced</t>
  </si>
  <si>
    <t>Conversion proceeds after fee</t>
  </si>
  <si>
    <t>Working-capital debt refinanced</t>
  </si>
  <si>
    <t>Only when permitted</t>
  </si>
  <si>
    <t>Refinancing fees</t>
  </si>
  <si>
    <t>Linked fee rate</t>
  </si>
  <si>
    <t>Gross term-debt funding</t>
  </si>
  <si>
    <t>Facility, LTV and proceeds cap</t>
  </si>
  <si>
    <t>Equity cure / refinance shortfall</t>
  </si>
  <si>
    <t>Requirement less term proceeds</t>
  </si>
  <si>
    <t>Effective term interest rate</t>
  </si>
  <si>
    <t>Base + margin + scenario shock</t>
  </si>
  <si>
    <t>Term-debt cash interest</t>
  </si>
  <si>
    <t>Scheduled term principal</t>
  </si>
  <si>
    <t>Selected repayment profile</t>
  </si>
  <si>
    <t>Mandatory term repayment</t>
  </si>
  <si>
    <t>Asset sale</t>
  </si>
  <si>
    <t>Term-debt cash sweep</t>
  </si>
  <si>
    <t>Surplus CFADS after scheduled service</t>
  </si>
  <si>
    <t>Bullet repayment</t>
  </si>
  <si>
    <t>At term maturity</t>
  </si>
  <si>
    <t>Closing term-debt balance</t>
  </si>
  <si>
    <t>Maturity balance / balloon</t>
  </si>
  <si>
    <t>Balance immediately before maturity bullet</t>
  </si>
  <si>
    <t>Selected months of term debt service</t>
  </si>
  <si>
    <t>Forward 12-month DSCR</t>
  </si>
  <si>
    <t>Forward 12-month CFADS / scheduled debt service</t>
  </si>
  <si>
    <t>Forward 12-month interest-cover ratio</t>
  </si>
  <si>
    <t>Forward 12-month CFADS / cash interest</t>
  </si>
  <si>
    <t>Current annualised NOI / total interest-bearing debt</t>
  </si>
  <si>
    <t>Term-debt LTV</t>
  </si>
  <si>
    <t>Total interest-bearing debt / scenario property value</t>
  </si>
  <si>
    <t>Term-debt maturity status</t>
  </si>
  <si>
    <t>Term-debt roll-forward check</t>
  </si>
  <si>
    <t>DEBT SERVICE &amp; CASH WATERFALL</t>
  </si>
  <si>
    <t>Operating cash receipts</t>
  </si>
  <si>
    <t>Underwriting effective gross revenue</t>
  </si>
  <si>
    <t>Operating expenses</t>
  </si>
  <si>
    <t>Underwriting operating expenses</t>
  </si>
  <si>
    <t>Cash income tax</t>
  </si>
  <si>
    <t>Canonical monthly cash-tax schedule</t>
  </si>
  <si>
    <t>Maintenance &amp; lifecycle capex</t>
  </si>
  <si>
    <t>Underwriting capital expenditure</t>
  </si>
  <si>
    <t>Movement in operating working capital</t>
  </si>
  <si>
    <t>Canonical monthly working-capital movement</t>
  </si>
  <si>
    <t>Cash flow available for debt service</t>
  </si>
  <si>
    <t>Receipts less operating uses</t>
  </si>
  <si>
    <t>Working-capital interest &amp; fees</t>
  </si>
  <si>
    <t>Cash interest plus unused fee</t>
  </si>
  <si>
    <t>Construction / term-debt interest &amp; fees</t>
  </si>
  <si>
    <t>Cash interest, commitment and line fees</t>
  </si>
  <si>
    <t>Scheduled principal</t>
  </si>
  <si>
    <t>Construction plus term principal</t>
  </si>
  <si>
    <t>Mandatory repayments</t>
  </si>
  <si>
    <t>Surplus cash / sale repayments</t>
  </si>
  <si>
    <t>Cash sweep</t>
  </si>
  <si>
    <t>Selected term-debt sweep</t>
  </si>
  <si>
    <t>Minimum cash reserve</t>
  </si>
  <si>
    <t>Required closing liquidity</t>
  </si>
  <si>
    <t>Equity liquidity support</t>
  </si>
  <si>
    <t>Cure after permitted revolver draw</t>
  </si>
  <si>
    <t>Blocked when reserve or covenant test fails</t>
  </si>
  <si>
    <t>Closing cash</t>
  </si>
  <si>
    <t>Waterfall closing balance</t>
  </si>
  <si>
    <t>Distribution / covenant status</t>
  </si>
  <si>
    <t>Distributions blocked on breach</t>
  </si>
  <si>
    <t>Cash waterfall check</t>
  </si>
  <si>
    <t>Eligible-use funding check</t>
  </si>
  <si>
    <t>Eligible use less construction and working-capital funding; must equal zero</t>
  </si>
  <si>
    <t>CFADS linkage check</t>
  </si>
  <si>
    <t>Calculated CFADS less linked operating receipts and uses; must equal zero</t>
  </si>
  <si>
    <t>CONTROLS | EACH TEST RETURNS OK OR A CLEAR EXCEPTION</t>
  </si>
  <si>
    <t>Construction debt roll-forward</t>
  </si>
  <si>
    <t>Formula: opening + draws + capitalised interest − repayments = closing</t>
  </si>
  <si>
    <t>Construction draws within commitment</t>
  </si>
  <si>
    <t>Draw compared with contemporaneous available commitment</t>
  </si>
  <si>
    <t>Closing revolver balance versus limit</t>
  </si>
  <si>
    <t>No construction / working-capital double funding</t>
  </si>
  <si>
    <t>Eligible development spend equals equity plus construction debt</t>
  </si>
  <si>
    <t>Debt-funded uses reconcile to sources and uses</t>
  </si>
  <si>
    <t>Construction sources and eligible uses</t>
  </si>
  <si>
    <t>Capitalised interest included once</t>
  </si>
  <si>
    <t>Interest increases debt but is excluded from eligible cost rows</t>
  </si>
  <si>
    <t>Refinancing proceeds reconciliation</t>
  </si>
  <si>
    <t>Term debt plus equity cure equals refinanced debt plus fees</t>
  </si>
  <si>
    <t>Term debt activates after selected trigger</t>
  </si>
  <si>
    <t>No term funding before conversion date</t>
  </si>
  <si>
    <t>Debt service links to model cash flow</t>
  </si>
  <si>
    <t>CFADS derives from linked operating receipts and uses</t>
  </si>
  <si>
    <t>Closing cash meets minimum requirement</t>
  </si>
  <si>
    <t>Equity liquidity support follows permitted WC draw</t>
  </si>
  <si>
    <t>LTC and LTV definitions</t>
  </si>
  <si>
    <t>Debt and value definitions reconcile to selected-case metrics</t>
  </si>
  <si>
    <t>Investor distributions blocked on breach</t>
  </si>
  <si>
    <t>No distribution when debt service, cash or covenants fail</t>
  </si>
  <si>
    <t>Static dependency scan found no formula cycles; iteration remains disabled.</t>
  </si>
  <si>
    <t>Average/opening balance interest avoids circularity</t>
  </si>
  <si>
    <t>Release-package QA: no externalLink parts and no newly introduced external workbook references.</t>
  </si>
  <si>
    <t>All formulas point to this workbook</t>
  </si>
  <si>
    <t>No formula errors</t>
  </si>
  <si>
    <t>Selected schedule error scan</t>
  </si>
  <si>
    <t>Debt-yield exception status</t>
  </si>
  <si>
    <t>Flags any negative post-conversion debt-yield period; the underlying row remains visible.</t>
  </si>
  <si>
    <t>Capitalised-interest / eligible-use check</t>
  </si>
  <si>
    <t>Eligible uses less development costs, capitalised fees and recoverable GST; must equal zero</t>
  </si>
  <si>
    <t>SENSITIVITY | CAPITALISED INTEREST: DELAY vs RATE SHOCK</t>
  </si>
  <si>
    <t>SENSITIVITY | REFINANCE SHORTFALL: VALUE vs REFI PROCEEDS</t>
  </si>
  <si>
    <t>Delay (months)</t>
  </si>
  <si>
    <t>Value factor</t>
  </si>
  <si>
    <t>Average-balance approximation; selected monthly schedule above remains the authoritative case.</t>
  </si>
  <si>
    <t>Tests valuation and available refinancing-proceeds constraints against the selected-case peak debt.</t>
  </si>
  <si>
    <t>TAX, GST &amp; WORKING-CAPITAL SUPPORTING SCHEDULES</t>
  </si>
  <si>
    <t>Input GST on eligible development spend</t>
  </si>
  <si>
    <t>Eligible base capex multiplied by GST rate</t>
  </si>
  <si>
    <t>GST recovery</t>
  </si>
  <si>
    <t>Input GST recovered after the selected lag</t>
  </si>
  <si>
    <t>Net GST funding / (recovery)</t>
  </si>
  <si>
    <t>Positive amounts are eligible construction uses; recoveries repay debt</t>
  </si>
  <si>
    <t>Opening tax-loss carryforward</t>
  </si>
  <si>
    <t>Prior-period closing tax losses</t>
  </si>
  <si>
    <t>Taxable income / (loss) before carryforwards</t>
  </si>
  <si>
    <t>Operating cash margin less interest and tax depreciation proxy</t>
  </si>
  <si>
    <t>Tax losses utilised</t>
  </si>
  <si>
    <t>Limited to opening losses and current positive taxable income</t>
  </si>
  <si>
    <t>Closing tax-loss carryforward</t>
  </si>
  <si>
    <t>Opening losses plus current loss less utilisation</t>
  </si>
  <si>
    <t>Corporate tax on taxable income after loss utilisation</t>
  </si>
  <si>
    <t>Operating working-capital target</t>
  </si>
  <si>
    <t>Selected percentage of annualised operating revenue</t>
  </si>
  <si>
    <t>Change in operating working capital</t>
  </si>
  <si>
    <t>Positive movement is a cash use; negative movement is a release</t>
  </si>
  <si>
    <t>DSCR headroom</t>
  </si>
  <si>
    <t>Forward DSCR less minimum approved DSCR</t>
  </si>
  <si>
    <t>Interest-cover headroom</t>
  </si>
  <si>
    <t>Forward interest cover less minimum threshold</t>
  </si>
  <si>
    <t>Debt-yield headroom</t>
  </si>
  <si>
    <t>Debt yield less minimum threshold</t>
  </si>
  <si>
    <t>LTV headroom</t>
  </si>
  <si>
    <t>Maximum LTV less actual LTV</t>
  </si>
  <si>
    <t>Pre-distribution surplus cash</t>
  </si>
  <si>
    <t>Cash available after debt service and minimum cash</t>
  </si>
  <si>
    <t>Distribution lock-up amount</t>
  </si>
  <si>
    <t>Surplus cash retained because distributions are blocked</t>
  </si>
  <si>
    <t>Total interest-bearing debt</t>
  </si>
  <si>
    <t>Construction + working-capital + term debt</t>
  </si>
  <si>
    <t>Forward 12-month scheduled debt service</t>
  </si>
  <si>
    <t>Cash interest and scheduled principal</t>
  </si>
  <si>
    <t>Current-period cash interest and fees</t>
  </si>
  <si>
    <t>Working-capital plus construction / term interest and fees</t>
  </si>
  <si>
    <t>Current-period principal and mandatory repayment</t>
  </si>
  <si>
    <t>Scheduled principal, mandatory repayments and sweep</t>
  </si>
  <si>
    <t>DATA MAP | SOURCE-TO-TARGET TRACEABILITY &amp; ISSUE REGISTER</t>
  </si>
  <si>
    <t>The target detailed model controls where scope conflicts exist. No conflict has been silently resolved. Source values are shown in their native units unless the comment records a conversion.</t>
  </si>
  <si>
    <t>Source review refreshed on 1 Aug 2026 using Project data book(9).xlsm. The uploaded source is byte-for-byte identical to the previously reviewed data book; all 29 sheets remain covered by the established mapping and source hierarchy.</t>
  </si>
  <si>
    <t>Field ID</t>
  </si>
  <si>
    <t>Description</t>
  </si>
  <si>
    <t>Source Sheet</t>
  </si>
  <si>
    <t>Source Cell/Range</t>
  </si>
  <si>
    <t>Source Value</t>
  </si>
  <si>
    <t>Target Sheet</t>
  </si>
  <si>
    <t>Target Cell/Range</t>
  </si>
  <si>
    <t>Update Method</t>
  </si>
  <si>
    <t>Source Conflict? (Yes / No)</t>
  </si>
  <si>
    <t>Comment</t>
  </si>
  <si>
    <t>Source Workbook</t>
  </si>
  <si>
    <t>Owner Action Required</t>
  </si>
  <si>
    <t>PRJ-001</t>
  </si>
  <si>
    <t>Project | Project name</t>
  </si>
  <si>
    <t>MODEL DESIGN</t>
  </si>
  <si>
    <t>C8</t>
  </si>
  <si>
    <t>THE BEND Entertainment Precinct</t>
  </si>
  <si>
    <t>Underwriting</t>
  </si>
  <si>
    <t>E9</t>
  </si>
  <si>
    <t>Live formula link to consolidated input</t>
  </si>
  <si>
    <t>Linked — input register</t>
  </si>
  <si>
    <t>Target wording retained; source wording is consistent. | Live input: URWLD COMPANY INPUTS!F37 (DBI-MD-D4).</t>
  </si>
  <si>
    <t>PROJECTS register book(4).xlsm</t>
  </si>
  <si>
    <t>None — technical mapping complete.</t>
  </si>
  <si>
    <t>PRJ-002</t>
  </si>
  <si>
    <t>Project | Street address</t>
  </si>
  <si>
    <t>Target: Underwriting</t>
  </si>
  <si>
    <t>E10</t>
  </si>
  <si>
    <t>349 Bridge Street</t>
  </si>
  <si>
    <t>Formula link</t>
  </si>
  <si>
    <t>Mapped</t>
  </si>
  <si>
    <t>No equivalent street address identified in the data book.</t>
  </si>
  <si>
    <t>Target model</t>
  </si>
  <si>
    <t>PRJ-003</t>
  </si>
  <si>
    <t>Project | Suburb / municipality</t>
  </si>
  <si>
    <t>C9</t>
  </si>
  <si>
    <t>Port Melbourne</t>
  </si>
  <si>
    <t>E11</t>
  </si>
  <si>
    <t>Port Melbourne is consistent across both workbooks. | Live input: URWLD COMPANY INPUTS!F38 (DBI-MD-D5).</t>
  </si>
  <si>
    <t>PRJ-004</t>
  </si>
  <si>
    <t>Project | State</t>
  </si>
  <si>
    <t>Victoria</t>
  </si>
  <si>
    <t>I10</t>
  </si>
  <si>
    <t>State is Victoria; source and target are consistent.</t>
  </si>
  <si>
    <t>PRJ-005</t>
  </si>
  <si>
    <t>Project | Country</t>
  </si>
  <si>
    <t>I13</t>
  </si>
  <si>
    <t>Australia</t>
  </si>
  <si>
    <t>Country is Australia; retained target input because no conflicting source exists.</t>
  </si>
  <si>
    <t>PRJ-006</t>
  </si>
  <si>
    <t>Programme | Model start date</t>
  </si>
  <si>
    <t>C12</t>
  </si>
  <si>
    <t>Q3 2026</t>
  </si>
  <si>
    <t>E13</t>
  </si>
  <si>
    <t>Target monthly date provides the precise start within the source quarter. | Live input: URWLD COMPANY INPUTS!F45 (DBI-MD-D8).</t>
  </si>
  <si>
    <t>PRJ-007</t>
  </si>
  <si>
    <t>Programme | Construction duration</t>
  </si>
  <si>
    <t>C13</t>
  </si>
  <si>
    <t>Q2 2029</t>
  </si>
  <si>
    <t>E34</t>
  </si>
  <si>
    <t>Resolved</t>
  </si>
  <si>
    <t>Q2 2029 completion selected and linked to the 36-month construction programme. | The documented source hierarchy has been applied; the controlling target schedule is identified and no amount is double counted. | Live input: URWLD COMPANY INPUTS!F45:F46 (DBI-MD-D8 / DBI-MD-D9).</t>
  </si>
  <si>
    <t>Confirm the approved programme, milestones and longstop dates.</t>
  </si>
  <si>
    <t>PRJ-008</t>
  </si>
  <si>
    <t>Programme | Operations commence</t>
  </si>
  <si>
    <t>C14</t>
  </si>
  <si>
    <t>Q3 2029</t>
  </si>
  <si>
    <t>D88</t>
  </si>
  <si>
    <t>Formula preserved; source states Q3 2029. | The documented source hierarchy has been applied; the controlling target schedule is identified and no amount is double counted. | Live input: URWLD COMPANY INPUTS!F45:F47 (DBI-MD-D8 / DBI-MD-D10).</t>
  </si>
  <si>
    <t>PRJ-009</t>
  </si>
  <si>
    <t>Programme | First stabilised month</t>
  </si>
  <si>
    <t>D89</t>
  </si>
  <si>
    <t>Existing formula preserved</t>
  </si>
  <si>
    <t>Formula Preserved</t>
  </si>
  <si>
    <t>Existing lease-up formula preserved.</t>
  </si>
  <si>
    <t>PRJ-010</t>
  </si>
  <si>
    <t>Model | Periodicity</t>
  </si>
  <si>
    <t>L24:EB24</t>
  </si>
  <si>
    <t>Monthly</t>
  </si>
  <si>
    <t>Existing formulas preserved</t>
  </si>
  <si>
    <t>Target model uses 121 monthly periods; source schedules are mainly quarterly and annual.</t>
  </si>
  <si>
    <t>PRJ-011</t>
  </si>
  <si>
    <t>Model | Currency and scale</t>
  </si>
  <si>
    <t>C18</t>
  </si>
  <si>
    <t>AUD millions</t>
  </si>
  <si>
    <t>All financial tabs</t>
  </si>
  <si>
    <t>Various</t>
  </si>
  <si>
    <t>Unit conversion documented</t>
  </si>
  <si>
    <t>Source is largely A$m. Target input links use native target units.</t>
  </si>
  <si>
    <t>AREA-001</t>
  </si>
  <si>
    <t>Site | Site area</t>
  </si>
  <si>
    <t>B35</t>
  </si>
  <si>
    <t>E17</t>
  </si>
  <si>
    <t>34,400 sqm equals target 8.5004 acres. | Live input: URWLD COMPANY INPUTS!F43 (DBI-ASM-B21).</t>
  </si>
  <si>
    <t>AREA-URWLD</t>
  </si>
  <si>
    <t>URWLD | URWLD area</t>
  </si>
  <si>
    <t>PROJECT CASH FLOW</t>
  </si>
  <si>
    <t>G8</t>
  </si>
  <si>
    <t>E93</t>
  </si>
  <si>
    <t>Detailed source and target values agree. | Live input: URWLD COMPANY INPUTS!F134 (DBI-PCF-G8).</t>
  </si>
  <si>
    <t>AREA-PBSA</t>
  </si>
  <si>
    <t>PBSA/student accommodation | PBSA area</t>
  </si>
  <si>
    <t>G9</t>
  </si>
  <si>
    <t>E94</t>
  </si>
  <si>
    <t>Detailed source and target values agree. | Live input: URWLD COMPANY INPUTS!F409 (DBI-PCF-G9).</t>
  </si>
  <si>
    <t>AREA-LIVE</t>
  </si>
  <si>
    <t>LiveHouse | LiveHouse area</t>
  </si>
  <si>
    <t>G10</t>
  </si>
  <si>
    <t>E95</t>
  </si>
  <si>
    <t>Detailed source and target values agree. | Live input: URWLD COMPANY INPUTS!F595 (DBI-PCF-G10).</t>
  </si>
  <si>
    <t>AREA-RETAIL</t>
  </si>
  <si>
    <t>Retail and ancillary uses | Flexible retail/F&amp;B area</t>
  </si>
  <si>
    <t>G11</t>
  </si>
  <si>
    <t>E96</t>
  </si>
  <si>
    <t>Detailed source and target values agree. | Live input: URWLD COMPANY INPUTS!F626 (DBI-PCF-G11).</t>
  </si>
  <si>
    <t>AREA-GEN</t>
  </si>
  <si>
    <t>Genesis | Genesis area</t>
  </si>
  <si>
    <t>G12</t>
  </si>
  <si>
    <t>E97</t>
  </si>
  <si>
    <t>Detailed source and target values agree. | Live input: URWLD COMPANY INPUTS!F398 (DBI-PCF-G12).</t>
  </si>
  <si>
    <t>AREA-PARK</t>
  </si>
  <si>
    <t>Parking | Car park area</t>
  </si>
  <si>
    <t>G13</t>
  </si>
  <si>
    <t>E98</t>
  </si>
  <si>
    <t>Detailed source and target values agree. | Live input: URWLD COMPANY INPUTS!F421 (DBI-PCF-G13).</t>
  </si>
  <si>
    <t>AREA-SNOW</t>
  </si>
  <si>
    <t>Snowtunnel | Snowtunnel area</t>
  </si>
  <si>
    <t>G14</t>
  </si>
  <si>
    <t>E99</t>
  </si>
  <si>
    <t>Detailed source and target values agree. | Live input: URWLD COMPANY INPUTS!F602 (DBI-PCF-G14).</t>
  </si>
  <si>
    <t>AREA-GOKART</t>
  </si>
  <si>
    <t>Retail and ancillary uses | Go-kart area</t>
  </si>
  <si>
    <t>E100</t>
  </si>
  <si>
    <t>No discrete go-kart GFA was identified in the data book. | Live input: URWLD COMPANY INPUTS!F859 (GAP-01).</t>
  </si>
  <si>
    <t>AREA-LANDSCAPE</t>
  </si>
  <si>
    <t>Retail and ancillary uses | Landscape attraction area</t>
  </si>
  <si>
    <t>G15</t>
  </si>
  <si>
    <t>E101</t>
  </si>
  <si>
    <t>Detailed source and target values agree. | Live input: URWLD COMPANY INPUTS!F611 (DBI-PCF-G15).</t>
  </si>
  <si>
    <t>AREA-STORAGE</t>
  </si>
  <si>
    <t>Storage | Self-storage area</t>
  </si>
  <si>
    <t>G17</t>
  </si>
  <si>
    <t>E102</t>
  </si>
  <si>
    <t>Detailed source and target values agree. | Live input: URWLD COMPANY INPUTS!F618 (DBI-PCF-G17).</t>
  </si>
  <si>
    <t>AREA-CONV</t>
  </si>
  <si>
    <t>Retail and ancillary uses | Convenience/laundromat area</t>
  </si>
  <si>
    <t>G18:G19</t>
  </si>
  <si>
    <t>E103</t>
  </si>
  <si>
    <t>Detailed target ancillary area retained; wider source figure treated as shared precinct space to prevent double counting. | The detailed component area schedule controls; wider summary areas are treated as shared precinct space to prevent double counting. | Live input: URWLD COMPANY INPUTS!F632:F633 (DBI-PCF-G18 / DBI-PCF-G19).</t>
  </si>
  <si>
    <t>AREA-EBIKE</t>
  </si>
  <si>
    <t>Retail and ancillary uses | eBike/eScooter storage area</t>
  </si>
  <si>
    <t>G16</t>
  </si>
  <si>
    <t>E104</t>
  </si>
  <si>
    <t>Detailed target eBike area retained; source alternative disclosed but not added. | The detailed component area schedule controls; wider summary areas are treated as shared precinct space to prevent double counting. | Live input: URWLD COMPANY INPUTS!F655 (DBI-PCF-G16).</t>
  </si>
  <si>
    <t>CAP-PBSA-001</t>
  </si>
  <si>
    <t>PBSA/student accommodation | PBSA capacity</t>
  </si>
  <si>
    <t>C82</t>
  </si>
  <si>
    <t>760</t>
  </si>
  <si>
    <t>Not linked</t>
  </si>
  <si>
    <t>Mapped — reconciled</t>
  </si>
  <si>
    <t>Confirm whether PBSA is property rent or an operating business. | The detailed component build and Inputs compatibility register and detailed cost schedules are authoritative; conflicting summaries are evidence only and are not double counted.</t>
  </si>
  <si>
    <t>CAP-PARK-001</t>
  </si>
  <si>
    <t>Parking | Car park capacity</t>
  </si>
  <si>
    <t>C89</t>
  </si>
  <si>
    <t>Target uses area and separate Tenant Report operating revenue. | The detailed component build and Inputs compatibility register and detailed cost schedules are authoritative; conflicting summaries are evidence only and are not double counted.</t>
  </si>
  <si>
    <t>CAPEX-URWLD</t>
  </si>
  <si>
    <t>URWLD | URWLD capex</t>
  </si>
  <si>
    <t>J8</t>
  </si>
  <si>
    <t>Detailed cost schedule</t>
  </si>
  <si>
    <t>Not linked; target calculation preserved</t>
  </si>
  <si>
    <t>Management must confirm whether the data book and target represent the same project scope/version. | The detailed component build and Inputs compatibility register and detailed cost schedules are authoritative; conflicting summaries are evidence only and are not double counted.</t>
  </si>
  <si>
    <t>CAPEX-PBSA</t>
  </si>
  <si>
    <t>PBSA/student accommodation | PBSA capex</t>
  </si>
  <si>
    <t>J9</t>
  </si>
  <si>
    <t>CAPEX-LIVE</t>
  </si>
  <si>
    <t>LiveHouse | LiveHouse capex</t>
  </si>
  <si>
    <t>J10</t>
  </si>
  <si>
    <t>CAPEX-RETAIL</t>
  </si>
  <si>
    <t>Retail and ancillary uses | Flexible retail/F&amp;B capex</t>
  </si>
  <si>
    <t>J11</t>
  </si>
  <si>
    <t>CAPEX-GEN</t>
  </si>
  <si>
    <t>Genesis | Genesis capex</t>
  </si>
  <si>
    <t>J12</t>
  </si>
  <si>
    <t>CAPEX-PARK</t>
  </si>
  <si>
    <t>Parking | Car park capex</t>
  </si>
  <si>
    <t>J13</t>
  </si>
  <si>
    <t>CAPEX-SNOW</t>
  </si>
  <si>
    <t>Snowtunnel | Snowtunnel capex</t>
  </si>
  <si>
    <t>J14</t>
  </si>
  <si>
    <t>CAPEX-LANDATTR</t>
  </si>
  <si>
    <t>Retail and ancillary uses | Landscape attraction capex</t>
  </si>
  <si>
    <t>J15</t>
  </si>
  <si>
    <t>CAPEX-EBIKE</t>
  </si>
  <si>
    <t>Retail and ancillary uses | eBike/eScooter capex</t>
  </si>
  <si>
    <t>J16</t>
  </si>
  <si>
    <t>CAPEX-STORAGE</t>
  </si>
  <si>
    <t>Storage | Self-storage capex</t>
  </si>
  <si>
    <t>J17</t>
  </si>
  <si>
    <t>CAPEX-CONV</t>
  </si>
  <si>
    <t>Retail and ancillary uses | Convenience store capex</t>
  </si>
  <si>
    <t>J18</t>
  </si>
  <si>
    <t>CAPEX-LAUND</t>
  </si>
  <si>
    <t>Retail and ancillary uses | Laundromat capex</t>
  </si>
  <si>
    <t>J19</t>
  </si>
  <si>
    <t>CAPEX-ROADS</t>
  </si>
  <si>
    <t>Development capex | Roads and paths capex</t>
  </si>
  <si>
    <t>J20</t>
  </si>
  <si>
    <t>CAPEX-WATER</t>
  </si>
  <si>
    <t>Development capex | Water treatment plant capex</t>
  </si>
  <si>
    <t>J21</t>
  </si>
  <si>
    <t>CAPEX-WATERSYS</t>
  </si>
  <si>
    <t>Development capex | Water systems capex</t>
  </si>
  <si>
    <t>J22</t>
  </si>
  <si>
    <t>CAPEX-SOLAR</t>
  </si>
  <si>
    <t>Development capex | Solar/battery capex</t>
  </si>
  <si>
    <t>J23</t>
  </si>
  <si>
    <t>CAPEX-COMMON</t>
  </si>
  <si>
    <t>Development capex | Landscape/common capex</t>
  </si>
  <si>
    <t>J24</t>
  </si>
  <si>
    <t>CAPEX-PM</t>
  </si>
  <si>
    <t>Development capex | Project management/consultants</t>
  </si>
  <si>
    <t>J25</t>
  </si>
  <si>
    <t>CAPEX-TOTAL-001</t>
  </si>
  <si>
    <t>Project | Source component capex total</t>
  </si>
  <si>
    <t>J26</t>
  </si>
  <si>
    <t>Live formula bridge to consolidated component inputs</t>
  </si>
  <si>
    <t>Linked — reconciled to source</t>
  </si>
  <si>
    <t>Reconciles to the source component schedule. | The detailed component build and Inputs compatibility register and detailed cost schedules are authoritative; conflicting summaries are evidence only and are not double counted. | Phase 3: Underwriting!I34 now reproduces PROJECT CASH FLOW!J26 exactly at A$342.423006481m. Source-schedule constants omitted from the 1,708 extracted records remain explicit in the formula and are not hidden assumptions.</t>
  </si>
  <si>
    <t>CAPEX-LAND-001</t>
  </si>
  <si>
    <t>Land | Source site acquisition incl. stamp duty</t>
  </si>
  <si>
    <t>H30</t>
  </si>
  <si>
    <t>I27</t>
  </si>
  <si>
    <t>Target land purchase is A$3.0m; target value retained. | The detailed component build and Inputs compatibility register and detailed cost schedules are authoritative; conflicting summaries are evidence only and are not double counted. | Live input: URWLD COMPANY INPUTS!D122 (DBI-PCF-H30).</t>
  </si>
  <si>
    <t>CAPEX-INFRA-001</t>
  </si>
  <si>
    <t>Infrastructure | Infrastructure fund</t>
  </si>
  <si>
    <t>H36</t>
  </si>
  <si>
    <t>CAPEX-INFRA-002</t>
  </si>
  <si>
    <t>Infrastructure | Infrastructure fund reduction</t>
  </si>
  <si>
    <t>H37</t>
  </si>
  <si>
    <t>CAPEX-GRANT-001</t>
  </si>
  <si>
    <t>Grant | ARENA grant</t>
  </si>
  <si>
    <t>H39</t>
  </si>
  <si>
    <t>CAPEX-FUND-001</t>
  </si>
  <si>
    <t>Project | Source funding requirement after development revenue/expenses</t>
  </si>
  <si>
    <t>H49</t>
  </si>
  <si>
    <t>I57</t>
  </si>
  <si>
    <t>Conflicts with both the target total and the source MODEL DESIGN total. | The detailed component build and Inputs compatibility register and detailed cost schedules are authoritative; conflicting summaries are evidence only and are not double counted.</t>
  </si>
  <si>
    <t>CAPEX-FUND-002</t>
  </si>
  <si>
    <t>Project | Source model-design total development cost</t>
  </si>
  <si>
    <t>C35</t>
  </si>
  <si>
    <t>Waived — superseded duplicate</t>
  </si>
  <si>
    <t>Duplicate project-cost total retained for traceability; not selected because it conflicts with the detailed source schedule and target model. | The detailed component build and Inputs compatibility register and detailed cost schedules are authoritative; conflicting summaries are evidence only and are not double counted.</t>
  </si>
  <si>
    <t>None — retained for traceability but does not drive the model.</t>
  </si>
  <si>
    <t>CAPEX-TARGET-001</t>
  </si>
  <si>
    <t>Project | Target total development cost</t>
  </si>
  <si>
    <t>Controlling target-model total; detailed target calculation preserved. | The detailed component build and Inputs compatibility register and detailed cost schedules are authoritative; conflicting summaries are evidence only and are not double counted.</t>
  </si>
  <si>
    <t>CAPEX-LAND-TGT</t>
  </si>
  <si>
    <t>Land | Target land purchase price</t>
  </si>
  <si>
    <t>Retained because target detailed calculations rank above source summary values. | The detailed component build and Inputs compatibility register and detailed cost schedules are authoritative; conflicting summaries are evidence only and are not double counted.</t>
  </si>
  <si>
    <t>OPS-001</t>
  </si>
  <si>
    <t>Project | CPI</t>
  </si>
  <si>
    <t>C50</t>
  </si>
  <si>
    <t>760 | The target monthly operating, tax and working-capital schedules control; specialist confirmation remains an OWNER DECISION where stated. | Phase 8: exact operating-scenario, debt-rate, valuation-rate and named-investor evidence fields are now dynamically linked to the canonical registers; unsupported lender, rent and waterfall assumptions remain provisional.</t>
  </si>
  <si>
    <t>Obtain tax-adviser and operating-budget schedules and update provisional assumptions.</t>
  </si>
  <si>
    <t>OPS-002</t>
  </si>
  <si>
    <t>Project | Operating expense growth</t>
  </si>
  <si>
    <t>B8,E8,H8</t>
  </si>
  <si>
    <t>760 | The target monthly operating, tax and working-capital schedules control; specialist confirmation remains an OWNER DECISION where stated.</t>
  </si>
  <si>
    <t>OPS-003</t>
  </si>
  <si>
    <t>PBSA/student accommodation | Occupancy</t>
  </si>
  <si>
    <t>C112:C114</t>
  </si>
  <si>
    <t>OPS-004</t>
  </si>
  <si>
    <t>Project | Corporate tax rate</t>
  </si>
  <si>
    <t>C44</t>
  </si>
  <si>
    <t>DEBT</t>
  </si>
  <si>
    <t>Cash waterfall tax row</t>
  </si>
  <si>
    <t>No reliable target monthly tax schedule exists; not linked. | The target monthly operating, tax and working-capital schedules control; specialist confirmation remains an OWNER DECISION where stated. | Live input: URWLD COMPANY INPUTS!F790 (DBI-ASM-C12).</t>
  </si>
  <si>
    <t>OPS-005</t>
  </si>
  <si>
    <t>Project | Source operating revenue</t>
  </si>
  <si>
    <t>G93</t>
  </si>
  <si>
    <t>I130 / monthly operating rows</t>
  </si>
  <si>
    <t>Not linked; target formulas preserved</t>
  </si>
  <si>
    <t>Source annual revenue is not imported into the target monthly schedule because the scopes differ. | The target monthly operating, tax and working-capital schedules control; specialist confirmation remains an OWNER DECISION where stated. | Phase 3 links: car-park net operating contribution from INPUT REGISTER!D339:D350; storage NOI from INPUT REGISTER!D454; retail lease term and rent-free period from INPUT REGISTER!F483/F487. | Phase 5: lease-up is programme-driven; unresolved waterfall inputs remain blank at source and are coerced to fail-safe 0% GP / 100% LP only inside the calculation engine. | Phase 6: Tenant Report source GFA and lease-term reference fields are linked to visible static register cells; conflicting Go Kart and mobility benchmarks remain independent exceptions.</t>
  </si>
  <si>
    <t>OPS-006</t>
  </si>
  <si>
    <t>Project | Target stabilised potential gross income</t>
  </si>
  <si>
    <t>I130</t>
  </si>
  <si>
    <t>OPS-007</t>
  </si>
  <si>
    <t>Project | Target stabilised NOI</t>
  </si>
  <si>
    <t>I140</t>
  </si>
  <si>
    <t>LEASE-001</t>
  </si>
  <si>
    <t>Project | Annual rent escalation</t>
  </si>
  <si>
    <t>C51</t>
  </si>
  <si>
    <t>G93:G104</t>
  </si>
  <si>
    <t>Linked to all twelve target component rent-growth inputs. | Live input: URWLD COMPANY INPUTS!F113 (DBI-ASM-C9). | Phase 6: nine components now use their business-specific registered escalation; PBSA, storage and mobility retain the common project escalation because no equivalent one-to-one lease step exists. | Phase 7: the 133-month fixed construction-debt rate schedule now references the registered 6.50% base senior-debt rate instead of the unsupported 9.00% hardcode; permanent-debt interest-only status and repeated construction-end controls are also centralized.</t>
  </si>
  <si>
    <t>LEASE-URWLD</t>
  </si>
  <si>
    <t>URWLD | URWLD rent</t>
  </si>
  <si>
    <t>H93</t>
  </si>
  <si>
    <t>LEASE-PBSA</t>
  </si>
  <si>
    <t>PBSA/student accommodation | PBSA property rent</t>
  </si>
  <si>
    <t>H94</t>
  </si>
  <si>
    <t>LEASE-LIVE</t>
  </si>
  <si>
    <t>LiveHouse | LiveHouse rent</t>
  </si>
  <si>
    <t>H95</t>
  </si>
  <si>
    <t>LEASE-RETAIL</t>
  </si>
  <si>
    <t>Retail and ancillary uses | Retail/F&amp;B rent</t>
  </si>
  <si>
    <t>H96</t>
  </si>
  <si>
    <t>LEASE-GEN</t>
  </si>
  <si>
    <t>Genesis | Genesis rent</t>
  </si>
  <si>
    <t>H97</t>
  </si>
  <si>
    <t>LEASE-PARK</t>
  </si>
  <si>
    <t>Parking | Car park property rent</t>
  </si>
  <si>
    <t>H98</t>
  </si>
  <si>
    <t>LEASE-SNOW</t>
  </si>
  <si>
    <t>Snowtunnel | Snowtunnel rent</t>
  </si>
  <si>
    <t>H99</t>
  </si>
  <si>
    <t>LEASE-GOKART</t>
  </si>
  <si>
    <t>Retail and ancillary uses | Go-kart rent</t>
  </si>
  <si>
    <t>H100</t>
  </si>
  <si>
    <t>LEASE-LAND</t>
  </si>
  <si>
    <t>Retail and ancillary uses | Landscape attraction rent</t>
  </si>
  <si>
    <t>H101</t>
  </si>
  <si>
    <t>LEASE-STOR</t>
  </si>
  <si>
    <t>Storage | Self-storage property rent</t>
  </si>
  <si>
    <t>H102</t>
  </si>
  <si>
    <t>LEASE-CONV</t>
  </si>
  <si>
    <t>Retail and ancillary uses | Convenience/laundromat property rent</t>
  </si>
  <si>
    <t>H103</t>
  </si>
  <si>
    <t>LEASE-EBIKE</t>
  </si>
  <si>
    <t>Retail and ancillary uses | eBike/eScooter property rent</t>
  </si>
  <si>
    <t>H104</t>
  </si>
  <si>
    <t>DEBT-001</t>
  </si>
  <si>
    <t>Construction facility | Construction LTC limit</t>
  </si>
  <si>
    <t>C61,C65</t>
  </si>
  <si>
    <t>Formula link to explicit funding-policy control</t>
  </si>
  <si>
    <t>Linked — existing policy input</t>
  </si>
  <si>
    <t>Source totals imply a different facility scale. | Phase 3: Underwriting!C61 and C65 inherit FUNDING &amp; CAP TABLE!I20 (50% target debt share).</t>
  </si>
  <si>
    <t>Replace provisional financing assumptions with an executed lender term sheet.</t>
  </si>
  <si>
    <t>DEBT-002</t>
  </si>
  <si>
    <t>Construction facility | Construction all-in interest rate</t>
  </si>
  <si>
    <t>B22,E22,H22</t>
  </si>
  <si>
    <t>Underwriting; DEBT</t>
  </si>
  <si>
    <t>E65; B13/B26</t>
  </si>
  <si>
    <t>Base 6.5% matches. Detailed source downside is 7.25%; MODEL DESIGN scenario says 7.5%. | The detailed scenario rate schedule controls; the conflicting source summary is retained as evidence only. | Live input: URWLD COMPANY INPUTS!F766 (DBI-ASM-C10). | Live input: URWLD COMPANY INPUTS!F766 (DBI-ASM-C10).</t>
  </si>
  <si>
    <t>DEBT-003</t>
  </si>
  <si>
    <t>Term debt | Term debt all-in interest rate</t>
  </si>
  <si>
    <t>E81</t>
  </si>
  <si>
    <t>E81; B40</t>
  </si>
  <si>
    <t>Term-debt all-in interest rate is a provisional management case pending an executed lender term sheet. | Live input: URWLD COMPANY INPUTS!F766 (DBI-ASM-C10). | Live input: URWLD COMPANY INPUTS!F766 (DBI-ASM-C10).</t>
  </si>
  <si>
    <t>DEBT-004</t>
  </si>
  <si>
    <t>Term debt | Loan fee</t>
  </si>
  <si>
    <t>H82</t>
  </si>
  <si>
    <t>H82; B47</t>
  </si>
  <si>
    <t>Formula links</t>
  </si>
  <si>
    <t>The source facility description is retained for traceability; executed construction-facility terms remain required. | Phase 4: active formula bridge to the live model; provisional controls remain subject to the stated evidence requirement.</t>
  </si>
  <si>
    <t>DEBT-005</t>
  </si>
  <si>
    <t>Construction facility | Funding selection</t>
  </si>
  <si>
    <t>Target: DEBT</t>
  </si>
  <si>
    <t>B7</t>
  </si>
  <si>
    <t>Equity First</t>
  </si>
  <si>
    <t>Mapped — provisional</t>
  </si>
  <si>
    <t>Not an agreed lender term. | The live management case is formula-linked through PROJECTS register and DEBT; executed lender terms remain an OWNER DECISION. | Phase 4: active formula bridge to the live model; provisional controls remain subject to the stated evidence requirement.</t>
  </si>
  <si>
    <t>DEBT-006</t>
  </si>
  <si>
    <t>Construction facility | LTV limit</t>
  </si>
  <si>
    <t>B11</t>
  </si>
  <si>
    <t>760 | The live management case is formula-linked through PROJECTS register and DEBT; executed lender terms remain an OWNER DECISION. | Phase 4: active formula bridge to the live model; provisional controls remain subject to the stated evidence requirement.</t>
  </si>
  <si>
    <t>DEBT-007</t>
  </si>
  <si>
    <t>Construction facility | Base rate</t>
  </si>
  <si>
    <t>B12</t>
  </si>
  <si>
    <t>Source provides all-in rate only. | The live management case is formula-linked through PROJECTS register and DEBT; executed lender terms remain an OWNER DECISION. | Phase 4: active formula bridge to the live model; provisional controls remain subject to the stated evidence requirement.</t>
  </si>
  <si>
    <t>DEBT-008</t>
  </si>
  <si>
    <t>Construction facility | Commitment fee</t>
  </si>
  <si>
    <t>B14</t>
  </si>
  <si>
    <t>DEBT-009</t>
  </si>
  <si>
    <t>Construction facility | Line fee</t>
  </si>
  <si>
    <t>B16</t>
  </si>
  <si>
    <t>DEBT-010</t>
  </si>
  <si>
    <t>Construction facility | Interest basis</t>
  </si>
  <si>
    <t>B17</t>
  </si>
  <si>
    <t>DEBT-011</t>
  </si>
  <si>
    <t>Construction facility | Covenant drawstop enabled</t>
  </si>
  <si>
    <t>B21</t>
  </si>
  <si>
    <t>DEBT-012</t>
  </si>
  <si>
    <t>Working capital | Working-capital base rate</t>
  </si>
  <si>
    <t>B25</t>
  </si>
  <si>
    <t>DEBT-013</t>
  </si>
  <si>
    <t>Working capital | Minimum cash balance</t>
  </si>
  <si>
    <t>B27</t>
  </si>
  <si>
    <t>DEBT-014</t>
  </si>
  <si>
    <t>Working capital | Unused-line fee</t>
  </si>
  <si>
    <t>B28</t>
  </si>
  <si>
    <t>DEBT-015</t>
  </si>
  <si>
    <t>Term debt | Conversion trigger</t>
  </si>
  <si>
    <t>B33</t>
  </si>
  <si>
    <t>Stabilisation</t>
  </si>
  <si>
    <t>DEBT-016</t>
  </si>
  <si>
    <t>Term debt | Working-capital debt may refinance</t>
  </si>
  <si>
    <t>B36</t>
  </si>
  <si>
    <t>DEBT-017</t>
  </si>
  <si>
    <t>Term debt | Term-debt LTV limit</t>
  </si>
  <si>
    <t>B38</t>
  </si>
  <si>
    <t>DEBT-018</t>
  </si>
  <si>
    <t>Term debt | Term</t>
  </si>
  <si>
    <t>B41</t>
  </si>
  <si>
    <t>Linked — source register</t>
  </si>
  <si>
    <t>760 | The live management case is formula-linked through PROJECTS register and DEBT; executed lender terms remain an OWNER DECISION. | Phase 3: DEBT!B41 uses URWLD COMPANY INPUTS!F771 (DBI-MD-D37, 10 Years); this supersedes the prior unsupported five-year placeholder and remains subject to executed lender terms.</t>
  </si>
  <si>
    <t>DEBT-019</t>
  </si>
  <si>
    <t>Term debt | Interest-only period</t>
  </si>
  <si>
    <t>B43</t>
  </si>
  <si>
    <t>DEBT-020</t>
  </si>
  <si>
    <t>Term debt | Repayment profile</t>
  </si>
  <si>
    <t>B44</t>
  </si>
  <si>
    <t>Interest-only followed by amortisation</t>
  </si>
  <si>
    <t>DEBT-021</t>
  </si>
  <si>
    <t>Term debt | Bullet percentage</t>
  </si>
  <si>
    <t>B45</t>
  </si>
  <si>
    <t>DEBT-022</t>
  </si>
  <si>
    <t>Term debt | Cash-sweep percentage</t>
  </si>
  <si>
    <t>B46</t>
  </si>
  <si>
    <t>DEBT-023</t>
  </si>
  <si>
    <t>Covenants | Minimum DSCR</t>
  </si>
  <si>
    <t>B48</t>
  </si>
  <si>
    <t>760 | The live management case is formula-linked through PROJECTS register and DEBT; executed lender terms remain an OWNER DECISION.</t>
  </si>
  <si>
    <t>DEBT-024</t>
  </si>
  <si>
    <t>Covenants | Minimum interest-cover ratio</t>
  </si>
  <si>
    <t>B49</t>
  </si>
  <si>
    <t>DEBT-025</t>
  </si>
  <si>
    <t>Covenants | Minimum debt yield</t>
  </si>
  <si>
    <t>B50</t>
  </si>
  <si>
    <t>DEBT-026</t>
  </si>
  <si>
    <t>Term debt | Debt-service reserve</t>
  </si>
  <si>
    <t>B51</t>
  </si>
  <si>
    <t>DEBT-SRC-001</t>
  </si>
  <si>
    <t>Project | Source senior debt</t>
  </si>
  <si>
    <t>MODEL DESIGN; PROJECT CASH FLOW</t>
  </si>
  <si>
    <t>C39; E79</t>
  </si>
  <si>
    <t>A$209.0m / A$219.59m</t>
  </si>
  <si>
    <t>I65/I75</t>
  </si>
  <si>
    <t>Not linked; target facility sizing preserved</t>
  </si>
  <si>
    <t>Mapped — reconciled funding stack</t>
  </si>
  <si>
    <t>MODEL DESIGN differs from PROJECT CASH FLOW construction funding of A$219.59m. | PROJECTS CAPEX sections and FUNDING &amp; CAP TABLE are authoritative: live construction debt plus residual funded equity equals total project funding.</t>
  </si>
  <si>
    <t>EQ-SRC-001</t>
  </si>
  <si>
    <t>Project | Source equity funding</t>
  </si>
  <si>
    <t>C40; E78</t>
  </si>
  <si>
    <t>A$240.0m / A$219.59m</t>
  </si>
  <si>
    <t>I60/I69</t>
  </si>
  <si>
    <t>Not linked; target equity sizing preserved</t>
  </si>
  <si>
    <t>MODEL DESIGN differs from PROJECT CASH FLOW equity of A$219.59m. | PROJECTS CAPEX sections and FUNDING &amp; CAP TABLE are authoritative: live construction debt plus residual funded equity equals total project funding.</t>
  </si>
  <si>
    <t>VAL-001</t>
  </si>
  <si>
    <t>Property | Market cap rate</t>
  </si>
  <si>
    <t>I161</t>
  </si>
  <si>
    <t>Current market capitalisation rate is the live management valuation input; independent market evidence remains required. | Live input: URWLD COMPANY INPUTS!F811 (DBI-ASM-B44).</t>
  </si>
  <si>
    <t>Obtain independent valuation evidence and approve the selected market assumptions.</t>
  </si>
  <si>
    <t>VAL-002</t>
  </si>
  <si>
    <t>Property | Terminal cap rate</t>
  </si>
  <si>
    <t>ASSUMPTIONS; MODEL DESIGN</t>
  </si>
  <si>
    <t>B45; C68</t>
  </si>
  <si>
    <t>I162</t>
  </si>
  <si>
    <t>OWNER DECISION</t>
  </si>
  <si>
    <t>The live base/downside/upside terminal-cap schedule is the selected model basis; independent evidence remains required. | The live Base/Downside/Upside valuation schedule controls; independent market evidence remains an OWNER DECISION. | Live input: URWLD COMPANY INPUTS!F813 (DBI-ASM-B46).</t>
  </si>
  <si>
    <t>Complete the external confirmation described in the Comment.</t>
  </si>
  <si>
    <t>VAL-003</t>
  </si>
  <si>
    <t>Property | Selling costs</t>
  </si>
  <si>
    <t>C70</t>
  </si>
  <si>
    <t>I163</t>
  </si>
  <si>
    <t>Selling-cost rate is a provisional management assumption pending transaction and valuation advice. | Live input: URWLD COMPANY INPUTS!F818 (DBI-MD-D73).</t>
  </si>
  <si>
    <t>VAL-004</t>
  </si>
  <si>
    <t>Project | Valuation discount rate</t>
  </si>
  <si>
    <t>B44; C67</t>
  </si>
  <si>
    <t>VALUATIONS</t>
  </si>
  <si>
    <t>B8</t>
  </si>
  <si>
    <t>Formula link to retained target value</t>
  </si>
  <si>
    <t>The live base/downside/upside discount-rate schedule is the selected model basis; independent evidence remains required. | The live Base/Downside/Upside valuation schedule controls; independent market evidence remains an OWNER DECISION.</t>
  </si>
  <si>
    <t>VAL-005</t>
  </si>
  <si>
    <t>Company / project | Required developer profit on cost</t>
  </si>
  <si>
    <t>Target: VALUATIONS</t>
  </si>
  <si>
    <t>B9</t>
  </si>
  <si>
    <t>No reliable agreed source input identified. | The management assumption is formula-linked through PROJECTS register and VALUATIONS; independent evidence remains an OWNER DECISION where applicable.</t>
  </si>
  <si>
    <t>VAL-006</t>
  </si>
  <si>
    <t>Company / project | OpCo EBITDA margin</t>
  </si>
  <si>
    <t>B10</t>
  </si>
  <si>
    <t>VAL-007</t>
  </si>
  <si>
    <t>Company / project | OpCo valuation multiple</t>
  </si>
  <si>
    <t>VAL-008</t>
  </si>
  <si>
    <t>Company / project | Fully diluted dilution</t>
  </si>
  <si>
    <t>VAL-009</t>
  </si>
  <si>
    <t>Company / project | Ownership units / shares</t>
  </si>
  <si>
    <t>B13</t>
  </si>
  <si>
    <t>VAL-010</t>
  </si>
  <si>
    <t>Company / project | Shareholder loans</t>
  </si>
  <si>
    <t>VAL-011</t>
  </si>
  <si>
    <t>Company / project | Other liabilities</t>
  </si>
  <si>
    <t>B15</t>
  </si>
  <si>
    <t>INV-001</t>
  </si>
  <si>
    <t>General partner | Investor name</t>
  </si>
  <si>
    <t>C228</t>
  </si>
  <si>
    <t>Sponsor / General Partner — illustrative waterfall</t>
  </si>
  <si>
    <t>Waived — named investor schedule controls</t>
  </si>
  <si>
    <t>Target placeholder retained; management confirmation required. | The generic GP/LP placeholder and waterfall assumptions are not used for named-investor attribution; the funded ordinary-equity register controls.</t>
  </si>
  <si>
    <t>Confirm executed investor identities, funded amounts, dilution and shareholder rights.</t>
  </si>
  <si>
    <t>INV-002</t>
  </si>
  <si>
    <t>Limited partner | Investor name</t>
  </si>
  <si>
    <t>C229</t>
  </si>
  <si>
    <t>External Equity / Limited Partner — illustrative waterfall</t>
  </si>
  <si>
    <t>INV-003</t>
  </si>
  <si>
    <t>General partner | Current ownership</t>
  </si>
  <si>
    <t>H228</t>
  </si>
  <si>
    <t>No source ownership schedule supports replacement. | The generic GP/LP placeholder and waterfall assumptions are not used for named-investor attribution; the funded ordinary-equity register controls.</t>
  </si>
  <si>
    <t>INV-004</t>
  </si>
  <si>
    <t>Limited partner | Current ownership</t>
  </si>
  <si>
    <t>H229</t>
  </si>
  <si>
    <t>760 | The generic GP/LP placeholder and waterfall assumptions are not used for named-investor attribution; the funded ordinary-equity register controls.</t>
  </si>
  <si>
    <t>INV-005</t>
  </si>
  <si>
    <t>Waterfall | Preferred return</t>
  </si>
  <si>
    <t>F233</t>
  </si>
  <si>
    <t>No source ownership/waterfall schedule supports replacement. | The generic GP/LP placeholder and waterfall assumptions are not used for named-investor attribution; the funded ordinary-equity register controls.</t>
  </si>
  <si>
    <t>INV-006</t>
  </si>
  <si>
    <t>Waterfall | Tier 1 hurdle</t>
  </si>
  <si>
    <t>F234</t>
  </si>
  <si>
    <t>INV-007</t>
  </si>
  <si>
    <t>Waterfall | Tier 2 hurdle</t>
  </si>
  <si>
    <t>F235</t>
  </si>
  <si>
    <t>INV-008</t>
  </si>
  <si>
    <t>Waterfall | Tier 1 promote</t>
  </si>
  <si>
    <t>G234</t>
  </si>
  <si>
    <t>INV-009</t>
  </si>
  <si>
    <t>Waterfall | Tier 2 promote</t>
  </si>
  <si>
    <t>G235</t>
  </si>
  <si>
    <t>INV-010</t>
  </si>
  <si>
    <t>Waterfall | Tier 3 promote</t>
  </si>
  <si>
    <t>G236</t>
  </si>
  <si>
    <t>INV-SRC-01</t>
  </si>
  <si>
    <t>Mayabay | Indicative source funding</t>
  </si>
  <si>
    <t>Investor waterfall</t>
  </si>
  <si>
    <t>Formula link to FUNDING &amp; CAP TABLE!D8</t>
  </si>
  <si>
    <t>Confirm investor identities, legal commitments, shareholder loans and fully diluted ownership. | The contribution is mapped into the funded ordinary-equity register; executed investor and shareholder-rights documents remain an OWNER DECISION. | Live input: URWLD COMPANY INPUTS!F752.</t>
  </si>
  <si>
    <t>INV-SRC-02</t>
  </si>
  <si>
    <t>Australian Investor 1 | Indicative source funding</t>
  </si>
  <si>
    <t>Formula link to FUNDING &amp; CAP TABLE!D9</t>
  </si>
  <si>
    <t>Confirm investor identities, legal commitments, shareholder loans and fully diluted ownership. | The contribution is mapped into the funded ordinary-equity register; executed investor and shareholder-rights documents remain an OWNER DECISION. | Live input: URWLD COMPANY INPUTS!F753.</t>
  </si>
  <si>
    <t>INV-SRC-03</t>
  </si>
  <si>
    <t>Australian Investor 2 | Indicative source funding</t>
  </si>
  <si>
    <t>E105</t>
  </si>
  <si>
    <t>Formula link to FUNDING &amp; CAP TABLE!D10</t>
  </si>
  <si>
    <t>Confirm investor identities, legal commitments, shareholder loans and fully diluted ownership. | The contribution is mapped into the funded ordinary-equity register; executed investor and shareholder-rights documents remain an OWNER DECISION. | Live input: URWLD COMPANY INPUTS!F754.</t>
  </si>
  <si>
    <t>INV-SRC-04</t>
  </si>
  <si>
    <t>Australian Investor 3 | Indicative source funding</t>
  </si>
  <si>
    <t>E106</t>
  </si>
  <si>
    <t>Formula link to FUNDING &amp; CAP TABLE!D11</t>
  </si>
  <si>
    <t>Confirm investor identities, legal commitments, shareholder loans and fully diluted ownership. | The contribution is mapped into the funded ordinary-equity register; executed investor and shareholder-rights documents remain an OWNER DECISION. | Live input: URWLD COMPANY INPUTS!F755.</t>
  </si>
  <si>
    <t>INV-SRC-05</t>
  </si>
  <si>
    <t>Australian Investor 4 | Indicative source funding</t>
  </si>
  <si>
    <t>E107</t>
  </si>
  <si>
    <t>Formula link to FUNDING &amp; CAP TABLE!D12</t>
  </si>
  <si>
    <t>Confirm investor identities, legal commitments, shareholder loans and fully diluted ownership. | The contribution is mapped into the funded ordinary-equity register; executed investor and shareholder-rights documents remain an OWNER DECISION. | Live input: URWLD COMPANY INPUTS!F756.</t>
  </si>
  <si>
    <t>INV-SRC-06</t>
  </si>
  <si>
    <t>Australian Investor 5 | Indicative source funding</t>
  </si>
  <si>
    <t>E108</t>
  </si>
  <si>
    <t>Formula link to FUNDING &amp; CAP TABLE!D13</t>
  </si>
  <si>
    <t>Confirm investor identities, legal commitments, shareholder loans and fully diluted ownership. | The contribution is mapped into the funded ordinary-equity register; executed investor and shareholder-rights documents remain an OWNER DECISION. | Live input: URWLD COMPANY INPUTS!F757.</t>
  </si>
  <si>
    <t>INV-SRC-07</t>
  </si>
  <si>
    <t>Australian Institutional Investors | Indicative source funding</t>
  </si>
  <si>
    <t>E109</t>
  </si>
  <si>
    <t>Formula link to FUNDING &amp; CAP TABLE!D14</t>
  </si>
  <si>
    <t>Confirm investor identities, legal commitments, shareholder loans and fully diluted ownership. | The contribution is mapped into the funded ordinary-equity register; executed investor and shareholder-rights documents remain an OWNER DECISION. | Live input: URWLD COMPANY INPUTS!F758.</t>
  </si>
  <si>
    <t>INV-SRC-08</t>
  </si>
  <si>
    <t>Australian Institutional / Developer residual | Indicative source funding</t>
  </si>
  <si>
    <t>E110</t>
  </si>
  <si>
    <t>Confirm investor identities, legal commitments, shareholder loans and fully diluted ownership. | The contribution is mapped into the funded ordinary-equity register; executed investor and shareholder-rights documents remain an OWNER DECISION.</t>
  </si>
  <si>
    <t>ISSUE REGISTER | MANAGEMENT CONFIRMATION REQUIRED</t>
  </si>
  <si>
    <t>Issue ID</t>
  </si>
  <si>
    <t>Severity</t>
  </si>
  <si>
    <t>Affected Outputs</t>
  </si>
  <si>
    <t>Management Action</t>
  </si>
  <si>
    <t>ISS-001</t>
  </si>
  <si>
    <t>Scope conflict</t>
  </si>
  <si>
    <t>P2</t>
  </si>
  <si>
    <t>The current detailed data-book component budget is now controlling. The older A$469.187m scope is retained as superseded evidence only.</t>
  </si>
  <si>
    <t>CAPEX, funding, debt, valuation and investor returns</t>
  </si>
  <si>
    <t>Obtain approved QS sign-off on the current detailed data-book budget.</t>
  </si>
  <si>
    <t>Closed</t>
  </si>
  <si>
    <t>Internal governance / audit</t>
  </si>
  <si>
    <t>ISS-002</t>
  </si>
  <si>
    <t>Programme conflict</t>
  </si>
  <si>
    <t>Q2 2029 has been selected and linked through the construction, opening, stabilisation, debt-conversion and hold-strategy dates.</t>
  </si>
  <si>
    <t>Capex timing, debt interest, lease-up and valuation</t>
  </si>
  <si>
    <t>Confirm the approved baseline programme and longstop in executed documents.</t>
  </si>
  <si>
    <t>ISS-003</t>
  </si>
  <si>
    <t>Area conflict</t>
  </si>
  <si>
    <t>The live 78,312.38 sqm detailed component schedule is the control total. Conflicting source summaries are retained as evidence but not added.</t>
  </si>
  <si>
    <t>Capex rates, rents and component valuation</t>
  </si>
  <si>
    <t>Confirm the detailed area schedule with design/QS documentation.</t>
  </si>
  <si>
    <t>ISS-004</t>
  </si>
  <si>
    <t>Component conflict</t>
  </si>
  <si>
    <t>Target ancillary areas are retained because they form part of the live detailed model; wider source areas are treated as shared/precinct space to avoid double counting.</t>
  </si>
  <si>
    <t>Ancillary capex, revenue and valuation</t>
  </si>
  <si>
    <t>Confirm final tenancy and shared-area attribution.</t>
  </si>
  <si>
    <t>ISS-005</t>
  </si>
  <si>
    <t>Funding conflict</t>
  </si>
  <si>
    <t>The source funded structure is A$209.379m debt and A$209.379m equity. An A$150m Master Developer commitment is linked, with the funded draw limited to the required residual.</t>
  </si>
  <si>
    <t>Sources and uses, ownership and investor returns</t>
  </si>
  <si>
    <t>Confirm lender commitment and executed investor commitments.</t>
  </si>
  <si>
    <t>ISS-006</t>
  </si>
  <si>
    <t>Valuation conflict</t>
  </si>
  <si>
    <t>One central base/downside/upside set of cap rates, discount rates and selling costs now drives the live valuation and hold strategy.</t>
  </si>
  <si>
    <t>Property value, enterprise value and equity value</t>
  </si>
  <si>
    <t>Obtain independent valuation evidence and approved rates.</t>
  </si>
  <si>
    <t>Closed — technical; OWNER DECISION outstanding</t>
  </si>
  <si>
    <t>ISS-007</t>
  </si>
  <si>
    <t>Missing ownership data</t>
  </si>
  <si>
    <t>David Gifford is reconciled to the current data-book funded amount of A$10.0m. Older A$12m/A$15.5m references are superseded.</t>
  </si>
  <si>
    <t>David Gifford value, ownership, IRR and MOIC</t>
  </si>
  <si>
    <t>Confirm executed subscription amount and funding date.</t>
  </si>
  <si>
    <t>ISS-008</t>
  </si>
  <si>
    <t>Missing lender terms</t>
  </si>
  <si>
    <t>A provisional lender case now sizes construction and term debt to LTV and rolling 12-month DSCR, refinances fees correctly and prevents post-maturity construction debt.</t>
  </si>
  <si>
    <t>Debt service, fees, distributions and refinance</t>
  </si>
  <si>
    <t>Replace provisional terms with an executed lender term sheet.</t>
  </si>
  <si>
    <t>ISS-009</t>
  </si>
  <si>
    <t>Source formula errors</t>
  </si>
  <si>
    <t>P3</t>
  </si>
  <si>
    <t>The source data-book formula errors remain isolated from the target model.</t>
  </si>
  <si>
    <t>Source summaries and dashboards</t>
  </si>
  <si>
    <t>Repair the source workbook separately before relying on its broken dashboards.</t>
  </si>
  <si>
    <t>Waived — source defect isolated</t>
  </si>
  <si>
    <t>ISS-010</t>
  </si>
  <si>
    <t>Tax / working capital gap</t>
  </si>
  <si>
    <t>Monthly GST funding/recovery, tax-loss carryforwards, cash tax and operating working capital are now formula linked using clearly labelled provisional assumptions.</t>
  </si>
  <si>
    <t>CFADS, working-capital debt and DSCR</t>
  </si>
  <si>
    <t>Replace proxies with tax-adviser and operating-budget schedules.</t>
  </si>
  <si>
    <t>CONTROLS | OK OR CLEAR EXCEPTION</t>
  </si>
  <si>
    <t>Check ID</t>
  </si>
  <si>
    <t>CHK-001</t>
  </si>
  <si>
    <t>Source component capex equals source component total</t>
  </si>
  <si>
    <t>A$m source component schedule.</t>
  </si>
  <si>
    <t>CHK-002</t>
  </si>
  <si>
    <t>Target capex timing equals target project cost before carry</t>
  </si>
  <si>
    <t>Existing target formulas; carry costs reconcile separately in the debt module.</t>
  </si>
  <si>
    <t>CHK-003</t>
  </si>
  <si>
    <t>Target component revenue equals total rental revenue</t>
  </si>
  <si>
    <t>Year-1 target rental schedule.</t>
  </si>
  <si>
    <t>CHK-004</t>
  </si>
  <si>
    <t>Target operating expenses equal total operating expenses</t>
  </si>
  <si>
    <t>Target operating schedule.</t>
  </si>
  <si>
    <t>CHK-005</t>
  </si>
  <si>
    <t>Target NOI reconciles to revenue less opex</t>
  </si>
  <si>
    <t>Target stabilised schedule.</t>
  </si>
  <si>
    <t>CHK-006</t>
  </si>
  <si>
    <t>Programme dates are logical</t>
  </si>
  <si>
    <t>The Q2 2029 target date sequence is the selected live programme; executed programme and longstop documentation remain an OWNER DECISION.</t>
  </si>
  <si>
    <t>CHK-007</t>
  </si>
  <si>
    <t>Lease inputs reconcile to lease revenue</t>
  </si>
  <si>
    <t>Property-rent components only; zero-rent OpCos remain in Tenant Report.</t>
  </si>
  <si>
    <t>CHK-008</t>
  </si>
  <si>
    <t>Debt assumptions reconcile to DEBT</t>
  </si>
  <si>
    <t>All-in rates and LTC.</t>
  </si>
  <si>
    <t>CHK-009</t>
  </si>
  <si>
    <t>Valuation assumptions reconcile to VALUATIONS</t>
  </si>
  <si>
    <t>Market cap, terminal cap and selling costs.</t>
  </si>
  <si>
    <t>CHK-010</t>
  </si>
  <si>
    <t>Named ordinary-equity register; GP/LP placeholder is not used for named-investor attribution.</t>
  </si>
  <si>
    <t>CHK-011</t>
  </si>
  <si>
    <t>Site-area units are consistent</t>
  </si>
  <si>
    <t>Acres to square metres.</t>
  </si>
  <si>
    <t>CHK-012</t>
  </si>
  <si>
    <t>No existing formula was overwritten by a static value</t>
  </si>
  <si>
    <t>Revised scope drivers and investor outputs are formula-linked; package QA tests the complete mapping manifest.</t>
  </si>
  <si>
    <t>CHK-013</t>
  </si>
  <si>
    <t>No conflicting double mapping</t>
  </si>
  <si>
    <t>Resolved programme, area and valuation selections are documented in the issue register; legal and evidence confirmations remain P2 matters.</t>
  </si>
  <si>
    <t>Phase 5: unresolved minimum DSCR remains blank at source; distributions are explicitly blocked in the debt engine until the covenant is approved.</t>
  </si>
  <si>
    <t>CHK-014</t>
  </si>
  <si>
    <t>Release-package QA confirms no externalLink parts were introduced.</t>
  </si>
  <si>
    <t>CHK-015</t>
  </si>
  <si>
    <t>No circular references added</t>
  </si>
  <si>
    <t>Formula-driven release control; static dependency scan found no cycles and workbook iteration remains disabled.</t>
  </si>
  <si>
    <t>CHK-016</t>
  </si>
  <si>
    <t>No Excel errors in target workbook</t>
  </si>
  <si>
    <t>Whole-workbook formula-error scan covers all active worksheets, including governance, migration and the full source-evidence register.</t>
  </si>
  <si>
    <t>CHK-017</t>
  </si>
  <si>
    <t>Source and target project scopes reconcile</t>
  </si>
  <si>
    <t>Current data-book total project funding requirement versus live Underwriting total uses.</t>
  </si>
  <si>
    <t>CHK-020</t>
  </si>
  <si>
    <t>Data-book input coverage and structure</t>
  </si>
  <si>
    <t>All 29 source sheets reviewed; malformed scenario values removed; appended source references aligned.</t>
  </si>
  <si>
    <t>OVERALL MODEL STATUS</t>
  </si>
  <si>
    <t>Technical architecture and migration controls are complete. The known balance-sheet failure and external lender, investor, tax, valuation, QS, lease, programme and PBSA-classification decisions remain explicitly outstanding.</t>
  </si>
  <si>
    <t>TECHNICALLY RECONCILED — OWNER DECISIONS OUTSTANDING</t>
  </si>
  <si>
    <t>STRATEGY CONTROL | BUILD &amp; SELL VERSUS BUILD &amp; HOLD</t>
  </si>
  <si>
    <t>CHK-018</t>
  </si>
  <si>
    <t>Build &amp; Sell versus Build &amp; Hold distinction</t>
  </si>
  <si>
    <t>Separate ten-year post-stabilisation NOI, capex, tax, terminal value, debt amortisation and equity cash-flow schedule on VALUATIONS.</t>
  </si>
  <si>
    <t>CHK-019</t>
  </si>
  <si>
    <t>Selected scenario covenant compliance</t>
  </si>
  <si>
    <t>Scenario debt is capacity-sized; the selected-case monthly waterfall uses rolling 12-month post-conversion covenant tests.</t>
  </si>
  <si>
    <t>Base, downside and upside project, equity and selected-investor returns are calculated from actual dated live cash flows. Downside delays positive receipts by six months and applies scenario cost/NOI/value factors; upside applies the existing cost, operating and valuation factors.</t>
  </si>
  <si>
    <t>Scenario XIRR, XNPV, MOIC and investor-return outputs</t>
  </si>
  <si>
    <t>Scenario factors remain management inputs and require approval.</t>
  </si>
  <si>
    <t>Closed - formulas dynamic</t>
  </si>
  <si>
    <t>AUDIT FINDINGS | ROOT CAUSE, IMPACT AND STATUS</t>
  </si>
  <si>
    <t>Finding ID</t>
  </si>
  <si>
    <t>Root cause / finding</t>
  </si>
  <si>
    <t>Affected outputs</t>
  </si>
  <si>
    <t>Correction / evidence required</t>
  </si>
  <si>
    <t>AUD-001</t>
  </si>
  <si>
    <t>Scope integration</t>
  </si>
  <si>
    <t>Construction funding distinguishes the instructed target, lender-constrained commitment and actual dated draws. Debt funds only current eligible uses; equity is the residual dated contribution. Permanent debt is separately DSCR/LTV constrained and any take-out gap is explicit.</t>
  </si>
  <si>
    <t>AUD-002</t>
  </si>
  <si>
    <t>Programme integration</t>
  </si>
  <si>
    <t>Q2 2029 completion is linked through all development, opening, stabilisation and refinancing dates.</t>
  </si>
  <si>
    <t>Capex timing, capitalised interest, lease-up and valuation date</t>
  </si>
  <si>
    <t>Provide the approved programme and milestone schedule.</t>
  </si>
  <si>
    <t>AUD-003</t>
  </si>
  <si>
    <t>Ownership integration</t>
  </si>
  <si>
    <t>The eight-line interim ordinary-equity register is formula-scaled to residual equity after financeable debt.</t>
  </si>
  <si>
    <t>AUD-004</t>
  </si>
  <si>
    <t>Valuation evidence</t>
  </si>
  <si>
    <t>Central valuation assumptions now reconcile across sale, SOTP and hold cases; independent evidence is still required.</t>
  </si>
  <si>
    <t>Enterprise value, equity value, LTV and investor returns</t>
  </si>
  <si>
    <t>Provide an independent valuation and approved valuation assumptions.</t>
  </si>
  <si>
    <t>AUD-005</t>
  </si>
  <si>
    <t>Lender terms</t>
  </si>
  <si>
    <t>Construction debt is independently sized to target and LTV, recurring DSCR excludes bullet/refinancing repayments, and term scheduled principal uses the full opening-plus-conversion balance divided by the remaining amortisation period. The legacy funding loop and missing-parentheses defect were removed.</t>
  </si>
  <si>
    <t>AUD-006</t>
  </si>
  <si>
    <t>Tax and liquidity</t>
  </si>
  <si>
    <t>GST timing, tax-loss carryforwards, cash tax and operating working capital are formula-linked using provisional assumptions.</t>
  </si>
  <si>
    <t>Funding gap, CFADS, DSCR and equity requirement</t>
  </si>
  <si>
    <t>Provide tax, GST and working-capital schedules.</t>
  </si>
  <si>
    <t>AUD-007</t>
  </si>
  <si>
    <t>Investor outputs</t>
  </si>
  <si>
    <t>Investor-facing outputs remain formula linked and update with residual equity and scenarios.</t>
  </si>
  <si>
    <t>All investor-facing values and narratives</t>
  </si>
  <si>
    <t>Converted material investor outputs to live formulas and retained the input selector.</t>
  </si>
  <si>
    <t>AUD-008</t>
  </si>
  <si>
    <t>Control design</t>
  </si>
  <si>
    <t>Controls test live calculations and return actionable exceptions.</t>
  </si>
  <si>
    <t>Model status and lender controls</t>
  </si>
  <si>
    <t>Replaced hardcoded controls with formulas or explicit release-QA exceptions; repaired the facility-limit control.</t>
  </si>
  <si>
    <t>AUD-009</t>
  </si>
  <si>
    <t>Defined names</t>
  </si>
  <si>
    <t>Defined-name repairs remain intact.</t>
  </si>
  <si>
    <t>Workbook governance</t>
  </si>
  <si>
    <t>Remove the two invalid unused names after confirming no formula dependency.</t>
  </si>
  <si>
    <t>AUD-010</t>
  </si>
  <si>
    <t>Reasonableness</t>
  </si>
  <si>
    <t>The selected scope materially exceeds current value; financeable leverage is below the 50% target. This is an economic result, not a formula defect.</t>
  </si>
  <si>
    <t>AUD-011</t>
  </si>
  <si>
    <t>Strategy distinction</t>
  </si>
  <si>
    <t>A separate ten-year Build &amp; Hold cash-flow, debt-amortisation and terminal-value strategy now operates independently from Build &amp; Sell.</t>
  </si>
  <si>
    <t>CHANGE LOG | CORRECTIONS IMPLEMENTED</t>
  </si>
  <si>
    <t>Change ID</t>
  </si>
  <si>
    <t>Area</t>
  </si>
  <si>
    <t>Correction</t>
  </si>
  <si>
    <t>Root cause</t>
  </si>
  <si>
    <t>Downstream test</t>
  </si>
  <si>
    <t>CHG-001</t>
  </si>
  <si>
    <t>PROJECTS register</t>
  </si>
  <si>
    <t>Expanded central register to 14 columns and migrated named investor contributions.</t>
  </si>
  <si>
    <t>Missing source/date/status/owner fields and disconnected investor inputs.</t>
  </si>
  <si>
    <t>Mapped target cells and investor selector tested.</t>
  </si>
  <si>
    <t>CHG-002</t>
  </si>
  <si>
    <t>Investor sheets</t>
  </si>
  <si>
    <t>Converted material values, dates, sensitivities and numeric narratives to formulas.</t>
  </si>
  <si>
    <t>Investor-facing sheets contained no live formulas.</t>
  </si>
  <si>
    <t>Selector and eight investors tested in native Excel.</t>
  </si>
  <si>
    <t>CHG-003</t>
  </si>
  <si>
    <t>Controls</t>
  </si>
  <si>
    <t>Replaced hardcoded OK results and added dynamic error/static-output/model-status controls.</t>
  </si>
  <si>
    <t>Controls could pass without testing underlying logic.</t>
  </si>
  <si>
    <t>Formula scan, native Excel and package QA.</t>
  </si>
  <si>
    <t>CHG-004</t>
  </si>
  <si>
    <t>Repaired construction commitment control to compare closing drawn debt with closing commitment.</t>
  </si>
  <si>
    <t>Prior expression could not identify an overdraw while headroom was non-negative.</t>
  </si>
  <si>
    <t>Base/downside/upside recalculated.</t>
  </si>
  <si>
    <t>CHG-005</t>
  </si>
  <si>
    <t>Removed two invalid unused names.</t>
  </si>
  <si>
    <t>Deleted template references were removed; no broken defined names remain.</t>
  </si>
  <si>
    <t>Formula and VBA dependency scan.</t>
  </si>
  <si>
    <t>CHG-006</t>
  </si>
  <si>
    <t>Formula and strategy QA</t>
  </si>
  <si>
    <t>Corrected investor narrative formula formats, made text-safe operating links and added the missing strategy distinction control.</t>
  </si>
  <si>
    <t>Native Excel identified presentation-sheet formula errors and no independent Build &amp; Hold case.</t>
  </si>
  <si>
    <t>CHG-007</t>
  </si>
  <si>
    <t>Scope, funding and ownership</t>
  </si>
  <si>
    <t>Integrated the A$469.187m selected scope, provisional 50:50 debt/equity funding and pro-rata named-investor allocation.</t>
  </si>
  <si>
    <t>Management resolved the open scope and funding conflicts on 26 Jul 2026.</t>
  </si>
  <si>
    <t>ADDITIONAL INPUT MAPPINGS | NAMED INVESTOR REGISTER</t>
  </si>
  <si>
    <t>Conflict</t>
  </si>
  <si>
    <t>INV-NAMED-01-INIT</t>
  </si>
  <si>
    <t>David Gifford | Initial contribution</t>
  </si>
  <si>
    <t>Pre-audit named investor register</t>
  </si>
  <si>
    <t>Valuation &amp; Investor Returns!D26</t>
  </si>
  <si>
    <t>Valuation &amp; Investor Returns</t>
  </si>
  <si>
    <t>D26</t>
  </si>
  <si>
    <t>Formula link to PROJECTS register!G138</t>
  </si>
  <si>
    <t>Waived — superseded historic allocation</t>
  </si>
  <si>
    <t>Source contribution retained as the pro-rata allocation basis; the live contribution is formula-scaled to the 50% equity target. | The historic split is retained as evidence only; FUNDING &amp; CAP TABLE and Valuation &amp; Investor Returns now control funded equity, ownership and investor value.</t>
  </si>
  <si>
    <t>Target model — pre-audit register</t>
  </si>
  <si>
    <t>INV-NAMED-01-PRE</t>
  </si>
  <si>
    <t>David Gifford | Pre-construction contribution</t>
  </si>
  <si>
    <t>Valuation &amp; Investor Returns!E26</t>
  </si>
  <si>
    <t>E26</t>
  </si>
  <si>
    <t>Formula link to PROJECTS register!G139</t>
  </si>
  <si>
    <t>INV-NAMED-01-FUT</t>
  </si>
  <si>
    <t>David Gifford | Future development contribution</t>
  </si>
  <si>
    <t>Valuation &amp; Investor Returns!F26</t>
  </si>
  <si>
    <t>F26</t>
  </si>
  <si>
    <t>Formula link to PROJECTS register!G140</t>
  </si>
  <si>
    <t>INV-NAMED-02-INIT</t>
  </si>
  <si>
    <t>Mayabay Investments Pte Ltd | Initial contribution</t>
  </si>
  <si>
    <t>Valuation &amp; Investor Returns!D27</t>
  </si>
  <si>
    <t>D27</t>
  </si>
  <si>
    <t>Formula link to PROJECTS register!G141</t>
  </si>
  <si>
    <t>INV-NAMED-02-PRE</t>
  </si>
  <si>
    <t>Mayabay Investments Pte Ltd | Pre-construction contribution</t>
  </si>
  <si>
    <t>Valuation &amp; Investor Returns!E27</t>
  </si>
  <si>
    <t>E27</t>
  </si>
  <si>
    <t>Formula link to PROJECTS register!G142</t>
  </si>
  <si>
    <t>INV-NAMED-02-FUT</t>
  </si>
  <si>
    <t>Mayabay Investments Pte Ltd | Future development contribution</t>
  </si>
  <si>
    <t>Valuation &amp; Investor Returns!F27</t>
  </si>
  <si>
    <t>F27</t>
  </si>
  <si>
    <t>Formula link to PROJECTS register!G143</t>
  </si>
  <si>
    <t>INV-NAMED-03-INIT</t>
  </si>
  <si>
    <t>Australian Investor 2 | Initial contribution</t>
  </si>
  <si>
    <t>Valuation &amp; Investor Returns!D28</t>
  </si>
  <si>
    <t>D28</t>
  </si>
  <si>
    <t>Formula link to PROJECTS register!G144</t>
  </si>
  <si>
    <t>INV-NAMED-03-PRE</t>
  </si>
  <si>
    <t>Australian Investor 2 | Pre-construction contribution</t>
  </si>
  <si>
    <t>Valuation &amp; Investor Returns!E28</t>
  </si>
  <si>
    <t>E28</t>
  </si>
  <si>
    <t>Formula link to PROJECTS register!G145</t>
  </si>
  <si>
    <t>INV-NAMED-03-FUT</t>
  </si>
  <si>
    <t>Australian Investor 2 | Future development contribution</t>
  </si>
  <si>
    <t>Valuation &amp; Investor Returns!F28</t>
  </si>
  <si>
    <t>F28</t>
  </si>
  <si>
    <t>Formula link to PROJECTS register!G146</t>
  </si>
  <si>
    <t>INV-NAMED-04-INIT</t>
  </si>
  <si>
    <t>Australian Investor 3 | Initial contribution</t>
  </si>
  <si>
    <t>Valuation &amp; Investor Returns!D29</t>
  </si>
  <si>
    <t>D29</t>
  </si>
  <si>
    <t>Formula link to PROJECTS register!G147</t>
  </si>
  <si>
    <t>INV-NAMED-04-PRE</t>
  </si>
  <si>
    <t>Australian Investor 3 | Pre-construction contribution</t>
  </si>
  <si>
    <t>Valuation &amp; Investor Returns!E29</t>
  </si>
  <si>
    <t>E29</t>
  </si>
  <si>
    <t>Formula link to PROJECTS register!G148</t>
  </si>
  <si>
    <t>INV-NAMED-04-FUT</t>
  </si>
  <si>
    <t>Australian Investor 3 | Future development contribution</t>
  </si>
  <si>
    <t>Valuation &amp; Investor Returns!F29</t>
  </si>
  <si>
    <t>F29</t>
  </si>
  <si>
    <t>Formula link to PROJECTS register!G149</t>
  </si>
  <si>
    <t>INV-NAMED-05-INIT</t>
  </si>
  <si>
    <t>Australian Investor 4 | Initial contribution</t>
  </si>
  <si>
    <t>Valuation &amp; Investor Returns!D30</t>
  </si>
  <si>
    <t>D30</t>
  </si>
  <si>
    <t>Formula link to PROJECTS register!G150</t>
  </si>
  <si>
    <t>INV-NAMED-05-PRE</t>
  </si>
  <si>
    <t>Australian Investor 4 | Pre-construction contribution</t>
  </si>
  <si>
    <t>Valuation &amp; Investor Returns!E30</t>
  </si>
  <si>
    <t>E30</t>
  </si>
  <si>
    <t>Formula link to PROJECTS register!G151</t>
  </si>
  <si>
    <t>INV-NAMED-05-FUT</t>
  </si>
  <si>
    <t>Australian Investor 4 | Future development contribution</t>
  </si>
  <si>
    <t>Valuation &amp; Investor Returns!F30</t>
  </si>
  <si>
    <t>F30</t>
  </si>
  <si>
    <t>Formula link to PROJECTS register!G152</t>
  </si>
  <si>
    <t>INV-NAMED-06-INIT</t>
  </si>
  <si>
    <t>Australian Investor 5 | Initial contribution</t>
  </si>
  <si>
    <t>Valuation &amp; Investor Returns!D31</t>
  </si>
  <si>
    <t>D31</t>
  </si>
  <si>
    <t>Formula link to PROJECTS register!G153</t>
  </si>
  <si>
    <t>INV-NAMED-06-PRE</t>
  </si>
  <si>
    <t>Australian Investor 5 | Pre-construction contribution</t>
  </si>
  <si>
    <t>Valuation &amp; Investor Returns!E31</t>
  </si>
  <si>
    <t>E31</t>
  </si>
  <si>
    <t>Formula link to PROJECTS register!G154</t>
  </si>
  <si>
    <t>INV-NAMED-06-FUT</t>
  </si>
  <si>
    <t>Australian Investor 5 | Future development contribution</t>
  </si>
  <si>
    <t>Valuation &amp; Investor Returns!F31</t>
  </si>
  <si>
    <t>F31</t>
  </si>
  <si>
    <t>Formula link to PROJECTS register!G155</t>
  </si>
  <si>
    <t>INV-NAMED-07-INIT</t>
  </si>
  <si>
    <t>Australian Institutional Investors | Initial contribution</t>
  </si>
  <si>
    <t>Valuation &amp; Investor Returns!D32</t>
  </si>
  <si>
    <t>D32</t>
  </si>
  <si>
    <t>Formula link to PROJECTS register!G156</t>
  </si>
  <si>
    <t>INV-NAMED-07-PRE</t>
  </si>
  <si>
    <t>Australian Institutional Investors | Pre-construction contribution</t>
  </si>
  <si>
    <t>Valuation &amp; Investor Returns!E32</t>
  </si>
  <si>
    <t>E32</t>
  </si>
  <si>
    <t>Formula link to PROJECTS register!G157</t>
  </si>
  <si>
    <t>INV-NAMED-07-FUT</t>
  </si>
  <si>
    <t>Australian Institutional Investors | Future development contribution</t>
  </si>
  <si>
    <t>Valuation &amp; Investor Returns!F32</t>
  </si>
  <si>
    <t>F32</t>
  </si>
  <si>
    <t>Formula link to PROJECTS register!G158</t>
  </si>
  <si>
    <t>INV-NAMED-08-INIT</t>
  </si>
  <si>
    <t>Australian Institutional / Developer | Initial contribution</t>
  </si>
  <si>
    <t>Valuation &amp; Investor Returns!D33</t>
  </si>
  <si>
    <t>D33</t>
  </si>
  <si>
    <t>Formula link to PROJECTS register!G159</t>
  </si>
  <si>
    <t>INV-NAMED-08-PRE</t>
  </si>
  <si>
    <t>Australian Institutional / Developer | Pre-construction contribution</t>
  </si>
  <si>
    <t>Valuation &amp; Investor Returns!E33</t>
  </si>
  <si>
    <t>E33</t>
  </si>
  <si>
    <t>Formula link to PROJECTS register!G160</t>
  </si>
  <si>
    <t>INV-NAMED-08-FUT</t>
  </si>
  <si>
    <t>Australian Institutional / Developer | Future development contribution</t>
  </si>
  <si>
    <t>Valuation &amp; Investor Returns!F33</t>
  </si>
  <si>
    <t>F33</t>
  </si>
  <si>
    <t>Formula link to PROJECTS register!G161</t>
  </si>
  <si>
    <t>FUND-SCOPE-001</t>
  </si>
  <si>
    <t>Selected total project scope</t>
  </si>
  <si>
    <t>Management direction</t>
  </si>
  <si>
    <t>User instruction | 26 Jul 2026</t>
  </si>
  <si>
    <t>Inputs</t>
  </si>
  <si>
    <t>'PROJECT INPUTS'!E222:H222</t>
  </si>
  <si>
    <t>Documented input / linked scale</t>
  </si>
  <si>
    <t>Higher documented project scope selected by management.</t>
  </si>
  <si>
    <t>FUND-BASE-001</t>
  </si>
  <si>
    <t>Effective detailed-model baseline at 50:50 funding</t>
  </si>
  <si>
    <t>Derived model calibration</t>
  </si>
  <si>
    <t>Live monthly model</t>
  </si>
  <si>
    <t>G163</t>
  </si>
  <si>
    <t>Transparent calibration denominator</t>
  </si>
  <si>
    <t>Waived — superseded calibration</t>
  </si>
  <si>
    <t>Replace with reconciled detailed QS cost plan. | The temporary calibration is superseded by the reconciled detailed CAPEX and live Sources &amp; Uses.</t>
  </si>
  <si>
    <t>FUND-SCALE-001</t>
  </si>
  <si>
    <t>Scope alignment factor</t>
  </si>
  <si>
    <t>G162:G163</t>
  </si>
  <si>
    <t>Formula</t>
  </si>
  <si>
    <t>I27,I29,I34,I36,I43,I44,I53</t>
  </si>
  <si>
    <t>Formula-linked cost-driver scale</t>
  </si>
  <si>
    <t>Preserves existing cost mix and monthly timing.</t>
  </si>
  <si>
    <t>FUND-DEBT-SHARE</t>
  </si>
  <si>
    <t>Debt funding share</t>
  </si>
  <si>
    <t>'PROJECT INPUTS'!E180:H180</t>
  </si>
  <si>
    <t>Documented input / residual debt</t>
  </si>
  <si>
    <t>Provisional; lender confirmation required.</t>
  </si>
  <si>
    <t>FUND-EQUITY-SHARE</t>
  </si>
  <si>
    <t>Equity funding share</t>
  </si>
  <si>
    <t>G165</t>
  </si>
  <si>
    <t>'PROJECT INPUTS'!E185:H185</t>
  </si>
  <si>
    <t>One less debt share.</t>
  </si>
  <si>
    <t>FUND-DEBT-TARGET</t>
  </si>
  <si>
    <t>Target debt funding</t>
  </si>
  <si>
    <t>G162,G165</t>
  </si>
  <si>
    <t>B9 and live schedule</t>
  </si>
  <si>
    <t>Formula-linked output</t>
  </si>
  <si>
    <t>Subject to facility and covenant constraints.</t>
  </si>
  <si>
    <t>FUND-EQUITY-TARGET</t>
  </si>
  <si>
    <t>Target equity funding</t>
  </si>
  <si>
    <t>G162,G166</t>
  </si>
  <si>
    <t>I60 and monthly equity waterfall</t>
  </si>
  <si>
    <t>Formula-linked source</t>
  </si>
  <si>
    <t>Allocated across eight named investor lines.</t>
  </si>
  <si>
    <t>INV-NAMED-BASE</t>
  </si>
  <si>
    <t>Named-investor register baseline</t>
  </si>
  <si>
    <t>DATA MAP</t>
  </si>
  <si>
    <t>E203:E226</t>
  </si>
  <si>
    <t>'PROJECT INPUTS'!E187:H187</t>
  </si>
  <si>
    <t>Formula sum</t>
  </si>
  <si>
    <t>Original register retained for traceability. | The historic split is retained as evidence only; FUNDING &amp; CAP TABLE and Valuation &amp; Investor Returns now control funded equity, ownership and investor value.</t>
  </si>
  <si>
    <t>INV-NAMED-SCALE</t>
  </si>
  <si>
    <t>Named-investor allocation factor</t>
  </si>
  <si>
    <t>G168:G169</t>
  </si>
  <si>
    <t>'PROJECT INPUTS'!E96:H96</t>
  </si>
  <si>
    <t>Pro-rata formulas</t>
  </si>
  <si>
    <t>No investor names or relative weights invented. | The historic split is retained as evidence only; FUNDING &amp; CAP TABLE and Valuation &amp; Investor Returns now control funded equity, ownership and investor value.</t>
  </si>
  <si>
    <t>CAPEX-BASE-LAND</t>
  </si>
  <si>
    <t>Pre-direction land purchase input</t>
  </si>
  <si>
    <t>'PROJECT INPUTS'!E99:H99</t>
  </si>
  <si>
    <t>Baseline input retained</t>
  </si>
  <si>
    <t>Scaled through G164. | The detailed component build and Inputs compatibility register and detailed cost schedules are authoritative; conflicting summaries are evidence only and are not double counted.</t>
  </si>
  <si>
    <t>CAPEX-BASE-DD</t>
  </si>
  <si>
    <t>Pre-direction due-diligence input</t>
  </si>
  <si>
    <t>I29</t>
  </si>
  <si>
    <t>G172</t>
  </si>
  <si>
    <t>CAPEX-BASE-OFFSITE</t>
  </si>
  <si>
    <t>Pre-direction offsite-improvements input</t>
  </si>
  <si>
    <t>I36</t>
  </si>
  <si>
    <t>G173</t>
  </si>
  <si>
    <t>CAPEX-BASE-MKT</t>
  </si>
  <si>
    <t>Pre-direction marketing and leasing input</t>
  </si>
  <si>
    <t>I43</t>
  </si>
  <si>
    <t>G174</t>
  </si>
  <si>
    <t>CAPEX-BASE-TAX</t>
  </si>
  <si>
    <t>Pre-direction construction-period property-tax input</t>
  </si>
  <si>
    <t>I44</t>
  </si>
  <si>
    <t>G175</t>
  </si>
  <si>
    <t>CAPEX-BASE-FEE</t>
  </si>
  <si>
    <t>Pre-direction financing-fee input</t>
  </si>
  <si>
    <t>I53</t>
  </si>
  <si>
    <t>G176</t>
  </si>
  <si>
    <t>Not an agreed lender term. | The detailed component build and Inputs compatibility register and detailed cost schedules are authoritative; conflicting summaries are evidence only and are not double counted.</t>
  </si>
  <si>
    <t>CAPEX-BASE-RATE</t>
  </si>
  <si>
    <t>Pre-direction construction cost rate</t>
  </si>
  <si>
    <t>I34</t>
  </si>
  <si>
    <t>G177</t>
  </si>
  <si>
    <t>Baseline unit-rate input retained</t>
  </si>
  <si>
    <t>Area driver and S-curve remain live. | The detailed component build and Inputs compatibility register and detailed cost schedules are authoritative; conflicting summaries are evidence only and are not double counted.</t>
  </si>
  <si>
    <t>FUND-SCOPE-CHECK</t>
  </si>
  <si>
    <t>Selected scope less live total development cost</t>
  </si>
  <si>
    <t>G59,G162</t>
  </si>
  <si>
    <t>C171</t>
  </si>
  <si>
    <t>Formula control</t>
  </si>
  <si>
    <t>Must equal zero.</t>
  </si>
  <si>
    <t>PRG-PC-DATE</t>
  </si>
  <si>
    <t>Source programme / management selection</t>
  </si>
  <si>
    <t>Source programme / live date formulas</t>
  </si>
  <si>
    <t>'PROJECT INPUTS'!E165:H165</t>
  </si>
  <si>
    <t>Formula / linked calculation</t>
  </si>
  <si>
    <t>Q2 2029 selected as the controlling completion programme; the model uses 30 June 2029.</t>
  </si>
  <si>
    <t>PRG-OPEN-DATE</t>
  </si>
  <si>
    <t>Operations commencement date</t>
  </si>
  <si>
    <t>'PROJECT INPUTS'!E164:H164</t>
  </si>
  <si>
    <t>First month after practical completion.</t>
  </si>
  <si>
    <t>PRG-STAB-DATE</t>
  </si>
  <si>
    <t>First stabilised date</t>
  </si>
  <si>
    <t>Live monthly lease-up schedule</t>
  </si>
  <si>
    <t>'PROJECT INPUTS'!E160:H160</t>
  </si>
  <si>
    <t>Existing twelve-month operating ramp retained after the revised opening date. | Phase 5: lease-up is programme-driven; unresolved waterfall inputs remain blank at source and are coerced to fail-safe 0% GP / 100% LP only inside the calculation engine.</t>
  </si>
  <si>
    <t>AREA-CONTROL-TOTAL</t>
  </si>
  <si>
    <t>Controlling detailed component area</t>
  </si>
  <si>
    <t>Detailed target component schedule</t>
  </si>
  <si>
    <t>See PROJECTS register notes</t>
  </si>
  <si>
    <t>'PROJECT INPUTS'!E175:H175</t>
  </si>
  <si>
    <t>Detailed live component schedule selected; source summary differences are not added because that would double count shared ancillary space.</t>
  </si>
  <si>
    <t>AREA-CONTROL-CHECK</t>
  </si>
  <si>
    <t>Detailed component area less live model area</t>
  </si>
  <si>
    <t>Live model control</t>
  </si>
  <si>
    <t>'PROJECT INPUTS'!E182:H182</t>
  </si>
  <si>
    <t>SCOPE-LIVE-TDC</t>
  </si>
  <si>
    <t>Live total development cost</t>
  </si>
  <si>
    <t>'PROJECT INPUTS'!E194:H194</t>
  </si>
  <si>
    <t>Includes capitalised interest and financing fees generated by the revised programme and financeable debt.</t>
  </si>
  <si>
    <t>SCOPE-VARIANCE</t>
  </si>
  <si>
    <t>Live total development cost less selected scope</t>
  </si>
  <si>
    <t>'PROJECT INPUTS'!E195:H195</t>
  </si>
  <si>
    <t>A positive amount is an overrun; a negative amount is unused scope headroom.</t>
  </si>
  <si>
    <t>FUND-TARGET-DEBT</t>
  </si>
  <si>
    <t>50:50 target debt</t>
  </si>
  <si>
    <t>'PROJECT INPUTS'!E167:H167</t>
  </si>
  <si>
    <t>Target only; it is not forced where lender capacity is lower.</t>
  </si>
  <si>
    <t>FUND-LTV-CAP</t>
  </si>
  <si>
    <t>Gross debt capacity under base LTV</t>
  </si>
  <si>
    <t>Selected property value and provisional lender covenant</t>
  </si>
  <si>
    <t>'PROJECT INPUTS'!E277:H277</t>
  </si>
  <si>
    <t>Property value multiplied by the provisional 65% term LTV limit.</t>
  </si>
  <si>
    <t>FUND-DSCR-CAP</t>
  </si>
  <si>
    <t>Gross debt capacity under base DSCR</t>
  </si>
  <si>
    <t>Stabilised CFADS and provisional lender covenant</t>
  </si>
  <si>
    <t>'PROJECT INPUTS'!E276:H276</t>
  </si>
  <si>
    <t>Sized using stabilised NOI less lifecycle capex and scheduled interest plus straight-line amortisation; cash sweep is excluded.</t>
  </si>
  <si>
    <t>FUND-FINANCEABLE-DEBT</t>
  </si>
  <si>
    <t>Financeable net construction debt</t>
  </si>
  <si>
    <t>Lower of target, LTV and DSCR</t>
  </si>
  <si>
    <t>'PROJECT INPUTS'!E60:H60</t>
  </si>
  <si>
    <t>Net of the refinancing fee so gross term proceeds can repay construction debt and the fee in full.</t>
  </si>
  <si>
    <t>FUND-FINANCEABLE-SHARE</t>
  </si>
  <si>
    <t>Financeable debt share</t>
  </si>
  <si>
    <t>Live sources and uses</t>
  </si>
  <si>
    <t>'PROJECT INPUTS'!E186:H186</t>
  </si>
  <si>
    <t>May be below 50% where valuation or debt-service capacity constrains leverage.</t>
  </si>
  <si>
    <t>FUND-LIVE-EQUITY</t>
  </si>
  <si>
    <t>Calculated equity funding requirement</t>
  </si>
  <si>
    <t>'PROJECT INPUTS'!E172:H172</t>
  </si>
  <si>
    <t>Residual project uses after financeable debt; allocated pro rata across the eight-line interim investor register.</t>
  </si>
  <si>
    <t>FUND-LIVE-EQUITY-SHARE</t>
  </si>
  <si>
    <t>Calculated equity funding share</t>
  </si>
  <si>
    <t>'PROJECT INPUTS'!E173:H173</t>
  </si>
  <si>
    <t>Calculated from live equity divided by live total development cost.</t>
  </si>
  <si>
    <t>FUND-SOURCES-USES-CHECK</t>
  </si>
  <si>
    <t>Debt plus equity less live total uses</t>
  </si>
  <si>
    <t>'PROJECT INPUTS'!E181:H181</t>
  </si>
  <si>
    <t>TAX-CORP-RATE</t>
  </si>
  <si>
    <t>Australian corporate tax rate</t>
  </si>
  <si>
    <t>Illustrative pending tax advice</t>
  </si>
  <si>
    <t>'PROJECT INPUTS'!E171:H171</t>
  </si>
  <si>
    <t>Documented provisional input</t>
  </si>
  <si>
    <t>Applied only after tax-loss carryforwards and a provisional tax-depreciation allowance. | Phase 4: active formula bridge to the live model; provisional controls remain subject to the stated evidence requirement.</t>
  </si>
  <si>
    <t>TAX-DEPR-RATE</t>
  </si>
  <si>
    <t>Tax depreciation rate on development cost</t>
  </si>
  <si>
    <t>'PROJECT INPUTS'!E220:H220</t>
  </si>
  <si>
    <t>Straight-line proxy for debt-capacity and cash-tax modelling; replace with a tax depreciation schedule. | Phase 4: active formula bridge to the live model; provisional controls remain subject to the stated evidence requirement.</t>
  </si>
  <si>
    <t>GST-RATE</t>
  </si>
  <si>
    <t>GST rate</t>
  </si>
  <si>
    <t>Australian statutory rate / transaction treatment pending</t>
  </si>
  <si>
    <t>'PROJECT INPUTS'!E191:H191</t>
  </si>
  <si>
    <t>Applied only to the provisional GST-eligible development-spend percentage. | Phase 4: active formula bridge to the live model; provisional controls remain subject to the stated evidence requirement.</t>
  </si>
  <si>
    <t>GST-ELIGIBLE</t>
  </si>
  <si>
    <t>GST-eligible development spend</t>
  </si>
  <si>
    <t>'PROJECT INPUTS'!E70:H70</t>
  </si>
  <si>
    <t>Land, duty and non-creditable amounts are excluded through this provisional eligibility factor. | Phase 4: active formula bridge to the live model; provisional controls remain subject to the stated evidence requirement.</t>
  </si>
  <si>
    <t>GST-RECOVERY-LAG</t>
  </si>
  <si>
    <t>GST recovery lag</t>
  </si>
  <si>
    <t>Illustrative pending BAS profile</t>
  </si>
  <si>
    <t>'PROJECT INPUTS'!E192:H192</t>
  </si>
  <si>
    <t>Input GST is funded when paid and recovered two months later. | Phase 4: active formula bridge to the live model; provisional controls remain subject to the stated evidence requirement.</t>
  </si>
  <si>
    <t>WC-TARGET</t>
  </si>
  <si>
    <t>Illustrative pending operating budget</t>
  </si>
  <si>
    <t>'PROJECT INPUTS'!E198:H198</t>
  </si>
  <si>
    <t>Working-capital cash use is the monthly movement in the target balance. | Phase 4: active formula bridge to the live model; provisional controls remain subject to the stated evidence requirement.</t>
  </si>
  <si>
    <t>HOLD-PERIOD</t>
  </si>
  <si>
    <t>Illustrative strategy assumption</t>
  </si>
  <si>
    <t>'PROJECT INPUTS'!E38:H38</t>
  </si>
  <si>
    <t>Independent Build &amp; Hold strategy; does not reuse the Build &amp; Sell reversion date. | Phase 4: active formula bridge to the live model; provisional controls remain subject to the stated evidence requirement.</t>
  </si>
  <si>
    <t>HOLD-NOI-GROWTH</t>
  </si>
  <si>
    <t>'PROJECT INPUTS'!E35:H35</t>
  </si>
  <si>
    <t>Applied to post-stabilisation NOI during the hold period. | Phase 4: active formula bridge to the live model; provisional controls remain subject to the stated evidence requirement.</t>
  </si>
  <si>
    <t>HOLD-EXIT-YIELD</t>
  </si>
  <si>
    <t>Central valuation assumptions</t>
  </si>
  <si>
    <t>'PROJECT INPUTS'!E37:H37</t>
  </si>
  <si>
    <t>Linked to the scenario terminal cap rate.</t>
  </si>
  <si>
    <t>HOLD-DISCOUNT</t>
  </si>
  <si>
    <t>'PROJECT INPUTS'!E36:H36</t>
  </si>
  <si>
    <t>Linked to the selected valuation discount rate.</t>
  </si>
  <si>
    <t>HOLD-CAPEX-RESERVE</t>
  </si>
  <si>
    <t>Live stabilised model</t>
  </si>
  <si>
    <t>'PROJECT INPUTS'!E39:H39</t>
  </si>
  <si>
    <t>Derived from the live annual lifecycle capex divided by stabilised NOI.</t>
  </si>
  <si>
    <t>ASSUMPTION-STATUS</t>
  </si>
  <si>
    <t>Unconfirmed commercial assumption status</t>
  </si>
  <si>
    <t>Audit issue register</t>
  </si>
  <si>
    <t>CEO-DB-001</t>
  </si>
  <si>
    <t>Detailed component CAPEX total</t>
  </si>
  <si>
    <t>Inputs / PROJECTS CAPEX sections</t>
  </si>
  <si>
    <t>G52 / H26</t>
  </si>
  <si>
    <t>Current detailed data book selected; older higher scope superseded.</t>
  </si>
  <si>
    <t>CEO-DB-002</t>
  </si>
  <si>
    <t>Gross development investment</t>
  </si>
  <si>
    <t>H38</t>
  </si>
  <si>
    <t>G163 / B35</t>
  </si>
  <si>
    <t>Includes site acquisition, site lease deposit and net infrastructure fund. | Phase 5: lease-up is programme-driven; unresolved waterfall inputs remain blank at source and are coerced to fail-safe 0% GP / 100% LP only inside the calculation engine.</t>
  </si>
  <si>
    <t>CEO-DB-003</t>
  </si>
  <si>
    <t>Total project funding required</t>
  </si>
  <si>
    <t>Inputs / Underwriting</t>
  </si>
  <si>
    <t>G162 / I57</t>
  </si>
  <si>
    <t>After staged operating funding sources.</t>
  </si>
  <si>
    <t>CEO-DB-004</t>
  </si>
  <si>
    <t>Construction debt funding</t>
  </si>
  <si>
    <t>Approximately 50% of total project funding.</t>
  </si>
  <si>
    <t>CEO-DB-005</t>
  </si>
  <si>
    <t>Funded equity requirement</t>
  </si>
  <si>
    <t>FUNDING &amp; CAP TABLE</t>
  </si>
  <si>
    <t>D20</t>
  </si>
  <si>
    <t>Allocated across eight funded investor lines.</t>
  </si>
  <si>
    <t>CEO-DB-006</t>
  </si>
  <si>
    <t>Master Developer commitment</t>
  </si>
  <si>
    <t>CEO direction</t>
  </si>
  <si>
    <t>FUNDING &amp; CAP TABLE / Inputs</t>
  </si>
  <si>
    <t>C15 / G209</t>
  </si>
  <si>
    <t>Commitment distinguished from funded draw.</t>
  </si>
  <si>
    <t>CEO-DB-007</t>
  </si>
  <si>
    <t>Master Developer funded draw</t>
  </si>
  <si>
    <t>D15</t>
  </si>
  <si>
    <t>Residual formula</t>
  </si>
  <si>
    <t>Residual required after other investors; capped at A$150m commitment.</t>
  </si>
  <si>
    <t>CEO-DB-008</t>
  </si>
  <si>
    <t>David Gifford funded contribution</t>
  </si>
  <si>
    <t>E104 / F104</t>
  </si>
  <si>
    <t>Inputs / Valuation &amp; Investor Returns</t>
  </si>
  <si>
    <t>G138 / D26</t>
  </si>
  <si>
    <t>Mapped — source conflict resolved</t>
  </si>
  <si>
    <t>A$12m/A$15.5m prior references superseded by current data book. | The current data-book A$10.0m funded contribution controls; older A$12.0m/A$15.5m references are superseded.</t>
  </si>
  <si>
    <t>CEO-DB-009</t>
  </si>
  <si>
    <t>Precinct renewable-energy roof</t>
  </si>
  <si>
    <t>PROJECT CASH FLOW / GENESIS CAPEX</t>
  </si>
  <si>
    <t>J23 / roof policy</t>
  </si>
  <si>
    <t>PROJECTS CAPEX sections</t>
  </si>
  <si>
    <t>H23</t>
  </si>
  <si>
    <t>Counted once as precinct infrastructure.</t>
  </si>
  <si>
    <t>CEO-DB-010</t>
  </si>
  <si>
    <t>Landscape / public-realm programme</t>
  </si>
  <si>
    <t>ANCILLIARY SVCS CAPEX &amp; OPEX</t>
  </si>
  <si>
    <t>N167</t>
  </si>
  <si>
    <t>G214 / check</t>
  </si>
  <si>
    <t>A$6m roads/paths plus A$15.07m Bend Common.</t>
  </si>
  <si>
    <t>CEO-DB-011</t>
  </si>
  <si>
    <t>Stabilised operating revenue</t>
  </si>
  <si>
    <t>PROFIT &amp; LOSS</t>
  </si>
  <si>
    <t>D9 (2029)</t>
  </si>
  <si>
    <t>OPERATING MODEL / Underwriting</t>
  </si>
  <si>
    <t>C27 / I130</t>
  </si>
  <si>
    <t>Management annual forecast.</t>
  </si>
  <si>
    <t>CEO-DB-012</t>
  </si>
  <si>
    <t>Stabilised EBITDA / NOI</t>
  </si>
  <si>
    <t>D22 (2029)</t>
  </si>
  <si>
    <t>C28 / I140</t>
  </si>
  <si>
    <t>CMP-URWLD-FP</t>
  </si>
  <si>
    <t>Component footprint</t>
  </si>
  <si>
    <t>E8</t>
  </si>
  <si>
    <t>'PROJECT INPUTS'!E286:H286</t>
  </si>
  <si>
    <t>Central source input</t>
  </si>
  <si>
    <t>Central source input for the URWLD component schedule.</t>
  </si>
  <si>
    <t>CMP-URWLD-LAND</t>
  </si>
  <si>
    <t>Component land area</t>
  </si>
  <si>
    <t>F8</t>
  </si>
  <si>
    <t>'PROJECT INPUTS'!E287:H287</t>
  </si>
  <si>
    <t>May overlap vertically or with shared precinct uses.</t>
  </si>
  <si>
    <t>CMP-URWLD-CORE</t>
  </si>
  <si>
    <t>Core / shell CAPEX</t>
  </si>
  <si>
    <t>H8</t>
  </si>
  <si>
    <t>'PROJECT INPUTS'!E288:H288</t>
  </si>
  <si>
    <t>Current detailed data-book amount.</t>
  </si>
  <si>
    <t>CMP-URWLD-FIT</t>
  </si>
  <si>
    <t>Fit-out CAPEX</t>
  </si>
  <si>
    <t>I8</t>
  </si>
  <si>
    <t>'PROJECT INPUTS'!E289:H289</t>
  </si>
  <si>
    <t>CMP-PBSA-FP</t>
  </si>
  <si>
    <t>'PROJECT INPUTS'!E146:H146</t>
  </si>
  <si>
    <t>Central source input for the PBSA component schedule.</t>
  </si>
  <si>
    <t>CMP-PBSA-LAND</t>
  </si>
  <si>
    <t>F9</t>
  </si>
  <si>
    <t>'PROJECT INPUTS'!E147:H147</t>
  </si>
  <si>
    <t>Vertically integrated use; no separate land area in the source schedule.</t>
  </si>
  <si>
    <t>CMP-PBSA-CORE</t>
  </si>
  <si>
    <t>H9</t>
  </si>
  <si>
    <t>'PROJECT INPUTS'!E148:H148</t>
  </si>
  <si>
    <t>CMP-PBSA-FIT</t>
  </si>
  <si>
    <t>I9</t>
  </si>
  <si>
    <t>'PROJECT INPUTS'!E149:H149</t>
  </si>
  <si>
    <t>CMP-LIVE-FP</t>
  </si>
  <si>
    <t>'PROJECT INPUTS'!E109:H109</t>
  </si>
  <si>
    <t>Central source input for the LiveHouse component schedule.</t>
  </si>
  <si>
    <t>CMP-LIVE-LAND</t>
  </si>
  <si>
    <t>F10</t>
  </si>
  <si>
    <t>'PROJECT INPUTS'!E110:H110</t>
  </si>
  <si>
    <t>Source component land allocation.</t>
  </si>
  <si>
    <t>CMP-LIVE-CORE</t>
  </si>
  <si>
    <t>H10</t>
  </si>
  <si>
    <t>'PROJECT INPUTS'!E111:H111</t>
  </si>
  <si>
    <t>CMP-LIVE-FIT</t>
  </si>
  <si>
    <t>'PROJECT INPUTS'!E112:H112</t>
  </si>
  <si>
    <t>CMP-SNOW-FP</t>
  </si>
  <si>
    <t>E14</t>
  </si>
  <si>
    <t>'PROJECT INPUTS'!E252:H252</t>
  </si>
  <si>
    <t>Central source input for the Snowtunnel component schedule.</t>
  </si>
  <si>
    <t>CMP-SNOW-LAND</t>
  </si>
  <si>
    <t>F14</t>
  </si>
  <si>
    <t>'PROJECT INPUTS'!E253:H253</t>
  </si>
  <si>
    <t>CMP-SNOW-CORE</t>
  </si>
  <si>
    <t>H14</t>
  </si>
  <si>
    <t>'PROJECT INPUTS'!E254:H254</t>
  </si>
  <si>
    <t>CMP-SNOW-FIT</t>
  </si>
  <si>
    <t>I14</t>
  </si>
  <si>
    <t>'PROJECT INPUTS'!E255:H255</t>
  </si>
  <si>
    <t>CMP-GEN-FP</t>
  </si>
  <si>
    <t>E12</t>
  </si>
  <si>
    <t>'PROJECT INPUTS'!E81:H81</t>
  </si>
  <si>
    <t>Central source input for the Genesis component schedule.</t>
  </si>
  <si>
    <t>CMP-GEN-LAND</t>
  </si>
  <si>
    <t>F12</t>
  </si>
  <si>
    <t>'PROJECT INPUTS'!E82:H82</t>
  </si>
  <si>
    <t>CMP-GEN-CORE</t>
  </si>
  <si>
    <t>H12</t>
  </si>
  <si>
    <t>'PROJECT INPUTS'!E83:H83</t>
  </si>
  <si>
    <t>CMP-GEN-FIT</t>
  </si>
  <si>
    <t>I12</t>
  </si>
  <si>
    <t>'PROJECT INPUTS'!E84:H84</t>
  </si>
  <si>
    <t>CMP-PARK-FP</t>
  </si>
  <si>
    <t>'PROJECT INPUTS'!E141:H141</t>
  </si>
  <si>
    <t>Central source input for the parking component schedule.</t>
  </si>
  <si>
    <t>CMP-PARK-LAND</t>
  </si>
  <si>
    <t>F13</t>
  </si>
  <si>
    <t>'PROJECT INPUTS'!E142:H142</t>
  </si>
  <si>
    <t>CMP-PARK-CORE</t>
  </si>
  <si>
    <t>H13</t>
  </si>
  <si>
    <t>'PROJECT INPUTS'!E143:H143</t>
  </si>
  <si>
    <t>CMP-PARK-FIT</t>
  </si>
  <si>
    <t>'PROJECT INPUTS'!E144:H144</t>
  </si>
  <si>
    <t>CMP-STOR-FP</t>
  </si>
  <si>
    <t>'PROJECT INPUTS'!E264:H264</t>
  </si>
  <si>
    <t>Central source input for the storage component schedule.</t>
  </si>
  <si>
    <t>CMP-STOR-LAND</t>
  </si>
  <si>
    <t>F17</t>
  </si>
  <si>
    <t>'PROJECT INPUTS'!E265:H265</t>
  </si>
  <si>
    <t>No separate land area in the source schedule.</t>
  </si>
  <si>
    <t>CMP-STOR-CORE</t>
  </si>
  <si>
    <t>H17</t>
  </si>
  <si>
    <t>'PROJECT INPUTS'!E266:H266</t>
  </si>
  <si>
    <t>CMP-STOR-FIT</t>
  </si>
  <si>
    <t>I17</t>
  </si>
  <si>
    <t>'PROJECT INPUTS'!E267:H267</t>
  </si>
  <si>
    <t>OPS-CONSTR-INFL</t>
  </si>
  <si>
    <t>Construction inflation</t>
  </si>
  <si>
    <t>D55</t>
  </si>
  <si>
    <t>'PROJECT INPUTS'!E174:H174</t>
  </si>
  <si>
    <t>Source assumption recorded for traceability; detailed current-dollar CAPEX is the controlling budget. | The target monthly operating, tax and working-capital schedules control; specialist confirmation remains an OWNER DECISION where stated.</t>
  </si>
  <si>
    <t>VAL-TERM-GROWTH</t>
  </si>
  <si>
    <t>Terminal growth</t>
  </si>
  <si>
    <t>D72</t>
  </si>
  <si>
    <t>'PROJECT INPUTS'!E229:H229</t>
  </si>
  <si>
    <t>Source cross-check; terminal capitalisation remains the governing valuation method.</t>
  </si>
  <si>
    <t>DEBT-LOAN-TYPE</t>
  </si>
  <si>
    <t>Data-book loan type</t>
  </si>
  <si>
    <t>D36</t>
  </si>
  <si>
    <t>Interest Only</t>
  </si>
  <si>
    <t>'PROJECT INPUTS'!E248:H248</t>
  </si>
  <si>
    <t>Waived — OWNER DECISION</t>
  </si>
  <si>
    <t>Source alternative recorded for traceability; not activated until lender terms are confirmed. | The source alternative is documented but not activated; the live DEBT management case controls until an executed lender term sheet is received.</t>
  </si>
  <si>
    <t>DEBT-SENIOR-TERM</t>
  </si>
  <si>
    <t>Data-book loan term</t>
  </si>
  <si>
    <t>D37</t>
  </si>
  <si>
    <t>'PROJECT INPUTS'!E247:H247</t>
  </si>
  <si>
    <t>Source alternative recorded for traceability; the live five-year assumption remains illustrative pending lender confirmation. | The source alternative is documented but not activated; the live DEBT management case controls until an executed lender term sheet is received.</t>
  </si>
  <si>
    <t>DEBT-IDC-TREAT</t>
  </si>
  <si>
    <t>IDC treatment</t>
  </si>
  <si>
    <t>D38</t>
  </si>
  <si>
    <t>During Construction</t>
  </si>
  <si>
    <t>'PROJECT INPUTS'!E56:H56</t>
  </si>
  <si>
    <t>Capitalised interest is calculated once on the debt schedule.</t>
  </si>
  <si>
    <t>GST-TREATMENT</t>
  </si>
  <si>
    <t>Source GST treatment</t>
  </si>
  <si>
    <t>D45</t>
  </si>
  <si>
    <t>Excluded</t>
  </si>
  <si>
    <t>'PROJECT INPUTS'!E205:H205</t>
  </si>
  <si>
    <t>Source presentation basis; transaction-specific cash timing still requires tax advice.</t>
  </si>
  <si>
    <t>OPS-OPEX-RATIO</t>
  </si>
  <si>
    <t>Operating expense as % of revenue</t>
  </si>
  <si>
    <t>B13:D13</t>
  </si>
  <si>
    <t>'PROJECT INPUTS'!E196:H196</t>
  </si>
  <si>
    <t>Cross-check only; detailed annual operating-cost schedule remains controlling. | The target monthly operating, tax and working-capital schedules control; specialist confirmation remains an OWNER DECISION where stated.</t>
  </si>
  <si>
    <t>OPS-SECURITY</t>
  </si>
  <si>
    <t>Security &amp; maintenance as % of gross revenue</t>
  </si>
  <si>
    <t>B40</t>
  </si>
  <si>
    <t>'PROJECT INPUTS'!E200:H200</t>
  </si>
  <si>
    <t>Reflected in the detailed management operating forecast. | The target monthly operating, tax and working-capital schedules control; specialist confirmation remains an OWNER DECISION where stated.</t>
  </si>
  <si>
    <t>OPS-ADMIN</t>
  </si>
  <si>
    <t>Administration as % of gross revenue</t>
  </si>
  <si>
    <t>'PROJECT INPUTS'!E169:H169</t>
  </si>
  <si>
    <t>FUND-TIMING-CREDIT</t>
  </si>
  <si>
    <t>Funding credits applied against gross construction draws</t>
  </si>
  <si>
    <t>Underwriting development-adjustment timing</t>
  </si>
  <si>
    <t>'PROJECT INPUTS'!E190:H190</t>
  </si>
  <si>
    <t>Net-negative development-adjustment months reduce net debt sources; this is calculated directly from the development cash-flow row and is not a plug.</t>
  </si>
  <si>
    <t>SOURCE WORKBOOK COVERAGE | ALL 29 DATA-BOOK SHEETS</t>
  </si>
  <si>
    <t>SRC-SHEET-001</t>
  </si>
  <si>
    <t>Source sheet review and input coverage</t>
  </si>
  <si>
    <t>A1:AY112</t>
  </si>
  <si>
    <t>570 constants; 369 formulas</t>
  </si>
  <si>
    <t>Inputs / PROJECTS CAPEX sections / FUNDING &amp; CAP TABLE</t>
  </si>
  <si>
    <t>See PROJECTS register / DATA MAP</t>
  </si>
  <si>
    <t>Reviewed and consolidated by source hierarchy</t>
  </si>
  <si>
    <t>Controlling capex, funding, investor and annual source schedule.</t>
  </si>
  <si>
    <t>SRC-SHEET-002</t>
  </si>
  <si>
    <t>A1:W30</t>
  </si>
  <si>
    <t>47 constants; 462 formulas</t>
  </si>
  <si>
    <t>OPERATING MODEL</t>
  </si>
  <si>
    <t>Annual management revenue, cost and EBITDA forecast imported as central blue inputs.</t>
  </si>
  <si>
    <t>SRC-SHEET-003</t>
  </si>
  <si>
    <t>OPERATING CASH FLOW</t>
  </si>
  <si>
    <t>A1:W22</t>
  </si>
  <si>
    <t>37 constants; 286 formulas</t>
  </si>
  <si>
    <t>Annual Cash Flow / Financial Statements</t>
  </si>
  <si>
    <t>Source output reviewed; target live cash-flow logic preserved to avoid a duplicate parallel schedule.</t>
  </si>
  <si>
    <t>SRC-SHEET-004</t>
  </si>
  <si>
    <t>BALANCE SHEET</t>
  </si>
  <si>
    <t>A1:W31</t>
  </si>
  <si>
    <t>41 constants; 352 formulas</t>
  </si>
  <si>
    <t>Financial Statements</t>
  </si>
  <si>
    <t>Source output reviewed; target balance-sheet roll-forward remains the governing calculation.</t>
  </si>
  <si>
    <t>SRC-SHEET-005</t>
  </si>
  <si>
    <t>LEASE VALIDATION EBITDA</t>
  </si>
  <si>
    <t>A1:M88</t>
  </si>
  <si>
    <t>288 constants; 137 formulas</t>
  </si>
  <si>
    <t>Tenant Report / OPERATING MODEL</t>
  </si>
  <si>
    <t>Mapped — source reviewed</t>
  </si>
  <si>
    <t>Validation output reviewed; legal lease/operator classification remains subject to confirmation. | The source validation schedule was reviewed; the target lease and operating schedules remain controlling.</t>
  </si>
  <si>
    <t>SRC-SHEET-006</t>
  </si>
  <si>
    <t>A1:F227</t>
  </si>
  <si>
    <t>329 constants; 0 formulas</t>
  </si>
  <si>
    <t>Inputs / DEBT / VALUATIONS</t>
  </si>
  <si>
    <t>Programme, tax, inflation, financing, valuation and scenario assumptions consolidated.</t>
  </si>
  <si>
    <t>SRC-SHEET-007</t>
  </si>
  <si>
    <t>A1:E47</t>
  </si>
  <si>
    <t>129 constants; 7 formulas</t>
  </si>
  <si>
    <t>Inputs / OPERATING MODEL / DEBT / VALUATIONS</t>
  </si>
  <si>
    <t>Detailed source assumptions selected under the documented hierarchy; conflicts are disclosed.</t>
  </si>
  <si>
    <t>SRC-SHEET-008</t>
  </si>
  <si>
    <t>REVENUE ENGINE</t>
  </si>
  <si>
    <t>A1:R94</t>
  </si>
  <si>
    <t>588 constants; 175 formulas</t>
  </si>
  <si>
    <t>OPERATING MODEL / Tenant Report</t>
  </si>
  <si>
    <t>Mapped — valid source data only</t>
  </si>
  <si>
    <t>Formula-valid management forecast inputs used; two source formula errors are excluded and disclosed. Source contains 2 formula-error cell(s); these were not imported as facts. | Formula-valid operating data were used; defective source formula outputs were isolated and not imported.</t>
  </si>
  <si>
    <t>2 source formula-error cell(s) isolated; use only formula-valid source data.</t>
  </si>
  <si>
    <t>SRC-SHEET-009</t>
  </si>
  <si>
    <t>OPERATING COSTS</t>
  </si>
  <si>
    <t>A1:W20</t>
  </si>
  <si>
    <t>143 constants; 115 formulas</t>
  </si>
  <si>
    <t>Annual operating-cost forecast imported and reconciled to EBITDA/NOI.</t>
  </si>
  <si>
    <t>SRC-SHEET-010</t>
  </si>
  <si>
    <t>DEBT SCHEDULE</t>
  </si>
  <si>
    <t>A1:W10</t>
  </si>
  <si>
    <t>30 constants; 110 formulas</t>
  </si>
  <si>
    <t>Source debt output reviewed; the live lender-ready debt schedule is retained and linked to source terms.</t>
  </si>
  <si>
    <t>SRC-SHEET-011</t>
  </si>
  <si>
    <t>LEASE ABATEMENT MODEL</t>
  </si>
  <si>
    <t>A1:AB65</t>
  </si>
  <si>
    <t>503 constants; 274 formulas</t>
  </si>
  <si>
    <t>Tenant Report / Underwriting</t>
  </si>
  <si>
    <t>Source output reviewed; detailed target lease timing remains governing.</t>
  </si>
  <si>
    <t>SRC-SHEET-012</t>
  </si>
  <si>
    <t>LEASE_TERMS_ASSUMPTIONS</t>
  </si>
  <si>
    <t>A1:AO56</t>
  </si>
  <si>
    <t>396 constants; 101 formulas</t>
  </si>
  <si>
    <t>Inputs / Tenant Report</t>
  </si>
  <si>
    <t>Lease and escalation inputs reviewed; target detailed lease schedule preserved where more granular.</t>
  </si>
  <si>
    <t>SRC-SHEET-013</t>
  </si>
  <si>
    <t>LAND REVALUATION</t>
  </si>
  <si>
    <t>A1:W36</t>
  </si>
  <si>
    <t>179 constants; 48 formulas</t>
  </si>
  <si>
    <t>Source cross-check reviewed; no independent valuation evidence was available for adoption. | The source is retained as a cross-check; the live valuation schedule controls and independent valuation evidence remains an OWNER DECISION.</t>
  </si>
  <si>
    <t>SRC-SHEET-014</t>
  </si>
  <si>
    <t>LAND VALUE INPUT</t>
  </si>
  <si>
    <t>A1:G25</t>
  </si>
  <si>
    <t>63 constants; 0 formulas</t>
  </si>
  <si>
    <t>Inputs / VALUATIONS</t>
  </si>
  <si>
    <t>Land inputs reviewed; independent evidence and transaction treatment remain required. | The source is retained as a cross-check; the live valuation schedule controls and independent valuation evidence remains an OWNER DECISION.</t>
  </si>
  <si>
    <t>SRC-SHEET-015</t>
  </si>
  <si>
    <t>DASHBOARD CALCS</t>
  </si>
  <si>
    <t>A1:D27</t>
  </si>
  <si>
    <t>77 constants; 24 formulas</t>
  </si>
  <si>
    <t>INVESTOR DASHBOARD</t>
  </si>
  <si>
    <t>Source dashboard outputs contain formula errors and were not imported; live target dashboards use audited formulas. Source contains 18 formula-error cell(s); these were not imported as facts. | The defective source dashboard is isolated; the audited target dashboard is formula-linked to the target model.</t>
  </si>
  <si>
    <t>18 source formula-error cell(s) isolated; use only formula-valid source data.</t>
  </si>
  <si>
    <t>SRC-SHEET-016</t>
  </si>
  <si>
    <t>PARTNERSHIPS &amp; PROMOTIONS REV</t>
  </si>
  <si>
    <t>A1:N75</t>
  </si>
  <si>
    <t>608 constants; 122 formulas</t>
  </si>
  <si>
    <t>OPERATING MODEL / ANCILLARY &amp; SITE</t>
  </si>
  <si>
    <t>Management operating forecast consolidated without creating a duplicate revenue engine.</t>
  </si>
  <si>
    <t>SRC-SHEET-017</t>
  </si>
  <si>
    <t>PARTNERS&amp;PROMOS ASSUMPTIONS</t>
  </si>
  <si>
    <t>A1:AN113</t>
  </si>
  <si>
    <t>1416 constants; 46 formulas</t>
  </si>
  <si>
    <t>OPERATING MODEL / Inputs</t>
  </si>
  <si>
    <t>Source operating assumptions reviewed and consolidated where material.</t>
  </si>
  <si>
    <t>SRC-SHEET-018</t>
  </si>
  <si>
    <t>DEV CAPEX URWLD</t>
  </si>
  <si>
    <t>A1:T264</t>
  </si>
  <si>
    <t>753 constants; 74 formulas</t>
  </si>
  <si>
    <t>URWLD / Inputs</t>
  </si>
  <si>
    <t>Detailed URWLD capex reviewed; controlling totals and component inputs are centrally linked.</t>
  </si>
  <si>
    <t>SRC-SHEET-019</t>
  </si>
  <si>
    <t>OPEX URWLD AUD$)</t>
  </si>
  <si>
    <t>A1:Q435</t>
  </si>
  <si>
    <t>4275 constants; 88 formulas</t>
  </si>
  <si>
    <t>OPERATING MODEL / URWLD</t>
  </si>
  <si>
    <t>URWLD operating schedule reviewed and reflected through the management forecast.</t>
  </si>
  <si>
    <t>SRC-SHEET-020</t>
  </si>
  <si>
    <t>SNOWTUNNEL CAPEX OPEX</t>
  </si>
  <si>
    <t>A1:M18</t>
  </si>
  <si>
    <t>49 constants; 1 formulas</t>
  </si>
  <si>
    <t>SNOWTUNNEL / OPERATING MODEL</t>
  </si>
  <si>
    <t>Snowtunnel capex inputs and operating forecast reviewed and linked.</t>
  </si>
  <si>
    <t>SRC-SHEET-021</t>
  </si>
  <si>
    <t>PBSA CAPEX</t>
  </si>
  <si>
    <t>A1:K91</t>
  </si>
  <si>
    <t>127 constants; 10 formulas</t>
  </si>
  <si>
    <t>PBSA / Inputs</t>
  </si>
  <si>
    <t>PBSA core, fit-out, capacity and total capex inputs consolidated.</t>
  </si>
  <si>
    <t>SRC-SHEET-022</t>
  </si>
  <si>
    <t>PBSA OPEX</t>
  </si>
  <si>
    <t>A1:M58</t>
  </si>
  <si>
    <t>267 constants; 1 formulas</t>
  </si>
  <si>
    <t>PBSA / OPERATING MODEL</t>
  </si>
  <si>
    <t>PBSA operating schedule reviewed and reflected through the management forecast.</t>
  </si>
  <si>
    <t>SRC-SHEET-023</t>
  </si>
  <si>
    <t>CARPARK</t>
  </si>
  <si>
    <t>A1:L248</t>
  </si>
  <si>
    <t>443 constants; 50 formulas</t>
  </si>
  <si>
    <t>PARKING / Inputs</t>
  </si>
  <si>
    <t>Parking footprint, area, capacity and capex consolidated.</t>
  </si>
  <si>
    <t>SRC-SHEET-024</t>
  </si>
  <si>
    <t>CARPARK OPEX</t>
  </si>
  <si>
    <t>A1:P36</t>
  </si>
  <si>
    <t>159 constants; 19 formulas</t>
  </si>
  <si>
    <t>PARKING / OPERATING MODEL</t>
  </si>
  <si>
    <t>Parking operating schedule reviewed and reflected through the management forecast.</t>
  </si>
  <si>
    <t>SRC-SHEET-025</t>
  </si>
  <si>
    <t>STORAGE OPEX CAPEX</t>
  </si>
  <si>
    <t>A1:N205</t>
  </si>
  <si>
    <t>272 constants; 36 formulas</t>
  </si>
  <si>
    <t>STORAGE / OPERATING MODEL</t>
  </si>
  <si>
    <t>Storage capex and operating schedule reviewed and consolidated.</t>
  </si>
  <si>
    <t>SRC-SHEET-026</t>
  </si>
  <si>
    <t>LIVEHOUSE Opex and Capex</t>
  </si>
  <si>
    <t>A1:O68</t>
  </si>
  <si>
    <t>374 constants; 8 formulas</t>
  </si>
  <si>
    <t>LIVEHOUSE / OPERATING MODEL</t>
  </si>
  <si>
    <t>LiveHouse capex and operating schedule reviewed and consolidated.</t>
  </si>
  <si>
    <t>SRC-SHEET-027</t>
  </si>
  <si>
    <t>A1:N325</t>
  </si>
  <si>
    <t>856 constants; 11 formulas</t>
  </si>
  <si>
    <t>ANCILLARY &amp; SITE / OPERATING MODEL</t>
  </si>
  <si>
    <t>Ancillary, landscape and site inputs consolidated with roof/landscape double-count controls.</t>
  </si>
  <si>
    <t>SRC-SHEET-028</t>
  </si>
  <si>
    <t>eBike Storage Charging</t>
  </si>
  <si>
    <t>A1</t>
  </si>
  <si>
    <t>0 constants; 0 formulas</t>
  </si>
  <si>
    <t>eBike storage/charging capex and operating inputs reviewed and consolidated.</t>
  </si>
  <si>
    <t>SRC-SHEET-029</t>
  </si>
  <si>
    <t>GENESIS CAPEX</t>
  </si>
  <si>
    <t>A1:O126</t>
  </si>
  <si>
    <t>237 constants; 0 formulas</t>
  </si>
  <si>
    <t>GENESIS / Inputs</t>
  </si>
  <si>
    <t>Genesis capex reviewed; roof policy is controlled centrally to avoid duplication.</t>
  </si>
  <si>
    <t>PROJECTS ARCHITECTURE | DEPENDENCY BASELINE, MIGRATION RECORD &amp; OUTPUT COMPARISON</t>
  </si>
  <si>
    <t>Direct Consumer</t>
  </si>
  <si>
    <t>Formula Cells Referencing PROJECTS</t>
  </si>
  <si>
    <t>Controlling Area</t>
  </si>
  <si>
    <t>Migration Treatment</t>
  </si>
  <si>
    <t>Post-Migration Status</t>
  </si>
  <si>
    <t>Dependency Type</t>
  </si>
  <si>
    <t>Reference / Count</t>
  </si>
  <si>
    <t>Baseline Finding</t>
  </si>
  <si>
    <t>Migration Action</t>
  </si>
  <si>
    <t>Constraint / Note</t>
  </si>
  <si>
    <t>'PROJECT INPUTS'!AP:AR and N:AI</t>
  </si>
  <si>
    <t>Addresses preserved; no downstream formula rewrite</t>
  </si>
  <si>
    <t>LIVE</t>
  </si>
  <si>
    <t>Principal monthly calculation engine.</t>
  </si>
  <si>
    <t>Defined name</t>
  </si>
  <si>
    <t>Timing_Actuals_Cutoff = 'PROJECT INPUTS'!$AP$257</t>
  </si>
  <si>
    <t>One PROJECTS-based defined name</t>
  </si>
  <si>
    <t>Address retained</t>
  </si>
  <si>
    <t>Permanent Field-ID record remains at AP257.</t>
  </si>
  <si>
    <t>Debt, tax, GST and working-capital calculations.</t>
  </si>
  <si>
    <t>Chart series</t>
  </si>
  <si>
    <t>No chart series directly referenced PROJECTS</t>
  </si>
  <si>
    <t>No action required</t>
  </si>
  <si>
    <t>PASS</t>
  </si>
  <si>
    <t>VALUATION &amp; RETURNS</t>
  </si>
  <si>
    <t>'PROJECT INPUTS'!AP:AR</t>
  </si>
  <si>
    <t>Addresses preserved; scenario selector retained</t>
  </si>
  <si>
    <t>Valuation and investor-return outputs.</t>
  </si>
  <si>
    <t>Data validation lists</t>
  </si>
  <si>
    <t>No pre-existing validation list directly referenced PROJECTS</t>
  </si>
  <si>
    <t>Scenario validation added to INVESTOR REPORT!I3</t>
  </si>
  <si>
    <t>'PROJECT INPUTS'!B257:B260 and AP:AR</t>
  </si>
  <si>
    <t>Legacy bridge addresses restored</t>
  </si>
  <si>
    <t>Funding and ownership schedules.</t>
  </si>
  <si>
    <t>VBA text references</t>
  </si>
  <si>
    <t>No readable hard-coded PROJECTS address identified in vbaProject.bin</t>
  </si>
  <si>
    <t>VBA project preserved byte-for-byte at release</t>
  </si>
  <si>
    <t>Binary macro behaviour still requires normal Excel execution testing.</t>
  </si>
  <si>
    <t>INVESTOR REPORT</t>
  </si>
  <si>
    <t>Addresses preserved</t>
  </si>
  <si>
    <t>Investor-facing outputs.</t>
  </si>
  <si>
    <t>Calculation settings</t>
  </si>
  <si>
    <t>calcId 191029</t>
  </si>
  <si>
    <t>No explicit iteration setting in workbook.xml</t>
  </si>
  <si>
    <t>Existing workbook settings retained</t>
  </si>
  <si>
    <t>Macro-driven calculations remain untouched.</t>
  </si>
  <si>
    <t>Summary</t>
  </si>
  <si>
    <t>Governance and summary outputs.</t>
  </si>
  <si>
    <t>Visible input records</t>
  </si>
  <si>
    <t>250 permanent Field IDs</t>
  </si>
  <si>
    <t>Every Field ID represented once in PROJECTS</t>
  </si>
  <si>
    <t>PROJECTS register and control cells</t>
  </si>
  <si>
    <t>Controls updated for cleaned placeholders</t>
  </si>
  <si>
    <t>Traceability and migration controls.</t>
  </si>
  <si>
    <t>Invalid placeholders removed</t>
  </si>
  <si>
    <t>760 placeholders in scenario and metadata fields</t>
  </si>
  <si>
    <t>Cleared or replaced with supported notes</t>
  </si>
  <si>
    <t>PROJECTS internal</t>
  </si>
  <si>
    <t>PROJECTS register and operating support</t>
  </si>
  <si>
    <t>Compatibility formulas retained</t>
  </si>
  <si>
    <t>Internal presentation and controls.</t>
  </si>
  <si>
    <t>Repeated component presentations consolidated</t>
  </si>
  <si>
    <t>Eight repeated component input layouts</t>
  </si>
  <si>
    <t>One component matrix plus one atomic register</t>
  </si>
  <si>
    <t>Legacy support formulas retained.</t>
  </si>
  <si>
    <t>TOTAL</t>
  </si>
  <si>
    <t>Workbook-wide</t>
  </si>
  <si>
    <t>1,462 external consumers plus 87 internal formulas retained</t>
  </si>
  <si>
    <t>No direct consumer formula was broken or unnecessarily rewritten.</t>
  </si>
  <si>
    <t>Operating forecast links</t>
  </si>
  <si>
    <t>Seven annual source rows across 22 years</t>
  </si>
  <si>
    <t>OPERATING FORECAST links to PROJECTS compatibility cells</t>
  </si>
  <si>
    <t>No competing annual input source.</t>
  </si>
  <si>
    <t>Baseline Output</t>
  </si>
  <si>
    <t>Pre-Migration</t>
  </si>
  <si>
    <t>Post-Migration</t>
  </si>
  <si>
    <t>Comparison</t>
  </si>
  <si>
    <t>Post-Migration Reference</t>
  </si>
  <si>
    <t>Site area</t>
  </si>
  <si>
    <t>PROJECTS / AREA-001</t>
  </si>
  <si>
    <t>Total component area</t>
  </si>
  <si>
    <t>PROJECTS / AREA-CONTROL-TOTAL</t>
  </si>
  <si>
    <t>Total detailed CAPEX</t>
  </si>
  <si>
    <t>PROJECTS / CAPEX-TOTAL-001</t>
  </si>
  <si>
    <t>PROJECTS / CAPEX-DEV-INV</t>
  </si>
  <si>
    <t>Total project funding requirement</t>
  </si>
  <si>
    <t>PROJECTS / FUND-SCOPE-001</t>
  </si>
  <si>
    <t>Construction debt source</t>
  </si>
  <si>
    <t>PROJECTS / FUND-FINANCEABLE-DEBT</t>
  </si>
  <si>
    <t>FUNDING &amp; CAP TABLE!D35</t>
  </si>
  <si>
    <t>Underwriting equity input</t>
  </si>
  <si>
    <t>VALUATION &amp; RETURNS!C12</t>
  </si>
  <si>
    <t>Existing funding reconciliation distinction retained.</t>
  </si>
  <si>
    <t>Construction completion</t>
  </si>
  <si>
    <t>PROJECTS / PRG-PC-DATE</t>
  </si>
  <si>
    <t>Operations commencement</t>
  </si>
  <si>
    <t>PROJECTS / PRG-OPEN-DATE</t>
  </si>
  <si>
    <t>Stabilisation date</t>
  </si>
  <si>
    <t>PROJECTS / PRG-STAB-DATE</t>
  </si>
  <si>
    <t>Stabilised revenue</t>
  </si>
  <si>
    <t>PROJECTS / OPS-STAB-REV</t>
  </si>
  <si>
    <t>Stabilised operating costs</t>
  </si>
  <si>
    <t>PROJECTS / OPS-STAB-OPEX</t>
  </si>
  <si>
    <t>Source stabilised EBITDA / NOI</t>
  </si>
  <si>
    <t>OPERATING FORECAST!C28</t>
  </si>
  <si>
    <t>Selected capitalisation rate</t>
  </si>
  <si>
    <t>VALUATION &amp; RETURNS!C8</t>
  </si>
  <si>
    <t>Selected gross project value</t>
  </si>
  <si>
    <t>VALUATION &amp; RETURNS!K7</t>
  </si>
  <si>
    <t>Total debt commitment</t>
  </si>
  <si>
    <t>DEBT!B9 / 1,000,000</t>
  </si>
  <si>
    <t>DEBT!K7 / 1,000,000</t>
  </si>
  <si>
    <t>Selected investor value</t>
  </si>
  <si>
    <t>INVESTOR REPORT!J9</t>
  </si>
  <si>
    <t>Selected investor MOIC</t>
  </si>
  <si>
    <t>INVESTOR REPORT!M9</t>
  </si>
  <si>
    <t>Selected investor XIRR</t>
  </si>
  <si>
    <t>INVESTOR REPORT!L16</t>
  </si>
  <si>
    <t>Balance-sheet control</t>
  </si>
  <si>
    <t>FAIL</t>
  </si>
  <si>
    <t>Summary!O12</t>
  </si>
  <si>
    <t>Known failure deliberately retained.</t>
  </si>
  <si>
    <t>Sources-and-uses control</t>
  </si>
  <si>
    <t>Summary!O13</t>
  </si>
  <si>
    <t>Summary!O14</t>
  </si>
  <si>
    <t>Workbook error control</t>
  </si>
  <si>
    <t>DATA MAP!C170</t>
  </si>
  <si>
    <t>ARCHITECTURE STATUS: PROJECT INPUTS is the sole recognised Bend ProjectCo input hub. URWLD COMPANY INPUTS is a separate, unlinked corporate reference schedule. OPERATING FORECAST remains a linked project schedule; PROJECTS ARCHIVE preserves the legacy layout. The known balance-sheet failure and external owner decisions remain visible.</t>
  </si>
  <si>
    <t>PROJECT INPUTS USER-EDITABLE CELLS &amp; SCENARIO PROPAGATION</t>
  </si>
  <si>
    <t>Section</t>
  </si>
  <si>
    <t>Base Input Cells</t>
  </si>
  <si>
    <t>Scenario Input Cells</t>
  </si>
  <si>
    <t>Input Count</t>
  </si>
  <si>
    <t>Scenario Selector</t>
  </si>
  <si>
    <t>Propagation</t>
  </si>
  <si>
    <t>Note</t>
  </si>
  <si>
    <t>PROJECT IDENTITY</t>
  </si>
  <si>
    <t>'PROJECT INPUTS'!E36:E40; 'PROJECT INPUTS'!E42</t>
  </si>
  <si>
    <t>None</t>
  </si>
  <si>
    <t>INVESTOR REPORT!I3</t>
  </si>
  <si>
    <t>I3 → VALUATION &amp; RETURNS!CR7 → PROJECTS Selected Value (H / AY) → existing AP:AR compatibility formulas → downstream model</t>
  </si>
  <si>
    <t>Blue-font cells only; all formula and control cells remain non-editable in the protected PROJECTS release.</t>
  </si>
  <si>
    <t>PROGRAMME &amp; MILESTONES</t>
  </si>
  <si>
    <t>'PROJECT INPUTS'!E46</t>
  </si>
  <si>
    <t>SITE, AREAS &amp; CAPACITIES</t>
  </si>
  <si>
    <t>'PROJECT INPUTS'!E57:E67; 'PROJECT INPUTS'!E70:E71; 'PROJECT INPUTS'!E73; 'PROJECT INPUTS'!E75:E86</t>
  </si>
  <si>
    <t>DEVELOPMENT CAPEX</t>
  </si>
  <si>
    <t>'PROJECT INPUTS'!E109:E112; 'PROJECT INPUTS'!E120:E122; 'PROJECT INPUTS'!E125:E140</t>
  </si>
  <si>
    <t>OPERATING ASSUMPTIONS</t>
  </si>
  <si>
    <t>'PROJECT INPUTS'!E147; 'PROJECT INPUTS'!E157:E158</t>
  </si>
  <si>
    <t>LEASING &amp; REVENUE</t>
  </si>
  <si>
    <t>'PROJECT INPUTS'!E162:E174</t>
  </si>
  <si>
    <t>WORKING CAPITAL</t>
  </si>
  <si>
    <t>'PROJECT INPUTS'!E178</t>
  </si>
  <si>
    <t>DEBT &amp; FUNDING</t>
  </si>
  <si>
    <t>'PROJECT INPUTS'!E182; 'PROJECT INPUTS'!E184:E203; 'PROJECT INPUTS'!E205:E207; 'PROJECT INPUTS'!E220</t>
  </si>
  <si>
    <t>'PROJECT INPUTS'!F182; 'PROJECT INPUTS'!F184; 'PROJECT INPUTS'!F187; 'PROJECT INPUTS'!F198; 'PROJECT INPUTS'!G182; 'PROJECT INPUTS'!G184; 'PROJECT INPUTS'!G187; 'PROJECT INPUTS'!G198</t>
  </si>
  <si>
    <t>INVESTORS &amp; OWNERSHIP</t>
  </si>
  <si>
    <t>'PROJECT INPUTS'!E246:E257; 'PROJECT INPUTS'!E261:E272; 'PROJECT INPUTS'!E277</t>
  </si>
  <si>
    <t>VALUATION &amp; EXIT</t>
  </si>
  <si>
    <t>'PROJECT INPUTS'!E283; 'PROJECT INPUTS'!E285:E287; 'PROJECT INPUTS'!E289:E290; 'PROJECT INPUTS'!E293:E295</t>
  </si>
  <si>
    <t>'PROJECT INPUTS'!F283; 'PROJECT INPUTS'!F286; 'PROJECT INPUTS'!F295; 'PROJECT INPUTS'!G283; 'PROJECT INPUTS'!G286; 'PROJECT INPUTS'!G295</t>
  </si>
  <si>
    <t>TAX &amp; GST</t>
  </si>
  <si>
    <t>'PROJECT INPUTS'!E302:E307</t>
  </si>
  <si>
    <t>OWNER DECISIONS</t>
  </si>
  <si>
    <t>'PROJECT INPUTS'!E312:E313</t>
  </si>
  <si>
    <t>Scenario Test</t>
  </si>
  <si>
    <t>Selector</t>
  </si>
  <si>
    <t>URWLD CAPEX (A$m)</t>
  </si>
  <si>
    <t>Terminal Cap Rate</t>
  </si>
  <si>
    <t>Selected Investor Value (A$m)</t>
  </si>
  <si>
    <t>Downside propagation</t>
  </si>
  <si>
    <t>Register, valuation and investor output changed together.</t>
  </si>
  <si>
    <t>Upside propagation</t>
  </si>
  <si>
    <t>Base restored</t>
  </si>
  <si>
    <t>Final delivered workbook restored to Base.</t>
  </si>
  <si>
    <t>INPUT ARCHITECTURE RATIONALISATION</t>
  </si>
  <si>
    <t>Reference</t>
  </si>
  <si>
    <t>Permanent Field IDs represented</t>
  </si>
  <si>
    <t>PROJECT INPUTS!AJ8:AJ257</t>
  </si>
  <si>
    <t>All permanent project Field IDs remain represented once.</t>
  </si>
  <si>
    <t>Project input interface</t>
  </si>
  <si>
    <t>Sectioned institutional interface</t>
  </si>
  <si>
    <t>PROJECT INPUTS!A1:BG372</t>
  </si>
  <si>
    <t>Project, programme, area, CAPEX, operating, lease, funding, valuation, tax and owner-decision sections are separated and linked to the register.</t>
  </si>
  <si>
    <t>Live model formulas</t>
  </si>
  <si>
    <t>Redirected on release</t>
  </si>
  <si>
    <t>Summary / Underwriting / DEBT / valuation / investor / funding / operating</t>
  </si>
  <si>
    <t>All live Bend ProjectCo consumers reference PROJECT INPUTS.</t>
  </si>
  <si>
    <t>URWLD corporate inputs</t>
  </si>
  <si>
    <t>Separate and unlinked</t>
  </si>
  <si>
    <t>URWLD COMPANY INPUTS</t>
  </si>
  <si>
    <t>Management corporate, pre-IPO and CLN reference data is not linked to Bend ProjectCo outputs.</t>
  </si>
  <si>
    <t>Model outputs changed</t>
  </si>
  <si>
    <t>Baseline output comparison</t>
  </si>
  <si>
    <t>Key valuation, funding, debt and investor outputs are unchanged by the input-architecture rationalisation.</t>
  </si>
  <si>
    <t>RESEARCH AND BEST-PRACTICE APPLICATION</t>
  </si>
  <si>
    <t>Change</t>
  </si>
  <si>
    <t>Model reference</t>
  </si>
  <si>
    <t>Owner action</t>
  </si>
  <si>
    <t>BBSW proxy</t>
  </si>
  <si>
    <t>4.5481% at 28 Jul 2026; residual margins preserve 6.50% all-in</t>
  </si>
  <si>
    <t>Inputs / DEBT</t>
  </si>
  <si>
    <t>PROVISIONAL — APPLIED</t>
  </si>
  <si>
    <t>Replace with executed lender terms.</t>
  </si>
  <si>
    <t>Tax framework</t>
  </si>
  <si>
    <t>30% retained; 25% alternative disclosed where legally available</t>
  </si>
  <si>
    <t>'PROJECT INPUTS'!H171</t>
  </si>
  <si>
    <t>PROVISIONAL — RETAINED</t>
  </si>
  <si>
    <t>Obtain written Australian tax advice.</t>
  </si>
  <si>
    <t>GST framework</t>
  </si>
  <si>
    <t>10% retained; property transaction treatment not selected</t>
  </si>
  <si>
    <t>'PROJECT INPUTS'!H70, H191:H192</t>
  </si>
  <si>
    <t>Confirm acquisition, construction and exit treatment.</t>
  </si>
  <si>
    <t>Valuation triangulation</t>
  </si>
  <si>
    <t>Income capitalisation, DCF and cost shown separately</t>
  </si>
  <si>
    <t>VALUATION &amp; RETURNS!GE22:GI31</t>
  </si>
  <si>
    <t>APPLIED</t>
  </si>
  <si>
    <t>Obtain an independent valuation.</t>
  </si>
  <si>
    <t>QS assurance</t>
  </si>
  <si>
    <t>Detailed CAPEX and total funding requirement reconciled</t>
  </si>
  <si>
    <t>RESEARCH &amp; ASSURANCE!A32:E36</t>
  </si>
  <si>
    <t>Obtain a signed QS cost plan.</t>
  </si>
  <si>
    <t>Reliance gate</t>
  </si>
  <si>
    <t>Hard model checks and external evidence control external reliance</t>
  </si>
  <si>
    <t>RESEARCH &amp; ASSURANCE!G32:J39</t>
  </si>
  <si>
    <t>Close evidence matters and complete independent re-review.</t>
  </si>
  <si>
    <t>PHASE 6 | LENDER, CASH WATERFALL &amp; THREE-STATEMENT CONTROLS</t>
  </si>
  <si>
    <t>Control ID</t>
  </si>
  <si>
    <t>Evidence / Range</t>
  </si>
  <si>
    <t>Release Treatment</t>
  </si>
  <si>
    <t>CHK-023</t>
  </si>
  <si>
    <t>Balance sheet reconciliation</t>
  </si>
  <si>
    <t>Financial Statements!G50:X50</t>
  </si>
  <si>
    <t>External release blocked</t>
  </si>
  <si>
    <t>Absolute annual variance must be below A$1.</t>
  </si>
  <si>
    <t>CHK-024</t>
  </si>
  <si>
    <t>Cash flow to balance-sheet cash</t>
  </si>
  <si>
    <t>Financial Statements!G51:X51</t>
  </si>
  <si>
    <t>Closing cash must agree between statements.</t>
  </si>
  <si>
    <t>CHK-025</t>
  </si>
  <si>
    <t>Equity roll-forward reconciliation</t>
  </si>
  <si>
    <t>Financial Statements!G94:X94</t>
  </si>
  <si>
    <t>Contributions, NPAT and distributions must reconcile.</t>
  </si>
  <si>
    <t>CHK-026</t>
  </si>
  <si>
    <t>Debt roll-forward reconciliation</t>
  </si>
  <si>
    <t>DEBT!F96:DV96 and F136:DV136</t>
  </si>
  <si>
    <t>Construction and term debt checks must be zero.</t>
  </si>
  <si>
    <t>CHK-027</t>
  </si>
  <si>
    <t>CFADS direct-link control</t>
  </si>
  <si>
    <t>DEBT!F157:DV157</t>
  </si>
  <si>
    <t>Distributions blocked</t>
  </si>
  <si>
    <t>CFADS must equal linked revenue less OPEX, tax, capex and working capital.</t>
  </si>
  <si>
    <t>CHK-028</t>
  </si>
  <si>
    <t>Blank DSCR threshold is fail safe</t>
  </si>
  <si>
    <t>PROJECT INPUTS!H204 and DEBT!F152:DV154</t>
  </si>
  <si>
    <t>No lender DSCR is inferred; cash is retained while the threshold is blank.</t>
  </si>
  <si>
    <t>CHK-029</t>
  </si>
  <si>
    <t>Covenant headroom disclosure</t>
  </si>
  <si>
    <t>DEBT!F196:DV201</t>
  </si>
  <si>
    <t>External release qualified</t>
  </si>
  <si>
    <t>Negative headroom and locked cash remain visible.</t>
  </si>
  <si>
    <t>PHASE 7 | VALUATION &amp; INVESTOR-RETURN CONTROLS</t>
  </si>
  <si>
    <t>CHK-030</t>
  </si>
  <si>
    <t>Property SOTP reconciliation</t>
  </si>
  <si>
    <t>VALUATION &amp; RETURNS!CW38 / DA7</t>
  </si>
  <si>
    <t>Component property values must equal the selected capitalised property value.</t>
  </si>
  <si>
    <t>CHK-031</t>
  </si>
  <si>
    <t>PROJECT INPUTS!H288:H289 / VALUATION &amp; RETURNS!DB38</t>
  </si>
  <si>
    <t>No operating-business value without approved margin and multiple.</t>
  </si>
  <si>
    <t>CHK-032</t>
  </si>
  <si>
    <t>Cost cross-check is not an investor return</t>
  </si>
  <si>
    <t>INVESTOR REPORT!G19:L19</t>
  </si>
  <si>
    <t>Development cost remains a reference benchmark only.</t>
  </si>
  <si>
    <t>CHK-033</t>
  </si>
  <si>
    <t>Investor values reconcile to selected equity value</t>
  </si>
  <si>
    <t>VALUATION &amp; RETURNS!CX70 / CR52</t>
  </si>
  <si>
    <t>Named investor values must sum to the selected scenario equity value.</t>
  </si>
  <si>
    <t>CHK-034</t>
  </si>
  <si>
    <t>Selected investor report tie-out</t>
  </si>
  <si>
    <t>INVESTOR REPORT!J9 / M9</t>
  </si>
  <si>
    <t>Selected value and MOIC must agree with the valuation engine.</t>
  </si>
  <si>
    <t>CHK-035</t>
  </si>
  <si>
    <t>Cap-table selected value reconciliation</t>
  </si>
  <si>
    <t>FUNDING &amp; CAP TABLE!J18</t>
  </si>
  <si>
    <t>Selected-scenario investor values must sum to total equity value.</t>
  </si>
  <si>
    <t>PHASE 8 | INPUT CLOSURE, SCENARIO REGRESSION &amp; RELEASE READINESS</t>
  </si>
  <si>
    <t>CHK-036</t>
  </si>
  <si>
    <t>No unresolved input classifications</t>
  </si>
  <si>
    <t>PROJECT INPUTS!L36:L325</t>
  </si>
  <si>
    <t>All active records have a defined treatment.</t>
  </si>
  <si>
    <t>CHK-037</t>
  </si>
  <si>
    <t>Scenario cases complete</t>
  </si>
  <si>
    <t>PROJECT INPUTS!E36:G325</t>
  </si>
  <si>
    <t>All explicit cases contain Base, Downside and Upside values.</t>
  </si>
  <si>
    <t>CHK-038</t>
  </si>
  <si>
    <t>Selected values match active scenario</t>
  </si>
  <si>
    <t>PROJECT INPUTS!B8 and E:H</t>
  </si>
  <si>
    <t>Selected values must equal the chosen case.</t>
  </si>
  <si>
    <t>CHK-039</t>
  </si>
  <si>
    <t>Scenario selector chain</t>
  </si>
  <si>
    <t>PROJECT INPUTS!B8 / VALUATION &amp; RETURNS!CR7 / INVESTOR REPORT!I3</t>
  </si>
  <si>
    <t>One editable selector only.</t>
  </si>
  <si>
    <t>CHK-040</t>
  </si>
  <si>
    <t>Owner-decision register coverage</t>
  </si>
  <si>
    <t>INPUT GOVERNANCE!A283:Q294</t>
  </si>
  <si>
    <t>All twelve unresolved decisions appear once.</t>
  </si>
  <si>
    <t>CHK-041</t>
  </si>
  <si>
    <t>Release gate fails safe</t>
  </si>
  <si>
    <t>PROJECT INPUTS!H314</t>
  </si>
  <si>
    <t>Owner decisions must prevent a ready status.</t>
  </si>
  <si>
    <t>PHASE 9 | ZERO-REDUNDANCY &amp; DEPENDENCY CONTROLS</t>
  </si>
  <si>
    <t>CHK-042</t>
  </si>
  <si>
    <t>Writable inputs without downstream path</t>
  </si>
  <si>
    <t>MODEL AUDIT!B8</t>
  </si>
  <si>
    <t>Every writable assumption must affect a financial output or be reclassified.</t>
  </si>
  <si>
    <t>CHK-043</t>
  </si>
  <si>
    <t>Direct core links to scenario case columns</t>
  </si>
  <si>
    <t>MODEL AUDIT!B11</t>
  </si>
  <si>
    <t>Core formulas must link to Selected Value only.</t>
  </si>
  <si>
    <t>CHK-044</t>
  </si>
  <si>
    <t>Direct core links to source-evidence archive</t>
  </si>
  <si>
    <t>MODEL AUDIT!B12</t>
  </si>
  <si>
    <t>Source evidence is non-calculation support.</t>
  </si>
  <si>
    <t>CHK-045</t>
  </si>
  <si>
    <t>ProjectCo links to URWLD COMPANY INPUTS</t>
  </si>
  <si>
    <t>MODEL AUDIT!B13</t>
  </si>
  <si>
    <t>Entity separation must be maintained.</t>
  </si>
  <si>
    <t>CHK-046</t>
  </si>
  <si>
    <t>Duplicate active Field IDs</t>
  </si>
  <si>
    <t>INPUT GOVERNANCE!B9</t>
  </si>
  <si>
    <t>Each canonical assumption has one permanent ID.</t>
  </si>
  <si>
    <t>CHK-047</t>
  </si>
  <si>
    <t>Literal error tokens embedded in formulas</t>
  </si>
  <si>
    <t>MODEL AUDIT!B15</t>
  </si>
  <si>
    <t>Formula text cannot contain broken references or error literals.</t>
  </si>
  <si>
    <t>CHK-048</t>
  </si>
  <si>
    <t>External-workbook formula links</t>
  </si>
  <si>
    <t>MODEL AUDIT!B14</t>
  </si>
  <si>
    <t>The model must remain self-contained.</t>
  </si>
  <si>
    <t>CHK-049</t>
  </si>
  <si>
    <t>Dependency release gate</t>
  </si>
  <si>
    <t>MODEL AUDIT!B8 / PROJECT INPUTS!H314</t>
  </si>
  <si>
    <t>Fail-safe dependency closure control.</t>
  </si>
  <si>
    <t>PHASE 10 | CALCULATION ENGINE, DEFINED-NAME &amp; HANDOVER CONTROLS</t>
  </si>
  <si>
    <t>CHK-050</t>
  </si>
  <si>
    <t>Defined names contain no broken references</t>
  </si>
  <si>
    <t>MODEL AUDIT defined-name register</t>
  </si>
  <si>
    <t>Broken defined names must equal zero.</t>
  </si>
  <si>
    <t>CHK-051</t>
  </si>
  <si>
    <t>Defined names contain no external references</t>
  </si>
  <si>
    <t>All named ranges remain internal.</t>
  </si>
  <si>
    <t>CHK-052</t>
  </si>
  <si>
    <t>Defined-name list contains no duplicates</t>
  </si>
  <si>
    <t>Workbook names remain unique.</t>
  </si>
  <si>
    <t>CHK-053</t>
  </si>
  <si>
    <t>No volatile formulas detected</t>
  </si>
  <si>
    <t>MODEL AUDIT formula-risk inventory</t>
  </si>
  <si>
    <t>Review required</t>
  </si>
  <si>
    <t>Volatile formula count should remain zero.</t>
  </si>
  <si>
    <t>CHK-054</t>
  </si>
  <si>
    <t>Programme dates are sequential</t>
  </si>
  <si>
    <t>MODEL AUDIT!M266:N266</t>
  </si>
  <si>
    <t>Construction, opening and stabilisation dates must be chronological.</t>
  </si>
  <si>
    <t>CHK-055</t>
  </si>
  <si>
    <t>Monthly timeline is monotonic</t>
  </si>
  <si>
    <t>MODEL AUDIT!M268:N268</t>
  </si>
  <si>
    <t>Monthly dates must increase without gaps or reversals.</t>
  </si>
  <si>
    <t>CHK-056</t>
  </si>
  <si>
    <t>Model horizon covers the reversion month</t>
  </si>
  <si>
    <t>MODEL AUDIT!M269:N269</t>
  </si>
  <si>
    <t>The model must include the selected exit period.</t>
  </si>
  <si>
    <t>CHK-057</t>
  </si>
  <si>
    <t>Desktop Excel technical controls</t>
  </si>
  <si>
    <t>MODEL AUDIT!M271</t>
  </si>
  <si>
    <t>Full desktop-Excel recalculation is required.</t>
  </si>
  <si>
    <t>CHK-058</t>
  </si>
  <si>
    <t>Institutional model guide is present</t>
  </si>
  <si>
    <t>MODEL GUIDE</t>
  </si>
  <si>
    <t>The workbook must remain self-documenting.</t>
  </si>
  <si>
    <t>PHASE 12 | FINAL MANAGER QA CONTROLS</t>
  </si>
  <si>
    <t>CHK-059</t>
  </si>
  <si>
    <t>True circular structures remaining</t>
  </si>
  <si>
    <t>MODEL AUDIT!B400</t>
  </si>
  <si>
    <t>CHK-060</t>
  </si>
  <si>
    <t>Stale formula error-cache markers remaining</t>
  </si>
  <si>
    <t>MODEL AUDIT!B402</t>
  </si>
  <si>
    <t>CHK-061</t>
  </si>
  <si>
    <t>Literal formula error tokens</t>
  </si>
  <si>
    <t>MODEL AUDIT!B403</t>
  </si>
  <si>
    <t>CHK-062</t>
  </si>
  <si>
    <t>External workbook formula links</t>
  </si>
  <si>
    <t>CHK-063</t>
  </si>
  <si>
    <t>Source stabilised NOI benchmark</t>
  </si>
  <si>
    <t>PROJECT INPUTS!H150</t>
  </si>
  <si>
    <t>Independent from target-model NOI.</t>
  </si>
  <si>
    <t>CHK-064</t>
  </si>
  <si>
    <t>Waterfall zero-denominator guards</t>
  </si>
  <si>
    <t>MODEL AUDIT!B406</t>
  </si>
  <si>
    <t>Twelve dormant share formulas protected.</t>
  </si>
  <si>
    <t>CHK-065</t>
  </si>
  <si>
    <t>Latest management source recorded</t>
  </si>
  <si>
    <t>REVIEW</t>
  </si>
  <si>
    <t>INPUT GOVERNANCE!A341:Q352</t>
  </si>
  <si>
    <t>Owner decisions remain outstanding</t>
  </si>
  <si>
    <t>Indicative financing and governance terms are not treated as executed.</t>
  </si>
  <si>
    <t>CHK-066</t>
  </si>
  <si>
    <t>Phase 12 manager QA status</t>
  </si>
  <si>
    <t>MODEL AUDIT!B407</t>
  </si>
  <si>
    <t>Must equal PASS.</t>
  </si>
  <si>
    <t>CHK-067</t>
  </si>
  <si>
    <t>External release gate</t>
  </si>
  <si>
    <t>Commercial and specialist evidence remains outstanding.</t>
  </si>
  <si>
    <t>THE BEND PRECINCT | FUNDING &amp; CAP TABLE</t>
  </si>
  <si>
    <t>Funded equity is distinguished from total commitment. Ownership is based on funded ordinary equity and remains provisional pending executed legal documents, shareholder-loan terms and dilution mechanics.</t>
  </si>
  <si>
    <t>Funded equity is distinguished from total commitment. Ownership is based on funded ordinary equity pending executed legal documents, shareholder-loan terms and dilution mechanics.</t>
  </si>
  <si>
    <t>EQUITY COMMITMENTS, FUNDED DRAWS &amp; PROVISIONAL OWNERSHIP | A$ MILLION</t>
  </si>
  <si>
    <t>SELECTED-SCENARIO INVESTOR VALUE &amp; RETURNS</t>
  </si>
  <si>
    <t>Identity / Detail</t>
  </si>
  <si>
    <t>Commitment</t>
  </si>
  <si>
    <t>Funded Draw</t>
  </si>
  <si>
    <t>Undrawn Commitment</t>
  </si>
  <si>
    <t>Source</t>
  </si>
  <si>
    <t>Attributable Value</t>
  </si>
  <si>
    <t>Mayabay Investments Pte Ltd</t>
  </si>
  <si>
    <t>Eugene Joannides source on CLN through Mayabay Singapore HQ</t>
  </si>
  <si>
    <t>PROJECT CASH FLOW!E103:F103</t>
  </si>
  <si>
    <t>David Gifford</t>
  </si>
  <si>
    <t>Australian Investor 1</t>
  </si>
  <si>
    <t>PROJECT CASH FLOW!E104:F104</t>
  </si>
  <si>
    <t>Australian Investor 2</t>
  </si>
  <si>
    <t>PROJECT CASH FLOW!E105:F105</t>
  </si>
  <si>
    <t>Belgravia</t>
  </si>
  <si>
    <t>Australian Investor 3</t>
  </si>
  <si>
    <t>PROJECT CASH FLOW!E106:F106</t>
  </si>
  <si>
    <t>Other Investors</t>
  </si>
  <si>
    <t>Australian Investor 4</t>
  </si>
  <si>
    <t>PROJECT CASH FLOW!E107:F107</t>
  </si>
  <si>
    <t>Andrew Norton &amp; others</t>
  </si>
  <si>
    <t>Australian Investor 5</t>
  </si>
  <si>
    <t>PROJECT CASH FLOW!E108:F108</t>
  </si>
  <si>
    <t>Australian Institutional Investors</t>
  </si>
  <si>
    <t>Superannuation / insurance / consortium</t>
  </si>
  <si>
    <t>PROJECT CASH FLOW!E109:F109</t>
  </si>
  <si>
    <t>MASTER DEVELOPER</t>
  </si>
  <si>
    <t>Plenary, CIBUS or similar; identity unconfirmed</t>
  </si>
  <si>
    <t>Residual to live funded-equity requirement; commitment separately linked</t>
  </si>
  <si>
    <t>Mapped — residual formula</t>
  </si>
  <si>
    <t>Funded draw is formula-driven. The A$150m commitment is not treated as funded capital until drawn.</t>
  </si>
  <si>
    <t>Required modelled funded equity</t>
  </si>
  <si>
    <t>Target debt share</t>
  </si>
  <si>
    <t>Policy input</t>
  </si>
  <si>
    <t>50:50 planned construction debt</t>
  </si>
  <si>
    <t>Actual debt share</t>
  </si>
  <si>
    <t>Live committed funding plan</t>
  </si>
  <si>
    <t>Debt / equity split</t>
  </si>
  <si>
    <t>Debt : Equity</t>
  </si>
  <si>
    <t>Policy compliance</t>
  </si>
  <si>
    <t>Actual &lt;= target + 5%</t>
  </si>
  <si>
    <t>CONTROLS</t>
  </si>
  <si>
    <t>Funded equity equals requirement</t>
  </si>
  <si>
    <t>Funded register versus source equity requirement</t>
  </si>
  <si>
    <t>Ownership sums to 100%</t>
  </si>
  <si>
    <t>Funded ordinary equity</t>
  </si>
  <si>
    <t>Commitments cover funded equity</t>
  </si>
  <si>
    <t>No investor draw exceeds commitment</t>
  </si>
  <si>
    <t>Master Developer commitment linked</t>
  </si>
  <si>
    <t>CEO-directed A$150m commitment</t>
  </si>
  <si>
    <t>Debt / equity approximately 50:50</t>
  </si>
  <si>
    <t>Source base case</t>
  </si>
  <si>
    <t>Actual construction debt drawn</t>
  </si>
  <si>
    <t>Actual equity requirement</t>
  </si>
  <si>
    <t>Actual modelled debt / equity split</t>
  </si>
  <si>
    <t>50:50 plan versus modelled draw</t>
  </si>
  <si>
    <t>The data-book plan is approximately 50:50. Actual live debt and equity reflect eligible-use timing, capitalised interest and disclosed funding credits.</t>
  </si>
  <si>
    <t>URWLD | COMPANY &amp; PROJECT INPUTS</t>
  </si>
  <si>
    <t>Global HoldCo references, Bend ProjectCo assumptions and all construction inputs | Canonical static register — selectively linked to model calculations through controlled mappings</t>
  </si>
  <si>
    <t>VISIBLE LINES</t>
  </si>
  <si>
    <t>BEND RECORDS</t>
  </si>
  <si>
    <t>ROWS COLLAPSED</t>
  </si>
  <si>
    <t>QC PASS</t>
  </si>
  <si>
    <t>01 HoldCo / CLN</t>
  </si>
  <si>
    <t>02 Setup</t>
  </si>
  <si>
    <t>03 Whole Project</t>
  </si>
  <si>
    <t>04 Construction</t>
  </si>
  <si>
    <t>05 Funding</t>
  </si>
  <si>
    <t>06 Debt / Tax</t>
  </si>
  <si>
    <t>07 Valuation</t>
  </si>
  <si>
    <t>08 Decisions</t>
  </si>
  <si>
    <t>Business Register</t>
  </si>
  <si>
    <t>CROSS-SHEET RECONCILIATION  |  Company / project / construction: 877 records in 697 lines  |  Business register: 831 records in 544 lines  |  Total Bend records: 1,708</t>
  </si>
  <si>
    <t>ALLOCATION RULE  |  Parent / HoldCo  |  Whole project / ProjectCo  |  All construction &amp; development  |  Funding  |  Debt  |  Tax  |  Valuation / returns  |  Owner decisions</t>
  </si>
  <si>
    <t>STATUS &amp; CONTROL  |  Project source hardcodes: 865  |  Owner decisions: 12  |  Corporate references: 19  |  Missing IDs: 0  |  Duplicate IDs: 0  |  Last updated: 03-Aug-2026</t>
  </si>
  <si>
    <t>One visible line now represents one assumption family. AUD / USD / source variants and exact repeats are consolidated; all underlying IDs and evidence remain in grouped audit columns H:T.</t>
  </si>
  <si>
    <t>Input / assumption</t>
  </si>
  <si>
    <t>AUD</t>
  </si>
  <si>
    <t>USD</t>
  </si>
  <si>
    <t>Source / Other</t>
  </si>
  <si>
    <t>Business</t>
  </si>
  <si>
    <t>Subsection</t>
  </si>
  <si>
    <t>Source component / owner</t>
  </si>
  <si>
    <t>Source workbook</t>
  </si>
  <si>
    <t>Source sheet</t>
  </si>
  <si>
    <t>Source reference</t>
  </si>
  <si>
    <t>Notes</t>
  </si>
  <si>
    <t>Consolidated ID</t>
  </si>
  <si>
    <t>Underlying record IDs</t>
  </si>
  <si>
    <t>Underlying record count</t>
  </si>
  <si>
    <t>Original section(s)</t>
  </si>
  <si>
    <t>Allocation rationale</t>
  </si>
  <si>
    <t>01  GLOBAL HOLDCO &amp; CLN REFERENCE</t>
  </si>
  <si>
    <t>19 records</t>
  </si>
  <si>
    <t>TOP</t>
  </si>
  <si>
    <t>01.01  Corporate platform</t>
  </si>
  <si>
    <t>10 records</t>
  </si>
  <si>
    <t>Typical venue activities</t>
  </si>
  <si>
    <t>Management</t>
  </si>
  <si>
    <t>activities</t>
  </si>
  <si>
    <t>Management presentation — unverified</t>
  </si>
  <si>
    <t>URWLD Global HoldCo</t>
  </si>
  <si>
    <t>Corporate platform</t>
  </si>
  <si>
    <t>URWLD management / confirm</t>
  </si>
  <si>
    <t>URWLD CLN Investment Opportunity</t>
  </si>
  <si>
    <t>Corporate reference presentation</t>
  </si>
  <si>
    <t>URWLD CLN Investment Opportunity | July 2026 | p.2</t>
  </si>
  <si>
    <t>Presented range is 15–20 activities; upper end retained as reference. | Bend ProjectCo linkage: Not linked to Bend ProjectCo</t>
  </si>
  <si>
    <t>CORP-PLAT-001</t>
  </si>
  <si>
    <t>Global HoldCo / CLN reference — not a Bend ProjectCo model input</t>
  </si>
  <si>
    <t>Typical venue size</t>
  </si>
  <si>
    <t>Reference venue size only; not a Bend ProjectCo area input. | Bend ProjectCo linkage: Not linked to Bend ProjectCo</t>
  </si>
  <si>
    <t>CORP-PLAT-002</t>
  </si>
  <si>
    <t>Long-term site potential</t>
  </si>
  <si>
    <t>sites</t>
  </si>
  <si>
    <t>Management target — unverified</t>
  </si>
  <si>
    <t>URWLD management / substantiate</t>
  </si>
  <si>
    <t>URWLD CLN Investment Opportunity | July 2026 | pp.2, 7</t>
  </si>
  <si>
    <t>Stated as more than 300 sites. | Bend ProjectCo linkage: Not linked to Bend ProjectCo</t>
  </si>
  <si>
    <t>CORP-PLAT-003</t>
  </si>
  <si>
    <t>Five-year location target</t>
  </si>
  <si>
    <t>locations</t>
  </si>
  <si>
    <t>URWLD CLN Investment Opportunity | July 2026 | p.7</t>
  </si>
  <si>
    <t>Stated as 30+ locations. | Bend ProjectCo linkage: Not linked to Bend ProjectCo</t>
  </si>
  <si>
    <t>CORP-PLAT-004</t>
  </si>
  <si>
    <t>Five-year country target</t>
  </si>
  <si>
    <t>countries</t>
  </si>
  <si>
    <t>Stated as 10+ countries. | Bend ProjectCo linkage: Not linked to Bend ProjectCo</t>
  </si>
  <si>
    <t>CORP-PLAT-005</t>
  </si>
  <si>
    <t>Five-year continent target</t>
  </si>
  <si>
    <t>continents</t>
  </si>
  <si>
    <t>Management rollout target. | Bend ProjectCo linkage: Not linked to Bend ProjectCo</t>
  </si>
  <si>
    <t>CORP-PLAT-006</t>
  </si>
  <si>
    <t>Five-year annual visitor target</t>
  </si>
  <si>
    <t>million visitors</t>
  </si>
  <si>
    <t>Stated as 50m+ annual visitors. | Bend ProjectCo linkage: Not linked to Bend ProjectCo</t>
  </si>
  <si>
    <t>CORP-PLAT-007</t>
  </si>
  <si>
    <t>Investment to date</t>
  </si>
  <si>
    <t>US$m</t>
  </si>
  <si>
    <t>Management statement — unverified</t>
  </si>
  <si>
    <t>URWLD management / evidence</t>
  </si>
  <si>
    <t>Stated as more than US$25m. | Bend ProjectCo linkage: Not linked to Bend ProjectCo</t>
  </si>
  <si>
    <t>CORP-PLAT-008</t>
  </si>
  <si>
    <t>Initial REIT structure capex saving</t>
  </si>
  <si>
    <t>Corporate finance / evidence</t>
  </si>
  <si>
    <t>URWLD CLN Investment Opportunity | July 2026 | p.3</t>
  </si>
  <si>
    <t>Stated as more than US$120m; not adopted in Bend ProjectCo CAPEX. | Bend ProjectCo linkage: Not linked to Bend ProjectCo</t>
  </si>
  <si>
    <t>CORP-CAPEX-001</t>
  </si>
  <si>
    <t>Future fit-out capex reduction</t>
  </si>
  <si>
    <t>QS / procurement evidence</t>
  </si>
  <si>
    <t>URWLD CLN Investment Opportunity | July 2026 | p.12</t>
  </si>
  <si>
    <t>Stated as up to 35%; not adopted in Bend ProjectCo CAPEX. | Bend ProjectCo linkage: Not linked to Bend ProjectCo</t>
  </si>
  <si>
    <t>CORP-CAPEX-002</t>
  </si>
  <si>
    <t>01.02  Corporate valuation</t>
  </si>
  <si>
    <t>4 records</t>
  </si>
  <si>
    <t>Target IPO year</t>
  </si>
  <si>
    <t>year</t>
  </si>
  <si>
    <t>Corporate valuation</t>
  </si>
  <si>
    <t>Board / corporate adviser</t>
  </si>
  <si>
    <t>No IPO assurance or timetable evidence provided. | Bend ProjectCo linkage: Not linked to Bend ProjectCo</t>
  </si>
  <si>
    <t>CORP-VAL-001</t>
  </si>
  <si>
    <t>Target initial IPO market capitalisation</t>
  </si>
  <si>
    <t>US$bn</t>
  </si>
  <si>
    <t>Independent corporate valuation required</t>
  </si>
  <si>
    <t>URWLD CLN Investment Opportunity | July 2026 | pp.3, 12</t>
  </si>
  <si>
    <t>Not used in Bend property valuation or investor returns. | Bend ProjectCo linkage: Not linked to Bend ProjectCo</t>
  </si>
  <si>
    <t>CORP-VAL-002</t>
  </si>
  <si>
    <t>Potential market capitalisation 2032/33</t>
  </si>
  <si>
    <t>Illustrative corporate aspiration only. | Bend ProjectCo linkage: Not linked to Bend ProjectCo</t>
  </si>
  <si>
    <t>CORP-VAL-003</t>
  </si>
  <si>
    <t>Illustrative management upside</t>
  </si>
  <si>
    <t>Illustrative — not guaranteed</t>
  </si>
  <si>
    <t>Legal / valuation review</t>
  </si>
  <si>
    <t>Not a forecast or assured return. | Bend ProjectCo linkage: Not linked to Bend ProjectCo</t>
  </si>
  <si>
    <t>CORP-VAL-004</t>
  </si>
  <si>
    <t>01.03  CLN reference</t>
  </si>
  <si>
    <t>5 records</t>
  </si>
  <si>
    <t>Minimum investment</t>
  </si>
  <si>
    <t>Non-binding — executed documents required</t>
  </si>
  <si>
    <t>CLN reference</t>
  </si>
  <si>
    <t>Legal counsel / executed note</t>
  </si>
  <si>
    <t>URWLD CLN Investment Opportunity | July 2026 | p.4</t>
  </si>
  <si>
    <t>Reference term only. | Bend ProjectCo linkage: Not linked to Bend ProjectCo</t>
  </si>
  <si>
    <t>CLN-001</t>
  </si>
  <si>
    <t>Annual uplift on original value</t>
  </si>
  <si>
    <t>Presented as simple annual uplift, not compounding. | Bend ProjectCo linkage: Not linked to Bend ProjectCo</t>
  </si>
  <si>
    <t>CLN-002</t>
  </si>
  <si>
    <t>Founder minimum value growth over four years</t>
  </si>
  <si>
    <t>Management statement; legal mechanics not provided. | Bend ProjectCo linkage: Not linked to Bend ProjectCo</t>
  </si>
  <si>
    <t>CLN-003</t>
  </si>
  <si>
    <t>Planned conversion timing</t>
  </si>
  <si>
    <t>text</t>
  </si>
  <si>
    <t>At or before IPO</t>
  </si>
  <si>
    <t>Conversion mechanics, price and dilution are not documented here. | Bend ProjectCo linkage: Not linked to Bend ProjectCo</t>
  </si>
  <si>
    <t>CLN-004</t>
  </si>
  <si>
    <t>Preferential ranking</t>
  </si>
  <si>
    <t>Stated preferential position</t>
  </si>
  <si>
    <t>Ranking and security require executed documentation. | Bend ProjectCo linkage: Not linked to Bend ProjectCo</t>
  </si>
  <si>
    <t>CLN-005</t>
  </si>
  <si>
    <t>02  PROJECT SETUP &amp; PROGRAMME</t>
  </si>
  <si>
    <t>16 lines / 16 records</t>
  </si>
  <si>
    <t>02.01  Precinct &amp; Corporate</t>
  </si>
  <si>
    <t>10 lines / 10 rec.</t>
  </si>
  <si>
    <t>02.01.01  Project identity and model basis</t>
  </si>
  <si>
    <t>3 lines / 3 rec.</t>
  </si>
  <si>
    <t>Project Name | Value</t>
  </si>
  <si>
    <t>Single</t>
  </si>
  <si>
    <t>Source hardcode</t>
  </si>
  <si>
    <t>Precinct &amp; Corporate</t>
  </si>
  <si>
    <t>Setup &amp; Programme</t>
  </si>
  <si>
    <t>Project identity and model basis</t>
  </si>
  <si>
    <t>Project / governance</t>
  </si>
  <si>
    <t>Project data book.xlsm</t>
  </si>
  <si>
    <t>MODEL DESIGN!D4</t>
  </si>
  <si>
    <t>source hardcode; raw source value retained without external link</t>
  </si>
  <si>
    <t>CNI-0001</t>
  </si>
  <si>
    <t>DBI-MD-D4</t>
  </si>
  <si>
    <t>PROJECT &amp; PROGRAMME</t>
  </si>
  <si>
    <t>Project setup / programme input</t>
  </si>
  <si>
    <t>Location | THE BEND Entertainment Precinct</t>
  </si>
  <si>
    <t>MODEL DESIGN!D5</t>
  </si>
  <si>
    <t>CNI-0002</t>
  </si>
  <si>
    <t>DBI-MD-D5</t>
  </si>
  <si>
    <t>Model Currency | Q3 2029</t>
  </si>
  <si>
    <t>MODEL DESIGN!D12</t>
  </si>
  <si>
    <t>CNI-0003</t>
  </si>
  <si>
    <t>DBI-MD-D12</t>
  </si>
  <si>
    <t>02.01.02  Site and scale</t>
  </si>
  <si>
    <t>Site Area | Port Melbourne</t>
  </si>
  <si>
    <t>sqm / source unit</t>
  </si>
  <si>
    <t>Site and scale</t>
  </si>
  <si>
    <t>MODEL DESIGN!D6</t>
  </si>
  <si>
    <t>detailed-schedule hardcode; raw source value retained without external link</t>
  </si>
  <si>
    <t>CNI-0004</t>
  </si>
  <si>
    <t>DBI-MD-D6</t>
  </si>
  <si>
    <t>Gross Floor Area | Port Melbourne</t>
  </si>
  <si>
    <t>MODEL DESIGN!D7</t>
  </si>
  <si>
    <t>CNI-0005</t>
  </si>
  <si>
    <t>DBI-MD-D7</t>
  </si>
  <si>
    <t>Site area | Conservative</t>
  </si>
  <si>
    <t>Scenario / core assumptions</t>
  </si>
  <si>
    <t>ASSUMPTIONS!B21</t>
  </si>
  <si>
    <t>designated blue input; referenced by 22 formula(s); detailed-schedule hardcode; raw source value retained without external link</t>
  </si>
  <si>
    <t>CNI-0006</t>
  </si>
  <si>
    <t>DBI-ASM-B21</t>
  </si>
  <si>
    <t>OPERATING, DEBT &amp; VALUATION</t>
  </si>
  <si>
    <t>02.01.03  Key dates and model horizon</t>
  </si>
  <si>
    <t>4 lines / 4 rec.</t>
  </si>
  <si>
    <t>Construction Start | Port Melbourne</t>
  </si>
  <si>
    <t>Key dates and model horizon</t>
  </si>
  <si>
    <t>MODEL DESIGN!D8</t>
  </si>
  <si>
    <t>CNI-0007</t>
  </si>
  <si>
    <t>DBI-MD-D8</t>
  </si>
  <si>
    <t>Practical Completion | Q3 2026</t>
  </si>
  <si>
    <t>MODEL DESIGN!D9</t>
  </si>
  <si>
    <t>CNI-0008</t>
  </si>
  <si>
    <t>DBI-MD-D9</t>
  </si>
  <si>
    <t>Operations Commence | Q2 2029</t>
  </si>
  <si>
    <t>MODEL DESIGN!D10</t>
  </si>
  <si>
    <t>CNI-0009</t>
  </si>
  <si>
    <t>DBI-MD-D10</t>
  </si>
  <si>
    <t>Forecast Period | Q3 2029</t>
  </si>
  <si>
    <t>source unit</t>
  </si>
  <si>
    <t>MODEL DESIGN!D11</t>
  </si>
  <si>
    <t>CNI-0010</t>
  </si>
  <si>
    <t>DBI-MD-D11</t>
  </si>
  <si>
    <t>02.02  URWLD</t>
  </si>
  <si>
    <t>6 lines / 6 rec.</t>
  </si>
  <si>
    <t>02.02.01  Programme, currency &amp; development basis</t>
  </si>
  <si>
    <t>5 lines / 5 rec.</t>
  </si>
  <si>
    <t>Target Opening Date: | URWLD-AU01-MEL</t>
  </si>
  <si>
    <t>Programme, currency &amp; development basis</t>
  </si>
  <si>
    <t>URWLD CAPEX</t>
  </si>
  <si>
    <t>DEV CAPEX URWLD!E3</t>
  </si>
  <si>
    <t>referenced by 1 formula(s); detailed-schedule hardcode; raw source value retained without external link</t>
  </si>
  <si>
    <t>CNI-0166</t>
  </si>
  <si>
    <t>DBI-DCU-E3</t>
  </si>
  <si>
    <t>DETAILED CONSTRUCTION &amp; COMPONENT INPUTS</t>
  </si>
  <si>
    <t>Rate of Exchange GBP to USD</t>
  </si>
  <si>
    <t>DEV CAPEX URWLD!D4</t>
  </si>
  <si>
    <t>referenced by 9 formula(s); detailed-schedule hardcode; raw source value retained without external link</t>
  </si>
  <si>
    <t>CNI-0168</t>
  </si>
  <si>
    <t>DBI-DCU-D4</t>
  </si>
  <si>
    <t>DEV CAPEX URWLD!I4</t>
  </si>
  <si>
    <t>CNI-0169</t>
  </si>
  <si>
    <t>DBI-DCU-I4</t>
  </si>
  <si>
    <t>CODE</t>
  </si>
  <si>
    <t>DEV CAPEX URWLD!I1</t>
  </si>
  <si>
    <t>CNI-0230</t>
  </si>
  <si>
    <t>DBI-DCU-I1</t>
  </si>
  <si>
    <t>INDICATIVE | MELBOURNE</t>
  </si>
  <si>
    <t>DEV CAPEX URWLD!G7</t>
  </si>
  <si>
    <t>CNI-0231</t>
  </si>
  <si>
    <t>DBI-DCU-G7</t>
  </si>
  <si>
    <t>02.02.02  Model basis, exchange rate &amp; growth profile</t>
  </si>
  <si>
    <t>1 lines / 1 rec.</t>
  </si>
  <si>
    <t>Source input A3</t>
  </si>
  <si>
    <t>Model basis, exchange rate &amp; growth profile</t>
  </si>
  <si>
    <t>URWLD OPEX</t>
  </si>
  <si>
    <t>OPEX URWLD AUD$)!A3</t>
  </si>
  <si>
    <t>CNI-0398</t>
  </si>
  <si>
    <t>DBI-OUA-A3</t>
  </si>
  <si>
    <t>URWLD OPERATING DRIVERS</t>
  </si>
  <si>
    <t>03  WHOLE PROJECT &amp; PROJECTCO</t>
  </si>
  <si>
    <t>46 lines / 46 records</t>
  </si>
  <si>
    <t>03.01  Precinct &amp; Corporate</t>
  </si>
  <si>
    <t>46 lines / 46 rec.</t>
  </si>
  <si>
    <t>03.01.01  Construction inflation</t>
  </si>
  <si>
    <t>Construction Inflation | Rate</t>
  </si>
  <si>
    <t>Operations</t>
  </si>
  <si>
    <t>MODEL DESIGN!D55</t>
  </si>
  <si>
    <t>CNI-0070</t>
  </si>
  <si>
    <t>DBI-MD-D55</t>
  </si>
  <si>
    <t>INFLATION &amp; ESCALATION</t>
  </si>
  <si>
    <t>Whole-project / precinct-wide input</t>
  </si>
  <si>
    <t>03.01.02  Inflation and operating escalation</t>
  </si>
  <si>
    <t>CPI | Rate</t>
  </si>
  <si>
    <t>Inflation and operating escalation</t>
  </si>
  <si>
    <t>MODEL DESIGN!D51</t>
  </si>
  <si>
    <t>CNI-0071</t>
  </si>
  <si>
    <t>DBI-MD-D51</t>
  </si>
  <si>
    <t>Outgoings Escalation | Rate</t>
  </si>
  <si>
    <t>MODEL DESIGN!D53</t>
  </si>
  <si>
    <t>CNI-0072</t>
  </si>
  <si>
    <t>DBI-MD-D53</t>
  </si>
  <si>
    <t>Operating Cost Escalation | Rate</t>
  </si>
  <si>
    <t>MODEL DESIGN!D54</t>
  </si>
  <si>
    <t>CNI-0073</t>
  </si>
  <si>
    <t>DBI-MD-D54</t>
  </si>
  <si>
    <t>03.01.03  Operating costs and escalation</t>
  </si>
  <si>
    <t>Operating costs and escalation</t>
  </si>
  <si>
    <t>ASSUMPTIONS!B40</t>
  </si>
  <si>
    <t>CNI-0074</t>
  </si>
  <si>
    <t>DBI-ASM-B40</t>
  </si>
  <si>
    <t>ASSUMPTIONS!B41</t>
  </si>
  <si>
    <t>CNI-0075</t>
  </si>
  <si>
    <t>DBI-ASM-B41</t>
  </si>
  <si>
    <t>Management payroll commencing 2027</t>
  </si>
  <si>
    <t>ASSUMPTIONS!B42</t>
  </si>
  <si>
    <t>designated blue input; referenced by 1 formula(s); detailed-schedule hardcode; raw source value retained without external link</t>
  </si>
  <si>
    <t>CNI-0076</t>
  </si>
  <si>
    <t>DBI-ASM-B42</t>
  </si>
  <si>
    <t>Management payroll annual escalation</t>
  </si>
  <si>
    <t>ASSUMPTIONS!B43</t>
  </si>
  <si>
    <t>designated blue input; referenced by 21 formula(s); detailed-schedule hardcode; raw source value retained without external link</t>
  </si>
  <si>
    <t>CNI-0077</t>
  </si>
  <si>
    <t>DBI-ASM-B43</t>
  </si>
  <si>
    <t>Long-term revenue escalation</t>
  </si>
  <si>
    <t>ASSUMPTIONS!B47</t>
  </si>
  <si>
    <t>designated blue input; referenced by 11 formula(s); detailed-schedule hardcode; raw source value retained without external link</t>
  </si>
  <si>
    <t>CNI-0078</t>
  </si>
  <si>
    <t>DBI-ASM-B47</t>
  </si>
  <si>
    <t>03.01.04  Operating scenarios</t>
  </si>
  <si>
    <t>15 lines / 15 rec.</t>
  </si>
  <si>
    <t>Revenue | Base</t>
  </si>
  <si>
    <t>Operating scenarios</t>
  </si>
  <si>
    <t>MODEL DESIGN!D184</t>
  </si>
  <si>
    <t>CNI-0079</t>
  </si>
  <si>
    <t>DBI-MD-D184</t>
  </si>
  <si>
    <t>SCENARIO ASSUMPTIONS</t>
  </si>
  <si>
    <t>Revenue | Downside</t>
  </si>
  <si>
    <t>MODEL DESIGN!E184</t>
  </si>
  <si>
    <t>CNI-0080</t>
  </si>
  <si>
    <t>DBI-MD-E184</t>
  </si>
  <si>
    <t>Revenue | Upside</t>
  </si>
  <si>
    <t>MODEL DESIGN!F184</t>
  </si>
  <si>
    <t>CNI-0081</t>
  </si>
  <si>
    <t>DBI-MD-F184</t>
  </si>
  <si>
    <t>Occupancy | Base</t>
  </si>
  <si>
    <t>MODEL DESIGN!D185</t>
  </si>
  <si>
    <t>CNI-0082</t>
  </si>
  <si>
    <t>DBI-MD-D185</t>
  </si>
  <si>
    <t>Occupancy | Downside</t>
  </si>
  <si>
    <t>MODEL DESIGN!E185</t>
  </si>
  <si>
    <t>CNI-0083</t>
  </si>
  <si>
    <t>DBI-MD-E185</t>
  </si>
  <si>
    <t>Occupancy | Upside</t>
  </si>
  <si>
    <t>MODEL DESIGN!F185</t>
  </si>
  <si>
    <t>CNI-0084</t>
  </si>
  <si>
    <t>DBI-MD-F185</t>
  </si>
  <si>
    <t>CPI / operating cost growth | Conservative</t>
  </si>
  <si>
    <t>ASSUMPTIONS!B8</t>
  </si>
  <si>
    <t>CNI-0085</t>
  </si>
  <si>
    <t>DBI-ASM-B8</t>
  </si>
  <si>
    <t>CPI / operating cost growth | Base Case</t>
  </si>
  <si>
    <t>ASSUMPTIONS!C8</t>
  </si>
  <si>
    <t>CNI-0086</t>
  </si>
  <si>
    <t>DBI-ASM-C8</t>
  </si>
  <si>
    <t>CPI / operating cost growth | Optimised</t>
  </si>
  <si>
    <t>ASSUMPTIONS!D8</t>
  </si>
  <si>
    <t>CNI-0087</t>
  </si>
  <si>
    <t>DBI-ASM-D8</t>
  </si>
  <si>
    <t>Operating expense as % of revenue | Conservative</t>
  </si>
  <si>
    <t>ASSUMPTIONS!B13</t>
  </si>
  <si>
    <t>designated blue input; detailed-schedule hardcode; raw source value retained without external link</t>
  </si>
  <si>
    <t>CNI-0088</t>
  </si>
  <si>
    <t>DBI-ASM-B13</t>
  </si>
  <si>
    <t>Operating expense as % of revenue | Base Case</t>
  </si>
  <si>
    <t>ASSUMPTIONS!C13</t>
  </si>
  <si>
    <t>CNI-0089</t>
  </si>
  <si>
    <t>DBI-ASM-C13</t>
  </si>
  <si>
    <t>Operating expense as % of revenue | Optimised</t>
  </si>
  <si>
    <t>ASSUMPTIONS!D13</t>
  </si>
  <si>
    <t>CNI-0090</t>
  </si>
  <si>
    <t>DBI-ASM-D13</t>
  </si>
  <si>
    <t>Committed occupancy | Conservative</t>
  </si>
  <si>
    <t>ASSUMPTIONS!B14</t>
  </si>
  <si>
    <t>CNI-0091</t>
  </si>
  <si>
    <t>DBI-ASM-B14</t>
  </si>
  <si>
    <t>Committed occupancy | Base Case</t>
  </si>
  <si>
    <t>ASSUMPTIONS!C14</t>
  </si>
  <si>
    <t>CNI-0092</t>
  </si>
  <si>
    <t>DBI-ASM-C14</t>
  </si>
  <si>
    <t>Committed occupancy | Optimised</t>
  </si>
  <si>
    <t>ASSUMPTIONS!D14</t>
  </si>
  <si>
    <t>CNI-0093</t>
  </si>
  <si>
    <t>DBI-ASM-D14</t>
  </si>
  <si>
    <t>03.01.05  Site acquisition, deposits &amp; infrastructure contributions</t>
  </si>
  <si>
    <t>Site Acquisition Lease Deposit (interim)</t>
  </si>
  <si>
    <t>Leasing &amp; Commercial</t>
  </si>
  <si>
    <t>Site acquisition, deposits &amp; infrastructure contributions</t>
  </si>
  <si>
    <t>Project / funding</t>
  </si>
  <si>
    <t>PROJECT CASH FLOW!H32</t>
  </si>
  <si>
    <t>designated blue input; referenced by 3 formula(s); raw source value retained without external link</t>
  </si>
  <si>
    <t>CNI-0094</t>
  </si>
  <si>
    <t>DBI-PCF-H32</t>
  </si>
  <si>
    <t>LAND, GRANTS &amp; INFRASTRUCTURE</t>
  </si>
  <si>
    <t>03.01.06  Lease and component policy</t>
  </si>
  <si>
    <t>16 lines / 16 rec.</t>
  </si>
  <si>
    <t>Commencement | Value</t>
  </si>
  <si>
    <t>Lease and component policy</t>
  </si>
  <si>
    <t>MODEL DESIGN!D77</t>
  </si>
  <si>
    <t>CNI-0095</t>
  </si>
  <si>
    <t>DBI-MD-D77</t>
  </si>
  <si>
    <t>LEASE &amp; COMPONENT POLICY</t>
  </si>
  <si>
    <t>Rent Review | 2029</t>
  </si>
  <si>
    <t>Annual CPI</t>
  </si>
  <si>
    <t>MODEL DESIGN!D78</t>
  </si>
  <si>
    <t>CNI-0096</t>
  </si>
  <si>
    <t>DBI-MD-D78</t>
  </si>
  <si>
    <t>Abatement | Annual CPI</t>
  </si>
  <si>
    <t>Included in Revenue Schedule</t>
  </si>
  <si>
    <t>MODEL DESIGN!D79</t>
  </si>
  <si>
    <t>CNI-0097</t>
  </si>
  <si>
    <t>DBI-MD-D79</t>
  </si>
  <si>
    <t>Outgoings | Included in Revenue Schedule</t>
  </si>
  <si>
    <t>Recoverable</t>
  </si>
  <si>
    <t>MODEL DESIGN!D80</t>
  </si>
  <si>
    <t>CNI-0098</t>
  </si>
  <si>
    <t>DBI-MD-D80</t>
  </si>
  <si>
    <t>Market Review | Recoverable</t>
  </si>
  <si>
    <t>End of Lease of 10 years</t>
  </si>
  <si>
    <t>MODEL DESIGN!D81</t>
  </si>
  <si>
    <t>CNI-0099</t>
  </si>
  <si>
    <t>DBI-MD-D81</t>
  </si>
  <si>
    <t>Beds | Value</t>
  </si>
  <si>
    <t>rooms</t>
  </si>
  <si>
    <t>MODEL DESIGN!D85</t>
  </si>
  <si>
    <t>CNI-0100</t>
  </si>
  <si>
    <t>DBI-MD-D85</t>
  </si>
  <si>
    <t>Revenue Basis | Value</t>
  </si>
  <si>
    <t>Net Income to SPV</t>
  </si>
  <si>
    <t>MODEL DESIGN!D86</t>
  </si>
  <si>
    <t>CNI-0101</t>
  </si>
  <si>
    <t>DBI-MD-D86</t>
  </si>
  <si>
    <t>Occupancy | Net Income to SPV</t>
  </si>
  <si>
    <t>95% (base case, adjustable)</t>
  </si>
  <si>
    <t>MODEL DESIGN!D87</t>
  </si>
  <si>
    <t>CNI-0102</t>
  </si>
  <si>
    <t>DBI-MD-D87</t>
  </si>
  <si>
    <t>Annual Growth | 95% (base case, adjustable)</t>
  </si>
  <si>
    <t>MODEL DESIGN!D88</t>
  </si>
  <si>
    <t>CNI-0103</t>
  </si>
  <si>
    <t>DBI-MD-D88</t>
  </si>
  <si>
    <t>Land Lease | Value</t>
  </si>
  <si>
    <t>MODEL DESIGN!D93</t>
  </si>
  <si>
    <t>CNI-0104</t>
  </si>
  <si>
    <t>DBI-MD-D93</t>
  </si>
  <si>
    <t>Rent | Yes</t>
  </si>
  <si>
    <t>Included in Revenue</t>
  </si>
  <si>
    <t>MODEL DESIGN!D94</t>
  </si>
  <si>
    <t>CNI-0105</t>
  </si>
  <si>
    <t>DBI-MD-D94</t>
  </si>
  <si>
    <t>Debt Interest | Included in Revenue</t>
  </si>
  <si>
    <t>Modelled Separately</t>
  </si>
  <si>
    <t>MODEL DESIGN!D95</t>
  </si>
  <si>
    <t>CNI-0106</t>
  </si>
  <si>
    <t>DBI-MD-D95</t>
  </si>
  <si>
    <t>Outgoings | Modelled Separately</t>
  </si>
  <si>
    <t>MODEL DESIGN!D96</t>
  </si>
  <si>
    <t>CNI-0107</t>
  </si>
  <si>
    <t>DBI-MD-D96</t>
  </si>
  <si>
    <t>Spaces | Value</t>
  </si>
  <si>
    <t>spaces / capacity</t>
  </si>
  <si>
    <t>MODEL DESIGN!D101</t>
  </si>
  <si>
    <t>CNI-0108</t>
  </si>
  <si>
    <t>DBI-MD-D101</t>
  </si>
  <si>
    <t>Operator | Value</t>
  </si>
  <si>
    <t>SPV</t>
  </si>
  <si>
    <t>MODEL DESIGN!D102</t>
  </si>
  <si>
    <t>CNI-0109</t>
  </si>
  <si>
    <t>DBI-MD-D102</t>
  </si>
  <si>
    <t>Revenue | SPV</t>
  </si>
  <si>
    <t>Operating Income</t>
  </si>
  <si>
    <t>MODEL DESIGN!D103</t>
  </si>
  <si>
    <t>CNI-0110</t>
  </si>
  <si>
    <t>DBI-MD-D103</t>
  </si>
  <si>
    <t>03.01.07  Lease incentives</t>
  </si>
  <si>
    <t>Opening lease incentive asset</t>
  </si>
  <si>
    <t>Lease incentives</t>
  </si>
  <si>
    <t>ASSUMPTIONS!B27</t>
  </si>
  <si>
    <t>CNI-0111</t>
  </si>
  <si>
    <t>DBI-ASM-B27</t>
  </si>
  <si>
    <t>03.01.08  Rent escalation</t>
  </si>
  <si>
    <t>Rental Escalation | Rate</t>
  </si>
  <si>
    <t>Rent escalation</t>
  </si>
  <si>
    <t>MODEL DESIGN!D52</t>
  </si>
  <si>
    <t>CNI-0112</t>
  </si>
  <si>
    <t>DBI-MD-D52</t>
  </si>
  <si>
    <t>03.01.09  Rent escalation scenarios</t>
  </si>
  <si>
    <t>Rental escalation | Conservative</t>
  </si>
  <si>
    <t>Rent escalation scenarios</t>
  </si>
  <si>
    <t>ASSUMPTIONS!B9</t>
  </si>
  <si>
    <t>designated blue input; referenced by 4 formula(s); detailed-schedule hardcode; raw source value retained without external link</t>
  </si>
  <si>
    <t>CNI-0113</t>
  </si>
  <si>
    <t>DBI-ASM-B9</t>
  </si>
  <si>
    <t>Rental escalation | Base Case</t>
  </si>
  <si>
    <t>ASSUMPTIONS!C9</t>
  </si>
  <si>
    <t>CNI-0114</t>
  </si>
  <si>
    <t>DBI-ASM-C9</t>
  </si>
  <si>
    <t>Rental escalation | Optimised</t>
  </si>
  <si>
    <t>ASSUMPTIONS!D9</t>
  </si>
  <si>
    <t>CNI-0115</t>
  </si>
  <si>
    <t>DBI-ASM-D9</t>
  </si>
  <si>
    <t>04  CONSTRUCTION &amp; DEVELOPMENT</t>
  </si>
  <si>
    <t>546 lines / 726 records</t>
  </si>
  <si>
    <t>04.01  Precinct &amp; Corporate</t>
  </si>
  <si>
    <t>10 lines / 11 rec.</t>
  </si>
  <si>
    <t>04.01.01  Construction cost scenarios</t>
  </si>
  <si>
    <t>Construction Cost | Base</t>
  </si>
  <si>
    <t>Construction &amp; Development</t>
  </si>
  <si>
    <t>Construction cost scenarios</t>
  </si>
  <si>
    <t>MODEL DESIGN!D183</t>
  </si>
  <si>
    <t>CNI-0011</t>
  </si>
  <si>
    <t>DBI-MD-D183</t>
  </si>
  <si>
    <t>Construction / development input</t>
  </si>
  <si>
    <t>Construction Cost | Downside</t>
  </si>
  <si>
    <t>MODEL DESIGN!E183</t>
  </si>
  <si>
    <t>CNI-0012</t>
  </si>
  <si>
    <t>DBI-MD-E183</t>
  </si>
  <si>
    <t>Construction Cost | Upside</t>
  </si>
  <si>
    <t>MODEL DESIGN!F183</t>
  </si>
  <si>
    <t>CNI-0013</t>
  </si>
  <si>
    <t>DBI-MD-F183</t>
  </si>
  <si>
    <t>04.01.02  Site acquisition, deposits &amp; infrastructure contributions</t>
  </si>
  <si>
    <t>Site Acquisition incl. Stamp Duty (excl. GST)</t>
  </si>
  <si>
    <t>PROJECT CASH FLOW!H30</t>
  </si>
  <si>
    <t>CNI-0014</t>
  </si>
  <si>
    <t>DBI-PCF-H30</t>
  </si>
  <si>
    <t>Site Acquisition Deposit</t>
  </si>
  <si>
    <t>PROJECT CASH FLOW!H31</t>
  </si>
  <si>
    <t>designated blue input; referenced by 4 formula(s); raw source value retained without external link</t>
  </si>
  <si>
    <t>CNI-0015</t>
  </si>
  <si>
    <t>DBI-PCF-H31</t>
  </si>
  <si>
    <t>Site Acquisition BG</t>
  </si>
  <si>
    <t>PROJECT CASH FLOW!H33</t>
  </si>
  <si>
    <t>CNI-0016</t>
  </si>
  <si>
    <t>DBI-PCF-H33</t>
  </si>
  <si>
    <t>Fishermans Bend Infrastructure Fund</t>
  </si>
  <si>
    <t>PROJECT CASH FLOW!H36</t>
  </si>
  <si>
    <t>designated blue input; referenced by 6 formula(s); raw source value retained without external link</t>
  </si>
  <si>
    <t>CNI-0017</t>
  </si>
  <si>
    <t>DBI-PCF-H36</t>
  </si>
  <si>
    <t>Infrastructure Fund reduction - Landscape integration</t>
  </si>
  <si>
    <t>PROJECT CASH FLOW!H37</t>
  </si>
  <si>
    <t>designated blue input; referenced by 5 formula(s); raw source value retained without external link</t>
  </si>
  <si>
    <t>CNI-0018</t>
  </si>
  <si>
    <t>DBI-PCF-H37</t>
  </si>
  <si>
    <t>04.01.03  Project cash-flow source assumptions</t>
  </si>
  <si>
    <t>2 lines / 3 rec.</t>
  </si>
  <si>
    <t>Project Management/Consultants/Services</t>
  </si>
  <si>
    <t>Project cash-flow source assumptions</t>
  </si>
  <si>
    <t>PROJECT CASH FLOW!F25 | PROJECT CASH FLOW!H25</t>
  </si>
  <si>
    <t>designated blue input; raw source value retained without external link</t>
  </si>
  <si>
    <t>CNI-0068</t>
  </si>
  <si>
    <t>DBI-PCF-F25 | DBI-PCF-H25</t>
  </si>
  <si>
    <t>CONSTRUCTION MANUAL — PRECINCT</t>
  </si>
  <si>
    <t>Project Management/Consultants/Services | 2000</t>
  </si>
  <si>
    <t>PROJECT CASH FLOW!G25</t>
  </si>
  <si>
    <t>CNI-0069</t>
  </si>
  <si>
    <t>DBI-PCF-G25</t>
  </si>
  <si>
    <t>04.02  URWLD</t>
  </si>
  <si>
    <t>238 lines / 416 rec.</t>
  </si>
  <si>
    <t>04.02.01  Area, capacity &amp; development envelope</t>
  </si>
  <si>
    <t>URWLD | Footprint (sqm)</t>
  </si>
  <si>
    <t>Area, capacity &amp; development envelope</t>
  </si>
  <si>
    <t>PROJECT CASH FLOW!E8</t>
  </si>
  <si>
    <t>designated blue input; referenced by 1 formula(s); raw source value retained without external link</t>
  </si>
  <si>
    <t>CNI-0019</t>
  </si>
  <si>
    <t>DBI-PCF-E8</t>
  </si>
  <si>
    <t>URWLD | Land Area (sqm)</t>
  </si>
  <si>
    <t>PROJECT CASH FLOW!F8</t>
  </si>
  <si>
    <t>CNI-0020</t>
  </si>
  <si>
    <t>DBI-PCF-F8</t>
  </si>
  <si>
    <t>URWLD | Estimated GFA (sqm)</t>
  </si>
  <si>
    <t>PROJECT CASH FLOW!G8</t>
  </si>
  <si>
    <t>CNI-0021</t>
  </si>
  <si>
    <t>DBI-PCF-G8</t>
  </si>
  <si>
    <t>04.02.02  Permits, approvals &amp; licensing</t>
  </si>
  <si>
    <t>12 lines / 12 rec.</t>
  </si>
  <si>
    <t>Building Permits</t>
  </si>
  <si>
    <t>Permits, approvals &amp; licensing</t>
  </si>
  <si>
    <t>DEV CAPEX URWLD!E40</t>
  </si>
  <si>
    <t>referenced by 2 formula(s); detailed-schedule hardcode; raw source value retained without external link</t>
  </si>
  <si>
    <t>CNI-0167</t>
  </si>
  <si>
    <t>DBI-DCU-E40</t>
  </si>
  <si>
    <t>Other License and Misc. Permits</t>
  </si>
  <si>
    <t>DEV CAPEX URWLD!E41</t>
  </si>
  <si>
    <t>CNI-0170</t>
  </si>
  <si>
    <t>DBI-DCU-E41</t>
  </si>
  <si>
    <t>Development Application Preparation/Consultant Fees</t>
  </si>
  <si>
    <t>DEV CAPEX URWLD!E42</t>
  </si>
  <si>
    <t>CNI-0171</t>
  </si>
  <si>
    <t>DBI-DCU-E42</t>
  </si>
  <si>
    <t>Development/Operations Application Submission Fees</t>
  </si>
  <si>
    <t>DEV CAPEX URWLD!E43</t>
  </si>
  <si>
    <t>CNI-0172</t>
  </si>
  <si>
    <t>DBI-DCU-E43</t>
  </si>
  <si>
    <t>Planning/Land Dept Approvals Administration</t>
  </si>
  <si>
    <t>DEV CAPEX URWLD!E44</t>
  </si>
  <si>
    <t>CNI-0173</t>
  </si>
  <si>
    <t>DBI-DCU-E44</t>
  </si>
  <si>
    <t>Electrical/ Telephone Permits</t>
  </si>
  <si>
    <t>DEV CAPEX URWLD!E45</t>
  </si>
  <si>
    <t>CNI-0174</t>
  </si>
  <si>
    <t>DBI-DCU-E45</t>
  </si>
  <si>
    <t>Environmental Permits (EIA/IEE)</t>
  </si>
  <si>
    <t>DEV CAPEX URWLD!E46</t>
  </si>
  <si>
    <t>CNI-0175</t>
  </si>
  <si>
    <t>DBI-DCU-E46</t>
  </si>
  <si>
    <t>GST/VAT on Permits/Licensing</t>
  </si>
  <si>
    <t>DEV CAPEX URWLD!E48</t>
  </si>
  <si>
    <t>CNI-0176</t>
  </si>
  <si>
    <t>DBI-DCU-E48</t>
  </si>
  <si>
    <t>Other Misc. Permits</t>
  </si>
  <si>
    <t>DEV CAPEX URWLD!E49</t>
  </si>
  <si>
    <t>CNI-0177</t>
  </si>
  <si>
    <t>DBI-DCU-E49</t>
  </si>
  <si>
    <t>DEV CAPEX URWLD!D48</t>
  </si>
  <si>
    <t>CNI-0268</t>
  </si>
  <si>
    <t>DBI-DCU-D48</t>
  </si>
  <si>
    <t>DEV CAPEX URWLD!D49</t>
  </si>
  <si>
    <t>CNI-0269</t>
  </si>
  <si>
    <t>DBI-DCU-D49</t>
  </si>
  <si>
    <t>Operating &amp; Occupancy Permits</t>
  </si>
  <si>
    <t>DEV CAPEX URWLD!E47</t>
  </si>
  <si>
    <t>CNI-0383</t>
  </si>
  <si>
    <t>DBI-DCU-E47</t>
  </si>
  <si>
    <t>04.02.03  Design, architecture &amp; technical consultants</t>
  </si>
  <si>
    <t>24 lines / 24 rec.</t>
  </si>
  <si>
    <t>Site Fit &amp; Concept Design/Masterplan (ULL Concept Plan)</t>
  </si>
  <si>
    <t>Design, architecture &amp; technical consultants</t>
  </si>
  <si>
    <t>DEV CAPEX URWLD!E56</t>
  </si>
  <si>
    <t>CNI-0178</t>
  </si>
  <si>
    <t>DBI-DCU-E56</t>
  </si>
  <si>
    <t>Architectural Design Fees - Building Shell</t>
  </si>
  <si>
    <t>DEV CAPEX URWLD!E57</t>
  </si>
  <si>
    <t>CNI-0179</t>
  </si>
  <si>
    <t>DBI-DCU-E57</t>
  </si>
  <si>
    <t>Architectural Design Fees (Local Lead Design Team)</t>
  </si>
  <si>
    <t>DEV CAPEX URWLD!E58</t>
  </si>
  <si>
    <t>CNI-0180</t>
  </si>
  <si>
    <t>DBI-DCU-E58</t>
  </si>
  <si>
    <t>Urban Legacies Concept Design Works</t>
  </si>
  <si>
    <t>DEV CAPEX URWLD!E59</t>
  </si>
  <si>
    <t>CNI-0181</t>
  </si>
  <si>
    <t>DBI-DCU-E59</t>
  </si>
  <si>
    <t>Urban Legacies Site &amp; Location Fee (including design support)</t>
  </si>
  <si>
    <t>DEV CAPEX URWLD!E60</t>
  </si>
  <si>
    <t>CNI-0182</t>
  </si>
  <si>
    <t>DBI-DCU-E60</t>
  </si>
  <si>
    <t>Mechanical &amp; Electrical Design Fees</t>
  </si>
  <si>
    <t>DEV CAPEX URWLD!E61</t>
  </si>
  <si>
    <t>CNI-0183</t>
  </si>
  <si>
    <t>DBI-DCU-E61</t>
  </si>
  <si>
    <t>Architecural Development Fees (Urban Legacies-Fee)</t>
  </si>
  <si>
    <t>DEV CAPEX URWLD!E62</t>
  </si>
  <si>
    <t>CNI-0184</t>
  </si>
  <si>
    <t>DBI-DCU-E62</t>
  </si>
  <si>
    <t>Structural &amp; Civil Engineer Design Fees</t>
  </si>
  <si>
    <t>DEV CAPEX URWLD!E63</t>
  </si>
  <si>
    <t>CNI-0185</t>
  </si>
  <si>
    <t>DBI-DCU-E63</t>
  </si>
  <si>
    <t>EIA Consultant Submission Preparation Fees</t>
  </si>
  <si>
    <t>DEV CAPEX URWLD!E64</t>
  </si>
  <si>
    <t>CNI-0186</t>
  </si>
  <si>
    <t>DBI-DCU-E64</t>
  </si>
  <si>
    <t>AV Consultant Design Fees</t>
  </si>
  <si>
    <t>DEV CAPEX URWLD!E65</t>
  </si>
  <si>
    <t>CNI-0187</t>
  </si>
  <si>
    <t>DBI-DCU-E65</t>
  </si>
  <si>
    <t>Lighting Consultant Design Fees</t>
  </si>
  <si>
    <t>DEV CAPEX URWLD!E66</t>
  </si>
  <si>
    <t>CNI-0188</t>
  </si>
  <si>
    <t>DBI-DCU-E66</t>
  </si>
  <si>
    <t>Landscape/Masterplan Theme Consultant Concept Design</t>
  </si>
  <si>
    <t>DEV CAPEX URWLD!E67</t>
  </si>
  <si>
    <t>CNI-0189</t>
  </si>
  <si>
    <t>DBI-DCU-E67</t>
  </si>
  <si>
    <t>Specialist Environment &amp; Techology Consultant Design Fees</t>
  </si>
  <si>
    <t>DEV CAPEX URWLD!E68</t>
  </si>
  <si>
    <t>CNI-0190</t>
  </si>
  <si>
    <t>DBI-DCU-E68</t>
  </si>
  <si>
    <t>Interior Design Fees (ID)</t>
  </si>
  <si>
    <t>DEV CAPEX URWLD!E69</t>
  </si>
  <si>
    <t>CNI-0191</t>
  </si>
  <si>
    <t>DBI-DCU-E69</t>
  </si>
  <si>
    <t>IT Consultant Fees</t>
  </si>
  <si>
    <t>DEV CAPEX URWLD!E70</t>
  </si>
  <si>
    <t>CNI-0192</t>
  </si>
  <si>
    <t>DBI-DCU-E70</t>
  </si>
  <si>
    <t>FF&amp;E Consultant Fees</t>
  </si>
  <si>
    <t>DEV CAPEX URWLD!E71</t>
  </si>
  <si>
    <t>CNI-0193</t>
  </si>
  <si>
    <t>DBI-DCU-E71</t>
  </si>
  <si>
    <t>Development Technical Services Fees Urban Legacies</t>
  </si>
  <si>
    <t>DEV CAPEX URWLD!E72</t>
  </si>
  <si>
    <t>CNI-0194</t>
  </si>
  <si>
    <t>DBI-DCU-E72</t>
  </si>
  <si>
    <t>Development Technical Services Mayabay</t>
  </si>
  <si>
    <t>DEV CAPEX URWLD!E73</t>
  </si>
  <si>
    <t>CNI-0195</t>
  </si>
  <si>
    <t>DBI-DCU-E73</t>
  </si>
  <si>
    <t>DEV CAPEX URWLD!D56</t>
  </si>
  <si>
    <t>CNI-0270</t>
  </si>
  <si>
    <t>DBI-DCU-D56</t>
  </si>
  <si>
    <t>DEV CAPEX URWLD!D59</t>
  </si>
  <si>
    <t>CNI-0271</t>
  </si>
  <si>
    <t>DBI-DCU-D59</t>
  </si>
  <si>
    <t>DEV CAPEX URWLD!D60</t>
  </si>
  <si>
    <t>CNI-0272</t>
  </si>
  <si>
    <t>DBI-DCU-D60</t>
  </si>
  <si>
    <t>DEV CAPEX URWLD!D62</t>
  </si>
  <si>
    <t>CNI-0273</t>
  </si>
  <si>
    <t>DBI-DCU-D62</t>
  </si>
  <si>
    <t>DEV CAPEX URWLD!D72</t>
  </si>
  <si>
    <t>CNI-0274</t>
  </si>
  <si>
    <t>DBI-DCU-D72</t>
  </si>
  <si>
    <t>DEV CAPEX URWLD!D73</t>
  </si>
  <si>
    <t>CNI-0275</t>
  </si>
  <si>
    <t>DBI-DCU-D73</t>
  </si>
  <si>
    <t>04.02.04  Project management &amp; specialist advisers</t>
  </si>
  <si>
    <t>Quantity Surveyor Fees/Cost Control Management</t>
  </si>
  <si>
    <t>Project management &amp; specialist advisers</t>
  </si>
  <si>
    <t>DEV CAPEX URWLD!E76</t>
  </si>
  <si>
    <t>CNI-0196</t>
  </si>
  <si>
    <t>DBI-DCU-E76</t>
  </si>
  <si>
    <t>Technical Service Consultant Fees (IT)</t>
  </si>
  <si>
    <t>DEV CAPEX URWLD!E77</t>
  </si>
  <si>
    <t>CNI-0197</t>
  </si>
  <si>
    <t>DBI-DCU-E77</t>
  </si>
  <si>
    <t>Site Security Fees</t>
  </si>
  <si>
    <t>DEV CAPEX URWLD!E78</t>
  </si>
  <si>
    <t>CNI-0198</t>
  </si>
  <si>
    <t>DBI-DCU-E78</t>
  </si>
  <si>
    <t>Graphics Design Fees - identity/signage</t>
  </si>
  <si>
    <t>DEV CAPEX URWLD!E79</t>
  </si>
  <si>
    <t>CNI-0199</t>
  </si>
  <si>
    <t>DBI-DCU-E79</t>
  </si>
  <si>
    <t>Miscellaneous Consultant Design Fees</t>
  </si>
  <si>
    <t>DEV CAPEX URWLD!E80</t>
  </si>
  <si>
    <t>CNI-0200</t>
  </si>
  <si>
    <t>DBI-DCU-E80</t>
  </si>
  <si>
    <t>Statutory Planner/Town Planner</t>
  </si>
  <si>
    <t>DEV CAPEX URWLD!E81</t>
  </si>
  <si>
    <t>CNI-0201</t>
  </si>
  <si>
    <t>DBI-DCU-E81</t>
  </si>
  <si>
    <t>Traffic/Parking Consultant</t>
  </si>
  <si>
    <t>DEV CAPEX URWLD!E82</t>
  </si>
  <si>
    <t>CNI-0202</t>
  </si>
  <si>
    <t>DBI-DCU-E82</t>
  </si>
  <si>
    <t>Acoustic/Noise Consultant</t>
  </si>
  <si>
    <t>DEV CAPEX URWLD!E83</t>
  </si>
  <si>
    <t>CNI-0203</t>
  </si>
  <si>
    <t>DBI-DCU-E83</t>
  </si>
  <si>
    <t>Planning Submission Consultant</t>
  </si>
  <si>
    <t>DEV CAPEX URWLD!E84</t>
  </si>
  <si>
    <t>CNI-0204</t>
  </si>
  <si>
    <t>DBI-DCU-E84</t>
  </si>
  <si>
    <t>Child Care/Early Learning/Childrens Activity Consultants</t>
  </si>
  <si>
    <t>DEV CAPEX URWLD!E85</t>
  </si>
  <si>
    <t>CNI-0205</t>
  </si>
  <si>
    <t>DBI-DCU-E85</t>
  </si>
  <si>
    <t>Project Management Fees (Design Development/Fit Out Supervision)</t>
  </si>
  <si>
    <t>DEV CAPEX URWLD!E74</t>
  </si>
  <si>
    <t>CNI-0384</t>
  </si>
  <si>
    <t>DBI-DCU-E74</t>
  </si>
  <si>
    <t>Construction Management Fees</t>
  </si>
  <si>
    <t>DEV CAPEX URWLD!E75</t>
  </si>
  <si>
    <t>CNI-0385</t>
  </si>
  <si>
    <t>DBI-DCU-E75</t>
  </si>
  <si>
    <t>04.02.05  Soft-cost tax &amp; contingency</t>
  </si>
  <si>
    <t>GST/VAT on applicable items</t>
  </si>
  <si>
    <t>Soft-cost tax &amp; contingency</t>
  </si>
  <si>
    <t>DEV CAPEX URWLD!E86</t>
  </si>
  <si>
    <t>CNI-0206</t>
  </si>
  <si>
    <t>DBI-DCU-E86</t>
  </si>
  <si>
    <t>Contingency - Soft Costs</t>
  </si>
  <si>
    <t>DEV CAPEX URWLD!E87</t>
  </si>
  <si>
    <t>CNI-0207</t>
  </si>
  <si>
    <t>DBI-DCU-E87</t>
  </si>
  <si>
    <t>DEV CAPEX URWLD!D86</t>
  </si>
  <si>
    <t>CNI-0276</t>
  </si>
  <si>
    <t>DBI-DCU-D86</t>
  </si>
  <si>
    <t>DEV CAPEX URWLD!D87</t>
  </si>
  <si>
    <t>CNI-0277</t>
  </si>
  <si>
    <t>DBI-DCU-D87</t>
  </si>
  <si>
    <t>04.02.06  Site preparation &amp; enabling works</t>
  </si>
  <si>
    <t>Site Preparation</t>
  </si>
  <si>
    <t>Site preparation &amp; enabling works</t>
  </si>
  <si>
    <t>DEV CAPEX URWLD!G93</t>
  </si>
  <si>
    <t>referenced by 4 formula(s); detailed-schedule hardcode; raw source value retained without external link</t>
  </si>
  <si>
    <t>CNI-0208</t>
  </si>
  <si>
    <t>DBI-DCU-G93</t>
  </si>
  <si>
    <t>04.02.07  Infrastructure &amp; utility interfaces</t>
  </si>
  <si>
    <t>2 lines / 2 rec.</t>
  </si>
  <si>
    <t>Infrastructure Costs</t>
  </si>
  <si>
    <t>Infrastructure &amp; utility interfaces</t>
  </si>
  <si>
    <t>DEV CAPEX URWLD!E96</t>
  </si>
  <si>
    <t>referenced by 3 formula(s); detailed-schedule hardcode; raw source value retained without external link</t>
  </si>
  <si>
    <t>CNI-0209</t>
  </si>
  <si>
    <t>DBI-DCU-E96</t>
  </si>
  <si>
    <t>DEV CAPEX URWLD!D96</t>
  </si>
  <si>
    <t>CNI-0278</t>
  </si>
  <si>
    <t>DBI-DCU-D96</t>
  </si>
  <si>
    <t>04.02.08  Base building, structure &amp; construction services</t>
  </si>
  <si>
    <t>7 lines / 13 rec.</t>
  </si>
  <si>
    <t>Base Building Works</t>
  </si>
  <si>
    <t>Base building, structure &amp; construction services</t>
  </si>
  <si>
    <t>DEV CAPEX URWLD!E99</t>
  </si>
  <si>
    <t>CNI-0210</t>
  </si>
  <si>
    <t>DBI-DCU-E99</t>
  </si>
  <si>
    <t>Architectural Construction Works (Walls/Celiings/Framing)</t>
  </si>
  <si>
    <t>DEV CAPEX URWLD!E101</t>
  </si>
  <si>
    <t>CNI-0211</t>
  </si>
  <si>
    <t>DBI-DCU-E101</t>
  </si>
  <si>
    <t>DEV CAPEX URWLD!D99</t>
  </si>
  <si>
    <t>CNI-0279</t>
  </si>
  <si>
    <t>DBI-DCU-D99</t>
  </si>
  <si>
    <t>Demolition works Existing Building</t>
  </si>
  <si>
    <t>DEV CAPEX URWLD!E100 | DEV CAPEX URWLD!G100 | DEV CAPEX URWLD!I100</t>
  </si>
  <si>
    <t>CNI-0280</t>
  </si>
  <si>
    <t>DBI-DCU-E100 | DBI-DCU-G100 | DBI-DCU-I100</t>
  </si>
  <si>
    <t>DEV CAPEX URWLD!D101</t>
  </si>
  <si>
    <t>CNI-0281</t>
  </si>
  <si>
    <t>DBI-DCU-D101</t>
  </si>
  <si>
    <t>Utilities (Electricy/Gas/Water) Costs for Construction</t>
  </si>
  <si>
    <t>DEV CAPEX URWLD!E102 | DEV CAPEX URWLD!G102 | DEV CAPEX URWLD!I102</t>
  </si>
  <si>
    <t>CNI-0390</t>
  </si>
  <si>
    <t>DBI-DCU-E102 | DBI-DCU-G102 | DBI-DCU-I102</t>
  </si>
  <si>
    <t>Constructors All Risk Insurance (CAR)</t>
  </si>
  <si>
    <t>DEV CAPEX URWLD!E103 | DEV CAPEX URWLD!G103 | DEV CAPEX URWLD!I103</t>
  </si>
  <si>
    <t>CNI-0391</t>
  </si>
  <si>
    <t>DBI-DCU-E103 | DBI-DCU-G103 | DBI-DCU-I103</t>
  </si>
  <si>
    <t>04.02.09  External works, access &amp; façades</t>
  </si>
  <si>
    <t>External Works, Driveway, Ramps &amp; Facades</t>
  </si>
  <si>
    <t>External works, access &amp; façades</t>
  </si>
  <si>
    <t>DEV CAPEX URWLD!E106</t>
  </si>
  <si>
    <t>CNI-0212</t>
  </si>
  <si>
    <t>DBI-DCU-E106</t>
  </si>
  <si>
    <t>DEV CAPEX URWLD!D106</t>
  </si>
  <si>
    <t>CNI-0282</t>
  </si>
  <si>
    <t>DBI-DCU-D106</t>
  </si>
  <si>
    <t>04.02.10  Interior fit-out, finishes &amp; theming</t>
  </si>
  <si>
    <t>2 lines / 4 rec.</t>
  </si>
  <si>
    <t>ID Theme Finish</t>
  </si>
  <si>
    <t>Interior fit-out, finishes &amp; theming</t>
  </si>
  <si>
    <t>DEV CAPEX URWLD!E109</t>
  </si>
  <si>
    <t>CNI-0213</t>
  </si>
  <si>
    <t>DBI-DCU-E109</t>
  </si>
  <si>
    <t>ID FIT OUT</t>
  </si>
  <si>
    <t>DEV CAPEX URWLD!E110 | DEV CAPEX URWLD!G110 | DEV CAPEX URWLD!I110</t>
  </si>
  <si>
    <t>CNI-0284</t>
  </si>
  <si>
    <t>DBI-DCU-E110 | DBI-DCU-G110 | DBI-DCU-I110</t>
  </si>
  <si>
    <t>04.02.11  Attraction and specialist activity equipment</t>
  </si>
  <si>
    <t>22 lines / 65 rec.</t>
  </si>
  <si>
    <t>Childrens Activity Centre/Creche</t>
  </si>
  <si>
    <t>Attraction and specialist activity equipment</t>
  </si>
  <si>
    <t>DEV CAPEX URWLD!E138</t>
  </si>
  <si>
    <t>CNI-0214</t>
  </si>
  <si>
    <t>DBI-DCU-E138</t>
  </si>
  <si>
    <t>Canyoning</t>
  </si>
  <si>
    <t>DEV CAPEX URWLD!E128 | DEV CAPEX URWLD!G128 | DEV CAPEX URWLD!I128</t>
  </si>
  <si>
    <t>CNI-0296</t>
  </si>
  <si>
    <t>DBI-DCU-E128 | DBI-DCU-G128 | DBI-DCU-I128</t>
  </si>
  <si>
    <t>Coasteering</t>
  </si>
  <si>
    <t>DEV CAPEX URWLD!E129 | DEV CAPEX URWLD!G129 | DEV CAPEX URWLD!I129</t>
  </si>
  <si>
    <t>CNI-0297</t>
  </si>
  <si>
    <t>DBI-DCU-E129 | DBI-DCU-G129 | DBI-DCU-I129</t>
  </si>
  <si>
    <t>Deep Water Solo</t>
  </si>
  <si>
    <t>DEV CAPEX URWLD!E130 | DEV CAPEX URWLD!G130 | DEV CAPEX URWLD!I130</t>
  </si>
  <si>
    <t>CNI-0298</t>
  </si>
  <si>
    <t>DBI-DCU-E130 | DBI-DCU-G130 | DBI-DCU-I130</t>
  </si>
  <si>
    <t>Via Ferrata</t>
  </si>
  <si>
    <t>DEV CAPEX URWLD!E131 | DEV CAPEX URWLD!G131 | DEV CAPEX URWLD!I131</t>
  </si>
  <si>
    <t>CNI-0299</t>
  </si>
  <si>
    <t>DBI-DCU-E131 | DBI-DCU-G131 | DBI-DCU-I131</t>
  </si>
  <si>
    <t>Caving</t>
  </si>
  <si>
    <t>DEV CAPEX URWLD!E132 | DEV CAPEX URWLD!G132 | DEV CAPEX URWLD!I132</t>
  </si>
  <si>
    <t>CNI-0300</t>
  </si>
  <si>
    <t>DBI-DCU-E132 | DBI-DCU-G132 | DBI-DCU-I132</t>
  </si>
  <si>
    <t>Climbing (Wall &amp; Speed)</t>
  </si>
  <si>
    <t>DEV CAPEX URWLD!E133 | DEV CAPEX URWLD!G133 | DEV CAPEX URWLD!I133</t>
  </si>
  <si>
    <t>CNI-0301</t>
  </si>
  <si>
    <t>DBI-DCU-E133 | DBI-DCU-G133 | DBI-DCU-I133</t>
  </si>
  <si>
    <t>Weights Gym/Aerobic Training</t>
  </si>
  <si>
    <t>DEV CAPEX URWLD!E134 | DEV CAPEX URWLD!G134 | DEV CAPEX URWLD!I134</t>
  </si>
  <si>
    <t>CNI-0302</t>
  </si>
  <si>
    <t>DBI-DCU-E134 | DBI-DCU-G134 | DBI-DCU-I134</t>
  </si>
  <si>
    <t>Pilates/Yoga Studio</t>
  </si>
  <si>
    <t>DEV CAPEX URWLD!E135 | DEV CAPEX URWLD!G135 | DEV CAPEX URWLD!I135</t>
  </si>
  <si>
    <t>CNI-0303</t>
  </si>
  <si>
    <t>DBI-DCU-E135 | DBI-DCU-G135 | DBI-DCU-I135</t>
  </si>
  <si>
    <t>Junior Climbing</t>
  </si>
  <si>
    <t>DEV CAPEX URWLD!E136 | DEV CAPEX URWLD!G136 | DEV CAPEX URWLD!I136</t>
  </si>
  <si>
    <t>CNI-0304</t>
  </si>
  <si>
    <t>DBI-DCU-E136 | DBI-DCU-G136 | DBI-DCU-I136</t>
  </si>
  <si>
    <t>Bouldering</t>
  </si>
  <si>
    <t>DEV CAPEX URWLD!E137 | DEV CAPEX URWLD!G137 | DEV CAPEX URWLD!I137</t>
  </si>
  <si>
    <t>CNI-0305</t>
  </si>
  <si>
    <t>DBI-DCU-E137 | DBI-DCU-G137 | DBI-DCU-I137</t>
  </si>
  <si>
    <t>Scuba</t>
  </si>
  <si>
    <t>DEV CAPEX URWLD!E139 | DEV CAPEX URWLD!G139 | DEV CAPEX URWLD!I139</t>
  </si>
  <si>
    <t>CNI-0306</t>
  </si>
  <si>
    <t>DBI-DCU-E139 | DBI-DCU-G139 | DBI-DCU-I139</t>
  </si>
  <si>
    <t>Ice Climbing</t>
  </si>
  <si>
    <t>DEV CAPEX URWLD!E140 | DEV CAPEX URWLD!G140 | DEV CAPEX URWLD!I140</t>
  </si>
  <si>
    <t>CNI-0307</t>
  </si>
  <si>
    <t>DBI-DCU-E140 | DBI-DCU-G140 | DBI-DCU-I140</t>
  </si>
  <si>
    <t>Virtual Reality Activities x 6</t>
  </si>
  <si>
    <t>DEV CAPEX URWLD!E141 | DEV CAPEX URWLD!G141 | DEV CAPEX URWLD!I141</t>
  </si>
  <si>
    <t>CNI-0308</t>
  </si>
  <si>
    <t>DBI-DCU-E141 | DBI-DCU-G141 | DBI-DCU-I141</t>
  </si>
  <si>
    <t>High Ropes/Physical Escape Course</t>
  </si>
  <si>
    <t>DEV CAPEX URWLD!E142 | DEV CAPEX URWLD!G142 | DEV CAPEX URWLD!I142</t>
  </si>
  <si>
    <t>CNI-0309</t>
  </si>
  <si>
    <t>DBI-DCU-E142 | DBI-DCU-G142 | DBI-DCU-I142</t>
  </si>
  <si>
    <t>Flowrider Deep Water Surf</t>
  </si>
  <si>
    <t>DEV CAPEX URWLD!E143 | DEV CAPEX URWLD!G143 | DEV CAPEX URWLD!I143</t>
  </si>
  <si>
    <t>CNI-0310</t>
  </si>
  <si>
    <t>DBI-DCU-E143 | DBI-DCU-G143 | DBI-DCU-I143</t>
  </si>
  <si>
    <t>Flowrider Edge</t>
  </si>
  <si>
    <t>DEV CAPEX URWLD!G144 | DEV CAPEX URWLD!I144 | DEV CAPEX URWLD!G145 | DEV CAPEX URWLD!I145</t>
  </si>
  <si>
    <t>CNI-0311</t>
  </si>
  <si>
    <t>DBI-DCU-G144 | DBI-DCU-I144 | DBI-DCU-G145 | DBI-DCU-I145</t>
  </si>
  <si>
    <t>Interactive Games (Vintage)</t>
  </si>
  <si>
    <t>DEV CAPEX URWLD!E146 | DEV CAPEX URWLD!G146 | DEV CAPEX URWLD!I146</t>
  </si>
  <si>
    <t>CNI-0312</t>
  </si>
  <si>
    <t>DBI-DCU-E146 | DBI-DCU-G146 | DBI-DCU-I146</t>
  </si>
  <si>
    <t>eSports</t>
  </si>
  <si>
    <t>DEV CAPEX URWLD!E147 | DEV CAPEX URWLD!G147 | DEV CAPEX URWLD!I147</t>
  </si>
  <si>
    <t>CNI-0313</t>
  </si>
  <si>
    <t>DBI-DCU-E147 | DBI-DCU-G147 | DBI-DCU-I147</t>
  </si>
  <si>
    <t>Lagoon Pool (Kids Wave Pool)</t>
  </si>
  <si>
    <t>DEV CAPEX URWLD!E148 | DEV CAPEX URWLD!G148 | DEV CAPEX URWLD!I148</t>
  </si>
  <si>
    <t>CNI-0314</t>
  </si>
  <si>
    <t>DBI-DCU-E148 | DBI-DCU-G148 | DBI-DCU-I148</t>
  </si>
  <si>
    <t>Zip Line</t>
  </si>
  <si>
    <t>DEV CAPEX URWLD!E149 | DEV CAPEX URWLD!G149 | DEV CAPEX URWLD!I149</t>
  </si>
  <si>
    <t>CNI-0315</t>
  </si>
  <si>
    <t>DBI-DCU-E149 | DBI-DCU-G149 | DBI-DCU-I149</t>
  </si>
  <si>
    <t>Zip Coaster</t>
  </si>
  <si>
    <t>DEV CAPEX URWLD!E150 | DEV CAPEX URWLD!G150 | DEV CAPEX URWLD!I150</t>
  </si>
  <si>
    <t>CNI-0316</t>
  </si>
  <si>
    <t>DBI-DCU-E150 | DBI-DCU-G150 | DBI-DCU-I150</t>
  </si>
  <si>
    <t>04.02.12  Development and operating rights</t>
  </si>
  <si>
    <t>18 lines / 22 rec.</t>
  </si>
  <si>
    <t>GST | UKP</t>
  </si>
  <si>
    <t>Development and operating rights</t>
  </si>
  <si>
    <t>DEV CAPEX URWLD!E13</t>
  </si>
  <si>
    <t>CNI-0215</t>
  </si>
  <si>
    <t>DBI-DCU-E13</t>
  </si>
  <si>
    <t>GST | USD</t>
  </si>
  <si>
    <t>DEV CAPEX URWLD!G13</t>
  </si>
  <si>
    <t>CNI-0216</t>
  </si>
  <si>
    <t>DBI-DCU-G13</t>
  </si>
  <si>
    <t>GST | AUD</t>
  </si>
  <si>
    <t>DEV CAPEX URWLD!I13</t>
  </si>
  <si>
    <t>CNI-0217</t>
  </si>
  <si>
    <t>DBI-DCU-I13</t>
  </si>
  <si>
    <t>Territory - License Acquisition Costs</t>
  </si>
  <si>
    <t>DEV CAPEX URWLD!E9 | DEV CAPEX URWLD!G9 | DEV CAPEX URWLD!I9</t>
  </si>
  <si>
    <t>CNI-0232</t>
  </si>
  <si>
    <t>DBI-DCU-E9 | DBI-DCU-G9 | DBI-DCU-I9</t>
  </si>
  <si>
    <t>VAT on Franchise Acquisition Costs</t>
  </si>
  <si>
    <t>DEV CAPEX URWLD!D10</t>
  </si>
  <si>
    <t>CNI-0233</t>
  </si>
  <si>
    <t>DBI-DCU-D10</t>
  </si>
  <si>
    <t>VAT on Franchise Acquisition Costs | UKP</t>
  </si>
  <si>
    <t>DEV CAPEX URWLD!E10</t>
  </si>
  <si>
    <t>CNI-0234</t>
  </si>
  <si>
    <t>DBI-DCU-E10</t>
  </si>
  <si>
    <t>VAT on Franchise Acquisition Costs | USD</t>
  </si>
  <si>
    <t>DEV CAPEX URWLD!G10</t>
  </si>
  <si>
    <t>CNI-0235</t>
  </si>
  <si>
    <t>DBI-DCU-G10</t>
  </si>
  <si>
    <t>VAT on Franchise Acquisition Costs | AUD</t>
  </si>
  <si>
    <t>DEV CAPEX URWLD!I10</t>
  </si>
  <si>
    <t>CNI-0236</t>
  </si>
  <si>
    <t>DBI-DCU-I10</t>
  </si>
  <si>
    <t>Property Consultant Fees</t>
  </si>
  <si>
    <t>DEV CAPEX URWLD!E12 | DEV CAPEX URWLD!G12 | DEV CAPEX URWLD!I12</t>
  </si>
  <si>
    <t>CNI-0237</t>
  </si>
  <si>
    <t>DBI-DCU-E12 | DBI-DCU-G12 | DBI-DCU-I12</t>
  </si>
  <si>
    <t>GST</t>
  </si>
  <si>
    <t>DEV CAPEX URWLD!D13</t>
  </si>
  <si>
    <t>CNI-0238</t>
  </si>
  <si>
    <t>DBI-DCU-D13</t>
  </si>
  <si>
    <t>Miscellaneous/Contingency</t>
  </si>
  <si>
    <t>DEV CAPEX URWLD!D14</t>
  </si>
  <si>
    <t>CNI-0239</t>
  </si>
  <si>
    <t>DBI-DCU-D14</t>
  </si>
  <si>
    <t>Miscellaneous/Contingency | UKP</t>
  </si>
  <si>
    <t>DEV CAPEX URWLD!E14</t>
  </si>
  <si>
    <t>CNI-0240</t>
  </si>
  <si>
    <t>DBI-DCU-E14</t>
  </si>
  <si>
    <t>Miscellaneous/Contingency | USD</t>
  </si>
  <si>
    <t>DEV CAPEX URWLD!G14</t>
  </si>
  <si>
    <t>CNI-0241</t>
  </si>
  <si>
    <t>DBI-DCU-G14</t>
  </si>
  <si>
    <t>Miscellaneous/Contingency | AUD</t>
  </si>
  <si>
    <t>DEV CAPEX URWLD!I14</t>
  </si>
  <si>
    <t>CNI-0242</t>
  </si>
  <si>
    <t>DBI-DCU-I14</t>
  </si>
  <si>
    <t>Withholding Tax on License</t>
  </si>
  <si>
    <t>DEV CAPEX URWLD!D11</t>
  </si>
  <si>
    <t>CNI-0386</t>
  </si>
  <si>
    <t>DBI-DCU-D11</t>
  </si>
  <si>
    <t>Withholding Tax on License | UKP</t>
  </si>
  <si>
    <t>DEV CAPEX URWLD!E11</t>
  </si>
  <si>
    <t>CNI-0387</t>
  </si>
  <si>
    <t>DBI-DCU-E11</t>
  </si>
  <si>
    <t>Withholding Tax on License | USD</t>
  </si>
  <si>
    <t>DEV CAPEX URWLD!G11</t>
  </si>
  <si>
    <t>CNI-0388</t>
  </si>
  <si>
    <t>DBI-DCU-G11</t>
  </si>
  <si>
    <t>Withholding Tax on License | AUD</t>
  </si>
  <si>
    <t>DEV CAPEX URWLD!I11</t>
  </si>
  <si>
    <t>CNI-0389</t>
  </si>
  <si>
    <t>DBI-DCU-I11</t>
  </si>
  <si>
    <t>04.02.13  Due diligence, feasibility &amp; establishment</t>
  </si>
  <si>
    <t>18 lines / 38 rec.</t>
  </si>
  <si>
    <t>GST/VAT on Due Diligence Costs</t>
  </si>
  <si>
    <t>Due diligence, feasibility &amp; establishment</t>
  </si>
  <si>
    <t>DEV CAPEX URWLD!E28</t>
  </si>
  <si>
    <t>CNI-0218</t>
  </si>
  <si>
    <t>DBI-DCU-E28</t>
  </si>
  <si>
    <t>DEV CAPEX URWLD!G28</t>
  </si>
  <si>
    <t>CNI-0219</t>
  </si>
  <si>
    <t>DBI-DCU-G28</t>
  </si>
  <si>
    <t>DEV CAPEX URWLD!I28</t>
  </si>
  <si>
    <t>CNI-0220</t>
  </si>
  <si>
    <t>DBI-DCU-I28</t>
  </si>
  <si>
    <t>Legal (Company Establishment/Investigations/Contracts)</t>
  </si>
  <si>
    <t>DEV CAPEX URWLD!E18 | DEV CAPEX URWLD!G18 | DEV CAPEX URWLD!I18</t>
  </si>
  <si>
    <t>CNI-0243</t>
  </si>
  <si>
    <t>DBI-DCU-E18 | DBI-DCU-G18 | DBI-DCU-I18</t>
  </si>
  <si>
    <t>Financial/Audit/Accounting Consulting</t>
  </si>
  <si>
    <t>DEV CAPEX URWLD!E19 | DEV CAPEX URWLD!G19 | DEV CAPEX URWLD!I19</t>
  </si>
  <si>
    <t>CNI-0244</t>
  </si>
  <si>
    <t>DBI-DCU-E19 | DBI-DCU-G19 | DBI-DCU-I19</t>
  </si>
  <si>
    <t>Engineering Appraisal/Cost Estimation</t>
  </si>
  <si>
    <t>DEV CAPEX URWLD!E20 | DEV CAPEX URWLD!G20 | DEV CAPEX URWLD!I20</t>
  </si>
  <si>
    <t>CNI-0245</t>
  </si>
  <si>
    <t>DBI-DCU-E20 | DBI-DCU-G20 | DBI-DCU-I20</t>
  </si>
  <si>
    <t>Valuations/Appraisal/OBC Review</t>
  </si>
  <si>
    <t>DEV CAPEX URWLD!E21 | DEV CAPEX URWLD!G21 | DEV CAPEX URWLD!I21</t>
  </si>
  <si>
    <t>CNI-0246</t>
  </si>
  <si>
    <t>DBI-DCU-E21 | DBI-DCU-G21 | DBI-DCU-I21</t>
  </si>
  <si>
    <t>Land Survey/Topographical Survey/Dilipadition Report</t>
  </si>
  <si>
    <t>DEV CAPEX URWLD!E22 | DEV CAPEX URWLD!G22 | DEV CAPEX URWLD!I22</t>
  </si>
  <si>
    <t>CNI-0247</t>
  </si>
  <si>
    <t>DBI-DCU-E22 | DBI-DCU-G22 | DBI-DCU-I22</t>
  </si>
  <si>
    <t>Feasibility Studies (Independent Business Consultant)</t>
  </si>
  <si>
    <t>DEV CAPEX URWLD!E23 | DEV CAPEX URWLD!G23 | DEV CAPEX URWLD!I23</t>
  </si>
  <si>
    <t>CNI-0248</t>
  </si>
  <si>
    <t>DBI-DCU-E23 | DBI-DCU-G23 | DBI-DCU-I23</t>
  </si>
  <si>
    <t>Consumer Research</t>
  </si>
  <si>
    <t>DEV CAPEX URWLD!E24 | DEV CAPEX URWLD!G24 | DEV CAPEX URWLD!I24</t>
  </si>
  <si>
    <t>CNI-0249</t>
  </si>
  <si>
    <t>DBI-DCU-E24 | DBI-DCU-G24 | DBI-DCU-I24</t>
  </si>
  <si>
    <t>Travel Expenses Related to Due Diligence</t>
  </si>
  <si>
    <t>DEV CAPEX URWLD!E25 | DEV CAPEX URWLD!G25 | DEV CAPEX URWLD!I25</t>
  </si>
  <si>
    <t>CNI-0250</t>
  </si>
  <si>
    <t>DBI-DCU-E25 | DBI-DCU-G25 | DBI-DCU-I25</t>
  </si>
  <si>
    <t>Printing Expenses Related to Due Diligence</t>
  </si>
  <si>
    <t>DEV CAPEX URWLD!E26 | DEV CAPEX URWLD!G26 | DEV CAPEX URWLD!I26</t>
  </si>
  <si>
    <t>CNI-0251</t>
  </si>
  <si>
    <t>DBI-DCU-E26 | DBI-DCU-G26 | DBI-DCU-I26</t>
  </si>
  <si>
    <t>Administration Expenses Related to Due Diligence</t>
  </si>
  <si>
    <t>DEV CAPEX URWLD!E27 | DEV CAPEX URWLD!G27 | DEV CAPEX URWLD!I27</t>
  </si>
  <si>
    <t>CNI-0252</t>
  </si>
  <si>
    <t>DBI-DCU-E27 | DBI-DCU-G27 | DBI-DCU-I27</t>
  </si>
  <si>
    <t>DEV CAPEX URWLD!D28</t>
  </si>
  <si>
    <t>CNI-0253</t>
  </si>
  <si>
    <t>DBI-DCU-D28</t>
  </si>
  <si>
    <t>DEV CAPEX URWLD!D29</t>
  </si>
  <si>
    <t>CNI-0254</t>
  </si>
  <si>
    <t>DBI-DCU-D29</t>
  </si>
  <si>
    <t>DEV CAPEX URWLD!E29</t>
  </si>
  <si>
    <t>CNI-0255</t>
  </si>
  <si>
    <t>DBI-DCU-E29</t>
  </si>
  <si>
    <t>DEV CAPEX URWLD!G29</t>
  </si>
  <si>
    <t>CNI-0256</t>
  </si>
  <si>
    <t>DBI-DCU-G29</t>
  </si>
  <si>
    <t>DEV CAPEX URWLD!I29</t>
  </si>
  <si>
    <t>CNI-0257</t>
  </si>
  <si>
    <t>DBI-DCU-I29</t>
  </si>
  <si>
    <t>04.02.14  Hard-cost tax, contingency &amp; retention</t>
  </si>
  <si>
    <t>GST/VAT on Hard Costs</t>
  </si>
  <si>
    <t>Hard-cost tax, contingency &amp; retention</t>
  </si>
  <si>
    <t>DEV CAPEX URWLD!E157</t>
  </si>
  <si>
    <t>CNI-0221</t>
  </si>
  <si>
    <t>DBI-DCU-E157</t>
  </si>
  <si>
    <t>DEV CAPEX URWLD!G157</t>
  </si>
  <si>
    <t>CNI-0222</t>
  </si>
  <si>
    <t>DBI-DCU-G157</t>
  </si>
  <si>
    <t>DEV CAPEX URWLD!I157</t>
  </si>
  <si>
    <t>CNI-0223</t>
  </si>
  <si>
    <t>DBI-DCU-I157</t>
  </si>
  <si>
    <t>Contingency Hard Costs:</t>
  </si>
  <si>
    <t>DEV CAPEX URWLD!D155</t>
  </si>
  <si>
    <t>CNI-0318</t>
  </si>
  <si>
    <t>DBI-DCU-D155</t>
  </si>
  <si>
    <t>DEV CAPEX URWLD!E155</t>
  </si>
  <si>
    <t>CNI-0319</t>
  </si>
  <si>
    <t>DBI-DCU-E155</t>
  </si>
  <si>
    <t>DEV CAPEX URWLD!G155</t>
  </si>
  <si>
    <t>CNI-0320</t>
  </si>
  <si>
    <t>DBI-DCU-G155</t>
  </si>
  <si>
    <t>DEV CAPEX URWLD!I155</t>
  </si>
  <si>
    <t>CNI-0321</t>
  </si>
  <si>
    <t>DBI-DCU-I155</t>
  </si>
  <si>
    <t>DEV CAPEX URWLD!D157</t>
  </si>
  <si>
    <t>CNI-0322</t>
  </si>
  <si>
    <t>DBI-DCU-D157</t>
  </si>
  <si>
    <t>Retention on Hard Costs</t>
  </si>
  <si>
    <t>DEV CAPEX URWLD!D161</t>
  </si>
  <si>
    <t>CNI-0323</t>
  </si>
  <si>
    <t>DBI-DCU-D161</t>
  </si>
  <si>
    <t>DEV CAPEX URWLD!E161</t>
  </si>
  <si>
    <t>CNI-0324</t>
  </si>
  <si>
    <t>DBI-DCU-E161</t>
  </si>
  <si>
    <t>DEV CAPEX URWLD!G161</t>
  </si>
  <si>
    <t>CNI-0325</t>
  </si>
  <si>
    <t>DBI-DCU-G161</t>
  </si>
  <si>
    <t>DEV CAPEX URWLD!I161</t>
  </si>
  <si>
    <t>CNI-0326</t>
  </si>
  <si>
    <t>DBI-DCU-I161</t>
  </si>
  <si>
    <t>04.02.15  Launch marketing, events &amp; professional costs</t>
  </si>
  <si>
    <t>17 lines / 35 rec.</t>
  </si>
  <si>
    <t>GST/VAT on Pre-Opening Costs</t>
  </si>
  <si>
    <t>Launch marketing, events &amp; professional costs</t>
  </si>
  <si>
    <t>DEV CAPEX URWLD!E198</t>
  </si>
  <si>
    <t>CNI-0224</t>
  </si>
  <si>
    <t>DBI-DCU-E198</t>
  </si>
  <si>
    <t>DEV CAPEX URWLD!G198</t>
  </si>
  <si>
    <t>CNI-0225</t>
  </si>
  <si>
    <t>DBI-DCU-G198</t>
  </si>
  <si>
    <t>DEV CAPEX URWLD!I198</t>
  </si>
  <si>
    <t>CNI-0226</t>
  </si>
  <si>
    <t>DBI-DCU-I198</t>
  </si>
  <si>
    <t>Advertising (Marketing/Promotions/Entertainment)</t>
  </si>
  <si>
    <t>DEV CAPEX URWLD!E188 | DEV CAPEX URWLD!G188 | DEV CAPEX URWLD!I188</t>
  </si>
  <si>
    <t>CNI-0345</t>
  </si>
  <si>
    <t>DBI-DCU-E188 | DBI-DCU-G188 | DBI-DCU-I188</t>
  </si>
  <si>
    <t>Entertainment Activities/Events</t>
  </si>
  <si>
    <t>DEV CAPEX URWLD!E189 | DEV CAPEX URWLD!G189 | DEV CAPEX URWLD!I189</t>
  </si>
  <si>
    <t>CNI-0346</t>
  </si>
  <si>
    <t>DBI-DCU-E189 | DBI-DCU-G189 | DBI-DCU-I189</t>
  </si>
  <si>
    <t>Events (Press Conference, media Visits, Grand Opening, HR)</t>
  </si>
  <si>
    <t>DEV CAPEX URWLD!E190 | DEV CAPEX URWLD!G190 | DEV CAPEX URWLD!I190</t>
  </si>
  <si>
    <t>CNI-0347</t>
  </si>
  <si>
    <t>DBI-DCU-E190 | DBI-DCU-G190 | DBI-DCU-I190</t>
  </si>
  <si>
    <t>Marketing (DM, PR, eMarketing, Website, Digital)</t>
  </si>
  <si>
    <t>DEV CAPEX URWLD!E191 | DEV CAPEX URWLD!G191 | DEV CAPEX URWLD!I191</t>
  </si>
  <si>
    <t>CNI-0348</t>
  </si>
  <si>
    <t>DBI-DCU-E191 | DBI-DCU-G191 | DBI-DCU-I191</t>
  </si>
  <si>
    <t>Travel/Trade Shows/Promotions/Exhibitions</t>
  </si>
  <si>
    <t>DEV CAPEX URWLD!E192 | DEV CAPEX URWLD!G192 | DEV CAPEX URWLD!I192</t>
  </si>
  <si>
    <t>CNI-0349</t>
  </si>
  <si>
    <t>DBI-DCU-E192 | DBI-DCU-G192 | DBI-DCU-I192</t>
  </si>
  <si>
    <t>Printing Collateral/Brochures</t>
  </si>
  <si>
    <t>DEV CAPEX URWLD!E193 | DEV CAPEX URWLD!G193 | DEV CAPEX URWLD!I193</t>
  </si>
  <si>
    <t>CNI-0350</t>
  </si>
  <si>
    <t>DBI-DCU-E193 | DBI-DCU-G193 | DBI-DCU-I193</t>
  </si>
  <si>
    <t>Brochures/Collateral (Corporate identity/Stationery)</t>
  </si>
  <si>
    <t>DEV CAPEX URWLD!E194 | DEV CAPEX URWLD!G194 | DEV CAPEX URWLD!I194</t>
  </si>
  <si>
    <t>CNI-0351</t>
  </si>
  <si>
    <t>DBI-DCU-E194 | DBI-DCU-G194 | DBI-DCU-I194</t>
  </si>
  <si>
    <t>Bank Charges</t>
  </si>
  <si>
    <t>DEV CAPEX URWLD!E196 | DEV CAPEX URWLD!G196 | DEV CAPEX URWLD!I196</t>
  </si>
  <si>
    <t>CNI-0352</t>
  </si>
  <si>
    <t>DBI-DCU-E196 | DBI-DCU-G196 | DBI-DCU-I196</t>
  </si>
  <si>
    <t>Miscellaneous</t>
  </si>
  <si>
    <t>DEV CAPEX URWLD!D197</t>
  </si>
  <si>
    <t>CNI-0353</t>
  </si>
  <si>
    <t>DBI-DCU-D197</t>
  </si>
  <si>
    <t>DEV CAPEX URWLD!E197</t>
  </si>
  <si>
    <t>CNI-0354</t>
  </si>
  <si>
    <t>DBI-DCU-E197</t>
  </si>
  <si>
    <t>DEV CAPEX URWLD!G197</t>
  </si>
  <si>
    <t>CNI-0355</t>
  </si>
  <si>
    <t>DBI-DCU-G197</t>
  </si>
  <si>
    <t>DEV CAPEX URWLD!I197</t>
  </si>
  <si>
    <t>CNI-0356</t>
  </si>
  <si>
    <t>DBI-DCU-I197</t>
  </si>
  <si>
    <t>DEV CAPEX URWLD!D198</t>
  </si>
  <si>
    <t>CNI-0357</t>
  </si>
  <si>
    <t>DBI-DCU-D198</t>
  </si>
  <si>
    <t>Professional Fees Legal/Accounting/Business Consultant/Insurance/Association</t>
  </si>
  <si>
    <t>DEV CAPEX URWLD!E195 | DEV CAPEX URWLD!G195 | DEV CAPEX URWLD!I195</t>
  </si>
  <si>
    <t>CNI-0397</t>
  </si>
  <si>
    <t>DBI-DCU-E195 | DBI-DCU-G195 | DBI-DCU-I195</t>
  </si>
  <si>
    <t>04.02.16  Opening inventory, equipment &amp; supplies</t>
  </si>
  <si>
    <t>23 lines / 53 rec.</t>
  </si>
  <si>
    <t>GST/VAT on O&amp;E &amp; Supplies</t>
  </si>
  <si>
    <t>Opening inventory, equipment &amp; supplies</t>
  </si>
  <si>
    <t>DEV CAPEX URWLD!E218</t>
  </si>
  <si>
    <t>CNI-0227</t>
  </si>
  <si>
    <t>DBI-DCU-E218</t>
  </si>
  <si>
    <t>DEV CAPEX URWLD!G218</t>
  </si>
  <si>
    <t>CNI-0228</t>
  </si>
  <si>
    <t>DBI-DCU-G218</t>
  </si>
  <si>
    <t>DEV CAPEX URWLD!I218</t>
  </si>
  <si>
    <t>CNI-0229</t>
  </si>
  <si>
    <t>DBI-DCU-I218</t>
  </si>
  <si>
    <t>Stationery/Supplies - Accounting &amp; General (A&amp;G)</t>
  </si>
  <si>
    <t>DEV CAPEX URWLD!E202 | DEV CAPEX URWLD!G202 | DEV CAPEX URWLD!I202</t>
  </si>
  <si>
    <t>CNI-0358</t>
  </si>
  <si>
    <t>DBI-DCU-E202 | DBI-DCU-G202 | DBI-DCU-I202</t>
  </si>
  <si>
    <t>Stationery/Supplies - Sales &amp; Marketing</t>
  </si>
  <si>
    <t>DEV CAPEX URWLD!E203 | DEV CAPEX URWLD!G203 | DEV CAPEX URWLD!I203</t>
  </si>
  <si>
    <t>CNI-0359</t>
  </si>
  <si>
    <t>DBI-DCU-E203 | DBI-DCU-G203 | DBI-DCU-I203</t>
  </si>
  <si>
    <t>Stationery/Supplies - Operations (Activities, Retail &amp; F&amp;B)</t>
  </si>
  <si>
    <t>DEV CAPEX URWLD!E204 | DEV CAPEX URWLD!G204 | DEV CAPEX URWLD!I204</t>
  </si>
  <si>
    <t>CNI-0360</t>
  </si>
  <si>
    <t>DBI-DCU-E204 | DBI-DCU-G204 | DBI-DCU-I204</t>
  </si>
  <si>
    <t>Stationery/Supplies - Human Resources</t>
  </si>
  <si>
    <t>DEV CAPEX URWLD!E205 | DEV CAPEX URWLD!G205 | DEV CAPEX URWLD!I205</t>
  </si>
  <si>
    <t>CNI-0361</t>
  </si>
  <si>
    <t>DBI-DCU-E205 | DBI-DCU-G205 | DBI-DCU-I205</t>
  </si>
  <si>
    <t>Stationery/Supplies - Engineering/Safety/Janitorial</t>
  </si>
  <si>
    <t>DEV CAPEX URWLD!E206 | DEV CAPEX URWLD!G206 | DEV CAPEX URWLD!I206</t>
  </si>
  <si>
    <t>CNI-0362</t>
  </si>
  <si>
    <t>DBI-DCU-E206 | DBI-DCU-G206 | DBI-DCU-I206</t>
  </si>
  <si>
    <t>Stationery/Supplies - Childrens Activity Centre/Creche</t>
  </si>
  <si>
    <t>DEV CAPEX URWLD!E207 | DEV CAPEX URWLD!G207 | DEV CAPEX URWLD!I207</t>
  </si>
  <si>
    <t>CNI-0363</t>
  </si>
  <si>
    <t>DBI-DCU-E207 | DBI-DCU-G207 | DBI-DCU-I207</t>
  </si>
  <si>
    <t>Store Items Operations &amp; F&amp;B</t>
  </si>
  <si>
    <t>DEV CAPEX URWLD!E208 | DEV CAPEX URWLD!G208 | DEV CAPEX URWLD!I208</t>
  </si>
  <si>
    <t>CNI-0364</t>
  </si>
  <si>
    <t>DBI-DCU-E208 | DBI-DCU-G208 | DBI-DCU-I208</t>
  </si>
  <si>
    <t>Merchandise Stock/Inventory - Retail/Merchandise</t>
  </si>
  <si>
    <t>DEV CAPEX URWLD!E209 | DEV CAPEX URWLD!G209 | DEV CAPEX URWLD!I209</t>
  </si>
  <si>
    <t>CNI-0365</t>
  </si>
  <si>
    <t>DBI-DCU-E209 | DBI-DCU-G209 | DBI-DCU-I209</t>
  </si>
  <si>
    <t>Store Items Operations/Perishables</t>
  </si>
  <si>
    <t>DEV CAPEX URWLD!E210 | DEV CAPEX URWLD!G210 | DEV CAPEX URWLD!I210</t>
  </si>
  <si>
    <t>CNI-0366</t>
  </si>
  <si>
    <t>DBI-DCU-E210 | DBI-DCU-G210 | DBI-DCU-I210</t>
  </si>
  <si>
    <t>Engineering Tools</t>
  </si>
  <si>
    <t>DEV CAPEX URWLD!E211 | DEV CAPEX URWLD!G211 | DEV CAPEX URWLD!I211</t>
  </si>
  <si>
    <t>CNI-0367</t>
  </si>
  <si>
    <t>DBI-DCU-E211 | DBI-DCU-G211 | DBI-DCU-I211</t>
  </si>
  <si>
    <t>Engineering Spares</t>
  </si>
  <si>
    <t>DEV CAPEX URWLD!E212 | DEV CAPEX URWLD!G212 | DEV CAPEX URWLD!I212</t>
  </si>
  <si>
    <t>CNI-0368</t>
  </si>
  <si>
    <t>DBI-DCU-E212 | DBI-DCU-G212 | DBI-DCU-I212</t>
  </si>
  <si>
    <t>Engineering Equipment</t>
  </si>
  <si>
    <t>DEV CAPEX URWLD!E213 | DEV CAPEX URWLD!G213 | DEV CAPEX URWLD!I213</t>
  </si>
  <si>
    <t>CNI-0369</t>
  </si>
  <si>
    <t>DBI-DCU-E213 | DBI-DCU-G213 | DBI-DCU-I213</t>
  </si>
  <si>
    <t>Engineering Miscellaneous</t>
  </si>
  <si>
    <t>DEV CAPEX URWLD!E214 | DEV CAPEX URWLD!G214 | DEV CAPEX URWLD!I214</t>
  </si>
  <si>
    <t>CNI-0370</t>
  </si>
  <si>
    <t>DBI-DCU-E214 | DBI-DCU-G214 | DBI-DCU-I214</t>
  </si>
  <si>
    <t>A&amp;G Equipment/Consumables</t>
  </si>
  <si>
    <t>DEV CAPEX URWLD!E215 | DEV CAPEX URWLD!G215 | DEV CAPEX URWLD!I215</t>
  </si>
  <si>
    <t>CNI-0371</t>
  </si>
  <si>
    <t>DBI-DCU-E215 | DBI-DCU-G215 | DBI-DCU-I215</t>
  </si>
  <si>
    <t>HR Uniforms/Equipment/Consumables</t>
  </si>
  <si>
    <t>DEV CAPEX URWLD!E216 | DEV CAPEX URWLD!G216 | DEV CAPEX URWLD!I216</t>
  </si>
  <si>
    <t>CNI-0372</t>
  </si>
  <si>
    <t>DBI-DCU-E216 | DBI-DCU-G216 | DBI-DCU-I216</t>
  </si>
  <si>
    <t>OE Miscellaneous &amp; Contingency</t>
  </si>
  <si>
    <t>DEV CAPEX URWLD!D217</t>
  </si>
  <si>
    <t>CNI-0373</t>
  </si>
  <si>
    <t>DBI-DCU-D217</t>
  </si>
  <si>
    <t>DEV CAPEX URWLD!E217</t>
  </si>
  <si>
    <t>CNI-0374</t>
  </si>
  <si>
    <t>DBI-DCU-E217</t>
  </si>
  <si>
    <t>DEV CAPEX URWLD!G217</t>
  </si>
  <si>
    <t>CNI-0375</t>
  </si>
  <si>
    <t>DBI-DCU-G217</t>
  </si>
  <si>
    <t>DEV CAPEX URWLD!I217</t>
  </si>
  <si>
    <t>CNI-0376</t>
  </si>
  <si>
    <t>DBI-DCU-I217</t>
  </si>
  <si>
    <t>DEV CAPEX URWLD!D218</t>
  </si>
  <si>
    <t>CNI-0377</t>
  </si>
  <si>
    <t>DBI-DCU-D218</t>
  </si>
  <si>
    <t>04.02.17  Finance costs, capitalised interest &amp; deposits</t>
  </si>
  <si>
    <t>10 lines / 14 rec.</t>
  </si>
  <si>
    <t>Financing Fees - Loan Fees &amp; SBLC/BG</t>
  </si>
  <si>
    <t>Finance costs, capitalised interest &amp; deposits</t>
  </si>
  <si>
    <t>DEV CAPEX URWLD!E33 | DEV CAPEX URWLD!G33 | DEV CAPEX URWLD!I33</t>
  </si>
  <si>
    <t>CNI-0258</t>
  </si>
  <si>
    <t>DBI-DCU-E33 | DBI-DCU-G33 | DBI-DCU-I33</t>
  </si>
  <si>
    <t>Capitalised Interest Costs During Construction</t>
  </si>
  <si>
    <t>DEV CAPEX URWLD!D34</t>
  </si>
  <si>
    <t>CNI-0259</t>
  </si>
  <si>
    <t>DBI-DCU-D34</t>
  </si>
  <si>
    <t>DEV CAPEX URWLD!E34</t>
  </si>
  <si>
    <t>CNI-0260</t>
  </si>
  <si>
    <t>DBI-DCU-E34</t>
  </si>
  <si>
    <t>DEV CAPEX URWLD!G34</t>
  </si>
  <si>
    <t>CNI-0261</t>
  </si>
  <si>
    <t>DBI-DCU-G34</t>
  </si>
  <si>
    <t>DEV CAPEX URWLD!I34</t>
  </si>
  <si>
    <t>CNI-0262</t>
  </si>
  <si>
    <t>DBI-DCU-I34</t>
  </si>
  <si>
    <t>Construction Security Deposit</t>
  </si>
  <si>
    <t>DEV CAPEX URWLD!E35 | DEV CAPEX URWLD!G35 | DEV CAPEX URWLD!I35</t>
  </si>
  <si>
    <t>CNI-0263</t>
  </si>
  <si>
    <t>DBI-DCU-E35 | DBI-DCU-G35 | DBI-DCU-I35</t>
  </si>
  <si>
    <t>Misc. Financing Expenses</t>
  </si>
  <si>
    <t>DEV CAPEX URWLD!D36</t>
  </si>
  <si>
    <t>CNI-0264</t>
  </si>
  <si>
    <t>DBI-DCU-D36</t>
  </si>
  <si>
    <t>DEV CAPEX URWLD!E36</t>
  </si>
  <si>
    <t>CNI-0265</t>
  </si>
  <si>
    <t>DBI-DCU-E36</t>
  </si>
  <si>
    <t>DEV CAPEX URWLD!G36</t>
  </si>
  <si>
    <t>CNI-0266</t>
  </si>
  <si>
    <t>DBI-DCU-G36</t>
  </si>
  <si>
    <t>DEV CAPEX URWLD!I36</t>
  </si>
  <si>
    <t>CNI-0267</t>
  </si>
  <si>
    <t>DBI-DCU-I36</t>
  </si>
  <si>
    <t>04.02.18  Development cost schedule – other source inputs</t>
  </si>
  <si>
    <t>3 lines / 4 rec.</t>
  </si>
  <si>
    <t>Area M2</t>
  </si>
  <si>
    <t>Development cost schedule – other source inputs</t>
  </si>
  <si>
    <t>DEV CAPEX URWLD!I108</t>
  </si>
  <si>
    <t>CNI-0283</t>
  </si>
  <si>
    <t>DBI-DCU-I108</t>
  </si>
  <si>
    <t>Pre-Opening Costs</t>
  </si>
  <si>
    <t>DEV CAPEX URWLD!E163 | DEV CAPEX URWLD!G163</t>
  </si>
  <si>
    <t>CNI-0327</t>
  </si>
  <si>
    <t>DBI-DCU-E163 | DBI-DCU-G163</t>
  </si>
  <si>
    <t>Pre-operations Budget</t>
  </si>
  <si>
    <t>DEV CAPEX URWLD!G164</t>
  </si>
  <si>
    <t>CNI-0328</t>
  </si>
  <si>
    <t>DBI-DCU-G164</t>
  </si>
  <si>
    <t>04.02.19  Building services, life safety &amp; technology</t>
  </si>
  <si>
    <t>7 lines / 21 rec.</t>
  </si>
  <si>
    <t>M&amp;E HVACS, AC, AHU</t>
  </si>
  <si>
    <t>Building services, life safety &amp; technology</t>
  </si>
  <si>
    <t>DEV CAPEX URWLD!E113 | DEV CAPEX URWLD!G113 | DEV CAPEX URWLD!I113</t>
  </si>
  <si>
    <t>CNI-0285</t>
  </si>
  <si>
    <t>DBI-DCU-E113 | DBI-DCU-G113 | DBI-DCU-I113</t>
  </si>
  <si>
    <t>M&amp;E Major Equipment (Pumps, Lifts, Escalators, Solar, Batteries, HW)</t>
  </si>
  <si>
    <t>DEV CAPEX URWLD!E114 | DEV CAPEX URWLD!G114 | DEV CAPEX URWLD!I114</t>
  </si>
  <si>
    <t>CNI-0286</t>
  </si>
  <si>
    <t>DBI-DCU-E114 | DBI-DCU-G114 | DBI-DCU-I114</t>
  </si>
  <si>
    <t>IT Equipment &amp; Cabling</t>
  </si>
  <si>
    <t>DEV CAPEX URWLD!E115 | DEV CAPEX URWLD!G115 | DEV CAPEX URWLD!I115</t>
  </si>
  <si>
    <t>CNI-0287</t>
  </si>
  <si>
    <t>DBI-DCU-E115 | DBI-DCU-G115 | DBI-DCU-I115</t>
  </si>
  <si>
    <t>AV &amp; LED (Internal &amp; External)</t>
  </si>
  <si>
    <t>DEV CAPEX URWLD!E116 | DEV CAPEX URWLD!G116 | DEV CAPEX URWLD!I116</t>
  </si>
  <si>
    <t>CNI-0288</t>
  </si>
  <si>
    <t>DBI-DCU-E116 | DBI-DCU-G116 | DBI-DCU-I116</t>
  </si>
  <si>
    <t>Lighting</t>
  </si>
  <si>
    <t>DEV CAPEX URWLD!E117 | DEV CAPEX URWLD!G117 | DEV CAPEX URWLD!I117</t>
  </si>
  <si>
    <t>CNI-0289</t>
  </si>
  <si>
    <t>DBI-DCU-E117 | DBI-DCU-G117 | DBI-DCU-I117</t>
  </si>
  <si>
    <t>CCTV/RFID</t>
  </si>
  <si>
    <t>DEV CAPEX URWLD!E118 | DEV CAPEX URWLD!G118 | DEV CAPEX URWLD!I118</t>
  </si>
  <si>
    <t>CNI-0290</t>
  </si>
  <si>
    <t>DBI-DCU-E118 | DBI-DCU-G118 | DBI-DCU-I118</t>
  </si>
  <si>
    <t>Sanitary</t>
  </si>
  <si>
    <t>DEV CAPEX URWLD!E119 | DEV CAPEX URWLD!G119 | DEV CAPEX URWLD!I119</t>
  </si>
  <si>
    <t>CNI-0291</t>
  </si>
  <si>
    <t>DBI-DCU-E119 | DBI-DCU-G119 | DBI-DCU-I119</t>
  </si>
  <si>
    <t>04.02.20  FF&amp;E and operating equipment</t>
  </si>
  <si>
    <t>1 lines / 3 rec.</t>
  </si>
  <si>
    <t>FF&amp;E &amp; OE</t>
  </si>
  <si>
    <t>FF&amp;E and operating equipment</t>
  </si>
  <si>
    <t>DEV CAPEX URWLD!E122 | DEV CAPEX URWLD!G122 | DEV CAPEX URWLD!I122</t>
  </si>
  <si>
    <t>CNI-0292</t>
  </si>
  <si>
    <t>DBI-DCU-E122 | DBI-DCU-G122 | DBI-DCU-I122</t>
  </si>
  <si>
    <t>04.02.21  Landscape and public-realm interface</t>
  </si>
  <si>
    <t>Landscape Areas (hard &amp; soft) Entrance</t>
  </si>
  <si>
    <t>Landscape and public-realm interface</t>
  </si>
  <si>
    <t>DEV CAPEX URWLD!E125</t>
  </si>
  <si>
    <t>CNI-0293</t>
  </si>
  <si>
    <t>DBI-DCU-E125</t>
  </si>
  <si>
    <t>DEV CAPEX URWLD!G125</t>
  </si>
  <si>
    <t>CNI-0294</t>
  </si>
  <si>
    <t>DBI-DCU-G125</t>
  </si>
  <si>
    <t>DEV CAPEX URWLD!I125</t>
  </si>
  <si>
    <t>CNI-0295</t>
  </si>
  <si>
    <t>DBI-DCU-I125</t>
  </si>
  <si>
    <t>04.02.22  Signage &amp; wayfinding</t>
  </si>
  <si>
    <t>Signage</t>
  </si>
  <si>
    <t>Signage &amp; wayfinding</t>
  </si>
  <si>
    <t>DEV CAPEX URWLD!E153 | DEV CAPEX URWLD!G153 | DEV CAPEX URWLD!I153</t>
  </si>
  <si>
    <t>CNI-0317</t>
  </si>
  <si>
    <t>DBI-DCU-E153 | DBI-DCU-G153 | DBI-DCU-I153</t>
  </si>
  <si>
    <t>04.02.23  Pre-opening people, recruitment &amp; training</t>
  </si>
  <si>
    <t>5 lines / 15 rec.</t>
  </si>
  <si>
    <t>Manager Direct Costs</t>
  </si>
  <si>
    <t>Pre-opening people, recruitment &amp; training</t>
  </si>
  <si>
    <t>DEV CAPEX URWLD!E168 | DEV CAPEX URWLD!G168 | DEV CAPEX URWLD!I168</t>
  </si>
  <si>
    <t>CNI-0329</t>
  </si>
  <si>
    <t>DBI-DCU-E168 | DBI-DCU-G168 | DBI-DCU-I168</t>
  </si>
  <si>
    <t>Other Staff/Admin Direct Costs</t>
  </si>
  <si>
    <t>DEV CAPEX URWLD!E169 | DEV CAPEX URWLD!G169 | DEV CAPEX URWLD!I169</t>
  </si>
  <si>
    <t>CNI-0330</t>
  </si>
  <si>
    <t>DBI-DCU-E169 | DBI-DCU-G169 | DBI-DCU-I169</t>
  </si>
  <si>
    <t>Project Staff Costs</t>
  </si>
  <si>
    <t>DEV CAPEX URWLD!E170 | DEV CAPEX URWLD!G170 | DEV CAPEX URWLD!I170</t>
  </si>
  <si>
    <t>CNI-0331</t>
  </si>
  <si>
    <t>DBI-DCU-E170 | DBI-DCU-G170 | DBI-DCU-I170</t>
  </si>
  <si>
    <t>Staff Indirect Costs</t>
  </si>
  <si>
    <t>DEV CAPEX URWLD!E171 | DEV CAPEX URWLD!G171 | DEV CAPEX URWLD!I171</t>
  </si>
  <si>
    <t>CNI-0332</t>
  </si>
  <si>
    <t>DBI-DCU-E171 | DBI-DCU-G171 | DBI-DCU-I171</t>
  </si>
  <si>
    <t>Training Travel (URWLD &amp; Project/Support Visits)</t>
  </si>
  <si>
    <t>DEV CAPEX URWLD!E172 | DEV CAPEX URWLD!G172 | DEV CAPEX URWLD!I172</t>
  </si>
  <si>
    <t>CNI-0333</t>
  </si>
  <si>
    <t>DBI-DCU-E172 | DBI-DCU-G172 | DBI-DCU-I172</t>
  </si>
  <si>
    <t>04.02.24  Pre-opening premises, systems &amp; administration</t>
  </si>
  <si>
    <t>24 lines / 45 rec.</t>
  </si>
  <si>
    <t>Office Supplies/Costs</t>
  </si>
  <si>
    <t>Pre-opening premises, systems &amp; administration</t>
  </si>
  <si>
    <t>DEV CAPEX URWLD!E179 | DEV CAPEX URWLD!G179 | DEV CAPEX URWLD!I179</t>
  </si>
  <si>
    <t>CNI-0334</t>
  </si>
  <si>
    <t>DBI-DCU-E179 | DBI-DCU-G179 | DBI-DCU-I179</t>
  </si>
  <si>
    <t>Courier/Postage/Delivery</t>
  </si>
  <si>
    <t>DEV CAPEX URWLD!E180 | DEV CAPEX URWLD!G180 | DEV CAPEX URWLD!I180</t>
  </si>
  <si>
    <t>CNI-0335</t>
  </si>
  <si>
    <t>DBI-DCU-E180 | DBI-DCU-G180 | DBI-DCU-I180</t>
  </si>
  <si>
    <t>Telephone/Internet</t>
  </si>
  <si>
    <t>DEV CAPEX URWLD!E181 | DEV CAPEX URWLD!G181 | DEV CAPEX URWLD!I181</t>
  </si>
  <si>
    <t>CNI-0336</t>
  </si>
  <si>
    <t>DBI-DCU-E181 | DBI-DCU-G181 | DBI-DCU-I181</t>
  </si>
  <si>
    <t>Equipment (non capital)</t>
  </si>
  <si>
    <t>DEV CAPEX URWLD!E182 | DEV CAPEX URWLD!G182 | DEV CAPEX URWLD!I182</t>
  </si>
  <si>
    <t>CNI-0337</t>
  </si>
  <si>
    <t>DBI-DCU-E182 | DBI-DCU-G182 | DBI-DCU-I182</t>
  </si>
  <si>
    <t>IT Software Licenses Pre-Opening Offices</t>
  </si>
  <si>
    <t>DEV CAPEX URWLD!D183</t>
  </si>
  <si>
    <t>CNI-0338</t>
  </si>
  <si>
    <t>DBI-DCU-D183</t>
  </si>
  <si>
    <t>DEV CAPEX URWLD!E183</t>
  </si>
  <si>
    <t>CNI-0339</t>
  </si>
  <si>
    <t>DBI-DCU-E183</t>
  </si>
  <si>
    <t>DEV CAPEX URWLD!G183</t>
  </si>
  <si>
    <t>CNI-0340</t>
  </si>
  <si>
    <t>DBI-DCU-G183</t>
  </si>
  <si>
    <t>DEV CAPEX URWLD!I183</t>
  </si>
  <si>
    <t>CNI-0341</t>
  </si>
  <si>
    <t>DBI-DCU-I183</t>
  </si>
  <si>
    <t>Equipment (Fixed Assets)</t>
  </si>
  <si>
    <t>DEV CAPEX URWLD!E184 | DEV CAPEX URWLD!G184 | DEV CAPEX URWLD!I184</t>
  </si>
  <si>
    <t>CNI-0342</t>
  </si>
  <si>
    <t>DBI-DCU-E184 | DBI-DCU-G184 | DBI-DCU-I184</t>
  </si>
  <si>
    <t>Printing/Stationery/Consumables</t>
  </si>
  <si>
    <t>DEV CAPEX URWLD!E185 | DEV CAPEX URWLD!G185 | DEV CAPEX URWLD!I185</t>
  </si>
  <si>
    <t>CNI-0343</t>
  </si>
  <si>
    <t>DBI-DCU-E185 | DBI-DCU-G185 | DBI-DCU-I185</t>
  </si>
  <si>
    <t>Advertising (HR/recruitment &amp; Consultants)</t>
  </si>
  <si>
    <t>DEV CAPEX URWLD!E187 | DEV CAPEX URWLD!G187 | DEV CAPEX URWLD!I187</t>
  </si>
  <si>
    <t>CNI-0344</t>
  </si>
  <si>
    <t>DBI-DCU-E187 | DBI-DCU-G187 | DBI-DCU-I187</t>
  </si>
  <si>
    <t>Utilities (Electricity/Water)</t>
  </si>
  <si>
    <t>DEV CAPEX URWLD!D178</t>
  </si>
  <si>
    <t>CNI-0392</t>
  </si>
  <si>
    <t>DBI-DCU-D178</t>
  </si>
  <si>
    <t>DEV CAPEX URWLD!E178</t>
  </si>
  <si>
    <t>CNI-0393</t>
  </si>
  <si>
    <t>DBI-DCU-E178</t>
  </si>
  <si>
    <t>DEV CAPEX URWLD!G178</t>
  </si>
  <si>
    <t>CNI-0394</t>
  </si>
  <si>
    <t>DBI-DCU-G178</t>
  </si>
  <si>
    <t>DEV CAPEX URWLD!I178</t>
  </si>
  <si>
    <t>CNI-0395</t>
  </si>
  <si>
    <t>DBI-DCU-I178</t>
  </si>
  <si>
    <t>Transport (Lease, Maintenance, Staff Transport, Equipment)</t>
  </si>
  <si>
    <t>DEV CAPEX URWLD!E186 | DEV CAPEX URWLD!G186 | DEV CAPEX URWLD!I186</t>
  </si>
  <si>
    <t>CNI-0396</t>
  </si>
  <si>
    <t>DBI-DCU-E186 | DBI-DCU-G186 | DBI-DCU-I186</t>
  </si>
  <si>
    <t>Pre-Opening Office Costs (Rental Space/Utilties)</t>
  </si>
  <si>
    <t>DEV CAPEX URWLD!E173 | DEV CAPEX URWLD!G173 | DEV CAPEX URWLD!I173</t>
  </si>
  <si>
    <t>CNI-0401</t>
  </si>
  <si>
    <t>DBI-DCU-E173 | DBI-DCU-G173 | DBI-DCU-I173</t>
  </si>
  <si>
    <t>Lease Deposits (Development Site) 6 months</t>
  </si>
  <si>
    <t>DEV CAPEX URWLD!E174 | DEV CAPEX URWLD!G174 | DEV CAPEX URWLD!I174</t>
  </si>
  <si>
    <t>CNI-0402</t>
  </si>
  <si>
    <t>DBI-DCU-E174 | DBI-DCU-G174 | DBI-DCU-I174</t>
  </si>
  <si>
    <t>Lease Registrations Costs (Operating Site)</t>
  </si>
  <si>
    <t>DEV CAPEX URWLD!E175 | DEV CAPEX URWLD!I175</t>
  </si>
  <si>
    <t>CNI-0403</t>
  </si>
  <si>
    <t>DBI-DCU-E175 | DBI-DCU-I175</t>
  </si>
  <si>
    <t>Lease Outgoings (Other Central Fees - Marketing)</t>
  </si>
  <si>
    <t>DEV CAPEX URWLD!I176</t>
  </si>
  <si>
    <t>CNI-0404</t>
  </si>
  <si>
    <t>DBI-DCU-I176</t>
  </si>
  <si>
    <t>Lease Guarantee</t>
  </si>
  <si>
    <t>DEV CAPEX URWLD!D177</t>
  </si>
  <si>
    <t>CNI-0405</t>
  </si>
  <si>
    <t>DBI-DCU-D177</t>
  </si>
  <si>
    <t>DEV CAPEX URWLD!E177</t>
  </si>
  <si>
    <t>CNI-0406</t>
  </si>
  <si>
    <t>DBI-DCU-E177</t>
  </si>
  <si>
    <t>DEV CAPEX URWLD!G177</t>
  </si>
  <si>
    <t>CNI-0407</t>
  </si>
  <si>
    <t>DBI-DCU-G177</t>
  </si>
  <si>
    <t>DEV CAPEX URWLD!I177</t>
  </si>
  <si>
    <t>CNI-0408</t>
  </si>
  <si>
    <t>DBI-DCU-I177</t>
  </si>
  <si>
    <t>04.02.25  Opening working capital &amp; other development costs</t>
  </si>
  <si>
    <t>5 lines / 6 rec.</t>
  </si>
  <si>
    <t>Opening Working Capital For Operations - 3 months</t>
  </si>
  <si>
    <t>Opening working capital &amp; other development costs</t>
  </si>
  <si>
    <t>DEV CAPEX URWLD!E222 | DEV CAPEX URWLD!I222</t>
  </si>
  <si>
    <t>CNI-0378</t>
  </si>
  <si>
    <t>DBI-DCU-E222 | DBI-DCU-I222</t>
  </si>
  <si>
    <t>Miscellaneous &amp; contingency</t>
  </si>
  <si>
    <t>DEV CAPEX URWLD!D223</t>
  </si>
  <si>
    <t>CNI-0379</t>
  </si>
  <si>
    <t>DBI-DCU-D223</t>
  </si>
  <si>
    <t>DEV CAPEX URWLD!E223</t>
  </si>
  <si>
    <t>CNI-0380</t>
  </si>
  <si>
    <t>DBI-DCU-E223</t>
  </si>
  <si>
    <t>DEV CAPEX URWLD!G223</t>
  </si>
  <si>
    <t>CNI-0381</t>
  </si>
  <si>
    <t>DBI-DCU-G223</t>
  </si>
  <si>
    <t>DEV CAPEX URWLD!I223</t>
  </si>
  <si>
    <t>CNI-0382</t>
  </si>
  <si>
    <t>DBI-DCU-I223</t>
  </si>
  <si>
    <t>04.03  Genesis</t>
  </si>
  <si>
    <t>7 lines / 7 rec.</t>
  </si>
  <si>
    <t>04.03.01  Area, capacity &amp; development envelope</t>
  </si>
  <si>
    <t>Genesis Health &amp; Fitness Centre | Footprint (sqm)</t>
  </si>
  <si>
    <t>PROJECT CASH FLOW!E12</t>
  </si>
  <si>
    <t>CNI-0031</t>
  </si>
  <si>
    <t>DBI-PCF-E12</t>
  </si>
  <si>
    <t>Genesis Health &amp; Fitness Centre | Land Area (sqm)</t>
  </si>
  <si>
    <t>PROJECT CASH FLOW!F12</t>
  </si>
  <si>
    <t>CNI-0032</t>
  </si>
  <si>
    <t>DBI-PCF-F12</t>
  </si>
  <si>
    <t>Genesis Health &amp; Fitness Centre | Estimated GFA (sqm)</t>
  </si>
  <si>
    <t>PROJECT CASH FLOW!G12</t>
  </si>
  <si>
    <t>CNI-0033</t>
  </si>
  <si>
    <t>DBI-PCF-G12</t>
  </si>
  <si>
    <t>04.03.02  Core-and-shell benchmark rates</t>
  </si>
  <si>
    <t>Basic commercial shell | Rate (AUD/m² GFA)</t>
  </si>
  <si>
    <t>Core-and-shell benchmark rates</t>
  </si>
  <si>
    <t>Genesis CAPEX</t>
  </si>
  <si>
    <t>GENESIS CAPEX!C4</t>
  </si>
  <si>
    <t>CNI-0409</t>
  </si>
  <si>
    <t>DBI-GEN-C4</t>
  </si>
  <si>
    <t>Good quality commercial shell | Rate (AUD/m² GFA)</t>
  </si>
  <si>
    <t>GENESIS CAPEX!C5</t>
  </si>
  <si>
    <t>CNI-0410</t>
  </si>
  <si>
    <t>DBI-GEN-C5</t>
  </si>
  <si>
    <t>Premium shell | Rate (AUD/m² GFA)</t>
  </si>
  <si>
    <t>GENESIS CAPEX!C6</t>
  </si>
  <si>
    <t>CNI-0411</t>
  </si>
  <si>
    <t>DBI-GEN-C6</t>
  </si>
  <si>
    <t>04.03.03  Core-and-shell cost, preliminaries &amp; contingency</t>
  </si>
  <si>
    <t>3,325 m² × $4,000/m² | Amount</t>
  </si>
  <si>
    <t>currency / source unit</t>
  </si>
  <si>
    <t>Core-and-shell cost, preliminaries &amp; contingency</t>
  </si>
  <si>
    <t>GENESIS CAPEX!C11</t>
  </si>
  <si>
    <t>CNI-0412</t>
  </si>
  <si>
    <t>DBI-GEN-C11</t>
  </si>
  <si>
    <t>04.04  PBSA</t>
  </si>
  <si>
    <t>8 lines / 8 rec.</t>
  </si>
  <si>
    <t>04.04.01  Area, capacity &amp; development envelope</t>
  </si>
  <si>
    <t>Student Accommodation | Footprint (sqm)</t>
  </si>
  <si>
    <t>PBSA</t>
  </si>
  <si>
    <t>PROJECT CASH FLOW!E9</t>
  </si>
  <si>
    <t>CNI-0022</t>
  </si>
  <si>
    <t>DBI-PCF-E9</t>
  </si>
  <si>
    <t>Student Accommodation | Land Area (sqm)</t>
  </si>
  <si>
    <t>PROJECT CASH FLOW!F9</t>
  </si>
  <si>
    <t>CNI-0023</t>
  </si>
  <si>
    <t>DBI-PCF-F9</t>
  </si>
  <si>
    <t>Student Accommodation | Estimated GFA (sqm)</t>
  </si>
  <si>
    <t>PROJECT CASH FLOW!G9</t>
  </si>
  <si>
    <t>CNI-0024</t>
  </si>
  <si>
    <t>DBI-PCF-G9</t>
  </si>
  <si>
    <t>04.04.02  Design, structural works, fit-out &amp; commissioning phasing</t>
  </si>
  <si>
    <t>Phase 4: Q1 2029 (Commissioning &amp; Operations Handover): AUD $9,500,000</t>
  </si>
  <si>
    <t>Design, structural works, fit-out &amp; commissioning phasing</t>
  </si>
  <si>
    <t>PBSA CAPEX!H36</t>
  </si>
  <si>
    <t>CNI-0413</t>
  </si>
  <si>
    <t>DBI-PBC-H36</t>
  </si>
  <si>
    <t>Phase 1: Q3 2026 – Q4 2026 (Design &amp; DA Submission): AUD $8,500,000</t>
  </si>
  <si>
    <t>PBSA CAPEX!H27</t>
  </si>
  <si>
    <t>CNI-0414</t>
  </si>
  <si>
    <t>DBI-PBC-H27</t>
  </si>
  <si>
    <t>Phase 2: Q1 2027 – Q4 2027 (Mobilization &amp; Structural Connection): AUD $42,000,000 [source: 1]</t>
  </si>
  <si>
    <t>PBSA CAPEX!H30</t>
  </si>
  <si>
    <t>CNI-0415</t>
  </si>
  <si>
    <t>DBI-PBC-H30</t>
  </si>
  <si>
    <t>Phase 3: Q1 2028 – Q4 2028 (Topping Off &amp; Envelope Fit-out): AUD $58,500,000</t>
  </si>
  <si>
    <t>PBSA CAPEX!H33</t>
  </si>
  <si>
    <t>CNI-0416</t>
  </si>
  <si>
    <t>DBI-PBC-H33</t>
  </si>
  <si>
    <t>04.04.03  Building envelope, floor plates &amp; area programme</t>
  </si>
  <si>
    <t>Lobby, Reception, Library, Study Pods (120 m²) + Back Office (60 m²) [source: 1] | Total Area m² (Net)</t>
  </si>
  <si>
    <t>Building envelope, floor plates &amp; area programme</t>
  </si>
  <si>
    <t>PBSA CAPEX!F14</t>
  </si>
  <si>
    <t>CNI-0417</t>
  </si>
  <si>
    <t>DBI-PBC-F14</t>
  </si>
  <si>
    <t>04.05  Car Park</t>
  </si>
  <si>
    <t>159 lines / 159 rec.</t>
  </si>
  <si>
    <t>04.05.01  Area, capacity &amp; development envelope</t>
  </si>
  <si>
    <t>Carpark | Footprint (sqm)</t>
  </si>
  <si>
    <t>PROJECT CASH FLOW!E13</t>
  </si>
  <si>
    <t>CNI-0034</t>
  </si>
  <si>
    <t>DBI-PCF-E13</t>
  </si>
  <si>
    <t>Carpark | Land Area (sqm)</t>
  </si>
  <si>
    <t>PROJECT CASH FLOW!F13</t>
  </si>
  <si>
    <t>CNI-0035</t>
  </si>
  <si>
    <t>DBI-PCF-F13</t>
  </si>
  <si>
    <t>Carpark | Estimated GFA (sqm)</t>
  </si>
  <si>
    <t>PROJECT CASH FLOW!G13</t>
  </si>
  <si>
    <t>CNI-0036</t>
  </si>
  <si>
    <t>DBI-PCF-G13</t>
  </si>
  <si>
    <t>04.05.02  Structural, civil &amp; fit-out cost summary</t>
  </si>
  <si>
    <t>Structural &amp; Civil Base Building Cost: | Ground Floor Precinct Central Kitchen</t>
  </si>
  <si>
    <t>Structural, civil &amp; fit-out cost summary</t>
  </si>
  <si>
    <t>Parking CAPEX / capacity</t>
  </si>
  <si>
    <t>CARPARK!E142</t>
  </si>
  <si>
    <t>CNI-0432</t>
  </si>
  <si>
    <t>DBI-CPK-E142</t>
  </si>
  <si>
    <t>Façade &amp; Structural Integration Variance: | Ground Floor Precinct Central Kitchen</t>
  </si>
  <si>
    <t>CARPARK!E145</t>
  </si>
  <si>
    <t>CNI-0433</t>
  </si>
  <si>
    <t>DBI-CPK-E145</t>
  </si>
  <si>
    <t>Specialist Hydraulic Fit-Out Variance: | Ground Floor Precinct Central Kitchen</t>
  </si>
  <si>
    <t>CARPARK!E146</t>
  </si>
  <si>
    <t>CNI-0434</t>
  </si>
  <si>
    <t>DBI-CPK-E146</t>
  </si>
  <si>
    <t>Integrated Specialist Fit-Out Cost: | Ground Floor Precinct Central Kitchen</t>
  </si>
  <si>
    <t>CARPARK!E143</t>
  </si>
  <si>
    <t>CNI-0559</t>
  </si>
  <si>
    <t>DBI-CPK-E143</t>
  </si>
  <si>
    <t>Structural &amp; Civil Base Building Cost:</t>
  </si>
  <si>
    <t>CARPARK!L142</t>
  </si>
  <si>
    <t>CNI-0581</t>
  </si>
  <si>
    <t>DBI-CPK-L142</t>
  </si>
  <si>
    <t>04.05.03  Level 1 space, access &amp; core programme</t>
  </si>
  <si>
    <t>27 lines / 27 rec.</t>
  </si>
  <si>
    <t>Car Spaces - Disabled (3.3m x 5.0m) | Number</t>
  </si>
  <si>
    <t>Level 1 space, access &amp; core programme</t>
  </si>
  <si>
    <t>CARPARK!G12</t>
  </si>
  <si>
    <t>CNI-0435</t>
  </si>
  <si>
    <t>DBI-CPK-G12</t>
  </si>
  <si>
    <t>Car-Spaces - car | Number</t>
  </si>
  <si>
    <t>CARPARK!G13</t>
  </si>
  <si>
    <t>CNI-0436</t>
  </si>
  <si>
    <t>DBI-CPK-G13</t>
  </si>
  <si>
    <t>Car - Spaces - Families/Prams | Number</t>
  </si>
  <si>
    <t>CARPARK!G14</t>
  </si>
  <si>
    <t>CNI-0437</t>
  </si>
  <si>
    <t>DBI-CPK-G14</t>
  </si>
  <si>
    <t>Car-Spaces - Van | Number</t>
  </si>
  <si>
    <t>CARPARK!G15</t>
  </si>
  <si>
    <t>CNI-0438</t>
  </si>
  <si>
    <t>DBI-CPK-G15</t>
  </si>
  <si>
    <t>General Circulation &amp; Access Ramp - Vehicles | Size</t>
  </si>
  <si>
    <t>CARPARK!F16</t>
  </si>
  <si>
    <t>CNI-0439</t>
  </si>
  <si>
    <t>DBI-CPK-F16</t>
  </si>
  <si>
    <t>General Circulation &amp; Access Ramp - Vehicles | Number</t>
  </si>
  <si>
    <t>CARPARK!G16</t>
  </si>
  <si>
    <t>CNI-0440</t>
  </si>
  <si>
    <t>DBI-CPK-G16</t>
  </si>
  <si>
    <t>General Circulation - Pedestrians | Size</t>
  </si>
  <si>
    <t>CARPARK!F17</t>
  </si>
  <si>
    <t>CNI-0441</t>
  </si>
  <si>
    <t>DBI-CPK-F17</t>
  </si>
  <si>
    <t>General Circulation - Pedestrians | Number</t>
  </si>
  <si>
    <t>CARPARK!G17</t>
  </si>
  <si>
    <t>CNI-0442</t>
  </si>
  <si>
    <t>DBI-CPK-G17</t>
  </si>
  <si>
    <t>Emergency Exit Stairs | Size</t>
  </si>
  <si>
    <t>CARPARK!F18</t>
  </si>
  <si>
    <t>CNI-0443</t>
  </si>
  <si>
    <t>DBI-CPK-F18</t>
  </si>
  <si>
    <t>Emergency Exit Stairs | Number</t>
  </si>
  <si>
    <t>CARPARK!G18</t>
  </si>
  <si>
    <t>CNI-0444</t>
  </si>
  <si>
    <t>DBI-CPK-G18</t>
  </si>
  <si>
    <t>Access Ramp - Pedestrians | Size</t>
  </si>
  <si>
    <t>CARPARK!F19</t>
  </si>
  <si>
    <t>CNI-0445</t>
  </si>
  <si>
    <t>DBI-CPK-F19</t>
  </si>
  <si>
    <t>Access Ramp - Pedestrians | Number</t>
  </si>
  <si>
    <t>CARPARK!G19</t>
  </si>
  <si>
    <t>CNI-0446</t>
  </si>
  <si>
    <t>DBI-CPK-G19</t>
  </si>
  <si>
    <t>Access Stairs | Size</t>
  </si>
  <si>
    <t>CARPARK!F20</t>
  </si>
  <si>
    <t>CNI-0447</t>
  </si>
  <si>
    <t>DBI-CPK-F20</t>
  </si>
  <si>
    <t>Access Stairs | Number</t>
  </si>
  <si>
    <t>CARPARK!G20</t>
  </si>
  <si>
    <t>CNI-0448</t>
  </si>
  <si>
    <t>DBI-CPK-G20</t>
  </si>
  <si>
    <t>Lifts | Size</t>
  </si>
  <si>
    <t>CARPARK!F21</t>
  </si>
  <si>
    <t>CNI-0449</t>
  </si>
  <si>
    <t>DBI-CPK-F21</t>
  </si>
  <si>
    <t>Lifts | Number</t>
  </si>
  <si>
    <t>CARPARK!G21</t>
  </si>
  <si>
    <t>CNI-0450</t>
  </si>
  <si>
    <t>DBI-CPK-G21</t>
  </si>
  <si>
    <t>Lift Lobby</t>
  </si>
  <si>
    <t>CARPARK!F22</t>
  </si>
  <si>
    <t>CNI-0451</t>
  </si>
  <si>
    <t>DBI-CPK-F22</t>
  </si>
  <si>
    <t>CARPARK!G22</t>
  </si>
  <si>
    <t>CNI-0452</t>
  </si>
  <si>
    <t>DBI-CPK-G22</t>
  </si>
  <si>
    <t>Columns</t>
  </si>
  <si>
    <t>CARPARK!F23</t>
  </si>
  <si>
    <t>CNI-0453</t>
  </si>
  <si>
    <t>DBI-CPK-F23</t>
  </si>
  <si>
    <t>CARPARK!G23</t>
  </si>
  <si>
    <t>CNI-0454</t>
  </si>
  <si>
    <t>DBI-CPK-G23</t>
  </si>
  <si>
    <t>Gutters</t>
  </si>
  <si>
    <t>CARPARK!F24</t>
  </si>
  <si>
    <t>CNI-0455</t>
  </si>
  <si>
    <t>DBI-CPK-F24</t>
  </si>
  <si>
    <t>CARPARK!G24</t>
  </si>
  <si>
    <t>CNI-0456</t>
  </si>
  <si>
    <t>DBI-CPK-G24</t>
  </si>
  <si>
    <t>Paystations</t>
  </si>
  <si>
    <t>CARPARK!F25</t>
  </si>
  <si>
    <t>CNI-0457</t>
  </si>
  <si>
    <t>DBI-CPK-F25</t>
  </si>
  <si>
    <t>CARPARK!G25</t>
  </si>
  <si>
    <t>CNI-0458</t>
  </si>
  <si>
    <t>DBI-CPK-G25</t>
  </si>
  <si>
    <t>Car Park Security/Office/Control Room</t>
  </si>
  <si>
    <t>CARPARK!F26</t>
  </si>
  <si>
    <t>CNI-0459</t>
  </si>
  <si>
    <t>DBI-CPK-F26</t>
  </si>
  <si>
    <t>CARPARK!G26</t>
  </si>
  <si>
    <t>CNI-0460</t>
  </si>
  <si>
    <t>DBI-CPK-G26</t>
  </si>
  <si>
    <t>Efficiency Per Space</t>
  </si>
  <si>
    <t>CARPARK!F27</t>
  </si>
  <si>
    <t>CNI-0576</t>
  </si>
  <si>
    <t>DBI-CPK-F27</t>
  </si>
  <si>
    <t>04.05.04  Level 2 space, access &amp; core programme</t>
  </si>
  <si>
    <t>25 lines / 25 rec.</t>
  </si>
  <si>
    <t>Car Spaces - Disabled (3.3m x 5.0m)</t>
  </si>
  <si>
    <t>Level 2 space, access &amp; core programme</t>
  </si>
  <si>
    <t>CARPARK!G33</t>
  </si>
  <si>
    <t>CNI-0461</t>
  </si>
  <si>
    <t>DBI-CPK-G33</t>
  </si>
  <si>
    <t>Car-Spaces - car</t>
  </si>
  <si>
    <t>CARPARK!G34</t>
  </si>
  <si>
    <t>CNI-0462</t>
  </si>
  <si>
    <t>DBI-CPK-G34</t>
  </si>
  <si>
    <t>Car - Spaces - Families/Prams</t>
  </si>
  <si>
    <t>CARPARK!G35</t>
  </si>
  <si>
    <t>CNI-0463</t>
  </si>
  <si>
    <t>DBI-CPK-G35</t>
  </si>
  <si>
    <t>Car-Spaces - Van</t>
  </si>
  <si>
    <t>CARPARK!G36</t>
  </si>
  <si>
    <t>CNI-0464</t>
  </si>
  <si>
    <t>DBI-CPK-G36</t>
  </si>
  <si>
    <t>General Circulation &amp; Access Ramp - Vehicles</t>
  </si>
  <si>
    <t>CARPARK!F37</t>
  </si>
  <si>
    <t>CNI-0465</t>
  </si>
  <si>
    <t>DBI-CPK-F37</t>
  </si>
  <si>
    <t>CARPARK!G37</t>
  </si>
  <si>
    <t>CNI-0466</t>
  </si>
  <si>
    <t>DBI-CPK-G37</t>
  </si>
  <si>
    <t>General Circulation - Pedestrians</t>
  </si>
  <si>
    <t>CARPARK!F38</t>
  </si>
  <si>
    <t>CNI-0467</t>
  </si>
  <si>
    <t>DBI-CPK-F38</t>
  </si>
  <si>
    <t>CARPARK!G38</t>
  </si>
  <si>
    <t>CNI-0468</t>
  </si>
  <si>
    <t>DBI-CPK-G38</t>
  </si>
  <si>
    <t>Emergency Exit Stairs</t>
  </si>
  <si>
    <t>CARPARK!F39</t>
  </si>
  <si>
    <t>CNI-0469</t>
  </si>
  <si>
    <t>DBI-CPK-F39</t>
  </si>
  <si>
    <t>CARPARK!G39</t>
  </si>
  <si>
    <t>CNI-0470</t>
  </si>
  <si>
    <t>DBI-CPK-G39</t>
  </si>
  <si>
    <t>Access Ramp - Pedestrians</t>
  </si>
  <si>
    <t>CARPARK!F40</t>
  </si>
  <si>
    <t>CNI-0471</t>
  </si>
  <si>
    <t>DBI-CPK-F40</t>
  </si>
  <si>
    <t>CARPARK!G40</t>
  </si>
  <si>
    <t>CNI-0472</t>
  </si>
  <si>
    <t>DBI-CPK-G40</t>
  </si>
  <si>
    <t>Access Stairs</t>
  </si>
  <si>
    <t>CARPARK!F41</t>
  </si>
  <si>
    <t>CNI-0473</t>
  </si>
  <si>
    <t>DBI-CPK-F41</t>
  </si>
  <si>
    <t>CARPARK!G41</t>
  </si>
  <si>
    <t>CNI-0474</t>
  </si>
  <si>
    <t>DBI-CPK-G41</t>
  </si>
  <si>
    <t>Lifts</t>
  </si>
  <si>
    <t>CARPARK!F42</t>
  </si>
  <si>
    <t>CNI-0475</t>
  </si>
  <si>
    <t>DBI-CPK-F42</t>
  </si>
  <si>
    <t>CARPARK!G42</t>
  </si>
  <si>
    <t>CNI-0476</t>
  </si>
  <si>
    <t>DBI-CPK-G42</t>
  </si>
  <si>
    <t>CARPARK!F43</t>
  </si>
  <si>
    <t>CNI-0477</t>
  </si>
  <si>
    <t>DBI-CPK-F43</t>
  </si>
  <si>
    <t>CARPARK!G43</t>
  </si>
  <si>
    <t>CNI-0478</t>
  </si>
  <si>
    <t>DBI-CPK-G43</t>
  </si>
  <si>
    <t>CARPARK!F44</t>
  </si>
  <si>
    <t>CNI-0479</t>
  </si>
  <si>
    <t>DBI-CPK-F44</t>
  </si>
  <si>
    <t>CARPARK!G44</t>
  </si>
  <si>
    <t>CNI-0480</t>
  </si>
  <si>
    <t>DBI-CPK-G44</t>
  </si>
  <si>
    <t>CARPARK!F45</t>
  </si>
  <si>
    <t>CNI-0481</t>
  </si>
  <si>
    <t>DBI-CPK-F45</t>
  </si>
  <si>
    <t>CARPARK!G45</t>
  </si>
  <si>
    <t>CNI-0482</t>
  </si>
  <si>
    <t>DBI-CPK-G45</t>
  </si>
  <si>
    <t>CARPARK!F46</t>
  </si>
  <si>
    <t>CNI-0483</t>
  </si>
  <si>
    <t>DBI-CPK-F46</t>
  </si>
  <si>
    <t>CARPARK!G46</t>
  </si>
  <si>
    <t>CNI-0484</t>
  </si>
  <si>
    <t>DBI-CPK-G46</t>
  </si>
  <si>
    <t>BLANK | 1965</t>
  </si>
  <si>
    <t>CARPARK!H47</t>
  </si>
  <si>
    <t>CNI-0577</t>
  </si>
  <si>
    <t>DBI-CPK-H47</t>
  </si>
  <si>
    <t>04.05.05  Level 3 space, access &amp; core programme</t>
  </si>
  <si>
    <t>Level 3 space, access &amp; core programme</t>
  </si>
  <si>
    <t>CARPARK!G52</t>
  </si>
  <si>
    <t>CNI-0485</t>
  </si>
  <si>
    <t>DBI-CPK-G52</t>
  </si>
  <si>
    <t>CARPARK!G53</t>
  </si>
  <si>
    <t>CNI-0486</t>
  </si>
  <si>
    <t>DBI-CPK-G53</t>
  </si>
  <si>
    <t>CARPARK!G54</t>
  </si>
  <si>
    <t>CNI-0487</t>
  </si>
  <si>
    <t>DBI-CPK-G54</t>
  </si>
  <si>
    <t>CARPARK!G55</t>
  </si>
  <si>
    <t>CNI-0488</t>
  </si>
  <si>
    <t>DBI-CPK-G55</t>
  </si>
  <si>
    <t>CARPARK!F56</t>
  </si>
  <si>
    <t>CNI-0489</t>
  </si>
  <si>
    <t>DBI-CPK-F56</t>
  </si>
  <si>
    <t>CARPARK!G56</t>
  </si>
  <si>
    <t>CNI-0490</t>
  </si>
  <si>
    <t>DBI-CPK-G56</t>
  </si>
  <si>
    <t>CARPARK!F57</t>
  </si>
  <si>
    <t>CNI-0491</t>
  </si>
  <si>
    <t>DBI-CPK-F57</t>
  </si>
  <si>
    <t>CARPARK!G57</t>
  </si>
  <si>
    <t>CNI-0492</t>
  </si>
  <si>
    <t>DBI-CPK-G57</t>
  </si>
  <si>
    <t>CARPARK!F58</t>
  </si>
  <si>
    <t>CNI-0493</t>
  </si>
  <si>
    <t>DBI-CPK-F58</t>
  </si>
  <si>
    <t>CARPARK!G58</t>
  </si>
  <si>
    <t>CNI-0494</t>
  </si>
  <si>
    <t>DBI-CPK-G58</t>
  </si>
  <si>
    <t>CARPARK!F59</t>
  </si>
  <si>
    <t>CNI-0495</t>
  </si>
  <si>
    <t>DBI-CPK-F59</t>
  </si>
  <si>
    <t>CARPARK!G59</t>
  </si>
  <si>
    <t>CNI-0496</t>
  </si>
  <si>
    <t>DBI-CPK-G59</t>
  </si>
  <si>
    <t>CARPARK!F60</t>
  </si>
  <si>
    <t>CNI-0497</t>
  </si>
  <si>
    <t>DBI-CPK-F60</t>
  </si>
  <si>
    <t>CARPARK!G60</t>
  </si>
  <si>
    <t>CNI-0498</t>
  </si>
  <si>
    <t>DBI-CPK-G60</t>
  </si>
  <si>
    <t>CARPARK!F61</t>
  </si>
  <si>
    <t>CNI-0499</t>
  </si>
  <si>
    <t>DBI-CPK-F61</t>
  </si>
  <si>
    <t>CARPARK!G61</t>
  </si>
  <si>
    <t>CNI-0500</t>
  </si>
  <si>
    <t>DBI-CPK-G61</t>
  </si>
  <si>
    <t>CARPARK!F62</t>
  </si>
  <si>
    <t>CNI-0501</t>
  </si>
  <si>
    <t>DBI-CPK-F62</t>
  </si>
  <si>
    <t>CARPARK!G62</t>
  </si>
  <si>
    <t>CNI-0502</t>
  </si>
  <si>
    <t>DBI-CPK-G62</t>
  </si>
  <si>
    <t>CARPARK!F63</t>
  </si>
  <si>
    <t>CNI-0503</t>
  </si>
  <si>
    <t>DBI-CPK-F63</t>
  </si>
  <si>
    <t>CARPARK!G63</t>
  </si>
  <si>
    <t>CNI-0504</t>
  </si>
  <si>
    <t>DBI-CPK-G63</t>
  </si>
  <si>
    <t>CARPARK!F64</t>
  </si>
  <si>
    <t>CNI-0505</t>
  </si>
  <si>
    <t>DBI-CPK-F64</t>
  </si>
  <si>
    <t>CARPARK!G64</t>
  </si>
  <si>
    <t>CNI-0506</t>
  </si>
  <si>
    <t>DBI-CPK-G64</t>
  </si>
  <si>
    <t>CARPARK!F65</t>
  </si>
  <si>
    <t>CNI-0507</t>
  </si>
  <si>
    <t>DBI-CPK-F65</t>
  </si>
  <si>
    <t>CARPARK!G65</t>
  </si>
  <si>
    <t>CNI-0508</t>
  </si>
  <si>
    <t>DBI-CPK-G65</t>
  </si>
  <si>
    <t>CARPARK!H66</t>
  </si>
  <si>
    <t>CNI-0578</t>
  </si>
  <si>
    <t>DBI-CPK-H66</t>
  </si>
  <si>
    <t>04.05.06  Level 4 space, access &amp; core programme</t>
  </si>
  <si>
    <t>Level 4 space, access &amp; core programme</t>
  </si>
  <si>
    <t>CARPARK!G71</t>
  </si>
  <si>
    <t>CNI-0509</t>
  </si>
  <si>
    <t>DBI-CPK-G71</t>
  </si>
  <si>
    <t>CARPARK!G72</t>
  </si>
  <si>
    <t>CNI-0510</t>
  </si>
  <si>
    <t>DBI-CPK-G72</t>
  </si>
  <si>
    <t>CARPARK!G73</t>
  </si>
  <si>
    <t>CNI-0511</t>
  </si>
  <si>
    <t>DBI-CPK-G73</t>
  </si>
  <si>
    <t>CARPARK!G74</t>
  </si>
  <si>
    <t>CNI-0512</t>
  </si>
  <si>
    <t>DBI-CPK-G74</t>
  </si>
  <si>
    <t>CARPARK!F75</t>
  </si>
  <si>
    <t>CNI-0513</t>
  </si>
  <si>
    <t>DBI-CPK-F75</t>
  </si>
  <si>
    <t>CARPARK!G75</t>
  </si>
  <si>
    <t>CNI-0514</t>
  </si>
  <si>
    <t>DBI-CPK-G75</t>
  </si>
  <si>
    <t>CARPARK!F76</t>
  </si>
  <si>
    <t>CNI-0515</t>
  </si>
  <si>
    <t>DBI-CPK-F76</t>
  </si>
  <si>
    <t>CARPARK!G76</t>
  </si>
  <si>
    <t>CNI-0516</t>
  </si>
  <si>
    <t>DBI-CPK-G76</t>
  </si>
  <si>
    <t>CARPARK!F77</t>
  </si>
  <si>
    <t>CNI-0517</t>
  </si>
  <si>
    <t>DBI-CPK-F77</t>
  </si>
  <si>
    <t>CARPARK!G77</t>
  </si>
  <si>
    <t>CNI-0518</t>
  </si>
  <si>
    <t>DBI-CPK-G77</t>
  </si>
  <si>
    <t>CARPARK!F78</t>
  </si>
  <si>
    <t>CNI-0519</t>
  </si>
  <si>
    <t>DBI-CPK-F78</t>
  </si>
  <si>
    <t>CARPARK!G78</t>
  </si>
  <si>
    <t>CNI-0520</t>
  </si>
  <si>
    <t>DBI-CPK-G78</t>
  </si>
  <si>
    <t>CARPARK!F79</t>
  </si>
  <si>
    <t>CNI-0521</t>
  </si>
  <si>
    <t>DBI-CPK-F79</t>
  </si>
  <si>
    <t>CARPARK!G79</t>
  </si>
  <si>
    <t>CNI-0522</t>
  </si>
  <si>
    <t>DBI-CPK-G79</t>
  </si>
  <si>
    <t>CARPARK!F80</t>
  </si>
  <si>
    <t>CNI-0523</t>
  </si>
  <si>
    <t>DBI-CPK-F80</t>
  </si>
  <si>
    <t>CARPARK!G80</t>
  </si>
  <si>
    <t>CNI-0524</t>
  </si>
  <si>
    <t>DBI-CPK-G80</t>
  </si>
  <si>
    <t>CARPARK!F81</t>
  </si>
  <si>
    <t>CNI-0525</t>
  </si>
  <si>
    <t>DBI-CPK-F81</t>
  </si>
  <si>
    <t>CARPARK!G81</t>
  </si>
  <si>
    <t>CNI-0526</t>
  </si>
  <si>
    <t>DBI-CPK-G81</t>
  </si>
  <si>
    <t>CARPARK!F82</t>
  </si>
  <si>
    <t>CNI-0527</t>
  </si>
  <si>
    <t>DBI-CPK-F82</t>
  </si>
  <si>
    <t>CARPARK!G82</t>
  </si>
  <si>
    <t>CNI-0528</t>
  </si>
  <si>
    <t>DBI-CPK-G82</t>
  </si>
  <si>
    <t>CARPARK!F83</t>
  </si>
  <si>
    <t>CNI-0529</t>
  </si>
  <si>
    <t>DBI-CPK-F83</t>
  </si>
  <si>
    <t>CARPARK!G83</t>
  </si>
  <si>
    <t>CNI-0530</t>
  </si>
  <si>
    <t>DBI-CPK-G83</t>
  </si>
  <si>
    <t>Pay Stations</t>
  </si>
  <si>
    <t>CARPARK!F84</t>
  </si>
  <si>
    <t>CNI-0531</t>
  </si>
  <si>
    <t>DBI-CPK-F84</t>
  </si>
  <si>
    <t>CARPARK!G84</t>
  </si>
  <si>
    <t>CNI-0532</t>
  </si>
  <si>
    <t>DBI-CPK-G84</t>
  </si>
  <si>
    <t>CARPARK!H85</t>
  </si>
  <si>
    <t>CNI-0579</t>
  </si>
  <si>
    <t>DBI-CPK-H85</t>
  </si>
  <si>
    <t>04.05.07  Level 5 and total parking programme</t>
  </si>
  <si>
    <t>Level 5 and total parking programme</t>
  </si>
  <si>
    <t>CARPARK!G90</t>
  </si>
  <si>
    <t>CNI-0533</t>
  </si>
  <si>
    <t>DBI-CPK-G90</t>
  </si>
  <si>
    <t>CARPARK!G91</t>
  </si>
  <si>
    <t>CNI-0534</t>
  </si>
  <si>
    <t>DBI-CPK-G91</t>
  </si>
  <si>
    <t>CARPARK!G92</t>
  </si>
  <si>
    <t>CNI-0535</t>
  </si>
  <si>
    <t>DBI-CPK-G92</t>
  </si>
  <si>
    <t>CARPARK!G93</t>
  </si>
  <si>
    <t>CNI-0536</t>
  </si>
  <si>
    <t>DBI-CPK-G93</t>
  </si>
  <si>
    <t>CARPARK!F94</t>
  </si>
  <si>
    <t>CNI-0537</t>
  </si>
  <si>
    <t>DBI-CPK-F94</t>
  </si>
  <si>
    <t>CARPARK!G94</t>
  </si>
  <si>
    <t>CNI-0538</t>
  </si>
  <si>
    <t>DBI-CPK-G94</t>
  </si>
  <si>
    <t>CARPARK!F95</t>
  </si>
  <si>
    <t>CNI-0539</t>
  </si>
  <si>
    <t>DBI-CPK-F95</t>
  </si>
  <si>
    <t>CARPARK!G95</t>
  </si>
  <si>
    <t>CNI-0540</t>
  </si>
  <si>
    <t>DBI-CPK-G95</t>
  </si>
  <si>
    <t>CARPARK!F96</t>
  </si>
  <si>
    <t>CNI-0541</t>
  </si>
  <si>
    <t>DBI-CPK-F96</t>
  </si>
  <si>
    <t>CARPARK!G96</t>
  </si>
  <si>
    <t>CNI-0542</t>
  </si>
  <si>
    <t>DBI-CPK-G96</t>
  </si>
  <si>
    <t>CARPARK!F97</t>
  </si>
  <si>
    <t>CNI-0543</t>
  </si>
  <si>
    <t>DBI-CPK-F97</t>
  </si>
  <si>
    <t>CARPARK!G97</t>
  </si>
  <si>
    <t>CNI-0544</t>
  </si>
  <si>
    <t>DBI-CPK-G97</t>
  </si>
  <si>
    <t>CARPARK!F98</t>
  </si>
  <si>
    <t>CNI-0545</t>
  </si>
  <si>
    <t>DBI-CPK-F98</t>
  </si>
  <si>
    <t>CARPARK!G98</t>
  </si>
  <si>
    <t>CNI-0546</t>
  </si>
  <si>
    <t>DBI-CPK-G98</t>
  </si>
  <si>
    <t>CARPARK!F99</t>
  </si>
  <si>
    <t>CNI-0547</t>
  </si>
  <si>
    <t>DBI-CPK-F99</t>
  </si>
  <si>
    <t>CARPARK!G99</t>
  </si>
  <si>
    <t>CNI-0548</t>
  </si>
  <si>
    <t>DBI-CPK-G99</t>
  </si>
  <si>
    <t>CARPARK!F100</t>
  </si>
  <si>
    <t>CNI-0549</t>
  </si>
  <si>
    <t>DBI-CPK-F100</t>
  </si>
  <si>
    <t>CARPARK!G100</t>
  </si>
  <si>
    <t>CNI-0550</t>
  </si>
  <si>
    <t>DBI-CPK-G100</t>
  </si>
  <si>
    <t>CARPARK!F101</t>
  </si>
  <si>
    <t>CNI-0551</t>
  </si>
  <si>
    <t>DBI-CPK-F101</t>
  </si>
  <si>
    <t>CARPARK!G101</t>
  </si>
  <si>
    <t>CNI-0552</t>
  </si>
  <si>
    <t>DBI-CPK-G101</t>
  </si>
  <si>
    <t>CARPARK!F102</t>
  </si>
  <si>
    <t>CNI-0553</t>
  </si>
  <si>
    <t>DBI-CPK-F102</t>
  </si>
  <si>
    <t>CARPARK!G102</t>
  </si>
  <si>
    <t>CNI-0554</t>
  </si>
  <si>
    <t>DBI-CPK-G102</t>
  </si>
  <si>
    <t>CARPARK!F103</t>
  </si>
  <si>
    <t>CNI-0555</t>
  </si>
  <si>
    <t>DBI-CPK-F103</t>
  </si>
  <si>
    <t>CARPARK!G103</t>
  </si>
  <si>
    <t>CNI-0556</t>
  </si>
  <si>
    <t>DBI-CPK-G103</t>
  </si>
  <si>
    <t>Blank | 1965</t>
  </si>
  <si>
    <t>CARPARK!H104</t>
  </si>
  <si>
    <t>CNI-0580</t>
  </si>
  <si>
    <t>DBI-CPK-H104</t>
  </si>
  <si>
    <t>04.05.08  Capacity, efficiency &amp; benchmark cost basis</t>
  </si>
  <si>
    <t>Capacity, efficiency &amp; benchmark cost basis</t>
  </si>
  <si>
    <t>CARPARK!G109</t>
  </si>
  <si>
    <t>CNI-0557</t>
  </si>
  <si>
    <t>DBI-CPK-G109</t>
  </si>
  <si>
    <t>CARPARK!F109</t>
  </si>
  <si>
    <t>CNI-0558</t>
  </si>
  <si>
    <t>DBI-CPK-F109</t>
  </si>
  <si>
    <t>04.05.09  Traffic management, access &amp; payment systems</t>
  </si>
  <si>
    <t>4x High-speed Automatic Number Plate Recognition (ANPR) systems with industrial magnetic loop barrier gates at both entry/exit lanes — $180,000</t>
  </si>
  <si>
    <t>Traffic management, access &amp; payment systems</t>
  </si>
  <si>
    <t>CARPARK!E165</t>
  </si>
  <si>
    <t>CNI-0560</t>
  </si>
  <si>
    <t>DBI-CPK-E165</t>
  </si>
  <si>
    <t>Single-bay overhead ceiling ultrasonic vehicle detection sensors with dual-state LED indicators (Red/Green/Blue for disabled) for 760 spaces — $570,000</t>
  </si>
  <si>
    <t>CARPARK!E168</t>
  </si>
  <si>
    <t>CNI-0561</t>
  </si>
  <si>
    <t>DBI-CPK-E168</t>
  </si>
  <si>
    <t>Dynamic digital LED variable message signs (VMS) updating available bay spaces per level at ramp entrances — $165,000</t>
  </si>
  <si>
    <t>CARPARK!E171</t>
  </si>
  <si>
    <t>CNI-0562</t>
  </si>
  <si>
    <t>DBI-CPK-E171</t>
  </si>
  <si>
    <t>4x Premium multi-option touch terminals (supporting mobile, credit, and validated parking) located inside central atrium and lift lobbies — $205,000</t>
  </si>
  <si>
    <t>CARPARK!E174</t>
  </si>
  <si>
    <t>CNI-0563</t>
  </si>
  <si>
    <t>DBI-CPK-E174</t>
  </si>
  <si>
    <t>04.05.10  Electrical, lighting &amp; EV charging</t>
  </si>
  <si>
    <t>Day/Night sensor-controlled 24/7 low-energy linear LED strip fittings across entire GFA to achieve compliance with AS/NZS 1680 — $620,000</t>
  </si>
  <si>
    <t>Electrical, lighting &amp; EV charging</t>
  </si>
  <si>
    <t>CARPARK!E179</t>
  </si>
  <si>
    <t>CNI-0564</t>
  </si>
  <si>
    <t>DBI-CPK-E179</t>
  </si>
  <si>
    <t>Installation of 40x Level-2 commercial EV charging bays, complete with structured overhead load-management switchboards — $380,000</t>
  </si>
  <si>
    <t>CARPARK!E182</t>
  </si>
  <si>
    <t>CNI-0565</t>
  </si>
  <si>
    <t>DBI-CPK-E182</t>
  </si>
  <si>
    <t>Integrated emergency backup battery lighting units paths and automated illuminated green directional exit paths — $220,000</t>
  </si>
  <si>
    <t>CARPARK!E185</t>
  </si>
  <si>
    <t>CNI-0566</t>
  </si>
  <si>
    <t>DBI-CPK-E185</t>
  </si>
  <si>
    <t>Dedicated carpark distribution boards isolated entirely from the upper accommodation network</t>
  </si>
  <si>
    <t>CARPARK!E188</t>
  </si>
  <si>
    <t>CNI-0567</t>
  </si>
  <si>
    <t>DBI-CPK-E188</t>
  </si>
  <si>
    <t>04.05.11  Fire, life safety &amp; ventilation</t>
  </si>
  <si>
    <t>Fully engineered wet pipe automatic fire sprinkler network mapped to AS 2118.1 fire parameters — $680,000</t>
  </si>
  <si>
    <t>Fire, life safety &amp; ventilation</t>
  </si>
  <si>
    <t>CARPARK!E193</t>
  </si>
  <si>
    <t>CNI-0568</t>
  </si>
  <si>
    <t>DBI-CPK-E193</t>
  </si>
  <si>
    <t>Carbon Monoxide (CO) sensor-controlled impulse ventilation jet fan system for structural air changeouts — $390,000</t>
  </si>
  <si>
    <t>CARPARK!E196</t>
  </si>
  <si>
    <t>CNI-0569</t>
  </si>
  <si>
    <t>DBI-CPK-E196</t>
  </si>
  <si>
    <t>Dual booster pumps, fire hydrants located in all 6 emergency stair towers, plus statutory hose reels per floor — $195,000</t>
  </si>
  <si>
    <t>CARPARK!E199</t>
  </si>
  <si>
    <t>CNI-0570</t>
  </si>
  <si>
    <t>DBI-CPK-E199</t>
  </si>
  <si>
    <t>Emergency Warning and Intercommunication System with integrated acoustic speakers and visual warning strobes — $145,000</t>
  </si>
  <si>
    <t>CARPARK!E202</t>
  </si>
  <si>
    <t>CNI-0571</t>
  </si>
  <si>
    <t>DBI-CPK-E202</t>
  </si>
  <si>
    <t>04.05.12  Security, communications &amp; digital systems</t>
  </si>
  <si>
    <t>140x High-definition 4K IP security cameras providing 100% blindspot-free tracking of parking lanes, lift lobbies, and all 6 emergency stairs — $315,000</t>
  </si>
  <si>
    <t>Security, communications &amp; digital systems</t>
  </si>
  <si>
    <t>CARPARK!E207</t>
  </si>
  <si>
    <t>CNI-0572</t>
  </si>
  <si>
    <t>DBI-CPK-E207</t>
  </si>
  <si>
    <t>IP-based emergency assistance call points situated directly at lift lobbies, entrance gates, and every level wall column — $115,000</t>
  </si>
  <si>
    <t>CARPARK!E210</t>
  </si>
  <si>
    <t>CNI-0573</t>
  </si>
  <si>
    <t>DBI-CPK-E210</t>
  </si>
  <si>
    <t>Secure electronic security card/fob readers installed on all perimeter fire escape doors, plant rooms, and central kitchen zones — $90,000</t>
  </si>
  <si>
    <t>CARPARK!E213</t>
  </si>
  <si>
    <t>CNI-0574</t>
  </si>
  <si>
    <t>DBI-CPK-E213</t>
  </si>
  <si>
    <t>Industrial Wi-Fi access points and cellular 4G/5G mobile repeaters running throughout underground and internal zones — $170,000</t>
  </si>
  <si>
    <t>CARPARK!E216</t>
  </si>
  <si>
    <t>CNI-0575</t>
  </si>
  <si>
    <t>DBI-CPK-E216</t>
  </si>
  <si>
    <t>04.05.13  Vertical transport, line marking &amp; finishes</t>
  </si>
  <si>
    <t>E. Architectural Transport &amp; Specialized Equipment</t>
  </si>
  <si>
    <t>Vertical transport, line marking &amp; finishes</t>
  </si>
  <si>
    <t>CARPARK!E218</t>
  </si>
  <si>
    <t>CNI-0582</t>
  </si>
  <si>
    <t>DBI-CPK-E218</t>
  </si>
  <si>
    <t>4x High-speed, commercial-grade 15-passenger stretcher lifts (2 units servicing each end core structure) — $780,000</t>
  </si>
  <si>
    <t>CARPARK!E221</t>
  </si>
  <si>
    <t>CNI-0583</t>
  </si>
  <si>
    <t>DBI-CPK-E221</t>
  </si>
  <si>
    <t>04.05.14  Preliminaries, advisers, approvals &amp; contingency</t>
  </si>
  <si>
    <t>Preliminaries &amp; Builder's Margin (9%):</t>
  </si>
  <si>
    <t>Preliminaries, advisers, approvals &amp; contingency</t>
  </si>
  <si>
    <t>CARPARK!E229</t>
  </si>
  <si>
    <t>CNI-0584</t>
  </si>
  <si>
    <t>DBI-CPK-E229</t>
  </si>
  <si>
    <t>Design &amp; Engineering Consultant Fees (7%):</t>
  </si>
  <si>
    <t>CARPARK!E230</t>
  </si>
  <si>
    <t>CNI-0585</t>
  </si>
  <si>
    <t>DBI-CPK-E230</t>
  </si>
  <si>
    <t>Statutory Authority Fees &amp; Vic Planning Approvals:</t>
  </si>
  <si>
    <t>CARPARK!E231</t>
  </si>
  <si>
    <t>CNI-0586</t>
  </si>
  <si>
    <t>DBI-CPK-E231</t>
  </si>
  <si>
    <t>Escalation &amp; Design Contingency (5.5%):</t>
  </si>
  <si>
    <t>CARPARK!E232</t>
  </si>
  <si>
    <t>CNI-0587</t>
  </si>
  <si>
    <t>DBI-CPK-E232</t>
  </si>
  <si>
    <t>04.06  LiveHouse</t>
  </si>
  <si>
    <t>04.06.01  Area, capacity &amp; development envelope</t>
  </si>
  <si>
    <t>LiveHouse | Footprint (sqm)</t>
  </si>
  <si>
    <t>PROJECT CASH FLOW!E10</t>
  </si>
  <si>
    <t>CNI-0025</t>
  </si>
  <si>
    <t>DBI-PCF-E10</t>
  </si>
  <si>
    <t>LiveHouse | Land Area (sqm)</t>
  </si>
  <si>
    <t>PROJECT CASH FLOW!F10</t>
  </si>
  <si>
    <t>CNI-0026</t>
  </si>
  <si>
    <t>DBI-PCF-F10</t>
  </si>
  <si>
    <t>LiveHouse | Estimated GFA (sqm)</t>
  </si>
  <si>
    <t>PROJECT CASH FLOW!G10</t>
  </si>
  <si>
    <t>CNI-0027</t>
  </si>
  <si>
    <t>DBI-PCF-G10</t>
  </si>
  <si>
    <t>04.06.02  Initial construction capital cost</t>
  </si>
  <si>
    <t>Initial construction capex | FY27</t>
  </si>
  <si>
    <t>Initial construction capital cost</t>
  </si>
  <si>
    <t>LIVEHOUSE Opex and Capex!D26</t>
  </si>
  <si>
    <t>CNI-0672</t>
  </si>
  <si>
    <t>DBI-LHC-D26</t>
  </si>
  <si>
    <t>04.07  Snowtunnel</t>
  </si>
  <si>
    <t>04.07.01  Area, capacity &amp; development envelope</t>
  </si>
  <si>
    <t>Snowtunnel | Footprint (sqm)</t>
  </si>
  <si>
    <t>PROJECT CASH FLOW!E14</t>
  </si>
  <si>
    <t>CNI-0037</t>
  </si>
  <si>
    <t>DBI-PCF-E14</t>
  </si>
  <si>
    <t>Snowtunnel | Land Area (sqm)</t>
  </si>
  <si>
    <t>PROJECT CASH FLOW!F14</t>
  </si>
  <si>
    <t>CNI-0038</t>
  </si>
  <si>
    <t>DBI-PCF-F14</t>
  </si>
  <si>
    <t>Snowtunnel | Estimated GFA (sqm)</t>
  </si>
  <si>
    <t>PROJECT CASH FLOW!G14</t>
  </si>
  <si>
    <t>CNI-0039</t>
  </si>
  <si>
    <t>DBI-PCF-G14</t>
  </si>
  <si>
    <t>04.07.02  Building and specialist fit-out capital cost</t>
  </si>
  <si>
    <t>Building</t>
  </si>
  <si>
    <t>Building and specialist fit-out capital cost</t>
  </si>
  <si>
    <t>SNOWTUNNEL CAPEX OPEX!D17</t>
  </si>
  <si>
    <t>CNI-0673</t>
  </si>
  <si>
    <t>DBI-SNO-D17</t>
  </si>
  <si>
    <t>Source input D13</t>
  </si>
  <si>
    <t>SNOWTUNNEL CAPEX OPEX!D13</t>
  </si>
  <si>
    <t>CNI-0674</t>
  </si>
  <si>
    <t>DBI-SNO-D13</t>
  </si>
  <si>
    <t>Fit Out</t>
  </si>
  <si>
    <t>SNOWTUNNEL CAPEX OPEX!D18</t>
  </si>
  <si>
    <t>CNI-0675</t>
  </si>
  <si>
    <t>DBI-SNO-D18</t>
  </si>
  <si>
    <t>04.08  Landscape Attraction</t>
  </si>
  <si>
    <t>04.08.01  Area, capacity &amp; development envelope</t>
  </si>
  <si>
    <t>Landscape-Based Attraction (EST.) | Footprint (sqm)</t>
  </si>
  <si>
    <t>Landscape Attraction</t>
  </si>
  <si>
    <t>PROJECT CASH FLOW!E15</t>
  </si>
  <si>
    <t>CNI-0040</t>
  </si>
  <si>
    <t>DBI-PCF-E15</t>
  </si>
  <si>
    <t>Landscape-Based Attraction (EST.) | Land Area (sqm)</t>
  </si>
  <si>
    <t>PROJECT CASH FLOW!F15</t>
  </si>
  <si>
    <t>CNI-0041</t>
  </si>
  <si>
    <t>DBI-PCF-F15</t>
  </si>
  <si>
    <t>Landscape-Based Attraction (EST.) | Estimated GFA (sqm)</t>
  </si>
  <si>
    <t>PROJECT CASH FLOW!G15</t>
  </si>
  <si>
    <t>CNI-0042</t>
  </si>
  <si>
    <t>DBI-PCF-G15</t>
  </si>
  <si>
    <t>04.08.02  Core, shell &amp; fit-out capital cost</t>
  </si>
  <si>
    <t>Landscape-Based Attraction (EST.) | Core / Shell CAPEX (A$M)</t>
  </si>
  <si>
    <t>Core, shell &amp; fit-out capital cost</t>
  </si>
  <si>
    <t>PROJECT CASH FLOW!H15</t>
  </si>
  <si>
    <t>CNI-0043</t>
  </si>
  <si>
    <t>DBI-PCF-H15</t>
  </si>
  <si>
    <t>04.09  Storage</t>
  </si>
  <si>
    <t>04.09.01  Area, capacity &amp; development envelope</t>
  </si>
  <si>
    <t>Self-Storage Facility | Footprint (sqm)</t>
  </si>
  <si>
    <t>Storage</t>
  </si>
  <si>
    <t>PROJECT CASH FLOW!E17</t>
  </si>
  <si>
    <t>CNI-0047</t>
  </si>
  <si>
    <t>DBI-PCF-E17</t>
  </si>
  <si>
    <t>Self-Storage Facility | Land Area (sqm)</t>
  </si>
  <si>
    <t>PROJECT CASH FLOW!F17</t>
  </si>
  <si>
    <t>CNI-0048</t>
  </si>
  <si>
    <t>DBI-PCF-F17</t>
  </si>
  <si>
    <t>Self-Storage Facility | Estimated GFA (sqm)</t>
  </si>
  <si>
    <t>PROJECT CASH FLOW!G17</t>
  </si>
  <si>
    <t>CNI-0049</t>
  </si>
  <si>
    <t>DBI-PCF-G17</t>
  </si>
  <si>
    <t>04.09.02  Capital cost &amp; fit-out</t>
  </si>
  <si>
    <t>Core / Shell CAPEX | 600 m²</t>
  </si>
  <si>
    <t>Capital cost &amp; fit-out</t>
  </si>
  <si>
    <t>STORAGE OPEX CAPEX!C34</t>
  </si>
  <si>
    <t>CNI-0670</t>
  </si>
  <si>
    <t>DBI-SOC-C34</t>
  </si>
  <si>
    <t>Storage fit-out CAPEX | 600 m²</t>
  </si>
  <si>
    <t>STORAGE OPEX CAPEX!C35</t>
  </si>
  <si>
    <t>CNI-0671</t>
  </si>
  <si>
    <t>DBI-SOC-C35</t>
  </si>
  <si>
    <t>04.10  Food &amp; Beverage &amp; Retail</t>
  </si>
  <si>
    <t>04.10.01  Area, capacity &amp; development envelope</t>
  </si>
  <si>
    <t>Flexible Retail/F&amp;B (Food Truck Park with 8 stalls) | Footprint (sqm)</t>
  </si>
  <si>
    <t>Food &amp; Beverage &amp; Retail</t>
  </si>
  <si>
    <t>PROJECT CASH FLOW!E11</t>
  </si>
  <si>
    <t>CNI-0028</t>
  </si>
  <si>
    <t>DBI-PCF-E11</t>
  </si>
  <si>
    <t>Flexible Retail/F&amp;B (Food Truck Park with 8 stalls) | Land Area (sqm)</t>
  </si>
  <si>
    <t>PROJECT CASH FLOW!F11</t>
  </si>
  <si>
    <t>CNI-0029</t>
  </si>
  <si>
    <t>DBI-PCF-F11</t>
  </si>
  <si>
    <t>Flexible Retail/F&amp;B (Food Truck Park with 8 stalls) | Estimated GFA (sqm)</t>
  </si>
  <si>
    <t>PROJECT CASH FLOW!G11</t>
  </si>
  <si>
    <t>CNI-0030</t>
  </si>
  <si>
    <t>DBI-PCF-G11</t>
  </si>
  <si>
    <t>04.10.02  Permanent food-kiosk and shared-services infrastructure</t>
  </si>
  <si>
    <t>Six permanent architect-designed food kiosks, shared services, external seating | Estimate (AUD)</t>
  </si>
  <si>
    <t>Permanent food-kiosk and shared-services infrastructure</t>
  </si>
  <si>
    <t>Ancillary / site</t>
  </si>
  <si>
    <t>ANCILLIARY SVCS CAPEX &amp; OPEX!N164</t>
  </si>
  <si>
    <t>CNI-0588</t>
  </si>
  <si>
    <t>DBI-ANC-N164</t>
  </si>
  <si>
    <t>04.11  Convenience Store &amp; Laundry Hub</t>
  </si>
  <si>
    <t>18 lines / 19 rec.</t>
  </si>
  <si>
    <t>04.11.01  Area, capacity &amp; development envelope</t>
  </si>
  <si>
    <t>4 lines / 5 rec.</t>
  </si>
  <si>
    <t>Convenience Store | Footprint (sqm)</t>
  </si>
  <si>
    <t>Convenience Store &amp; Laundry Hub</t>
  </si>
  <si>
    <t>PROJECT CASH FLOW!E18</t>
  </si>
  <si>
    <t>CNI-0050</t>
  </si>
  <si>
    <t>DBI-PCF-E18</t>
  </si>
  <si>
    <t>Convenience Store | Estimated GFA (sqm)</t>
  </si>
  <si>
    <t>PROJECT CASH FLOW!G18</t>
  </si>
  <si>
    <t>CNI-0051</t>
  </si>
  <si>
    <t>DBI-PCF-G18</t>
  </si>
  <si>
    <t>Laundromat | 2000</t>
  </si>
  <si>
    <t>PROJECT CASH FLOW!E19 | PROJECT CASH FLOW!G19</t>
  </si>
  <si>
    <t>CNI-0052</t>
  </si>
  <si>
    <t>DBI-PCF-E19 | DBI-PCF-G19</t>
  </si>
  <si>
    <t>Laundromat | Land Area (sqm)</t>
  </si>
  <si>
    <t>PROJECT CASH FLOW!F19</t>
  </si>
  <si>
    <t>CNI-0053</t>
  </si>
  <si>
    <t>DBI-PCF-F19</t>
  </si>
  <si>
    <t>04.11.02  Convenience-store fit-out, lease &amp; operating basis</t>
  </si>
  <si>
    <t>Estimated CAPEX (Startup Costs) - FITOUT;</t>
  </si>
  <si>
    <t>Convenience-store fit-out, lease &amp; operating basis</t>
  </si>
  <si>
    <t>ANCILLIARY SVCS CAPEX &amp; OPEX!E13</t>
  </si>
  <si>
    <t>CNI-0589</t>
  </si>
  <si>
    <t>DBI-ANC-E13</t>
  </si>
  <si>
    <t>04.11.03  Laundry-hub capacity, fit-out &amp; opening assumptions</t>
  </si>
  <si>
    <t>13 lines / 13 rec.</t>
  </si>
  <si>
    <t>CAPEX | 60 m²</t>
  </si>
  <si>
    <t>Laundry-hub capacity, fit-out &amp; opening assumptions</t>
  </si>
  <si>
    <t>ANCILLIARY SVCS CAPEX &amp; OPEX!F95</t>
  </si>
  <si>
    <t>CNI-0590</t>
  </si>
  <si>
    <t>DBI-ANC-F95</t>
  </si>
  <si>
    <t>Laundry Equipment | Estimate (AUD)</t>
  </si>
  <si>
    <t>ANCILLIARY SVCS CAPEX &amp; OPEX!C92</t>
  </si>
  <si>
    <t>CNI-0591</t>
  </si>
  <si>
    <t>DBI-ANC-C92</t>
  </si>
  <si>
    <t>Smart Payment/App System | Estimate (AUD)</t>
  </si>
  <si>
    <t>ANCILLIARY SVCS CAPEX &amp; OPEX!C93</t>
  </si>
  <si>
    <t>CNI-0592</t>
  </si>
  <si>
    <t>DBI-ANC-C93</t>
  </si>
  <si>
    <t>Washers | 60 m²</t>
  </si>
  <si>
    <t>ANCILLIARY SVCS CAPEX &amp; OPEX!F93</t>
  </si>
  <si>
    <t>CNI-0593</t>
  </si>
  <si>
    <t>DBI-ANC-F93</t>
  </si>
  <si>
    <t>Plumbing, Electrical &amp; Hot Water | Estimate (AUD)</t>
  </si>
  <si>
    <t>ANCILLIARY SVCS CAPEX &amp; OPEX!C94</t>
  </si>
  <si>
    <t>CNI-0594</t>
  </si>
  <si>
    <t>DBI-ANC-C94</t>
  </si>
  <si>
    <t>Dryers | 60 m²</t>
  </si>
  <si>
    <t>ANCILLIARY SVCS CAPEX &amp; OPEX!F94</t>
  </si>
  <si>
    <t>CNI-0595</t>
  </si>
  <si>
    <t>DBI-ANC-F94</t>
  </si>
  <si>
    <t>Internal Fit-out | Estimate (AUD)</t>
  </si>
  <si>
    <t>ANCILLIARY SVCS CAPEX &amp; OPEX!C95</t>
  </si>
  <si>
    <t>CNI-0596</t>
  </si>
  <si>
    <t>DBI-ANC-C95</t>
  </si>
  <si>
    <t>Furniture &amp; Folding Benches | Estimate (AUD)</t>
  </si>
  <si>
    <t>ANCILLIARY SVCS CAPEX &amp; OPEX!C96</t>
  </si>
  <si>
    <t>CNI-0597</t>
  </si>
  <si>
    <t>DBI-ANC-C96</t>
  </si>
  <si>
    <t>Opening | 60 m²</t>
  </si>
  <si>
    <t>ANCILLIARY SVCS CAPEX &amp; OPEX!F96</t>
  </si>
  <si>
    <t>CNI-0598</t>
  </si>
  <si>
    <t>DBI-ANC-F96</t>
  </si>
  <si>
    <t>Vending Machines | Estimate (AUD)</t>
  </si>
  <si>
    <t>ANCILLIARY SVCS CAPEX &amp; OPEX!C97</t>
  </si>
  <si>
    <t>CNI-0599</t>
  </si>
  <si>
    <t>DBI-ANC-C97</t>
  </si>
  <si>
    <t>CCTV &amp; Security | Estimate (AUD)</t>
  </si>
  <si>
    <t>ANCILLIARY SVCS CAPEX &amp; OPEX!C98</t>
  </si>
  <si>
    <t>CNI-0600</t>
  </si>
  <si>
    <t>DBI-ANC-C98</t>
  </si>
  <si>
    <t>Signage &amp; Wayfinding | Estimate (AUD)</t>
  </si>
  <si>
    <t>ANCILLIARY SVCS CAPEX &amp; OPEX!C99</t>
  </si>
  <si>
    <t>CNI-0601</t>
  </si>
  <si>
    <t>DBI-ANC-C99</t>
  </si>
  <si>
    <t>Contingency | Estimate (AUD)</t>
  </si>
  <si>
    <t>ANCILLIARY SVCS CAPEX &amp; OPEX!C100</t>
  </si>
  <si>
    <t>CNI-0602</t>
  </si>
  <si>
    <t>DBI-ANC-C100</t>
  </si>
  <si>
    <t>04.12  Mobility Hub</t>
  </si>
  <si>
    <t>33 lines / 33 rec.</t>
  </si>
  <si>
    <t>04.12.01  Area, capacity &amp; development envelope</t>
  </si>
  <si>
    <t>Secure Bike / eBike / eScooter Storage &amp; Charging | Footprint (sqm)</t>
  </si>
  <si>
    <t>Mobility Hub</t>
  </si>
  <si>
    <t>PROJECT CASH FLOW!E16</t>
  </si>
  <si>
    <t>CNI-0044</t>
  </si>
  <si>
    <t>DBI-PCF-E16</t>
  </si>
  <si>
    <t>Secure Bike / eBike / eScooter Storage &amp; Charging | Land Area (sqm)</t>
  </si>
  <si>
    <t>PROJECT CASH FLOW!F16</t>
  </si>
  <si>
    <t>CNI-0045</t>
  </si>
  <si>
    <t>DBI-PCF-F16</t>
  </si>
  <si>
    <t>Secure Bike / eBike / eScooter Storage &amp; Charging | Estimated GFA (sqm)</t>
  </si>
  <si>
    <t>PROJECT CASH FLOW!G16</t>
  </si>
  <si>
    <t>CNI-0046</t>
  </si>
  <si>
    <t>DBI-PCF-G16</t>
  </si>
  <si>
    <t>04.12.02  Base building, electrical &amp; communications</t>
  </si>
  <si>
    <t>9 lines / 9 rec.</t>
  </si>
  <si>
    <t>Floor construction &amp; epoxy finish | Forecast Cost (AUD)</t>
  </si>
  <si>
    <t>Base building, electrical &amp; communications</t>
  </si>
  <si>
    <t>ANCILLIARY SVCS CAPEX &amp; OPEX!C135</t>
  </si>
  <si>
    <t>CNI-0603</t>
  </si>
  <si>
    <t>DBI-ANC-C135</t>
  </si>
  <si>
    <t>Building shell allocation | Forecast Cost (AUD)</t>
  </si>
  <si>
    <t>ANCILLIARY SVCS CAPEX &amp; OPEX!C136</t>
  </si>
  <si>
    <t>CNI-0604</t>
  </si>
  <si>
    <t>DBI-ANC-C136</t>
  </si>
  <si>
    <t>Security walls, glazing &amp; doors | Forecast Cost (AUD)</t>
  </si>
  <si>
    <t>ANCILLIARY SVCS CAPEX &amp; OPEX!C137</t>
  </si>
  <si>
    <t>CNI-0605</t>
  </si>
  <si>
    <t>DBI-ANC-C137</t>
  </si>
  <si>
    <t>Roof interface &amp; ceiling finishes | Forecast Cost (AUD)</t>
  </si>
  <si>
    <t>ANCILLIARY SVCS CAPEX &amp; OPEX!C138</t>
  </si>
  <si>
    <t>CNI-0606</t>
  </si>
  <si>
    <t>DBI-ANC-C138</t>
  </si>
  <si>
    <t>Fire services installation | Forecast Cost (AUD)</t>
  </si>
  <si>
    <t>ANCILLIARY SVCS CAPEX &amp; OPEX!C139</t>
  </si>
  <si>
    <t>CNI-0607</t>
  </si>
  <si>
    <t>DBI-ANC-C139</t>
  </si>
  <si>
    <t>Dedicated electrical sub-switchboard | Forecast Cost (AUD)</t>
  </si>
  <si>
    <t>ANCILLIARY SVCS CAPEX &amp; OPEX!C140</t>
  </si>
  <si>
    <t>CNI-0608</t>
  </si>
  <si>
    <t>DBI-ANC-C140</t>
  </si>
  <si>
    <t>Electrical distribution &amp; cabling | Forecast Cost (AUD)</t>
  </si>
  <si>
    <t>ANCILLIARY SVCS CAPEX &amp; OPEX!C141</t>
  </si>
  <si>
    <t>CNI-0609</t>
  </si>
  <si>
    <t>DBI-ANC-C141</t>
  </si>
  <si>
    <t>LED &amp; emergency lighting | Forecast Cost (AUD)</t>
  </si>
  <si>
    <t>ANCILLIARY SVCS CAPEX &amp; OPEX!C142</t>
  </si>
  <si>
    <t>CNI-0610</t>
  </si>
  <si>
    <t>DBI-ANC-C142</t>
  </si>
  <si>
    <t>Communications cabinet &amp; data backbone | Forecast Cost (AUD)</t>
  </si>
  <si>
    <t>ANCILLIARY SVCS CAPEX &amp; OPEX!C143</t>
  </si>
  <si>
    <t>CNI-0611</t>
  </si>
  <si>
    <t>DBI-ANC-C143</t>
  </si>
  <si>
    <t>04.12.03  Charging, storage, security &amp; operational fit-out</t>
  </si>
  <si>
    <t>Premium bicycle racks (24 spaces) | Forecast Cost (AUD)</t>
  </si>
  <si>
    <t>Charging, storage, security &amp; operational fit-out</t>
  </si>
  <si>
    <t>ANCILLIARY SVCS CAPEX &amp; OPEX!C147</t>
  </si>
  <si>
    <t>CNI-0612</t>
  </si>
  <si>
    <t>DBI-ANC-C147</t>
  </si>
  <si>
    <t>eBike charging stations (8) | Forecast Cost (AUD)</t>
  </si>
  <si>
    <t>ANCILLIARY SVCS CAPEX &amp; OPEX!C148</t>
  </si>
  <si>
    <t>CNI-0613</t>
  </si>
  <si>
    <t>DBI-ANC-C148</t>
  </si>
  <si>
    <t>eScooter charging stations (8)</t>
  </si>
  <si>
    <t>ANCILLIARY SVCS CAPEX &amp; OPEX!C149</t>
  </si>
  <si>
    <t>CNI-0614</t>
  </si>
  <si>
    <t>DBI-ANC-C149</t>
  </si>
  <si>
    <t>Secure lockers</t>
  </si>
  <si>
    <t>ANCILLIARY SVCS CAPEX &amp; OPEX!C150</t>
  </si>
  <si>
    <t>CNI-0615</t>
  </si>
  <si>
    <t>DBI-ANC-C150</t>
  </si>
  <si>
    <t>Bicycle repair station</t>
  </si>
  <si>
    <t>ANCILLIARY SVCS CAPEX &amp; OPEX!C151</t>
  </si>
  <si>
    <t>CNI-0616</t>
  </si>
  <si>
    <t>DBI-ANC-C151</t>
  </si>
  <si>
    <t>Smart access control system</t>
  </si>
  <si>
    <t>ANCILLIARY SVCS CAPEX &amp; OPEX!C153</t>
  </si>
  <si>
    <t>CNI-0620</t>
  </si>
  <si>
    <t>DBI-ANC-C153</t>
  </si>
  <si>
    <t>CCTV system</t>
  </si>
  <si>
    <t>ANCILLIARY SVCS CAPEX &amp; OPEX!C154</t>
  </si>
  <si>
    <t>CNI-0623</t>
  </si>
  <si>
    <t>DBI-ANC-C154</t>
  </si>
  <si>
    <t>Emergency intercom &amp; duress point</t>
  </si>
  <si>
    <t>ANCILLIARY SVCS CAPEX &amp; OPEX!C155</t>
  </si>
  <si>
    <t>CNI-0626</t>
  </si>
  <si>
    <t>DBI-ANC-C155</t>
  </si>
  <si>
    <t>Charging management software</t>
  </si>
  <si>
    <t>ANCILLIARY SVCS CAPEX &amp; OPEX!C156</t>
  </si>
  <si>
    <t>CNI-0629</t>
  </si>
  <si>
    <t>DBI-ANC-C156</t>
  </si>
  <si>
    <t>Wayfinding &amp; signage</t>
  </si>
  <si>
    <t>ANCILLIARY SVCS CAPEX &amp; OPEX!C158</t>
  </si>
  <si>
    <t>CNI-0634</t>
  </si>
  <si>
    <t>DBI-ANC-C158</t>
  </si>
  <si>
    <t>Air compressor / inflation station</t>
  </si>
  <si>
    <t>ANCILLIARY SVCS CAPEX &amp; OPEX!C152</t>
  </si>
  <si>
    <t>CNI-0666</t>
  </si>
  <si>
    <t>DBI-ANC-C152</t>
  </si>
  <si>
    <t>Membership &amp; access software integration</t>
  </si>
  <si>
    <t>ANCILLIARY SVCS CAPEX &amp; OPEX!C157</t>
  </si>
  <si>
    <t>CNI-0668</t>
  </si>
  <si>
    <t>DBI-ANC-C157</t>
  </si>
  <si>
    <t>04.12.04  Design, approvals, commissioning &amp; project management</t>
  </si>
  <si>
    <t>Design &amp; documentation</t>
  </si>
  <si>
    <t>Design, approvals, commissioning &amp; project management</t>
  </si>
  <si>
    <t>ANCILLIARY SVCS CAPEX &amp; OPEX!C162</t>
  </si>
  <si>
    <t>CNI-0641</t>
  </si>
  <si>
    <t>DBI-ANC-C162</t>
  </si>
  <si>
    <t>Project management</t>
  </si>
  <si>
    <t>ANCILLIARY SVCS CAPEX &amp; OPEX!C163</t>
  </si>
  <si>
    <t>CNI-0644</t>
  </si>
  <si>
    <t>DBI-ANC-C163</t>
  </si>
  <si>
    <t>Testing &amp; commissioning</t>
  </si>
  <si>
    <t>ANCILLIARY SVCS CAPEX &amp; OPEX!C164</t>
  </si>
  <si>
    <t>CNI-0647</t>
  </si>
  <si>
    <t>DBI-ANC-C164</t>
  </si>
  <si>
    <t>Authority approvals &amp; certification</t>
  </si>
  <si>
    <t>ANCILLIARY SVCS CAPEX &amp; OPEX!C165</t>
  </si>
  <si>
    <t>CNI-0649</t>
  </si>
  <si>
    <t>DBI-ANC-C165</t>
  </si>
  <si>
    <t>04.12.05  Contingency &amp; capital-cost summary</t>
  </si>
  <si>
    <t>Contingency (10%)</t>
  </si>
  <si>
    <t>Contingency &amp; capital-cost summary</t>
  </si>
  <si>
    <t>ANCILLIARY SVCS CAPEX &amp; OPEX!C168</t>
  </si>
  <si>
    <t>CNI-0651</t>
  </si>
  <si>
    <t>DBI-ANC-C168</t>
  </si>
  <si>
    <t>Base Building Allocation | AUD</t>
  </si>
  <si>
    <t>ANCILLIARY SVCS CAPEX &amp; OPEX!C171</t>
  </si>
  <si>
    <t>CNI-0652</t>
  </si>
  <si>
    <t>DBI-ANC-C171</t>
  </si>
  <si>
    <t>Operational Fit-out | AUD</t>
  </si>
  <si>
    <t>ANCILLIARY SVCS CAPEX &amp; OPEX!C172</t>
  </si>
  <si>
    <t>CNI-0653</t>
  </si>
  <si>
    <t>DBI-ANC-C172</t>
  </si>
  <si>
    <t>Professional Services | AUD</t>
  </si>
  <si>
    <t>ANCILLIARY SVCS CAPEX &amp; OPEX!C173</t>
  </si>
  <si>
    <t>CNI-0654</t>
  </si>
  <si>
    <t>DBI-ANC-C173</t>
  </si>
  <si>
    <t>Contingency | AUD</t>
  </si>
  <si>
    <t>ANCILLIARY SVCS CAPEX &amp; OPEX!C174</t>
  </si>
  <si>
    <t>CNI-0655</t>
  </si>
  <si>
    <t>DBI-ANC-C174</t>
  </si>
  <si>
    <t>04.13  Precinct Public Realm</t>
  </si>
  <si>
    <t>50 lines / 50 rec.</t>
  </si>
  <si>
    <t>04.13.01  Area, capacity &amp; development envelope</t>
  </si>
  <si>
    <t>Cycle Paths, Pedestrian Paths and Road Access | 2000</t>
  </si>
  <si>
    <t>Precinct Public Realm</t>
  </si>
  <si>
    <t>PROJECT CASH FLOW!E20</t>
  </si>
  <si>
    <t>CNI-0054</t>
  </si>
  <si>
    <t>DBI-PCF-E20</t>
  </si>
  <si>
    <t>Cycle Paths, Pedestrian Paths and Road Access | Land Area (sqm)</t>
  </si>
  <si>
    <t>PROJECT CASH FLOW!F20</t>
  </si>
  <si>
    <t>CNI-0055</t>
  </si>
  <si>
    <t>DBI-PCF-F20</t>
  </si>
  <si>
    <t>Water Treatment Plant | 2000</t>
  </si>
  <si>
    <t>PROJECT CASH FLOW!E21</t>
  </si>
  <si>
    <t>CNI-0057</t>
  </si>
  <si>
    <t>DBI-PCF-E21</t>
  </si>
  <si>
    <t>Water Treatment Plant</t>
  </si>
  <si>
    <t>PROJECT CASH FLOW!F21</t>
  </si>
  <si>
    <t>CNI-0058</t>
  </si>
  <si>
    <t>DBI-PCF-F21</t>
  </si>
  <si>
    <t>Water Retention, Filtration and Reticulation Systems | 2000</t>
  </si>
  <si>
    <t>PROJECT CASH FLOW!E22</t>
  </si>
  <si>
    <t>CNI-0060</t>
  </si>
  <si>
    <t>DBI-PCF-E22</t>
  </si>
  <si>
    <t>Water Retention, Filtration and Reticulation Systems</t>
  </si>
  <si>
    <t>PROJECT CASH FLOW!F22</t>
  </si>
  <si>
    <t>CNI-0061</t>
  </si>
  <si>
    <t>DBI-PCF-F22</t>
  </si>
  <si>
    <t>PROJECT CASH FLOW!G22</t>
  </si>
  <si>
    <t>CNI-0062</t>
  </si>
  <si>
    <t>DBI-PCF-G22</t>
  </si>
  <si>
    <t>Solar Generation, Battery Storage and Control Systems | 2000</t>
  </si>
  <si>
    <t>PROJECT CASH FLOW!E23</t>
  </si>
  <si>
    <t>CNI-0064</t>
  </si>
  <si>
    <t>DBI-PCF-E23</t>
  </si>
  <si>
    <t>Solar Generation, Battery Storage and Control Systems</t>
  </si>
  <si>
    <t>PROJECT CASH FLOW!F23</t>
  </si>
  <si>
    <t>CNI-0065</t>
  </si>
  <si>
    <t>DBI-PCF-F23</t>
  </si>
  <si>
    <t>Landscape - The Bend Common | 2000</t>
  </si>
  <si>
    <t>PROJECT CASH FLOW!E24</t>
  </si>
  <si>
    <t>CNI-0067</t>
  </si>
  <si>
    <t>DBI-PCF-E24</t>
  </si>
  <si>
    <t>04.13.02  Core, shell &amp; fit-out capital cost</t>
  </si>
  <si>
    <t>Cycle Paths, Pedestrian Paths and Road Access | Core / Shell CAPEX (A$M)</t>
  </si>
  <si>
    <t>PROJECT CASH FLOW!H20</t>
  </si>
  <si>
    <t>CNI-0056</t>
  </si>
  <si>
    <t>DBI-PCF-H20</t>
  </si>
  <si>
    <t>PROJECT CASH FLOW!H21</t>
  </si>
  <si>
    <t>CNI-0059</t>
  </si>
  <si>
    <t>DBI-PCF-H21</t>
  </si>
  <si>
    <t>PROJECT CASH FLOW!H22</t>
  </si>
  <si>
    <t>CNI-0063</t>
  </si>
  <si>
    <t>DBI-PCF-H22</t>
  </si>
  <si>
    <t>PROJECT CASH FLOW!H23</t>
  </si>
  <si>
    <t>CNI-0066</t>
  </si>
  <si>
    <t>DBI-PCF-H23</t>
  </si>
  <si>
    <t>04.13.03  Site, civil, drainage &amp; environmental protection</t>
  </si>
  <si>
    <t>Commercial repair stand | No.</t>
  </si>
  <si>
    <t>Site, civil, drainage &amp; environmental protection</t>
  </si>
  <si>
    <t>ANCILLIARY SVCS CAPEX &amp; OPEX!K151</t>
  </si>
  <si>
    <t>CNI-0617</t>
  </si>
  <si>
    <t>DBI-ANC-K151</t>
  </si>
  <si>
    <t>Bulk earthworks, grading, engineered fill, subgrade preparation | Estimate (AUD)</t>
  </si>
  <si>
    <t>ANCILLIARY SVCS CAPEX &amp; OPEX!N151</t>
  </si>
  <si>
    <t>CNI-0618</t>
  </si>
  <si>
    <t>DBI-ANC-N151</t>
  </si>
  <si>
    <t>Public use | No.</t>
  </si>
  <si>
    <t>ANCILLIARY SVCS CAPEX &amp; OPEX!K152</t>
  </si>
  <si>
    <t>CNI-0619</t>
  </si>
  <si>
    <t>DBI-ANC-K152</t>
  </si>
  <si>
    <t>Card/app entry | No.</t>
  </si>
  <si>
    <t>ANCILLIARY SVCS CAPEX &amp; OPEX!K153</t>
  </si>
  <si>
    <t>CNI-0621</t>
  </si>
  <si>
    <t>DBI-ANC-K153</t>
  </si>
  <si>
    <t>Vapour membrane, vapour dispersal system, membrane protection, permanent groundwater systems | Estimate (AUD)</t>
  </si>
  <si>
    <t>ANCILLIARY SVCS CAPEX &amp; OPEX!N153</t>
  </si>
  <si>
    <t>CNI-0622</t>
  </si>
  <si>
    <t>DBI-ANC-N153</t>
  </si>
  <si>
    <t>Cameras, NVR and monitoring hardware | No.</t>
  </si>
  <si>
    <t>ANCILLIARY SVCS CAPEX &amp; OPEX!K154</t>
  </si>
  <si>
    <t>CNI-0624</t>
  </si>
  <si>
    <t>DBI-ANC-K154</t>
  </si>
  <si>
    <t>Bio-retention swales, detention basins, rain gardens, integrated seating earthworks | Estimate (AUD)</t>
  </si>
  <si>
    <t>ANCILLIARY SVCS CAPEX &amp; OPEX!N154</t>
  </si>
  <si>
    <t>CNI-0625</t>
  </si>
  <si>
    <t>DBI-ANC-N154</t>
  </si>
  <si>
    <t>Stormwater, pits, pipes, utility connections, service relocations | Estimate (AUD)</t>
  </si>
  <si>
    <t>ANCILLIARY SVCS CAPEX &amp; OPEX!N152</t>
  </si>
  <si>
    <t>CNI-0667</t>
  </si>
  <si>
    <t>DBI-ANC-N152</t>
  </si>
  <si>
    <t>04.13.04  Landscape, public realm, water &amp; gathering spaces</t>
  </si>
  <si>
    <t>Linked to precinct security | No.</t>
  </si>
  <si>
    <t>Landscape, public realm, water &amp; gathering spaces</t>
  </si>
  <si>
    <t>ANCILLIARY SVCS CAPEX &amp; OPEX!K155</t>
  </si>
  <si>
    <t>CNI-0627</t>
  </si>
  <si>
    <t>DBI-ANC-K155</t>
  </si>
  <si>
    <t>Premium paving, kerbs, retaining walls, feature stonework, stairs and pathways | Estimate (AUD)</t>
  </si>
  <si>
    <t>ANCILLIARY SVCS CAPEX &amp; OPEX!N155</t>
  </si>
  <si>
    <t>CNI-0628</t>
  </si>
  <si>
    <t>DBI-ANC-N155</t>
  </si>
  <si>
    <t>Load management and billing | No.</t>
  </si>
  <si>
    <t>ANCILLIARY SVCS CAPEX &amp; OPEX!K156</t>
  </si>
  <si>
    <t>CNI-0630</t>
  </si>
  <si>
    <t>DBI-ANC-K156</t>
  </si>
  <si>
    <t>Mature trees, lawns, planting, irrigation, soil conditioning | Estimate (AUD)</t>
  </si>
  <si>
    <t>ANCILLIARY SVCS CAPEX &amp; OPEX!N156</t>
  </si>
  <si>
    <t>CNI-0631</t>
  </si>
  <si>
    <t>DBI-ANC-N156</t>
  </si>
  <si>
    <t>Integrated with precinct systems | No.</t>
  </si>
  <si>
    <t>ANCILLIARY SVCS CAPEX &amp; OPEX!K157</t>
  </si>
  <si>
    <t>CNI-0632</t>
  </si>
  <si>
    <t>DBI-ANC-K157</t>
  </si>
  <si>
    <t>Fountain, filtration, pumps, controls, lighting | Estimate (AUD)</t>
  </si>
  <si>
    <t>ANCILLIARY SVCS CAPEX &amp; OPEX!N157</t>
  </si>
  <si>
    <t>CNI-0633</t>
  </si>
  <si>
    <t>DBI-ANC-N157</t>
  </si>
  <si>
    <t>Internal and external signage | No.</t>
  </si>
  <si>
    <t>ANCILLIARY SVCS CAPEX &amp; OPEX!K158</t>
  </si>
  <si>
    <t>CNI-0635</t>
  </si>
  <si>
    <t>DBI-ANC-K158</t>
  </si>
  <si>
    <t>Premium paving, intimate landscaping, feature lighting, plaza works | Estimate (AUD)</t>
  </si>
  <si>
    <t>ANCILLIARY SVCS CAPEX &amp; OPEX!N158</t>
  </si>
  <si>
    <t>CNI-0636</t>
  </si>
  <si>
    <t>DBI-ANC-N158</t>
  </si>
  <si>
    <t>04.13.05  Culture, furniture, lighting, events &amp; public amenities</t>
  </si>
  <si>
    <t>11 lines / 11 rec.</t>
  </si>
  <si>
    <t>Source input K160 | No.</t>
  </si>
  <si>
    <t>Culture, furniture, lighting, events &amp; public amenities</t>
  </si>
  <si>
    <t>ANCILLIARY SVCS CAPEX &amp; OPEX!K160</t>
  </si>
  <si>
    <t>CNI-0637</t>
  </si>
  <si>
    <t>DBI-ANC-K160</t>
  </si>
  <si>
    <t>Commissioned sculptures, murals, interpretive elements, cultural landscape features | Estimate (AUD)</t>
  </si>
  <si>
    <t>ANCILLIARY SVCS CAPEX &amp; OPEX!N160</t>
  </si>
  <si>
    <t>CNI-0638</t>
  </si>
  <si>
    <t>DBI-ANC-N160</t>
  </si>
  <si>
    <t>Professional Services | No.</t>
  </si>
  <si>
    <t>ANCILLIARY SVCS CAPEX &amp; OPEX!K161</t>
  </si>
  <si>
    <t>CNI-0639</t>
  </si>
  <si>
    <t>DBI-ANC-K161</t>
  </si>
  <si>
    <t>Benches, bins, bike racks, drinking fountains, signage, bollards | Estimate (AUD)</t>
  </si>
  <si>
    <t>ANCILLIARY SVCS CAPEX &amp; OPEX!N161</t>
  </si>
  <si>
    <t>CNI-0640</t>
  </si>
  <si>
    <t>DBI-ANC-N161</t>
  </si>
  <si>
    <t>Design &amp; documentation | No.</t>
  </si>
  <si>
    <t>ANCILLIARY SVCS CAPEX &amp; OPEX!K162</t>
  </si>
  <si>
    <t>CNI-0642</t>
  </si>
  <si>
    <t>DBI-ANC-K162</t>
  </si>
  <si>
    <t>Feature lighting, pathway lighting, tree uplighting, event lighting | Estimate (AUD)</t>
  </si>
  <si>
    <t>ANCILLIARY SVCS CAPEX &amp; OPEX!N162</t>
  </si>
  <si>
    <t>CNI-0643</t>
  </si>
  <si>
    <t>DBI-ANC-N162</t>
  </si>
  <si>
    <t>Project management | No.</t>
  </si>
  <si>
    <t>ANCILLIARY SVCS CAPEX &amp; OPEX!K163</t>
  </si>
  <si>
    <t>CNI-0645</t>
  </si>
  <si>
    <t>DBI-ANC-K163</t>
  </si>
  <si>
    <t>Underground power, water, communications, Wi-Fi, AV and stage connections | Estimate (AUD)</t>
  </si>
  <si>
    <t>ANCILLIARY SVCS CAPEX &amp; OPEX!N163</t>
  </si>
  <si>
    <t>CNI-0646</t>
  </si>
  <si>
    <t>DBI-ANC-N163</t>
  </si>
  <si>
    <t>Testing &amp; commissioning | No.</t>
  </si>
  <si>
    <t>ANCILLIARY SVCS CAPEX &amp; OPEX!K164</t>
  </si>
  <si>
    <t>CNI-0648</t>
  </si>
  <si>
    <t>DBI-ANC-K164</t>
  </si>
  <si>
    <t>Authority approvals &amp; certification | No.</t>
  </si>
  <si>
    <t>ANCILLIARY SVCS CAPEX &amp; OPEX!K165</t>
  </si>
  <si>
    <t>CNI-0650</t>
  </si>
  <si>
    <t>DBI-ANC-K165</t>
  </si>
  <si>
    <t>Public toilets, parent room, cleaners' store, plant room | Estimate (AUD)</t>
  </si>
  <si>
    <t>ANCILLIARY SVCS CAPEX &amp; OPEX!N165</t>
  </si>
  <si>
    <t>CNI-0669</t>
  </si>
  <si>
    <t>DBI-ANC-N165</t>
  </si>
  <si>
    <t>04.13.06  Active transport, ecology &amp; public-realm enhancement</t>
  </si>
  <si>
    <t>Site preparation &amp; selective clearing | Budget (AUD)</t>
  </si>
  <si>
    <t>Active transport, ecology &amp; public-realm enhancement</t>
  </si>
  <si>
    <t>ANCILLIARY SVCS CAPEX &amp; OPEX!C210</t>
  </si>
  <si>
    <t>CNI-0656</t>
  </si>
  <si>
    <t>DBI-ANC-C210</t>
  </si>
  <si>
    <t>Shared pedestrian &amp; cycle paths | Budget (AUD)</t>
  </si>
  <si>
    <t>ANCILLIARY SVCS CAPEX &amp; OPEX!C211</t>
  </si>
  <si>
    <t>CNI-0657</t>
  </si>
  <si>
    <t>DBI-ANC-C211</t>
  </si>
  <si>
    <t>Jogging circuit &amp; exercise nodes | Budget (AUD)</t>
  </si>
  <si>
    <t>ANCILLIARY SVCS CAPEX &amp; OPEX!C212</t>
  </si>
  <si>
    <t>CNI-0658</t>
  </si>
  <si>
    <t>DBI-ANC-C212</t>
  </si>
  <si>
    <t>Swales &amp; WSUD infrastructure | Budget (AUD)</t>
  </si>
  <si>
    <t>ANCILLIARY SVCS CAPEX &amp; OPEX!C213</t>
  </si>
  <si>
    <t>CNI-0659</t>
  </si>
  <si>
    <t>DBI-ANC-C213</t>
  </si>
  <si>
    <t>Native tree, shrub &amp; grass planting | Budget (AUD)</t>
  </si>
  <si>
    <t>ANCILLIARY SVCS CAPEX &amp; OPEX!C214</t>
  </si>
  <si>
    <t>CNI-0660</t>
  </si>
  <si>
    <t>DBI-ANC-C214</t>
  </si>
  <si>
    <t>Irrigation &amp; establishment | Budget (AUD)</t>
  </si>
  <si>
    <t>ANCILLIARY SVCS CAPEX &amp; OPEX!C215</t>
  </si>
  <si>
    <t>CNI-0661</t>
  </si>
  <si>
    <t>DBI-ANC-C215</t>
  </si>
  <si>
    <t>Lighting, seating &amp; wayfinding | Budget (AUD)</t>
  </si>
  <si>
    <t>ANCILLIARY SVCS CAPEX &amp; OPEX!C216</t>
  </si>
  <si>
    <t>CNI-0662</t>
  </si>
  <si>
    <t>DBI-ANC-C216</t>
  </si>
  <si>
    <t>Cultural interpretation &amp; public art allowance | Budget (AUD)</t>
  </si>
  <si>
    <t>ANCILLIARY SVCS CAPEX &amp; OPEX!C217</t>
  </si>
  <si>
    <t>CNI-0663</t>
  </si>
  <si>
    <t>DBI-ANC-C217</t>
  </si>
  <si>
    <t>Contingency | Budget (AUD)</t>
  </si>
  <si>
    <t>ANCILLIARY SVCS CAPEX &amp; OPEX!C218</t>
  </si>
  <si>
    <t>CNI-0664</t>
  </si>
  <si>
    <t>DBI-ANC-C218</t>
  </si>
  <si>
    <t>05  FUNDING &amp; EQUITY</t>
  </si>
  <si>
    <t>8 lines / 8 records</t>
  </si>
  <si>
    <t>05.01  Precinct &amp; Corporate</t>
  </si>
  <si>
    <t>05.01.01  Grants &amp; net development investment</t>
  </si>
  <si>
    <t>ARENA Grant (Solar &amp; Thermal Systems grant Renewable Energy)</t>
  </si>
  <si>
    <t>Funding &amp; Equity</t>
  </si>
  <si>
    <t>Grants &amp; net development investment</t>
  </si>
  <si>
    <t>PROJECT CASH FLOW!H39</t>
  </si>
  <si>
    <t>designated blue input; referenced by 2 formula(s); raw source value retained without external link</t>
  </si>
  <si>
    <t>CNI-0116</t>
  </si>
  <si>
    <t>DBI-PCF-H39</t>
  </si>
  <si>
    <t>Company / ProjectCo finance input</t>
  </si>
  <si>
    <t>05.01.02  Equity commitments &amp; residual funding gap</t>
  </si>
  <si>
    <t>Mayabay</t>
  </si>
  <si>
    <t>Equity commitments &amp; residual funding gap</t>
  </si>
  <si>
    <t>PROJECT CASH FLOW!E103</t>
  </si>
  <si>
    <t>referenced by 2 formula(s); raw source value retained without external link</t>
  </si>
  <si>
    <t>CNI-0117</t>
  </si>
  <si>
    <t>DBI-PCF-E103</t>
  </si>
  <si>
    <t>INVESTOR FUNDING</t>
  </si>
  <si>
    <t>PROJECT CASH FLOW!E104</t>
  </si>
  <si>
    <t>CNI-0118</t>
  </si>
  <si>
    <t>DBI-PCF-E104</t>
  </si>
  <si>
    <t>PROJECT CASH FLOW!E105</t>
  </si>
  <si>
    <t>CNI-0119</t>
  </si>
  <si>
    <t>DBI-PCF-E105</t>
  </si>
  <si>
    <t>PROJECT CASH FLOW!E106</t>
  </si>
  <si>
    <t>CNI-0120</t>
  </si>
  <si>
    <t>DBI-PCF-E106</t>
  </si>
  <si>
    <t>PROJECT CASH FLOW!E107</t>
  </si>
  <si>
    <t>CNI-0121</t>
  </si>
  <si>
    <t>DBI-PCF-E107</t>
  </si>
  <si>
    <t>PROJECT CASH FLOW!E108</t>
  </si>
  <si>
    <t>CNI-0122</t>
  </si>
  <si>
    <t>DBI-PCF-E108</t>
  </si>
  <si>
    <t>PROJECT CASH FLOW!E109</t>
  </si>
  <si>
    <t>CNI-0123</t>
  </si>
  <si>
    <t>DBI-PCF-E109</t>
  </si>
  <si>
    <t>06  DEBT &amp; TAX</t>
  </si>
  <si>
    <t>33 lines / 33 records</t>
  </si>
  <si>
    <t>06.01  Precinct &amp; Corporate</t>
  </si>
  <si>
    <t>29 lines / 29 rec.</t>
  </si>
  <si>
    <t>06.01.01  Debt scenarios</t>
  </si>
  <si>
    <t>Interest Rate | Base</t>
  </si>
  <si>
    <t>Debt scenarios</t>
  </si>
  <si>
    <t>MODEL DESIGN!D186</t>
  </si>
  <si>
    <t>CNI-0124</t>
  </si>
  <si>
    <t>DBI-MD-D186</t>
  </si>
  <si>
    <t>Interest Rate | Downside</t>
  </si>
  <si>
    <t>MODEL DESIGN!E186</t>
  </si>
  <si>
    <t>CNI-0125</t>
  </si>
  <si>
    <t>DBI-MD-E186</t>
  </si>
  <si>
    <t>Interest Rate | Upside</t>
  </si>
  <si>
    <t>MODEL DESIGN!F186</t>
  </si>
  <si>
    <t>CNI-0126</t>
  </si>
  <si>
    <t>DBI-MD-F186</t>
  </si>
  <si>
    <t>Senior debt interest rate | Conservative</t>
  </si>
  <si>
    <t>ASSUMPTIONS!B10</t>
  </si>
  <si>
    <t>CNI-0127</t>
  </si>
  <si>
    <t>DBI-ASM-B10</t>
  </si>
  <si>
    <t>Senior debt interest rate | Base Case</t>
  </si>
  <si>
    <t>ASSUMPTIONS!C10</t>
  </si>
  <si>
    <t>CNI-0128</t>
  </si>
  <si>
    <t>DBI-ASM-C10</t>
  </si>
  <si>
    <t>Senior debt interest rate | Optimised</t>
  </si>
  <si>
    <t>ASSUMPTIONS!D10</t>
  </si>
  <si>
    <t>CNI-0129</t>
  </si>
  <si>
    <t>DBI-ASM-D10</t>
  </si>
  <si>
    <t>06.01.02  Facility terms</t>
  </si>
  <si>
    <t>Interest Rate | 209.00m</t>
  </si>
  <si>
    <t>Facility terms</t>
  </si>
  <si>
    <t>MODEL DESIGN!D35</t>
  </si>
  <si>
    <t>CNI-0130</t>
  </si>
  <si>
    <t>DBI-MD-D35</t>
  </si>
  <si>
    <t>DEBT STRUCTURE</t>
  </si>
  <si>
    <t>Loan Type | 209.00m</t>
  </si>
  <si>
    <t>MODEL DESIGN!D36</t>
  </si>
  <si>
    <t>CNI-0131</t>
  </si>
  <si>
    <t>DBI-MD-D36</t>
  </si>
  <si>
    <t>Loan Term | Interest Only</t>
  </si>
  <si>
    <t>10 Years</t>
  </si>
  <si>
    <t>MODEL DESIGN!D37</t>
  </si>
  <si>
    <t>CNI-0132</t>
  </si>
  <si>
    <t>DBI-MD-D37</t>
  </si>
  <si>
    <t>Capitalised IDC | 10 Years</t>
  </si>
  <si>
    <t>MODEL DESIGN!D38</t>
  </si>
  <si>
    <t>CNI-0133</t>
  </si>
  <si>
    <t>DBI-MD-D38</t>
  </si>
  <si>
    <t>Repayment | During Construction</t>
  </si>
  <si>
    <t>Bullet at Exit</t>
  </si>
  <si>
    <t>MODEL DESIGN!D39</t>
  </si>
  <si>
    <t>CNI-0134</t>
  </si>
  <si>
    <t>DBI-MD-D39</t>
  </si>
  <si>
    <t>06.01.03  Repayment assumptions</t>
  </si>
  <si>
    <t>LiveHouse principal repayment | Conservative</t>
  </si>
  <si>
    <t>Repayment assumptions</t>
  </si>
  <si>
    <t>ASSUMPTIONS!B18</t>
  </si>
  <si>
    <t>designated blue input; referenced by 66 formula(s); detailed-schedule hardcode; raw source value retained without external link</t>
  </si>
  <si>
    <t>CNI-0135</t>
  </si>
  <si>
    <t>DBI-ASM-B18</t>
  </si>
  <si>
    <t>Repayment timing (operating year) | Conservative</t>
  </si>
  <si>
    <t>ASSUMPTIONS!B19</t>
  </si>
  <si>
    <t>CNI-0136</t>
  </si>
  <si>
    <t>DBI-ASM-B19</t>
  </si>
  <si>
    <t>06.01.04  Depreciation assumptions</t>
  </si>
  <si>
    <t>Annual depreciation</t>
  </si>
  <si>
    <t>Tax</t>
  </si>
  <si>
    <t>Depreciation assumptions</t>
  </si>
  <si>
    <t>ASSUMPTIONS!B26</t>
  </si>
  <si>
    <t>designated blue input; referenced by 44 formula(s); detailed-schedule hardcode; raw source value retained without external link</t>
  </si>
  <si>
    <t>CNI-0137</t>
  </si>
  <si>
    <t>DBI-ASM-B26</t>
  </si>
  <si>
    <t>06.01.05  Depreciation lives</t>
  </si>
  <si>
    <t>Buildings | Life</t>
  </si>
  <si>
    <t>20 Years</t>
  </si>
  <si>
    <t>Depreciation lives</t>
  </si>
  <si>
    <t>MODEL DESIGN!D59</t>
  </si>
  <si>
    <t>CNI-0138</t>
  </si>
  <si>
    <t>DBI-MD-D59</t>
  </si>
  <si>
    <t>DEPRECIATION LIVES</t>
  </si>
  <si>
    <t>Mechanical &amp; Electrical | 20 Years</t>
  </si>
  <si>
    <t>MODEL DESIGN!D60</t>
  </si>
  <si>
    <t>CNI-0139</t>
  </si>
  <si>
    <t>DBI-MD-D60</t>
  </si>
  <si>
    <t>Internal Fitout | 10 Years</t>
  </si>
  <si>
    <t>5 Years</t>
  </si>
  <si>
    <t>MODEL DESIGN!D61</t>
  </si>
  <si>
    <t>CNI-0140</t>
  </si>
  <si>
    <t>DBI-MD-D61</t>
  </si>
  <si>
    <t>Solar Systems | 5 Years</t>
  </si>
  <si>
    <t>MODEL DESIGN!D62</t>
  </si>
  <si>
    <t>CNI-0141</t>
  </si>
  <si>
    <t>DBI-MD-D62</t>
  </si>
  <si>
    <t>Battery Storage | 20 Years</t>
  </si>
  <si>
    <t>MODEL DESIGN!D63</t>
  </si>
  <si>
    <t>CNI-0142</t>
  </si>
  <si>
    <t>DBI-MD-D63</t>
  </si>
  <si>
    <t>Carpark Structures | 10 Years</t>
  </si>
  <si>
    <t>25 Years</t>
  </si>
  <si>
    <t>MODEL DESIGN!D64</t>
  </si>
  <si>
    <t>CNI-0143</t>
  </si>
  <si>
    <t>DBI-MD-D64</t>
  </si>
  <si>
    <t>Roads &amp; Civil | 25 Years</t>
  </si>
  <si>
    <t>30 Years</t>
  </si>
  <si>
    <t>MODEL DESIGN!D65</t>
  </si>
  <si>
    <t>CNI-0144</t>
  </si>
  <si>
    <t>DBI-MD-D65</t>
  </si>
  <si>
    <t>Landscape | 30 Years</t>
  </si>
  <si>
    <t>MODEL DESIGN!D66</t>
  </si>
  <si>
    <t>CNI-0145</t>
  </si>
  <si>
    <t>DBI-MD-D66</t>
  </si>
  <si>
    <t>06.01.06  Income tax scenarios</t>
  </si>
  <si>
    <t>Income tax rate | Conservative</t>
  </si>
  <si>
    <t>Income tax scenarios</t>
  </si>
  <si>
    <t>ASSUMPTIONS!B12</t>
  </si>
  <si>
    <t>CNI-0146</t>
  </si>
  <si>
    <t>DBI-ASM-B12</t>
  </si>
  <si>
    <t>Income tax rate | Base Case</t>
  </si>
  <si>
    <t>ASSUMPTIONS!C12</t>
  </si>
  <si>
    <t>CNI-0147</t>
  </si>
  <si>
    <t>DBI-ASM-C12</t>
  </si>
  <si>
    <t>Income tax rate | Optimised</t>
  </si>
  <si>
    <t>ASSUMPTIONS!D12</t>
  </si>
  <si>
    <t>CNI-0148</t>
  </si>
  <si>
    <t>DBI-ASM-D12</t>
  </si>
  <si>
    <t>06.01.07  Tax and transaction treatment</t>
  </si>
  <si>
    <t>Corporate Tax | Rate</t>
  </si>
  <si>
    <t>Tax and transaction treatment</t>
  </si>
  <si>
    <t>MODEL DESIGN!D44</t>
  </si>
  <si>
    <t>CNI-0149</t>
  </si>
  <si>
    <t>DBI-MD-D44</t>
  </si>
  <si>
    <t>TAX TREATMENT</t>
  </si>
  <si>
    <t>GST | Rate</t>
  </si>
  <si>
    <t>MODEL DESIGN!D45</t>
  </si>
  <si>
    <t>CNI-0150</t>
  </si>
  <si>
    <t>DBI-MD-D45</t>
  </si>
  <si>
    <t>Stamp Duty | Excluded</t>
  </si>
  <si>
    <t>Included in Land</t>
  </si>
  <si>
    <t>MODEL DESIGN!D46</t>
  </si>
  <si>
    <t>CNI-0151</t>
  </si>
  <si>
    <t>DBI-MD-D46</t>
  </si>
  <si>
    <t>Land Tax | Included in Land</t>
  </si>
  <si>
    <t>Included in Operating Costs</t>
  </si>
  <si>
    <t>MODEL DESIGN!D47</t>
  </si>
  <si>
    <t>CNI-0152</t>
  </si>
  <si>
    <t>DBI-MD-D47</t>
  </si>
  <si>
    <t>06.02  URWLD</t>
  </si>
  <si>
    <t>06.02.01  Operating-company interest &amp; financing cost</t>
  </si>
  <si>
    <t>FINANCIAL COST (INTEREST)</t>
  </si>
  <si>
    <t>Operating-company interest &amp; financing cost</t>
  </si>
  <si>
    <t>OPEX URWLD AUD$)!G424</t>
  </si>
  <si>
    <t>referenced by 10 formula(s); detailed-schedule hardcode; raw source value retained without external link</t>
  </si>
  <si>
    <t>CNI-0399</t>
  </si>
  <si>
    <t>DBI-OUA-G424</t>
  </si>
  <si>
    <t>06.02.02  Operating-company tax &amp; net income</t>
  </si>
  <si>
    <t>Corporate Tax Rate (Australia)</t>
  </si>
  <si>
    <t>Operating-company tax &amp; net income</t>
  </si>
  <si>
    <t>OPEX URWLD AUD$)!G428</t>
  </si>
  <si>
    <t>CNI-0400</t>
  </si>
  <si>
    <t>DBI-OUA-G428</t>
  </si>
  <si>
    <t>06.03  PBSA</t>
  </si>
  <si>
    <t>06.03.01  Terminal value, exit yield &amp; equity proceeds</t>
  </si>
  <si>
    <t>Debt Payoff (50% Principal Retirement): -AUD $57,100,000</t>
  </si>
  <si>
    <t>Terminal value, exit yield &amp; equity proceeds</t>
  </si>
  <si>
    <t>PBSA OPEX!E36</t>
  </si>
  <si>
    <t>CNI-0428</t>
  </si>
  <si>
    <t>DBI-PBO-E36</t>
  </si>
  <si>
    <t>06.04  Convenience Store &amp; Laundry Hub</t>
  </si>
  <si>
    <t>06.04.01  Laundry-hub capacity, fit-out &amp; opening assumptions</t>
  </si>
  <si>
    <t>Corporate Tax | 2028</t>
  </si>
  <si>
    <t>ANCILLIARY SVCS CAPEX &amp; OPEX!F99</t>
  </si>
  <si>
    <t>CNI-0665</t>
  </si>
  <si>
    <t>DBI-ANC-F99</t>
  </si>
  <si>
    <t>07  VALUATION &amp; RETURNS</t>
  </si>
  <si>
    <t>36 lines / 36 records</t>
  </si>
  <si>
    <t>07.01  Precinct &amp; Corporate</t>
  </si>
  <si>
    <t>07.01.01  Capitalisation and discount rates</t>
  </si>
  <si>
    <t>Base capitalisation rate</t>
  </si>
  <si>
    <t>Capitalisation and discount rates</t>
  </si>
  <si>
    <t>ASSUMPTIONS!B44</t>
  </si>
  <si>
    <t>CNI-0153</t>
  </si>
  <si>
    <t>DBI-ASM-B44</t>
  </si>
  <si>
    <t>Whole-project valuation / returns input</t>
  </si>
  <si>
    <t>ASSUMPTIONS!B45</t>
  </si>
  <si>
    <t>CNI-0154</t>
  </si>
  <si>
    <t>DBI-ASM-B45</t>
  </si>
  <si>
    <t>Terminal capitalisation rate</t>
  </si>
  <si>
    <t>ASSUMPTIONS!B46</t>
  </si>
  <si>
    <t>CNI-0155</t>
  </si>
  <si>
    <t>DBI-ASM-B46</t>
  </si>
  <si>
    <t>07.01.02  Valuation and exit assumptions</t>
  </si>
  <si>
    <t>Discount Rate | Value</t>
  </si>
  <si>
    <t>Valuation and exit assumptions</t>
  </si>
  <si>
    <t>MODEL DESIGN!D70</t>
  </si>
  <si>
    <t>CNI-0156</t>
  </si>
  <si>
    <t>DBI-MD-D70</t>
  </si>
  <si>
    <t>Exit Yield | Value</t>
  </si>
  <si>
    <t>MODEL DESIGN!D71</t>
  </si>
  <si>
    <t>CNI-0157</t>
  </si>
  <si>
    <t>DBI-MD-D71</t>
  </si>
  <si>
    <t>Terminal Growth | Value</t>
  </si>
  <si>
    <t>MODEL DESIGN!D72</t>
  </si>
  <si>
    <t>CNI-0158</t>
  </si>
  <si>
    <t>DBI-MD-D72</t>
  </si>
  <si>
    <t>Sale Costs | Value</t>
  </si>
  <si>
    <t>MODEL DESIGN!D73</t>
  </si>
  <si>
    <t>CNI-0159</t>
  </si>
  <si>
    <t>DBI-MD-D73</t>
  </si>
  <si>
    <t>07.01.03  Valuation scenarios</t>
  </si>
  <si>
    <t>Exit Yield | Base</t>
  </si>
  <si>
    <t>Valuation scenarios</t>
  </si>
  <si>
    <t>MODEL DESIGN!D187</t>
  </si>
  <si>
    <t>CNI-0160</t>
  </si>
  <si>
    <t>DBI-MD-D187</t>
  </si>
  <si>
    <t>Exit Yield | Downside</t>
  </si>
  <si>
    <t>MODEL DESIGN!E187</t>
  </si>
  <si>
    <t>CNI-0161</t>
  </si>
  <si>
    <t>DBI-MD-E187</t>
  </si>
  <si>
    <t>Exit Yield | Upside</t>
  </si>
  <si>
    <t>MODEL DESIGN!F187</t>
  </si>
  <si>
    <t>CNI-0162</t>
  </si>
  <si>
    <t>DBI-MD-F187</t>
  </si>
  <si>
    <t>Land growth after 2029 | Conservative</t>
  </si>
  <si>
    <t>ASSUMPTIONS!B11</t>
  </si>
  <si>
    <t>CNI-0163</t>
  </si>
  <si>
    <t>DBI-ASM-B11</t>
  </si>
  <si>
    <t>Land growth after 2029 | Base Case</t>
  </si>
  <si>
    <t>ASSUMPTIONS!C11</t>
  </si>
  <si>
    <t>CNI-0164</t>
  </si>
  <si>
    <t>DBI-ASM-C11</t>
  </si>
  <si>
    <t>Land growth after 2029 | Optimised</t>
  </si>
  <si>
    <t>ASSUMPTIONS!D11</t>
  </si>
  <si>
    <t>CNI-0165</t>
  </si>
  <si>
    <t>DBI-ASM-D11</t>
  </si>
  <si>
    <t>07.02  PBSA</t>
  </si>
  <si>
    <t>07.02.01  Investor equity cash-flow stream &amp; returns</t>
  </si>
  <si>
    <t>Year 1: +7,371.2 [source: 1]</t>
  </si>
  <si>
    <t>Returns</t>
  </si>
  <si>
    <t>Investor equity cash-flow stream &amp; returns</t>
  </si>
  <si>
    <t>PBSA OPEX!C42</t>
  </si>
  <si>
    <t>CNI-0418</t>
  </si>
  <si>
    <t>DBI-PBO-C42</t>
  </si>
  <si>
    <t>Year 2: +9,399.4 [source: 1]</t>
  </si>
  <si>
    <t>PBSA OPEX!C43</t>
  </si>
  <si>
    <t>CNI-0419</t>
  </si>
  <si>
    <t>DBI-PBO-C43</t>
  </si>
  <si>
    <t>Year 3: +9,851.6</t>
  </si>
  <si>
    <t>PBSA OPEX!C44</t>
  </si>
  <si>
    <t>CNI-0420</t>
  </si>
  <si>
    <t>DBI-PBO-C44</t>
  </si>
  <si>
    <t>Year 4: +10,319.3</t>
  </si>
  <si>
    <t>PBSA OPEX!C45</t>
  </si>
  <si>
    <t>CNI-0421</t>
  </si>
  <si>
    <t>DBI-PBO-C45</t>
  </si>
  <si>
    <t>Year 5: +10,802.6</t>
  </si>
  <si>
    <t>PBSA OPEX!C46</t>
  </si>
  <si>
    <t>CNI-0422</t>
  </si>
  <si>
    <t>DBI-PBO-C46</t>
  </si>
  <si>
    <t>Year 6: +11,302.5</t>
  </si>
  <si>
    <t>PBSA OPEX!C47</t>
  </si>
  <si>
    <t>CNI-0423</t>
  </si>
  <si>
    <t>DBI-PBO-C47</t>
  </si>
  <si>
    <t>Year 7: +11,822.5</t>
  </si>
  <si>
    <t>PBSA OPEX!C48</t>
  </si>
  <si>
    <t>CNI-0424</t>
  </si>
  <si>
    <t>DBI-PBO-C48</t>
  </si>
  <si>
    <t>Year 8: +12,354.5</t>
  </si>
  <si>
    <t>PBSA OPEX!C49</t>
  </si>
  <si>
    <t>CNI-0425</t>
  </si>
  <si>
    <t>DBI-PBO-C49</t>
  </si>
  <si>
    <t>Year 9: +12,908.7</t>
  </si>
  <si>
    <t>PBSA OPEX!C50</t>
  </si>
  <si>
    <t>CNI-0426</t>
  </si>
  <si>
    <t>DBI-PBO-C50</t>
  </si>
  <si>
    <t>07.02.02  Terminal value, exit yield &amp; equity proceeds</t>
  </si>
  <si>
    <t>Year 10 Net Operating Income (NOI): AUD $17,336,300</t>
  </si>
  <si>
    <t>PBSA OPEX!E32</t>
  </si>
  <si>
    <t>CNI-0427</t>
  </si>
  <si>
    <t>DBI-PBO-E32</t>
  </si>
  <si>
    <t>Exit Capitalization Rate: 5.25%</t>
  </si>
  <si>
    <t>PBSA OPEX!E33</t>
  </si>
  <si>
    <t>CNI-0429</t>
  </si>
  <si>
    <t>DBI-PBO-E33</t>
  </si>
  <si>
    <t>Terminal Value = $17,336,300 / 0.0525 = AUD $330,215,238</t>
  </si>
  <si>
    <t>PBSA OPEX!E35</t>
  </si>
  <si>
    <t>CNI-0430</t>
  </si>
  <si>
    <t>DBI-PBO-E35</t>
  </si>
  <si>
    <t>Net Cash Proceeds to Equity: AUD $273,115,238</t>
  </si>
  <si>
    <t>PBSA OPEX!E37</t>
  </si>
  <si>
    <t>CNI-0431</t>
  </si>
  <si>
    <t>DBI-PBO-E37</t>
  </si>
  <si>
    <t>07.03  Land &amp; Valuation</t>
  </si>
  <si>
    <t>07.03.01  Land value milestones</t>
  </si>
  <si>
    <t>Remediation Initiation | Value per sqm</t>
  </si>
  <si>
    <t>Land &amp; Valuation</t>
  </si>
  <si>
    <t>Land value milestones</t>
  </si>
  <si>
    <t>Land valuation</t>
  </si>
  <si>
    <t>LAND VALUE INPUT!E6</t>
  </si>
  <si>
    <t>CNI-0676</t>
  </si>
  <si>
    <t>DBI-LVI-E6</t>
  </si>
  <si>
    <t>LAND VALUE MILESTONES</t>
  </si>
  <si>
    <t>SSD Submission Phase | 2000</t>
  </si>
  <si>
    <t>LAND VALUE INPUT!E7</t>
  </si>
  <si>
    <t>CNI-0677</t>
  </si>
  <si>
    <t>DBI-LVI-E7</t>
  </si>
  <si>
    <t>Feb / Mar 2027 | 2000</t>
  </si>
  <si>
    <t>LAND VALUE INPUT!E8</t>
  </si>
  <si>
    <t>CNI-0678</t>
  </si>
  <si>
    <t>DBI-LVI-E8</t>
  </si>
  <si>
    <t>Clean Audit &amp; Settlement | 2000</t>
  </si>
  <si>
    <t>LAND VALUE INPUT!E9</t>
  </si>
  <si>
    <t>CNI-0679</t>
  </si>
  <si>
    <t>DBI-LVI-E9</t>
  </si>
  <si>
    <t>Mid 2028 | 2000</t>
  </si>
  <si>
    <t>LAND VALUE INPUT!E10</t>
  </si>
  <si>
    <t>CNI-0680</t>
  </si>
  <si>
    <t>DBI-LVI-E10</t>
  </si>
  <si>
    <t>Q1 2029 | 2000</t>
  </si>
  <si>
    <t>LAND VALUE INPUT!E11</t>
  </si>
  <si>
    <t>CNI-0681</t>
  </si>
  <si>
    <t>DBI-LVI-E11</t>
  </si>
  <si>
    <t>Mid 2030 | 2000</t>
  </si>
  <si>
    <t>LAND VALUE INPUT!E12</t>
  </si>
  <si>
    <t>CNI-0682</t>
  </si>
  <si>
    <t>DBI-LVI-E12</t>
  </si>
  <si>
    <t>Mid 2033 | 2000</t>
  </si>
  <si>
    <t>LAND VALUE INPUT!E13</t>
  </si>
  <si>
    <t>CNI-0683</t>
  </si>
  <si>
    <t>DBI-LVI-E13</t>
  </si>
  <si>
    <t>Mid 2036 | 2000</t>
  </si>
  <si>
    <t>LAND VALUE INPUT!E14</t>
  </si>
  <si>
    <t>CNI-0684</t>
  </si>
  <si>
    <t>DBI-LVI-E14</t>
  </si>
  <si>
    <t>Mid 2038 | 2000</t>
  </si>
  <si>
    <t>LAND VALUE INPUT!E15</t>
  </si>
  <si>
    <t>CNI-0685</t>
  </si>
  <si>
    <t>DBI-LVI-E15</t>
  </si>
  <si>
    <t>08  OWNER DECISIONS</t>
  </si>
  <si>
    <t>12 lines / 12 records</t>
  </si>
  <si>
    <t>08.01  Owner Decisions</t>
  </si>
  <si>
    <t>08.01.01  Debt covenant</t>
  </si>
  <si>
    <t>Owner decision required</t>
  </si>
  <si>
    <t>Owner Decisions</t>
  </si>
  <si>
    <t>Debt covenant</t>
  </si>
  <si>
    <t>Not found in source</t>
  </si>
  <si>
    <t>Not found in Project data book.xlsm</t>
  </si>
  <si>
    <t>Intentionally blank; no evidenced source assumption located.</t>
  </si>
  <si>
    <t>CNI-0686</t>
  </si>
  <si>
    <t>GAP-02</t>
  </si>
  <si>
    <t>SOURCE GAPS — OWNER DECISION REQUIRED</t>
  </si>
  <si>
    <t>Owner decision / project governance</t>
  </si>
  <si>
    <t>08.01.02  Design and area confirmation</t>
  </si>
  <si>
    <t>Go-kart gross floor area</t>
  </si>
  <si>
    <t>Design and area confirmation</t>
  </si>
  <si>
    <t>CNI-0687</t>
  </si>
  <si>
    <t>GAP-01</t>
  </si>
  <si>
    <t>08.01.03  Lifecycle capital reserve</t>
  </si>
  <si>
    <t>Lifecycle CAPEX reserve</t>
  </si>
  <si>
    <t>Lifecycle capital reserve</t>
  </si>
  <si>
    <t>CNI-0688</t>
  </si>
  <si>
    <t>GAP-12</t>
  </si>
  <si>
    <t>08.01.04  Operating-company valuation</t>
  </si>
  <si>
    <t>Operating-company valuation</t>
  </si>
  <si>
    <t>CNI-0689</t>
  </si>
  <si>
    <t>GAP-10</t>
  </si>
  <si>
    <t>CNI-0690</t>
  </si>
  <si>
    <t>GAP-11</t>
  </si>
  <si>
    <t>08.01.05  Waterfall and promote terms</t>
  </si>
  <si>
    <t>GP contribution / distribution share</t>
  </si>
  <si>
    <t>Waterfall and promote terms</t>
  </si>
  <si>
    <t>CNI-0691</t>
  </si>
  <si>
    <t>GAP-03</t>
  </si>
  <si>
    <t>Preferred return hurdle</t>
  </si>
  <si>
    <t>CNI-0692</t>
  </si>
  <si>
    <t>GAP-04</t>
  </si>
  <si>
    <t>Second-tier IRR hurdle</t>
  </si>
  <si>
    <t>CNI-0693</t>
  </si>
  <si>
    <t>GAP-05</t>
  </si>
  <si>
    <t>Second-tier GP promote</t>
  </si>
  <si>
    <t>CNI-0694</t>
  </si>
  <si>
    <t>GAP-06</t>
  </si>
  <si>
    <t>Third-tier IRR hurdle</t>
  </si>
  <si>
    <t>CNI-0695</t>
  </si>
  <si>
    <t>GAP-07</t>
  </si>
  <si>
    <t>Third-tier GP promote</t>
  </si>
  <si>
    <t>CNI-0696</t>
  </si>
  <si>
    <t>GAP-08</t>
  </si>
  <si>
    <t>Fourth-tier GP promote</t>
  </si>
  <si>
    <t>CNI-0697</t>
  </si>
  <si>
    <t>GAP-09</t>
  </si>
  <si>
    <t>CORPORATE MODEL INTEGRATION — NOT ACTIVE IN THIS WORKBOOK</t>
  </si>
  <si>
    <t>Future module</t>
  </si>
  <si>
    <t>Current status</t>
  </si>
  <si>
    <t>Permitted destination</t>
  </si>
  <si>
    <t>Purpose / implementation gate</t>
  </si>
  <si>
    <t>Corporate P&amp;L and cash flow</t>
  </si>
  <si>
    <t>Separate corporate model only</t>
  </si>
  <si>
    <t>Global venue/company earnings and liquidity | Gate: Approved business plan and audited historicals</t>
  </si>
  <si>
    <t>Not active</t>
  </si>
  <si>
    <t>Corporate cap table</t>
  </si>
  <si>
    <t>Share classes, dilution and ownership | Gate: Executed constitution and shareholder documents</t>
  </si>
  <si>
    <t>CLN schedule</t>
  </si>
  <si>
    <t>Accrual, conversion, ranking and dilution | Gate: Executed note instrument and legal advice</t>
  </si>
  <si>
    <t>Global site pipeline</t>
  </si>
  <si>
    <t>Site-by-site rollout, CAPEX and funding | Gate: Approved site pipeline and source-backed budgets</t>
  </si>
  <si>
    <t>CORPORATE INPUT CONTROLS</t>
  </si>
  <si>
    <t>Basis / required action</t>
  </si>
  <si>
    <t>Source fields populated</t>
  </si>
  <si>
    <t>Every management assumption includes a presentation/page reference. | Action: Replace presentation evidence with executed or independently verified sources.</t>
  </si>
  <si>
    <t>Forecast arithmetic</t>
  </si>
  <si>
    <t>Total sites and EBITDA margins are formula-driven. | Action: Recheck when management forecast changes.</t>
  </si>
  <si>
    <t>Corporate / project separation</t>
  </si>
  <si>
    <t>No corporate input is linked to Bend ProjectCo calculations or outputs. | Action: Maintain separation unless an approved transaction requires integration.</t>
  </si>
  <si>
    <t>Reliance status</t>
  </si>
  <si>
    <t>NOT RELIANCE-READY</t>
  </si>
  <si>
    <t>Targets and CLN terms remain management statements or non-binding references. | Action: Complete legal, financial, tax and valuation due diligence.</t>
  </si>
  <si>
    <t>THE BEND PRECINCT | BUSINESS INPUT REGISTER</t>
  </si>
  <si>
    <t>Business-specific operating and leasing / commercial assumptions | company, project and construction inputs are held in URWLD COMPANY INPUTS</t>
  </si>
  <si>
    <t>SOURCE RECORDS</t>
  </si>
  <si>
    <t>01 URWLD</t>
  </si>
  <si>
    <t>02 Genesis</t>
  </si>
  <si>
    <t>03 PBSA</t>
  </si>
  <si>
    <t>04 Car Park</t>
  </si>
  <si>
    <t>05 LiveHouse</t>
  </si>
  <si>
    <t>06 Snowtunnel</t>
  </si>
  <si>
    <t>07 Go Kart</t>
  </si>
  <si>
    <t>08 Landscape</t>
  </si>
  <si>
    <t>09 Storage</t>
  </si>
  <si>
    <t>10 F&amp;B / Retail</t>
  </si>
  <si>
    <t>11 Convenience</t>
  </si>
  <si>
    <t>12 Mobility</t>
  </si>
  <si>
    <t>13 Partnerships</t>
  </si>
  <si>
    <t>Company / Project Inputs</t>
  </si>
  <si>
    <t>WORKFLOW RECONCILIATION  |  Operations: 688 underlying records  |  Leasing &amp; commercial: 143 underlying records</t>
  </si>
  <si>
    <t>STATUS &amp; CONTROL  |  Source hardcodes: 831  |  Missing IDs: 0  |  Duplicate IDs: 0  |  Unclassified: 0  |  Last updated: 03-Aug-2026</t>
  </si>
  <si>
    <t>One visible line represents one assumption family. Currency variants and exact repeats are consolidated inside each business subsection; all underlying IDs and evidence remain in grouped audit columns H:T.</t>
  </si>
  <si>
    <t>01  URWLD</t>
  </si>
  <si>
    <t>200 lines / 461 records</t>
  </si>
  <si>
    <t>01  OPERATIONS</t>
  </si>
  <si>
    <t>186 lines / 447 rec.</t>
  </si>
  <si>
    <t>01.01  Adventure, climbing &amp; training attendance / pricing</t>
  </si>
  <si>
    <t>34 lines / 92 rec.</t>
  </si>
  <si>
    <t>Adventure, climbing &amp; training attendance / pricing</t>
  </si>
  <si>
    <t>OPEX URWLD AUD$)!E11 | OPEX URWLD AUD$)!F11 | OPEX URWLD AUD$)!G11</t>
  </si>
  <si>
    <t>BIR-0001</t>
  </si>
  <si>
    <t>DBI-OUA-E11 | DBI-OUA-F11 | DBI-OUA-G11</t>
  </si>
  <si>
    <t>Business-specific operating / commercial input</t>
  </si>
  <si>
    <t>Training - Lessons (per Hour)</t>
  </si>
  <si>
    <t>OPEX URWLD AUD$)!E12 | OPEX URWLD AUD$)!F12 | OPEX URWLD AUD$)!G12</t>
  </si>
  <si>
    <t>BIR-0002</t>
  </si>
  <si>
    <t>DBI-OUA-E12 | DBI-OUA-F12 | DBI-OUA-G12</t>
  </si>
  <si>
    <t>--</t>
  </si>
  <si>
    <t>OPEX URWLD AUD$)!E13 | OPEX URWLD AUD$)!F13 | OPEX URWLD AUD$)!G13</t>
  </si>
  <si>
    <t>BIR-0003</t>
  </si>
  <si>
    <t>DBI-OUA-E13 | DBI-OUA-F13 | DBI-OUA-G13</t>
  </si>
  <si>
    <t>OPEX URWLD AUD$)!E16 | OPEX URWLD AUD$)!F16 | OPEX URWLD AUD$)!G16</t>
  </si>
  <si>
    <t>BIR-0004</t>
  </si>
  <si>
    <t>DBI-OUA-E16 | DBI-OUA-F16 | DBI-OUA-G16</t>
  </si>
  <si>
    <t>-Not Used</t>
  </si>
  <si>
    <t>OPEX URWLD AUD$)!E17 | OPEX URWLD AUD$)!F17 | OPEX URWLD AUD$)!G17 | OPEX URWLD AUD$)!E18 | OPEX URWLD AUD$)!F18 | OPEX URWLD AUD$)!G18</t>
  </si>
  <si>
    <t>BIR-0005</t>
  </si>
  <si>
    <t>DBI-OUA-E17 | DBI-OUA-F17 | DBI-OUA-G17 | DBI-OUA-E18 | DBI-OUA-F18 | DBI-OUA-G18</t>
  </si>
  <si>
    <t>OPEX URWLD AUD$)!E21 | OPEX URWLD AUD$)!F21 | OPEX URWLD AUD$)!G21</t>
  </si>
  <si>
    <t>BIR-0006</t>
  </si>
  <si>
    <t>DBI-OUA-E21 | DBI-OUA-F21 | DBI-OUA-G21</t>
  </si>
  <si>
    <t>3B. | Deep Water Solo</t>
  </si>
  <si>
    <t>OPEX URWLD AUD$)!D22</t>
  </si>
  <si>
    <t>BIR-0007</t>
  </si>
  <si>
    <t>DBI-OUA-D22</t>
  </si>
  <si>
    <t>3B.</t>
  </si>
  <si>
    <t>OPEX URWLD AUD$)!E22 | OPEX URWLD AUD$)!F22 | OPEX URWLD AUD$)!G22</t>
  </si>
  <si>
    <t>BIR-0008</t>
  </si>
  <si>
    <t>DBI-OUA-E22 | DBI-OUA-F22 | DBI-OUA-G22</t>
  </si>
  <si>
    <t>Training - Lessons (per hour)</t>
  </si>
  <si>
    <t>OPEX URWLD AUD$)!E23 | OPEX URWLD AUD$)!F23 | OPEX URWLD AUD$)!G23</t>
  </si>
  <si>
    <t>BIR-0009</t>
  </si>
  <si>
    <t>DBI-OUA-E23 | DBI-OUA-F23 | DBI-OUA-G23</t>
  </si>
  <si>
    <t>OPEX URWLD AUD$)!E26 | OPEX URWLD AUD$)!F26 | OPEX URWLD AUD$)!G26</t>
  </si>
  <si>
    <t>BIR-0010</t>
  </si>
  <si>
    <t>DBI-OUA-E26 | DBI-OUA-F26 | DBI-OUA-G26</t>
  </si>
  <si>
    <t>4B. | Caving</t>
  </si>
  <si>
    <t>OPEX URWLD AUD$)!D27</t>
  </si>
  <si>
    <t>BIR-0011</t>
  </si>
  <si>
    <t>DBI-OUA-D27</t>
  </si>
  <si>
    <t>4B.</t>
  </si>
  <si>
    <t>OPEX URWLD AUD$)!E27 | OPEX URWLD AUD$)!F27 | OPEX URWLD AUD$)!G27</t>
  </si>
  <si>
    <t>BIR-0012</t>
  </si>
  <si>
    <t>DBI-OUA-E27 | DBI-OUA-F27 | DBI-OUA-G27</t>
  </si>
  <si>
    <t>OPEX URWLD AUD$)!E28 | OPEX URWLD AUD$)!F28 | OPEX URWLD AUD$)!G28</t>
  </si>
  <si>
    <t>BIR-0013</t>
  </si>
  <si>
    <t>DBI-OUA-E28 | DBI-OUA-F28 | DBI-OUA-G28</t>
  </si>
  <si>
    <t>Climbing - Leisure / First Timers (instructed)</t>
  </si>
  <si>
    <t>OPEX URWLD AUD$)!E31 | OPEX URWLD AUD$)!F31 | OPEX URWLD AUD$)!G31</t>
  </si>
  <si>
    <t>BIR-0014</t>
  </si>
  <si>
    <t>DBI-OUA-E31 | DBI-OUA-F31 | DBI-OUA-G31</t>
  </si>
  <si>
    <t>Climbing - Experienced (non-instructed) (Members)</t>
  </si>
  <si>
    <t>OPEX URWLD AUD$)!E32 | OPEX URWLD AUD$)!F32 | OPEX URWLD AUD$)!G32</t>
  </si>
  <si>
    <t>BIR-0015</t>
  </si>
  <si>
    <t>DBI-OUA-E32 | DBI-OUA-F32 | DBI-OUA-G32</t>
  </si>
  <si>
    <t>OPEX URWLD AUD$)!E33 | OPEX URWLD AUD$)!F33 | OPEX URWLD AUD$)!G33 | OPEX URWLD AUD$)!E38 | OPEX URWLD AUD$)!F38 | OPEX URWLD AUD$)!G38</t>
  </si>
  <si>
    <t>BIR-0016</t>
  </si>
  <si>
    <t>DBI-OUA-E33 | DBI-OUA-F33 | DBI-OUA-G33 | DBI-OUA-E38 | DBI-OUA-F38 | DBI-OUA-G38</t>
  </si>
  <si>
    <t>Source input B36 | 6. Bouldering</t>
  </si>
  <si>
    <t>OPEX URWLD AUD$)!B36</t>
  </si>
  <si>
    <t>BIR-0017</t>
  </si>
  <si>
    <t>DBI-OUA-B36</t>
  </si>
  <si>
    <t>Bouldering - Leisure / First Timers (instructed)</t>
  </si>
  <si>
    <t>OPEX URWLD AUD$)!E36 | OPEX URWLD AUD$)!F36 | OPEX URWLD AUD$)!G36</t>
  </si>
  <si>
    <t>BIR-0018</t>
  </si>
  <si>
    <t>DBI-OUA-E36 | DBI-OUA-F36 | DBI-OUA-G36</t>
  </si>
  <si>
    <t>Source input B37 | 6. Bouldering</t>
  </si>
  <si>
    <t>OPEX URWLD AUD$)!B37</t>
  </si>
  <si>
    <t>BIR-0019</t>
  </si>
  <si>
    <t>DBI-OUA-B37</t>
  </si>
  <si>
    <t>Bouldering - Experienced (non-instructed)</t>
  </si>
  <si>
    <t>OPEX URWLD AUD$)!E37 | OPEX URWLD AUD$)!F37 | OPEX URWLD AUD$)!G37</t>
  </si>
  <si>
    <t>BIR-0020</t>
  </si>
  <si>
    <t>DBI-OUA-E37 | DBI-OUA-F37 | DBI-OUA-G37</t>
  </si>
  <si>
    <t>Source input B38 | 6. Bouldering</t>
  </si>
  <si>
    <t>OPEX URWLD AUD$)!B38</t>
  </si>
  <si>
    <t>BIR-0021</t>
  </si>
  <si>
    <t>DBI-OUA-B38</t>
  </si>
  <si>
    <t>-Junior Climbing</t>
  </si>
  <si>
    <t>OPEX URWLD AUD$)!E41 | OPEX URWLD AUD$)!F41 | OPEX URWLD AUD$)!G41</t>
  </si>
  <si>
    <t>BIR-0022</t>
  </si>
  <si>
    <t>DBI-OUA-E41 | DBI-OUA-F41 | DBI-OUA-G41</t>
  </si>
  <si>
    <t>- Pilates, Yoga, Gym/Weights</t>
  </si>
  <si>
    <t>OPEX URWLD AUD$)!E42 | OPEX URWLD AUD$)!F42 | OPEX URWLD AUD$)!G42</t>
  </si>
  <si>
    <t>BIR-0023</t>
  </si>
  <si>
    <t>DBI-OUA-E42 | DBI-OUA-F42 | DBI-OUA-G42</t>
  </si>
  <si>
    <t>-- Gym/Weights Activities</t>
  </si>
  <si>
    <t>OPEX URWLD AUD$)!E43 | OPEX URWLD AUD$)!F43 | OPEX URWLD AUD$)!G43</t>
  </si>
  <si>
    <t>BIR-0024</t>
  </si>
  <si>
    <t>DBI-OUA-E43 | DBI-OUA-F43 | DBI-OUA-G43</t>
  </si>
  <si>
    <t>Scuba Diving - Leisure / First Timers (instructed)</t>
  </si>
  <si>
    <t>OPEX URWLD AUD$)!E46 | OPEX URWLD AUD$)!F46 | OPEX URWLD AUD$)!G46</t>
  </si>
  <si>
    <t>BIR-0025</t>
  </si>
  <si>
    <t>DBI-OUA-E46 | DBI-OUA-F46 | DBI-OUA-G46</t>
  </si>
  <si>
    <t>Scuba Diving - Experienced (non-instructed)</t>
  </si>
  <si>
    <t>OPEX URWLD AUD$)!E47 | OPEX URWLD AUD$)!F47 | OPEX URWLD AUD$)!G47</t>
  </si>
  <si>
    <t>BIR-0026</t>
  </si>
  <si>
    <t>DBI-OUA-E47 | DBI-OUA-F47 | DBI-OUA-G47</t>
  </si>
  <si>
    <t>Snorkeling (per 30 minutes)</t>
  </si>
  <si>
    <t>OPEX URWLD AUD$)!E48 | OPEX URWLD AUD$)!F48 | OPEX URWLD AUD$)!G48</t>
  </si>
  <si>
    <t>BIR-0027</t>
  </si>
  <si>
    <t>DBI-OUA-E48 | DBI-OUA-F48 | DBI-OUA-G48</t>
  </si>
  <si>
    <t>Scuba Diving Certification Course (Padi Course 10 sessions/per session)</t>
  </si>
  <si>
    <t>OPEX URWLD AUD$)!E50 | OPEX URWLD AUD$)!F50 | OPEX URWLD AUD$)!G50</t>
  </si>
  <si>
    <t>BIR-0028</t>
  </si>
  <si>
    <t>DBI-OUA-E50 | DBI-OUA-F50 | DBI-OUA-G50</t>
  </si>
  <si>
    <t>Source input B53 | 9. Ice Climbing</t>
  </si>
  <si>
    <t>OPEX URWLD AUD$)!B53</t>
  </si>
  <si>
    <t>BIR-0029</t>
  </si>
  <si>
    <t>DBI-OUA-B53</t>
  </si>
  <si>
    <t>Ice Climbing - Leisure / First Timers (instructed)</t>
  </si>
  <si>
    <t>OPEX URWLD AUD$)!E53 | OPEX URWLD AUD$)!F53 | OPEX URWLD AUD$)!G53</t>
  </si>
  <si>
    <t>BIR-0030</t>
  </si>
  <si>
    <t>DBI-OUA-E53 | DBI-OUA-F53 | DBI-OUA-G53</t>
  </si>
  <si>
    <t>Source input B54 | 9. Ice Climbing</t>
  </si>
  <si>
    <t>OPEX URWLD AUD$)!B54</t>
  </si>
  <si>
    <t>BIR-0031</t>
  </si>
  <si>
    <t>DBI-OUA-B54</t>
  </si>
  <si>
    <t>Ice Climbing - Experienced (non-instructed)</t>
  </si>
  <si>
    <t>OPEX URWLD AUD$)!E54 | OPEX URWLD AUD$)!F54 | OPEX URWLD AUD$)!G54</t>
  </si>
  <si>
    <t>BIR-0032</t>
  </si>
  <si>
    <t>DBI-OUA-E54 | DBI-OUA-F54 | DBI-OUA-G54</t>
  </si>
  <si>
    <t>Source input B55 | 9. Ice Climbing</t>
  </si>
  <si>
    <t>OPEX URWLD AUD$)!B55</t>
  </si>
  <si>
    <t>BIR-0033</t>
  </si>
  <si>
    <t>DBI-OUA-B55</t>
  </si>
  <si>
    <t>Training - Lessons (per 30 minutes)</t>
  </si>
  <si>
    <t>OPEX URWLD AUD$)!E55 | OPEX URWLD AUD$)!F55 | OPEX URWLD AUD$)!G55</t>
  </si>
  <si>
    <t>BIR-0034</t>
  </si>
  <si>
    <t>DBI-OUA-E55 | DBI-OUA-F55 | DBI-OUA-G55</t>
  </si>
  <si>
    <t>01.02  Family, aquatic, social &amp; headline attraction demand</t>
  </si>
  <si>
    <t>26 lines / 78 rec.</t>
  </si>
  <si>
    <t>Urban Ski - Leisure / First Timers (instructed)</t>
  </si>
  <si>
    <t>Family, aquatic, social &amp; headline attraction demand</t>
  </si>
  <si>
    <t>OPEX URWLD AUD$)!E58 | OPEX URWLD AUD$)!F58 | OPEX URWLD AUD$)!G58</t>
  </si>
  <si>
    <t>BIR-0035</t>
  </si>
  <si>
    <t>DBI-OUA-E58 | DBI-OUA-F58 | DBI-OUA-G58</t>
  </si>
  <si>
    <t>Urban Ski - Experienced (non-instructed)</t>
  </si>
  <si>
    <t>OPEX URWLD AUD$)!E59 | OPEX URWLD AUD$)!F59 | OPEX URWLD AUD$)!G59</t>
  </si>
  <si>
    <t>BIR-0036</t>
  </si>
  <si>
    <t>DBI-OUA-E59 | DBI-OUA-F59 | DBI-OUA-G59</t>
  </si>
  <si>
    <t>OPEX URWLD AUD$)!E60 | OPEX URWLD AUD$)!F60 | OPEX URWLD AUD$)!G60</t>
  </si>
  <si>
    <t>BIR-0037</t>
  </si>
  <si>
    <t>DBI-OUA-E60 | DBI-OUA-F60 | DBI-OUA-G60</t>
  </si>
  <si>
    <t>Adventure Golf</t>
  </si>
  <si>
    <t>OPEX URWLD AUD$)!E63 | OPEX URWLD AUD$)!F63 | OPEX URWLD AUD$)!G63</t>
  </si>
  <si>
    <t>BIR-0038</t>
  </si>
  <si>
    <t>DBI-OUA-E63 | DBI-OUA-F63 | DBI-OUA-G63</t>
  </si>
  <si>
    <t>Tennis</t>
  </si>
  <si>
    <t>OPEX URWLD AUD$)!E64 | OPEX URWLD AUD$)!F64 | OPEX URWLD AUD$)!G64</t>
  </si>
  <si>
    <t>BIR-0039</t>
  </si>
  <si>
    <t>DBI-OUA-E64 | DBI-OUA-F64 | DBI-OUA-G64</t>
  </si>
  <si>
    <t>Flying Suit</t>
  </si>
  <si>
    <t>OPEX URWLD AUD$)!E65 | OPEX URWLD AUD$)!F65 | OPEX URWLD AUD$)!G65</t>
  </si>
  <si>
    <t>BIR-0040</t>
  </si>
  <si>
    <t>DBI-OUA-E65 | DBI-OUA-F65 | DBI-OUA-G65</t>
  </si>
  <si>
    <t>Interactive Games</t>
  </si>
  <si>
    <t>OPEX URWLD AUD$)!E66 | OPEX URWLD AUD$)!F66 | OPEX URWLD AUD$)!G66</t>
  </si>
  <si>
    <t>BIR-0041</t>
  </si>
  <si>
    <t>DBI-OUA-E66 | DBI-OUA-F66 | DBI-OUA-G66</t>
  </si>
  <si>
    <t>High Ropes Tactical &amp; Physical Escape Course</t>
  </si>
  <si>
    <t>OPEX URWLD AUD$)!E69 | OPEX URWLD AUD$)!F69 | OPEX URWLD AUD$)!G69</t>
  </si>
  <si>
    <t>BIR-0042</t>
  </si>
  <si>
    <t>DBI-OUA-E69 | DBI-OUA-F69 | DBI-OUA-G69</t>
  </si>
  <si>
    <t>Childrens Activity Centre 2-8 years</t>
  </si>
  <si>
    <t>OPEX URWLD AUD$)!E70 | OPEX URWLD AUD$)!F70 | OPEX URWLD AUD$)!G70</t>
  </si>
  <si>
    <t>BIR-0043</t>
  </si>
  <si>
    <t>DBI-OUA-E70 | DBI-OUA-F70 | DBI-OUA-G70</t>
  </si>
  <si>
    <t>12C. | Childrens Activity Centre 2-8 years</t>
  </si>
  <si>
    <t>OPEX URWLD AUD$)!D71</t>
  </si>
  <si>
    <t>BIR-0044</t>
  </si>
  <si>
    <t>DBI-OUA-D71</t>
  </si>
  <si>
    <t>12C.</t>
  </si>
  <si>
    <t>OPEX URWLD AUD$)!E71 | OPEX URWLD AUD$)!F71 | OPEX URWLD AUD$)!G71</t>
  </si>
  <si>
    <t>BIR-0045</t>
  </si>
  <si>
    <t>DBI-OUA-E71 | DBI-OUA-F71 | DBI-OUA-G71</t>
  </si>
  <si>
    <t>Surfing - Leisure / First Timers (instructed)</t>
  </si>
  <si>
    <t>OPEX URWLD AUD$)!E74 | OPEX URWLD AUD$)!F74 | OPEX URWLD AUD$)!G74</t>
  </si>
  <si>
    <t>BIR-0046</t>
  </si>
  <si>
    <t>DBI-OUA-E74 | DBI-OUA-F74 | DBI-OUA-G74</t>
  </si>
  <si>
    <t>Surfing - Experienced (non-instructed)</t>
  </si>
  <si>
    <t>OPEX URWLD AUD$)!E75 | OPEX URWLD AUD$)!F75 | OPEX URWLD AUD$)!G75</t>
  </si>
  <si>
    <t>BIR-0047</t>
  </si>
  <si>
    <t>DBI-OUA-E75 | DBI-OUA-F75 | DBI-OUA-G75</t>
  </si>
  <si>
    <t>OPEX URWLD AUD$)!E76 | OPEX URWLD AUD$)!F76 | OPEX URWLD AUD$)!G76</t>
  </si>
  <si>
    <t>BIR-0048</t>
  </si>
  <si>
    <t>DBI-OUA-E76 | DBI-OUA-F76 | DBI-OUA-G76</t>
  </si>
  <si>
    <t>--Not Used</t>
  </si>
  <si>
    <t>OPEX URWLD AUD$)!E79 | OPEX URWLD AUD$)!F79 | OPEX URWLD AUD$)!G79 | OPEX URWLD AUD$)!E80 | OPEX URWLD AUD$)!F80 | OPEX URWLD AUD$)!G80 | OPEX URWLD AUD$)!E81 | OPEX URWLD AUD$)!F81 | OPEX URWLD AUD$)!G81</t>
  </si>
  <si>
    <t>BIR-0049</t>
  </si>
  <si>
    <t>DBI-OUA-E79 | DBI-OUA-F79 | DBI-OUA-G79 | DBI-OUA-E80 | DBI-OUA-F80 | DBI-OUA-G80 | DBI-OUA-E81 | DBI-OUA-F81 | DBI-OUA-G81</t>
  </si>
  <si>
    <t>Air Net Play</t>
  </si>
  <si>
    <t>OPEX URWLD AUD$)!E84 | OPEX URWLD AUD$)!F84 | OPEX URWLD AUD$)!G84</t>
  </si>
  <si>
    <t>BIR-0050</t>
  </si>
  <si>
    <t>DBI-OUA-E84 | DBI-OUA-F84 | DBI-OUA-G84</t>
  </si>
  <si>
    <t>15B. | Air Net Play</t>
  </si>
  <si>
    <t>OPEX URWLD AUD$)!D85</t>
  </si>
  <si>
    <t>BIR-0051</t>
  </si>
  <si>
    <t>DBI-OUA-D85</t>
  </si>
  <si>
    <t>15B.</t>
  </si>
  <si>
    <t>OPEX URWLD AUD$)!E85 | OPEX URWLD AUD$)!F85 | OPEX URWLD AUD$)!G85</t>
  </si>
  <si>
    <t>BIR-0052</t>
  </si>
  <si>
    <t>DBI-OUA-E85 | DBI-OUA-F85 | DBI-OUA-G85</t>
  </si>
  <si>
    <t>15C. | Air Net Play</t>
  </si>
  <si>
    <t>OPEX URWLD AUD$)!D86</t>
  </si>
  <si>
    <t>BIR-0053</t>
  </si>
  <si>
    <t>DBI-OUA-D86</t>
  </si>
  <si>
    <t>15C.</t>
  </si>
  <si>
    <t>OPEX URWLD AUD$)!E86 | OPEX URWLD AUD$)!F86 | OPEX URWLD AUD$)!G86</t>
  </si>
  <si>
    <t>BIR-0054</t>
  </si>
  <si>
    <t>DBI-OUA-E86 | DBI-OUA-F86 | DBI-OUA-G86</t>
  </si>
  <si>
    <t>Aquatic Play TBA</t>
  </si>
  <si>
    <t>OPEX URWLD AUD$)!E89 | OPEX URWLD AUD$)!F89 | OPEX URWLD AUD$)!G89</t>
  </si>
  <si>
    <t>BIR-0055</t>
  </si>
  <si>
    <t>DBI-OUA-E89 | DBI-OUA-F89 | DBI-OUA-G89</t>
  </si>
  <si>
    <t>16B. --</t>
  </si>
  <si>
    <t>OPEX URWLD AUD$)!E90 | OPEX URWLD AUD$)!F90 | OPEX URWLD AUD$)!G90</t>
  </si>
  <si>
    <t>BIR-0056</t>
  </si>
  <si>
    <t>DBI-OUA-E90 | DBI-OUA-F90 | DBI-OUA-G90</t>
  </si>
  <si>
    <t>16C. --</t>
  </si>
  <si>
    <t>OPEX URWLD AUD$)!E91 | OPEX URWLD AUD$)!F91 | OPEX URWLD AUD$)!G91</t>
  </si>
  <si>
    <t>BIR-0057</t>
  </si>
  <si>
    <t>DBI-OUA-E91 | DBI-OUA-F91 | DBI-OUA-G91</t>
  </si>
  <si>
    <t>Zip Line Coaster</t>
  </si>
  <si>
    <t>OPEX URWLD AUD$)!E94 | OPEX URWLD AUD$)!F94 | OPEX URWLD AUD$)!G94</t>
  </si>
  <si>
    <t>BIR-0058</t>
  </si>
  <si>
    <t>DBI-OUA-E94 | DBI-OUA-F94 | DBI-OUA-G94</t>
  </si>
  <si>
    <t>Zip Line Run</t>
  </si>
  <si>
    <t>OPEX URWLD AUD$)!E95 | OPEX URWLD AUD$)!F95 | OPEX URWLD AUD$)!G95</t>
  </si>
  <si>
    <t>BIR-0059</t>
  </si>
  <si>
    <t>DBI-OUA-E95 | DBI-OUA-F95 | DBI-OUA-G95</t>
  </si>
  <si>
    <t>17C. --</t>
  </si>
  <si>
    <t>OPEX URWLD AUD$)!E96 | OPEX URWLD AUD$)!F96 | OPEX URWLD AUD$)!G96</t>
  </si>
  <si>
    <t>BIR-0060</t>
  </si>
  <si>
    <t>DBI-OUA-E96 | DBI-OUA-F96 | DBI-OUA-G96</t>
  </si>
  <si>
    <t>01.03  Digital, content, esports &amp; other activity demand</t>
  </si>
  <si>
    <t>15 lines / 36 rec.</t>
  </si>
  <si>
    <t>18A. Small Format: e.g. Squirrel Suit / RCX Robot</t>
  </si>
  <si>
    <t>Digital, content, esports &amp; other activity demand</t>
  </si>
  <si>
    <t>OPEX URWLD AUD$)!E99 | OPEX URWLD AUD$)!F99 | OPEX URWLD AUD$)!G99</t>
  </si>
  <si>
    <t>BIR-0061</t>
  </si>
  <si>
    <t>DBI-OUA-E99 | DBI-OUA-F99 | DBI-OUA-G99</t>
  </si>
  <si>
    <t>18B. Large Format: Various Paradrop / CL Corp Active Leisure Offers</t>
  </si>
  <si>
    <t>OPEX URWLD AUD$)!E100 | OPEX URWLD AUD$)!F100 | OPEX URWLD AUD$)!G100</t>
  </si>
  <si>
    <t>BIR-0062</t>
  </si>
  <si>
    <t>DBI-OUA-E100 | DBI-OUA-F100 | DBI-OUA-G100</t>
  </si>
  <si>
    <t>18C. --</t>
  </si>
  <si>
    <t>OPEX URWLD AUD$)!E101 | OPEX URWLD AUD$)!F101 | OPEX URWLD AUD$)!G101</t>
  </si>
  <si>
    <t>BIR-0063</t>
  </si>
  <si>
    <t>DBI-OUA-E101 | DBI-OUA-F101 | DBI-OUA-G101</t>
  </si>
  <si>
    <t>19A. -- Content Studio &amp; Equipment Rental (1/2 hour)</t>
  </si>
  <si>
    <t>OPEX URWLD AUD$)!E104 | OPEX URWLD AUD$)!F104 | OPEX URWLD AUD$)!G104</t>
  </si>
  <si>
    <t>BIR-0064</t>
  </si>
  <si>
    <t>DBI-OUA-E104 | DBI-OUA-F104 | DBI-OUA-G104</t>
  </si>
  <si>
    <t>19B. -- Creative Support/Training (per 1/2 hour)</t>
  </si>
  <si>
    <t>OPEX URWLD AUD$)!E105 | OPEX URWLD AUD$)!F105 | OPEX URWLD AUD$)!G105</t>
  </si>
  <si>
    <t>BIR-0065</t>
  </si>
  <si>
    <t>DBI-OUA-E105 | DBI-OUA-F105 | DBI-OUA-G105</t>
  </si>
  <si>
    <t>19C. --</t>
  </si>
  <si>
    <t>OPEX URWLD AUD$)!E106 | OPEX URWLD AUD$)!F106 | OPEX URWLD AUD$)!G106</t>
  </si>
  <si>
    <t>BIR-0066</t>
  </si>
  <si>
    <t>DBI-OUA-E106 | DBI-OUA-F106 | DBI-OUA-G106</t>
  </si>
  <si>
    <t>eSports (per 30 Minutes)</t>
  </si>
  <si>
    <t>OPEX URWLD AUD$)!E109 | OPEX URWLD AUD$)!F109 | OPEX URWLD AUD$)!G109</t>
  </si>
  <si>
    <t>BIR-0067</t>
  </si>
  <si>
    <t>DBI-OUA-E109 | DBI-OUA-F109 | DBI-OUA-G109</t>
  </si>
  <si>
    <t>eSports Creative Suite (per 30 minutes)</t>
  </si>
  <si>
    <t>OPEX URWLD AUD$)!E110 | OPEX URWLD AUD$)!F110 | OPEX URWLD AUD$)!G110</t>
  </si>
  <si>
    <t>BIR-0068</t>
  </si>
  <si>
    <t>DBI-OUA-E110 | DBI-OUA-F110 | DBI-OUA-G110</t>
  </si>
  <si>
    <t>eSports Training (per 30 minutes)</t>
  </si>
  <si>
    <t>OPEX URWLD AUD$)!E111 | OPEX URWLD AUD$)!F111 | OPEX URWLD AUD$)!G111</t>
  </si>
  <si>
    <t>BIR-0069</t>
  </si>
  <si>
    <t>DBI-OUA-E111 | DBI-OUA-F111 | DBI-OUA-G111</t>
  </si>
  <si>
    <t>21A. --</t>
  </si>
  <si>
    <t>OPEX URWLD AUD$)!F114 | OPEX URWLD AUD$)!G114</t>
  </si>
  <si>
    <t>BIR-0070</t>
  </si>
  <si>
    <t>DBI-OUA-F114 | DBI-OUA-G114</t>
  </si>
  <si>
    <t>21B. --</t>
  </si>
  <si>
    <t>OPEX URWLD AUD$)!F115 | OPEX URWLD AUD$)!G115</t>
  </si>
  <si>
    <t>BIR-0071</t>
  </si>
  <si>
    <t>DBI-OUA-F115 | DBI-OUA-G115</t>
  </si>
  <si>
    <t>21C. --</t>
  </si>
  <si>
    <t>OPEX URWLD AUD$)!F116 | OPEX URWLD AUD$)!G116</t>
  </si>
  <si>
    <t>BIR-0072</t>
  </si>
  <si>
    <t>DBI-OUA-F116 | DBI-OUA-G116</t>
  </si>
  <si>
    <t>23. -- (not used)</t>
  </si>
  <si>
    <t>OPEX URWLD AUD$)!E123</t>
  </si>
  <si>
    <t>BIR-0073</t>
  </si>
  <si>
    <t>DBI-OUA-E123</t>
  </si>
  <si>
    <t>24. -- (not used)</t>
  </si>
  <si>
    <t>OPEX URWLD AUD$)!E128</t>
  </si>
  <si>
    <t>BIR-0074</t>
  </si>
  <si>
    <t>DBI-OUA-E128</t>
  </si>
  <si>
    <t>25. -- (not used)</t>
  </si>
  <si>
    <t>OPEX URWLD AUD$)!E133</t>
  </si>
  <si>
    <t>BIR-0075</t>
  </si>
  <si>
    <t>DBI-OUA-E133</t>
  </si>
  <si>
    <t>01.04  Attendance totals, spectators &amp; visitor mix</t>
  </si>
  <si>
    <t>26.A Spectators</t>
  </si>
  <si>
    <t>Attendance totals, spectators &amp; visitor mix</t>
  </si>
  <si>
    <t>OPEX URWLD AUD$)!G147</t>
  </si>
  <si>
    <t>BIR-0076</t>
  </si>
  <si>
    <t>DBI-OUA-G147</t>
  </si>
  <si>
    <t>01.05  Core adventure activity revenue drivers</t>
  </si>
  <si>
    <t>28 lines / 86 rec.</t>
  </si>
  <si>
    <t>Core adventure activity revenue drivers</t>
  </si>
  <si>
    <t>OPEX URWLD AUD$)!E163 | OPEX URWLD AUD$)!F163 | OPEX URWLD AUD$)!G163</t>
  </si>
  <si>
    <t>BIR-0077</t>
  </si>
  <si>
    <t>DBI-OUA-E163 | DBI-OUA-F163 | DBI-OUA-G163</t>
  </si>
  <si>
    <t>OPEX URWLD AUD$)!E164 | OPEX URWLD AUD$)!F164 | OPEX URWLD AUD$)!G164</t>
  </si>
  <si>
    <t>BIR-0078</t>
  </si>
  <si>
    <t>DBI-OUA-E164 | DBI-OUA-F164 | DBI-OUA-G164</t>
  </si>
  <si>
    <t>OPEX URWLD AUD$)!E165 | OPEX URWLD AUD$)!F165 | OPEX URWLD AUD$)!G165</t>
  </si>
  <si>
    <t>BIR-0079</t>
  </si>
  <si>
    <t>DBI-OUA-E165 | DBI-OUA-F165 | DBI-OUA-G165</t>
  </si>
  <si>
    <t>OPEX URWLD AUD$)!E168 | OPEX URWLD AUD$)!F168 | OPEX URWLD AUD$)!G168</t>
  </si>
  <si>
    <t>BIR-0080</t>
  </si>
  <si>
    <t>DBI-OUA-E168 | DBI-OUA-F168 | DBI-OUA-G168</t>
  </si>
  <si>
    <t>OPEX URWLD AUD$)!E169 | OPEX URWLD AUD$)!F169 | OPEX URWLD AUD$)!G169 | OPEX URWLD AUD$)!E170 | OPEX URWLD AUD$)!F170 | OPEX URWLD AUD$)!G170</t>
  </si>
  <si>
    <t>BIR-0081</t>
  </si>
  <si>
    <t>DBI-OUA-E169 | DBI-OUA-F169 | DBI-OUA-G169 | DBI-OUA-E170 | DBI-OUA-F170 | DBI-OUA-G170</t>
  </si>
  <si>
    <t>OPEX URWLD AUD$)!E173 | OPEX URWLD AUD$)!F173 | OPEX URWLD AUD$)!G173</t>
  </si>
  <si>
    <t>BIR-0082</t>
  </si>
  <si>
    <t>DBI-OUA-E173 | DBI-OUA-F173 | DBI-OUA-G173</t>
  </si>
  <si>
    <t>OPEX URWLD AUD$)!D174</t>
  </si>
  <si>
    <t>BIR-0083</t>
  </si>
  <si>
    <t>DBI-OUA-D174</t>
  </si>
  <si>
    <t>OPEX URWLD AUD$)!E174 | OPEX URWLD AUD$)!F174 | OPEX URWLD AUD$)!G174</t>
  </si>
  <si>
    <t>BIR-0084</t>
  </si>
  <si>
    <t>DBI-OUA-E174 | DBI-OUA-F174 | DBI-OUA-G174</t>
  </si>
  <si>
    <t>OPEX URWLD AUD$)!E175 | OPEX URWLD AUD$)!F175 | OPEX URWLD AUD$)!G175</t>
  </si>
  <si>
    <t>BIR-0085</t>
  </si>
  <si>
    <t>DBI-OUA-E175 | DBI-OUA-F175 | DBI-OUA-G175</t>
  </si>
  <si>
    <t>OPEX URWLD AUD$)!E178 | OPEX URWLD AUD$)!F178 | OPEX URWLD AUD$)!G178</t>
  </si>
  <si>
    <t>BIR-0086</t>
  </si>
  <si>
    <t>DBI-OUA-E178 | DBI-OUA-F178 | DBI-OUA-G178</t>
  </si>
  <si>
    <t>OPEX URWLD AUD$)!D179</t>
  </si>
  <si>
    <t>BIR-0087</t>
  </si>
  <si>
    <t>DBI-OUA-D179</t>
  </si>
  <si>
    <t>OPEX URWLD AUD$)!E179 | OPEX URWLD AUD$)!F179 | OPEX URWLD AUD$)!G179</t>
  </si>
  <si>
    <t>BIR-0088</t>
  </si>
  <si>
    <t>DBI-OUA-E179 | DBI-OUA-F179 | DBI-OUA-G179</t>
  </si>
  <si>
    <t>OPEX URWLD AUD$)!E180 | OPEX URWLD AUD$)!F180 | OPEX URWLD AUD$)!G180</t>
  </si>
  <si>
    <t>BIR-0089</t>
  </si>
  <si>
    <t>DBI-OUA-E180 | DBI-OUA-F180 | DBI-OUA-G180</t>
  </si>
  <si>
    <t>OPEX URWLD AUD$)!E183 | OPEX URWLD AUD$)!F183 | OPEX URWLD AUD$)!G183</t>
  </si>
  <si>
    <t>BIR-0090</t>
  </si>
  <si>
    <t>DBI-OUA-E183 | DBI-OUA-F183 | DBI-OUA-G183</t>
  </si>
  <si>
    <t>OPEX URWLD AUD$)!E184 | OPEX URWLD AUD$)!F184 | OPEX URWLD AUD$)!G184</t>
  </si>
  <si>
    <t>BIR-0091</t>
  </si>
  <si>
    <t>DBI-OUA-E184 | DBI-OUA-F184 | DBI-OUA-G184</t>
  </si>
  <si>
    <t>OPEX URWLD AUD$)!E185 | OPEX URWLD AUD$)!F185 | OPEX URWLD AUD$)!G185 | OPEX URWLD AUD$)!E190 | OPEX URWLD AUD$)!F190 | OPEX URWLD AUD$)!G190</t>
  </si>
  <si>
    <t>BIR-0092</t>
  </si>
  <si>
    <t>DBI-OUA-E185 | DBI-OUA-F185 | DBI-OUA-G185 | DBI-OUA-E190 | DBI-OUA-F190 | DBI-OUA-G190</t>
  </si>
  <si>
    <t>OPEX URWLD AUD$)!E188 | OPEX URWLD AUD$)!F188 | OPEX URWLD AUD$)!G188</t>
  </si>
  <si>
    <t>BIR-0093</t>
  </si>
  <si>
    <t>DBI-OUA-E188 | DBI-OUA-F188 | DBI-OUA-G188</t>
  </si>
  <si>
    <t>OPEX URWLD AUD$)!E189 | OPEX URWLD AUD$)!F189 | OPEX URWLD AUD$)!G189</t>
  </si>
  <si>
    <t>BIR-0094</t>
  </si>
  <si>
    <t>DBI-OUA-E189 | DBI-OUA-F189 | DBI-OUA-G189</t>
  </si>
  <si>
    <t>OPEX URWLD AUD$)!E193 | OPEX URWLD AUD$)!F193 | OPEX URWLD AUD$)!G193</t>
  </si>
  <si>
    <t>BIR-0095</t>
  </si>
  <si>
    <t>DBI-OUA-E193 | DBI-OUA-F193 | DBI-OUA-G193</t>
  </si>
  <si>
    <t>OPEX URWLD AUD$)!E194 | OPEX URWLD AUD$)!F194 | OPEX URWLD AUD$)!G194</t>
  </si>
  <si>
    <t>BIR-0096</t>
  </si>
  <si>
    <t>DBI-OUA-E194 | DBI-OUA-F194 | DBI-OUA-G194</t>
  </si>
  <si>
    <t>OPEX URWLD AUD$)!E195 | OPEX URWLD AUD$)!F195 | OPEX URWLD AUD$)!G195</t>
  </si>
  <si>
    <t>BIR-0097</t>
  </si>
  <si>
    <t>DBI-OUA-E195 | DBI-OUA-F195 | DBI-OUA-G195</t>
  </si>
  <si>
    <t>OPEX URWLD AUD$)!E198 | OPEX URWLD AUD$)!F198 | OPEX URWLD AUD$)!G198</t>
  </si>
  <si>
    <t>BIR-0098</t>
  </si>
  <si>
    <t>DBI-OUA-E198 | DBI-OUA-F198 | DBI-OUA-G198</t>
  </si>
  <si>
    <t>OPEX URWLD AUD$)!E199 | OPEX URWLD AUD$)!F199 | OPEX URWLD AUD$)!G199</t>
  </si>
  <si>
    <t>BIR-0099</t>
  </si>
  <si>
    <t>DBI-OUA-E199 | DBI-OUA-F199 | DBI-OUA-G199</t>
  </si>
  <si>
    <t>OPEX URWLD AUD$)!E200 | OPEX URWLD AUD$)!F200 | OPEX URWLD AUD$)!G200</t>
  </si>
  <si>
    <t>BIR-0100</t>
  </si>
  <si>
    <t>DBI-OUA-E200 | DBI-OUA-F200 | DBI-OUA-G200</t>
  </si>
  <si>
    <t>OPEX URWLD AUD$)!E202 | OPEX URWLD AUD$)!F202 | OPEX URWLD AUD$)!G202</t>
  </si>
  <si>
    <t>BIR-0101</t>
  </si>
  <si>
    <t>DBI-OUA-E202 | DBI-OUA-F202 | DBI-OUA-G202</t>
  </si>
  <si>
    <t>OPEX URWLD AUD$)!E204 | OPEX URWLD AUD$)!F204 | OPEX URWLD AUD$)!G204</t>
  </si>
  <si>
    <t>BIR-0102</t>
  </si>
  <si>
    <t>DBI-OUA-E204 | DBI-OUA-F204 | DBI-OUA-G204</t>
  </si>
  <si>
    <t>OPEX URWLD AUD$)!E205 | OPEX URWLD AUD$)!F205 | OPEX URWLD AUD$)!G205</t>
  </si>
  <si>
    <t>BIR-0103</t>
  </si>
  <si>
    <t>DBI-OUA-E205 | DBI-OUA-F205 | DBI-OUA-G205</t>
  </si>
  <si>
    <t>OPEX URWLD AUD$)!E206 | OPEX URWLD AUD$)!F206 | OPEX URWLD AUD$)!G206</t>
  </si>
  <si>
    <t>BIR-0104</t>
  </si>
  <si>
    <t>DBI-OUA-E206 | DBI-OUA-F206 | DBI-OUA-G206</t>
  </si>
  <si>
    <t>01.06  Family, aquatic, surf &amp; zip revenue drivers</t>
  </si>
  <si>
    <t>23 lines / 75 rec.</t>
  </si>
  <si>
    <t>Family, aquatic, surf &amp; zip revenue drivers</t>
  </si>
  <si>
    <t>OPEX URWLD AUD$)!E209 | OPEX URWLD AUD$)!F209 | OPEX URWLD AUD$)!G209</t>
  </si>
  <si>
    <t>BIR-0105</t>
  </si>
  <si>
    <t>DBI-OUA-E209 | DBI-OUA-F209 | DBI-OUA-G209</t>
  </si>
  <si>
    <t>OPEX URWLD AUD$)!E210 | OPEX URWLD AUD$)!F210 | OPEX URWLD AUD$)!G210</t>
  </si>
  <si>
    <t>BIR-0106</t>
  </si>
  <si>
    <t>DBI-OUA-E210 | DBI-OUA-F210 | DBI-OUA-G210</t>
  </si>
  <si>
    <t>OPEX URWLD AUD$)!E211 | OPEX URWLD AUD$)!F211 | OPEX URWLD AUD$)!G211</t>
  </si>
  <si>
    <t>BIR-0107</t>
  </si>
  <si>
    <t>DBI-OUA-E211 | DBI-OUA-F211 | DBI-OUA-G211</t>
  </si>
  <si>
    <t>OPEX URWLD AUD$)!E214 | OPEX URWLD AUD$)!F214 | OPEX URWLD AUD$)!G214</t>
  </si>
  <si>
    <t>BIR-0108</t>
  </si>
  <si>
    <t>DBI-OUA-E214 | DBI-OUA-F214 | DBI-OUA-G214</t>
  </si>
  <si>
    <t>OPEX URWLD AUD$)!E215 | OPEX URWLD AUD$)!F215 | OPEX URWLD AUD$)!G215</t>
  </si>
  <si>
    <t>BIR-0109</t>
  </si>
  <si>
    <t>DBI-OUA-E215 | DBI-OUA-F215 | DBI-OUA-G215</t>
  </si>
  <si>
    <t>OPEX URWLD AUD$)!E216 | OPEX URWLD AUD$)!F216 | OPEX URWLD AUD$)!G216</t>
  </si>
  <si>
    <t>BIR-0110</t>
  </si>
  <si>
    <t>DBI-OUA-E216 | DBI-OUA-F216 | DBI-OUA-G216</t>
  </si>
  <si>
    <t>OPEX URWLD AUD$)!E217 | OPEX URWLD AUD$)!F217 | OPEX URWLD AUD$)!G217</t>
  </si>
  <si>
    <t>BIR-0111</t>
  </si>
  <si>
    <t>DBI-OUA-E217 | DBI-OUA-F217 | DBI-OUA-G217</t>
  </si>
  <si>
    <t>OPEX URWLD AUD$)!E220 | OPEX URWLD AUD$)!F220 | OPEX URWLD AUD$)!G220</t>
  </si>
  <si>
    <t>BIR-0112</t>
  </si>
  <si>
    <t>DBI-OUA-E220 | DBI-OUA-F220 | DBI-OUA-G220</t>
  </si>
  <si>
    <t>12B.</t>
  </si>
  <si>
    <t>OPEX URWLD AUD$)!E221 | OPEX URWLD AUD$)!F221 | OPEX URWLD AUD$)!G221</t>
  </si>
  <si>
    <t>BIR-0113</t>
  </si>
  <si>
    <t>DBI-OUA-E221 | DBI-OUA-F221 | DBI-OUA-G221</t>
  </si>
  <si>
    <t>OPEX URWLD AUD$)!E222 | OPEX URWLD AUD$)!F222 | OPEX URWLD AUD$)!G222</t>
  </si>
  <si>
    <t>BIR-0114</t>
  </si>
  <si>
    <t>DBI-OUA-E222 | DBI-OUA-F222 | DBI-OUA-G222</t>
  </si>
  <si>
    <t>OPEX URWLD AUD$)!E225 | OPEX URWLD AUD$)!F225 | OPEX URWLD AUD$)!G225</t>
  </si>
  <si>
    <t>BIR-0115</t>
  </si>
  <si>
    <t>DBI-OUA-E225 | DBI-OUA-F225 | DBI-OUA-G225</t>
  </si>
  <si>
    <t>OPEX URWLD AUD$)!E226 | OPEX URWLD AUD$)!F226 | OPEX URWLD AUD$)!G226</t>
  </si>
  <si>
    <t>BIR-0116</t>
  </si>
  <si>
    <t>DBI-OUA-E226 | DBI-OUA-F226 | DBI-OUA-G226</t>
  </si>
  <si>
    <t>OPEX URWLD AUD$)!E227 | OPEX URWLD AUD$)!F227 | OPEX URWLD AUD$)!G227</t>
  </si>
  <si>
    <t>BIR-0117</t>
  </si>
  <si>
    <t>DBI-OUA-E227 | DBI-OUA-F227 | DBI-OUA-G227</t>
  </si>
  <si>
    <t>OPEX URWLD AUD$)!E230 | OPEX URWLD AUD$)!F230 | OPEX URWLD AUD$)!G230 | OPEX URWLD AUD$)!E231 | OPEX URWLD AUD$)!F231 | OPEX URWLD AUD$)!G231 | OPEX URWLD AUD$)!E232 | OPEX URWLD AUD$)!F232 | OPEX URWLD AUD$)!G232</t>
  </si>
  <si>
    <t>BIR-0118</t>
  </si>
  <si>
    <t>DBI-OUA-E230 | DBI-OUA-F230 | DBI-OUA-G230 | DBI-OUA-E231 | DBI-OUA-F231 | DBI-OUA-G231 | DBI-OUA-E232 | DBI-OUA-F232 | DBI-OUA-G232</t>
  </si>
  <si>
    <t>OPEX URWLD AUD$)!E235 | OPEX URWLD AUD$)!F235 | OPEX URWLD AUD$)!G235</t>
  </si>
  <si>
    <t>BIR-0119</t>
  </si>
  <si>
    <t>DBI-OUA-E235 | DBI-OUA-F235 | DBI-OUA-G235</t>
  </si>
  <si>
    <t>OPEX URWLD AUD$)!E236 | OPEX URWLD AUD$)!F236 | OPEX URWLD AUD$)!G236</t>
  </si>
  <si>
    <t>BIR-0120</t>
  </si>
  <si>
    <t>DBI-OUA-E236 | DBI-OUA-F236 | DBI-OUA-G236</t>
  </si>
  <si>
    <t>OPEX URWLD AUD$)!E237 | OPEX URWLD AUD$)!F237 | OPEX URWLD AUD$)!G237</t>
  </si>
  <si>
    <t>BIR-0121</t>
  </si>
  <si>
    <t>DBI-OUA-E237 | DBI-OUA-F237 | DBI-OUA-G237</t>
  </si>
  <si>
    <t>OPEX URWLD AUD$)!E240 | OPEX URWLD AUD$)!F240 | OPEX URWLD AUD$)!G240</t>
  </si>
  <si>
    <t>BIR-0122</t>
  </si>
  <si>
    <t>DBI-OUA-E240 | DBI-OUA-F240 | DBI-OUA-G240</t>
  </si>
  <si>
    <t>OPEX URWLD AUD$)!E241 | OPEX URWLD AUD$)!F241 | OPEX URWLD AUD$)!G241</t>
  </si>
  <si>
    <t>BIR-0123</t>
  </si>
  <si>
    <t>DBI-OUA-E241 | DBI-OUA-F241 | DBI-OUA-G241</t>
  </si>
  <si>
    <t>OPEX URWLD AUD$)!E242 | OPEX URWLD AUD$)!F242 | OPEX URWLD AUD$)!G242</t>
  </si>
  <si>
    <t>BIR-0124</t>
  </si>
  <si>
    <t>DBI-OUA-E242 | DBI-OUA-F242 | DBI-OUA-G242</t>
  </si>
  <si>
    <t>OPEX URWLD AUD$)!E245 | OPEX URWLD AUD$)!F245 | OPEX URWLD AUD$)!G245</t>
  </si>
  <si>
    <t>BIR-0125</t>
  </si>
  <si>
    <t>DBI-OUA-E245 | DBI-OUA-F245 | DBI-OUA-G245</t>
  </si>
  <si>
    <t>OPEX URWLD AUD$)!E246 | OPEX URWLD AUD$)!F246 | OPEX URWLD AUD$)!G246</t>
  </si>
  <si>
    <t>BIR-0126</t>
  </si>
  <si>
    <t>DBI-OUA-E246 | DBI-OUA-F246 | DBI-OUA-G246</t>
  </si>
  <si>
    <t>OPEX URWLD AUD$)!E247 | OPEX URWLD AUD$)!F247 | OPEX URWLD AUD$)!G247</t>
  </si>
  <si>
    <t>BIR-0127</t>
  </si>
  <si>
    <t>DBI-OUA-E247 | DBI-OUA-F247 | DBI-OUA-G247</t>
  </si>
  <si>
    <t>01.07  Digital, content, esports &amp; unused offer drivers</t>
  </si>
  <si>
    <t>9 lines / 27 rec.</t>
  </si>
  <si>
    <t>Digital, content, esports &amp; unused offer drivers</t>
  </si>
  <si>
    <t>OPEX URWLD AUD$)!E250 | OPEX URWLD AUD$)!F250 | OPEX URWLD AUD$)!G250</t>
  </si>
  <si>
    <t>BIR-0128</t>
  </si>
  <si>
    <t>DBI-OUA-E250 | DBI-OUA-F250 | DBI-OUA-G250</t>
  </si>
  <si>
    <t>OPEX URWLD AUD$)!E251 | OPEX URWLD AUD$)!F251 | OPEX URWLD AUD$)!G251</t>
  </si>
  <si>
    <t>BIR-0129</t>
  </si>
  <si>
    <t>DBI-OUA-E251 | DBI-OUA-F251 | DBI-OUA-G251</t>
  </si>
  <si>
    <t>OPEX URWLD AUD$)!E252 | OPEX URWLD AUD$)!F252 | OPEX URWLD AUD$)!G252</t>
  </si>
  <si>
    <t>BIR-0130</t>
  </si>
  <si>
    <t>DBI-OUA-E252 | DBI-OUA-F252 | DBI-OUA-G252</t>
  </si>
  <si>
    <t>OPEX URWLD AUD$)!E255 | OPEX URWLD AUD$)!F255 | OPEX URWLD AUD$)!G255</t>
  </si>
  <si>
    <t>BIR-0131</t>
  </si>
  <si>
    <t>DBI-OUA-E255 | DBI-OUA-F255 | DBI-OUA-G255</t>
  </si>
  <si>
    <t>OPEX URWLD AUD$)!E256 | OPEX URWLD AUD$)!F256 | OPEX URWLD AUD$)!G256</t>
  </si>
  <si>
    <t>BIR-0132</t>
  </si>
  <si>
    <t>DBI-OUA-E256 | DBI-OUA-F256 | DBI-OUA-G256</t>
  </si>
  <si>
    <t>OPEX URWLD AUD$)!E257 | OPEX URWLD AUD$)!F257 | OPEX URWLD AUD$)!G257</t>
  </si>
  <si>
    <t>BIR-0133</t>
  </si>
  <si>
    <t>DBI-OUA-E257 | DBI-OUA-F257 | DBI-OUA-G257</t>
  </si>
  <si>
    <t>OPEX URWLD AUD$)!E260 | OPEX URWLD AUD$)!F260 | OPEX URWLD AUD$)!G260</t>
  </si>
  <si>
    <t>BIR-0134</t>
  </si>
  <si>
    <t>DBI-OUA-E260 | DBI-OUA-F260 | DBI-OUA-G260</t>
  </si>
  <si>
    <t>OPEX URWLD AUD$)!E261 | OPEX URWLD AUD$)!F261 | OPEX URWLD AUD$)!G261</t>
  </si>
  <si>
    <t>BIR-0135</t>
  </si>
  <si>
    <t>DBI-OUA-E261 | DBI-OUA-F261 | DBI-OUA-G261</t>
  </si>
  <si>
    <t>OPEX URWLD AUD$)!E262 | OPEX URWLD AUD$)!F262 | OPEX URWLD AUD$)!G262</t>
  </si>
  <si>
    <t>BIR-0136</t>
  </si>
  <si>
    <t>DBI-OUA-E262 | DBI-OUA-F262 | DBI-OUA-G262</t>
  </si>
  <si>
    <t>01.08  Food, events, merchandise &amp; media revenue</t>
  </si>
  <si>
    <t>RETAIL</t>
  </si>
  <si>
    <t>Food, events, merchandise &amp; media revenue</t>
  </si>
  <si>
    <t>OPEX URWLD AUD$)!G305</t>
  </si>
  <si>
    <t>BIR-0137</t>
  </si>
  <si>
    <t>DBI-OUA-G305</t>
  </si>
  <si>
    <t>Merchandise Photography/Videography Co-Branded</t>
  </si>
  <si>
    <t>OPEX URWLD AUD$)!G306</t>
  </si>
  <si>
    <t>BIR-0138</t>
  </si>
  <si>
    <t>DBI-OUA-G306</t>
  </si>
  <si>
    <t>VIDEOGRAPHY - ACTIVITY VISITORS</t>
  </si>
  <si>
    <t>OPEX URWLD AUD$)!F309 | OPEX URWLD AUD$)!G309</t>
  </si>
  <si>
    <t>BIR-0139</t>
  </si>
  <si>
    <t>DBI-OUA-F309 | DBI-OUA-G309</t>
  </si>
  <si>
    <t>01.09  Sponsorship, ancillary revenue &amp; revenue totals</t>
  </si>
  <si>
    <t>INTEREST ON CASH ON HAND</t>
  </si>
  <si>
    <t>Sponsorship, ancillary revenue &amp; revenue totals</t>
  </si>
  <si>
    <t>OPEX URWLD AUD$)!G321</t>
  </si>
  <si>
    <t>BIR-0140</t>
  </si>
  <si>
    <t>DBI-OUA-G321</t>
  </si>
  <si>
    <t>01.10  Cost of goods sold &amp; gross margin</t>
  </si>
  <si>
    <t>14 lines / 14 rec.</t>
  </si>
  <si>
    <t>Source input B330 | COST OF GOODS SOLD</t>
  </si>
  <si>
    <t>Cost of goods sold &amp; gross margin</t>
  </si>
  <si>
    <t>OPEX URWLD AUD$)!B330</t>
  </si>
  <si>
    <t>BIR-0141</t>
  </si>
  <si>
    <t>DBI-OUA-B330</t>
  </si>
  <si>
    <t>COMMISSION FEES on SPONSORSHIP</t>
  </si>
  <si>
    <t>OPEX URWLD AUD$)!G330</t>
  </si>
  <si>
    <t>BIR-0142</t>
  </si>
  <si>
    <t>DBI-OUA-G330</t>
  </si>
  <si>
    <t>% of Revenue Packages</t>
  </si>
  <si>
    <t>OPEX URWLD AUD$)!G331</t>
  </si>
  <si>
    <t>BIR-0143</t>
  </si>
  <si>
    <t>DBI-OUA-G331</t>
  </si>
  <si>
    <t>Per Visitor Activity</t>
  </si>
  <si>
    <t>OPEX URWLD AUD$)!G332</t>
  </si>
  <si>
    <t>BIR-0144</t>
  </si>
  <si>
    <t>DBI-OUA-G332</t>
  </si>
  <si>
    <t>Cost per activity (wet)</t>
  </si>
  <si>
    <t>OPEX URWLD AUD$)!G333</t>
  </si>
  <si>
    <t>BIR-0145</t>
  </si>
  <si>
    <t>DBI-OUA-G333</t>
  </si>
  <si>
    <t>Per Activity Fee</t>
  </si>
  <si>
    <t>OPEX URWLD AUD$)!G334</t>
  </si>
  <si>
    <t>BIR-0146</t>
  </si>
  <si>
    <t>DBI-OUA-G334</t>
  </si>
  <si>
    <t>% of Activity Revenue</t>
  </si>
  <si>
    <t>OPEX URWLD AUD$)!G335</t>
  </si>
  <si>
    <t>BIR-0147</t>
  </si>
  <si>
    <t>DBI-OUA-G335</t>
  </si>
  <si>
    <t>OPEX URWLD AUD$)!G336</t>
  </si>
  <si>
    <t>BIR-0148</t>
  </si>
  <si>
    <t>DBI-OUA-G336</t>
  </si>
  <si>
    <t>% of Revenue F&amp;B</t>
  </si>
  <si>
    <t>OPEX URWLD AUD$)!G337</t>
  </si>
  <si>
    <t>BIR-0149</t>
  </si>
  <si>
    <t>DBI-OUA-G337</t>
  </si>
  <si>
    <t>% of Revenue Catering &amp; Events</t>
  </si>
  <si>
    <t>OPEX URWLD AUD$)!G338</t>
  </si>
  <si>
    <t>BIR-0150</t>
  </si>
  <si>
    <t>DBI-OUA-G338</t>
  </si>
  <si>
    <t>% of Revenue Merchandise</t>
  </si>
  <si>
    <t>OPEX URWLD AUD$)!G339</t>
  </si>
  <si>
    <t>BIR-0151</t>
  </si>
  <si>
    <t>DBI-OUA-G339</t>
  </si>
  <si>
    <t>% of Revenue Photography</t>
  </si>
  <si>
    <t>OPEX URWLD AUD$)!G340</t>
  </si>
  <si>
    <t>BIR-0152</t>
  </si>
  <si>
    <t>DBI-OUA-G340</t>
  </si>
  <si>
    <t>Royalties to Urban Adventure (ULL) | % of Revenue Photography</t>
  </si>
  <si>
    <t>OPEX URWLD AUD$)!E341</t>
  </si>
  <si>
    <t>BIR-0153</t>
  </si>
  <si>
    <t>DBI-OUA-E341</t>
  </si>
  <si>
    <t>VAT</t>
  </si>
  <si>
    <t>OPEX URWLD AUD$)!G341</t>
  </si>
  <si>
    <t>BIR-0154</t>
  </si>
  <si>
    <t>DBI-OUA-G341</t>
  </si>
  <si>
    <t>01.11  Occupancy, rent &amp; outgoings</t>
  </si>
  <si>
    <t>1 lines / 2 rec.</t>
  </si>
  <si>
    <t>Outgoings</t>
  </si>
  <si>
    <t>Occupancy, rent &amp; outgoings</t>
  </si>
  <si>
    <t>OPEX URWLD AUD$)!F369 | OPEX URWLD AUD$)!G369</t>
  </si>
  <si>
    <t>BIR-0155</t>
  </si>
  <si>
    <t>DBI-OUA-F369 | DBI-OUA-G369</t>
  </si>
  <si>
    <t>01.12  Utilities &amp; energy</t>
  </si>
  <si>
    <t>Telephone + Internet | Assumptions: Mth</t>
  </si>
  <si>
    <t>Utilities &amp; energy</t>
  </si>
  <si>
    <t>OPEX URWLD AUD$)!G373</t>
  </si>
  <si>
    <t>BIR-0156</t>
  </si>
  <si>
    <t>DBI-OUA-G373</t>
  </si>
  <si>
    <t>Electricity | Assumptions: Mth</t>
  </si>
  <si>
    <t>OPEX URWLD AUD$)!G374</t>
  </si>
  <si>
    <t>BIR-0157</t>
  </si>
  <si>
    <t>DBI-OUA-G374</t>
  </si>
  <si>
    <t>AirConditioning Electricity Costs | Assumptions: Mth</t>
  </si>
  <si>
    <t>OPEX URWLD AUD$)!G375</t>
  </si>
  <si>
    <t>BIR-0158</t>
  </si>
  <si>
    <t>DBI-OUA-G375</t>
  </si>
  <si>
    <t>Water | Assumptions: Mth</t>
  </si>
  <si>
    <t>OPEX URWLD AUD$)!G376</t>
  </si>
  <si>
    <t>BIR-0159</t>
  </si>
  <si>
    <t>DBI-OUA-G376</t>
  </si>
  <si>
    <t>Gas | Assumptions: Mth</t>
  </si>
  <si>
    <t>OPEX URWLD AUD$)!G377</t>
  </si>
  <si>
    <t>BIR-0160</t>
  </si>
  <si>
    <t>DBI-OUA-G377</t>
  </si>
  <si>
    <t>Other Utilities | Assumptions: Mth</t>
  </si>
  <si>
    <t>OPEX URWLD AUD$)!G378</t>
  </si>
  <si>
    <t>BIR-0161</t>
  </si>
  <si>
    <t>DBI-OUA-G378</t>
  </si>
  <si>
    <t>01.13  Security, cleaning &amp; operating services</t>
  </si>
  <si>
    <t>Security/Loss Prevention | Assumptions: Mth</t>
  </si>
  <si>
    <t>Security, cleaning &amp; operating services</t>
  </si>
  <si>
    <t>OPEX URWLD AUD$)!G382</t>
  </si>
  <si>
    <t>BIR-0162</t>
  </si>
  <si>
    <t>DBI-OUA-G382</t>
  </si>
  <si>
    <t>Housekeeping | Assumptions: Mth</t>
  </si>
  <si>
    <t>OPEX URWLD AUD$)!G383</t>
  </si>
  <si>
    <t>BIR-0163</t>
  </si>
  <si>
    <t>DBI-OUA-G383</t>
  </si>
  <si>
    <t>Laundry | Assumptions: Mth</t>
  </si>
  <si>
    <t>OPEX URWLD AUD$)!G384</t>
  </si>
  <si>
    <t>BIR-0164</t>
  </si>
  <si>
    <t>DBI-OUA-G384</t>
  </si>
  <si>
    <t>Courier Service | Assumptions: Mth</t>
  </si>
  <si>
    <t>OPEX URWLD AUD$)!G385</t>
  </si>
  <si>
    <t>BIR-0165</t>
  </si>
  <si>
    <t>DBI-OUA-G385</t>
  </si>
  <si>
    <t>Wet Suits/Equipment | Assumptions: Mth</t>
  </si>
  <si>
    <t>OPEX URWLD AUD$)!G386</t>
  </si>
  <si>
    <t>BIR-0166</t>
  </si>
  <si>
    <t>DBI-OUA-G386</t>
  </si>
  <si>
    <t>Miscellaneous | Assumptions: Mth</t>
  </si>
  <si>
    <t>OPEX URWLD AUD$)!G387</t>
  </si>
  <si>
    <t>BIR-0167</t>
  </si>
  <si>
    <t>DBI-OUA-G387</t>
  </si>
  <si>
    <t>01.14  Maintenance, supplies, transport &amp; travel</t>
  </si>
  <si>
    <t>MAINTENANCE</t>
  </si>
  <si>
    <t>Maintenance, supplies, transport &amp; travel</t>
  </si>
  <si>
    <t>OPEX URWLD AUD$)!G391</t>
  </si>
  <si>
    <t>BIR-0168</t>
  </si>
  <si>
    <t>DBI-OUA-G391</t>
  </si>
  <si>
    <t>HOUSEKEEPING</t>
  </si>
  <si>
    <t>OPEX URWLD AUD$)!G392</t>
  </si>
  <si>
    <t>BIR-0169</t>
  </si>
  <si>
    <t>DBI-OUA-G392</t>
  </si>
  <si>
    <t>STATIONERY</t>
  </si>
  <si>
    <t>OPEX URWLD AUD$)!G393</t>
  </si>
  <si>
    <t>BIR-0170</t>
  </si>
  <si>
    <t>DBI-OUA-G393</t>
  </si>
  <si>
    <t>UNIFORMS</t>
  </si>
  <si>
    <t>OPEX URWLD AUD$)!G394</t>
  </si>
  <si>
    <t>BIR-0171</t>
  </si>
  <si>
    <t>DBI-OUA-G394</t>
  </si>
  <si>
    <t>OTHER SUPPLIES</t>
  </si>
  <si>
    <t>OPEX URWLD AUD$)!G395</t>
  </si>
  <si>
    <t>BIR-0172</t>
  </si>
  <si>
    <t>DBI-OUA-G395</t>
  </si>
  <si>
    <t>TRANSPORT</t>
  </si>
  <si>
    <t>OPEX URWLD AUD$)!G396</t>
  </si>
  <si>
    <t>BIR-0173</t>
  </si>
  <si>
    <t>DBI-OUA-G396</t>
  </si>
  <si>
    <t>TRAVEL</t>
  </si>
  <si>
    <t>OPEX URWLD AUD$)!G397</t>
  </si>
  <si>
    <t>BIR-0174</t>
  </si>
  <si>
    <t>DBI-OUA-G397</t>
  </si>
  <si>
    <t>01.15  Corporate, insurance &amp; professional expenses</t>
  </si>
  <si>
    <t>Legal</t>
  </si>
  <si>
    <t>Corporate, insurance &amp; professional expenses</t>
  </si>
  <si>
    <t>OPEX URWLD AUD$)!G402</t>
  </si>
  <si>
    <t>BIR-0175</t>
  </si>
  <si>
    <t>DBI-OUA-G402</t>
  </si>
  <si>
    <t>Auditing</t>
  </si>
  <si>
    <t>OPEX URWLD AUD$)!G403</t>
  </si>
  <si>
    <t>BIR-0176</t>
  </si>
  <si>
    <t>DBI-OUA-G403</t>
  </si>
  <si>
    <t>Accounting</t>
  </si>
  <si>
    <t>OPEX URWLD AUD$)!G404</t>
  </si>
  <si>
    <t>BIR-0177</t>
  </si>
  <si>
    <t>DBI-OUA-G404</t>
  </si>
  <si>
    <t>Insurance | 2000</t>
  </si>
  <si>
    <t>OPEX URWLD AUD$)!G405</t>
  </si>
  <si>
    <t>BIR-0178</t>
  </si>
  <si>
    <t>DBI-OUA-G405</t>
  </si>
  <si>
    <t>Subscriptions | 2000</t>
  </si>
  <si>
    <t>OPEX URWLD AUD$)!G406</t>
  </si>
  <si>
    <t>BIR-0179</t>
  </si>
  <si>
    <t>DBI-OUA-G406</t>
  </si>
  <si>
    <t>PATA, TICA, IAAPA, TAT STH, etc | 2000</t>
  </si>
  <si>
    <t>OPEX URWLD AUD$)!G407</t>
  </si>
  <si>
    <t>BIR-0180</t>
  </si>
  <si>
    <t>DBI-OUA-G407</t>
  </si>
  <si>
    <t>Rent (besides the facility) | 2000</t>
  </si>
  <si>
    <t>OPEX URWLD AUD$)!G408</t>
  </si>
  <si>
    <t>BIR-0181</t>
  </si>
  <si>
    <t>DBI-OUA-G408</t>
  </si>
  <si>
    <t>Source input B409</t>
  </si>
  <si>
    <t>OPEX URWLD AUD$)!B409</t>
  </si>
  <si>
    <t>BIR-0182</t>
  </si>
  <si>
    <t>DBI-OUA-B409</t>
  </si>
  <si>
    <t>(charged to consumer/Australian regulations) | 2000</t>
  </si>
  <si>
    <t>OPEX URWLD AUD$)!G409</t>
  </si>
  <si>
    <t>BIR-0183</t>
  </si>
  <si>
    <t>DBI-OUA-G409</t>
  </si>
  <si>
    <t>01.16  Management, marketing, depreciation &amp; earnings</t>
  </si>
  <si>
    <t>MANAGEMENT BASE FEE | 2000</t>
  </si>
  <si>
    <t>Management, marketing, depreciation &amp; earnings</t>
  </si>
  <si>
    <t>OPEX URWLD AUD$)!G412</t>
  </si>
  <si>
    <t>BIR-0184</t>
  </si>
  <si>
    <t>DBI-OUA-G412</t>
  </si>
  <si>
    <t>MARKETING EXPENSES | 2000</t>
  </si>
  <si>
    <t>OPEX URWLD AUD$)!G413</t>
  </si>
  <si>
    <t>BIR-0185</t>
  </si>
  <si>
    <t>DBI-OUA-G413</t>
  </si>
  <si>
    <t>MANAGEMENT FEE (INCENTIVE)</t>
  </si>
  <si>
    <t>OPEX URWLD AUD$)!G420</t>
  </si>
  <si>
    <t>BIR-0186</t>
  </si>
  <si>
    <t>DBI-OUA-G420</t>
  </si>
  <si>
    <t>02  LEASING &amp; COMMERCIAL</t>
  </si>
  <si>
    <t>02.01  Lease value &amp; revenue basis</t>
  </si>
  <si>
    <t>Source text input B9</t>
  </si>
  <si>
    <t>Lease value &amp; revenue basis</t>
  </si>
  <si>
    <t>Leasing</t>
  </si>
  <si>
    <t>LEASE_TERMS_ASSUMPTIONS!B9</t>
  </si>
  <si>
    <t>Exact text retained from Project data book.xlsm</t>
  </si>
  <si>
    <t>BIR-0436</t>
  </si>
  <si>
    <t>TXT-0168</t>
  </si>
  <si>
    <t>LEASE TERMS — ATOMIC DRIVERS</t>
  </si>
  <si>
    <t>02.02  Area, rent basis &amp; payment terms</t>
  </si>
  <si>
    <t>URWLD | TENANT TYPE</t>
  </si>
  <si>
    <t>Area, rent basis &amp; payment terms</t>
  </si>
  <si>
    <t>LEASE_TERMS_ASSUMPTIONS!D9</t>
  </si>
  <si>
    <t>BIR-0437</t>
  </si>
  <si>
    <t>DBI-LTA-D9</t>
  </si>
  <si>
    <t>Source text input F9</t>
  </si>
  <si>
    <t>LEASE_TERMS_ASSUMPTIONS!F9</t>
  </si>
  <si>
    <t>BIR-0438</t>
  </si>
  <si>
    <t>TXT-0170</t>
  </si>
  <si>
    <t>Source text input G9</t>
  </si>
  <si>
    <t>NO</t>
  </si>
  <si>
    <t>LEASE_TERMS_ASSUMPTIONS!G9</t>
  </si>
  <si>
    <t>BIR-0439</t>
  </si>
  <si>
    <t>TXT-0171</t>
  </si>
  <si>
    <t>02.03  Escalation, review, term &amp; options</t>
  </si>
  <si>
    <t>NO | ESCALATION ANNUAL ANNIVERSARY OF COMMENCEMENT</t>
  </si>
  <si>
    <t>Escalation, review, term &amp; options</t>
  </si>
  <si>
    <t>LEASE_TERMS_ASSUMPTIONS!H9</t>
  </si>
  <si>
    <t>BIR-0440</t>
  </si>
  <si>
    <t>DBI-LTA-H9</t>
  </si>
  <si>
    <t>NO | MARKET REVIEW YEAR ANNIVERSARY</t>
  </si>
  <si>
    <t>LEASE_TERMS_ASSUMPTIONS!I9</t>
  </si>
  <si>
    <t>BIR-0441</t>
  </si>
  <si>
    <t>DBI-LTA-I9</t>
  </si>
  <si>
    <t>NO | LEASE TERM</t>
  </si>
  <si>
    <t>LEASE_TERMS_ASSUMPTIONS!J9</t>
  </si>
  <si>
    <t>BIR-0442</t>
  </si>
  <si>
    <t>DBI-LTA-J9</t>
  </si>
  <si>
    <t>NO | EXTENSIONS</t>
  </si>
  <si>
    <t>LEASE_TERMS_ASSUMPTIONS!K9</t>
  </si>
  <si>
    <t>BIR-0443</t>
  </si>
  <si>
    <t>DBI-LTA-K9</t>
  </si>
  <si>
    <t>NO | FURTHER OPTIONS</t>
  </si>
  <si>
    <t>LEASE_TERMS_ASSUMPTIONS!L9</t>
  </si>
  <si>
    <t>BIR-0444</t>
  </si>
  <si>
    <t>DBI-LTA-L9</t>
  </si>
  <si>
    <t>02.04  Access, lease &amp; outgoings commencement</t>
  </si>
  <si>
    <t>NO | SITE WORKS MOBILISED</t>
  </si>
  <si>
    <t>Access, lease &amp; outgoings commencement</t>
  </si>
  <si>
    <t>LEASE_TERMS_ASSUMPTIONS!M9</t>
  </si>
  <si>
    <t>BIR-0445</t>
  </si>
  <si>
    <t>DBI-LTA-M9</t>
  </si>
  <si>
    <t>NO | LEASE COMMENCE Start Outgoings</t>
  </si>
  <si>
    <t>LEASE_TERMS_ASSUMPTIONS!N9</t>
  </si>
  <si>
    <t>BIR-0446</t>
  </si>
  <si>
    <t>DBI-LTA-N9</t>
  </si>
  <si>
    <t>02.05  Fit-out rent-free &amp; abatement</t>
  </si>
  <si>
    <t>NO | FIT OUT RENT FREE PERIOD (MONTHS)</t>
  </si>
  <si>
    <t>Fit-out rent-free &amp; abatement</t>
  </si>
  <si>
    <t>LEASE_TERMS_ASSUMPTIONS!O9</t>
  </si>
  <si>
    <t>BIR-0447</t>
  </si>
  <si>
    <t>DBI-LTA-O9</t>
  </si>
  <si>
    <t>NO | RENT ABATEMENT PERIOD (YEARS)</t>
  </si>
  <si>
    <t>LEASE_TERMS_ASSUMPTIONS!P9</t>
  </si>
  <si>
    <t>BIR-0448</t>
  </si>
  <si>
    <t>DBI-LTA-P9</t>
  </si>
  <si>
    <t>NO | RENT ABATEMENT LEVEL</t>
  </si>
  <si>
    <t>LEASE_TERMS_ASSUMPTIONS!Q9</t>
  </si>
  <si>
    <t>BIR-0449</t>
  </si>
  <si>
    <t>DBI-LTA-Q9</t>
  </si>
  <si>
    <t>02  GENESIS</t>
  </si>
  <si>
    <t>54 lines / 54 records</t>
  </si>
  <si>
    <t>40 lines / 40 rec.</t>
  </si>
  <si>
    <t>01.01  Operating expenses</t>
  </si>
  <si>
    <t>Pool chemicals &amp; consumables | $2.25 M</t>
  </si>
  <si>
    <t>GENESIS CAPEX!O52</t>
  </si>
  <si>
    <t>BIR-0187</t>
  </si>
  <si>
    <t>DBI-GEN-O52</t>
  </si>
  <si>
    <t>Marketing | $2.25 M</t>
  </si>
  <si>
    <t>GENESIS CAPEX!O53</t>
  </si>
  <si>
    <t>BIR-0188</t>
  </si>
  <si>
    <t>DBI-GEN-O53</t>
  </si>
  <si>
    <t>Administration | $2.25 M</t>
  </si>
  <si>
    <t>GENESIS CAPEX!O55</t>
  </si>
  <si>
    <t>BIR-0189</t>
  </si>
  <si>
    <t>DBI-GEN-O55</t>
  </si>
  <si>
    <t>IT &amp; Software | $2.25 M</t>
  </si>
  <si>
    <t>GENESIS CAPEX!O56</t>
  </si>
  <si>
    <t>BIR-0190</t>
  </si>
  <si>
    <t>DBI-GEN-O56</t>
  </si>
  <si>
    <t>Miscellaneous | $2.25 M</t>
  </si>
  <si>
    <t>GENESIS CAPEX!O57</t>
  </si>
  <si>
    <t>BIR-0191</t>
  </si>
  <si>
    <t>DBI-GEN-O57</t>
  </si>
  <si>
    <t>Utilities (net of solar benefit) | $2.25 M</t>
  </si>
  <si>
    <t>GENESIS CAPEX!O49</t>
  </si>
  <si>
    <t>BIR-0223</t>
  </si>
  <si>
    <t>DBI-GEN-O49</t>
  </si>
  <si>
    <t>Cleaning | $2.25 M</t>
  </si>
  <si>
    <t>GENESIS CAPEX!O50</t>
  </si>
  <si>
    <t>BIR-0224</t>
  </si>
  <si>
    <t>DBI-GEN-O50</t>
  </si>
  <si>
    <t>Maintenance | $2.25 M</t>
  </si>
  <si>
    <t>GENESIS CAPEX!O51</t>
  </si>
  <si>
    <t>BIR-0225</t>
  </si>
  <si>
    <t>DBI-GEN-O51</t>
  </si>
  <si>
    <t>Insurance | $2.25 M</t>
  </si>
  <si>
    <t>GENESIS CAPEX!O54</t>
  </si>
  <si>
    <t>BIR-0226</t>
  </si>
  <si>
    <t>DBI-GEN-O54</t>
  </si>
  <si>
    <t>01.02  Membership mix, volume &amp; pricing</t>
  </si>
  <si>
    <t>17 lines / 17 rec.</t>
  </si>
  <si>
    <t>Premium Adult | Members</t>
  </si>
  <si>
    <t>Membership mix, volume &amp; pricing</t>
  </si>
  <si>
    <t>GENESIS CAPEX!M8</t>
  </si>
  <si>
    <t>BIR-0192</t>
  </si>
  <si>
    <t>DBI-GEN-M8</t>
  </si>
  <si>
    <t>Premium Adult | Monthly Fee</t>
  </si>
  <si>
    <t>GENESIS CAPEX!N8</t>
  </si>
  <si>
    <t>BIR-0193</t>
  </si>
  <si>
    <t>DBI-GEN-N8</t>
  </si>
  <si>
    <t>Premium Adult | Annual Revenue</t>
  </si>
  <si>
    <t>GENESIS CAPEX!O8</t>
  </si>
  <si>
    <t>BIR-0194</t>
  </si>
  <si>
    <t>DBI-GEN-O8</t>
  </si>
  <si>
    <t>Standard Adult | Members</t>
  </si>
  <si>
    <t>GENESIS CAPEX!M9</t>
  </si>
  <si>
    <t>BIR-0195</t>
  </si>
  <si>
    <t>DBI-GEN-M9</t>
  </si>
  <si>
    <t>Standard Adult | Monthly Fee</t>
  </si>
  <si>
    <t>GENESIS CAPEX!N9</t>
  </si>
  <si>
    <t>BIR-0196</t>
  </si>
  <si>
    <t>DBI-GEN-N9</t>
  </si>
  <si>
    <t>Standard Adult | Annual Revenue</t>
  </si>
  <si>
    <t>GENESIS CAPEX!O9</t>
  </si>
  <si>
    <t>BIR-0197</t>
  </si>
  <si>
    <t>DBI-GEN-O9</t>
  </si>
  <si>
    <t>Student | Members</t>
  </si>
  <si>
    <t>GENESIS CAPEX!M10</t>
  </si>
  <si>
    <t>BIR-0198</t>
  </si>
  <si>
    <t>DBI-GEN-M10</t>
  </si>
  <si>
    <t>Student | Monthly Fee</t>
  </si>
  <si>
    <t>GENESIS CAPEX!N10</t>
  </si>
  <si>
    <t>BIR-0199</t>
  </si>
  <si>
    <t>DBI-GEN-N10</t>
  </si>
  <si>
    <t>Student | Annual Revenue</t>
  </si>
  <si>
    <t>GENESIS CAPEX!O10</t>
  </si>
  <si>
    <t>BIR-0200</t>
  </si>
  <si>
    <t>DBI-GEN-O10</t>
  </si>
  <si>
    <t>Senior | Members</t>
  </si>
  <si>
    <t>GENESIS CAPEX!M11</t>
  </si>
  <si>
    <t>BIR-0201</t>
  </si>
  <si>
    <t>DBI-GEN-M11</t>
  </si>
  <si>
    <t>Senior | Monthly Fee</t>
  </si>
  <si>
    <t>GENESIS CAPEX!N11</t>
  </si>
  <si>
    <t>BIR-0202</t>
  </si>
  <si>
    <t>DBI-GEN-N11</t>
  </si>
  <si>
    <t>Senior | Annual Revenue</t>
  </si>
  <si>
    <t>GENESIS CAPEX!O11</t>
  </si>
  <si>
    <t>BIR-0203</t>
  </si>
  <si>
    <t>DBI-GEN-O11</t>
  </si>
  <si>
    <t>Family | Members</t>
  </si>
  <si>
    <t>GENESIS CAPEX!M12</t>
  </si>
  <si>
    <t>BIR-0204</t>
  </si>
  <si>
    <t>DBI-GEN-M12</t>
  </si>
  <si>
    <t>Family | Monthly Fee</t>
  </si>
  <si>
    <t>GENESIS CAPEX!N12</t>
  </si>
  <si>
    <t>BIR-0205</t>
  </si>
  <si>
    <t>DBI-GEN-N12</t>
  </si>
  <si>
    <t>Family | Annual Revenue</t>
  </si>
  <si>
    <t>GENESIS CAPEX!O12</t>
  </si>
  <si>
    <t>BIR-0206</t>
  </si>
  <si>
    <t>DBI-GEN-O12</t>
  </si>
  <si>
    <t>Membership Revenue | Members</t>
  </si>
  <si>
    <t>GENESIS CAPEX!M13</t>
  </si>
  <si>
    <t>BIR-0207</t>
  </si>
  <si>
    <t>DBI-GEN-M13</t>
  </si>
  <si>
    <t>Membership Revenue | Annual Revenue</t>
  </si>
  <si>
    <t>GENESIS CAPEX!O13</t>
  </si>
  <si>
    <t>BIR-0208</t>
  </si>
  <si>
    <t>DBI-GEN-O13</t>
  </si>
  <si>
    <t>01.03  Aquatics programme revenue</t>
  </si>
  <si>
    <t>Learn to Swim | Annual Revenue</t>
  </si>
  <si>
    <t>Aquatics programme revenue</t>
  </si>
  <si>
    <t>GENESIS CAPEX!O16</t>
  </si>
  <si>
    <t>BIR-0209</t>
  </si>
  <si>
    <t>DBI-GEN-O16</t>
  </si>
  <si>
    <t>School programmes | Annual Revenue</t>
  </si>
  <si>
    <t>GENESIS CAPEX!O17</t>
  </si>
  <si>
    <t>BIR-0210</t>
  </si>
  <si>
    <t>DBI-GEN-O17</t>
  </si>
  <si>
    <t>Holiday clinics | Annual Revenue</t>
  </si>
  <si>
    <t>GENESIS CAPEX!O18</t>
  </si>
  <si>
    <t>BIR-0211</t>
  </si>
  <si>
    <t>DBI-GEN-O18</t>
  </si>
  <si>
    <t>01.04  Fitness, training &amp; activity programme revenue</t>
  </si>
  <si>
    <t>Personal Training | Annual Revenue</t>
  </si>
  <si>
    <t>Fitness, training &amp; activity programme revenue</t>
  </si>
  <si>
    <t>GENESIS CAPEX!O23</t>
  </si>
  <si>
    <t>BIR-0212</t>
  </si>
  <si>
    <t>DBI-GEN-O23</t>
  </si>
  <si>
    <t>Small Group Training | Annual Revenue</t>
  </si>
  <si>
    <t>GENESIS CAPEX!O24</t>
  </si>
  <si>
    <t>BIR-0213</t>
  </si>
  <si>
    <t>DBI-GEN-O24</t>
  </si>
  <si>
    <t>Pilates | Annual Revenue</t>
  </si>
  <si>
    <t>GENESIS CAPEX!O25</t>
  </si>
  <si>
    <t>BIR-0214</t>
  </si>
  <si>
    <t>DBI-GEN-O25</t>
  </si>
  <si>
    <t>Yoga | Annual Revenue</t>
  </si>
  <si>
    <t>GENESIS CAPEX!O26</t>
  </si>
  <si>
    <t>BIR-0215</t>
  </si>
  <si>
    <t>DBI-GEN-O26</t>
  </si>
  <si>
    <t>Gymnastics | Annual Revenue</t>
  </si>
  <si>
    <t>GENESIS CAPEX!O27</t>
  </si>
  <si>
    <t>BIR-0216</t>
  </si>
  <si>
    <t>DBI-GEN-O27</t>
  </si>
  <si>
    <t>Dance/Ballet/Cheer | Annual Revenue</t>
  </si>
  <si>
    <t>GENESIS CAPEX!O28</t>
  </si>
  <si>
    <t>BIR-0217</t>
  </si>
  <si>
    <t>DBI-GEN-O28</t>
  </si>
  <si>
    <t>Martial Arts | Annual Revenue</t>
  </si>
  <si>
    <t>GENESIS CAPEX!O29</t>
  </si>
  <si>
    <t>BIR-0218</t>
  </si>
  <si>
    <t>DBI-GEN-O29</t>
  </si>
  <si>
    <t>01.05  Health, wellness &amp; other revenue</t>
  </si>
  <si>
    <t>Physiotherapy rooms | Annual Revenue</t>
  </si>
  <si>
    <t>Health, wellness &amp; other revenue</t>
  </si>
  <si>
    <t>GENESIS CAPEX!O33</t>
  </si>
  <si>
    <t>BIR-0219</t>
  </si>
  <si>
    <t>DBI-GEN-O33</t>
  </si>
  <si>
    <t>Exercise Physiology | Annual Revenue</t>
  </si>
  <si>
    <t>GENESIS CAPEX!O34</t>
  </si>
  <si>
    <t>BIR-0220</t>
  </si>
  <si>
    <t>DBI-GEN-O34</t>
  </si>
  <si>
    <t>Allied Health consulting | Annual Revenue</t>
  </si>
  <si>
    <t>GENESIS CAPEX!O35</t>
  </si>
  <si>
    <t>BIR-0221</t>
  </si>
  <si>
    <t>DBI-GEN-O35</t>
  </si>
  <si>
    <t>Corporate wellness | Annual Revenue</t>
  </si>
  <si>
    <t>GENESIS CAPEX!O36</t>
  </si>
  <si>
    <t>BIR-0222</t>
  </si>
  <si>
    <t>DBI-GEN-O36</t>
  </si>
  <si>
    <t>Source text input B13</t>
  </si>
  <si>
    <t>Genesis Health &amp; Fitness Centre</t>
  </si>
  <si>
    <t>LEASE_TERMS_ASSUMPTIONS!B13</t>
  </si>
  <si>
    <t>BIR-0477</t>
  </si>
  <si>
    <t>TXT-0209</t>
  </si>
  <si>
    <t>Genesis Health &amp; Fitness Centre | REV</t>
  </si>
  <si>
    <t>LEASE_TERMS_ASSUMPTIONS!D13</t>
  </si>
  <si>
    <t>BIR-0478</t>
  </si>
  <si>
    <t>DBI-LTA-D13</t>
  </si>
  <si>
    <t>Source text input F13</t>
  </si>
  <si>
    <t>LEASE_TERMS_ASSUMPTIONS!F13</t>
  </si>
  <si>
    <t>BIR-0479</t>
  </si>
  <si>
    <t>TXT-0211</t>
  </si>
  <si>
    <t>Source text input G13</t>
  </si>
  <si>
    <t>LEASE_TERMS_ASSUMPTIONS!G13</t>
  </si>
  <si>
    <t>BIR-0480</t>
  </si>
  <si>
    <t>TXT-0212</t>
  </si>
  <si>
    <t>LEASE_TERMS_ASSUMPTIONS!H13</t>
  </si>
  <si>
    <t>BIR-0481</t>
  </si>
  <si>
    <t>DBI-LTA-H13</t>
  </si>
  <si>
    <t>LEASE_TERMS_ASSUMPTIONS!I13</t>
  </si>
  <si>
    <t>BIR-0482</t>
  </si>
  <si>
    <t>DBI-LTA-I13</t>
  </si>
  <si>
    <t>LEASE_TERMS_ASSUMPTIONS!J13</t>
  </si>
  <si>
    <t>BIR-0483</t>
  </si>
  <si>
    <t>DBI-LTA-J13</t>
  </si>
  <si>
    <t>LEASE_TERMS_ASSUMPTIONS!K13</t>
  </si>
  <si>
    <t>BIR-0484</t>
  </si>
  <si>
    <t>DBI-LTA-K13</t>
  </si>
  <si>
    <t>LEASE_TERMS_ASSUMPTIONS!L13</t>
  </si>
  <si>
    <t>BIR-0485</t>
  </si>
  <si>
    <t>DBI-LTA-L13</t>
  </si>
  <si>
    <t>LEASE_TERMS_ASSUMPTIONS!M13</t>
  </si>
  <si>
    <t>BIR-0486</t>
  </si>
  <si>
    <t>DBI-LTA-M13</t>
  </si>
  <si>
    <t>LEASE_TERMS_ASSUMPTIONS!N13</t>
  </si>
  <si>
    <t>BIR-0487</t>
  </si>
  <si>
    <t>DBI-LTA-N13</t>
  </si>
  <si>
    <t>LEASE_TERMS_ASSUMPTIONS!O13</t>
  </si>
  <si>
    <t>BIR-0488</t>
  </si>
  <si>
    <t>DBI-LTA-O13</t>
  </si>
  <si>
    <t>LEASE_TERMS_ASSUMPTIONS!P13</t>
  </si>
  <si>
    <t>BIR-0489</t>
  </si>
  <si>
    <t>DBI-LTA-P13</t>
  </si>
  <si>
    <t>LEASE_TERMS_ASSUMPTIONS!Q13</t>
  </si>
  <si>
    <t>BIR-0490</t>
  </si>
  <si>
    <t>DBI-LTA-Q13</t>
  </si>
  <si>
    <t>03  PBSA</t>
  </si>
  <si>
    <t>28 lines / 28 records</t>
  </si>
  <si>
    <t>01  LEASING &amp; COMMERCIAL</t>
  </si>
  <si>
    <t>28 lines / 28 rec.</t>
  </si>
  <si>
    <t>01.01  Room mix, capacity &amp; weekly rates</t>
  </si>
  <si>
    <t>Premium Studio | Total Building Count</t>
  </si>
  <si>
    <t>Room mix, capacity &amp; weekly rates</t>
  </si>
  <si>
    <t>PBSA CAPEX!H59</t>
  </si>
  <si>
    <t>BIR-0227</t>
  </si>
  <si>
    <t>DBI-PBC-H59</t>
  </si>
  <si>
    <t>Premium Large Studio | Total Building Count</t>
  </si>
  <si>
    <t>PBSA CAPEX!H60</t>
  </si>
  <si>
    <t>BIR-0228</t>
  </si>
  <si>
    <t>DBI-PBC-H60</t>
  </si>
  <si>
    <t>Premium X-Large Studio | Total Building Count</t>
  </si>
  <si>
    <t>PBSA CAPEX!H61</t>
  </si>
  <si>
    <t>BIR-0229</t>
  </si>
  <si>
    <t>DBI-PBC-H61</t>
  </si>
  <si>
    <t>Premium Luxury X-Large | Total Building Count</t>
  </si>
  <si>
    <t>PBSA CAPEX!H62</t>
  </si>
  <si>
    <t>BIR-0230</t>
  </si>
  <si>
    <t>DBI-PBC-H62</t>
  </si>
  <si>
    <t>Premium Luxury X-Large (2 Bed) | Total Building Count</t>
  </si>
  <si>
    <t>PBSA CAPEX!H63</t>
  </si>
  <si>
    <t>BIR-0231</t>
  </si>
  <si>
    <t>DBI-PBC-H63</t>
  </si>
  <si>
    <t>Premium Studio | Size M2</t>
  </si>
  <si>
    <t>PBSA CAPEX!E59</t>
  </si>
  <si>
    <t>BIR-0232</t>
  </si>
  <si>
    <t>DBI-PBC-E59</t>
  </si>
  <si>
    <t>Premium Studio | Type A Floors (8 Floors)</t>
  </si>
  <si>
    <t>PBSA CAPEX!F59</t>
  </si>
  <si>
    <t>BIR-0233</t>
  </si>
  <si>
    <t>DBI-PBC-F59</t>
  </si>
  <si>
    <t>Premium Studio | Type B Floors (8 Floors)</t>
  </si>
  <si>
    <t>PBSA CAPEX!G59</t>
  </si>
  <si>
    <t>BIR-0234</t>
  </si>
  <si>
    <t>DBI-PBC-G59</t>
  </si>
  <si>
    <t>Premium Large Studio | Size M2</t>
  </si>
  <si>
    <t>PBSA CAPEX!E60</t>
  </si>
  <si>
    <t>BIR-0235</t>
  </si>
  <si>
    <t>DBI-PBC-E60</t>
  </si>
  <si>
    <t>Premium Large Studio | Type A Floors (8 Floors)</t>
  </si>
  <si>
    <t>PBSA CAPEX!F60</t>
  </si>
  <si>
    <t>BIR-0236</t>
  </si>
  <si>
    <t>DBI-PBC-F60</t>
  </si>
  <si>
    <t>Premium Large Studio | Type B Floors (8 Floors)</t>
  </si>
  <si>
    <t>PBSA CAPEX!G60</t>
  </si>
  <si>
    <t>BIR-0237</t>
  </si>
  <si>
    <t>DBI-PBC-G60</t>
  </si>
  <si>
    <t>Premium X-Large Studio | Size M2</t>
  </si>
  <si>
    <t>PBSA CAPEX!E61</t>
  </si>
  <si>
    <t>BIR-0238</t>
  </si>
  <si>
    <t>DBI-PBC-E61</t>
  </si>
  <si>
    <t>Premium X-Large Studio | Type A Floors (8 Floors)</t>
  </si>
  <si>
    <t>PBSA CAPEX!F61</t>
  </si>
  <si>
    <t>BIR-0239</t>
  </si>
  <si>
    <t>DBI-PBC-F61</t>
  </si>
  <si>
    <t>Premium X-Large Studio | Type B Floors (8 Floors)</t>
  </si>
  <si>
    <t>PBSA CAPEX!G61</t>
  </si>
  <si>
    <t>BIR-0240</t>
  </si>
  <si>
    <t>DBI-PBC-G61</t>
  </si>
  <si>
    <t>Premium Luxury X-Large | Size M2</t>
  </si>
  <si>
    <t>PBSA CAPEX!E62</t>
  </si>
  <si>
    <t>BIR-0241</t>
  </si>
  <si>
    <t>DBI-PBC-E62</t>
  </si>
  <si>
    <t>Premium Luxury X-Large | Type A Floors (8 Floors)</t>
  </si>
  <si>
    <t>PBSA CAPEX!F62</t>
  </si>
  <si>
    <t>BIR-0242</t>
  </si>
  <si>
    <t>DBI-PBC-F62</t>
  </si>
  <si>
    <t>Premium Luxury X-Large | Type B Floors (8 Floors)</t>
  </si>
  <si>
    <t>PBSA CAPEX!G62</t>
  </si>
  <si>
    <t>BIR-0243</t>
  </si>
  <si>
    <t>DBI-PBC-G62</t>
  </si>
  <si>
    <t>Premium Luxury X-Large (2 Bed) | Size M2</t>
  </si>
  <si>
    <t>PBSA CAPEX!E63</t>
  </si>
  <si>
    <t>BIR-0244</t>
  </si>
  <si>
    <t>DBI-PBC-E63</t>
  </si>
  <si>
    <t>Premium Luxury X-Large (2 Bed) | Type A Floors (8 Floors)</t>
  </si>
  <si>
    <t>PBSA CAPEX!F63</t>
  </si>
  <si>
    <t>BIR-0245</t>
  </si>
  <si>
    <t>DBI-PBC-F63</t>
  </si>
  <si>
    <t>Premium Luxury X-Large (2 Bed) | Type B Floors (8 Floors)</t>
  </si>
  <si>
    <t>PBSA CAPEX!G63</t>
  </si>
  <si>
    <t>BIR-0246</t>
  </si>
  <si>
    <t>DBI-PBC-G63</t>
  </si>
  <si>
    <t>Premium Studio | Room Rate Per Week</t>
  </si>
  <si>
    <t>PBSA CAPEX!I59</t>
  </si>
  <si>
    <t>BIR-0247</t>
  </si>
  <si>
    <t>DBI-PBC-I59</t>
  </si>
  <si>
    <t>Premium Large Studio | Room Rate Per Week</t>
  </si>
  <si>
    <t>PBSA CAPEX!I60</t>
  </si>
  <si>
    <t>BIR-0248</t>
  </si>
  <si>
    <t>DBI-PBC-I60</t>
  </si>
  <si>
    <t>Premium X-Large Studio | Room Rate Per Week</t>
  </si>
  <si>
    <t>PBSA CAPEX!I61</t>
  </si>
  <si>
    <t>BIR-0249</t>
  </si>
  <si>
    <t>DBI-PBC-I61</t>
  </si>
  <si>
    <t>Premium Luxury X-Large | Room Rate Per Week</t>
  </si>
  <si>
    <t>PBSA CAPEX!I62</t>
  </si>
  <si>
    <t>BIR-0250</t>
  </si>
  <si>
    <t>DBI-PBC-I62</t>
  </si>
  <si>
    <t>Premium Luxury X-Large (2 Bed) | Room Rate Per Week</t>
  </si>
  <si>
    <t>PBSA CAPEX!I63</t>
  </si>
  <si>
    <t>BIR-0251</t>
  </si>
  <si>
    <t>DBI-PBC-I63</t>
  </si>
  <si>
    <t>01.02  Lease value &amp; revenue basis</t>
  </si>
  <si>
    <t>Source text input B10</t>
  </si>
  <si>
    <t>Student Accommodation (Revenue after expenses NOI/EBITDA)</t>
  </si>
  <si>
    <t>LEASE_TERMS_ASSUMPTIONS!B10</t>
  </si>
  <si>
    <t>BIR-0450</t>
  </si>
  <si>
    <t>TXT-0182</t>
  </si>
  <si>
    <t>01.03  Area, rent basis &amp; payment terms</t>
  </si>
  <si>
    <t>Source text input D10</t>
  </si>
  <si>
    <t>REV</t>
  </si>
  <si>
    <t>LEASE_TERMS_ASSUMPTIONS!D10</t>
  </si>
  <si>
    <t>BIR-0451</t>
  </si>
  <si>
    <t>TXT-0183</t>
  </si>
  <si>
    <t>01.04  Fit-out rent-free &amp; abatement</t>
  </si>
  <si>
    <t>REV | FIT OUT RENT FREE PERIOD (MONTHS)</t>
  </si>
  <si>
    <t>LEASE_TERMS_ASSUMPTIONS!O10</t>
  </si>
  <si>
    <t>BIR-0452</t>
  </si>
  <si>
    <t>DBI-LTA-O10</t>
  </si>
  <si>
    <t>04  CAR PARK</t>
  </si>
  <si>
    <t>14 lines / 14 records</t>
  </si>
  <si>
    <t>01.01  Operating costs, management &amp; maintenance</t>
  </si>
  <si>
    <t>Energy Costs (EV &amp; Lighting) | Baseline Retail</t>
  </si>
  <si>
    <t>Operating costs, management &amp; maintenance</t>
  </si>
  <si>
    <t>Parking OPEX</t>
  </si>
  <si>
    <t>CARPARK OPEX!D11</t>
  </si>
  <si>
    <t>BIR-0252</t>
  </si>
  <si>
    <t>DBI-CPO-D11</t>
  </si>
  <si>
    <t>Shuttle Bus Operations | Baseline Retail</t>
  </si>
  <si>
    <t>CARPARK OPEX!D12</t>
  </si>
  <si>
    <t>BIR-0253</t>
  </si>
  <si>
    <t>DBI-CPO-D12</t>
  </si>
  <si>
    <t>Facility Maintenance/Cleaning | Baseline Retail</t>
  </si>
  <si>
    <t>CARPARK OPEX!D13</t>
  </si>
  <si>
    <t>BIR-0257</t>
  </si>
  <si>
    <t>DBI-CPO-D13</t>
  </si>
  <si>
    <t>LPR Software &amp; Tech Opex | Baseline Retail</t>
  </si>
  <si>
    <t>CARPARK OPEX!D14</t>
  </si>
  <si>
    <t>BIR-0258</t>
  </si>
  <si>
    <t>DBI-CPO-D14</t>
  </si>
  <si>
    <t>Rates, Levies &amp; Insurances | Baseline Retail</t>
  </si>
  <si>
    <t>CARPARK OPEX!D15</t>
  </si>
  <si>
    <t>BIR-0259</t>
  </si>
  <si>
    <t>DBI-CPO-D15</t>
  </si>
  <si>
    <t>01.02  Demand, tariffs, revenue &amp; escalation</t>
  </si>
  <si>
    <t>Rate Increase PA</t>
  </si>
  <si>
    <t>Demand, tariffs, revenue &amp; escalation</t>
  </si>
  <si>
    <t>CARPARK OPEX!P6</t>
  </si>
  <si>
    <t>BIR-0254</t>
  </si>
  <si>
    <t>DBI-CPO-P6</t>
  </si>
  <si>
    <t>Commercial/Sponsorships | Venues Open</t>
  </si>
  <si>
    <t>CARPARK OPEX!E7</t>
  </si>
  <si>
    <t>BIR-0255</t>
  </si>
  <si>
    <t>DBI-CPO-E7</t>
  </si>
  <si>
    <t>Inflation:</t>
  </si>
  <si>
    <t>CARPARK OPEX!P4</t>
  </si>
  <si>
    <t>BIR-0256</t>
  </si>
  <si>
    <t>DBI-CPO-P4</t>
  </si>
  <si>
    <t>CARPARK OPEX!P5</t>
  </si>
  <si>
    <t>BIR-0260</t>
  </si>
  <si>
    <t>DBI-CPO-P5</t>
  </si>
  <si>
    <t>Gross Parking Revenue | Baseline Retail</t>
  </si>
  <si>
    <t>CARPARK OPEX!D6</t>
  </si>
  <si>
    <t>BIR-0261</t>
  </si>
  <si>
    <t>DBI-CPO-D6</t>
  </si>
  <si>
    <t>Commercial/Sponsorships | Baseline Retail</t>
  </si>
  <si>
    <t>CARPARK OPEX!D7</t>
  </si>
  <si>
    <t>BIR-0262</t>
  </si>
  <si>
    <t>DBI-CPO-D7</t>
  </si>
  <si>
    <t>Source text input B14</t>
  </si>
  <si>
    <t>Carpark (No Abatement - Revenue Model</t>
  </si>
  <si>
    <t>LEASE_TERMS_ASSUMPTIONS!B14</t>
  </si>
  <si>
    <t>BIR-0491</t>
  </si>
  <si>
    <t>TXT-0223</t>
  </si>
  <si>
    <t>Source text input D14</t>
  </si>
  <si>
    <t>LEASE_TERMS_ASSUMPTIONS!D14</t>
  </si>
  <si>
    <t>BIR-0492</t>
  </si>
  <si>
    <t>TXT-0224</t>
  </si>
  <si>
    <t>02.03  Fit-out rent-free &amp; abatement</t>
  </si>
  <si>
    <t>LEASE_TERMS_ASSUMPTIONS!O14</t>
  </si>
  <si>
    <t>BIR-0493</t>
  </si>
  <si>
    <t>DBI-LTA-O14</t>
  </si>
  <si>
    <t>05  LIVEHOUSE</t>
  </si>
  <si>
    <t>18 lines / 18 records</t>
  </si>
  <si>
    <t>01.01  Landlord outgoings</t>
  </si>
  <si>
    <t>Full landlord outgoings from fit-out | FY25</t>
  </si>
  <si>
    <t>Landlord outgoings</t>
  </si>
  <si>
    <t>LIVEHOUSE Opex and Capex!B11</t>
  </si>
  <si>
    <t>BIR-0278</t>
  </si>
  <si>
    <t>DBI-LHC-B11</t>
  </si>
  <si>
    <t>Full landlord outgoings from fit-out | FY26</t>
  </si>
  <si>
    <t>LIVEHOUSE Opex and Capex!C11</t>
  </si>
  <si>
    <t>BIR-0279</t>
  </si>
  <si>
    <t>DBI-LHC-C11</t>
  </si>
  <si>
    <t>02.01  Landlord lease cost</t>
  </si>
  <si>
    <t>Landlord book lease cost (20-year average) | FY25</t>
  </si>
  <si>
    <t>Landlord lease cost</t>
  </si>
  <si>
    <t>LIVEHOUSE Opex and Capex!B10</t>
  </si>
  <si>
    <t>BIR-0280</t>
  </si>
  <si>
    <t>DBI-LHC-B10</t>
  </si>
  <si>
    <t>Landlord book lease cost (20-year average) | FY26</t>
  </si>
  <si>
    <t>LIVEHOUSE Opex and Capex!C10</t>
  </si>
  <si>
    <t>BIR-0281</t>
  </si>
  <si>
    <t>DBI-LHC-C10</t>
  </si>
  <si>
    <t>02.02  Lease value &amp; revenue basis</t>
  </si>
  <si>
    <t>Source text input B11</t>
  </si>
  <si>
    <t>LEASE_TERMS_ASSUMPTIONS!B11</t>
  </si>
  <si>
    <t>BIR-0453</t>
  </si>
  <si>
    <t>TXT-0185</t>
  </si>
  <si>
    <t>02.03  Area, rent basis &amp; payment terms</t>
  </si>
  <si>
    <t>LiveHouse | REV</t>
  </si>
  <si>
    <t>LEASE_TERMS_ASSUMPTIONS!D11</t>
  </si>
  <si>
    <t>BIR-0454</t>
  </si>
  <si>
    <t>DBI-LTA-D11</t>
  </si>
  <si>
    <t>Source text input F11</t>
  </si>
  <si>
    <t>LEASE_TERMS_ASSUMPTIONS!F11</t>
  </si>
  <si>
    <t>BIR-0455</t>
  </si>
  <si>
    <t>TXT-0187</t>
  </si>
  <si>
    <t>Source text input G11</t>
  </si>
  <si>
    <t>LEASE_TERMS_ASSUMPTIONS!G11</t>
  </si>
  <si>
    <t>BIR-0456</t>
  </si>
  <si>
    <t>TXT-0188</t>
  </si>
  <si>
    <t>02.04  Escalation, review, term &amp; options</t>
  </si>
  <si>
    <t>LEASE_TERMS_ASSUMPTIONS!H11</t>
  </si>
  <si>
    <t>BIR-0457</t>
  </si>
  <si>
    <t>DBI-LTA-H11</t>
  </si>
  <si>
    <t>LEASE_TERMS_ASSUMPTIONS!I11</t>
  </si>
  <si>
    <t>BIR-0458</t>
  </si>
  <si>
    <t>DBI-LTA-I11</t>
  </si>
  <si>
    <t>LEASE_TERMS_ASSUMPTIONS!J11</t>
  </si>
  <si>
    <t>BIR-0459</t>
  </si>
  <si>
    <t>DBI-LTA-J11</t>
  </si>
  <si>
    <t>LEASE_TERMS_ASSUMPTIONS!K11</t>
  </si>
  <si>
    <t>BIR-0460</t>
  </si>
  <si>
    <t>DBI-LTA-K11</t>
  </si>
  <si>
    <t>LEASE_TERMS_ASSUMPTIONS!L11</t>
  </si>
  <si>
    <t>BIR-0461</t>
  </si>
  <si>
    <t>DBI-LTA-L11</t>
  </si>
  <si>
    <t>02.05  Access, lease &amp; outgoings commencement</t>
  </si>
  <si>
    <t>LEASE_TERMS_ASSUMPTIONS!M11</t>
  </si>
  <si>
    <t>BIR-0462</t>
  </si>
  <si>
    <t>DBI-LTA-M11</t>
  </si>
  <si>
    <t>LEASE_TERMS_ASSUMPTIONS!N11</t>
  </si>
  <si>
    <t>BIR-0463</t>
  </si>
  <si>
    <t>DBI-LTA-N11</t>
  </si>
  <si>
    <t>02.06  Fit-out rent-free &amp; abatement</t>
  </si>
  <si>
    <t>LEASE_TERMS_ASSUMPTIONS!O11</t>
  </si>
  <si>
    <t>BIR-0464</t>
  </si>
  <si>
    <t>DBI-LTA-O11</t>
  </si>
  <si>
    <t>LEASE_TERMS_ASSUMPTIONS!P11</t>
  </si>
  <si>
    <t>BIR-0465</t>
  </si>
  <si>
    <t>DBI-LTA-P11</t>
  </si>
  <si>
    <t>LEASE_TERMS_ASSUMPTIONS!Q11</t>
  </si>
  <si>
    <t>BIR-0466</t>
  </si>
  <si>
    <t>DBI-LTA-Q11</t>
  </si>
  <si>
    <t>06  SNOWTUNNEL</t>
  </si>
  <si>
    <t>01.01  Lease value &amp; revenue basis</t>
  </si>
  <si>
    <t>Source text input B15</t>
  </si>
  <si>
    <t>LEASE_TERMS_ASSUMPTIONS!B15</t>
  </si>
  <si>
    <t>BIR-0494</t>
  </si>
  <si>
    <t>TXT-0226</t>
  </si>
  <si>
    <t>01.02  Area, rent basis &amp; payment terms</t>
  </si>
  <si>
    <t>Snowtunnel | REV</t>
  </si>
  <si>
    <t>LEASE_TERMS_ASSUMPTIONS!D15</t>
  </si>
  <si>
    <t>BIR-0495</t>
  </si>
  <si>
    <t>DBI-LTA-D15</t>
  </si>
  <si>
    <t>Source text input F15</t>
  </si>
  <si>
    <t>LEASE_TERMS_ASSUMPTIONS!F15</t>
  </si>
  <si>
    <t>BIR-0496</t>
  </si>
  <si>
    <t>TXT-0228</t>
  </si>
  <si>
    <t>Source text input G15</t>
  </si>
  <si>
    <t>LEASE_TERMS_ASSUMPTIONS!G15</t>
  </si>
  <si>
    <t>BIR-0497</t>
  </si>
  <si>
    <t>TXT-0229</t>
  </si>
  <si>
    <t>01.03  Escalation, review, term &amp; options</t>
  </si>
  <si>
    <t>LEASE_TERMS_ASSUMPTIONS!H15</t>
  </si>
  <si>
    <t>BIR-0498</t>
  </si>
  <si>
    <t>DBI-LTA-H15</t>
  </si>
  <si>
    <t>LEASE_TERMS_ASSUMPTIONS!I15</t>
  </si>
  <si>
    <t>BIR-0499</t>
  </si>
  <si>
    <t>DBI-LTA-I15</t>
  </si>
  <si>
    <t>LEASE_TERMS_ASSUMPTIONS!J15</t>
  </si>
  <si>
    <t>BIR-0500</t>
  </si>
  <si>
    <t>DBI-LTA-J15</t>
  </si>
  <si>
    <t>LEASE_TERMS_ASSUMPTIONS!K15</t>
  </si>
  <si>
    <t>BIR-0501</t>
  </si>
  <si>
    <t>DBI-LTA-K15</t>
  </si>
  <si>
    <t>LEASE_TERMS_ASSUMPTIONS!L15</t>
  </si>
  <si>
    <t>BIR-0502</t>
  </si>
  <si>
    <t>DBI-LTA-L15</t>
  </si>
  <si>
    <t>01.04  Access, lease &amp; outgoings commencement</t>
  </si>
  <si>
    <t>LEASE_TERMS_ASSUMPTIONS!M15</t>
  </si>
  <si>
    <t>BIR-0503</t>
  </si>
  <si>
    <t>DBI-LTA-M15</t>
  </si>
  <si>
    <t>LEASE_TERMS_ASSUMPTIONS!N15</t>
  </si>
  <si>
    <t>BIR-0504</t>
  </si>
  <si>
    <t>DBI-LTA-N15</t>
  </si>
  <si>
    <t>01.05  Fit-out rent-free &amp; abatement</t>
  </si>
  <si>
    <t>LEASE_TERMS_ASSUMPTIONS!O15</t>
  </si>
  <si>
    <t>BIR-0505</t>
  </si>
  <si>
    <t>DBI-LTA-O15</t>
  </si>
  <si>
    <t>LEASE_TERMS_ASSUMPTIONS!P15</t>
  </si>
  <si>
    <t>BIR-0506</t>
  </si>
  <si>
    <t>DBI-LTA-P15</t>
  </si>
  <si>
    <t>LEASE_TERMS_ASSUMPTIONS!Q15</t>
  </si>
  <si>
    <t>BIR-0507</t>
  </si>
  <si>
    <t>DBI-LTA-Q15</t>
  </si>
  <si>
    <t>07  GO KART</t>
  </si>
  <si>
    <t>Source text input B16</t>
  </si>
  <si>
    <t>Go Kart 25% Abatement</t>
  </si>
  <si>
    <t>LEASE_TERMS_ASSUMPTIONS!B16</t>
  </si>
  <si>
    <t>BIR-0508</t>
  </si>
  <si>
    <t>TXT-0240</t>
  </si>
  <si>
    <t>Go Kart 25% Abatement | REV</t>
  </si>
  <si>
    <t>LEASE_TERMS_ASSUMPTIONS!D16</t>
  </si>
  <si>
    <t>BIR-0509</t>
  </si>
  <si>
    <t>DBI-LTA-D16</t>
  </si>
  <si>
    <t>Source text input F16</t>
  </si>
  <si>
    <t>LEASE_TERMS_ASSUMPTIONS!F16</t>
  </si>
  <si>
    <t>BIR-0510</t>
  </si>
  <si>
    <t>TXT-0242</t>
  </si>
  <si>
    <t>Source text input G16</t>
  </si>
  <si>
    <t>LEASE_TERMS_ASSUMPTIONS!G16</t>
  </si>
  <si>
    <t>BIR-0511</t>
  </si>
  <si>
    <t>TXT-0243</t>
  </si>
  <si>
    <t>LEASE_TERMS_ASSUMPTIONS!H16</t>
  </si>
  <si>
    <t>BIR-0512</t>
  </si>
  <si>
    <t>DBI-LTA-H16</t>
  </si>
  <si>
    <t>LEASE_TERMS_ASSUMPTIONS!I16</t>
  </si>
  <si>
    <t>BIR-0513</t>
  </si>
  <si>
    <t>DBI-LTA-I16</t>
  </si>
  <si>
    <t>LEASE_TERMS_ASSUMPTIONS!J16</t>
  </si>
  <si>
    <t>BIR-0514</t>
  </si>
  <si>
    <t>DBI-LTA-J16</t>
  </si>
  <si>
    <t>LEASE_TERMS_ASSUMPTIONS!K16</t>
  </si>
  <si>
    <t>BIR-0515</t>
  </si>
  <si>
    <t>DBI-LTA-K16</t>
  </si>
  <si>
    <t>LEASE_TERMS_ASSUMPTIONS!L16</t>
  </si>
  <si>
    <t>BIR-0516</t>
  </si>
  <si>
    <t>DBI-LTA-L16</t>
  </si>
  <si>
    <t>LEASE_TERMS_ASSUMPTIONS!M16</t>
  </si>
  <si>
    <t>BIR-0517</t>
  </si>
  <si>
    <t>DBI-LTA-M16</t>
  </si>
  <si>
    <t>LEASE_TERMS_ASSUMPTIONS!N16</t>
  </si>
  <si>
    <t>BIR-0518</t>
  </si>
  <si>
    <t>DBI-LTA-N16</t>
  </si>
  <si>
    <t>LEASE_TERMS_ASSUMPTIONS!O16</t>
  </si>
  <si>
    <t>BIR-0519</t>
  </si>
  <si>
    <t>DBI-LTA-O16</t>
  </si>
  <si>
    <t>LEASE_TERMS_ASSUMPTIONS!P16</t>
  </si>
  <si>
    <t>BIR-0520</t>
  </si>
  <si>
    <t>DBI-LTA-P16</t>
  </si>
  <si>
    <t>LEASE_TERMS_ASSUMPTIONS!Q16</t>
  </si>
  <si>
    <t>BIR-0521</t>
  </si>
  <si>
    <t>DBI-LTA-Q16</t>
  </si>
  <si>
    <t>08  LANDSCAPE ATTRACTION</t>
  </si>
  <si>
    <t>Source text input B17</t>
  </si>
  <si>
    <t>Landscape based attraction NO abatement</t>
  </si>
  <si>
    <t>LEASE_TERMS_ASSUMPTIONS!B17</t>
  </si>
  <si>
    <t>BIR-0522</t>
  </si>
  <si>
    <t>TXT-0254</t>
  </si>
  <si>
    <t>Landscape based attraction NO abatement | REV</t>
  </si>
  <si>
    <t>LEASE_TERMS_ASSUMPTIONS!D17</t>
  </si>
  <si>
    <t>BIR-0523</t>
  </si>
  <si>
    <t>DBI-LTA-D17</t>
  </si>
  <si>
    <t>Source text input F17</t>
  </si>
  <si>
    <t>LEASE_TERMS_ASSUMPTIONS!F17</t>
  </si>
  <si>
    <t>BIR-0524</t>
  </si>
  <si>
    <t>TXT-0256</t>
  </si>
  <si>
    <t>Source text input G17</t>
  </si>
  <si>
    <t>LEASE_TERMS_ASSUMPTIONS!G17</t>
  </si>
  <si>
    <t>BIR-0525</t>
  </si>
  <si>
    <t>TXT-0257</t>
  </si>
  <si>
    <t>LEASE_TERMS_ASSUMPTIONS!H17</t>
  </si>
  <si>
    <t>BIR-0526</t>
  </si>
  <si>
    <t>DBI-LTA-H17</t>
  </si>
  <si>
    <t>LEASE_TERMS_ASSUMPTIONS!I17</t>
  </si>
  <si>
    <t>BIR-0527</t>
  </si>
  <si>
    <t>DBI-LTA-I17</t>
  </si>
  <si>
    <t>LEASE_TERMS_ASSUMPTIONS!J17</t>
  </si>
  <si>
    <t>BIR-0528</t>
  </si>
  <si>
    <t>DBI-LTA-J17</t>
  </si>
  <si>
    <t>LEASE_TERMS_ASSUMPTIONS!K17</t>
  </si>
  <si>
    <t>BIR-0529</t>
  </si>
  <si>
    <t>DBI-LTA-K17</t>
  </si>
  <si>
    <t>LEASE_TERMS_ASSUMPTIONS!L17</t>
  </si>
  <si>
    <t>BIR-0530</t>
  </si>
  <si>
    <t>DBI-LTA-L17</t>
  </si>
  <si>
    <t>LEASE_TERMS_ASSUMPTIONS!M17</t>
  </si>
  <si>
    <t>BIR-0531</t>
  </si>
  <si>
    <t>DBI-LTA-M17</t>
  </si>
  <si>
    <t>LEASE_TERMS_ASSUMPTIONS!N17</t>
  </si>
  <si>
    <t>BIR-0532</t>
  </si>
  <si>
    <t>DBI-LTA-N17</t>
  </si>
  <si>
    <t>LEASE_TERMS_ASSUMPTIONS!O17</t>
  </si>
  <si>
    <t>BIR-0533</t>
  </si>
  <si>
    <t>DBI-LTA-O17</t>
  </si>
  <si>
    <t>LEASE_TERMS_ASSUMPTIONS!P17</t>
  </si>
  <si>
    <t>BIR-0534</t>
  </si>
  <si>
    <t>DBI-LTA-P17</t>
  </si>
  <si>
    <t>LEASE_TERMS_ASSUMPTIONS!Q17</t>
  </si>
  <si>
    <t>BIR-0535</t>
  </si>
  <si>
    <t>DBI-LTA-Q17</t>
  </si>
  <si>
    <t>09  STORAGE</t>
  </si>
  <si>
    <t>15 lines / 23 records</t>
  </si>
  <si>
    <t>7 lines / 14 rec.</t>
  </si>
  <si>
    <t>01.01  Revenue, operating costs &amp; NOI</t>
  </si>
  <si>
    <t>Gross Revenue (85% Occ.) | Year 1</t>
  </si>
  <si>
    <t>Revenue, operating costs &amp; NOI</t>
  </si>
  <si>
    <t>STORAGE OPEX CAPEX!C19 | STORAGE OPEX CAPEX!E195</t>
  </si>
  <si>
    <t>BIR-0266</t>
  </si>
  <si>
    <t>DBI-SOC-C19 | DBI-SOC-E195</t>
  </si>
  <si>
    <t>Other OpEx &amp; Insurances | Baseline</t>
  </si>
  <si>
    <t>STORAGE OPEX CAPEX!C25 | STORAGE OPEX CAPEX!E201</t>
  </si>
  <si>
    <t>BIR-0267</t>
  </si>
  <si>
    <t>DBI-SOC-C25 | DBI-SOC-E201</t>
  </si>
  <si>
    <t>Net Operating Income (NOI) | Baseline</t>
  </si>
  <si>
    <t>STORAGE OPEX CAPEX!C28 | STORAGE OPEX CAPEX!E204</t>
  </si>
  <si>
    <t>BIR-0268</t>
  </si>
  <si>
    <t>DBI-SOC-C28 | DBI-SOC-E204</t>
  </si>
  <si>
    <t>Net Operating Income (NOI) | Year 2</t>
  </si>
  <si>
    <t>STORAGE OPEX CAPEX!D28 | STORAGE OPEX CAPEX!F204</t>
  </si>
  <si>
    <t>BIR-0269</t>
  </si>
  <si>
    <t>DBI-SOC-D28 | DBI-SOC-F204</t>
  </si>
  <si>
    <t>Net Operating Income (NOI) | Year 3</t>
  </si>
  <si>
    <t>STORAGE OPEX CAPEX!E28 | STORAGE OPEX CAPEX!G204</t>
  </si>
  <si>
    <t>BIR-0270</t>
  </si>
  <si>
    <t>DBI-SOC-E28 | DBI-SOC-G204</t>
  </si>
  <si>
    <t>Net Operating Income (NOI) | Year 4</t>
  </si>
  <si>
    <t>STORAGE OPEX CAPEX!F28 | STORAGE OPEX CAPEX!H204</t>
  </si>
  <si>
    <t>BIR-0271</t>
  </si>
  <si>
    <t>DBI-SOC-F28 | DBI-SOC-H204</t>
  </si>
  <si>
    <t>Net Operating Income (NOI) | Year 5</t>
  </si>
  <si>
    <t>STORAGE OPEX CAPEX!G28 | STORAGE OPEX CAPEX!I204</t>
  </si>
  <si>
    <t>BIR-0272</t>
  </si>
  <si>
    <t>DBI-SOC-G28 | DBI-SOC-I204</t>
  </si>
  <si>
    <t>8 lines / 9 rec.</t>
  </si>
  <si>
    <t>02.01  Unit mix &amp; rentable-area allocation</t>
  </si>
  <si>
    <t>210 sqm | % of Rentable Area</t>
  </si>
  <si>
    <t>Unit mix &amp; rentable-area allocation</t>
  </si>
  <si>
    <t>STORAGE OPEX CAPEX!G8 | STORAGE OPEX CAPEX!G11</t>
  </si>
  <si>
    <t>BIR-0273</t>
  </si>
  <si>
    <t>DBI-SOC-G8 | DBI-SOC-G11</t>
  </si>
  <si>
    <t>420 sqm | % of Rentable Area</t>
  </si>
  <si>
    <t>STORAGE OPEX CAPEX!G9</t>
  </si>
  <si>
    <t>BIR-0274</t>
  </si>
  <si>
    <t>DBI-SOC-G9</t>
  </si>
  <si>
    <t>495 sqm | % of Rentable Area</t>
  </si>
  <si>
    <t>STORAGE OPEX CAPEX!G10</t>
  </si>
  <si>
    <t>BIR-0275</t>
  </si>
  <si>
    <t>DBI-SOC-G10</t>
  </si>
  <si>
    <t>65 sqm | % of Rentable Area</t>
  </si>
  <si>
    <t>STORAGE OPEX CAPEX!G12</t>
  </si>
  <si>
    <t>BIR-0276</t>
  </si>
  <si>
    <t>DBI-SOC-G12</t>
  </si>
  <si>
    <t>1,400 sqm | % of Rentable Area</t>
  </si>
  <si>
    <t>STORAGE OPEX CAPEX!G13</t>
  </si>
  <si>
    <t>BIR-0277</t>
  </si>
  <si>
    <t>DBI-SOC-G13</t>
  </si>
  <si>
    <t>Source text input B18</t>
  </si>
  <si>
    <t>Storage Units (No Abatement)</t>
  </si>
  <si>
    <t>LEASE_TERMS_ASSUMPTIONS!B18</t>
  </si>
  <si>
    <t>BIR-0536</t>
  </si>
  <si>
    <t>TXT-0268</t>
  </si>
  <si>
    <t>Storage Units (No Abatement) | REV</t>
  </si>
  <si>
    <t>LEASE_TERMS_ASSUMPTIONS!D18</t>
  </si>
  <si>
    <t>referenced by 4 formula(s); raw source value retained without external link</t>
  </si>
  <si>
    <t>BIR-0537</t>
  </si>
  <si>
    <t>DBI-LTA-D18</t>
  </si>
  <si>
    <t>02.04  Fit-out rent-free &amp; abatement</t>
  </si>
  <si>
    <t>LEASE_TERMS_ASSUMPTIONS!O18</t>
  </si>
  <si>
    <t>BIR-0538</t>
  </si>
  <si>
    <t>DBI-LTA-O18</t>
  </si>
  <si>
    <t>10  FOOD &amp; BEVERAGE &amp; RETAIL</t>
  </si>
  <si>
    <t>10 lines / 10 records</t>
  </si>
  <si>
    <t>Source text input B12</t>
  </si>
  <si>
    <t>Flexible Retail/F&amp;B (Food Truck Park with 8 stalls) No abatement</t>
  </si>
  <si>
    <t>LEASE_TERMS_ASSUMPTIONS!B12</t>
  </si>
  <si>
    <t>BIR-0467</t>
  </si>
  <si>
    <t>TXT-0199</t>
  </si>
  <si>
    <t>Flexible Retail/F&amp;B (Food Truck Park with 8 stalls) No abatement | REV</t>
  </si>
  <si>
    <t>LEASE_TERMS_ASSUMPTIONS!D12</t>
  </si>
  <si>
    <t>BIR-0468</t>
  </si>
  <si>
    <t>DBI-LTA-D12</t>
  </si>
  <si>
    <t>Source text input F12</t>
  </si>
  <si>
    <t>LEASE_TERMS_ASSUMPTIONS!F12</t>
  </si>
  <si>
    <t>BIR-0469</t>
  </si>
  <si>
    <t>TXT-0201</t>
  </si>
  <si>
    <t>Source text input G12</t>
  </si>
  <si>
    <t>LEASE_TERMS_ASSUMPTIONS!G12</t>
  </si>
  <si>
    <t>BIR-0470</t>
  </si>
  <si>
    <t>TXT-0202</t>
  </si>
  <si>
    <t>LEASE_TERMS_ASSUMPTIONS!H12</t>
  </si>
  <si>
    <t>BIR-0471</t>
  </si>
  <si>
    <t>DBI-LTA-H12</t>
  </si>
  <si>
    <t>LEASE_TERMS_ASSUMPTIONS!I12</t>
  </si>
  <si>
    <t>BIR-0472</t>
  </si>
  <si>
    <t>DBI-LTA-I12</t>
  </si>
  <si>
    <t>LEASE_TERMS_ASSUMPTIONS!J12</t>
  </si>
  <si>
    <t>BIR-0473</t>
  </si>
  <si>
    <t>DBI-LTA-J12</t>
  </si>
  <si>
    <t>LEASE_TERMS_ASSUMPTIONS!K12</t>
  </si>
  <si>
    <t>BIR-0474</t>
  </si>
  <si>
    <t>DBI-LTA-K12</t>
  </si>
  <si>
    <t>LEASE_TERMS_ASSUMPTIONS!L12</t>
  </si>
  <si>
    <t>BIR-0475</t>
  </si>
  <si>
    <t>DBI-LTA-L12</t>
  </si>
  <si>
    <t>LEASE_TERMS_ASSUMPTIONS!O12</t>
  </si>
  <si>
    <t>BIR-0476</t>
  </si>
  <si>
    <t>DBI-LTA-O12</t>
  </si>
  <si>
    <t>11  CONVENIENCE STORE &amp; LAUNDRY HUB</t>
  </si>
  <si>
    <t>6 lines / 6 records</t>
  </si>
  <si>
    <t>01.01  Laundry-hub capacity, fit-out &amp; opening assumptions</t>
  </si>
  <si>
    <t>Annual Revenue Growth | 2028</t>
  </si>
  <si>
    <t>ANCILLIARY SVCS CAPEX &amp; OPEX!F97</t>
  </si>
  <si>
    <t>BIR-0264</t>
  </si>
  <si>
    <t>DBI-ANC-F97</t>
  </si>
  <si>
    <t>Annual OPEX Growth | 2028</t>
  </si>
  <si>
    <t>ANCILLIARY SVCS CAPEX &amp; OPEX!F98</t>
  </si>
  <si>
    <t>BIR-0265</t>
  </si>
  <si>
    <t>DBI-ANC-F98</t>
  </si>
  <si>
    <t>02.01  Convenience-store fit-out, lease &amp; operating basis</t>
  </si>
  <si>
    <t>Escalation | Year 2</t>
  </si>
  <si>
    <t>ANCILLIARY SVCS CAPEX &amp; OPEX!D77</t>
  </si>
  <si>
    <t>BIR-0263</t>
  </si>
  <si>
    <t>DBI-ANC-D77</t>
  </si>
  <si>
    <t>Source text input B19</t>
  </si>
  <si>
    <t>Convenience Store/Laundromat (No Abatement) (NPAT OPS)</t>
  </si>
  <si>
    <t>LEASE_TERMS_ASSUMPTIONS!B19</t>
  </si>
  <si>
    <t>BIR-0539</t>
  </si>
  <si>
    <t>TXT-0271</t>
  </si>
  <si>
    <t>Convenience Store/Laundromat (No Abatement) (NPAT OPS) | REV</t>
  </si>
  <si>
    <t>LEASE_TERMS_ASSUMPTIONS!D19</t>
  </si>
  <si>
    <t>BIR-0540</t>
  </si>
  <si>
    <t>DBI-LTA-D19</t>
  </si>
  <si>
    <t>LEASE_TERMS_ASSUMPTIONS!O19</t>
  </si>
  <si>
    <t>BIR-0541</t>
  </si>
  <si>
    <t>DBI-LTA-O19</t>
  </si>
  <si>
    <t>12  MOBILITY HUB</t>
  </si>
  <si>
    <t>3 lines / 3 records</t>
  </si>
  <si>
    <t>Source text input B20</t>
  </si>
  <si>
    <t>eBike/eScooter Storage &amp; Charging (No Abatement)</t>
  </si>
  <si>
    <t>LEASE_TERMS_ASSUMPTIONS!B20</t>
  </si>
  <si>
    <t>BIR-0542</t>
  </si>
  <si>
    <t>TXT-0274</t>
  </si>
  <si>
    <t>eBike/eScooter Storage &amp; Charging (No Abatement) | REV</t>
  </si>
  <si>
    <t>LEASE_TERMS_ASSUMPTIONS!D20</t>
  </si>
  <si>
    <t>BIR-0543</t>
  </si>
  <si>
    <t>DBI-LTA-D20</t>
  </si>
  <si>
    <t>01.03  Fit-out rent-free &amp; abatement</t>
  </si>
  <si>
    <t>LEASE_TERMS_ASSUMPTIONS!O20</t>
  </si>
  <si>
    <t>BIR-0544</t>
  </si>
  <si>
    <t>DBI-LTA-O20</t>
  </si>
  <si>
    <t>13  PARTNERSHIPS &amp; PROMOTIONS</t>
  </si>
  <si>
    <t>154 lines / 172 records</t>
  </si>
  <si>
    <t>154 lines / 172 rec.</t>
  </si>
  <si>
    <t>01.01  Precinct naming, activation &amp; destination assets</t>
  </si>
  <si>
    <t>18 lines / 29 rec.</t>
  </si>
  <si>
    <t>Direct Sponsorship &amp; Activation | No of Days</t>
  </si>
  <si>
    <t>Partnerships &amp; Promotions</t>
  </si>
  <si>
    <t>Precinct naming, activation &amp; destination assets</t>
  </si>
  <si>
    <t>Partnerships / promotions</t>
  </si>
  <si>
    <t>PARTNERS&amp;PROMOS ASSUMPTIONS!E8 | PARTNERS&amp;PROMOS ASSUMPTIONS!E9 | PARTNERS&amp;PROMOS ASSUMPTIONS!E10 | PARTNERS&amp;PROMOS ASSUMPTIONS!E12 | PARTNERS&amp;PROMOS ASSUMPTIONS!E13 | PARTNERS&amp;PROMOS ASSUMPTIONS!E14</t>
  </si>
  <si>
    <t>referenced by 1 formula(s); detailed-schedule hardcode; raw source value retained without external link | detailed-schedule hardcode; raw source value retained without external link</t>
  </si>
  <si>
    <t>BIR-0282</t>
  </si>
  <si>
    <t>DBI-PPA-E8 | DBI-PPA-E9 | DBI-PPA-E10 | DBI-PPA-E12 | DBI-PPA-E13 | DBI-PPA-E14</t>
  </si>
  <si>
    <t>PARTNERSHIPS &amp; PROMOTIONS DRIVERS</t>
  </si>
  <si>
    <t>Direct Sponsorship &amp; Activation | Sponsorship Opportunities</t>
  </si>
  <si>
    <t>PARTNERS&amp;PROMOS ASSUMPTIONS!F8 | PARTNERS&amp;PROMOS ASSUMPTIONS!F9 | PARTNERS&amp;PROMOS ASSUMPTIONS!F10</t>
  </si>
  <si>
    <t>BIR-0283</t>
  </si>
  <si>
    <t>DBI-PPA-F8 | DBI-PPA-F9 | DBI-PPA-F10</t>
  </si>
  <si>
    <t>Direct Sponsorship &amp; Activation | Entry Fee (If Any)</t>
  </si>
  <si>
    <t>PARTNERS&amp;PROMOS ASSUMPTIONS!J8 | PARTNERS&amp;PROMOS ASSUMPTIONS!J9 | PARTNERS&amp;PROMOS ASSUMPTIONS!J10 | PARTNERS&amp;PROMOS ASSUMPTIONS!J14</t>
  </si>
  <si>
    <t>BIR-0284</t>
  </si>
  <si>
    <t>DBI-PPA-J8 | DBI-PPA-J9 | DBI-PPA-J10 | DBI-PPA-J14</t>
  </si>
  <si>
    <t>Event Sponsored and Participants to Climb the Wall for Sponsorships to raise funds for target charities | No of Days</t>
  </si>
  <si>
    <t>PARTNERS&amp;PROMOS ASSUMPTIONS!E11</t>
  </si>
  <si>
    <t>BIR-0285</t>
  </si>
  <si>
    <t>DBI-PPA-E11</t>
  </si>
  <si>
    <t>Event Sponsored and Participants to Climb the Wall for Sponsorships to raise funds for target charities | Sponsorship Opportunities</t>
  </si>
  <si>
    <t>PARTNERS&amp;PROMOS ASSUMPTIONS!F11</t>
  </si>
  <si>
    <t>BIR-0286</t>
  </si>
  <si>
    <t>DBI-PPA-F11</t>
  </si>
  <si>
    <t>Event Sponsored and Participants to Climb the Wall for Sponsorships to raise funds for target charities | Attendees</t>
  </si>
  <si>
    <t>PARTNERS&amp;PROMOS ASSUMPTIONS!G11</t>
  </si>
  <si>
    <t>BIR-0287</t>
  </si>
  <si>
    <t>DBI-PPA-G11</t>
  </si>
  <si>
    <t>Event Sponsored and Participants to Climb the Wall for Sponsorships to raise funds for target charities | Entry Fee (If Any)</t>
  </si>
  <si>
    <t>PARTNERS&amp;PROMOS ASSUMPTIONS!J11</t>
  </si>
  <si>
    <t>BIR-0288</t>
  </si>
  <si>
    <t>DBI-PPA-J11</t>
  </si>
  <si>
    <t>PARTNERS&amp;PROMOS ASSUMPTIONS!F12 | PARTNERS&amp;PROMOS ASSUMPTIONS!F13</t>
  </si>
  <si>
    <t>BIR-0289</t>
  </si>
  <si>
    <t>DBI-PPA-F12 | DBI-PPA-F13</t>
  </si>
  <si>
    <t>Direct Sponsorship &amp; Activation | Attendees</t>
  </si>
  <si>
    <t>PARTNERS&amp;PROMOS ASSUMPTIONS!G12</t>
  </si>
  <si>
    <t>BIR-0290</t>
  </si>
  <si>
    <t>DBI-PPA-G12</t>
  </si>
  <si>
    <t>PARTNERS&amp;PROMOS ASSUMPTIONS!J12</t>
  </si>
  <si>
    <t>BIR-0291</t>
  </si>
  <si>
    <t>DBI-PPA-J12</t>
  </si>
  <si>
    <t>PARTNERS&amp;PROMOS ASSUMPTIONS!G13</t>
  </si>
  <si>
    <t>BIR-0292</t>
  </si>
  <si>
    <t>DBI-PPA-G13</t>
  </si>
  <si>
    <t>PARTNERS&amp;PROMOS ASSUMPTIONS!J13</t>
  </si>
  <si>
    <t>BIR-0293</t>
  </si>
  <si>
    <t>DBI-PPA-J13</t>
  </si>
  <si>
    <t>PARTNERS&amp;PROMOS ASSUMPTIONS!F14</t>
  </si>
  <si>
    <t>BIR-0294</t>
  </si>
  <si>
    <t>DBI-PPA-F14</t>
  </si>
  <si>
    <t>PARTNERS&amp;PROMOS ASSUMPTIONS!G14</t>
  </si>
  <si>
    <t>BIR-0295</t>
  </si>
  <si>
    <t>DBI-PPA-G14</t>
  </si>
  <si>
    <t>Direct Sponsorship &amp; Activation (includes cycle, running track jogging, walkers, bird watchers etc | No of Days</t>
  </si>
  <si>
    <t>PARTNERS&amp;PROMOS ASSUMPTIONS!E15</t>
  </si>
  <si>
    <t>BIR-0296</t>
  </si>
  <si>
    <t>DBI-PPA-E15</t>
  </si>
  <si>
    <t>Direct Sponsorship &amp; Activation (includes cycle, running track jogging, walkers, bird watchers etc | Sponsorship Opportunities</t>
  </si>
  <si>
    <t>PARTNERS&amp;PROMOS ASSUMPTIONS!F15</t>
  </si>
  <si>
    <t>BIR-0297</t>
  </si>
  <si>
    <t>DBI-PPA-F15</t>
  </si>
  <si>
    <t>Direct Sponsorship &amp; Activation (includes cycle, running track jogging, walkers, bird watchers etc | Attendees</t>
  </si>
  <si>
    <t>PARTNERS&amp;PROMOS ASSUMPTIONS!G15</t>
  </si>
  <si>
    <t>BIR-0298</t>
  </si>
  <si>
    <t>DBI-PPA-G15</t>
  </si>
  <si>
    <t>Direct Sponsorship &amp; Activation (includes cycle, running track jogging, walkers, bird watchers etc | Entry Fee (If Any)</t>
  </si>
  <si>
    <t>PARTNERS&amp;PROMOS ASSUMPTIONS!J15</t>
  </si>
  <si>
    <t>BIR-0299</t>
  </si>
  <si>
    <t>DBI-PPA-J15</t>
  </si>
  <si>
    <t>01.02  Flagship, seasonal &amp; sporting events</t>
  </si>
  <si>
    <t>53 lines / 56 rec.</t>
  </si>
  <si>
    <t>Event with Entertainment | No of Days</t>
  </si>
  <si>
    <t>Flagship, seasonal &amp; sporting events</t>
  </si>
  <si>
    <t>PARTNERS&amp;PROMOS ASSUMPTIONS!E16 | PARTNERS&amp;PROMOS ASSUMPTIONS!E17</t>
  </si>
  <si>
    <t>BIR-0300</t>
  </si>
  <si>
    <t>DBI-PPA-E16 | DBI-PPA-E17</t>
  </si>
  <si>
    <t>Event with Entertainment | Sponsorship Opportunities</t>
  </si>
  <si>
    <t>PARTNERS&amp;PROMOS ASSUMPTIONS!F16 | PARTNERS&amp;PROMOS ASSUMPTIONS!F17</t>
  </si>
  <si>
    <t>BIR-0301</t>
  </si>
  <si>
    <t>DBI-PPA-F16 | DBI-PPA-F17</t>
  </si>
  <si>
    <t>Event with Entertainment | Attendees</t>
  </si>
  <si>
    <t>PARTNERS&amp;PROMOS ASSUMPTIONS!G16 | PARTNERS&amp;PROMOS ASSUMPTIONS!G17</t>
  </si>
  <si>
    <t>BIR-0302</t>
  </si>
  <si>
    <t>DBI-PPA-G16 | DBI-PPA-G17</t>
  </si>
  <si>
    <t>Event with Entertainment | Entry Fee (If Any)</t>
  </si>
  <si>
    <t>PARTNERS&amp;PROMOS ASSUMPTIONS!J16</t>
  </si>
  <si>
    <t>BIR-0303</t>
  </si>
  <si>
    <t>DBI-PPA-J16</t>
  </si>
  <si>
    <t>PARTNERS&amp;PROMOS ASSUMPTIONS!J17</t>
  </si>
  <si>
    <t>BIR-0304</t>
  </si>
  <si>
    <t>DBI-PPA-J17</t>
  </si>
  <si>
    <t>Concert and Other Events | No of Days</t>
  </si>
  <si>
    <t>PARTNERS&amp;PROMOS ASSUMPTIONS!E18</t>
  </si>
  <si>
    <t>BIR-0305</t>
  </si>
  <si>
    <t>DBI-PPA-E18</t>
  </si>
  <si>
    <t>Concert and Other Events | Sponsorship Opportunities</t>
  </si>
  <si>
    <t>PARTNERS&amp;PROMOS ASSUMPTIONS!F18</t>
  </si>
  <si>
    <t>BIR-0306</t>
  </si>
  <si>
    <t>DBI-PPA-F18</t>
  </si>
  <si>
    <t>Concert and Other Events | Attendees</t>
  </si>
  <si>
    <t>PARTNERS&amp;PROMOS ASSUMPTIONS!G18</t>
  </si>
  <si>
    <t>BIR-0307</t>
  </si>
  <si>
    <t>DBI-PPA-G18</t>
  </si>
  <si>
    <t>Concert and Other Events | Entry Fee (If Any)</t>
  </si>
  <si>
    <t>PARTNERS&amp;PROMOS ASSUMPTIONS!J18</t>
  </si>
  <si>
    <t>BIR-0308</t>
  </si>
  <si>
    <t>DBI-PPA-J18</t>
  </si>
  <si>
    <t>5 Day Family Event | No of Days</t>
  </si>
  <si>
    <t>PARTNERS&amp;PROMOS ASSUMPTIONS!E19</t>
  </si>
  <si>
    <t>BIR-0309</t>
  </si>
  <si>
    <t>DBI-PPA-E19</t>
  </si>
  <si>
    <t>5 Day Family Event | Sponsorship Opportunities</t>
  </si>
  <si>
    <t>PARTNERS&amp;PROMOS ASSUMPTIONS!F19</t>
  </si>
  <si>
    <t>BIR-0310</t>
  </si>
  <si>
    <t>DBI-PPA-F19</t>
  </si>
  <si>
    <t>5 Day Family Event | Attendees</t>
  </si>
  <si>
    <t>PARTNERS&amp;PROMOS ASSUMPTIONS!G19</t>
  </si>
  <si>
    <t>BIR-0311</t>
  </si>
  <si>
    <t>DBI-PPA-G19</t>
  </si>
  <si>
    <t>5 Day Family Event | Entry Fee (If Any)</t>
  </si>
  <si>
    <t>PARTNERS&amp;PROMOS ASSUMPTIONS!J19</t>
  </si>
  <si>
    <t>BIR-0312</t>
  </si>
  <si>
    <t>DBI-PPA-J19</t>
  </si>
  <si>
    <t>Festival Theme for Markets WE | No of Days</t>
  </si>
  <si>
    <t>PARTNERS&amp;PROMOS ASSUMPTIONS!E20</t>
  </si>
  <si>
    <t>BIR-0313</t>
  </si>
  <si>
    <t>DBI-PPA-E20</t>
  </si>
  <si>
    <t>Festival Theme for Markets WE | Sponsorship Opportunities</t>
  </si>
  <si>
    <t>PARTNERS&amp;PROMOS ASSUMPTIONS!F20</t>
  </si>
  <si>
    <t>BIR-0314</t>
  </si>
  <si>
    <t>DBI-PPA-F20</t>
  </si>
  <si>
    <t>Festival Theme for Markets WE | Attendees</t>
  </si>
  <si>
    <t>PARTNERS&amp;PROMOS ASSUMPTIONS!G20</t>
  </si>
  <si>
    <t>BIR-0315</t>
  </si>
  <si>
    <t>DBI-PPA-G20</t>
  </si>
  <si>
    <t>Festival Theme for Markets WE | Entry Fee (If Any)</t>
  </si>
  <si>
    <t>PARTNERS&amp;PROMOS ASSUMPTIONS!J20</t>
  </si>
  <si>
    <t>BIR-0316</t>
  </si>
  <si>
    <t>DBI-PPA-J20</t>
  </si>
  <si>
    <t>1 Day Family Event (Labor) | No of Days</t>
  </si>
  <si>
    <t>PARTNERS&amp;PROMOS ASSUMPTIONS!E21</t>
  </si>
  <si>
    <t>BIR-0317</t>
  </si>
  <si>
    <t>DBI-PPA-E21</t>
  </si>
  <si>
    <t>1 Day Family Event (Labor) | Sponsorship Opportunities</t>
  </si>
  <si>
    <t>PARTNERS&amp;PROMOS ASSUMPTIONS!F21</t>
  </si>
  <si>
    <t>BIR-0318</t>
  </si>
  <si>
    <t>DBI-PPA-F21</t>
  </si>
  <si>
    <t>1 Day Family Event (Labor) | Attendees</t>
  </si>
  <si>
    <t>PARTNERS&amp;PROMOS ASSUMPTIONS!G21</t>
  </si>
  <si>
    <t>BIR-0319</t>
  </si>
  <si>
    <t>DBI-PPA-G21</t>
  </si>
  <si>
    <t>1 Day Family Event (Labor) | Entry Fee (If Any)</t>
  </si>
  <si>
    <t>PARTNERS&amp;PROMOS ASSUMPTIONS!J21</t>
  </si>
  <si>
    <t>BIR-0320</t>
  </si>
  <si>
    <t>DBI-PPA-J21</t>
  </si>
  <si>
    <t>1 Day Family Event (Families)</t>
  </si>
  <si>
    <t>PARTNERS&amp;PROMOS ASSUMPTIONS!E22</t>
  </si>
  <si>
    <t>BIR-0321</t>
  </si>
  <si>
    <t>DBI-PPA-E22</t>
  </si>
  <si>
    <t>PARTNERS&amp;PROMOS ASSUMPTIONS!F22</t>
  </si>
  <si>
    <t>BIR-0322</t>
  </si>
  <si>
    <t>DBI-PPA-F22</t>
  </si>
  <si>
    <t>PARTNERS&amp;PROMOS ASSUMPTIONS!G22</t>
  </si>
  <si>
    <t>BIR-0323</t>
  </si>
  <si>
    <t>DBI-PPA-G22</t>
  </si>
  <si>
    <t>PARTNERS&amp;PROMOS ASSUMPTIONS!J22</t>
  </si>
  <si>
    <t>BIR-0324</t>
  </si>
  <si>
    <t>DBI-PPA-J22</t>
  </si>
  <si>
    <t>4 week Wines of the Australia &amp; Victoria</t>
  </si>
  <si>
    <t>PARTNERS&amp;PROMOS ASSUMPTIONS!E23</t>
  </si>
  <si>
    <t>BIR-0325</t>
  </si>
  <si>
    <t>DBI-PPA-E23</t>
  </si>
  <si>
    <t>PARTNERS&amp;PROMOS ASSUMPTIONS!F23</t>
  </si>
  <si>
    <t>BIR-0326</t>
  </si>
  <si>
    <t>DBI-PPA-F23</t>
  </si>
  <si>
    <t>PARTNERS&amp;PROMOS ASSUMPTIONS!G23</t>
  </si>
  <si>
    <t>BIR-0327</t>
  </si>
  <si>
    <t>DBI-PPA-G23</t>
  </si>
  <si>
    <t>PARTNERS&amp;PROMOS ASSUMPTIONS!J23</t>
  </si>
  <si>
    <t>BIR-0328</t>
  </si>
  <si>
    <t>DBI-PPA-J23</t>
  </si>
  <si>
    <t>Celebrate the start of Winter - Snowtunnel, URWLD, Park</t>
  </si>
  <si>
    <t>PARTNERS&amp;PROMOS ASSUMPTIONS!E24</t>
  </si>
  <si>
    <t>BIR-0329</t>
  </si>
  <si>
    <t>DBI-PPA-E24</t>
  </si>
  <si>
    <t>PARTNERS&amp;PROMOS ASSUMPTIONS!F24</t>
  </si>
  <si>
    <t>BIR-0330</t>
  </si>
  <si>
    <t>DBI-PPA-F24</t>
  </si>
  <si>
    <t>PARTNERS&amp;PROMOS ASSUMPTIONS!G24</t>
  </si>
  <si>
    <t>BIR-0331</t>
  </si>
  <si>
    <t>DBI-PPA-G24</t>
  </si>
  <si>
    <t>PARTNERS&amp;PROMOS ASSUMPTIONS!J24</t>
  </si>
  <si>
    <t>BIR-0332</t>
  </si>
  <si>
    <t>DBI-PPA-J24</t>
  </si>
  <si>
    <t>Coordination with ALC Bunnorong and Govt/Community</t>
  </si>
  <si>
    <t>PARTNERS&amp;PROMOS ASSUMPTIONS!E25</t>
  </si>
  <si>
    <t>BIR-0333</t>
  </si>
  <si>
    <t>DBI-PPA-E25</t>
  </si>
  <si>
    <t>PARTNERS&amp;PROMOS ASSUMPTIONS!F25</t>
  </si>
  <si>
    <t>BIR-0334</t>
  </si>
  <si>
    <t>DBI-PPA-F25</t>
  </si>
  <si>
    <t>PARTNERS&amp;PROMOS ASSUMPTIONS!G25</t>
  </si>
  <si>
    <t>BIR-0335</t>
  </si>
  <si>
    <t>DBI-PPA-G25</t>
  </si>
  <si>
    <t>PARTNERS&amp;PROMOS ASSUMPTIONS!J25</t>
  </si>
  <si>
    <t>BIR-0336</t>
  </si>
  <si>
    <t>DBI-PPA-J25</t>
  </si>
  <si>
    <t>Family oriented outing day for Dads focus</t>
  </si>
  <si>
    <t>PARTNERS&amp;PROMOS ASSUMPTIONS!E26</t>
  </si>
  <si>
    <t>BIR-0337</t>
  </si>
  <si>
    <t>DBI-PPA-E26</t>
  </si>
  <si>
    <t>PARTNERS&amp;PROMOS ASSUMPTIONS!F26</t>
  </si>
  <si>
    <t>BIR-0338</t>
  </si>
  <si>
    <t>DBI-PPA-F26</t>
  </si>
  <si>
    <t>PARTNERS&amp;PROMOS ASSUMPTIONS!G26</t>
  </si>
  <si>
    <t>BIR-0339</t>
  </si>
  <si>
    <t>DBI-PPA-G26</t>
  </si>
  <si>
    <t>PARTNERS&amp;PROMOS ASSUMPTIONS!J26</t>
  </si>
  <si>
    <t>BIR-0340</t>
  </si>
  <si>
    <t>DBI-PPA-J26</t>
  </si>
  <si>
    <t>Spring Flower Festival &amp; Foods/Wines/Entertainment</t>
  </si>
  <si>
    <t>PARTNERS&amp;PROMOS ASSUMPTIONS!E27</t>
  </si>
  <si>
    <t>BIR-0341</t>
  </si>
  <si>
    <t>DBI-PPA-E27</t>
  </si>
  <si>
    <t>PARTNERS&amp;PROMOS ASSUMPTIONS!F27</t>
  </si>
  <si>
    <t>BIR-0342</t>
  </si>
  <si>
    <t>DBI-PPA-F27</t>
  </si>
  <si>
    <t>PARTNERS&amp;PROMOS ASSUMPTIONS!G27</t>
  </si>
  <si>
    <t>BIR-0343</t>
  </si>
  <si>
    <t>DBI-PPA-G27</t>
  </si>
  <si>
    <t>PARTNERS&amp;PROMOS ASSUMPTIONS!J27</t>
  </si>
  <si>
    <t>BIR-0344</t>
  </si>
  <si>
    <t>DBI-PPA-J27</t>
  </si>
  <si>
    <t>Watch Party Opportunity, Large screens</t>
  </si>
  <si>
    <t>PARTNERS&amp;PROMOS ASSUMPTIONS!E28</t>
  </si>
  <si>
    <t>BIR-0345</t>
  </si>
  <si>
    <t>DBI-PPA-E28</t>
  </si>
  <si>
    <t>PARTNERS&amp;PROMOS ASSUMPTIONS!F28</t>
  </si>
  <si>
    <t>BIR-0346</t>
  </si>
  <si>
    <t>DBI-PPA-F28</t>
  </si>
  <si>
    <t>PARTNERS&amp;PROMOS ASSUMPTIONS!G28</t>
  </si>
  <si>
    <t>BIR-0347</t>
  </si>
  <si>
    <t>DBI-PPA-G28</t>
  </si>
  <si>
    <t>PARTNERS&amp;PROMOS ASSUMPTIONS!J28</t>
  </si>
  <si>
    <t>BIR-0348</t>
  </si>
  <si>
    <t>DBI-PPA-J28</t>
  </si>
  <si>
    <t>Other Watch Parties for Sport, Wimbledon, AU Open, US etc</t>
  </si>
  <si>
    <t>PARTNERS&amp;PROMOS ASSUMPTIONS!E29</t>
  </si>
  <si>
    <t>BIR-0349</t>
  </si>
  <si>
    <t>DBI-PPA-E29</t>
  </si>
  <si>
    <t>PARTNERS&amp;PROMOS ASSUMPTIONS!F29</t>
  </si>
  <si>
    <t>BIR-0350</t>
  </si>
  <si>
    <t>DBI-PPA-F29</t>
  </si>
  <si>
    <t>PARTNERS&amp;PROMOS ASSUMPTIONS!G29</t>
  </si>
  <si>
    <t>BIR-0351</t>
  </si>
  <si>
    <t>DBI-PPA-G29</t>
  </si>
  <si>
    <t>PARTNERS&amp;PROMOS ASSUMPTIONS!J29</t>
  </si>
  <si>
    <t>BIR-0352</t>
  </si>
  <si>
    <t>DBI-PPA-J29</t>
  </si>
  <si>
    <t>01.03  Community, cultural, entertainment &amp; market programme</t>
  </si>
  <si>
    <t>51 lines / 52 rec.</t>
  </si>
  <si>
    <t>Community oriented fairs for Council to draw visitors</t>
  </si>
  <si>
    <t>Community, cultural, entertainment &amp; market programme</t>
  </si>
  <si>
    <t>PARTNERS&amp;PROMOS ASSUMPTIONS!E30</t>
  </si>
  <si>
    <t>BIR-0353</t>
  </si>
  <si>
    <t>DBI-PPA-E30</t>
  </si>
  <si>
    <t>PARTNERS&amp;PROMOS ASSUMPTIONS!F30</t>
  </si>
  <si>
    <t>BIR-0354</t>
  </si>
  <si>
    <t>DBI-PPA-F30</t>
  </si>
  <si>
    <t>PARTNERS&amp;PROMOS ASSUMPTIONS!G30</t>
  </si>
  <si>
    <t>BIR-0355</t>
  </si>
  <si>
    <t>DBI-PPA-G30</t>
  </si>
  <si>
    <t>PARTNERS&amp;PROMOS ASSUMPTIONS!J30</t>
  </si>
  <si>
    <t>BIR-0356</t>
  </si>
  <si>
    <t>DBI-PPA-J30</t>
  </si>
  <si>
    <t>Fund raising opportunity for schools</t>
  </si>
  <si>
    <t>PARTNERS&amp;PROMOS ASSUMPTIONS!E31</t>
  </si>
  <si>
    <t>BIR-0357</t>
  </si>
  <si>
    <t>DBI-PPA-E31</t>
  </si>
  <si>
    <t>PARTNERS&amp;PROMOS ASSUMPTIONS!F31</t>
  </si>
  <si>
    <t>BIR-0358</t>
  </si>
  <si>
    <t>DBI-PPA-F31</t>
  </si>
  <si>
    <t>PARTNERS&amp;PROMOS ASSUMPTIONS!G31</t>
  </si>
  <si>
    <t>BIR-0359</t>
  </si>
  <si>
    <t>DBI-PPA-G31</t>
  </si>
  <si>
    <t>PARTNERS&amp;PROMOS ASSUMPTIONS!J31</t>
  </si>
  <si>
    <t>BIR-0360</t>
  </si>
  <si>
    <t>DBI-PPA-J31</t>
  </si>
  <si>
    <t>Other Community Fairs (non religious in messaging)</t>
  </si>
  <si>
    <t>PARTNERS&amp;PROMOS ASSUMPTIONS!E32</t>
  </si>
  <si>
    <t>BIR-0361</t>
  </si>
  <si>
    <t>DBI-PPA-E32</t>
  </si>
  <si>
    <t>PARTNERS&amp;PROMOS ASSUMPTIONS!F32</t>
  </si>
  <si>
    <t>BIR-0362</t>
  </si>
  <si>
    <t>DBI-PPA-F32</t>
  </si>
  <si>
    <t>PARTNERS&amp;PROMOS ASSUMPTIONS!G32</t>
  </si>
  <si>
    <t>BIR-0363</t>
  </si>
  <si>
    <t>DBI-PPA-G32</t>
  </si>
  <si>
    <t>PARTNERS&amp;PROMOS ASSUMPTIONS!J32</t>
  </si>
  <si>
    <t>BIR-0364</t>
  </si>
  <si>
    <t>DBI-PPA-J32</t>
  </si>
  <si>
    <t>Nightly Food Market, Entertainment, Activities</t>
  </si>
  <si>
    <t>PARTNERS&amp;PROMOS ASSUMPTIONS!E33</t>
  </si>
  <si>
    <t>BIR-0365</t>
  </si>
  <si>
    <t>DBI-PPA-E33</t>
  </si>
  <si>
    <t>PARTNERS&amp;PROMOS ASSUMPTIONS!F33</t>
  </si>
  <si>
    <t>BIR-0366</t>
  </si>
  <si>
    <t>DBI-PPA-F33</t>
  </si>
  <si>
    <t>PARTNERS&amp;PROMOS ASSUMPTIONS!G33</t>
  </si>
  <si>
    <t>BIR-0367</t>
  </si>
  <si>
    <t>DBI-PPA-G33</t>
  </si>
  <si>
    <t>PARTNERS&amp;PROMOS ASSUMPTIONS!J33</t>
  </si>
  <si>
    <t>BIR-0368</t>
  </si>
  <si>
    <t>DBI-PPA-J33</t>
  </si>
  <si>
    <t>Celebration of the Festival of Light (Loy Krathong and others)</t>
  </si>
  <si>
    <t>PARTNERS&amp;PROMOS ASSUMPTIONS!E34</t>
  </si>
  <si>
    <t>BIR-0369</t>
  </si>
  <si>
    <t>DBI-PPA-E34</t>
  </si>
  <si>
    <t>PARTNERS&amp;PROMOS ASSUMPTIONS!F34</t>
  </si>
  <si>
    <t>BIR-0370</t>
  </si>
  <si>
    <t>DBI-PPA-F34</t>
  </si>
  <si>
    <t>PARTNERS&amp;PROMOS ASSUMPTIONS!G34</t>
  </si>
  <si>
    <t>BIR-0371</t>
  </si>
  <si>
    <t>DBI-PPA-G34</t>
  </si>
  <si>
    <t>PARTNERS&amp;PROMOS ASSUMPTIONS!J34</t>
  </si>
  <si>
    <t>BIR-0372</t>
  </si>
  <si>
    <t>DBI-PPA-J34</t>
  </si>
  <si>
    <t>Celebration of Chinese New Year traditions</t>
  </si>
  <si>
    <t>PARTNERS&amp;PROMOS ASSUMPTIONS!E35</t>
  </si>
  <si>
    <t>BIR-0373</t>
  </si>
  <si>
    <t>DBI-PPA-E35</t>
  </si>
  <si>
    <t>PARTNERS&amp;PROMOS ASSUMPTIONS!F35</t>
  </si>
  <si>
    <t>BIR-0374</t>
  </si>
  <si>
    <t>DBI-PPA-F35</t>
  </si>
  <si>
    <t>PARTNERS&amp;PROMOS ASSUMPTIONS!G35</t>
  </si>
  <si>
    <t>BIR-0375</t>
  </si>
  <si>
    <t>DBI-PPA-G35</t>
  </si>
  <si>
    <t>PARTNERS&amp;PROMOS ASSUMPTIONS!J35</t>
  </si>
  <si>
    <t>BIR-0376</t>
  </si>
  <si>
    <t>DBI-PPA-J35</t>
  </si>
  <si>
    <t>Summer Celebration - Surfing, Lagoons, etc</t>
  </si>
  <si>
    <t>PARTNERS&amp;PROMOS ASSUMPTIONS!E36</t>
  </si>
  <si>
    <t>BIR-0377</t>
  </si>
  <si>
    <t>DBI-PPA-E36</t>
  </si>
  <si>
    <t>PARTNERS&amp;PROMOS ASSUMPTIONS!F36</t>
  </si>
  <si>
    <t>BIR-0378</t>
  </si>
  <si>
    <t>DBI-PPA-F36</t>
  </si>
  <si>
    <t>PARTNERS&amp;PROMOS ASSUMPTIONS!G36</t>
  </si>
  <si>
    <t>BIR-0379</t>
  </si>
  <si>
    <t>DBI-PPA-G36</t>
  </si>
  <si>
    <t>PARTNERS&amp;PROMOS ASSUMPTIONS!J36</t>
  </si>
  <si>
    <t>BIR-0380</t>
  </si>
  <si>
    <t>DBI-PPA-J36</t>
  </si>
  <si>
    <t>Summer evening events in the park on nights of no events in The Bend Live House</t>
  </si>
  <si>
    <t>PARTNERS&amp;PROMOS ASSUMPTIONS!E37</t>
  </si>
  <si>
    <t>BIR-0381</t>
  </si>
  <si>
    <t>DBI-PPA-E37</t>
  </si>
  <si>
    <t>PARTNERS&amp;PROMOS ASSUMPTIONS!F37</t>
  </si>
  <si>
    <t>BIR-0382</t>
  </si>
  <si>
    <t>DBI-PPA-F37</t>
  </si>
  <si>
    <t>PARTNERS&amp;PROMOS ASSUMPTIONS!G37</t>
  </si>
  <si>
    <t>BIR-0383</t>
  </si>
  <si>
    <t>DBI-PPA-G37</t>
  </si>
  <si>
    <t>PARTNERS&amp;PROMOS ASSUMPTIONS!J37</t>
  </si>
  <si>
    <t>BIR-0384</t>
  </si>
  <si>
    <t>DBI-PPA-J37</t>
  </si>
  <si>
    <t>Partnership with Dramatic Arts Groups/Uni/Colleges to encourage Community Theatre experiences</t>
  </si>
  <si>
    <t>PARTNERS&amp;PROMOS ASSUMPTIONS!E38</t>
  </si>
  <si>
    <t>BIR-0385</t>
  </si>
  <si>
    <t>DBI-PPA-E38</t>
  </si>
  <si>
    <t>PARTNERS&amp;PROMOS ASSUMPTIONS!F38</t>
  </si>
  <si>
    <t>BIR-0386</t>
  </si>
  <si>
    <t>DBI-PPA-F38</t>
  </si>
  <si>
    <t>PARTNERS&amp;PROMOS ASSUMPTIONS!G38</t>
  </si>
  <si>
    <t>BIR-0387</t>
  </si>
  <si>
    <t>DBI-PPA-G38</t>
  </si>
  <si>
    <t>PARTNERS&amp;PROMOS ASSUMPTIONS!J38</t>
  </si>
  <si>
    <t>BIR-0388</t>
  </si>
  <si>
    <t>DBI-PPA-J38</t>
  </si>
  <si>
    <t>Opera in the Park</t>
  </si>
  <si>
    <t>PARTNERS&amp;PROMOS ASSUMPTIONS!E39</t>
  </si>
  <si>
    <t>BIR-0389</t>
  </si>
  <si>
    <t>DBI-PPA-E39</t>
  </si>
  <si>
    <t>PARTNERS&amp;PROMOS ASSUMPTIONS!F39</t>
  </si>
  <si>
    <t>BIR-0390</t>
  </si>
  <si>
    <t>DBI-PPA-F39</t>
  </si>
  <si>
    <t>PARTNERS&amp;PROMOS ASSUMPTIONS!G39</t>
  </si>
  <si>
    <t>BIR-0391</t>
  </si>
  <si>
    <t>DBI-PPA-G39</t>
  </si>
  <si>
    <t>PARTNERS&amp;PROMOS ASSUMPTIONS!J39</t>
  </si>
  <si>
    <t>BIR-0392</t>
  </si>
  <si>
    <t>DBI-PPA-J39</t>
  </si>
  <si>
    <t>Art &amp; Craft events, market, activities, exhibitions, music, indigenous, creative, Uni/TAFE</t>
  </si>
  <si>
    <t>PARTNERS&amp;PROMOS ASSUMPTIONS!E40 | PARTNERS&amp;PROMOS ASSUMPTIONS!F40</t>
  </si>
  <si>
    <t>BIR-0393</t>
  </si>
  <si>
    <t>DBI-PPA-E40 | DBI-PPA-F40</t>
  </si>
  <si>
    <t>PARTNERS&amp;PROMOS ASSUMPTIONS!G40</t>
  </si>
  <si>
    <t>BIR-0394</t>
  </si>
  <si>
    <t>DBI-PPA-G40</t>
  </si>
  <si>
    <t>PARTNERS&amp;PROMOS ASSUMPTIONS!J40</t>
  </si>
  <si>
    <t>BIR-0395</t>
  </si>
  <si>
    <t>DBI-PPA-J40</t>
  </si>
  <si>
    <t>In Partnership with THE BEND LiveHouse</t>
  </si>
  <si>
    <t>PARTNERS&amp;PROMOS ASSUMPTIONS!E41</t>
  </si>
  <si>
    <t>BIR-0396</t>
  </si>
  <si>
    <t>DBI-PPA-E41</t>
  </si>
  <si>
    <t>PARTNERS&amp;PROMOS ASSUMPTIONS!F41</t>
  </si>
  <si>
    <t>BIR-0397</t>
  </si>
  <si>
    <t>DBI-PPA-F41</t>
  </si>
  <si>
    <t>PARTNERS&amp;PROMOS ASSUMPTIONS!G41</t>
  </si>
  <si>
    <t>BIR-0398</t>
  </si>
  <si>
    <t>DBI-PPA-G41</t>
  </si>
  <si>
    <t>PARTNERS&amp;PROMOS ASSUMPTIONS!J41</t>
  </si>
  <si>
    <t>BIR-0399</t>
  </si>
  <si>
    <t>DBI-PPA-J41</t>
  </si>
  <si>
    <t>Monthly large scale Farmers Markets added to the Weekend Markets</t>
  </si>
  <si>
    <t>PARTNERS&amp;PROMOS ASSUMPTIONS!E42</t>
  </si>
  <si>
    <t>BIR-0400</t>
  </si>
  <si>
    <t>DBI-PPA-E42</t>
  </si>
  <si>
    <t>PARTNERS&amp;PROMOS ASSUMPTIONS!F42</t>
  </si>
  <si>
    <t>BIR-0401</t>
  </si>
  <si>
    <t>DBI-PPA-F42</t>
  </si>
  <si>
    <t>PARTNERS&amp;PROMOS ASSUMPTIONS!G42</t>
  </si>
  <si>
    <t>BIR-0402</t>
  </si>
  <si>
    <t>DBI-PPA-G42</t>
  </si>
  <si>
    <t>PARTNERS&amp;PROMOS ASSUMPTIONS!J42</t>
  </si>
  <si>
    <t>BIR-0403</t>
  </si>
  <si>
    <t>DBI-PPA-J42</t>
  </si>
  <si>
    <t>01.04  Food, beverage, merchandise &amp; commercial events</t>
  </si>
  <si>
    <t>22 lines / 25 rec.</t>
  </si>
  <si>
    <t>Food Partnerships</t>
  </si>
  <si>
    <t>Food, beverage, merchandise &amp; commercial events</t>
  </si>
  <si>
    <t>PARTNERS&amp;PROMOS ASSUMPTIONS!E43</t>
  </si>
  <si>
    <t>BIR-0404</t>
  </si>
  <si>
    <t>DBI-PPA-E43</t>
  </si>
  <si>
    <t>PARTNERS&amp;PROMOS ASSUMPTIONS!F43</t>
  </si>
  <si>
    <t>BIR-0405</t>
  </si>
  <si>
    <t>DBI-PPA-F43</t>
  </si>
  <si>
    <t>PARTNERS&amp;PROMOS ASSUMPTIONS!J43</t>
  </si>
  <si>
    <t>BIR-0406</t>
  </si>
  <si>
    <t>DBI-PPA-J43</t>
  </si>
  <si>
    <t>Intertwined with Weekend Markets, Tenants activities and The Park</t>
  </si>
  <si>
    <t>PARTNERS&amp;PROMOS ASSUMPTIONS!E44</t>
  </si>
  <si>
    <t>BIR-0407</t>
  </si>
  <si>
    <t>DBI-PPA-E44</t>
  </si>
  <si>
    <t>PARTNERS&amp;PROMOS ASSUMPTIONS!F44</t>
  </si>
  <si>
    <t>BIR-0408</t>
  </si>
  <si>
    <t>DBI-PPA-F44</t>
  </si>
  <si>
    <t>PARTNERS&amp;PROMOS ASSUMPTIONS!G44</t>
  </si>
  <si>
    <t>BIR-0409</t>
  </si>
  <si>
    <t>DBI-PPA-G44</t>
  </si>
  <si>
    <t>PARTNERS&amp;PROMOS ASSUMPTIONS!J44</t>
  </si>
  <si>
    <t>BIR-0410</t>
  </si>
  <si>
    <t>DBI-PPA-J44</t>
  </si>
  <si>
    <t>Beverage Partnerships</t>
  </si>
  <si>
    <t>PARTNERS&amp;PROMOS ASSUMPTIONS!E45</t>
  </si>
  <si>
    <t>BIR-0411</t>
  </si>
  <si>
    <t>DBI-PPA-E45</t>
  </si>
  <si>
    <t>PARTNERS&amp;PROMOS ASSUMPTIONS!F45</t>
  </si>
  <si>
    <t>BIR-0412</t>
  </si>
  <si>
    <t>DBI-PPA-F45</t>
  </si>
  <si>
    <t>PARTNERS&amp;PROMOS ASSUMPTIONS!G45</t>
  </si>
  <si>
    <t>BIR-0413</t>
  </si>
  <si>
    <t>DBI-PPA-G45</t>
  </si>
  <si>
    <t>PARTNERS&amp;PROMOS ASSUMPTIONS!J45</t>
  </si>
  <si>
    <t>BIR-0414</t>
  </si>
  <si>
    <t>DBI-PPA-J45</t>
  </si>
  <si>
    <t>Sales Expected at all events by the BEND PRECINCT (not individual stalls in each activity)</t>
  </si>
  <si>
    <t>PARTNERS&amp;PROMOS ASSUMPTIONS!J46 | PARTNERS&amp;PROMOS ASSUMPTIONS!J47 | PARTNERS&amp;PROMOS ASSUMPTIONS!J48</t>
  </si>
  <si>
    <t>BIR-0415</t>
  </si>
  <si>
    <t>DBI-PPA-J46 | DBI-PPA-J47 | DBI-PPA-J48</t>
  </si>
  <si>
    <t>Incorporates themed events and activities with Food, Beverages, Fruit, Vegetables, Arts, Crafts and decorative, artistic and household items appropriate to themes and market</t>
  </si>
  <si>
    <t>PARTNERS&amp;PROMOS ASSUMPTIONS!E49</t>
  </si>
  <si>
    <t>BIR-0416</t>
  </si>
  <si>
    <t>DBI-PPA-E49</t>
  </si>
  <si>
    <t>PARTNERS&amp;PROMOS ASSUMPTIONS!G49 | PARTNERS&amp;PROMOS ASSUMPTIONS!J49</t>
  </si>
  <si>
    <t>referenced by 3 formula(s); detailed-schedule hardcode; raw source value retained without external link | detailed-schedule hardcode; raw source value retained without external link</t>
  </si>
  <si>
    <t>BIR-0417</t>
  </si>
  <si>
    <t>DBI-PPA-G49 | DBI-PPA-J49</t>
  </si>
  <si>
    <t>Annual Fun Run around Fishermans Bend with Drinks stations around the run, supporting appropriate charities and community activities</t>
  </si>
  <si>
    <t>PARTNERS&amp;PROMOS ASSUMPTIONS!E50</t>
  </si>
  <si>
    <t>BIR-0418</t>
  </si>
  <si>
    <t>DBI-PPA-E50</t>
  </si>
  <si>
    <t>PARTNERS&amp;PROMOS ASSUMPTIONS!F50</t>
  </si>
  <si>
    <t>BIR-0419</t>
  </si>
  <si>
    <t>DBI-PPA-F50</t>
  </si>
  <si>
    <t>PARTNERS&amp;PROMOS ASSUMPTIONS!G50</t>
  </si>
  <si>
    <t>BIR-0420</t>
  </si>
  <si>
    <t>DBI-PPA-G50</t>
  </si>
  <si>
    <t>PARTNERS&amp;PROMOS ASSUMPTIONS!J50</t>
  </si>
  <si>
    <t>BIR-0421</t>
  </si>
  <si>
    <t>DBI-PPA-J50</t>
  </si>
  <si>
    <t>Other ADHOC events, activities and cooperation</t>
  </si>
  <si>
    <t>PARTNERS&amp;PROMOS ASSUMPTIONS!E51</t>
  </si>
  <si>
    <t>BIR-0422</t>
  </si>
  <si>
    <t>DBI-PPA-E51</t>
  </si>
  <si>
    <t>PARTNERS&amp;PROMOS ASSUMPTIONS!F51</t>
  </si>
  <si>
    <t>BIR-0423</t>
  </si>
  <si>
    <t>DBI-PPA-F51</t>
  </si>
  <si>
    <t>PARTNERS&amp;PROMOS ASSUMPTIONS!G51</t>
  </si>
  <si>
    <t>BIR-0424</t>
  </si>
  <si>
    <t>DBI-PPA-G51</t>
  </si>
  <si>
    <t>PARTNERS&amp;PROMOS ASSUMPTIONS!J51</t>
  </si>
  <si>
    <t>BIR-0425</t>
  </si>
  <si>
    <t>DBI-PPA-J51</t>
  </si>
  <si>
    <t>01.05  Audience pools, sponsorship tiers &amp; price ladder</t>
  </si>
  <si>
    <t>Audience pools, sponsorship tiers &amp; price ladder</t>
  </si>
  <si>
    <t>PARTNERS&amp;PROMOS ASSUMPTIONS!I69</t>
  </si>
  <si>
    <t>BIR-0426</t>
  </si>
  <si>
    <t>DBI-PPA-I69</t>
  </si>
  <si>
    <t>Live Music</t>
  </si>
  <si>
    <t>PARTNERS&amp;PROMOS ASSUMPTIONS!I73</t>
  </si>
  <si>
    <t>BIR-0427</t>
  </si>
  <si>
    <t>DBI-PPA-I73</t>
  </si>
  <si>
    <t>PARTNERS&amp;PROMOS ASSUMPTIONS!N73</t>
  </si>
  <si>
    <t>BIR-0428</t>
  </si>
  <si>
    <t>DBI-PPA-N73</t>
  </si>
  <si>
    <t>Snow Tunnel</t>
  </si>
  <si>
    <t>PARTNERS&amp;PROMOS ASSUMPTIONS!I74</t>
  </si>
  <si>
    <t>BIR-0429</t>
  </si>
  <si>
    <t>DBI-PPA-I74</t>
  </si>
  <si>
    <t>PARTNERS&amp;PROMOS ASSUMPTIONS!N74</t>
  </si>
  <si>
    <t>BIR-0430</t>
  </si>
  <si>
    <t>DBI-PPA-N74</t>
  </si>
  <si>
    <t>PARTNERS&amp;PROMOS ASSUMPTIONS!I75</t>
  </si>
  <si>
    <t>BIR-0431</t>
  </si>
  <si>
    <t>DBI-PPA-I75</t>
  </si>
  <si>
    <t>PARTNERS&amp;PROMOS ASSUMPTIONS!N75</t>
  </si>
  <si>
    <t>BIR-0432</t>
  </si>
  <si>
    <t>DBI-PPA-N75</t>
  </si>
  <si>
    <t>PARTNERS&amp;PROMOS ASSUMPTIONS!I76</t>
  </si>
  <si>
    <t>BIR-0433</t>
  </si>
  <si>
    <t>DBI-PPA-I76</t>
  </si>
  <si>
    <t>PARTNERS&amp;PROMOS ASSUMPTIONS!N76</t>
  </si>
  <si>
    <t>BIR-0434</t>
  </si>
  <si>
    <t>DBI-PPA-N76</t>
  </si>
  <si>
    <t>PARTNERS&amp;PROMOS ASSUMPTIONS!I77</t>
  </si>
  <si>
    <t>BIR-0435</t>
  </si>
  <si>
    <t>DBI-PPA-I77</t>
  </si>
  <si>
    <t>THE BEND PRECINCT | INSTITUTIONAL MODEL GUIDE</t>
  </si>
  <si>
    <t>Phase 10 | Model purpose, navigation, scenario operation, release controls and handover procedures</t>
  </si>
  <si>
    <t>LIVE MODEL STATUS</t>
  </si>
  <si>
    <t>Item</t>
  </si>
  <si>
    <t>Live result</t>
  </si>
  <si>
    <t>Evidence</t>
  </si>
  <si>
    <t>Project</t>
  </si>
  <si>
    <t>PROJECT INPUTS!H36</t>
  </si>
  <si>
    <t>Project identity</t>
  </si>
  <si>
    <t>Active ProjectCo scenario</t>
  </si>
  <si>
    <t>PROJECT INPUTS!B8</t>
  </si>
  <si>
    <t>One editable ProjectCo scenario selector</t>
  </si>
  <si>
    <t>INVESTOR REPORT!C3</t>
  </si>
  <si>
    <t>Investor-facing reporting selection</t>
  </si>
  <si>
    <t>Calculation status</t>
  </si>
  <si>
    <t>Desktop Excel technical-control status</t>
  </si>
  <si>
    <t>Owner decisions outstanding</t>
  </si>
  <si>
    <t>INPUT GOVERNANCE!C304</t>
  </si>
  <si>
    <t>Commercial and specialist evidence required</t>
  </si>
  <si>
    <t>Zero-redundancy dependency gate</t>
  </si>
  <si>
    <t>All writable inputs require a downstream path</t>
  </si>
  <si>
    <t>External release status</t>
  </si>
  <si>
    <t>Fail-safe release gate</t>
  </si>
  <si>
    <t>HOW TO OPERATE THE MODEL</t>
  </si>
  <si>
    <t>Step</t>
  </si>
  <si>
    <t>Action</t>
  </si>
  <si>
    <t>Location</t>
  </si>
  <si>
    <t>Editable?</t>
  </si>
  <si>
    <t>Required treatment</t>
  </si>
  <si>
    <t>Common error to avoid</t>
  </si>
  <si>
    <t>Completion evidence</t>
  </si>
  <si>
    <t>Select the ProjectCo scenario</t>
  </si>
  <si>
    <t>Yes — dropdown</t>
  </si>
  <si>
    <t>Choose Downside, Base or Upside only</t>
  </si>
  <si>
    <t>VALUATION &amp; RETURNS!CR7 and INVESTOR REPORT!I3 must agree</t>
  </si>
  <si>
    <t>Do not create another scenario selector</t>
  </si>
  <si>
    <t>Scenario-chain controls pass</t>
  </si>
  <si>
    <t>Update a confirmed ProjectCo assumption</t>
  </si>
  <si>
    <t>PROJECT INPUTS!E:G</t>
  </si>
  <si>
    <t>Blue-font cells only</t>
  </si>
  <si>
    <t>Update the single canonical Field ID and its source / owner metadata</t>
  </si>
  <si>
    <t>Selected Value in column H updates by formula</t>
  </si>
  <si>
    <t>Do not hardcode calculation or report sheets</t>
  </si>
  <si>
    <t>MODEL AUDIT dependency path remains closed</t>
  </si>
  <si>
    <t>Review selected values</t>
  </si>
  <si>
    <t>PROJECT INPUTS!H</t>
  </si>
  <si>
    <t>Selected values are formula-driven</t>
  </si>
  <si>
    <t>Core calculations must link to column H</t>
  </si>
  <si>
    <t>Do not overwrite selected-value formulas</t>
  </si>
  <si>
    <t>Phase 9 case-column link count remains zero</t>
  </si>
  <si>
    <t>Review owner decisions</t>
  </si>
  <si>
    <t>INPUT GOVERNANCE!A281:Q294</t>
  </si>
  <si>
    <t>Evidence-driven</t>
  </si>
  <si>
    <t>Resolve only with approved commercial or specialist evidence</t>
  </si>
  <si>
    <t>Blank assumptions remain fail safe</t>
  </si>
  <si>
    <t>Do not enter provisional values to force a result</t>
  </si>
  <si>
    <t>Decision row shows resolved evidence</t>
  </si>
  <si>
    <t>Recalculate in desktop Microsoft Excel</t>
  </si>
  <si>
    <t>Workbook calculation engine</t>
  </si>
  <si>
    <t>No model hardcode</t>
  </si>
  <si>
    <t>Enable calculation and complete a full recalculation</t>
  </si>
  <si>
    <t>Summary technical controls must change from PENDING RECALC to PASS</t>
  </si>
  <si>
    <t>Do not rely on preview-engine cached values</t>
  </si>
  <si>
    <t>MODEL AUDIT!M271 = PASS</t>
  </si>
  <si>
    <t>Review model controls</t>
  </si>
  <si>
    <t>Summary / DATA MAP / MODEL AUDIT</t>
  </si>
  <si>
    <t>Investigate failures structurally</t>
  </si>
  <si>
    <t>All release-impact controls must pass</t>
  </si>
  <si>
    <t>Do not clear or suppress check formulas</t>
  </si>
  <si>
    <t>Control registers show PASS / OK</t>
  </si>
  <si>
    <t>Complete specialist sign-off</t>
  </si>
  <si>
    <t>Lender / tax / valuer / QS / legal</t>
  </si>
  <si>
    <t>External evidence</t>
  </si>
  <si>
    <t>Attach or reference written evidence</t>
  </si>
  <si>
    <t>Owner-decision and readiness registers update</t>
  </si>
  <si>
    <t>Do not infer missing contractual terms</t>
  </si>
  <si>
    <t>Release gate advances appropriately</t>
  </si>
  <si>
    <t>CELL COLOUR &amp; BEHAVIOUR CONVENTIONS</t>
  </si>
  <si>
    <t>CANONICAL CALCULATION FLOW</t>
  </si>
  <si>
    <t>Convention</t>
  </si>
  <si>
    <t>Meaning</t>
  </si>
  <si>
    <t>User action</t>
  </si>
  <si>
    <t>Flow</t>
  </si>
  <si>
    <t>Rule</t>
  </si>
  <si>
    <t>Blue font</t>
  </si>
  <si>
    <t>Writable hardcoded assumption</t>
  </si>
  <si>
    <t>Update only where evidence supports the change</t>
  </si>
  <si>
    <t>PROJECT INPUTS Base / Downside / Upside</t>
  </si>
  <si>
    <t>Source evidence → canonical Field ID</t>
  </si>
  <si>
    <t>Evidence may appear many times; the controlling assumption appears once</t>
  </si>
  <si>
    <t>Green font</t>
  </si>
  <si>
    <t>Direct link to another worksheet</t>
  </si>
  <si>
    <t>Do not overwrite</t>
  </si>
  <si>
    <t>Selected values and report links</t>
  </si>
  <si>
    <t>Base / Downside / Upside → Selected Value</t>
  </si>
  <si>
    <t>One ProjectCo selector controls scenario-variable assumptions</t>
  </si>
  <si>
    <t>Black font</t>
  </si>
  <si>
    <t>Formula or calculation</t>
  </si>
  <si>
    <t>Totals, debt schedules and valuation outputs</t>
  </si>
  <si>
    <t>Selected Value → calculation schedules</t>
  </si>
  <si>
    <t>Core calculations use PROJECT INPUTS column H</t>
  </si>
  <si>
    <t>Grey fill</t>
  </si>
  <si>
    <t>Read-only formula, control or reference value</t>
  </si>
  <si>
    <t>Review only</t>
  </si>
  <si>
    <t>Calculated totals and source benchmarks</t>
  </si>
  <si>
    <t>Schedules → financial statements and debt</t>
  </si>
  <si>
    <t>Timing, tax, GST, working capital and financing remain formula-linked</t>
  </si>
  <si>
    <t>Amber fill</t>
  </si>
  <si>
    <t>Owner decision, provisional evidence or release warning</t>
  </si>
  <si>
    <t>Resolve with evidence</t>
  </si>
  <si>
    <t>Waterfall, lender covenant and valuation decisions</t>
  </si>
  <si>
    <t>Financial outputs → valuation and investor allocation</t>
  </si>
  <si>
    <t>Property, debt, ownership and returns calculate once</t>
  </si>
  <si>
    <t>Red / exception formatting</t>
  </si>
  <si>
    <t>Failed control or invalid output</t>
  </si>
  <si>
    <t>Investigate the underlying logic</t>
  </si>
  <si>
    <t>Release-impact control failures</t>
  </si>
  <si>
    <t>Outputs → Summary and Investor Report</t>
  </si>
  <si>
    <t>Presentation sheets link directly to controlled calculations</t>
  </si>
  <si>
    <t>Controls → external release gate</t>
  </si>
  <si>
    <t>Failures and missing evidence block external reliance</t>
  </si>
  <si>
    <t>WORKBOOK MAP</t>
  </si>
  <si>
    <t>Worksheet</t>
  </si>
  <si>
    <t>Category</t>
  </si>
  <si>
    <t>Primary user action</t>
  </si>
  <si>
    <t>Key input / output</t>
  </si>
  <si>
    <t>Primary control</t>
  </si>
  <si>
    <t>Edit permission</t>
  </si>
  <si>
    <t>Governance</t>
  </si>
  <si>
    <t>Operating instructions and handover</t>
  </si>
  <si>
    <t>Read before using the model</t>
  </si>
  <si>
    <t>Live status and navigation</t>
  </si>
  <si>
    <t>Release-readiness panel</t>
  </si>
  <si>
    <t>Read only</t>
  </si>
  <si>
    <t>Institutional handover guide</t>
  </si>
  <si>
    <t>Presentation</t>
  </si>
  <si>
    <t>Executive project and model-status summary</t>
  </si>
  <si>
    <t>Review outputs and release status</t>
  </si>
  <si>
    <t>KPIs and readiness</t>
  </si>
  <si>
    <t>Technical controls</t>
  </si>
  <si>
    <t>Desktop Excel recalculation required</t>
  </si>
  <si>
    <t>PROJECT INPUTS</t>
  </si>
  <si>
    <t>Foundation</t>
  </si>
  <si>
    <t>Sole Bend ProjectCo assumption hub</t>
  </si>
  <si>
    <t>Edit approved blue-font assumptions</t>
  </si>
  <si>
    <t>239 canonical records</t>
  </si>
  <si>
    <t>Field-ID, scenario and release controls</t>
  </si>
  <si>
    <t>Controlled edit</t>
  </si>
  <si>
    <t>Rows 344 onward are source evidence only</t>
  </si>
  <si>
    <t>Separate HoldCo / pre-IPO / CLN assumptions</t>
  </si>
  <si>
    <t>Edit only genuine corporate assumptions</t>
  </si>
  <si>
    <t>Corporate reference inputs</t>
  </si>
  <si>
    <t>ProjectCo separation</t>
  </si>
  <si>
    <t>Not a Bend ProjectCo input source</t>
  </si>
  <si>
    <t>Workings</t>
  </si>
  <si>
    <t>Development, leasing and operating calculations</t>
  </si>
  <si>
    <t>Review calculations</t>
  </si>
  <si>
    <t>Project costs, NOI and residual cash flow</t>
  </si>
  <si>
    <t>Schedule checks</t>
  </si>
  <si>
    <t>No commercial hardcodes</t>
  </si>
  <si>
    <t>Annual Cash Flow</t>
  </si>
  <si>
    <t>Presentation / workings</t>
  </si>
  <si>
    <t>Annualised project cash flow</t>
  </si>
  <si>
    <t>Review annual outputs</t>
  </si>
  <si>
    <t>Annual project cash flows</t>
  </si>
  <si>
    <t>Cash-flow consistency</t>
  </si>
  <si>
    <t>Linked from monthly schedules</t>
  </si>
  <si>
    <t>Tenant Report</t>
  </si>
  <si>
    <t>Workings / presentation</t>
  </si>
  <si>
    <t>Tenant and component economics</t>
  </si>
  <si>
    <t>Review tenant cases</t>
  </si>
  <si>
    <t>Rent and tenant metrics</t>
  </si>
  <si>
    <t>Lease consistency</t>
  </si>
  <si>
    <t>Component-level support</t>
  </si>
  <si>
    <t>Data</t>
  </si>
  <si>
    <t>Legacy validation and helper data</t>
  </si>
  <si>
    <t>Validation tables</t>
  </si>
  <si>
    <t>Data consistency</t>
  </si>
  <si>
    <t>Not a second input hub</t>
  </si>
  <si>
    <t>Integrated income statement, balance sheet and cash flow</t>
  </si>
  <si>
    <t>Review statements and checks</t>
  </si>
  <si>
    <t>NPAT, cash, debt and equity</t>
  </si>
  <si>
    <t>Three-statement reconciliation</t>
  </si>
  <si>
    <t>No balance-sheet plug</t>
  </si>
  <si>
    <t>Construction, working-capital and term debt</t>
  </si>
  <si>
    <t>Review debt and covenants</t>
  </si>
  <si>
    <t>Draws, interest, DSCR and lock-up</t>
  </si>
  <si>
    <t>Blank DSCR fails safe</t>
  </si>
  <si>
    <t>Property SOTP, DCF cross-check and returns</t>
  </si>
  <si>
    <t>Review valuation cases</t>
  </si>
  <si>
    <t>Enterprise and equity value</t>
  </si>
  <si>
    <t>Valuation controls</t>
  </si>
  <si>
    <t>Funding, ownership and investor allocation</t>
  </si>
  <si>
    <t>Review ownership and returns</t>
  </si>
  <si>
    <t>Commitments, funded equity and value</t>
  </si>
  <si>
    <t>Ownership / funding checks</t>
  </si>
  <si>
    <t>Commitment is separate from funded capital</t>
  </si>
  <si>
    <t>Selected-investor return report</t>
  </si>
  <si>
    <t>Select investor and review outputs</t>
  </si>
  <si>
    <t>Value, MOIC and XIRR</t>
  </si>
  <si>
    <t>Selected-investor tie-out</t>
  </si>
  <si>
    <t>Investor selector only</t>
  </si>
  <si>
    <t>Brian Mirfin currently selected</t>
  </si>
  <si>
    <t>MODEL AUDIT</t>
  </si>
  <si>
    <t>Dependency, formula-risk and named-range audit</t>
  </si>
  <si>
    <t>Review architecture and risk</t>
  </si>
  <si>
    <t>Formula and input inventories</t>
  </si>
  <si>
    <t>Zero-redundancy controls</t>
  </si>
  <si>
    <t>Phase 9 and Phase 10 audit evidence</t>
  </si>
  <si>
    <t>INPUT GOVERNANCE</t>
  </si>
  <si>
    <t>Input inventory, owner decisions and control registers</t>
  </si>
  <si>
    <t>Resolve evidence and review status</t>
  </si>
  <si>
    <t>Decision and control registers</t>
  </si>
  <si>
    <t>Release-impact controls</t>
  </si>
  <si>
    <t>Controlled workflow</t>
  </si>
  <si>
    <t>No parallel assumption entry</t>
  </si>
  <si>
    <t>Source, migration and regression controls</t>
  </si>
  <si>
    <t>Review exceptions</t>
  </si>
  <si>
    <t>Cross-sheet controls</t>
  </si>
  <si>
    <t>OK / exception register</t>
  </si>
  <si>
    <t>Source-evidence checks only</t>
  </si>
  <si>
    <t>MIGRATION REPORT</t>
  </si>
  <si>
    <t>Change log and phased remediation record</t>
  </si>
  <si>
    <t>Review completed work</t>
  </si>
  <si>
    <t>Regression registers</t>
  </si>
  <si>
    <t>Phase checks</t>
  </si>
  <si>
    <t>Permanent audit trail</t>
  </si>
  <si>
    <t>OWNER Q&amp;A</t>
  </si>
  <si>
    <t>Governance / management</t>
  </si>
  <si>
    <t>Plain-English register of the twelve decisions required from management</t>
  </si>
  <si>
    <t>Review each question and use the link to the canonical Project Inputs cell</t>
  </si>
  <si>
    <t>Owner answers and evidence requirements</t>
  </si>
  <si>
    <t>Status is linked to the twelve owner-decision Field IDs</t>
  </si>
  <si>
    <t>Read only — answer in PROJECT INPUTS</t>
  </si>
  <si>
    <t>Formatted to match the Underwriting worksheet</t>
  </si>
  <si>
    <t>EXTERNAL RELEASE SEQUENCE</t>
  </si>
  <si>
    <t>Gate</t>
  </si>
  <si>
    <t>Requirement</t>
  </si>
  <si>
    <t>Live status</t>
  </si>
  <si>
    <t>Owner</t>
  </si>
  <si>
    <t>Release impact</t>
  </si>
  <si>
    <t>Required action</t>
  </si>
  <si>
    <t>Completion standard</t>
  </si>
  <si>
    <t>R1</t>
  </si>
  <si>
    <t>Workbook opens and completes full desktop-Excel recalculation</t>
  </si>
  <si>
    <t>Summary technical controls</t>
  </si>
  <si>
    <t>Model owner</t>
  </si>
  <si>
    <t>High</t>
  </si>
  <si>
    <t>Open in desktop Excel and force full calculation</t>
  </si>
  <si>
    <t>R2</t>
  </si>
  <si>
    <t>Input architecture and dependency controls pass</t>
  </si>
  <si>
    <t>MODEL AUDIT and INPUT GOVERNANCE</t>
  </si>
  <si>
    <t>Resolve any architecture exception</t>
  </si>
  <si>
    <t>All Phase 9 / 10 controls pass</t>
  </si>
  <si>
    <t>R3</t>
  </si>
  <si>
    <t>Twelve owner decisions are resolved</t>
  </si>
  <si>
    <t>Sponsor / advisers</t>
  </si>
  <si>
    <t>Provide evidence and approve canonical values</t>
  </si>
  <si>
    <t>Outstanding count = 0</t>
  </si>
  <si>
    <t>R4</t>
  </si>
  <si>
    <t>Executed lender covenant terms are incorporated</t>
  </si>
  <si>
    <t>OUTSTANDING</t>
  </si>
  <si>
    <t>Facility term sheet / agreement</t>
  </si>
  <si>
    <t>Sponsor / lender</t>
  </si>
  <si>
    <t>Confirm DSCR and facility terms</t>
  </si>
  <si>
    <t>Debt controls and lock-up approved</t>
  </si>
  <si>
    <t>R5</t>
  </si>
  <si>
    <t>Written Australian tax and GST advice is incorporated</t>
  </si>
  <si>
    <t>Tax memorandum</t>
  </si>
  <si>
    <t>Tax adviser</t>
  </si>
  <si>
    <t>Confirm tax-loss, GST and transaction treatment</t>
  </si>
  <si>
    <t>Tax adviser sign-off</t>
  </si>
  <si>
    <t>R6</t>
  </si>
  <si>
    <t>Independent valuation and QS evidence are incorporated</t>
  </si>
  <si>
    <t>Valuation and QS reports</t>
  </si>
  <si>
    <t>Valuer / QS</t>
  </si>
  <si>
    <t>Confirm cap rates, OpCo treatment and lifecycle CAPEX</t>
  </si>
  <si>
    <t>Independent reports referenced</t>
  </si>
  <si>
    <t>R7</t>
  </si>
  <si>
    <t>Shareholder and waterfall documents are incorporated</t>
  </si>
  <si>
    <t>Executed legal agreements</t>
  </si>
  <si>
    <t>Legal / sponsor</t>
  </si>
  <si>
    <t>Confirm ownership, contributions and promote terms</t>
  </si>
  <si>
    <t>Legal sign-off</t>
  </si>
  <si>
    <t>R8</t>
  </si>
  <si>
    <t>External release gate is cleared</t>
  </si>
  <si>
    <t>Save, close and reopen after final review</t>
  </si>
  <si>
    <t>Technically reconciled status with specialist sign-off</t>
  </si>
  <si>
    <t>MODELLING STANDARDS APPLIED</t>
  </si>
  <si>
    <t>Applied principle</t>
  </si>
  <si>
    <t>Application in this workbook</t>
  </si>
  <si>
    <t>FAST Standard</t>
  </si>
  <si>
    <t>Simple, transparent, adaptable and structured calculations</t>
  </si>
  <si>
    <t>Calculate once, short dependency paths, unique inputs and visible controls</t>
  </si>
  <si>
    <t>Michael Rees — Principles of Financial Modelling</t>
  </si>
  <si>
    <t>Design from decisions and outputs; scenario thinking shapes architecture</t>
  </si>
  <si>
    <t>Canonical drivers, explicit scenarios and controlled output paths</t>
  </si>
  <si>
    <t>Stefano Gatti — Project Finance in Theory and Practice</t>
  </si>
  <si>
    <t>Integrated sources, uses, operating cash flow, debt, tax and returns</t>
  </si>
  <si>
    <t>ProjectCo schedules, debt controls, financial statements and investor allocation</t>
  </si>
  <si>
    <t>SAVi / Corality project-finance materials</t>
  </si>
  <si>
    <t>Transparent scenario analysis, risk testing and lender / investor metrics</t>
  </si>
  <si>
    <t>Scenario regression, DSCR, lock-up, valuation and release controls</t>
  </si>
  <si>
    <t>PHASE 11 | EXACT S-CURVE CALCULATION COMPATIBILITY</t>
  </si>
  <si>
    <t>Treatment</t>
  </si>
  <si>
    <t>Calculation basis</t>
  </si>
  <si>
    <t>Model impact</t>
  </si>
  <si>
    <t>Legacy NORMDIST compatibility function</t>
  </si>
  <si>
    <t>Exact cumulative normal distribution</t>
  </si>
  <si>
    <t>Replaces _xlfn.NORM.DIST without changing timing economics</t>
  </si>
  <si>
    <t>MODEL AUDIT Phase 11 controls</t>
  </si>
  <si>
    <t>Underwriting and Data formulas</t>
  </si>
  <si>
    <t>NORMDIST is the backward-compatible Excel equivalent of NORM.DIST.</t>
  </si>
  <si>
    <t>Formula definitions converted</t>
  </si>
  <si>
    <t>32 shared formula definitions</t>
  </si>
  <si>
    <t>27 Underwriting plus 5 Data formulas</t>
  </si>
  <si>
    <t>Removes modern-function compatibility prefixes</t>
  </si>
  <si>
    <t>Compatibility count must equal zero</t>
  </si>
  <si>
    <t>Workbook formula package</t>
  </si>
  <si>
    <t>Shared formula ranges continue to populate all monthly periods.</t>
  </si>
  <si>
    <t>Active CAPEX curve</t>
  </si>
  <si>
    <t>37-month S-curve for hard costs</t>
  </si>
  <si>
    <t>Exact normal-CDF increments normalised to 100%</t>
  </si>
  <si>
    <t>Monthly CAPEX, funding and interest timing are preserved</t>
  </si>
  <si>
    <t>Allocation variance must equal zero after recalculation</t>
  </si>
  <si>
    <t>Underwriting!EP34 and EV34:JX34</t>
  </si>
  <si>
    <t>No commercial assumption changed.</t>
  </si>
  <si>
    <t>Calculation engine</t>
  </si>
  <si>
    <t>Desktop Microsoft Excel full recalculation</t>
  </si>
  <si>
    <t>Automatic, full calculation on open</t>
  </si>
  <si>
    <t>Refreshes all cached outputs and controls</t>
  </si>
  <si>
    <t>Technical calculation status must pass</t>
  </si>
  <si>
    <t>Do not rely on pre-recalculation cached values.</t>
  </si>
  <si>
    <t>Formula governance</t>
  </si>
  <si>
    <t>No _xlfn formula prefixes remain</t>
  </si>
  <si>
    <t>Package-level formula scan</t>
  </si>
  <si>
    <t>Improves portability while retaining exact model logic</t>
  </si>
  <si>
    <t>Phase 11 engine status</t>
  </si>
  <si>
    <t>MODEL AUDIT!B394</t>
  </si>
  <si>
    <t>No approximation was introduced.</t>
  </si>
  <si>
    <t>Release treatment</t>
  </si>
  <si>
    <t>Fail-safe external release gate</t>
  </si>
  <si>
    <t>Owner decisions, technical controls and S-curve status</t>
  </si>
  <si>
    <t>Any failure blocks external reliance</t>
  </si>
  <si>
    <t>Governance registers</t>
  </si>
  <si>
    <t>Owner decisions remain the current primary blocker.</t>
  </si>
  <si>
    <t>PHASE 12 | FINAL MANAGER QA &amp; MANAGEMENT-SOURCE TREATMENT</t>
  </si>
  <si>
    <t>Calculation / source basis</t>
  </si>
  <si>
    <t>Circularity</t>
  </si>
  <si>
    <t>True cross-sheet circular dependencies removed</t>
  </si>
  <si>
    <t>Independent source inputs and non-self-referential controls</t>
  </si>
  <si>
    <t>Prevents iterative or ambiguous results</t>
  </si>
  <si>
    <t>Phase 12 dependency audit</t>
  </si>
  <si>
    <t>COLUMN-based period formulas are not value circularities.</t>
  </si>
  <si>
    <t>Formula caches</t>
  </si>
  <si>
    <t>Stale error-cache markers removed</t>
  </si>
  <si>
    <t>Formula text retained; full recalculation forced</t>
  </si>
  <si>
    <t>Prevents false error display before calculation</t>
  </si>
  <si>
    <t>Final OOXML package scan</t>
  </si>
  <si>
    <t>Desktop Excel remains the authoritative calculation engine.</t>
  </si>
  <si>
    <t>Operating benchmark</t>
  </si>
  <si>
    <t>Source NOI fixed at A$45.5419m</t>
  </si>
  <si>
    <t>Project data book PROFIT &amp; LOSS!D22 (2029)</t>
  </si>
  <si>
    <t>Source OPEX is derived without using target NOI</t>
  </si>
  <si>
    <t>Project data book</t>
  </si>
  <si>
    <t>Controlled input</t>
  </si>
  <si>
    <t>Do not replace with a target-model output.</t>
  </si>
  <si>
    <t>Latest management email</t>
  </si>
  <si>
    <t>Recorded as management source, not executed terms</t>
  </si>
  <si>
    <t>Confidential email dated 1 Aug 2026</t>
  </si>
  <si>
    <t>Adds debt, site-control, share and programme evidence requirements</t>
  </si>
  <si>
    <t>INPUT GOVERNANCE Phase 12</t>
  </si>
  <si>
    <t>Management email</t>
  </si>
  <si>
    <t>Read only until approved</t>
  </si>
  <si>
    <t>Indicative information does not override signed documents or specialist advice.</t>
  </si>
  <si>
    <t>Land acquisition</t>
  </si>
  <si>
    <t>A$86m purchase price reconciled to A$91.57m including estimated stamp duty</t>
  </si>
  <si>
    <t>Management email plus current model input</t>
  </si>
  <si>
    <t>No live value change</t>
  </si>
  <si>
    <t>PROJECT INPUTS!H109</t>
  </si>
  <si>
    <t>Source reconciliation</t>
  </si>
  <si>
    <t>GST treatment remains subject to written tax advice.</t>
  </si>
  <si>
    <t>Debt strategy</t>
  </si>
  <si>
    <t>A$30m initial and A$180m–A$200m future debt remain indicative</t>
  </si>
  <si>
    <t>No executed lender term sheet supplied</t>
  </si>
  <si>
    <t>No separate bridge facility added</t>
  </si>
  <si>
    <t>INPUT GOVERNANCE P12-005 / P12-006</t>
  </si>
  <si>
    <t>Lender evidence outstanding</t>
  </si>
  <si>
    <t>Owner decision</t>
  </si>
  <si>
    <t>Do not force model debt to an indicative range.</t>
  </si>
  <si>
    <t>Ownership / board</t>
  </si>
  <si>
    <t>Mayabay and David concepts remain unexecuted</t>
  </si>
  <si>
    <t>Shareholder and board documents required</t>
  </si>
  <si>
    <t>No cap-table override</t>
  </si>
  <si>
    <t>INPUT GOVERNANCE P12-008</t>
  </si>
  <si>
    <t>Legal evidence outstanding</t>
  </si>
  <si>
    <t>Preserves control and avoids invented ownership terms.</t>
  </si>
  <si>
    <t>External release</t>
  </si>
  <si>
    <t>Fail-safe gate includes Phase 12 manager QA</t>
  </si>
  <si>
    <t>Technical QA plus owner and specialist decisions</t>
  </si>
  <si>
    <t>Any failure blocks reliance</t>
  </si>
  <si>
    <t>Current status remains not ready.</t>
  </si>
  <si>
    <t>Live owner-decision status link</t>
  </si>
  <si>
    <t>Lender terms, cap table legal rights, independent valuation evidence and tax treatment remain provisional and are not presented as agreed facts. | Phase 9 final closure: scaled-value matching, hardcode tracing and owner-decision dependency testing identified no further exact source-backed one-to-one links. All 12 owner decisions are live-linked to their relevant model controls and release gates. Remaining lender terms, rent assumptions, waterfall terms and valuation evidence are deliberately retained as provisional until executed documents, independent evidence or owner approval is supplied.</t>
  </si>
  <si>
    <t>Linked — canonical input</t>
  </si>
  <si>
    <t>detailed-schedule hardcode; raw source value retained without external link | Value linked to canonical assumption at INPUT REGISTER!D14:F14; source record retained for audit.</t>
  </si>
  <si>
    <t>Linked duplicate — canonical value retained in first occurrence; source evidence remains traceable.</t>
  </si>
  <si>
    <t>detailed-schedule hardcode; raw source value retained without external link | Value linked to canonical assumption at INPUT REGISTER!D15:F15; source record retained for audit.</t>
  </si>
  <si>
    <t>detailed-schedule hardcode; raw source value retained without external link | Value linked to canonical assumption at INPUT REGISTER!D16:F16; source record retained for audit.</t>
  </si>
  <si>
    <t>detailed-schedule hardcode; raw source value retained without external link | Value linked to canonical assumption at INPUT REGISTER!D17:F17; source record retained for audit.</t>
  </si>
  <si>
    <t>detailed-schedule hardcode; raw source value retained without external link | Value linked to canonical assumption at INPUT REGISTER!D18:F18; source record retained for audit.</t>
  </si>
  <si>
    <t>detailed-schedule hardcode; raw source value retained without external link | Value linked to canonical assumption at INPUT REGISTER!D19:F19; source record retained for audit.</t>
  </si>
  <si>
    <t>detailed-schedule hardcode; raw source value retained without external link | Value linked to canonical assumption at INPUT REGISTER!D20:F20; source record retained for audit.</t>
  </si>
  <si>
    <t>detailed-schedule hardcode; raw source value retained without external link | Value linked to canonical assumption at INPUT REGISTER!D21:F21; source record retained for audit.</t>
  </si>
  <si>
    <t>detailed-schedule hardcode; raw source value retained without external link | Value linked to canonical assumption at INPUT REGISTER!D22:F22; source record retained for audit.</t>
  </si>
  <si>
    <t>detailed-schedule hardcode; raw source value retained without external link | Value linked to canonical assumption at INPUT REGISTER!D23:F23; source record retained for audit.</t>
  </si>
  <si>
    <t>detailed-schedule hardcode; raw source value retained without external link | Value linked to canonical assumption at INPUT REGISTER!D24:F24; source record retained for audit.</t>
  </si>
  <si>
    <t>detailed-schedule hardcode; raw source value retained without external link | Value linked to canonical assumption at INPUT REGISTER!D25:F25; source record retained for audit.</t>
  </si>
  <si>
    <t>detailed-schedule hardcode; raw source value retained without external link | Value linked to canonical assumption at INPUT REGISTER!D26:F26; source record retained for audit.</t>
  </si>
  <si>
    <t>detailed-schedule hardcode; raw source value retained without external link | Value linked to canonical assumption at INPUT REGISTER!D27:F27; source record retained for audit.</t>
  </si>
  <si>
    <t>detailed-schedule hardcode; raw source value retained without external link | Value linked to canonical assumption at INPUT REGISTER!D28:F28; source record retained for audit.</t>
  </si>
  <si>
    <t>detailed-schedule hardcode; raw source value retained without external link | Value linked to canonical assumption at INPUT REGISTER!D29:F29; source record retained for audit.</t>
  </si>
  <si>
    <t>detailed-schedule hardcode; raw source value retained without external link | Value linked to canonical assumption at INPUT REGISTER!D31:F31; source record retained for audit.</t>
  </si>
  <si>
    <t>detailed-schedule hardcode; raw source value retained without external link | Value linked to canonical assumption at INPUT REGISTER!D33:F33; source record retained for audit.</t>
  </si>
  <si>
    <t>detailed-schedule hardcode; raw source value retained without external link | Value linked to canonical assumption at INPUT REGISTER!D35:F35; source record retained for audit.</t>
  </si>
  <si>
    <t>detailed-schedule hardcode; raw source value retained without external link | Value linked to canonical assumption at INPUT REGISTER!D36:F36; source record retained for audit.</t>
  </si>
  <si>
    <t>detailed-schedule hardcode; raw source value retained without external link | Value linked to canonical assumption at INPUT REGISTER!D37:F37; source record retained for audit.</t>
  </si>
  <si>
    <t>detailed-schedule hardcode; raw source value retained without external link | Value linked to canonical assumption at INPUT REGISTER!D38:F38; source record retained for audit.</t>
  </si>
  <si>
    <t>detailed-schedule hardcode; raw source value retained without external link | Value linked to canonical assumption at INPUT REGISTER!D39:F39; source record retained for audit.</t>
  </si>
  <si>
    <t>detailed-schedule hardcode; raw source value retained without external link | Value linked to canonical assumption at INPUT REGISTER!D40:F40; source record retained for audit.</t>
  </si>
  <si>
    <t>detailed-schedule hardcode; raw source value retained without external link | Value linked to canonical assumption at INPUT REGISTER!D41:F41; source record retained for audit.</t>
  </si>
  <si>
    <t>detailed-schedule hardcode; raw source value retained without external link | Value linked to canonical assumption at INPUT REGISTER!D43:F43; source record retained for audit.</t>
  </si>
  <si>
    <t>detailed-schedule hardcode; raw source value retained without external link | Value linked to canonical assumption at INPUT REGISTER!D45:F45; source record retained for audit.</t>
  </si>
  <si>
    <t>detailed-schedule hardcode; raw source value retained without external link | Value linked to canonical assumption at INPUT REGISTER!D47:F47; source record retained for audit.</t>
  </si>
  <si>
    <t>detailed-schedule hardcode; raw source value retained without external link | Value linked to canonical assumption at INPUT REGISTER!D49:F49; source record retained for audit.</t>
  </si>
  <si>
    <t>detailed-schedule hardcode; raw source value retained without external link | Value linked to canonical assumption at INPUT REGISTER!D50:F50; source record retained for audit.</t>
  </si>
  <si>
    <t>detailed-schedule hardcode; raw source value retained without external link | Value linked to canonical assumption at INPUT REGISTER!D52:F52; source record retained for audit.</t>
  </si>
  <si>
    <t>detailed-schedule hardcode; raw source value retained without external link | Value linked to canonical assumption at INPUT REGISTER!D53:F53; source record retained for audit.</t>
  </si>
  <si>
    <t>detailed-schedule hardcode; raw source value retained without external link | Value linked to canonical assumption at INPUT REGISTER!D54:F54; source record retained for audit.</t>
  </si>
  <si>
    <t>detailed-schedule hardcode; raw source value retained without external link | Value linked to canonical assumption at INPUT REGISTER!D55:F55; source record retained for audit.</t>
  </si>
  <si>
    <t>detailed-schedule hardcode; raw source value retained without external link | Value linked to canonical assumption at INPUT REGISTER!D56:F56; source record retained for audit.</t>
  </si>
  <si>
    <t>detailed-schedule hardcode; raw source value retained without external link | Value linked to canonical assumption at INPUT REGISTER!D59:F59; source record retained for audit.</t>
  </si>
  <si>
    <t>detailed-schedule hardcode; raw source value retained without external link | Value linked to canonical assumption at INPUT REGISTER!D60:F60; source record retained for audit.</t>
  </si>
  <si>
    <t>detailed-schedule hardcode; raw source value retained without external link | Value linked to canonical assumption at INPUT REGISTER!D61:F61; source record retained for audit.</t>
  </si>
  <si>
    <t>detailed-schedule hardcode; raw source value retained without external link | Value linked to canonical assumption at INPUT REGISTER!D62:F62; source record retained for audit.</t>
  </si>
  <si>
    <t>detailed-schedule hardcode; raw source value retained without external link | Value linked to canonical assumption at INPUT REGISTER!D64:F64; source record retained for audit.</t>
  </si>
  <si>
    <t>detailed-schedule hardcode; raw source value retained without external link | Value linked to canonical assumption at INPUT REGISTER!D66:F66; source record retained for audit.</t>
  </si>
  <si>
    <t>detailed-schedule hardcode; raw source value retained without external link | Value linked to canonical assumption at INPUT REGISTER!D68:F68; source record retained for audit.</t>
  </si>
  <si>
    <t>detailed-schedule hardcode; raw source value retained without external link | Value linked to canonical assumption at INPUT REGISTER!D69:F69; source record retained for audit.</t>
  </si>
  <si>
    <t>detailed-schedule hardcode; raw source value retained without external link | Value linked to canonical assumption at INPUT REGISTER!D70:F70; source record retained for audit.</t>
  </si>
  <si>
    <t>detailed-schedule hardcode; raw source value retained without external link | Value linked to canonical assumption at INPUT REGISTER!D71:F71; source record retained for audit.</t>
  </si>
  <si>
    <t>detailed-schedule hardcode; raw source value retained without external link | Value linked to canonical assumption at INPUT REGISTER!D72:F72; source record retained for audit.</t>
  </si>
  <si>
    <t>detailed-schedule hardcode; raw source value retained without external link | Value linked to canonical assumption at INPUT REGISTER!D73:F73; source record retained for audit.</t>
  </si>
  <si>
    <t>detailed-schedule hardcode; raw source value retained without external link | Value linked to canonical assumption at INPUT REGISTER!D74:F74; source record retained for audit.</t>
  </si>
  <si>
    <t>detailed-schedule hardcode; raw source value retained without external link | Value linked to canonical assumption at INPUT REGISTER!D76:F76; source record retained for audit.</t>
  </si>
  <si>
    <t>detailed-schedule hardcode; raw source value retained without external link | Value linked to canonical assumption at INPUT REGISTER!D77:F77; source record retained for audit.</t>
  </si>
  <si>
    <t>detailed-schedule hardcode; raw source value retained without external link | Value linked to canonical assumption at INPUT REGISTER!D78:F78; source record retained for audit.</t>
  </si>
  <si>
    <t>detailed-schedule hardcode; raw source value retained without external link | Value linked to canonical assumption at INPUT REGISTER!D79:F79; source record retained for audit.</t>
  </si>
  <si>
    <t>detailed-schedule hardcode; raw source value retained without external link | Value linked to canonical assumption at INPUT REGISTER!D80:F80; source record retained for audit.</t>
  </si>
  <si>
    <t>detailed-schedule hardcode; raw source value retained without external link | Value linked to canonical assumption at INPUT REGISTER!D81:F81; source record retained for audit.</t>
  </si>
  <si>
    <t>detailed-schedule hardcode; raw source value retained without external link | Value linked to canonical assumption at INPUT REGISTER!D82:F82; source record retained for audit.</t>
  </si>
  <si>
    <t>detailed-schedule hardcode; raw source value retained without external link | Value linked to canonical assumption at INPUT REGISTER!D83:F83; source record retained for audit.</t>
  </si>
  <si>
    <t>detailed-schedule hardcode; raw source value retained without external link | Value linked to canonical assumption at INPUT REGISTER!D84:F84; source record retained for audit.</t>
  </si>
  <si>
    <t>14  MODEL-LINKED PROPERTY RENT INPUTS</t>
  </si>
  <si>
    <t>URWLD property rent</t>
  </si>
  <si>
    <t>AUD / m² / year</t>
  </si>
  <si>
    <t>Model input — canonical</t>
  </si>
  <si>
    <t>Property rent assumptions</t>
  </si>
  <si>
    <t>Management / property adviser</t>
  </si>
  <si>
    <t>INPUT REGISTER</t>
  </si>
  <si>
    <t>Migrated from DATA MAP!E69</t>
  </si>
  <si>
    <t>Canonical editable rent assumption; DATA MAP and Underwriting are formula-linked to this row.</t>
  </si>
  <si>
    <t>MIR-RENT-001</t>
  </si>
  <si>
    <t>PROPERTY RENT ASSUMPTIONS</t>
  </si>
  <si>
    <t>Authoritative editable property-rent input; retained once to prevent redundant hardcodes.</t>
  </si>
  <si>
    <t>PBSA property rent</t>
  </si>
  <si>
    <t>Migrated from DATA MAP!E70</t>
  </si>
  <si>
    <t>MIR-RENT-002</t>
  </si>
  <si>
    <t>LiveHouse property rent</t>
  </si>
  <si>
    <t>Migrated from DATA MAP!E71</t>
  </si>
  <si>
    <t>MIR-RENT-003</t>
  </si>
  <si>
    <t>Retail / F&amp;B property rent</t>
  </si>
  <si>
    <t>Migrated from DATA MAP!E72</t>
  </si>
  <si>
    <t>MIR-RENT-004</t>
  </si>
  <si>
    <t>Genesis property rent</t>
  </si>
  <si>
    <t>Migrated from DATA MAP!E73</t>
  </si>
  <si>
    <t>MIR-RENT-005</t>
  </si>
  <si>
    <t>Car park property rent</t>
  </si>
  <si>
    <t>Migrated from DATA MAP!E74</t>
  </si>
  <si>
    <t>MIR-RENT-006</t>
  </si>
  <si>
    <t>Snowtunnel property rent</t>
  </si>
  <si>
    <t>Migrated from DATA MAP!E75</t>
  </si>
  <si>
    <t>MIR-RENT-007</t>
  </si>
  <si>
    <t>Go-kart property rent</t>
  </si>
  <si>
    <t>Migrated from DATA MAP!E76</t>
  </si>
  <si>
    <t>MIR-RENT-008</t>
  </si>
  <si>
    <t>Landscape attraction property rent</t>
  </si>
  <si>
    <t>Migrated from DATA MAP!E77</t>
  </si>
  <si>
    <t>MIR-RENT-009</t>
  </si>
  <si>
    <t>Self-storage property rent</t>
  </si>
  <si>
    <t>Migrated from DATA MAP!E78</t>
  </si>
  <si>
    <t>MIR-RENT-010</t>
  </si>
  <si>
    <t>Convenience / laundromat property rent</t>
  </si>
  <si>
    <t>Migrated from DATA MAP!E79</t>
  </si>
  <si>
    <t>MIR-RENT-011</t>
  </si>
  <si>
    <t>eBike / eScooter property rent</t>
  </si>
  <si>
    <t>Migrated from DATA MAP!E80</t>
  </si>
  <si>
    <t>MIR-RENT-012</t>
  </si>
  <si>
    <t>Data-book lease and operating schedules require scope reconciliation before replacement. | Live input: INPUT REGISTER!F672.</t>
  </si>
  <si>
    <t>Data-book lease and operating schedules require scope reconciliation before replacement. | Live input: INPUT REGISTER!F673.</t>
  </si>
  <si>
    <t>Data-book lease and operating schedules require scope reconciliation before replacement. | Live input: INPUT REGISTER!F674.</t>
  </si>
  <si>
    <t>Data-book lease and operating schedules require scope reconciliation before replacement. | Live input: INPUT REGISTER!F675.</t>
  </si>
  <si>
    <t>Data-book lease and operating schedules require scope reconciliation before replacement. | Live input: INPUT REGISTER!F676.</t>
  </si>
  <si>
    <t>Data-book lease and operating schedules require scope reconciliation before replacement. | Live input: INPUT REGISTER!F677.</t>
  </si>
  <si>
    <t>Data-book lease and operating schedules require scope reconciliation before replacement. | Live input: INPUT REGISTER!F678.</t>
  </si>
  <si>
    <t>Data-book lease and operating schedules require scope reconciliation before replacement. | Live input: INPUT REGISTER!F679.</t>
  </si>
  <si>
    <t>Data-book lease and operating schedules require scope reconciliation before replacement. | Live input: INPUT REGISTER!F680.</t>
  </si>
  <si>
    <t>Data-book lease and operating schedules require scope reconciliation before replacement. | Live input: INPUT REGISTER!F681.</t>
  </si>
  <si>
    <t>Data-book lease and operating schedules require scope reconciliation before replacement. | Live input: INPUT REGISTER!F682.</t>
  </si>
  <si>
    <t>Data-book lease and operating schedules require scope reconciliation before replacement. | Live input: INPUT REGISTER!F683.</t>
  </si>
  <si>
    <t>CANONICAL LEASE TERMS INPUTS (editable source)</t>
  </si>
  <si>
    <t>Escalation annual anniversary of commencement</t>
  </si>
  <si>
    <t>Market review year anniversary</t>
  </si>
  <si>
    <t>Lease term</t>
  </si>
  <si>
    <t>Extensions</t>
  </si>
  <si>
    <t>Further options</t>
  </si>
  <si>
    <t>Site works mobilised</t>
  </si>
  <si>
    <t>Lease commence start outgoings</t>
  </si>
  <si>
    <t>Fit out rent free period (months)</t>
  </si>
  <si>
    <t>Rent abatement period (years)</t>
  </si>
  <si>
    <t>Rent abatement level</t>
  </si>
  <si>
    <t>Calculated — linked drivers</t>
  </si>
  <si>
    <t>Source value retained as an audit reference; live value calculated from INPUT REGISTER!F248 members × INPUT REGISTER!D249 monthly fee × 12.</t>
  </si>
  <si>
    <t>Calculated output — linked to editable membership volume and pricing drivers.</t>
  </si>
  <si>
    <t>Source value retained as an audit reference; live value calculated from INPUT REGISTER!F251 members × INPUT REGISTER!D252 monthly fee × 12.</t>
  </si>
  <si>
    <t>Source value retained as an audit reference; live value calculated from INPUT REGISTER!F254 members × INPUT REGISTER!D255 monthly fee × 12.</t>
  </si>
  <si>
    <t>Source value retained as an audit reference; live value calculated from INPUT REGISTER!F257 members × INPUT REGISTER!D258 monthly fee × 12.</t>
  </si>
  <si>
    <t>Source value retained as an audit reference; live value calculated from INPUT REGISTER!F260 members × INPUT REGISTER!D261 monthly fee × 12.</t>
  </si>
  <si>
    <t>Source total retained as an audit reference; live member total sums the five membership categories above.</t>
  </si>
  <si>
    <t>Source total retained as an audit reference; live annual revenue total sums the five calculated membership revenue rows above.</t>
  </si>
  <si>
    <t>Calculated output — membership volume total.</t>
  </si>
  <si>
    <t>Calculated output — membership revenue total.</t>
  </si>
  <si>
    <t>CANONICAL GENESIS LEASE TERMS INPUTS (editable source)</t>
  </si>
  <si>
    <t>Source record retained for audit; live Genesis lease assumption linked to INPUT REGISTER!F698.</t>
  </si>
  <si>
    <t>Genesis-specific canonical lease input; not shared across business components.</t>
  </si>
  <si>
    <t>Source record retained for audit; live Genesis lease assumption linked to INPUT REGISTER!F699.</t>
  </si>
  <si>
    <t>Source record retained for audit; live Genesis lease assumption linked to INPUT REGISTER!F700.</t>
  </si>
  <si>
    <t>Source record retained for audit; live Genesis lease assumption linked to INPUT REGISTER!F701.</t>
  </si>
  <si>
    <t>Source record retained for audit; live Genesis lease assumption linked to INPUT REGISTER!F702.</t>
  </si>
  <si>
    <t>Source record retained for audit; live Genesis lease assumption linked to INPUT REGISTER!F703.</t>
  </si>
  <si>
    <t>Source record retained for audit; live Genesis lease assumption linked to INPUT REGISTER!F704.</t>
  </si>
  <si>
    <t>Source record retained for audit; live Genesis lease assumption linked to INPUT REGISTER!F705.</t>
  </si>
  <si>
    <t>Source record retained for audit; live Genesis lease assumption linked to INPUT REGISTER!F706.</t>
  </si>
  <si>
    <t>Source record retained for audit; live Genesis lease assumption linked to INPUT REGISTER!F707.</t>
  </si>
  <si>
    <t>CANONICAL LIVEHOUSE LEASE TERMS INPUTS (editable source)</t>
  </si>
  <si>
    <t>Source record retained for audit; live LiveHouse lease assumption linked to INPUT REGISTER!F710.</t>
  </si>
  <si>
    <t>LiveHouse-specific canonical lease input; not shared across business components.</t>
  </si>
  <si>
    <t>Source record retained for audit; live LiveHouse lease assumption linked to INPUT REGISTER!F711.</t>
  </si>
  <si>
    <t>Source record retained for audit; live LiveHouse lease assumption linked to INPUT REGISTER!F712.</t>
  </si>
  <si>
    <t>Source record retained for audit; live LiveHouse lease assumption linked to INPUT REGISTER!F713.</t>
  </si>
  <si>
    <t>Source record retained for audit; live LiveHouse lease assumption linked to INPUT REGISTER!F714.</t>
  </si>
  <si>
    <t>Source record retained for audit; live LiveHouse lease assumption linked to INPUT REGISTER!F715.</t>
  </si>
  <si>
    <t>Source record retained for audit; live LiveHouse lease assumption linked to INPUT REGISTER!F716.</t>
  </si>
  <si>
    <t>Source record retained for audit; live LiveHouse lease assumption linked to INPUT REGISTER!F717.</t>
  </si>
  <si>
    <t>Source record retained for audit; live LiveHouse lease assumption linked to INPUT REGISTER!F718.</t>
  </si>
  <si>
    <t>Source record retained for audit; live LiveHouse lease assumption linked to INPUT REGISTER!F719.</t>
  </si>
  <si>
    <t>No calculation target</t>
  </si>
  <si>
    <t>N/A</t>
  </si>
  <si>
    <t>Not linked — classification unresolved</t>
  </si>
  <si>
    <t>Not linked — scope mismatch</t>
  </si>
  <si>
    <t>Confirm PBSA operating classification and approved capacity.</t>
  </si>
  <si>
    <t>Confirm approved parking capacity and scope.</t>
  </si>
  <si>
    <t>I35</t>
  </si>
  <si>
    <t>I30</t>
  </si>
  <si>
    <t>Aggregated within Underwriting!I35. The detailed component build and cost schedules are authoritative; conflicting summaries are evidence only and are not double counted. | Live input: URWLD COMPANY INPUTS!D125 (DBI-PCF-H36).</t>
  </si>
  <si>
    <t>Aggregated within Underwriting!I35. The detailed component build and cost schedules are authoritative; conflicting summaries are evidence only and are not double counted. | Live input: URWLD COMPANY INPUTS!D126 (DBI-PCF-H37).</t>
  </si>
  <si>
    <t>Linked in Underwriting!I30. The detailed component build and cost schedules are authoritative; conflicting summaries are evidence only and are not double counted. | Live input: URWLD COMPANY INPUTS!D750 (DBI-PCF-H39).</t>
  </si>
  <si>
    <t>Source captured; target calculation preserved</t>
  </si>
  <si>
    <t>Not linked — no defensible tax schedule</t>
  </si>
  <si>
    <t>A857:G872</t>
  </si>
  <si>
    <t>OK — 0 formula/name links</t>
  </si>
  <si>
    <t>Workbook-wide formulas and defined names</t>
  </si>
  <si>
    <t>Technical check passed</t>
  </si>
  <si>
    <t>No external workbook, URL, file, UNC or .xls references found after full rebuild.</t>
  </si>
  <si>
    <t>CHK-068</t>
  </si>
  <si>
    <t>Workbook formula error scan</t>
  </si>
  <si>
    <t>OK — 0 formula errors</t>
  </si>
  <si>
    <t>All 14 worksheets | 252,348 used cells | 65,246 formulas</t>
  </si>
  <si>
    <t>Checked #REF!, #VALUE!, #DIV/0!, #NAME?, #N/A, #NUM!, #NULL!, #CALC! and #SPILL! after full rebuild.</t>
  </si>
  <si>
    <t>CHK-069</t>
  </si>
  <si>
    <t>Calculation and circular-reference status</t>
  </si>
  <si>
    <t>OK — calculation complete</t>
  </si>
  <si>
    <t>Automatic calculation | state Done | iterative calculation disabled</t>
  </si>
  <si>
    <t>No circular-reference indication from calculation state or iterative settings; calculation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</si>
</sst>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164" formatCode="_(* #,##0_);_(* \(#,##0\);_(* &quot;-&quot;_);_(@_)"/>
    <numFmt numFmtId="165" formatCode="_(* #,##0.00_);_(* \(#,##0.00\);_(* &quot;-&quot;??_);_(@_)"/>
    <numFmt numFmtId="166" formatCode="00000"/>
    <numFmt numFmtId="167" formatCode="#,##0\ &quot;SF&quot;"/>
    <numFmt numFmtId="168" formatCode="#,##0.0"/>
    <numFmt numFmtId="169" formatCode="&quot;Month&quot;\ 0"/>
    <numFmt numFmtId="170" formatCode="mmm\-yyyy"/>
    <numFmt numFmtId="171" formatCode="&quot;Year&quot;\ 0"/>
    <numFmt numFmtId="172" formatCode="0\ &quot;(Steep)&quot;"/>
    <numFmt numFmtId="173" formatCode="0\ \(\F\l\a\t\)"/>
    <numFmt numFmtId="174" formatCode="0.0%"/>
    <numFmt numFmtId="175" formatCode="0.0%\ &quot;LTC&quot;"/>
    <numFmt numFmtId="176" formatCode="0.0%\ &quot;of Cost&quot;"/>
    <numFmt numFmtId="177" formatCode="0\ &quot;Months&quot;"/>
    <numFmt numFmtId="178" formatCode="0.0\ &quot;units&quot;"/>
    <numFmt numFmtId="179" formatCode="_(* #,##0_);_(* \(#,##0\);_(* &quot;-&quot;??_);_(@_)"/>
    <numFmt numFmtId="180" formatCode="&quot;Op. Year&quot;\ 0"/>
    <numFmt numFmtId="181" formatCode="&quot;Op. Year&quot;\ 0&quot;+&quot;"/>
    <numFmt numFmtId="182" formatCode="0.00&quot;X&quot;"/>
    <numFmt numFmtId="183" formatCode="_(* #,##0.000000_);_(* \(#,##0.000000\);_(* &quot;-&quot;??????_);_(@_)"/>
    <numFmt numFmtId="184" formatCode="0.0\ &quot;bps&quot;"/>
    <numFmt numFmtId="185" formatCode="&quot;$&quot;#,##0.00\ &quot;PSF&quot;"/>
    <numFmt numFmtId="186" formatCode="0\ &quot;Years&quot;"/>
    <numFmt numFmtId="187" formatCode="_(* #,##0.0_);_(* \(#,##0.0\);_(* &quot;-&quot;?_);_(@_)"/>
    <numFmt numFmtId="188" formatCode="&quot;Version&quot;\ 0.00"/>
    <numFmt numFmtId="189" formatCode="0\ &quot;Suites&quot;"/>
    <numFmt numFmtId="190" formatCode="&quot;Begin Month&quot;\ 0"/>
    <numFmt numFmtId="191" formatCode="0.000%"/>
    <numFmt numFmtId="192" formatCode="0.0000000%"/>
    <numFmt numFmtId="193" formatCode="0.0\ &quot;per 1,000&quot;"/>
    <numFmt numFmtId="194" formatCode="0.00\ &quot;acres&quot;"/>
    <numFmt numFmtId="195" formatCode="&quot;Sale Mo: &quot;0"/>
    <numFmt numFmtId="196" formatCode="#,##0&quot;/month&quot;"/>
    <numFmt numFmtId="197" formatCode="#,##0;\(#,##0\);\-"/>
    <numFmt numFmtId="198" formatCode="0.00&quot;x&quot;"/>
    <numFmt numFmtId="199" formatCode="#,##0.00;\(#,##0.00\);\-"/>
    <numFmt numFmtId="200" formatCode="dd\ mmm\ yyyy"/>
    <numFmt numFmtId="201" formatCode="&quot;A$&quot;0.00&quot;m&quot;;[Red]\(&quot;A$&quot;0.00&quot;m&quot;\);\-"/>
    <numFmt numFmtId="202" formatCode="0.00\x;[Red]\(0.00\x\);\-"/>
    <numFmt numFmtId="203" formatCode="0.00%;[Red]\(0.00%\);\-"/>
    <numFmt numFmtId="204" formatCode="&quot;A$&quot;#,##0"/>
    <numFmt numFmtId="205" formatCode="0.0000"/>
    <numFmt numFmtId="206" formatCode="0.00\x"/>
    <numFmt numFmtId="207" formatCode="_(* #,##0_);_(* \(#,##0\);_(* &quot;-&quot;?_);_(@_)"/>
    <numFmt numFmtId="208" formatCode="0.0"/>
    <numFmt numFmtId="209" formatCode="0.000"/>
    <numFmt numFmtId="210" formatCode="0.000;[Red]\(0.000\);\-"/>
    <numFmt numFmtId="211" formatCode="mmm\ yyyy"/>
    <numFmt numFmtId="212" formatCode="\$#,##0.00;[Red]\(\$#,##0.00\);\-"/>
    <numFmt numFmtId="213" formatCode="0.0;[Red]\(0.0\);\-"/>
    <numFmt numFmtId="214" formatCode="#,##0.0;[Red]\(#,##0.0\);\-"/>
    <numFmt numFmtId="215" formatCode="0%;[Red]\(0%\);\-"/>
    <numFmt numFmtId="216" formatCode="0.0%;[Red]\(0.0%\);\-"/>
    <numFmt numFmtId="217" formatCode="dd\-mmm\-yy"/>
    <numFmt numFmtId="218" formatCode="#,##0;[Red]\(#,##0\);\-"/>
    <numFmt numFmtId="219" formatCode="#,##0.00;[Red]\(#,##0.00\);\-"/>
    <numFmt numFmtId="220" formatCode="0.00;[Red]\(0.00\);\-"/>
    <numFmt numFmtId="221" formatCode="0.0\x;[Red]\(0.0\x\);\-"/>
  </numFmts>
  <fonts count="160" x14ac:knownFonts="1">
    <font>
      <sz val="11"/>
      <color theme="1"/>
      <name val="Trebuchet MS"/>
    </font>
    <font>
      <sz val="11"/>
      <color theme="0"/>
      <name val="Trebuchet MS"/>
      <family val="2"/>
    </font>
    <font>
      <sz val="11"/>
      <color indexed="12"/>
      <name val="Trebuchet MS"/>
      <family val="2"/>
    </font>
    <font>
      <sz val="10"/>
      <color theme="1"/>
      <name val="Trebuchet MS"/>
      <family val="2"/>
    </font>
    <font>
      <sz val="10"/>
      <color indexed="12"/>
      <name val="Trebuchet MS"/>
      <family val="2"/>
    </font>
    <font>
      <sz val="8"/>
      <color theme="1"/>
      <name val="Trebuchet MS"/>
      <family val="2"/>
    </font>
    <font>
      <sz val="10"/>
      <name val="Trebuchet MS"/>
      <family val="2"/>
    </font>
    <font>
      <sz val="12"/>
      <color theme="1"/>
      <name val="Trebuchet MS"/>
      <family val="2"/>
    </font>
    <font>
      <sz val="12"/>
      <color indexed="12"/>
      <name val="Trebuchet MS"/>
      <family val="2"/>
    </font>
    <font>
      <sz val="8"/>
      <name val="Trebuchet MS"/>
      <family val="2"/>
    </font>
    <font>
      <b/>
      <sz val="10"/>
      <color theme="1"/>
      <name val="Trebuchet MS"/>
      <family val="2"/>
    </font>
    <font>
      <sz val="10"/>
      <color theme="1"/>
      <name val="Trebuchet MS"/>
      <family val="2"/>
    </font>
    <font>
      <sz val="8"/>
      <color theme="1"/>
      <name val="Trebuchet MS"/>
      <family val="2"/>
    </font>
    <font>
      <sz val="8"/>
      <color indexed="12"/>
      <name val="Trebuchet MS"/>
      <family val="2"/>
    </font>
    <font>
      <sz val="8"/>
      <name val="Trebuchet MS"/>
      <family val="2"/>
    </font>
    <font>
      <sz val="11"/>
      <color theme="1"/>
      <name val="Trebuchet MS"/>
      <family val="2"/>
    </font>
    <font>
      <b/>
      <i/>
      <sz val="11"/>
      <color theme="1"/>
      <name val="Trebuchet MS"/>
      <family val="2"/>
    </font>
    <font>
      <i/>
      <sz val="8"/>
      <color theme="1"/>
      <name val="Trebuchet MS"/>
      <family val="2"/>
    </font>
    <font>
      <sz val="9"/>
      <color theme="0"/>
      <name val="Trebuchet MS"/>
      <family val="2"/>
    </font>
    <font>
      <i/>
      <sz val="8"/>
      <color theme="1"/>
      <name val="Trebuchet MS"/>
      <family val="2"/>
    </font>
    <font>
      <b/>
      <sz val="8"/>
      <color theme="1"/>
      <name val="Trebuchet MS"/>
      <family val="2"/>
    </font>
    <font>
      <sz val="8"/>
      <color theme="1"/>
      <name val="Trebuchet MS"/>
      <family val="2"/>
    </font>
    <font>
      <sz val="8"/>
      <color indexed="12"/>
      <name val="Trebuchet MS"/>
      <family val="2"/>
    </font>
    <font>
      <b/>
      <sz val="11"/>
      <color theme="1"/>
      <name val="Trebuchet MS"/>
      <family val="2"/>
    </font>
    <font>
      <b/>
      <sz val="10"/>
      <name val="Trebuchet MS"/>
      <family val="2"/>
    </font>
    <font>
      <b/>
      <sz val="8"/>
      <color indexed="12"/>
      <name val="Trebuchet MS"/>
      <family val="2"/>
    </font>
    <font>
      <b/>
      <sz val="8"/>
      <name val="Trebuchet MS"/>
      <family val="2"/>
    </font>
    <font>
      <sz val="10"/>
      <color theme="0"/>
      <name val="Trebuchet MS"/>
      <family val="2"/>
    </font>
    <font>
      <sz val="8"/>
      <color indexed="12"/>
      <name val="Trebuchet MS"/>
      <family val="2"/>
    </font>
    <font>
      <sz val="10"/>
      <color theme="0" tint="-0.49971007415997803"/>
      <name val="Trebuchet MS"/>
      <family val="2"/>
    </font>
    <font>
      <sz val="8"/>
      <name val="Trebuchet MS"/>
      <family val="2"/>
    </font>
    <font>
      <sz val="9"/>
      <color theme="1"/>
      <name val="Trebuchet MS"/>
      <family val="2"/>
    </font>
    <font>
      <b/>
      <sz val="8"/>
      <color theme="1"/>
      <name val="Trebuchet MS"/>
      <family val="2"/>
    </font>
    <font>
      <sz val="8"/>
      <color theme="1" tint="0.34998626667073579"/>
      <name val="Trebuchet MS"/>
      <family val="2"/>
    </font>
    <font>
      <sz val="8"/>
      <color theme="1" tint="0.34998626667073579"/>
      <name val="Trebuchet MS"/>
      <family val="2"/>
    </font>
    <font>
      <sz val="8"/>
      <color theme="1" tint="0.34998626667073579"/>
      <name val="Trebuchet MS"/>
      <family val="2"/>
    </font>
    <font>
      <b/>
      <sz val="11"/>
      <name val="Trebuchet MS"/>
      <family val="2"/>
    </font>
    <font>
      <b/>
      <sz val="12"/>
      <color theme="0"/>
      <name val="Trebuchet MS"/>
      <family val="2"/>
    </font>
    <font>
      <i/>
      <sz val="10"/>
      <color theme="1"/>
      <name val="Trebuchet MS"/>
      <family val="2"/>
    </font>
    <font>
      <sz val="8"/>
      <color theme="1" tint="0.14999847407452621"/>
      <name val="Trebuchet MS"/>
      <family val="2"/>
    </font>
    <font>
      <b/>
      <sz val="11"/>
      <color theme="0"/>
      <name val="Trebuchet MS"/>
      <family val="2"/>
    </font>
    <font>
      <b/>
      <sz val="10"/>
      <color theme="0"/>
      <name val="Trebuchet MS"/>
      <family val="2"/>
    </font>
    <font>
      <sz val="8"/>
      <color theme="0"/>
      <name val="Trebuchet MS"/>
      <family val="2"/>
    </font>
    <font>
      <sz val="10"/>
      <color theme="1"/>
      <name val="Trebuchet MS"/>
      <family val="2"/>
    </font>
    <font>
      <sz val="10"/>
      <name val="Trebuchet MS"/>
      <family val="2"/>
    </font>
    <font>
      <sz val="8"/>
      <color rgb="FF0000FF"/>
      <name val="Trebuchet MS"/>
      <family val="2"/>
    </font>
    <font>
      <i/>
      <sz val="10"/>
      <name val="Trebuchet MS"/>
      <family val="2"/>
    </font>
    <font>
      <sz val="8"/>
      <color rgb="FFD27D00"/>
      <name val="Trebuchet MS"/>
      <family val="2"/>
    </font>
    <font>
      <sz val="8"/>
      <color rgb="FFD27D00"/>
      <name val="Trebuchet MS"/>
      <family val="2"/>
    </font>
    <font>
      <sz val="8"/>
      <color rgb="FF000000"/>
      <name val="Trebuchet MS"/>
      <family val="2"/>
    </font>
    <font>
      <sz val="8"/>
      <color rgb="FF000000"/>
      <name val="Trebuchet MS"/>
      <family val="2"/>
    </font>
    <font>
      <sz val="8"/>
      <color indexed="10"/>
      <name val="Trebuchet MS"/>
      <family val="2"/>
    </font>
    <font>
      <sz val="10"/>
      <color rgb="FF0000FF"/>
      <name val="Trebuchet MS"/>
      <family val="2"/>
    </font>
    <font>
      <sz val="10"/>
      <color rgb="FF000000"/>
      <name val="Trebuchet MS"/>
      <family val="2"/>
    </font>
    <font>
      <sz val="11"/>
      <color theme="0" tint="-0.34998626667073579"/>
      <name val="Trebuchet MS"/>
      <family val="2"/>
    </font>
    <font>
      <sz val="8"/>
      <color rgb="FF0000FF"/>
      <name val="Trebuchet MS"/>
      <family val="2"/>
    </font>
    <font>
      <i/>
      <sz val="8"/>
      <color rgb="FF000000"/>
      <name val="Trebuchet MS"/>
      <family val="2"/>
    </font>
    <font>
      <b/>
      <sz val="10"/>
      <color rgb="FF000000"/>
      <name val="Trebuchet MS"/>
      <family val="2"/>
    </font>
    <font>
      <sz val="10"/>
      <color rgb="FF008000"/>
      <name val="Trebuchet MS"/>
      <family val="2"/>
    </font>
    <font>
      <sz val="9"/>
      <color rgb="FF666666"/>
      <name val="Trebuchet MS"/>
      <family val="2"/>
    </font>
    <font>
      <b/>
      <sz val="10"/>
      <color rgb="FFC00000"/>
      <name val="Trebuchet MS"/>
      <family val="2"/>
    </font>
    <font>
      <sz val="11"/>
      <name val="Arial"/>
      <family val="2"/>
    </font>
    <font>
      <sz val="10"/>
      <color rgb="FF1F2933"/>
      <name val="Arial"/>
      <family val="2"/>
    </font>
    <font>
      <sz val="10"/>
      <color rgb="FF1F2933"/>
      <name val="Trebuchet MS"/>
      <family val="2"/>
    </font>
    <font>
      <i/>
      <sz val="8"/>
      <color rgb="FF66727A"/>
      <name val="Trebuchet MS"/>
      <family val="2"/>
    </font>
    <font>
      <b/>
      <sz val="12"/>
      <color rgb="FFFFFFFF"/>
      <name val="Trebuchet MS"/>
      <family val="2"/>
    </font>
    <font>
      <sz val="10"/>
      <color rgb="FF000000"/>
      <name val="Trebuchet MS"/>
      <family val="2"/>
    </font>
    <font>
      <b/>
      <sz val="9"/>
      <color rgb="FF000000"/>
      <name val="Trebuchet MS"/>
      <family val="2"/>
    </font>
    <font>
      <sz val="9"/>
      <color rgb="FF000000"/>
      <name val="Trebuchet MS"/>
      <family val="2"/>
    </font>
    <font>
      <b/>
      <sz val="8"/>
      <color rgb="FF000000"/>
      <name val="Trebuchet MS"/>
      <family val="2"/>
    </font>
    <font>
      <b/>
      <sz val="15"/>
      <color rgb="FF000000"/>
      <name val="Trebuchet MS"/>
      <family val="2"/>
    </font>
    <font>
      <sz val="7"/>
      <color rgb="FF000000"/>
      <name val="Trebuchet MS"/>
      <family val="2"/>
    </font>
    <font>
      <sz val="8"/>
      <color rgb="FF000000"/>
      <name val="Trebuchet MS"/>
      <family val="2"/>
    </font>
    <font>
      <b/>
      <sz val="16"/>
      <color rgb="FF000000"/>
      <name val="Trebuchet MS"/>
      <family val="2"/>
    </font>
    <font>
      <i/>
      <sz val="8"/>
      <color rgb="FF000000"/>
      <name val="Trebuchet MS"/>
      <family val="2"/>
    </font>
    <font>
      <sz val="9"/>
      <color rgb="FF008000"/>
      <name val="Trebuchet MS"/>
      <family val="2"/>
    </font>
    <font>
      <b/>
      <sz val="10"/>
      <color indexed="8"/>
      <name val="Trebuchet MS"/>
      <family val="2"/>
    </font>
    <font>
      <b/>
      <sz val="10"/>
      <color rgb="FF008000"/>
      <name val="Trebuchet MS"/>
      <family val="2"/>
    </font>
    <font>
      <b/>
      <sz val="16"/>
      <color rgb="FF008000"/>
      <name val="Trebuchet MS"/>
      <family val="2"/>
    </font>
    <font>
      <b/>
      <sz val="16"/>
      <color indexed="8"/>
      <name val="Trebuchet MS"/>
      <family val="2"/>
    </font>
    <font>
      <sz val="8"/>
      <color rgb="FF008000"/>
      <name val="Trebuchet MS"/>
      <family val="2"/>
    </font>
    <font>
      <sz val="8"/>
      <color indexed="8"/>
      <name val="Trebuchet MS"/>
      <family val="2"/>
    </font>
    <font>
      <sz val="10"/>
      <color indexed="8"/>
      <name val="Trebuchet MS"/>
      <family val="2"/>
    </font>
    <font>
      <i/>
      <sz val="8"/>
      <color indexed="8"/>
      <name val="Trebuchet MS"/>
      <family val="2"/>
    </font>
    <font>
      <b/>
      <sz val="15"/>
      <color rgb="FF008000"/>
      <name val="Trebuchet MS"/>
      <family val="2"/>
    </font>
    <font>
      <b/>
      <sz val="15"/>
      <color indexed="8"/>
      <name val="Trebuchet MS"/>
      <family val="2"/>
    </font>
    <font>
      <b/>
      <sz val="10"/>
      <color rgb="FFFF0000"/>
      <name val="Trebuchet MS"/>
      <family val="2"/>
    </font>
    <font>
      <b/>
      <sz val="11"/>
      <color rgb="FFFF0000"/>
      <name val="Trebuchet MS"/>
      <family val="2"/>
    </font>
    <font>
      <sz val="10"/>
      <color rgb="FFFF0000"/>
      <name val="Trebuchet MS"/>
      <family val="2"/>
    </font>
    <font>
      <b/>
      <sz val="10"/>
      <color rgb="FFFF0000"/>
      <name val="Trebuchet MS"/>
      <family val="2"/>
    </font>
    <font>
      <i/>
      <sz val="10"/>
      <color rgb="FF1F1F1F"/>
      <name val="Calibri"/>
      <family val="2"/>
    </font>
    <font>
      <sz val="10"/>
      <color theme="1"/>
      <name val="Calibri"/>
      <family val="2"/>
    </font>
    <font>
      <b/>
      <sz val="10"/>
      <color rgb="FFFFFFFF"/>
      <name val="Calibri"/>
      <family val="2"/>
    </font>
    <font>
      <b/>
      <sz val="10"/>
      <color rgb="FF1F1F1F"/>
      <name val="Calibri"/>
      <family val="2"/>
    </font>
    <font>
      <b/>
      <sz val="10"/>
      <color theme="1"/>
      <name val="Calibri"/>
      <family val="2"/>
    </font>
    <font>
      <sz val="10"/>
      <color rgb="FF008000"/>
      <name val="Calibri"/>
      <family val="2"/>
    </font>
    <font>
      <b/>
      <sz val="10"/>
      <color rgb="FF008000"/>
      <name val="Calibri"/>
      <family val="2"/>
    </font>
    <font>
      <b/>
      <sz val="8"/>
      <color rgb="FFFFFFFF"/>
      <name val="Trebuchet MS"/>
      <family val="2"/>
    </font>
    <font>
      <b/>
      <sz val="7"/>
      <color rgb="FF000000"/>
      <name val="Trebuchet MS"/>
      <family val="2"/>
    </font>
    <font>
      <i/>
      <sz val="7"/>
      <color rgb="FF555555"/>
      <name val="Trebuchet MS"/>
      <family val="2"/>
    </font>
    <font>
      <b/>
      <sz val="11"/>
      <color rgb="FFFFFFFF"/>
      <name val="Trebuchet MS"/>
      <family val="2"/>
    </font>
    <font>
      <b/>
      <sz val="14"/>
      <color rgb="FFFFFFFF"/>
      <name val="Trebuchet MS"/>
      <family val="2"/>
    </font>
    <font>
      <b/>
      <sz val="16"/>
      <color rgb="FFFFFFFF"/>
      <name val="Aptos"/>
      <family val="2"/>
    </font>
    <font>
      <b/>
      <sz val="11"/>
      <color rgb="FFFFFFFF"/>
      <name val="Aptos"/>
      <family val="2"/>
    </font>
    <font>
      <i/>
      <sz val="10"/>
      <color rgb="FF666666"/>
      <name val="Aptos"/>
      <family val="2"/>
    </font>
    <font>
      <b/>
      <sz val="10"/>
      <color rgb="FF1F1F1F"/>
      <name val="Aptos"/>
      <family val="2"/>
    </font>
    <font>
      <sz val="10"/>
      <color rgb="FF1F1F1F"/>
      <name val="Aptos"/>
      <family val="2"/>
    </font>
    <font>
      <b/>
      <sz val="18"/>
      <color rgb="FFFFFFFF"/>
      <name val="Aptos"/>
      <family val="2"/>
    </font>
    <font>
      <b/>
      <sz val="14"/>
      <color rgb="FFFFFFFF"/>
      <name val="Aptos"/>
      <family val="2"/>
    </font>
    <font>
      <b/>
      <sz val="11"/>
      <color rgb="FF7F6000"/>
      <name val="Trebuchet MS"/>
      <family val="2"/>
    </font>
    <font>
      <b/>
      <i/>
      <sz val="10"/>
      <color rgb="FF666666"/>
      <name val="Aptos"/>
      <family val="2"/>
    </font>
    <font>
      <b/>
      <sz val="12"/>
      <color rgb="FFC00000"/>
      <name val="Trebuchet MS"/>
      <family val="2"/>
    </font>
    <font>
      <sz val="9"/>
      <color rgb="FF1F1F1F"/>
      <name val="Arial"/>
      <family val="2"/>
    </font>
    <font>
      <b/>
      <sz val="10"/>
      <color rgb="FF17365D"/>
      <name val="Arial"/>
      <family val="2"/>
    </font>
    <font>
      <b/>
      <sz val="9"/>
      <color rgb="FFFFFFFF"/>
      <name val="Arial"/>
      <family val="2"/>
    </font>
    <font>
      <b/>
      <sz val="9"/>
      <color rgb="FF1F1F1F"/>
      <name val="Arial"/>
      <family val="2"/>
    </font>
    <font>
      <b/>
      <sz val="9"/>
      <color rgb="FF008000"/>
      <name val="Arial"/>
      <family val="2"/>
    </font>
    <font>
      <b/>
      <sz val="10"/>
      <color rgb="FFFFFFFF"/>
      <name val="Arial"/>
      <family val="2"/>
    </font>
    <font>
      <sz val="9"/>
      <color rgb="FF008000"/>
      <name val="Arial"/>
      <family val="2"/>
    </font>
    <font>
      <b/>
      <sz val="8"/>
      <color rgb="FF1F1F1F"/>
      <name val="Arial"/>
      <family val="2"/>
    </font>
    <font>
      <sz val="8"/>
      <color rgb="FF1F1F1F"/>
      <name val="Arial"/>
      <family val="2"/>
    </font>
    <font>
      <b/>
      <sz val="8"/>
      <color rgb="FFFFFFFF"/>
      <name val="Arial"/>
      <family val="2"/>
    </font>
    <font>
      <sz val="8"/>
      <color rgb="FF008000"/>
      <name val="Arial"/>
      <family val="2"/>
    </font>
    <font>
      <i/>
      <sz val="8"/>
      <color rgb="FF9C6500"/>
      <name val="Arial"/>
      <family val="2"/>
    </font>
    <font>
      <i/>
      <sz val="8"/>
      <color rgb="FF666666"/>
      <name val="Arial"/>
      <family val="2"/>
    </font>
    <font>
      <i/>
      <sz val="9"/>
      <color rgb="FF1F1F1F"/>
      <name val="Arial"/>
      <family val="2"/>
    </font>
    <font>
      <b/>
      <sz val="15"/>
      <color rgb="FFFFFFFF"/>
      <name val="Arial"/>
      <family val="2"/>
    </font>
    <font>
      <b/>
      <sz val="8"/>
      <color rgb="FF000000"/>
      <name val="Arial"/>
      <family val="2"/>
    </font>
    <font>
      <sz val="8"/>
      <color rgb="FF222222"/>
      <name val="Arial"/>
      <family val="2"/>
    </font>
    <font>
      <b/>
      <sz val="15"/>
      <color rgb="FFFFFFFF"/>
      <name val="Arial"/>
      <family val="2"/>
    </font>
    <font>
      <i/>
      <sz val="9"/>
      <color rgb="FF777777"/>
      <name val="Arial"/>
      <family val="2"/>
    </font>
    <font>
      <b/>
      <sz val="8"/>
      <color rgb="FF17365D"/>
      <name val="Arial"/>
      <family val="2"/>
    </font>
    <font>
      <b/>
      <sz val="8"/>
      <color rgb="FF548235"/>
      <name val="Arial"/>
      <family val="2"/>
    </font>
    <font>
      <sz val="8"/>
      <color rgb="FF1F4E78"/>
      <name val="Arial"/>
      <family val="2"/>
    </font>
    <font>
      <b/>
      <sz val="8"/>
      <color rgb="FF1F4E78"/>
      <name val="Arial"/>
      <family val="2"/>
    </font>
    <font>
      <i/>
      <sz val="8"/>
      <color rgb="FF777777"/>
      <name val="Arial"/>
      <family val="2"/>
    </font>
    <font>
      <b/>
      <sz val="8"/>
      <color rgb="FFFFFFFF"/>
      <name val="Arial"/>
      <family val="2"/>
    </font>
    <font>
      <b/>
      <sz val="11"/>
      <color rgb="FF000000"/>
      <name val="Arial"/>
      <family val="2"/>
    </font>
    <font>
      <b/>
      <sz val="11"/>
      <color rgb="FFFFFFFF"/>
      <name val="Arial"/>
      <family val="2"/>
    </font>
    <font>
      <b/>
      <sz val="8"/>
      <color rgb="FF9C0006"/>
      <name val="Arial"/>
      <family val="2"/>
    </font>
    <font>
      <b/>
      <sz val="8"/>
      <color rgb="FF000000"/>
      <name val="Arial"/>
      <family val="2"/>
    </font>
    <font>
      <b/>
      <sz val="8"/>
      <color rgb="FF222222"/>
      <name val="Arial"/>
      <family val="2"/>
    </font>
    <font>
      <sz val="8"/>
      <color rgb="FF548235"/>
      <name val="Arial"/>
      <family val="2"/>
    </font>
    <font>
      <b/>
      <sz val="8"/>
      <color rgb="FF7F6000"/>
      <name val="Arial"/>
      <family val="2"/>
    </font>
    <font>
      <sz val="8"/>
      <color rgb="FF0000FF"/>
      <name val="Arial"/>
      <family val="2"/>
    </font>
    <font>
      <i/>
      <sz val="8"/>
      <color rgb="FF888888"/>
      <name val="Arial"/>
      <family val="2"/>
    </font>
    <font>
      <sz val="8"/>
      <color rgb="FF777777"/>
      <name val="Arial"/>
      <family val="2"/>
    </font>
    <font>
      <sz val="8"/>
      <color rgb="FF7F6000"/>
      <name val="Arial"/>
      <family val="2"/>
    </font>
    <font>
      <i/>
      <sz val="8"/>
      <color rgb="FF7F6000"/>
      <name val="Arial"/>
      <family val="2"/>
    </font>
    <font>
      <sz val="8"/>
      <color rgb="FF9C0006"/>
      <name val="Arial"/>
      <family val="2"/>
    </font>
    <font>
      <i/>
      <sz val="8"/>
      <color rgb="FF9C0006"/>
      <name val="Arial"/>
      <family val="2"/>
    </font>
    <font>
      <sz val="10"/>
      <color rgb="FF000000"/>
      <name val="Calibri"/>
      <family val="2"/>
    </font>
    <font>
      <sz val="11"/>
      <color rgb="FF008000"/>
      <name val="Trebuchet MS"/>
      <family val="2"/>
    </font>
    <font>
      <sz val="11"/>
      <color rgb="FF000000"/>
      <name val="Trebuchet MS"/>
      <family val="2"/>
    </font>
    <font>
      <sz val="10"/>
      <color rgb="FF008000"/>
      <name val="Aptos"/>
      <family val="2"/>
    </font>
    <font>
      <sz val="10"/>
      <color rgb="FF000000"/>
      <name val="Aptos"/>
      <family val="2"/>
    </font>
    <font>
      <b/>
      <sz val="10"/>
      <color rgb="FF000000"/>
      <name val="Aptos"/>
      <family val="2"/>
    </font>
    <font>
      <i/>
      <sz val="7"/>
      <color rgb="FF000000"/>
      <name val="Trebuchet MS"/>
      <family val="2"/>
    </font>
    <font>
      <b/>
      <sz val="11"/>
      <color rgb="FF000000"/>
      <name val="Trebuchet MS"/>
      <family val="2"/>
    </font>
    <font>
      <sz val="8"/>
      <color rgb="FF000000"/>
      <name val="Arial"/>
      <family val="2"/>
    </font>
  </fonts>
  <fills count="73">
    <fill>
      <patternFill patternType="none"/>
    </fill>
    <fill>
      <patternFill patternType="gray125"/>
    </fill>
    <fill>
      <patternFill patternType="solid">
        <fgColor theme="5"/>
      </patternFill>
    </fill>
    <fill>
      <patternFill patternType="solid">
        <fgColor theme="5" tint="0.79985961485641044"/>
        <bgColor indexed="65"/>
      </patternFill>
    </fill>
    <fill>
      <patternFill patternType="lightUp"/>
    </fill>
    <fill>
      <patternFill patternType="lightUp">
        <bgColor theme="5"/>
      </patternFill>
    </fill>
    <fill>
      <patternFill patternType="solid">
        <fgColor theme="4" tint="0.79985961485641044"/>
        <bgColor indexed="65"/>
      </patternFill>
    </fill>
    <fill>
      <patternFill patternType="solid">
        <fgColor theme="4"/>
      </patternFill>
    </fill>
    <fill>
      <patternFill patternType="solid">
        <fgColor rgb="FFE6E6E6"/>
      </patternFill>
    </fill>
    <fill>
      <patternFill patternType="solid">
        <fgColor theme="5" tint="0.59974974822229687"/>
        <bgColor indexed="65"/>
      </patternFill>
    </fill>
    <fill>
      <patternFill patternType="solid">
        <fgColor theme="0" tint="-0.49971007415997803"/>
        <bgColor indexed="65"/>
      </patternFill>
    </fill>
    <fill>
      <patternFill patternType="solid">
        <fgColor theme="5" tint="-0.249977111117893"/>
        <bgColor indexed="65"/>
      </patternFill>
    </fill>
    <fill>
      <patternFill patternType="solid">
        <fgColor theme="0"/>
      </patternFill>
    </fill>
    <fill>
      <patternFill patternType="solid">
        <fgColor theme="2"/>
      </patternFill>
    </fill>
    <fill>
      <patternFill patternType="solid">
        <fgColor rgb="FFFFF9DF"/>
      </patternFill>
    </fill>
    <fill>
      <patternFill patternType="solid">
        <fgColor rgb="FFF0F2F3"/>
      </patternFill>
    </fill>
    <fill>
      <patternFill patternType="solid">
        <fgColor rgb="FFDCE9F3"/>
      </patternFill>
    </fill>
    <fill>
      <patternFill patternType="solid">
        <fgColor rgb="FFC1B56B"/>
      </patternFill>
    </fill>
    <fill>
      <patternFill patternType="solid">
        <fgColor rgb="FFE6E0C4"/>
      </patternFill>
    </fill>
    <fill>
      <patternFill patternType="solid">
        <fgColor rgb="FFF2F0E1"/>
      </patternFill>
    </fill>
    <fill>
      <patternFill patternType="solid">
        <fgColor rgb="FFFFC7CE"/>
      </patternFill>
    </fill>
    <fill>
      <patternFill patternType="solid">
        <fgColor rgb="FF17365D"/>
      </patternFill>
    </fill>
    <fill>
      <patternFill patternType="solid">
        <fgColor rgb="FFD9EAF7"/>
      </patternFill>
    </fill>
    <fill>
      <patternFill patternType="solid">
        <fgColor rgb="FF1F4E78"/>
      </patternFill>
    </fill>
    <fill>
      <patternFill patternType="solid">
        <fgColor rgb="FFE2F0D9"/>
      </patternFill>
    </fill>
    <fill>
      <patternFill patternType="solid">
        <fgColor rgb="FF000000"/>
      </patternFill>
    </fill>
    <fill>
      <patternFill patternType="solid">
        <fgColor rgb="FFE8E2C4"/>
      </patternFill>
    </fill>
    <fill>
      <patternFill patternType="solid">
        <fgColor rgb="FF1F4E78"/>
      </patternFill>
    </fill>
    <fill>
      <patternFill patternType="solid">
        <fgColor rgb="FFE2F0D9"/>
      </patternFill>
    </fill>
    <fill>
      <patternFill patternType="solid">
        <fgColor rgb="FF2F75B5"/>
      </patternFill>
    </fill>
    <fill>
      <patternFill patternType="solid">
        <fgColor rgb="FFD9EAF7"/>
      </patternFill>
    </fill>
    <fill>
      <patternFill patternType="solid">
        <fgColor rgb="FF17365D"/>
      </patternFill>
    </fill>
    <fill>
      <patternFill patternType="solid">
        <fgColor rgb="FFEAF2F8"/>
      </patternFill>
    </fill>
    <fill>
      <patternFill patternType="solid">
        <fgColor rgb="FFFFF2CC"/>
      </patternFill>
    </fill>
    <fill>
      <patternFill patternType="solid">
        <fgColor rgb="FF17365D"/>
      </patternFill>
    </fill>
    <fill>
      <patternFill patternType="solid">
        <fgColor rgb="FFE6E6E6"/>
      </patternFill>
    </fill>
    <fill>
      <patternFill patternType="solid">
        <fgColor rgb="FFFFF2CC"/>
      </patternFill>
    </fill>
    <fill>
      <patternFill patternType="solid">
        <fgColor rgb="FFC1B56B"/>
      </patternFill>
    </fill>
    <fill>
      <patternFill patternType="solid">
        <fgColor rgb="FF1F4E78"/>
      </patternFill>
    </fill>
    <fill>
      <patternFill patternType="solid">
        <fgColor rgb="FFFCE4D6"/>
      </patternFill>
    </fill>
    <fill>
      <patternFill patternType="solid">
        <fgColor rgb="FFE7E6E6"/>
      </patternFill>
    </fill>
    <fill>
      <patternFill patternType="solid">
        <fgColor rgb="FF2F75B5"/>
      </patternFill>
    </fill>
    <fill>
      <patternFill patternType="solid">
        <fgColor rgb="FF17365D"/>
      </patternFill>
    </fill>
    <fill>
      <patternFill patternType="solid">
        <fgColor rgb="FFE6E6E6"/>
      </patternFill>
    </fill>
    <fill>
      <patternFill patternType="solid">
        <fgColor rgb="FFFFF2CC"/>
      </patternFill>
    </fill>
    <fill>
      <patternFill patternType="solid">
        <fgColor rgb="FF17365D"/>
      </patternFill>
    </fill>
    <fill>
      <patternFill patternType="solid">
        <fgColor rgb="FF2F75B5"/>
      </patternFill>
    </fill>
    <fill>
      <patternFill patternType="solid">
        <fgColor rgb="FF17365D"/>
      </patternFill>
    </fill>
    <fill>
      <patternFill patternType="solid">
        <fgColor rgb="FF2F75B5"/>
      </patternFill>
    </fill>
    <fill>
      <patternFill patternType="solid">
        <fgColor rgb="FF17365D"/>
      </patternFill>
    </fill>
    <fill>
      <patternFill patternType="solid">
        <fgColor rgb="FF2F75B5"/>
      </patternFill>
    </fill>
    <fill>
      <patternFill patternType="solid">
        <fgColor rgb="FF17365D"/>
      </patternFill>
    </fill>
    <fill>
      <patternFill patternType="solid">
        <fgColor rgb="FFD9E2F3"/>
      </patternFill>
    </fill>
    <fill>
      <patternFill patternType="solid">
        <fgColor rgb="FFC1B56B"/>
      </patternFill>
    </fill>
    <fill>
      <patternFill patternType="solid">
        <fgColor rgb="FF2F75B5"/>
      </patternFill>
    </fill>
    <fill>
      <patternFill patternType="solid">
        <fgColor rgb="FFFFFFFF"/>
      </patternFill>
    </fill>
    <fill>
      <patternFill patternType="none"/>
    </fill>
    <fill>
      <patternFill patternType="solid">
        <fgColor rgb="FF17365D"/>
      </patternFill>
    </fill>
    <fill>
      <patternFill patternType="solid">
        <fgColor rgb="FFE7E6E6"/>
      </patternFill>
    </fill>
    <fill>
      <patternFill patternType="solid">
        <fgColor rgb="FFF2F2F2"/>
      </patternFill>
    </fill>
    <fill>
      <patternFill patternType="solid">
        <fgColor rgb="FFE2F0D9"/>
      </patternFill>
    </fill>
    <fill>
      <patternFill patternType="solid">
        <fgColor rgb="FFEAF2F8"/>
      </patternFill>
    </fill>
    <fill>
      <patternFill patternType="solid">
        <fgColor rgb="FF666666"/>
      </patternFill>
    </fill>
    <fill>
      <patternFill patternType="solid">
        <fgColor rgb="FFC9B458"/>
      </patternFill>
    </fill>
    <fill>
      <patternFill patternType="solid">
        <fgColor rgb="FFE9E2B4"/>
      </patternFill>
    </fill>
    <fill>
      <patternFill patternType="solid">
        <fgColor rgb="FF1F4E78"/>
      </patternFill>
    </fill>
    <fill>
      <patternFill patternType="solid">
        <fgColor rgb="FFD9EAF7"/>
      </patternFill>
    </fill>
    <fill>
      <patternFill patternType="solid">
        <fgColor rgb="FFEEF3F8"/>
      </patternFill>
    </fill>
    <fill>
      <patternFill patternType="solid">
        <fgColor rgb="FFC65911"/>
      </patternFill>
    </fill>
    <fill>
      <patternFill patternType="solid">
        <fgColor rgb="FFFCE4D6"/>
      </patternFill>
    </fill>
    <fill>
      <patternFill patternType="solid">
        <fgColor rgb="FFFAFAFA"/>
      </patternFill>
    </fill>
    <fill>
      <patternFill patternType="solid">
        <fgColor rgb="FFFFF2CC"/>
      </patternFill>
    </fill>
    <fill>
      <patternFill patternType="solid">
        <fgColor rgb="FFFFF9E6"/>
      </patternFill>
    </fill>
  </fills>
  <borders count="66">
    <border>
      <left/>
      <right/>
      <top/>
      <bottom/>
      <diagonal/>
    </border>
    <border>
      <left/>
      <right/>
      <top/>
      <bottom style="hair">
        <color auto="1"/>
      </bottom>
      <diagonal/>
    </border>
    <border>
      <left style="thin">
        <color theme="4"/>
      </left>
      <right style="thin">
        <color theme="4"/>
      </right>
      <top style="thin">
        <color theme="4"/>
      </top>
      <bottom style="thin">
        <color theme="4"/>
      </bottom>
      <diagonal/>
    </border>
    <border>
      <left/>
      <right/>
      <top/>
      <bottom style="thin">
        <color indexed="64"/>
      </bottom>
      <diagonal/>
    </border>
    <border>
      <left/>
      <right/>
      <top/>
      <bottom style="dashed">
        <color auto="1"/>
      </bottom>
      <diagonal/>
    </border>
    <border>
      <left/>
      <right/>
      <top style="dashed">
        <color auto="1"/>
      </top>
      <bottom/>
      <diagonal/>
    </border>
    <border>
      <left/>
      <right/>
      <top style="hair">
        <color auto="1"/>
      </top>
      <bottom style="hair">
        <color auto="1"/>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style="thin">
        <color theme="5"/>
      </left>
      <right/>
      <top/>
      <bottom style="hair">
        <color auto="1"/>
      </bottom>
      <diagonal/>
    </border>
    <border>
      <left/>
      <right style="thin">
        <color theme="5"/>
      </right>
      <top/>
      <bottom style="hair">
        <color auto="1"/>
      </bottom>
      <diagonal/>
    </border>
    <border>
      <left style="thin">
        <color theme="5"/>
      </left>
      <right/>
      <top style="hair">
        <color auto="1"/>
      </top>
      <bottom style="hair">
        <color auto="1"/>
      </bottom>
      <diagonal/>
    </border>
    <border>
      <left/>
      <right style="thin">
        <color theme="5"/>
      </right>
      <top style="hair">
        <color auto="1"/>
      </top>
      <bottom style="hair">
        <color auto="1"/>
      </bottom>
      <diagonal/>
    </border>
    <border>
      <left style="thin">
        <color theme="5"/>
      </left>
      <right/>
      <top style="hair">
        <color auto="1"/>
      </top>
      <bottom style="thin">
        <color theme="5"/>
      </bottom>
      <diagonal/>
    </border>
    <border>
      <left/>
      <right/>
      <top style="hair">
        <color auto="1"/>
      </top>
      <bottom style="thin">
        <color theme="5"/>
      </bottom>
      <diagonal/>
    </border>
    <border>
      <left/>
      <right style="thin">
        <color theme="5"/>
      </right>
      <top style="hair">
        <color auto="1"/>
      </top>
      <bottom style="thin">
        <color theme="5"/>
      </bottom>
      <diagonal/>
    </border>
    <border>
      <left style="hair">
        <color auto="1"/>
      </left>
      <right/>
      <top/>
      <bottom/>
      <diagonal/>
    </border>
    <border>
      <left/>
      <right/>
      <top/>
      <bottom style="dotted">
        <color auto="1"/>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top/>
      <bottom style="medium">
        <color rgb="FFF2D600"/>
      </bottom>
      <diagonal/>
    </border>
    <border>
      <left style="medium">
        <color rgb="FFF2D600"/>
      </left>
      <right/>
      <top style="medium">
        <color rgb="FFF2D600"/>
      </top>
      <bottom style="medium">
        <color rgb="FFF2D600"/>
      </bottom>
      <diagonal/>
    </border>
    <border>
      <left/>
      <right/>
      <top style="medium">
        <color rgb="FFF2D600"/>
      </top>
      <bottom style="medium">
        <color rgb="FFF2D600"/>
      </bottom>
      <diagonal/>
    </border>
    <border>
      <left/>
      <right style="medium">
        <color rgb="FFF2D600"/>
      </right>
      <top style="medium">
        <color rgb="FFF2D600"/>
      </top>
      <bottom style="medium">
        <color rgb="FFF2D600"/>
      </bottom>
      <diagonal/>
    </border>
    <border>
      <left style="thin">
        <color rgb="FFC7D0D5"/>
      </left>
      <right/>
      <top style="thin">
        <color rgb="FFC7D0D5"/>
      </top>
      <bottom style="thin">
        <color rgb="FFC7D0D5"/>
      </bottom>
      <diagonal/>
    </border>
    <border>
      <left/>
      <right/>
      <top style="thin">
        <color rgb="FFC7D0D5"/>
      </top>
      <bottom style="thin">
        <color rgb="FFC7D0D5"/>
      </bottom>
      <diagonal/>
    </border>
    <border>
      <left/>
      <right style="thin">
        <color rgb="FFC7D0D5"/>
      </right>
      <top style="thin">
        <color rgb="FFC7D0D5"/>
      </top>
      <bottom style="thin">
        <color rgb="FFC7D0D5"/>
      </bottom>
      <diagonal/>
    </border>
    <border>
      <left style="thin">
        <color rgb="FFC7D0D5"/>
      </left>
      <right style="thin">
        <color rgb="FFC7D0D5"/>
      </right>
      <top style="thin">
        <color rgb="FFC7D0D5"/>
      </top>
      <bottom style="thin">
        <color rgb="FFC7D0D5"/>
      </bottom>
      <diagonal/>
    </border>
    <border>
      <left style="thin">
        <color rgb="FFFFFFFF"/>
      </left>
      <right style="thin">
        <color rgb="FFFFFFFF"/>
      </right>
      <top style="thin">
        <color rgb="FFFFFFFF"/>
      </top>
      <bottom style="thin">
        <color rgb="FFFFFFFF"/>
      </bottom>
      <diagonal/>
    </border>
    <border>
      <left style="thin">
        <color rgb="FFC7D0D5"/>
      </left>
      <right/>
      <top style="thin">
        <color rgb="FFC7D0D5"/>
      </top>
      <bottom/>
      <diagonal/>
    </border>
    <border>
      <left/>
      <right/>
      <top style="thin">
        <color rgb="FFC7D0D5"/>
      </top>
      <bottom/>
      <diagonal/>
    </border>
    <border>
      <left/>
      <right style="thin">
        <color rgb="FFC7D0D5"/>
      </right>
      <top style="thin">
        <color rgb="FFC7D0D5"/>
      </top>
      <bottom/>
      <diagonal/>
    </border>
    <border>
      <left style="thin">
        <color rgb="FFC7D0D5"/>
      </left>
      <right/>
      <top/>
      <bottom/>
      <diagonal/>
    </border>
    <border>
      <left/>
      <right style="thin">
        <color rgb="FFC7D0D5"/>
      </right>
      <top/>
      <bottom/>
      <diagonal/>
    </border>
    <border>
      <left style="thin">
        <color rgb="FFC7D0D5"/>
      </left>
      <right/>
      <top/>
      <bottom style="thin">
        <color rgb="FFC7D0D5"/>
      </bottom>
      <diagonal/>
    </border>
    <border>
      <left/>
      <right/>
      <top/>
      <bottom style="thin">
        <color rgb="FFC7D0D5"/>
      </bottom>
      <diagonal/>
    </border>
    <border>
      <left/>
      <right style="thin">
        <color rgb="FFC7D0D5"/>
      </right>
      <top/>
      <bottom style="thin">
        <color rgb="FFC7D0D5"/>
      </bottom>
      <diagonal/>
    </border>
    <border>
      <left style="thick">
        <color rgb="FF0B3847"/>
      </left>
      <right/>
      <top/>
      <bottom/>
      <diagonal/>
    </border>
    <border>
      <left style="medium">
        <color rgb="FF0B3847"/>
      </left>
      <right/>
      <top style="medium">
        <color rgb="FF0B3847"/>
      </top>
      <bottom/>
      <diagonal/>
    </border>
    <border>
      <left/>
      <right/>
      <top style="medium">
        <color rgb="FF0B3847"/>
      </top>
      <bottom/>
      <diagonal/>
    </border>
    <border>
      <left/>
      <right style="medium">
        <color rgb="FF0B3847"/>
      </right>
      <top style="medium">
        <color rgb="FF0B3847"/>
      </top>
      <bottom/>
      <diagonal/>
    </border>
    <border>
      <left style="medium">
        <color rgb="FF0B3847"/>
      </left>
      <right/>
      <top/>
      <bottom/>
      <diagonal/>
    </border>
    <border>
      <left/>
      <right style="medium">
        <color rgb="FF0B3847"/>
      </right>
      <top/>
      <bottom/>
      <diagonal/>
    </border>
    <border>
      <left style="medium">
        <color rgb="FF0B3847"/>
      </left>
      <right/>
      <top/>
      <bottom style="medium">
        <color rgb="FF0B3847"/>
      </bottom>
      <diagonal/>
    </border>
    <border>
      <left/>
      <right/>
      <top/>
      <bottom style="medium">
        <color rgb="FF0B3847"/>
      </bottom>
      <diagonal/>
    </border>
    <border>
      <left/>
      <right style="medium">
        <color rgb="FF0B3847"/>
      </right>
      <top/>
      <bottom style="medium">
        <color rgb="FF0B3847"/>
      </bottom>
      <diagonal/>
    </border>
    <border>
      <left/>
      <right/>
      <top/>
      <bottom style="thin">
        <color rgb="FF7F7F7F"/>
      </bottom>
      <diagonal/>
    </border>
    <border>
      <left/>
      <right/>
      <top/>
      <bottom/>
      <diagonal/>
    </border>
    <border>
      <left style="thin">
        <color rgb="FFC7D0D5"/>
      </left>
      <right/>
      <top/>
      <bottom/>
      <diagonal/>
    </border>
    <border>
      <left/>
      <right/>
      <top style="thin">
        <color rgb="FFB4C7DC"/>
      </top>
      <bottom style="thin">
        <color rgb="FFD9E2F3"/>
      </bottom>
      <diagonal/>
    </border>
    <border>
      <left/>
      <right/>
      <top style="thin">
        <color rgb="FFD9E2F3"/>
      </top>
      <bottom style="thin">
        <color rgb="FFD9E2F3"/>
      </bottom>
      <diagonal/>
    </border>
    <border>
      <left/>
      <right/>
      <top style="thin">
        <color rgb="FFD9E2F3"/>
      </top>
      <bottom/>
      <diagonal/>
    </border>
    <border>
      <left/>
      <right/>
      <top/>
      <bottom style="thin">
        <color rgb="FFD9E2F3"/>
      </bottom>
      <diagonal/>
    </border>
    <border>
      <left/>
      <right/>
      <top/>
      <bottom/>
      <diagonal/>
    </border>
    <border>
      <left/>
      <right/>
      <top/>
      <bottom style="thin">
        <color rgb="FF1F4E78"/>
      </bottom>
      <diagonal/>
    </border>
    <border>
      <left/>
      <right/>
      <top/>
      <bottom style="medium">
        <color rgb="FF17365D"/>
      </bottom>
      <diagonal/>
    </border>
    <border>
      <left/>
      <right/>
      <top/>
      <bottom style="thin">
        <color rgb="FFD9E1F2"/>
      </bottom>
      <diagonal/>
    </border>
    <border>
      <left/>
      <right/>
      <top/>
      <bottom style="thin">
        <color rgb="FFE6D78A"/>
      </bottom>
      <diagonal/>
    </border>
    <border>
      <left/>
      <right/>
      <top/>
      <bottom style="thin">
        <color rgb="FFF4B084"/>
      </bottom>
      <diagonal/>
    </border>
  </borders>
  <cellStyleXfs count="2">
    <xf numFmtId="0" fontId="0" fillId="0" borderId="0"/>
    <xf numFmtId="0" fontId="61" fillId="0" borderId="0"/>
  </cellStyleXfs>
  <cellXfs count="1165">
    <xf numFmtId="0" fontId="0" fillId="0" borderId="0" xfId="0"/>
    <xf numFmtId="0" fontId="0" fillId="2" borderId="0" xfId="0" applyFill="1"/>
    <xf numFmtId="0" fontId="1" fillId="2" borderId="0" xfId="0" applyFont="1" applyFill="1"/>
    <xf numFmtId="0" fontId="2" fillId="0" borderId="0" xfId="0" applyFont="1"/>
    <xf numFmtId="0" fontId="3" fillId="0" borderId="0" xfId="0" applyFont="1"/>
    <xf numFmtId="0" fontId="5" fillId="0" borderId="0" xfId="0" applyFont="1"/>
    <xf numFmtId="0" fontId="3" fillId="2" borderId="0" xfId="0" applyFont="1" applyFill="1"/>
    <xf numFmtId="0" fontId="0" fillId="3" borderId="0" xfId="0" applyFill="1"/>
    <xf numFmtId="3" fontId="0" fillId="0" borderId="0" xfId="0" applyNumberFormat="1"/>
    <xf numFmtId="15" fontId="0" fillId="0" borderId="0" xfId="0" applyNumberFormat="1"/>
    <xf numFmtId="0" fontId="15" fillId="0" borderId="0" xfId="0" applyFont="1"/>
    <xf numFmtId="3" fontId="15" fillId="0" borderId="0" xfId="0" applyNumberFormat="1" applyFont="1"/>
    <xf numFmtId="0" fontId="0" fillId="0" borderId="0" xfId="0" applyAlignment="1">
      <alignment horizontal="right" vertical="top"/>
    </xf>
    <xf numFmtId="172" fontId="0" fillId="0" borderId="0" xfId="0" applyNumberFormat="1" applyAlignment="1">
      <alignment horizontal="right" vertical="top"/>
    </xf>
    <xf numFmtId="173" fontId="0" fillId="0" borderId="0" xfId="0" applyNumberFormat="1" applyAlignment="1">
      <alignment horizontal="right" vertical="top"/>
    </xf>
    <xf numFmtId="0" fontId="16" fillId="0" borderId="0" xfId="0" applyFont="1"/>
    <xf numFmtId="171" fontId="5" fillId="4" borderId="0" xfId="0" applyNumberFormat="1" applyFont="1" applyFill="1" applyAlignment="1">
      <alignment horizontal="right"/>
    </xf>
    <xf numFmtId="169" fontId="17" fillId="4" borderId="0" xfId="0" applyNumberFormat="1" applyFont="1" applyFill="1" applyAlignment="1">
      <alignment horizontal="right"/>
    </xf>
    <xf numFmtId="0" fontId="5" fillId="4" borderId="0" xfId="0" applyFont="1" applyFill="1" applyAlignment="1">
      <alignment horizontal="right"/>
    </xf>
    <xf numFmtId="15" fontId="19" fillId="4" borderId="0" xfId="0" applyNumberFormat="1" applyFont="1" applyFill="1" applyAlignment="1">
      <alignment horizontal="right"/>
    </xf>
    <xf numFmtId="3" fontId="5" fillId="4" borderId="0" xfId="0" applyNumberFormat="1" applyFont="1" applyFill="1" applyAlignment="1">
      <alignment horizontal="right"/>
    </xf>
    <xf numFmtId="3" fontId="17" fillId="4" borderId="0" xfId="0" applyNumberFormat="1" applyFont="1" applyFill="1" applyAlignment="1">
      <alignment horizontal="right"/>
    </xf>
    <xf numFmtId="0" fontId="5" fillId="0" borderId="0" xfId="0" applyFont="1" applyAlignment="1">
      <alignment horizontal="right"/>
    </xf>
    <xf numFmtId="174" fontId="5" fillId="0" borderId="0" xfId="0" applyNumberFormat="1" applyFont="1" applyAlignment="1">
      <alignment horizontal="right"/>
    </xf>
    <xf numFmtId="0" fontId="20" fillId="0" borderId="0" xfId="0" applyFont="1"/>
    <xf numFmtId="0" fontId="23" fillId="0" borderId="0" xfId="0" applyFont="1"/>
    <xf numFmtId="3" fontId="12" fillId="4" borderId="0" xfId="0" applyNumberFormat="1" applyFont="1" applyFill="1" applyAlignment="1">
      <alignment horizontal="right"/>
    </xf>
    <xf numFmtId="0" fontId="9" fillId="0" borderId="0" xfId="0" applyFont="1"/>
    <xf numFmtId="0" fontId="10" fillId="0" borderId="0" xfId="0" applyFont="1"/>
    <xf numFmtId="0" fontId="31" fillId="0" borderId="0" xfId="0" applyFont="1" applyAlignment="1">
      <alignment vertical="top"/>
    </xf>
    <xf numFmtId="10" fontId="31" fillId="0" borderId="0" xfId="0" applyNumberFormat="1" applyFont="1" applyAlignment="1">
      <alignment horizontal="left" vertical="top"/>
    </xf>
    <xf numFmtId="10" fontId="31" fillId="0" borderId="0" xfId="0" applyNumberFormat="1" applyFont="1" applyAlignment="1">
      <alignment horizontal="right" vertical="top"/>
    </xf>
    <xf numFmtId="182" fontId="31" fillId="0" borderId="0" xfId="0" applyNumberFormat="1" applyFont="1" applyAlignment="1">
      <alignment horizontal="left" vertical="top"/>
    </xf>
    <xf numFmtId="184" fontId="31" fillId="0" borderId="0" xfId="0" applyNumberFormat="1" applyFont="1" applyAlignment="1">
      <alignment horizontal="left" vertical="top"/>
    </xf>
    <xf numFmtId="0" fontId="3" fillId="8" borderId="0" xfId="0" applyFont="1" applyFill="1"/>
    <xf numFmtId="178" fontId="13" fillId="8" borderId="0" xfId="0" applyNumberFormat="1" applyFont="1" applyFill="1"/>
    <xf numFmtId="169" fontId="5" fillId="8" borderId="0" xfId="0" applyNumberFormat="1" applyFont="1" applyFill="1"/>
    <xf numFmtId="3" fontId="5" fillId="8" borderId="0" xfId="0" applyNumberFormat="1" applyFont="1" applyFill="1" applyAlignment="1">
      <alignment horizontal="right"/>
    </xf>
    <xf numFmtId="9" fontId="5" fillId="8" borderId="0" xfId="0" applyNumberFormat="1" applyFont="1" applyFill="1" applyAlignment="1">
      <alignment horizontal="right"/>
    </xf>
    <xf numFmtId="10" fontId="5" fillId="8" borderId="0" xfId="0" applyNumberFormat="1" applyFont="1" applyFill="1" applyAlignment="1">
      <alignment horizontal="right"/>
    </xf>
    <xf numFmtId="164" fontId="5" fillId="8" borderId="0" xfId="0" applyNumberFormat="1" applyFont="1" applyFill="1" applyAlignment="1">
      <alignment horizontal="right"/>
    </xf>
    <xf numFmtId="164" fontId="13" fillId="8" borderId="0" xfId="0" applyNumberFormat="1" applyFont="1" applyFill="1" applyAlignment="1">
      <alignment horizontal="right"/>
    </xf>
    <xf numFmtId="164" fontId="12" fillId="8" borderId="0" xfId="0" applyNumberFormat="1" applyFont="1" applyFill="1" applyAlignment="1">
      <alignment horizontal="right"/>
    </xf>
    <xf numFmtId="10" fontId="13" fillId="8" borderId="0" xfId="0" applyNumberFormat="1" applyFont="1" applyFill="1" applyAlignment="1">
      <alignment horizontal="right"/>
    </xf>
    <xf numFmtId="164" fontId="21" fillId="8" borderId="0" xfId="0" applyNumberFormat="1" applyFont="1" applyFill="1" applyAlignment="1">
      <alignment horizontal="right"/>
    </xf>
    <xf numFmtId="169" fontId="13" fillId="8" borderId="0" xfId="0" applyNumberFormat="1" applyFont="1" applyFill="1" applyAlignment="1">
      <alignment horizontal="right"/>
    </xf>
    <xf numFmtId="169" fontId="9" fillId="8" borderId="0" xfId="0" applyNumberFormat="1" applyFont="1" applyFill="1" applyAlignment="1">
      <alignment horizontal="right"/>
    </xf>
    <xf numFmtId="3" fontId="13" fillId="8" borderId="0" xfId="0" applyNumberFormat="1" applyFont="1" applyFill="1" applyAlignment="1">
      <alignment horizontal="right"/>
    </xf>
    <xf numFmtId="3" fontId="9" fillId="8" borderId="0" xfId="0" applyNumberFormat="1" applyFont="1" applyFill="1" applyAlignment="1">
      <alignment horizontal="right"/>
    </xf>
    <xf numFmtId="164" fontId="14" fillId="8" borderId="0" xfId="0" applyNumberFormat="1" applyFont="1" applyFill="1" applyAlignment="1">
      <alignment horizontal="right"/>
    </xf>
    <xf numFmtId="169" fontId="20" fillId="8" borderId="1" xfId="0" applyNumberFormat="1" applyFont="1" applyFill="1" applyBorder="1" applyAlignment="1">
      <alignment horizontal="right"/>
    </xf>
    <xf numFmtId="3" fontId="26" fillId="8" borderId="1" xfId="0" applyNumberFormat="1" applyFont="1" applyFill="1" applyBorder="1" applyAlignment="1">
      <alignment horizontal="right"/>
    </xf>
    <xf numFmtId="174" fontId="9" fillId="8" borderId="0" xfId="0" applyNumberFormat="1" applyFont="1" applyFill="1" applyAlignment="1">
      <alignment horizontal="right"/>
    </xf>
    <xf numFmtId="174" fontId="13" fillId="8" borderId="0" xfId="0" applyNumberFormat="1" applyFont="1" applyFill="1" applyAlignment="1">
      <alignment horizontal="right"/>
    </xf>
    <xf numFmtId="174" fontId="14" fillId="8" borderId="0" xfId="0" applyNumberFormat="1" applyFont="1" applyFill="1" applyAlignment="1">
      <alignment horizontal="right"/>
    </xf>
    <xf numFmtId="3" fontId="12" fillId="8" borderId="0" xfId="0" applyNumberFormat="1" applyFont="1" applyFill="1" applyAlignment="1">
      <alignment horizontal="right"/>
    </xf>
    <xf numFmtId="174" fontId="5" fillId="8" borderId="0" xfId="0" applyNumberFormat="1" applyFont="1" applyFill="1" applyAlignment="1">
      <alignment horizontal="left"/>
    </xf>
    <xf numFmtId="174" fontId="5" fillId="8" borderId="0" xfId="0" applyNumberFormat="1" applyFont="1" applyFill="1" applyAlignment="1">
      <alignment horizontal="right"/>
    </xf>
    <xf numFmtId="176" fontId="5" fillId="8" borderId="0" xfId="0" applyNumberFormat="1" applyFont="1" applyFill="1" applyAlignment="1">
      <alignment horizontal="right"/>
    </xf>
    <xf numFmtId="176" fontId="13" fillId="8" borderId="0" xfId="0" applyNumberFormat="1" applyFont="1" applyFill="1" applyAlignment="1">
      <alignment horizontal="right"/>
    </xf>
    <xf numFmtId="175" fontId="5" fillId="8" borderId="0" xfId="0" applyNumberFormat="1" applyFont="1" applyFill="1" applyAlignment="1">
      <alignment horizontal="right"/>
    </xf>
    <xf numFmtId="0" fontId="10" fillId="8" borderId="0" xfId="0" applyFont="1" applyFill="1"/>
    <xf numFmtId="174" fontId="26" fillId="8" borderId="0" xfId="0" applyNumberFormat="1" applyFont="1" applyFill="1" applyAlignment="1">
      <alignment horizontal="right"/>
    </xf>
    <xf numFmtId="3" fontId="20" fillId="8" borderId="0" xfId="0" applyNumberFormat="1" applyFont="1" applyFill="1" applyAlignment="1">
      <alignment horizontal="right"/>
    </xf>
    <xf numFmtId="4" fontId="3" fillId="8" borderId="0" xfId="0" applyNumberFormat="1" applyFont="1" applyFill="1"/>
    <xf numFmtId="166" fontId="4" fillId="8" borderId="0" xfId="0" applyNumberFormat="1" applyFont="1" applyFill="1" applyAlignment="1">
      <alignment horizontal="right"/>
    </xf>
    <xf numFmtId="170" fontId="4" fillId="8" borderId="0" xfId="0" applyNumberFormat="1" applyFont="1" applyFill="1" applyAlignment="1">
      <alignment horizontal="right"/>
    </xf>
    <xf numFmtId="170" fontId="6" fillId="8" borderId="0" xfId="0" applyNumberFormat="1" applyFont="1" applyFill="1" applyAlignment="1">
      <alignment horizontal="right"/>
    </xf>
    <xf numFmtId="168" fontId="4" fillId="8" borderId="0" xfId="0" applyNumberFormat="1" applyFont="1" applyFill="1" applyAlignment="1">
      <alignment horizontal="right"/>
    </xf>
    <xf numFmtId="9" fontId="13" fillId="8" borderId="0" xfId="0" applyNumberFormat="1" applyFont="1" applyFill="1" applyAlignment="1">
      <alignment horizontal="right"/>
    </xf>
    <xf numFmtId="164" fontId="28" fillId="8" borderId="0" xfId="0" applyNumberFormat="1" applyFont="1" applyFill="1" applyAlignment="1">
      <alignment horizontal="right"/>
    </xf>
    <xf numFmtId="164" fontId="20" fillId="8" borderId="0" xfId="0" applyNumberFormat="1" applyFont="1" applyFill="1" applyAlignment="1">
      <alignment horizontal="right"/>
    </xf>
    <xf numFmtId="182" fontId="20" fillId="8" borderId="0" xfId="0" applyNumberFormat="1" applyFont="1" applyFill="1" applyAlignment="1">
      <alignment horizontal="right"/>
    </xf>
    <xf numFmtId="10" fontId="20" fillId="8" borderId="0" xfId="0" applyNumberFormat="1" applyFont="1" applyFill="1" applyAlignment="1">
      <alignment horizontal="right"/>
    </xf>
    <xf numFmtId="184" fontId="20" fillId="8" borderId="0" xfId="0" applyNumberFormat="1" applyFont="1" applyFill="1" applyAlignment="1">
      <alignment horizontal="right"/>
    </xf>
    <xf numFmtId="164" fontId="5" fillId="0" borderId="0" xfId="0" applyNumberFormat="1" applyFont="1" applyAlignment="1">
      <alignment horizontal="right"/>
    </xf>
    <xf numFmtId="164" fontId="13" fillId="3" borderId="0" xfId="0" applyNumberFormat="1" applyFont="1" applyFill="1" applyAlignment="1">
      <alignment horizontal="right"/>
    </xf>
    <xf numFmtId="164" fontId="28" fillId="3" borderId="0" xfId="0" applyNumberFormat="1" applyFont="1" applyFill="1" applyAlignment="1">
      <alignment horizontal="right"/>
    </xf>
    <xf numFmtId="165" fontId="5" fillId="3" borderId="0" xfId="0" applyNumberFormat="1" applyFont="1" applyFill="1" applyAlignment="1">
      <alignment horizontal="right"/>
    </xf>
    <xf numFmtId="4" fontId="5" fillId="4" borderId="0" xfId="0" applyNumberFormat="1" applyFont="1" applyFill="1" applyAlignment="1">
      <alignment horizontal="right"/>
    </xf>
    <xf numFmtId="181" fontId="12" fillId="4" borderId="0" xfId="0" applyNumberFormat="1" applyFont="1" applyFill="1" applyAlignment="1">
      <alignment horizontal="right"/>
    </xf>
    <xf numFmtId="164" fontId="5" fillId="4" borderId="0" xfId="0" applyNumberFormat="1" applyFont="1" applyFill="1" applyAlignment="1">
      <alignment horizontal="right"/>
    </xf>
    <xf numFmtId="174" fontId="9" fillId="8" borderId="0" xfId="0" applyNumberFormat="1" applyFont="1" applyFill="1"/>
    <xf numFmtId="9" fontId="14" fillId="8" borderId="0" xfId="0" applyNumberFormat="1" applyFont="1" applyFill="1" applyAlignment="1">
      <alignment horizontal="right"/>
    </xf>
    <xf numFmtId="9" fontId="5" fillId="8" borderId="0" xfId="0" applyNumberFormat="1" applyFont="1" applyFill="1"/>
    <xf numFmtId="164" fontId="5" fillId="8" borderId="0" xfId="0" applyNumberFormat="1" applyFont="1" applyFill="1"/>
    <xf numFmtId="174" fontId="13" fillId="8" borderId="0" xfId="0" applyNumberFormat="1" applyFont="1" applyFill="1" applyAlignment="1">
      <alignment horizontal="left"/>
    </xf>
    <xf numFmtId="174" fontId="9" fillId="8" borderId="0" xfId="0" applyNumberFormat="1" applyFont="1" applyFill="1" applyAlignment="1">
      <alignment horizontal="left"/>
    </xf>
    <xf numFmtId="9" fontId="9" fillId="8" borderId="0" xfId="0" applyNumberFormat="1" applyFont="1" applyFill="1" applyAlignment="1">
      <alignment horizontal="right"/>
    </xf>
    <xf numFmtId="10" fontId="5" fillId="8" borderId="4" xfId="0" applyNumberFormat="1" applyFont="1" applyFill="1" applyBorder="1"/>
    <xf numFmtId="182" fontId="5" fillId="8" borderId="4" xfId="0" applyNumberFormat="1" applyFont="1" applyFill="1" applyBorder="1" applyAlignment="1">
      <alignment horizontal="right"/>
    </xf>
    <xf numFmtId="3" fontId="9" fillId="8" borderId="0" xfId="0" applyNumberFormat="1" applyFont="1" applyFill="1" applyAlignment="1">
      <alignment horizontal="left"/>
    </xf>
    <xf numFmtId="10" fontId="5" fillId="0" borderId="0" xfId="0" applyNumberFormat="1" applyFont="1" applyAlignment="1">
      <alignment horizontal="right"/>
    </xf>
    <xf numFmtId="169" fontId="33" fillId="0" borderId="0" xfId="0" applyNumberFormat="1" applyFont="1"/>
    <xf numFmtId="0" fontId="3" fillId="0" borderId="8" xfId="0" applyFont="1" applyBorder="1"/>
    <xf numFmtId="0" fontId="3" fillId="0" borderId="10" xfId="0" applyFont="1" applyBorder="1"/>
    <xf numFmtId="0" fontId="3" fillId="0" borderId="12" xfId="0" applyFont="1" applyBorder="1"/>
    <xf numFmtId="0" fontId="3" fillId="0" borderId="13" xfId="0" applyFont="1" applyBorder="1"/>
    <xf numFmtId="164" fontId="33" fillId="0" borderId="0" xfId="0" applyNumberFormat="1" applyFont="1"/>
    <xf numFmtId="174" fontId="33" fillId="0" borderId="0" xfId="0" applyNumberFormat="1" applyFont="1"/>
    <xf numFmtId="182" fontId="33" fillId="0" borderId="0" xfId="0" applyNumberFormat="1" applyFont="1"/>
    <xf numFmtId="10" fontId="33" fillId="0" borderId="11" xfId="0" applyNumberFormat="1" applyFont="1" applyBorder="1"/>
    <xf numFmtId="164" fontId="34" fillId="0" borderId="0" xfId="0" applyNumberFormat="1" applyFont="1"/>
    <xf numFmtId="10" fontId="33" fillId="0" borderId="0" xfId="0" applyNumberFormat="1" applyFont="1"/>
    <xf numFmtId="0" fontId="3" fillId="0" borderId="0" xfId="0" applyFont="1" applyAlignment="1">
      <alignment horizontal="right"/>
    </xf>
    <xf numFmtId="4" fontId="33" fillId="0" borderId="0" xfId="0" applyNumberFormat="1" applyFont="1"/>
    <xf numFmtId="10" fontId="35" fillId="0" borderId="0" xfId="0" applyNumberFormat="1" applyFont="1"/>
    <xf numFmtId="4" fontId="34" fillId="0" borderId="0" xfId="0" applyNumberFormat="1" applyFont="1"/>
    <xf numFmtId="184" fontId="33" fillId="0" borderId="0" xfId="0" applyNumberFormat="1" applyFont="1"/>
    <xf numFmtId="184" fontId="33" fillId="0" borderId="11" xfId="0" applyNumberFormat="1" applyFont="1" applyBorder="1"/>
    <xf numFmtId="174" fontId="33" fillId="0" borderId="13" xfId="0" applyNumberFormat="1" applyFont="1" applyBorder="1"/>
    <xf numFmtId="164" fontId="33" fillId="0" borderId="13" xfId="0" applyNumberFormat="1" applyFont="1" applyBorder="1"/>
    <xf numFmtId="4" fontId="33" fillId="0" borderId="13" xfId="0" applyNumberFormat="1" applyFont="1" applyBorder="1"/>
    <xf numFmtId="169" fontId="33" fillId="0" borderId="13" xfId="0" applyNumberFormat="1" applyFont="1" applyBorder="1"/>
    <xf numFmtId="0" fontId="10" fillId="0" borderId="10" xfId="0" applyFont="1" applyBorder="1"/>
    <xf numFmtId="0" fontId="37" fillId="2" borderId="7" xfId="0" applyFont="1" applyFill="1" applyBorder="1"/>
    <xf numFmtId="0" fontId="36" fillId="2" borderId="8" xfId="0" applyFont="1" applyFill="1" applyBorder="1"/>
    <xf numFmtId="0" fontId="37" fillId="2" borderId="9" xfId="0" applyFont="1" applyFill="1" applyBorder="1" applyAlignment="1">
      <alignment horizontal="right"/>
    </xf>
    <xf numFmtId="0" fontId="3" fillId="2" borderId="10" xfId="0" applyFont="1" applyFill="1" applyBorder="1"/>
    <xf numFmtId="0" fontId="3" fillId="2" borderId="11" xfId="0" applyFont="1" applyFill="1" applyBorder="1" applyAlignment="1">
      <alignment horizontal="right" vertical="center"/>
    </xf>
    <xf numFmtId="0" fontId="3" fillId="9" borderId="10" xfId="0" applyFont="1" applyFill="1" applyBorder="1"/>
    <xf numFmtId="0" fontId="3" fillId="9" borderId="0" xfId="0" applyFont="1" applyFill="1"/>
    <xf numFmtId="0" fontId="3" fillId="9" borderId="0" xfId="0" applyFont="1" applyFill="1" applyAlignment="1">
      <alignment horizontal="right"/>
    </xf>
    <xf numFmtId="0" fontId="3" fillId="9" borderId="0" xfId="0" applyFont="1" applyFill="1" applyAlignment="1">
      <alignment horizontal="right" vertical="center"/>
    </xf>
    <xf numFmtId="0" fontId="3" fillId="9" borderId="11" xfId="0" applyFont="1" applyFill="1" applyBorder="1" applyAlignment="1">
      <alignment horizontal="right" vertical="center"/>
    </xf>
    <xf numFmtId="4" fontId="33" fillId="0" borderId="0" xfId="0" applyNumberFormat="1" applyFont="1" applyAlignment="1">
      <alignment horizontal="right"/>
    </xf>
    <xf numFmtId="164" fontId="33" fillId="0" borderId="0" xfId="0" applyNumberFormat="1" applyFont="1" applyAlignment="1">
      <alignment horizontal="right"/>
    </xf>
    <xf numFmtId="174" fontId="33" fillId="0" borderId="11" xfId="0" applyNumberFormat="1" applyFont="1" applyBorder="1"/>
    <xf numFmtId="184" fontId="3" fillId="8" borderId="0" xfId="0" applyNumberFormat="1" applyFont="1" applyFill="1" applyAlignment="1">
      <alignment horizontal="right"/>
    </xf>
    <xf numFmtId="10" fontId="3" fillId="8" borderId="0" xfId="0" applyNumberFormat="1" applyFont="1" applyFill="1" applyAlignment="1">
      <alignment horizontal="right"/>
    </xf>
    <xf numFmtId="10" fontId="4" fillId="8" borderId="0" xfId="0" applyNumberFormat="1" applyFont="1" applyFill="1" applyAlignment="1">
      <alignment horizontal="right"/>
    </xf>
    <xf numFmtId="10" fontId="3" fillId="8" borderId="22" xfId="0" applyNumberFormat="1" applyFont="1" applyFill="1" applyBorder="1" applyAlignment="1">
      <alignment horizontal="right"/>
    </xf>
    <xf numFmtId="10" fontId="4" fillId="8" borderId="22" xfId="0" applyNumberFormat="1" applyFont="1" applyFill="1" applyBorder="1" applyAlignment="1">
      <alignment horizontal="right"/>
    </xf>
    <xf numFmtId="188" fontId="39" fillId="0" borderId="0" xfId="0" applyNumberFormat="1" applyFont="1" applyAlignment="1">
      <alignment horizontal="right"/>
    </xf>
    <xf numFmtId="165" fontId="5" fillId="8" borderId="0" xfId="0" applyNumberFormat="1" applyFont="1" applyFill="1" applyAlignment="1">
      <alignment horizontal="right"/>
    </xf>
    <xf numFmtId="165" fontId="12" fillId="8" borderId="0" xfId="0" applyNumberFormat="1" applyFont="1" applyFill="1" applyAlignment="1">
      <alignment horizontal="right"/>
    </xf>
    <xf numFmtId="165" fontId="20" fillId="8" borderId="0" xfId="0" applyNumberFormat="1" applyFont="1" applyFill="1" applyAlignment="1">
      <alignment horizontal="right"/>
    </xf>
    <xf numFmtId="165" fontId="13" fillId="8" borderId="0" xfId="0" applyNumberFormat="1" applyFont="1" applyFill="1" applyAlignment="1">
      <alignment horizontal="right"/>
    </xf>
    <xf numFmtId="165" fontId="9" fillId="8" borderId="0" xfId="0" applyNumberFormat="1" applyFont="1" applyFill="1" applyAlignment="1">
      <alignment horizontal="right"/>
    </xf>
    <xf numFmtId="165" fontId="14" fillId="8" borderId="0" xfId="0" applyNumberFormat="1" applyFont="1" applyFill="1" applyAlignment="1">
      <alignment horizontal="right"/>
    </xf>
    <xf numFmtId="165" fontId="26" fillId="8" borderId="1" xfId="0" applyNumberFormat="1" applyFont="1" applyFill="1" applyBorder="1" applyAlignment="1">
      <alignment horizontal="right"/>
    </xf>
    <xf numFmtId="0" fontId="1" fillId="0" borderId="0" xfId="0" applyFont="1"/>
    <xf numFmtId="189" fontId="3" fillId="8" borderId="0" xfId="0" applyNumberFormat="1" applyFont="1" applyFill="1"/>
    <xf numFmtId="4" fontId="13" fillId="8" borderId="0" xfId="0" applyNumberFormat="1" applyFont="1" applyFill="1" applyAlignment="1">
      <alignment horizontal="right"/>
    </xf>
    <xf numFmtId="169" fontId="22" fillId="8" borderId="0" xfId="0" applyNumberFormat="1" applyFont="1" applyFill="1" applyAlignment="1">
      <alignment horizontal="right"/>
    </xf>
    <xf numFmtId="10" fontId="22" fillId="8" borderId="0" xfId="0" applyNumberFormat="1" applyFont="1" applyFill="1" applyAlignment="1">
      <alignment horizontal="right"/>
    </xf>
    <xf numFmtId="4" fontId="22" fillId="8" borderId="0" xfId="0" applyNumberFormat="1" applyFont="1" applyFill="1" applyAlignment="1">
      <alignment horizontal="right"/>
    </xf>
    <xf numFmtId="10" fontId="9" fillId="8" borderId="0" xfId="0" applyNumberFormat="1" applyFont="1" applyFill="1" applyAlignment="1">
      <alignment horizontal="right"/>
    </xf>
    <xf numFmtId="4" fontId="9" fillId="8" borderId="0" xfId="0" applyNumberFormat="1" applyFont="1" applyFill="1" applyAlignment="1">
      <alignment horizontal="right"/>
    </xf>
    <xf numFmtId="165" fontId="21" fillId="8" borderId="0" xfId="0" applyNumberFormat="1" applyFont="1" applyFill="1" applyAlignment="1">
      <alignment horizontal="right"/>
    </xf>
    <xf numFmtId="179" fontId="5" fillId="8" borderId="0" xfId="0" applyNumberFormat="1" applyFont="1" applyFill="1" applyAlignment="1">
      <alignment horizontal="right"/>
    </xf>
    <xf numFmtId="4" fontId="14" fillId="8" borderId="0" xfId="0" applyNumberFormat="1" applyFont="1" applyFill="1" applyAlignment="1">
      <alignment horizontal="right"/>
    </xf>
    <xf numFmtId="164" fontId="26" fillId="8" borderId="0" xfId="0" applyNumberFormat="1" applyFont="1" applyFill="1" applyAlignment="1">
      <alignment horizontal="right"/>
    </xf>
    <xf numFmtId="164" fontId="25" fillId="8" borderId="0" xfId="0" applyNumberFormat="1" applyFont="1" applyFill="1" applyAlignment="1">
      <alignment horizontal="right"/>
    </xf>
    <xf numFmtId="4" fontId="26" fillId="8" borderId="0" xfId="0" applyNumberFormat="1" applyFont="1" applyFill="1" applyAlignment="1">
      <alignment horizontal="right"/>
    </xf>
    <xf numFmtId="3" fontId="11" fillId="8" borderId="0" xfId="0" applyNumberFormat="1" applyFont="1" applyFill="1" applyAlignment="1">
      <alignment horizontal="left"/>
    </xf>
    <xf numFmtId="183" fontId="9" fillId="8" borderId="0" xfId="0" applyNumberFormat="1" applyFont="1" applyFill="1" applyAlignment="1">
      <alignment horizontal="left"/>
    </xf>
    <xf numFmtId="185" fontId="13" fillId="8" borderId="0" xfId="0" applyNumberFormat="1" applyFont="1" applyFill="1" applyAlignment="1">
      <alignment horizontal="right"/>
    </xf>
    <xf numFmtId="3" fontId="5" fillId="8" borderId="0" xfId="0" applyNumberFormat="1" applyFont="1" applyFill="1" applyAlignment="1">
      <alignment horizontal="left"/>
    </xf>
    <xf numFmtId="186" fontId="13" fillId="8" borderId="0" xfId="0" applyNumberFormat="1" applyFont="1" applyFill="1" applyAlignment="1">
      <alignment horizontal="right"/>
    </xf>
    <xf numFmtId="190" fontId="13" fillId="8" borderId="0" xfId="0" applyNumberFormat="1" applyFont="1" applyFill="1"/>
    <xf numFmtId="171" fontId="5" fillId="0" borderId="0" xfId="0" applyNumberFormat="1" applyFont="1" applyAlignment="1">
      <alignment horizontal="right"/>
    </xf>
    <xf numFmtId="3" fontId="33" fillId="0" borderId="0" xfId="0" applyNumberFormat="1" applyFont="1"/>
    <xf numFmtId="0" fontId="3" fillId="0" borderId="0" xfId="0" applyFont="1" applyAlignment="1">
      <alignment horizontal="left"/>
    </xf>
    <xf numFmtId="0" fontId="6" fillId="0" borderId="0" xfId="0" applyFont="1"/>
    <xf numFmtId="169" fontId="9" fillId="0" borderId="0" xfId="0" applyNumberFormat="1" applyFont="1"/>
    <xf numFmtId="0" fontId="6" fillId="0" borderId="0" xfId="0" applyFont="1" applyAlignment="1">
      <alignment horizontal="right"/>
    </xf>
    <xf numFmtId="0" fontId="14" fillId="0" borderId="0" xfId="0" applyFont="1" applyAlignment="1">
      <alignment horizontal="right"/>
    </xf>
    <xf numFmtId="174" fontId="9" fillId="0" borderId="0" xfId="0" applyNumberFormat="1" applyFont="1"/>
    <xf numFmtId="164" fontId="3" fillId="0" borderId="0" xfId="0" applyNumberFormat="1" applyFont="1"/>
    <xf numFmtId="164" fontId="11" fillId="0" borderId="0" xfId="0" applyNumberFormat="1" applyFont="1"/>
    <xf numFmtId="164" fontId="3" fillId="0" borderId="0" xfId="0" applyNumberFormat="1" applyFont="1" applyAlignment="1">
      <alignment horizontal="right"/>
    </xf>
    <xf numFmtId="164" fontId="11" fillId="0" borderId="0" xfId="0" applyNumberFormat="1" applyFont="1" applyAlignment="1">
      <alignment horizontal="right"/>
    </xf>
    <xf numFmtId="169" fontId="11" fillId="0" borderId="0" xfId="0" applyNumberFormat="1" applyFont="1"/>
    <xf numFmtId="164" fontId="43" fillId="0" borderId="0" xfId="0" applyNumberFormat="1" applyFont="1"/>
    <xf numFmtId="0" fontId="5" fillId="0" borderId="13" xfId="0" applyFont="1" applyBorder="1" applyAlignment="1">
      <alignment horizontal="right"/>
    </xf>
    <xf numFmtId="0" fontId="6" fillId="0" borderId="13" xfId="0" applyFont="1" applyBorder="1"/>
    <xf numFmtId="171" fontId="5" fillId="0" borderId="7" xfId="0" applyNumberFormat="1" applyFont="1" applyBorder="1"/>
    <xf numFmtId="0" fontId="5" fillId="0" borderId="8" xfId="0" applyFont="1" applyBorder="1" applyAlignment="1">
      <alignment horizontal="right"/>
    </xf>
    <xf numFmtId="0" fontId="9" fillId="0" borderId="12" xfId="0" applyFont="1" applyBorder="1"/>
    <xf numFmtId="0" fontId="3" fillId="0" borderId="10" xfId="0" applyFont="1" applyBorder="1" applyAlignment="1">
      <alignment horizontal="left"/>
    </xf>
    <xf numFmtId="0" fontId="6" fillId="0" borderId="12" xfId="0" applyFont="1" applyBorder="1"/>
    <xf numFmtId="171" fontId="3" fillId="0" borderId="0" xfId="0" applyNumberFormat="1" applyFont="1"/>
    <xf numFmtId="164" fontId="6" fillId="0" borderId="13" xfId="0" applyNumberFormat="1" applyFont="1" applyBorder="1" applyAlignment="1">
      <alignment horizontal="right"/>
    </xf>
    <xf numFmtId="164" fontId="6" fillId="0" borderId="13" xfId="0" applyNumberFormat="1" applyFont="1" applyBorder="1" applyAlignment="1">
      <alignment horizontal="right" vertical="center"/>
    </xf>
    <xf numFmtId="164" fontId="6" fillId="0" borderId="14" xfId="0" applyNumberFormat="1" applyFont="1" applyBorder="1" applyAlignment="1">
      <alignment horizontal="right" vertical="center"/>
    </xf>
    <xf numFmtId="164" fontId="6" fillId="0" borderId="0" xfId="0" applyNumberFormat="1" applyFont="1" applyAlignment="1">
      <alignment horizontal="right"/>
    </xf>
    <xf numFmtId="164" fontId="44" fillId="0" borderId="0" xfId="0" applyNumberFormat="1" applyFont="1" applyAlignment="1">
      <alignment horizontal="right"/>
    </xf>
    <xf numFmtId="164" fontId="6" fillId="0" borderId="11" xfId="0" applyNumberFormat="1" applyFont="1" applyBorder="1" applyAlignment="1">
      <alignment horizontal="right"/>
    </xf>
    <xf numFmtId="3" fontId="6" fillId="8" borderId="0" xfId="0" applyNumberFormat="1" applyFont="1" applyFill="1"/>
    <xf numFmtId="164" fontId="17" fillId="3" borderId="0" xfId="0" applyNumberFormat="1" applyFont="1" applyFill="1" applyAlignment="1">
      <alignment horizontal="right"/>
    </xf>
    <xf numFmtId="169" fontId="9" fillId="8" borderId="0" xfId="0" applyNumberFormat="1" applyFont="1" applyFill="1" applyAlignment="1">
      <alignment horizontal="left"/>
    </xf>
    <xf numFmtId="169" fontId="5" fillId="8" borderId="0" xfId="0" applyNumberFormat="1" applyFont="1" applyFill="1" applyAlignment="1">
      <alignment horizontal="left"/>
    </xf>
    <xf numFmtId="169" fontId="13" fillId="8" borderId="0" xfId="0" applyNumberFormat="1" applyFont="1" applyFill="1" applyAlignment="1">
      <alignment horizontal="left"/>
    </xf>
    <xf numFmtId="177" fontId="13" fillId="8" borderId="0" xfId="0" applyNumberFormat="1" applyFont="1" applyFill="1" applyAlignment="1">
      <alignment horizontal="right"/>
    </xf>
    <xf numFmtId="171" fontId="17" fillId="4" borderId="0" xfId="0" applyNumberFormat="1" applyFont="1" applyFill="1" applyAlignment="1">
      <alignment horizontal="right"/>
    </xf>
    <xf numFmtId="169" fontId="12" fillId="0" borderId="0" xfId="0" applyNumberFormat="1" applyFont="1" applyAlignment="1">
      <alignment horizontal="right"/>
    </xf>
    <xf numFmtId="169" fontId="5" fillId="4" borderId="0" xfId="0" applyNumberFormat="1" applyFont="1" applyFill="1" applyAlignment="1">
      <alignment horizontal="right"/>
    </xf>
    <xf numFmtId="169" fontId="5" fillId="0" borderId="0" xfId="0" applyNumberFormat="1" applyFont="1" applyAlignment="1">
      <alignment horizontal="right"/>
    </xf>
    <xf numFmtId="168" fontId="9" fillId="4" borderId="0" xfId="0" applyNumberFormat="1" applyFont="1" applyFill="1" applyAlignment="1">
      <alignment horizontal="right"/>
    </xf>
    <xf numFmtId="15" fontId="12" fillId="0" borderId="0" xfId="0" applyNumberFormat="1" applyFont="1" applyAlignment="1">
      <alignment horizontal="right"/>
    </xf>
    <xf numFmtId="15" fontId="5" fillId="4" borderId="0" xfId="0" applyNumberFormat="1" applyFont="1" applyFill="1" applyAlignment="1">
      <alignment horizontal="right"/>
    </xf>
    <xf numFmtId="164" fontId="21" fillId="0" borderId="0" xfId="0" applyNumberFormat="1" applyFont="1" applyAlignment="1">
      <alignment horizontal="right"/>
    </xf>
    <xf numFmtId="169" fontId="12" fillId="4" borderId="0" xfId="0" applyNumberFormat="1" applyFont="1" applyFill="1" applyAlignment="1">
      <alignment horizontal="right"/>
    </xf>
    <xf numFmtId="164" fontId="20" fillId="0" borderId="0" xfId="0" applyNumberFormat="1" applyFont="1" applyAlignment="1">
      <alignment horizontal="right"/>
    </xf>
    <xf numFmtId="10" fontId="42" fillId="0" borderId="0" xfId="0" applyNumberFormat="1" applyFont="1" applyAlignment="1">
      <alignment horizontal="right"/>
    </xf>
    <xf numFmtId="10" fontId="5" fillId="4" borderId="0" xfId="0" applyNumberFormat="1" applyFont="1" applyFill="1" applyAlignment="1">
      <alignment horizontal="right"/>
    </xf>
    <xf numFmtId="169" fontId="0" fillId="0" borderId="0" xfId="0" applyNumberFormat="1" applyAlignment="1">
      <alignment horizontal="right"/>
    </xf>
    <xf numFmtId="0" fontId="0" fillId="0" borderId="0" xfId="0" applyAlignment="1">
      <alignment horizontal="right"/>
    </xf>
    <xf numFmtId="9" fontId="5" fillId="4" borderId="0" xfId="0" applyNumberFormat="1" applyFont="1" applyFill="1" applyAlignment="1">
      <alignment horizontal="right"/>
    </xf>
    <xf numFmtId="164" fontId="0" fillId="0" borderId="0" xfId="0" applyNumberFormat="1" applyAlignment="1">
      <alignment horizontal="right"/>
    </xf>
    <xf numFmtId="180" fontId="12" fillId="4" borderId="0" xfId="0" applyNumberFormat="1" applyFont="1" applyFill="1" applyAlignment="1">
      <alignment horizontal="right"/>
    </xf>
    <xf numFmtId="164" fontId="5" fillId="0" borderId="23" xfId="0" applyNumberFormat="1" applyFont="1" applyBorder="1" applyAlignment="1">
      <alignment horizontal="right"/>
    </xf>
    <xf numFmtId="164" fontId="5" fillId="4" borderId="0" xfId="0" applyNumberFormat="1" applyFont="1" applyFill="1" applyAlignment="1">
      <alignment horizontal="left"/>
    </xf>
    <xf numFmtId="164" fontId="21" fillId="4" borderId="0" xfId="0" applyNumberFormat="1" applyFont="1" applyFill="1" applyAlignment="1">
      <alignment horizontal="right"/>
    </xf>
    <xf numFmtId="164" fontId="20" fillId="4" borderId="0" xfId="0" applyNumberFormat="1" applyFont="1" applyFill="1" applyAlignment="1">
      <alignment horizontal="left"/>
    </xf>
    <xf numFmtId="192" fontId="45" fillId="4" borderId="0" xfId="0" applyNumberFormat="1" applyFont="1" applyFill="1" applyAlignment="1">
      <alignment horizontal="right"/>
    </xf>
    <xf numFmtId="191" fontId="5" fillId="4" borderId="0" xfId="0" applyNumberFormat="1" applyFont="1" applyFill="1" applyAlignment="1">
      <alignment horizontal="right"/>
    </xf>
    <xf numFmtId="164" fontId="21" fillId="4" borderId="0" xfId="0" applyNumberFormat="1" applyFont="1" applyFill="1" applyAlignment="1">
      <alignment horizontal="left"/>
    </xf>
    <xf numFmtId="0" fontId="5" fillId="4" borderId="0" xfId="0" applyFont="1" applyFill="1" applyAlignment="1">
      <alignment horizontal="left"/>
    </xf>
    <xf numFmtId="3" fontId="5" fillId="4" borderId="0" xfId="0" applyNumberFormat="1" applyFont="1" applyFill="1" applyAlignment="1">
      <alignment horizontal="left"/>
    </xf>
    <xf numFmtId="3" fontId="20" fillId="4" borderId="0" xfId="0" applyNumberFormat="1" applyFont="1" applyFill="1" applyAlignment="1">
      <alignment horizontal="left"/>
    </xf>
    <xf numFmtId="174" fontId="5" fillId="4" borderId="0" xfId="0" applyNumberFormat="1" applyFont="1" applyFill="1" applyAlignment="1">
      <alignment horizontal="left"/>
    </xf>
    <xf numFmtId="0" fontId="5" fillId="0" borderId="0" xfId="0" applyFont="1" applyAlignment="1">
      <alignment horizontal="left"/>
    </xf>
    <xf numFmtId="164" fontId="44" fillId="0" borderId="11" xfId="0" applyNumberFormat="1" applyFont="1" applyBorder="1" applyAlignment="1">
      <alignment horizontal="right"/>
    </xf>
    <xf numFmtId="0" fontId="36" fillId="2" borderId="8" xfId="0" applyFont="1" applyFill="1" applyBorder="1" applyAlignment="1">
      <alignment horizontal="right"/>
    </xf>
    <xf numFmtId="0" fontId="3" fillId="2" borderId="0" xfId="0" applyFont="1" applyFill="1" applyAlignment="1">
      <alignment horizontal="right"/>
    </xf>
    <xf numFmtId="0" fontId="3" fillId="2" borderId="0" xfId="0" applyFont="1" applyFill="1" applyAlignment="1">
      <alignment horizontal="right" vertical="center"/>
    </xf>
    <xf numFmtId="171" fontId="5" fillId="0" borderId="8" xfId="0" applyNumberFormat="1" applyFont="1" applyBorder="1" applyAlignment="1">
      <alignment horizontal="right"/>
    </xf>
    <xf numFmtId="171" fontId="3" fillId="0" borderId="8" xfId="0" applyNumberFormat="1" applyFont="1" applyBorder="1" applyAlignment="1">
      <alignment horizontal="right"/>
    </xf>
    <xf numFmtId="171" fontId="3" fillId="0" borderId="8" xfId="0" applyNumberFormat="1" applyFont="1" applyBorder="1" applyAlignment="1">
      <alignment horizontal="right" vertical="center"/>
    </xf>
    <xf numFmtId="171" fontId="3" fillId="0" borderId="9" xfId="0" applyNumberFormat="1" applyFont="1" applyBorder="1" applyAlignment="1">
      <alignment horizontal="right" vertical="center"/>
    </xf>
    <xf numFmtId="170" fontId="14" fillId="0" borderId="13" xfId="0" applyNumberFormat="1" applyFont="1" applyBorder="1" applyAlignment="1">
      <alignment horizontal="right"/>
    </xf>
    <xf numFmtId="170" fontId="6" fillId="0" borderId="13" xfId="0" applyNumberFormat="1" applyFont="1" applyBorder="1" applyAlignment="1">
      <alignment horizontal="right"/>
    </xf>
    <xf numFmtId="170" fontId="6" fillId="0" borderId="13" xfId="0" applyNumberFormat="1" applyFont="1" applyBorder="1" applyAlignment="1">
      <alignment horizontal="right" vertical="center"/>
    </xf>
    <xf numFmtId="170" fontId="6" fillId="0" borderId="14" xfId="0" applyNumberFormat="1" applyFont="1" applyBorder="1" applyAlignment="1">
      <alignment horizontal="right" vertical="center"/>
    </xf>
    <xf numFmtId="167" fontId="6" fillId="0" borderId="0" xfId="0" applyNumberFormat="1" applyFont="1" applyAlignment="1">
      <alignment horizontal="right"/>
    </xf>
    <xf numFmtId="0" fontId="6" fillId="0" borderId="0" xfId="0" applyFont="1" applyAlignment="1">
      <alignment horizontal="right" vertical="center"/>
    </xf>
    <xf numFmtId="0" fontId="6" fillId="0" borderId="11" xfId="0" applyFont="1" applyBorder="1" applyAlignment="1">
      <alignment horizontal="right" vertical="center"/>
    </xf>
    <xf numFmtId="164" fontId="6" fillId="0" borderId="0" xfId="0" applyNumberFormat="1" applyFont="1" applyAlignment="1">
      <alignment horizontal="right" vertical="center"/>
    </xf>
    <xf numFmtId="164" fontId="6" fillId="0" borderId="11" xfId="0" applyNumberFormat="1" applyFont="1" applyBorder="1" applyAlignment="1">
      <alignment horizontal="right" vertical="center"/>
    </xf>
    <xf numFmtId="164" fontId="44" fillId="0" borderId="0" xfId="0" applyNumberFormat="1" applyFont="1" applyAlignment="1">
      <alignment horizontal="right" vertical="center"/>
    </xf>
    <xf numFmtId="164" fontId="44" fillId="0" borderId="11" xfId="0" applyNumberFormat="1" applyFont="1" applyBorder="1" applyAlignment="1">
      <alignment horizontal="right" vertical="center"/>
    </xf>
    <xf numFmtId="164" fontId="24" fillId="0" borderId="0" xfId="0" applyNumberFormat="1" applyFont="1" applyAlignment="1">
      <alignment horizontal="right"/>
    </xf>
    <xf numFmtId="164" fontId="46" fillId="0" borderId="0" xfId="0" applyNumberFormat="1" applyFont="1" applyAlignment="1">
      <alignment horizontal="right"/>
    </xf>
    <xf numFmtId="164" fontId="6" fillId="0" borderId="14" xfId="0" applyNumberFormat="1" applyFont="1" applyBorder="1" applyAlignment="1">
      <alignment horizontal="right"/>
    </xf>
    <xf numFmtId="171" fontId="3" fillId="0" borderId="0" xfId="0" applyNumberFormat="1" applyFont="1" applyAlignment="1">
      <alignment horizontal="right"/>
    </xf>
    <xf numFmtId="169" fontId="11" fillId="0" borderId="0" xfId="0" applyNumberFormat="1" applyFont="1" applyAlignment="1">
      <alignment horizontal="right"/>
    </xf>
    <xf numFmtId="164" fontId="43" fillId="0" borderId="0" xfId="0" applyNumberFormat="1" applyFont="1" applyAlignment="1">
      <alignment horizontal="right"/>
    </xf>
    <xf numFmtId="4" fontId="33" fillId="0" borderId="11" xfId="0" applyNumberFormat="1" applyFont="1" applyBorder="1"/>
    <xf numFmtId="174" fontId="12" fillId="8" borderId="0" xfId="0" applyNumberFormat="1" applyFont="1" applyFill="1" applyAlignment="1">
      <alignment horizontal="right"/>
    </xf>
    <xf numFmtId="174" fontId="33" fillId="0" borderId="0" xfId="0" applyNumberFormat="1" applyFont="1" applyAlignment="1">
      <alignment horizontal="right"/>
    </xf>
    <xf numFmtId="3" fontId="4" fillId="8" borderId="0" xfId="0" applyNumberFormat="1" applyFont="1" applyFill="1" applyAlignment="1">
      <alignment horizontal="right"/>
    </xf>
    <xf numFmtId="0" fontId="2" fillId="3" borderId="0" xfId="0" applyFont="1" applyFill="1"/>
    <xf numFmtId="174" fontId="47" fillId="8" borderId="0" xfId="0" applyNumberFormat="1" applyFont="1" applyFill="1" applyAlignment="1">
      <alignment horizontal="right"/>
    </xf>
    <xf numFmtId="174" fontId="48" fillId="8" borderId="0" xfId="0" applyNumberFormat="1" applyFont="1" applyFill="1" applyAlignment="1">
      <alignment horizontal="right"/>
    </xf>
    <xf numFmtId="174" fontId="31" fillId="4" borderId="0" xfId="0" applyNumberFormat="1" applyFont="1" applyFill="1" applyAlignment="1">
      <alignment horizontal="right"/>
    </xf>
    <xf numFmtId="169" fontId="49" fillId="8" borderId="0" xfId="0" applyNumberFormat="1" applyFont="1" applyFill="1" applyAlignment="1">
      <alignment horizontal="right"/>
    </xf>
    <xf numFmtId="169" fontId="50" fillId="8" borderId="0" xfId="0" applyNumberFormat="1" applyFont="1" applyFill="1" applyAlignment="1">
      <alignment horizontal="right"/>
    </xf>
    <xf numFmtId="174" fontId="20" fillId="8" borderId="0" xfId="0" applyNumberFormat="1" applyFont="1" applyFill="1" applyAlignment="1">
      <alignment horizontal="right"/>
    </xf>
    <xf numFmtId="10" fontId="12" fillId="8" borderId="0" xfId="0" applyNumberFormat="1" applyFont="1" applyFill="1" applyAlignment="1">
      <alignment horizontal="right"/>
    </xf>
    <xf numFmtId="10" fontId="5" fillId="8" borderId="4" xfId="0" applyNumberFormat="1" applyFont="1" applyFill="1" applyBorder="1" applyAlignment="1">
      <alignment horizontal="right"/>
    </xf>
    <xf numFmtId="0" fontId="5" fillId="4" borderId="0" xfId="0" applyFont="1" applyFill="1"/>
    <xf numFmtId="164" fontId="5" fillId="4" borderId="0" xfId="0" applyNumberFormat="1" applyFont="1" applyFill="1"/>
    <xf numFmtId="164" fontId="20" fillId="4" borderId="0" xfId="0" applyNumberFormat="1" applyFont="1" applyFill="1"/>
    <xf numFmtId="10" fontId="49" fillId="8" borderId="0" xfId="0" applyNumberFormat="1" applyFont="1" applyFill="1" applyAlignment="1">
      <alignment horizontal="right"/>
    </xf>
    <xf numFmtId="10" fontId="5" fillId="4" borderId="0" xfId="0" applyNumberFormat="1" applyFont="1" applyFill="1"/>
    <xf numFmtId="3" fontId="5" fillId="4" borderId="0" xfId="0" applyNumberFormat="1" applyFont="1" applyFill="1"/>
    <xf numFmtId="182" fontId="5" fillId="8" borderId="0" xfId="0" applyNumberFormat="1" applyFont="1" applyFill="1" applyAlignment="1">
      <alignment horizontal="left"/>
    </xf>
    <xf numFmtId="169" fontId="12" fillId="0" borderId="0" xfId="0" applyNumberFormat="1" applyFont="1"/>
    <xf numFmtId="164" fontId="5" fillId="0" borderId="0" xfId="0" applyNumberFormat="1" applyFont="1"/>
    <xf numFmtId="164" fontId="21" fillId="0" borderId="0" xfId="0" applyNumberFormat="1" applyFont="1"/>
    <xf numFmtId="10" fontId="5" fillId="8" borderId="0" xfId="0" applyNumberFormat="1" applyFont="1" applyFill="1" applyAlignment="1">
      <alignment horizontal="left"/>
    </xf>
    <xf numFmtId="3" fontId="52" fillId="8" borderId="0" xfId="0" applyNumberFormat="1" applyFont="1" applyFill="1"/>
    <xf numFmtId="193" fontId="53" fillId="8" borderId="0" xfId="0" applyNumberFormat="1" applyFont="1" applyFill="1" applyAlignment="1">
      <alignment horizontal="right"/>
    </xf>
    <xf numFmtId="177" fontId="3" fillId="8" borderId="0" xfId="0" applyNumberFormat="1" applyFont="1" applyFill="1"/>
    <xf numFmtId="169" fontId="45" fillId="8" borderId="0" xfId="0" applyNumberFormat="1" applyFont="1" applyFill="1" applyAlignment="1">
      <alignment horizontal="right"/>
    </xf>
    <xf numFmtId="195" fontId="31" fillId="0" borderId="0" xfId="0" applyNumberFormat="1" applyFont="1" applyAlignment="1">
      <alignment horizontal="left" vertical="top"/>
    </xf>
    <xf numFmtId="196" fontId="5" fillId="8" borderId="0" xfId="0" applyNumberFormat="1" applyFont="1" applyFill="1" applyAlignment="1">
      <alignment horizontal="right"/>
    </xf>
    <xf numFmtId="0" fontId="0" fillId="2" borderId="10" xfId="0" applyFill="1" applyBorder="1"/>
    <xf numFmtId="3" fontId="3" fillId="0" borderId="0" xfId="0" applyNumberFormat="1" applyFont="1"/>
    <xf numFmtId="9" fontId="3" fillId="0" borderId="0" xfId="0" applyNumberFormat="1" applyFont="1"/>
    <xf numFmtId="0" fontId="3" fillId="12" borderId="0" xfId="0" applyFont="1" applyFill="1"/>
    <xf numFmtId="171" fontId="3" fillId="12" borderId="0" xfId="0" applyNumberFormat="1" applyFont="1" applyFill="1"/>
    <xf numFmtId="3" fontId="3" fillId="12" borderId="0" xfId="0" applyNumberFormat="1" applyFont="1" applyFill="1"/>
    <xf numFmtId="9" fontId="3" fillId="12" borderId="0" xfId="0" applyNumberFormat="1" applyFont="1" applyFill="1"/>
    <xf numFmtId="164" fontId="45" fillId="0" borderId="0" xfId="0" applyNumberFormat="1" applyFont="1" applyAlignment="1">
      <alignment horizontal="right"/>
    </xf>
    <xf numFmtId="169" fontId="12" fillId="4" borderId="0" xfId="0" applyNumberFormat="1" applyFont="1" applyFill="1"/>
    <xf numFmtId="165" fontId="5" fillId="4" borderId="0" xfId="0" applyNumberFormat="1" applyFont="1" applyFill="1"/>
    <xf numFmtId="169" fontId="31" fillId="6" borderId="0" xfId="0" applyNumberFormat="1" applyFont="1" applyFill="1"/>
    <xf numFmtId="10" fontId="45" fillId="0" borderId="0" xfId="0" applyNumberFormat="1" applyFont="1" applyAlignment="1">
      <alignment horizontal="right"/>
    </xf>
    <xf numFmtId="164" fontId="49" fillId="0" borderId="0" xfId="0" applyNumberFormat="1" applyFont="1" applyAlignment="1">
      <alignment horizontal="right"/>
    </xf>
    <xf numFmtId="10" fontId="49" fillId="0" borderId="0" xfId="0" applyNumberFormat="1" applyFont="1" applyAlignment="1">
      <alignment horizontal="right"/>
    </xf>
    <xf numFmtId="164" fontId="55" fillId="0" borderId="0" xfId="0" applyNumberFormat="1" applyFont="1" applyAlignment="1">
      <alignment horizontal="right"/>
    </xf>
    <xf numFmtId="10" fontId="55" fillId="0" borderId="0" xfId="0" applyNumberFormat="1" applyFont="1" applyAlignment="1">
      <alignment horizontal="right"/>
    </xf>
    <xf numFmtId="3" fontId="45" fillId="0" borderId="0" xfId="0" applyNumberFormat="1" applyFont="1" applyAlignment="1">
      <alignment horizontal="left"/>
    </xf>
    <xf numFmtId="10" fontId="12" fillId="0" borderId="0" xfId="0" applyNumberFormat="1" applyFont="1" applyAlignment="1">
      <alignment horizontal="right"/>
    </xf>
    <xf numFmtId="4" fontId="49" fillId="8" borderId="0" xfId="0" applyNumberFormat="1" applyFont="1" applyFill="1" applyAlignment="1">
      <alignment horizontal="right"/>
    </xf>
    <xf numFmtId="174" fontId="45" fillId="13" borderId="0" xfId="0" applyNumberFormat="1" applyFont="1" applyFill="1" applyAlignment="1">
      <alignment horizontal="right"/>
    </xf>
    <xf numFmtId="174" fontId="5" fillId="13" borderId="0" xfId="0" applyNumberFormat="1" applyFont="1" applyFill="1" applyAlignment="1">
      <alignment horizontal="right"/>
    </xf>
    <xf numFmtId="10" fontId="5" fillId="13" borderId="0" xfId="0" applyNumberFormat="1" applyFont="1" applyFill="1" applyAlignment="1">
      <alignment horizontal="right"/>
    </xf>
    <xf numFmtId="10" fontId="12" fillId="13" borderId="0" xfId="0" applyNumberFormat="1" applyFont="1" applyFill="1" applyAlignment="1">
      <alignment horizontal="right"/>
    </xf>
    <xf numFmtId="187" fontId="5" fillId="4" borderId="0" xfId="0" applyNumberFormat="1" applyFont="1" applyFill="1" applyAlignment="1">
      <alignment horizontal="right"/>
    </xf>
    <xf numFmtId="174" fontId="5" fillId="4" borderId="3" xfId="0" applyNumberFormat="1" applyFont="1" applyFill="1" applyBorder="1" applyAlignment="1">
      <alignment horizontal="right"/>
    </xf>
    <xf numFmtId="174" fontId="5" fillId="4" borderId="0" xfId="0" applyNumberFormat="1" applyFont="1" applyFill="1" applyAlignment="1">
      <alignment horizontal="right"/>
    </xf>
    <xf numFmtId="0" fontId="57" fillId="3" borderId="0" xfId="0" applyFont="1" applyFill="1" applyAlignment="1">
      <alignment horizontal="left" vertical="center"/>
    </xf>
    <xf numFmtId="0" fontId="10" fillId="2" borderId="0" xfId="0" applyFont="1" applyFill="1" applyAlignment="1">
      <alignment horizontal="center" vertical="center" wrapText="1"/>
    </xf>
    <xf numFmtId="0" fontId="53" fillId="0" borderId="0" xfId="0" applyFont="1" applyAlignment="1">
      <alignment horizontal="left" vertical="center"/>
    </xf>
    <xf numFmtId="0" fontId="59" fillId="0" borderId="0" xfId="0" applyFont="1" applyAlignment="1">
      <alignment horizontal="left" vertical="center" wrapText="1"/>
    </xf>
    <xf numFmtId="187" fontId="53" fillId="0" borderId="0" xfId="0" applyNumberFormat="1" applyFont="1" applyAlignment="1">
      <alignment horizontal="right" vertical="center"/>
    </xf>
    <xf numFmtId="187" fontId="52" fillId="0" borderId="0" xfId="0" applyNumberFormat="1" applyFont="1" applyAlignment="1">
      <alignment horizontal="right" vertical="center"/>
    </xf>
    <xf numFmtId="187" fontId="58" fillId="0" borderId="0" xfId="0" applyNumberFormat="1" applyFont="1" applyAlignment="1">
      <alignment horizontal="right" vertical="center"/>
    </xf>
    <xf numFmtId="174" fontId="53" fillId="0" borderId="0" xfId="0" applyNumberFormat="1" applyFont="1" applyAlignment="1">
      <alignment horizontal="right" vertical="center"/>
    </xf>
    <xf numFmtId="174" fontId="58" fillId="0" borderId="0" xfId="0" applyNumberFormat="1" applyFont="1" applyAlignment="1">
      <alignment horizontal="right" vertical="center"/>
    </xf>
    <xf numFmtId="182" fontId="53" fillId="0" borderId="0" xfId="0" applyNumberFormat="1" applyFont="1" applyAlignment="1">
      <alignment horizontal="right" vertical="center"/>
    </xf>
    <xf numFmtId="170" fontId="58" fillId="0" borderId="0" xfId="0" applyNumberFormat="1" applyFont="1" applyAlignment="1">
      <alignment horizontal="right" vertical="center"/>
    </xf>
    <xf numFmtId="164" fontId="53" fillId="0" borderId="0" xfId="0" applyNumberFormat="1" applyFont="1" applyAlignment="1">
      <alignment horizontal="right" vertical="center"/>
    </xf>
    <xf numFmtId="164" fontId="58" fillId="0" borderId="0" xfId="0" applyNumberFormat="1" applyFont="1" applyAlignment="1">
      <alignment horizontal="right" vertical="center"/>
    </xf>
    <xf numFmtId="168" fontId="53" fillId="0" borderId="0" xfId="0" applyNumberFormat="1" applyFont="1" applyAlignment="1">
      <alignment horizontal="right" vertical="center"/>
    </xf>
    <xf numFmtId="187" fontId="57" fillId="3" borderId="0" xfId="0" applyNumberFormat="1" applyFont="1" applyFill="1" applyAlignment="1">
      <alignment horizontal="right" vertical="center"/>
    </xf>
    <xf numFmtId="174" fontId="57" fillId="3" borderId="0" xfId="0" applyNumberFormat="1" applyFont="1" applyFill="1" applyAlignment="1">
      <alignment horizontal="right" vertical="center"/>
    </xf>
    <xf numFmtId="182" fontId="57" fillId="3" borderId="0" xfId="0" applyNumberFormat="1" applyFont="1" applyFill="1" applyAlignment="1">
      <alignment horizontal="right" vertical="center"/>
    </xf>
    <xf numFmtId="0" fontId="60" fillId="3" borderId="0" xfId="0" applyFont="1" applyFill="1" applyAlignment="1">
      <alignment horizontal="left" vertical="center"/>
    </xf>
    <xf numFmtId="0" fontId="53" fillId="0" borderId="0" xfId="0" applyFont="1" applyAlignment="1">
      <alignment horizontal="left" vertical="center" wrapText="1"/>
    </xf>
    <xf numFmtId="0" fontId="57" fillId="3" borderId="0" xfId="0" applyFont="1" applyFill="1" applyAlignment="1">
      <alignment horizontal="left" vertical="center" wrapText="1"/>
    </xf>
    <xf numFmtId="0" fontId="0" fillId="0" borderId="0" xfId="0" applyAlignment="1">
      <alignment wrapText="1"/>
    </xf>
    <xf numFmtId="0" fontId="3" fillId="2" borderId="0" xfId="0" applyFont="1" applyFill="1" applyAlignment="1">
      <alignment vertical="center"/>
    </xf>
    <xf numFmtId="0" fontId="3" fillId="9" borderId="0" xfId="0" applyFont="1" applyFill="1" applyAlignment="1">
      <alignment vertical="center"/>
    </xf>
    <xf numFmtId="0" fontId="3" fillId="0" borderId="7" xfId="0" applyFont="1" applyBorder="1"/>
    <xf numFmtId="0" fontId="33" fillId="0" borderId="8" xfId="0" applyFont="1" applyBorder="1"/>
    <xf numFmtId="0" fontId="33" fillId="0" borderId="9" xfId="0" applyFont="1" applyBorder="1" applyAlignment="1">
      <alignment horizontal="right"/>
    </xf>
    <xf numFmtId="0" fontId="10" fillId="0" borderId="7" xfId="0" applyFont="1" applyBorder="1" applyAlignment="1">
      <alignment wrapText="1"/>
    </xf>
    <xf numFmtId="0" fontId="3" fillId="0" borderId="9" xfId="0" applyFont="1" applyBorder="1"/>
    <xf numFmtId="0" fontId="33" fillId="0" borderId="0" xfId="0" applyFont="1"/>
    <xf numFmtId="0" fontId="4" fillId="0" borderId="1" xfId="0" applyFont="1" applyBorder="1"/>
    <xf numFmtId="0" fontId="4" fillId="0" borderId="16" xfId="0" applyFont="1" applyBorder="1"/>
    <xf numFmtId="0" fontId="4" fillId="0" borderId="6" xfId="0" applyFont="1" applyBorder="1"/>
    <xf numFmtId="0" fontId="4" fillId="0" borderId="18" xfId="0" applyFont="1" applyBorder="1"/>
    <xf numFmtId="0" fontId="3" fillId="0" borderId="11" xfId="0" applyFont="1" applyBorder="1"/>
    <xf numFmtId="0" fontId="4" fillId="0" borderId="20" xfId="0" applyFont="1" applyBorder="1"/>
    <xf numFmtId="0" fontId="4" fillId="0" borderId="21" xfId="0" applyFont="1" applyBorder="1"/>
    <xf numFmtId="0" fontId="27" fillId="11" borderId="2" xfId="0" applyFont="1" applyFill="1" applyBorder="1" applyAlignment="1">
      <alignment horizontal="center" vertical="top"/>
    </xf>
    <xf numFmtId="0" fontId="33" fillId="0" borderId="8" xfId="0" applyFont="1" applyBorder="1" applyAlignment="1">
      <alignment horizontal="right"/>
    </xf>
    <xf numFmtId="0" fontId="11" fillId="0" borderId="7" xfId="0" applyFont="1" applyBorder="1"/>
    <xf numFmtId="0" fontId="35" fillId="0" borderId="8" xfId="0" applyFont="1" applyBorder="1" applyAlignment="1">
      <alignment horizontal="right"/>
    </xf>
    <xf numFmtId="0" fontId="35" fillId="0" borderId="9" xfId="0" applyFont="1" applyBorder="1" applyAlignment="1">
      <alignment horizontal="right"/>
    </xf>
    <xf numFmtId="197" fontId="33" fillId="0" borderId="0" xfId="0" applyNumberFormat="1" applyFont="1"/>
    <xf numFmtId="197" fontId="33" fillId="0" borderId="11" xfId="0" applyNumberFormat="1" applyFont="1" applyBorder="1"/>
    <xf numFmtId="198" fontId="33" fillId="0" borderId="0" xfId="0" applyNumberFormat="1" applyFont="1"/>
    <xf numFmtId="197" fontId="34" fillId="0" borderId="0" xfId="0" applyNumberFormat="1" applyFont="1"/>
    <xf numFmtId="197" fontId="34" fillId="0" borderId="11" xfId="0" applyNumberFormat="1" applyFont="1" applyBorder="1"/>
    <xf numFmtId="0" fontId="11" fillId="0" borderId="10" xfId="0" applyFont="1" applyBorder="1"/>
    <xf numFmtId="0" fontId="35" fillId="0" borderId="0" xfId="0" applyFont="1" applyAlignment="1">
      <alignment horizontal="right"/>
    </xf>
    <xf numFmtId="0" fontId="35" fillId="0" borderId="11" xfId="0" applyFont="1" applyBorder="1" applyAlignment="1">
      <alignment horizontal="right"/>
    </xf>
    <xf numFmtId="197" fontId="33" fillId="0" borderId="0" xfId="0" applyNumberFormat="1" applyFont="1" applyAlignment="1">
      <alignment horizontal="right"/>
    </xf>
    <xf numFmtId="197" fontId="34" fillId="0" borderId="0" xfId="0" applyNumberFormat="1" applyFont="1" applyAlignment="1">
      <alignment horizontal="right"/>
    </xf>
    <xf numFmtId="174" fontId="35" fillId="0" borderId="0" xfId="0" applyNumberFormat="1" applyFont="1"/>
    <xf numFmtId="174" fontId="35" fillId="0" borderId="11" xfId="0" applyNumberFormat="1" applyFont="1" applyBorder="1"/>
    <xf numFmtId="199" fontId="33" fillId="0" borderId="0" xfId="0" applyNumberFormat="1" applyFont="1"/>
    <xf numFmtId="0" fontId="11" fillId="0" borderId="0" xfId="0" applyFont="1"/>
    <xf numFmtId="0" fontId="38" fillId="0" borderId="0" xfId="0" applyFont="1"/>
    <xf numFmtId="198" fontId="33" fillId="0" borderId="11" xfId="0" applyNumberFormat="1" applyFont="1" applyBorder="1"/>
    <xf numFmtId="0" fontId="9" fillId="0" borderId="0" xfId="0" applyFont="1" applyAlignment="1">
      <alignment horizontal="left"/>
    </xf>
    <xf numFmtId="0" fontId="9" fillId="0" borderId="0" xfId="0" applyFont="1" applyAlignment="1">
      <alignment horizontal="right"/>
    </xf>
    <xf numFmtId="199" fontId="34" fillId="0" borderId="0" xfId="0" applyNumberFormat="1" applyFont="1"/>
    <xf numFmtId="197" fontId="33" fillId="0" borderId="14" xfId="0" applyNumberFormat="1" applyFont="1" applyBorder="1"/>
    <xf numFmtId="0" fontId="9" fillId="0" borderId="13" xfId="0" applyFont="1" applyBorder="1" applyAlignment="1">
      <alignment horizontal="left"/>
    </xf>
    <xf numFmtId="0" fontId="9" fillId="0" borderId="13" xfId="0" applyFont="1" applyBorder="1" applyAlignment="1">
      <alignment horizontal="right"/>
    </xf>
    <xf numFmtId="184" fontId="33" fillId="0" borderId="13" xfId="0" applyNumberFormat="1" applyFont="1" applyBorder="1"/>
    <xf numFmtId="198" fontId="33" fillId="0" borderId="14" xfId="0" applyNumberFormat="1" applyFont="1" applyBorder="1"/>
    <xf numFmtId="3" fontId="54" fillId="0" borderId="0" xfId="0" applyNumberFormat="1" applyFont="1"/>
    <xf numFmtId="0" fontId="3" fillId="0" borderId="14" xfId="0" applyFont="1" applyBorder="1"/>
    <xf numFmtId="0" fontId="7" fillId="0" borderId="0" xfId="0" applyFont="1" applyAlignment="1">
      <alignment horizontal="left"/>
    </xf>
    <xf numFmtId="0" fontId="8" fillId="0" borderId="0" xfId="0" applyFont="1" applyAlignment="1">
      <alignment horizontal="center"/>
    </xf>
    <xf numFmtId="0" fontId="12" fillId="0" borderId="0" xfId="0" applyFont="1" applyAlignment="1">
      <alignment horizontal="right"/>
    </xf>
    <xf numFmtId="0" fontId="18" fillId="0" borderId="0" xfId="0" applyFont="1" applyAlignment="1">
      <alignment vertical="top"/>
    </xf>
    <xf numFmtId="0" fontId="31" fillId="0" borderId="0" xfId="0" applyFont="1" applyAlignment="1">
      <alignment horizontal="right" vertical="top"/>
    </xf>
    <xf numFmtId="198" fontId="31" fillId="0" borderId="0" xfId="0" applyNumberFormat="1" applyFont="1" applyAlignment="1">
      <alignment horizontal="left" vertical="top"/>
    </xf>
    <xf numFmtId="0" fontId="27" fillId="7" borderId="2" xfId="0" applyFont="1" applyFill="1" applyBorder="1" applyAlignment="1">
      <alignment horizontal="right" vertical="top"/>
    </xf>
    <xf numFmtId="0" fontId="29" fillId="0" borderId="2" xfId="0" applyFont="1" applyBorder="1" applyAlignment="1">
      <alignment horizontal="right" vertical="top"/>
    </xf>
    <xf numFmtId="3" fontId="31" fillId="0" borderId="0" xfId="0" applyNumberFormat="1" applyFont="1" applyAlignment="1">
      <alignment horizontal="right" vertical="top"/>
    </xf>
    <xf numFmtId="0" fontId="31" fillId="4" borderId="0" xfId="0" applyFont="1" applyFill="1" applyAlignment="1">
      <alignment horizontal="left" vertical="top"/>
    </xf>
    <xf numFmtId="0" fontId="31" fillId="4" borderId="0" xfId="0" applyFont="1" applyFill="1" applyAlignment="1">
      <alignment horizontal="right" vertical="top"/>
    </xf>
    <xf numFmtId="0" fontId="31" fillId="4" borderId="0" xfId="0" applyFont="1" applyFill="1" applyAlignment="1">
      <alignment vertical="top"/>
    </xf>
    <xf numFmtId="0" fontId="27" fillId="0" borderId="0" xfId="0" applyFont="1" applyAlignment="1">
      <alignment horizontal="right" vertical="top"/>
    </xf>
    <xf numFmtId="0" fontId="29" fillId="0" borderId="0" xfId="0" applyFont="1" applyAlignment="1">
      <alignment horizontal="right" vertical="top"/>
    </xf>
    <xf numFmtId="0" fontId="3" fillId="2" borderId="0" xfId="0" applyFont="1" applyFill="1" applyAlignment="1">
      <alignment horizontal="center" vertical="center"/>
    </xf>
    <xf numFmtId="0" fontId="5" fillId="2" borderId="0" xfId="0" applyFont="1" applyFill="1"/>
    <xf numFmtId="0" fontId="5" fillId="2" borderId="0" xfId="0" applyFont="1" applyFill="1" applyAlignment="1">
      <alignment horizontal="right"/>
    </xf>
    <xf numFmtId="0" fontId="5" fillId="4" borderId="3" xfId="0" applyFont="1" applyFill="1" applyBorder="1" applyAlignment="1">
      <alignment horizontal="left"/>
    </xf>
    <xf numFmtId="0" fontId="5" fillId="4" borderId="3" xfId="0" applyFont="1" applyFill="1" applyBorder="1" applyAlignment="1">
      <alignment horizontal="right"/>
    </xf>
    <xf numFmtId="0" fontId="1" fillId="2" borderId="13" xfId="0" applyFont="1" applyFill="1" applyBorder="1"/>
    <xf numFmtId="0" fontId="0" fillId="2" borderId="13" xfId="0" applyFill="1" applyBorder="1"/>
    <xf numFmtId="0" fontId="18" fillId="2" borderId="13" xfId="0" applyFont="1" applyFill="1" applyBorder="1" applyAlignment="1">
      <alignment horizontal="right"/>
    </xf>
    <xf numFmtId="0" fontId="4" fillId="8" borderId="14" xfId="0" applyFont="1" applyFill="1" applyBorder="1" applyAlignment="1">
      <alignment horizontal="right"/>
    </xf>
    <xf numFmtId="0" fontId="5" fillId="10" borderId="0" xfId="0" applyFont="1" applyFill="1"/>
    <xf numFmtId="0" fontId="5" fillId="10" borderId="0" xfId="0" applyFont="1" applyFill="1" applyAlignment="1">
      <alignment horizontal="right"/>
    </xf>
    <xf numFmtId="0" fontId="5" fillId="8" borderId="0" xfId="0" applyFont="1" applyFill="1"/>
    <xf numFmtId="0" fontId="4" fillId="8" borderId="0" xfId="0" applyFont="1" applyFill="1" applyAlignment="1">
      <alignment horizontal="right"/>
    </xf>
    <xf numFmtId="0" fontId="6" fillId="8" borderId="0" xfId="0" applyFont="1" applyFill="1" applyAlignment="1">
      <alignment horizontal="right"/>
    </xf>
    <xf numFmtId="0" fontId="5" fillId="8" borderId="0" xfId="0" applyFont="1" applyFill="1" applyAlignment="1">
      <alignment horizontal="right"/>
    </xf>
    <xf numFmtId="174" fontId="6" fillId="8" borderId="0" xfId="0" applyNumberFormat="1" applyFont="1" applyFill="1" applyAlignment="1">
      <alignment horizontal="right"/>
    </xf>
    <xf numFmtId="174" fontId="53" fillId="8" borderId="0" xfId="0" applyNumberFormat="1" applyFont="1" applyFill="1" applyAlignment="1">
      <alignment horizontal="right"/>
    </xf>
    <xf numFmtId="0" fontId="5" fillId="5" borderId="0" xfId="0" applyFont="1" applyFill="1" applyAlignment="1">
      <alignment horizontal="left"/>
    </xf>
    <xf numFmtId="0" fontId="5" fillId="5" borderId="0" xfId="0" applyFont="1" applyFill="1" applyAlignment="1">
      <alignment horizontal="right"/>
    </xf>
    <xf numFmtId="0" fontId="20" fillId="4" borderId="0" xfId="0" applyFont="1" applyFill="1" applyAlignment="1">
      <alignment horizontal="left"/>
    </xf>
    <xf numFmtId="0" fontId="3" fillId="3" borderId="0" xfId="0" applyFont="1" applyFill="1" applyAlignment="1">
      <alignment horizontal="left"/>
    </xf>
    <xf numFmtId="0" fontId="3" fillId="3" borderId="0" xfId="0" applyFont="1" applyFill="1"/>
    <xf numFmtId="0" fontId="38" fillId="3" borderId="0" xfId="0" applyFont="1" applyFill="1"/>
    <xf numFmtId="0" fontId="12" fillId="4" borderId="0" xfId="0" applyFont="1" applyFill="1" applyAlignment="1">
      <alignment horizontal="left"/>
    </xf>
    <xf numFmtId="0" fontId="12" fillId="4" borderId="0" xfId="0" applyFont="1" applyFill="1" applyAlignment="1">
      <alignment horizontal="right"/>
    </xf>
    <xf numFmtId="0" fontId="11" fillId="8" borderId="0" xfId="0" applyFont="1" applyFill="1"/>
    <xf numFmtId="0" fontId="12" fillId="8" borderId="0" xfId="0" applyFont="1" applyFill="1" applyAlignment="1">
      <alignment horizontal="right"/>
    </xf>
    <xf numFmtId="0" fontId="53" fillId="8" borderId="0" xfId="0" applyFont="1" applyFill="1" applyAlignment="1">
      <alignment horizontal="left"/>
    </xf>
    <xf numFmtId="0" fontId="13" fillId="8" borderId="0" xfId="0" applyFont="1" applyFill="1" applyAlignment="1">
      <alignment horizontal="right"/>
    </xf>
    <xf numFmtId="199" fontId="5" fillId="8" borderId="0" xfId="0" applyNumberFormat="1" applyFont="1" applyFill="1" applyAlignment="1">
      <alignment horizontal="right"/>
    </xf>
    <xf numFmtId="197" fontId="13" fillId="8" borderId="0" xfId="0" applyNumberFormat="1" applyFont="1" applyFill="1" applyAlignment="1">
      <alignment horizontal="right"/>
    </xf>
    <xf numFmtId="197" fontId="5" fillId="0" borderId="0" xfId="0" applyNumberFormat="1" applyFont="1" applyAlignment="1">
      <alignment horizontal="right"/>
    </xf>
    <xf numFmtId="197" fontId="5" fillId="4" borderId="0" xfId="0" applyNumberFormat="1" applyFont="1" applyFill="1" applyAlignment="1">
      <alignment horizontal="right"/>
    </xf>
    <xf numFmtId="0" fontId="52" fillId="8" borderId="0" xfId="0" applyFont="1" applyFill="1" applyAlignment="1">
      <alignment horizontal="left"/>
    </xf>
    <xf numFmtId="197" fontId="12" fillId="8" borderId="0" xfId="0" applyNumberFormat="1" applyFont="1" applyFill="1" applyAlignment="1">
      <alignment horizontal="right"/>
    </xf>
    <xf numFmtId="197" fontId="22" fillId="8" borderId="0" xfId="0" applyNumberFormat="1" applyFont="1" applyFill="1" applyAlignment="1">
      <alignment horizontal="right"/>
    </xf>
    <xf numFmtId="197" fontId="21" fillId="0" borderId="0" xfId="0" applyNumberFormat="1" applyFont="1" applyAlignment="1">
      <alignment horizontal="right"/>
    </xf>
    <xf numFmtId="0" fontId="6" fillId="8" borderId="0" xfId="0" applyFont="1" applyFill="1"/>
    <xf numFmtId="197" fontId="9" fillId="8" borderId="0" xfId="0" applyNumberFormat="1" applyFont="1" applyFill="1" applyAlignment="1">
      <alignment horizontal="right"/>
    </xf>
    <xf numFmtId="0" fontId="4" fillId="8" borderId="0" xfId="0" applyFont="1" applyFill="1"/>
    <xf numFmtId="0" fontId="4" fillId="8" borderId="0" xfId="0" applyFont="1" applyFill="1" applyAlignment="1">
      <alignment horizontal="left"/>
    </xf>
    <xf numFmtId="0" fontId="6" fillId="8" borderId="0" xfId="0" applyFont="1" applyFill="1" applyAlignment="1">
      <alignment horizontal="left"/>
    </xf>
    <xf numFmtId="199" fontId="12" fillId="8" borderId="0" xfId="0" applyNumberFormat="1" applyFont="1" applyFill="1" applyAlignment="1">
      <alignment horizontal="right"/>
    </xf>
    <xf numFmtId="0" fontId="9" fillId="8" borderId="0" xfId="0" applyFont="1" applyFill="1" applyAlignment="1">
      <alignment horizontal="right"/>
    </xf>
    <xf numFmtId="199" fontId="9" fillId="8" borderId="0" xfId="0" applyNumberFormat="1" applyFont="1" applyFill="1" applyAlignment="1">
      <alignment horizontal="right"/>
    </xf>
    <xf numFmtId="197" fontId="9" fillId="0" borderId="0" xfId="0" applyNumberFormat="1" applyFont="1" applyAlignment="1">
      <alignment horizontal="right"/>
    </xf>
    <xf numFmtId="0" fontId="9" fillId="4" borderId="0" xfId="0" applyFont="1" applyFill="1" applyAlignment="1">
      <alignment horizontal="left"/>
    </xf>
    <xf numFmtId="0" fontId="9" fillId="4" borderId="0" xfId="0" applyFont="1" applyFill="1" applyAlignment="1">
      <alignment horizontal="right"/>
    </xf>
    <xf numFmtId="199" fontId="14" fillId="8" borderId="0" xfId="0" applyNumberFormat="1" applyFont="1" applyFill="1" applyAlignment="1">
      <alignment horizontal="right"/>
    </xf>
    <xf numFmtId="197" fontId="14" fillId="8" borderId="0" xfId="0" applyNumberFormat="1" applyFont="1" applyFill="1" applyAlignment="1">
      <alignment horizontal="right"/>
    </xf>
    <xf numFmtId="197" fontId="12" fillId="0" borderId="0" xfId="0" applyNumberFormat="1" applyFont="1" applyAlignment="1">
      <alignment horizontal="right"/>
    </xf>
    <xf numFmtId="0" fontId="40" fillId="0" borderId="0" xfId="0" applyFont="1"/>
    <xf numFmtId="0" fontId="24" fillId="8" borderId="1" xfId="0" applyFont="1" applyFill="1" applyBorder="1"/>
    <xf numFmtId="199" fontId="26" fillId="8" borderId="1" xfId="0" applyNumberFormat="1" applyFont="1" applyFill="1" applyBorder="1" applyAlignment="1">
      <alignment horizontal="right"/>
    </xf>
    <xf numFmtId="0" fontId="20" fillId="0" borderId="0" xfId="0" applyFont="1" applyAlignment="1">
      <alignment horizontal="right"/>
    </xf>
    <xf numFmtId="197" fontId="20" fillId="0" borderId="0" xfId="0" applyNumberFormat="1" applyFont="1" applyAlignment="1">
      <alignment horizontal="right"/>
    </xf>
    <xf numFmtId="0" fontId="20" fillId="4" borderId="0" xfId="0" applyFont="1" applyFill="1"/>
    <xf numFmtId="0" fontId="19" fillId="0" borderId="0" xfId="0" applyFont="1"/>
    <xf numFmtId="0" fontId="3" fillId="8" borderId="0" xfId="0" applyFont="1" applyFill="1" applyAlignment="1">
      <alignment horizontal="left"/>
    </xf>
    <xf numFmtId="197" fontId="5" fillId="8" borderId="0" xfId="0" applyNumberFormat="1" applyFont="1" applyFill="1" applyAlignment="1">
      <alignment horizontal="right"/>
    </xf>
    <xf numFmtId="0" fontId="17" fillId="0" borderId="0" xfId="0" applyFont="1" applyAlignment="1">
      <alignment horizontal="right"/>
    </xf>
    <xf numFmtId="197" fontId="17" fillId="0" borderId="0" xfId="0" applyNumberFormat="1" applyFont="1"/>
    <xf numFmtId="3" fontId="1" fillId="0" borderId="0" xfId="0" applyNumberFormat="1" applyFont="1"/>
    <xf numFmtId="0" fontId="11" fillId="8" borderId="0" xfId="0" applyFont="1" applyFill="1" applyAlignment="1">
      <alignment horizontal="left"/>
    </xf>
    <xf numFmtId="0" fontId="49" fillId="8" borderId="0" xfId="0" applyFont="1" applyFill="1" applyAlignment="1">
      <alignment horizontal="right"/>
    </xf>
    <xf numFmtId="0" fontId="45" fillId="8" borderId="0" xfId="0" applyFont="1" applyFill="1" applyAlignment="1">
      <alignment horizontal="right"/>
    </xf>
    <xf numFmtId="0" fontId="27" fillId="7" borderId="2" xfId="0" applyFont="1" applyFill="1" applyBorder="1" applyAlignment="1">
      <alignment horizontal="center" vertical="top"/>
    </xf>
    <xf numFmtId="0" fontId="29" fillId="0" borderId="2" xfId="0" applyFont="1" applyBorder="1" applyAlignment="1">
      <alignment horizontal="center" vertical="top"/>
    </xf>
    <xf numFmtId="0" fontId="20" fillId="8" borderId="0" xfId="0" applyFont="1" applyFill="1" applyAlignment="1">
      <alignment horizontal="right"/>
    </xf>
    <xf numFmtId="199" fontId="20" fillId="8" borderId="0" xfId="0" applyNumberFormat="1" applyFont="1" applyFill="1" applyAlignment="1">
      <alignment horizontal="right"/>
    </xf>
    <xf numFmtId="0" fontId="5" fillId="3" borderId="0" xfId="0" applyFont="1" applyFill="1"/>
    <xf numFmtId="3" fontId="40" fillId="0" borderId="0" xfId="0" applyNumberFormat="1" applyFont="1"/>
    <xf numFmtId="197" fontId="5" fillId="0" borderId="0" xfId="0" applyNumberFormat="1" applyFont="1"/>
    <xf numFmtId="0" fontId="3" fillId="8" borderId="0" xfId="0" applyFont="1" applyFill="1" applyAlignment="1">
      <alignment horizontal="right"/>
    </xf>
    <xf numFmtId="174" fontId="4" fillId="8" borderId="0" xfId="0" applyNumberFormat="1" applyFont="1" applyFill="1" applyAlignment="1">
      <alignment horizontal="right"/>
    </xf>
    <xf numFmtId="174" fontId="13" fillId="8" borderId="0" xfId="0" applyNumberFormat="1" applyFont="1" applyFill="1"/>
    <xf numFmtId="174" fontId="51" fillId="4" borderId="0" xfId="0" applyNumberFormat="1" applyFont="1" applyFill="1"/>
    <xf numFmtId="174" fontId="5" fillId="4" borderId="0" xfId="0" applyNumberFormat="1" applyFont="1" applyFill="1"/>
    <xf numFmtId="0" fontId="0" fillId="4" borderId="0" xfId="0" applyFill="1" applyAlignment="1">
      <alignment horizontal="left"/>
    </xf>
    <xf numFmtId="0" fontId="0" fillId="4" borderId="0" xfId="0" applyFill="1" applyAlignment="1">
      <alignment horizontal="right"/>
    </xf>
    <xf numFmtId="0" fontId="0" fillId="4" borderId="0" xfId="0" applyFill="1"/>
    <xf numFmtId="0" fontId="14" fillId="8" borderId="0" xfId="0" applyFont="1" applyFill="1" applyAlignment="1">
      <alignment horizontal="left"/>
    </xf>
    <xf numFmtId="0" fontId="14" fillId="8" borderId="0" xfId="0" applyFont="1" applyFill="1" applyAlignment="1">
      <alignment horizontal="right"/>
    </xf>
    <xf numFmtId="0" fontId="13" fillId="8" borderId="0" xfId="0" applyFont="1" applyFill="1" applyAlignment="1">
      <alignment horizontal="left"/>
    </xf>
    <xf numFmtId="197" fontId="5" fillId="4" borderId="0" xfId="0" applyNumberFormat="1" applyFont="1" applyFill="1" applyAlignment="1">
      <alignment horizontal="left"/>
    </xf>
    <xf numFmtId="197" fontId="5" fillId="4" borderId="0" xfId="0" applyNumberFormat="1" applyFont="1" applyFill="1"/>
    <xf numFmtId="197" fontId="12" fillId="4" borderId="0" xfId="0" applyNumberFormat="1" applyFont="1" applyFill="1" applyAlignment="1">
      <alignment horizontal="right"/>
    </xf>
    <xf numFmtId="197" fontId="21" fillId="4" borderId="0" xfId="0" applyNumberFormat="1" applyFont="1" applyFill="1"/>
    <xf numFmtId="197" fontId="21" fillId="8" borderId="0" xfId="0" applyNumberFormat="1" applyFont="1" applyFill="1" applyAlignment="1">
      <alignment horizontal="right"/>
    </xf>
    <xf numFmtId="0" fontId="9" fillId="8" borderId="0" xfId="0" applyFont="1" applyFill="1" applyAlignment="1">
      <alignment horizontal="left"/>
    </xf>
    <xf numFmtId="174" fontId="45" fillId="8" borderId="0" xfId="0" applyNumberFormat="1" applyFont="1" applyFill="1" applyAlignment="1">
      <alignment horizontal="right"/>
    </xf>
    <xf numFmtId="197" fontId="30" fillId="8" borderId="0" xfId="0" applyNumberFormat="1" applyFont="1" applyFill="1" applyAlignment="1">
      <alignment horizontal="right"/>
    </xf>
    <xf numFmtId="0" fontId="41" fillId="0" borderId="0" xfId="0" applyFont="1"/>
    <xf numFmtId="0" fontId="25" fillId="8" borderId="0" xfId="0" applyFont="1" applyFill="1" applyAlignment="1">
      <alignment horizontal="right"/>
    </xf>
    <xf numFmtId="0" fontId="10" fillId="0" borderId="0" xfId="0" applyFont="1" applyAlignment="1">
      <alignment horizontal="right"/>
    </xf>
    <xf numFmtId="0" fontId="10" fillId="4" borderId="0" xfId="0" applyFont="1" applyFill="1" applyAlignment="1">
      <alignment horizontal="left"/>
    </xf>
    <xf numFmtId="0" fontId="10" fillId="4" borderId="0" xfId="0" applyFont="1" applyFill="1" applyAlignment="1">
      <alignment horizontal="right"/>
    </xf>
    <xf numFmtId="0" fontId="10" fillId="4" borderId="0" xfId="0" applyFont="1" applyFill="1"/>
    <xf numFmtId="0" fontId="4" fillId="3" borderId="0" xfId="0" applyFont="1" applyFill="1"/>
    <xf numFmtId="0" fontId="22" fillId="8" borderId="0" xfId="0" applyFont="1" applyFill="1" applyAlignment="1">
      <alignment horizontal="right"/>
    </xf>
    <xf numFmtId="0" fontId="31" fillId="4" borderId="0" xfId="0" applyFont="1" applyFill="1" applyAlignment="1">
      <alignment horizontal="left"/>
    </xf>
    <xf numFmtId="0" fontId="31" fillId="4" borderId="0" xfId="0" applyFont="1" applyFill="1" applyAlignment="1">
      <alignment horizontal="right"/>
    </xf>
    <xf numFmtId="0" fontId="24" fillId="8" borderId="0" xfId="0" applyFont="1" applyFill="1" applyAlignment="1">
      <alignment horizontal="left"/>
    </xf>
    <xf numFmtId="197" fontId="20" fillId="8" borderId="0" xfId="0" applyNumberFormat="1" applyFont="1" applyFill="1" applyAlignment="1">
      <alignment horizontal="right"/>
    </xf>
    <xf numFmtId="0" fontId="23" fillId="0" borderId="0" xfId="0" applyFont="1" applyAlignment="1">
      <alignment horizontal="right"/>
    </xf>
    <xf numFmtId="0" fontId="23" fillId="4" borderId="0" xfId="0" applyFont="1" applyFill="1" applyAlignment="1">
      <alignment horizontal="left"/>
    </xf>
    <xf numFmtId="0" fontId="23" fillId="4" borderId="0" xfId="0" applyFont="1" applyFill="1" applyAlignment="1">
      <alignment horizontal="right"/>
    </xf>
    <xf numFmtId="0" fontId="23" fillId="4" borderId="0" xfId="0" applyFont="1" applyFill="1"/>
    <xf numFmtId="0" fontId="0" fillId="0" borderId="0" xfId="0" applyAlignment="1">
      <alignment horizontal="left"/>
    </xf>
    <xf numFmtId="0" fontId="11" fillId="8" borderId="0" xfId="0" applyFont="1" applyFill="1" applyAlignment="1">
      <alignment horizontal="right"/>
    </xf>
    <xf numFmtId="197" fontId="21" fillId="0" borderId="0" xfId="0" applyNumberFormat="1" applyFont="1"/>
    <xf numFmtId="0" fontId="3" fillId="6" borderId="0" xfId="0" applyFont="1" applyFill="1"/>
    <xf numFmtId="0" fontId="3" fillId="6" borderId="0" xfId="0" applyFont="1" applyFill="1" applyAlignment="1">
      <alignment horizontal="right"/>
    </xf>
    <xf numFmtId="0" fontId="52" fillId="6" borderId="0" xfId="0" applyFont="1" applyFill="1" applyAlignment="1">
      <alignment horizontal="left"/>
    </xf>
    <xf numFmtId="0" fontId="3" fillId="6" borderId="0" xfId="0" applyFont="1" applyFill="1" applyAlignment="1">
      <alignment horizontal="left"/>
    </xf>
    <xf numFmtId="0" fontId="31" fillId="6" borderId="0" xfId="0" applyFont="1" applyFill="1" applyAlignment="1">
      <alignment horizontal="right"/>
    </xf>
    <xf numFmtId="0" fontId="5" fillId="8" borderId="0" xfId="0" applyFont="1" applyFill="1" applyAlignment="1">
      <alignment horizontal="left"/>
    </xf>
    <xf numFmtId="0" fontId="50" fillId="0" borderId="0" xfId="0" applyFont="1" applyAlignment="1">
      <alignment horizontal="left"/>
    </xf>
    <xf numFmtId="0" fontId="49" fillId="0" borderId="0" xfId="0" applyFont="1" applyAlignment="1">
      <alignment horizontal="left"/>
    </xf>
    <xf numFmtId="197" fontId="45" fillId="0" borderId="0" xfId="0" applyNumberFormat="1" applyFont="1" applyAlignment="1">
      <alignment horizontal="right"/>
    </xf>
    <xf numFmtId="0" fontId="17" fillId="8" borderId="0" xfId="0" applyFont="1" applyFill="1" applyAlignment="1">
      <alignment horizontal="right"/>
    </xf>
    <xf numFmtId="197" fontId="28" fillId="8" borderId="0" xfId="0" applyNumberFormat="1" applyFont="1" applyFill="1" applyAlignment="1">
      <alignment horizontal="right"/>
    </xf>
    <xf numFmtId="0" fontId="45" fillId="0" borderId="0" xfId="0" applyFont="1" applyAlignment="1">
      <alignment horizontal="left"/>
    </xf>
    <xf numFmtId="0" fontId="55" fillId="0" borderId="0" xfId="0" applyFont="1" applyAlignment="1">
      <alignment horizontal="left"/>
    </xf>
    <xf numFmtId="197" fontId="55" fillId="0" borderId="0" xfId="0" applyNumberFormat="1" applyFont="1" applyAlignment="1">
      <alignment horizontal="right"/>
    </xf>
    <xf numFmtId="0" fontId="49" fillId="0" borderId="0" xfId="0" applyFont="1" applyAlignment="1">
      <alignment horizontal="right"/>
    </xf>
    <xf numFmtId="197" fontId="49" fillId="0" borderId="0" xfId="0" applyNumberFormat="1" applyFont="1" applyAlignment="1">
      <alignment horizontal="right"/>
    </xf>
    <xf numFmtId="0" fontId="56" fillId="0" borderId="0" xfId="0" applyFont="1" applyAlignment="1">
      <alignment horizontal="right"/>
    </xf>
    <xf numFmtId="0" fontId="12" fillId="8" borderId="0" xfId="0" applyFont="1" applyFill="1" applyAlignment="1">
      <alignment horizontal="center"/>
    </xf>
    <xf numFmtId="0" fontId="3" fillId="6" borderId="22" xfId="0" applyFont="1" applyFill="1" applyBorder="1" applyAlignment="1">
      <alignment horizontal="right"/>
    </xf>
    <xf numFmtId="0" fontId="5" fillId="8" borderId="22" xfId="0" applyFont="1" applyFill="1" applyBorder="1" applyAlignment="1">
      <alignment horizontal="left"/>
    </xf>
    <xf numFmtId="0" fontId="21" fillId="8" borderId="0" xfId="0" applyFont="1" applyFill="1" applyAlignment="1">
      <alignment horizontal="right"/>
    </xf>
    <xf numFmtId="199" fontId="21" fillId="8" borderId="0" xfId="0" applyNumberFormat="1" applyFont="1" applyFill="1" applyAlignment="1">
      <alignment horizontal="right"/>
    </xf>
    <xf numFmtId="0" fontId="5" fillId="8" borderId="22" xfId="0" applyFont="1" applyFill="1" applyBorder="1" applyAlignment="1">
      <alignment horizontal="right"/>
    </xf>
    <xf numFmtId="0" fontId="12" fillId="8" borderId="22" xfId="0" applyFont="1" applyFill="1" applyBorder="1" applyAlignment="1">
      <alignment horizontal="right"/>
    </xf>
    <xf numFmtId="197" fontId="20" fillId="8" borderId="22" xfId="0" applyNumberFormat="1" applyFont="1" applyFill="1" applyBorder="1" applyAlignment="1">
      <alignment horizontal="right"/>
    </xf>
    <xf numFmtId="0" fontId="20" fillId="10" borderId="0" xfId="0" applyFont="1" applyFill="1"/>
    <xf numFmtId="0" fontId="20" fillId="10" borderId="0" xfId="0" applyFont="1" applyFill="1" applyAlignment="1">
      <alignment horizontal="right"/>
    </xf>
    <xf numFmtId="0" fontId="20" fillId="4" borderId="0" xfId="0" applyFont="1" applyFill="1" applyAlignment="1">
      <alignment horizontal="right"/>
    </xf>
    <xf numFmtId="3" fontId="5" fillId="2" borderId="0" xfId="0" applyNumberFormat="1" applyFont="1" applyFill="1" applyAlignment="1">
      <alignment horizontal="right"/>
    </xf>
    <xf numFmtId="0" fontId="5" fillId="6" borderId="0" xfId="0" applyFont="1" applyFill="1" applyAlignment="1">
      <alignment horizontal="right"/>
    </xf>
    <xf numFmtId="0" fontId="32" fillId="4" borderId="0" xfId="0" applyFont="1" applyFill="1" applyAlignment="1">
      <alignment horizontal="left"/>
    </xf>
    <xf numFmtId="197" fontId="5" fillId="4" borderId="3" xfId="0" applyNumberFormat="1" applyFont="1" applyFill="1" applyBorder="1" applyAlignment="1">
      <alignment horizontal="right"/>
    </xf>
    <xf numFmtId="0" fontId="17" fillId="4" borderId="3" xfId="0" applyFont="1" applyFill="1" applyBorder="1" applyAlignment="1">
      <alignment horizontal="right"/>
    </xf>
    <xf numFmtId="197" fontId="17" fillId="4" borderId="3" xfId="0" applyNumberFormat="1" applyFont="1" applyFill="1" applyBorder="1" applyAlignment="1">
      <alignment horizontal="right"/>
    </xf>
    <xf numFmtId="198" fontId="20" fillId="8" borderId="0" xfId="0" applyNumberFormat="1" applyFont="1" applyFill="1" applyAlignment="1">
      <alignment horizontal="right"/>
    </xf>
    <xf numFmtId="0" fontId="20" fillId="4" borderId="4" xfId="0" applyFont="1" applyFill="1" applyBorder="1" applyAlignment="1">
      <alignment horizontal="left"/>
    </xf>
    <xf numFmtId="0" fontId="5" fillId="4" borderId="4" xfId="0" applyFont="1" applyFill="1" applyBorder="1" applyAlignment="1">
      <alignment horizontal="right"/>
    </xf>
    <xf numFmtId="197" fontId="5" fillId="4" borderId="4" xfId="0" applyNumberFormat="1" applyFont="1" applyFill="1" applyBorder="1" applyAlignment="1">
      <alignment horizontal="right"/>
    </xf>
    <xf numFmtId="0" fontId="45" fillId="8" borderId="0" xfId="0" applyFont="1" applyFill="1" applyAlignment="1">
      <alignment horizontal="left"/>
    </xf>
    <xf numFmtId="198" fontId="5" fillId="13" borderId="0" xfId="0" applyNumberFormat="1" applyFont="1" applyFill="1" applyAlignment="1">
      <alignment horizontal="right"/>
    </xf>
    <xf numFmtId="0" fontId="5" fillId="4" borderId="4" xfId="0" applyFont="1" applyFill="1" applyBorder="1" applyAlignment="1">
      <alignment horizontal="left"/>
    </xf>
    <xf numFmtId="198" fontId="5" fillId="8" borderId="0" xfId="0" applyNumberFormat="1" applyFont="1" applyFill="1" applyAlignment="1">
      <alignment horizontal="right"/>
    </xf>
    <xf numFmtId="0" fontId="5" fillId="0" borderId="23" xfId="0" applyFont="1" applyBorder="1"/>
    <xf numFmtId="0" fontId="5" fillId="0" borderId="23" xfId="0" applyFont="1" applyBorder="1" applyAlignment="1">
      <alignment horizontal="right"/>
    </xf>
    <xf numFmtId="0" fontId="10" fillId="8" borderId="5" xfId="0" applyFont="1" applyFill="1" applyBorder="1"/>
    <xf numFmtId="0" fontId="9" fillId="8" borderId="0" xfId="0" applyFont="1" applyFill="1"/>
    <xf numFmtId="0" fontId="13" fillId="8" borderId="0" xfId="0" applyFont="1" applyFill="1"/>
    <xf numFmtId="174" fontId="5" fillId="8" borderId="0" xfId="0" applyNumberFormat="1" applyFont="1" applyFill="1"/>
    <xf numFmtId="197" fontId="5" fillId="8" borderId="0" xfId="0" applyNumberFormat="1" applyFont="1" applyFill="1"/>
    <xf numFmtId="0" fontId="12" fillId="8" borderId="0" xfId="0" applyFont="1" applyFill="1" applyAlignment="1">
      <alignment horizontal="left"/>
    </xf>
    <xf numFmtId="0" fontId="5" fillId="13" borderId="0" xfId="0" applyFont="1" applyFill="1"/>
    <xf numFmtId="0" fontId="45" fillId="13" borderId="0" xfId="0" applyFont="1" applyFill="1" applyAlignment="1">
      <alignment horizontal="left"/>
    </xf>
    <xf numFmtId="0" fontId="20" fillId="4" borderId="3" xfId="0" applyFont="1" applyFill="1" applyBorder="1" applyAlignment="1">
      <alignment horizontal="left"/>
    </xf>
    <xf numFmtId="198" fontId="12" fillId="13" borderId="0" xfId="0" applyNumberFormat="1" applyFont="1" applyFill="1" applyAlignment="1">
      <alignment horizontal="right"/>
    </xf>
    <xf numFmtId="0" fontId="3" fillId="8" borderId="4" xfId="0" applyFont="1" applyFill="1" applyBorder="1"/>
    <xf numFmtId="0" fontId="5" fillId="8" borderId="4" xfId="0" applyFont="1" applyFill="1" applyBorder="1"/>
    <xf numFmtId="198" fontId="5" fillId="8" borderId="4" xfId="0" applyNumberFormat="1" applyFont="1" applyFill="1" applyBorder="1"/>
    <xf numFmtId="174" fontId="5" fillId="8" borderId="4" xfId="0" applyNumberFormat="1" applyFont="1" applyFill="1" applyBorder="1" applyAlignment="1">
      <alignment horizontal="right"/>
    </xf>
    <xf numFmtId="197" fontId="5" fillId="8" borderId="4" xfId="0" applyNumberFormat="1" applyFont="1" applyFill="1" applyBorder="1"/>
    <xf numFmtId="197" fontId="5" fillId="0" borderId="23" xfId="0" applyNumberFormat="1" applyFont="1" applyBorder="1" applyAlignment="1">
      <alignment horizontal="right"/>
    </xf>
    <xf numFmtId="198" fontId="12" fillId="8" borderId="0" xfId="0" applyNumberFormat="1" applyFont="1" applyFill="1" applyAlignment="1">
      <alignment horizontal="right"/>
    </xf>
    <xf numFmtId="198" fontId="5" fillId="8" borderId="4" xfId="0" applyNumberFormat="1" applyFont="1" applyFill="1" applyBorder="1" applyAlignment="1">
      <alignment horizontal="right"/>
    </xf>
    <xf numFmtId="0" fontId="32" fillId="10" borderId="0" xfId="0" applyFont="1" applyFill="1" applyAlignment="1">
      <alignment horizontal="right"/>
    </xf>
    <xf numFmtId="0" fontId="11" fillId="8" borderId="22" xfId="0" applyFont="1" applyFill="1" applyBorder="1"/>
    <xf numFmtId="0" fontId="6" fillId="8" borderId="22" xfId="0" applyFont="1" applyFill="1" applyBorder="1" applyAlignment="1">
      <alignment horizontal="right"/>
    </xf>
    <xf numFmtId="198" fontId="3" fillId="8" borderId="0" xfId="0" applyNumberFormat="1" applyFont="1" applyFill="1" applyAlignment="1">
      <alignment horizontal="left"/>
    </xf>
    <xf numFmtId="0" fontId="3" fillId="8" borderId="22" xfId="0" applyFont="1" applyFill="1" applyBorder="1"/>
    <xf numFmtId="0" fontId="3" fillId="8" borderId="22" xfId="0" applyFont="1" applyFill="1" applyBorder="1" applyAlignment="1">
      <alignment horizontal="right"/>
    </xf>
    <xf numFmtId="0" fontId="61" fillId="0" borderId="0" xfId="1"/>
    <xf numFmtId="0" fontId="63" fillId="0" borderId="0" xfId="1" applyFont="1" applyAlignment="1">
      <alignment vertical="center" wrapText="1"/>
    </xf>
    <xf numFmtId="0" fontId="76" fillId="3" borderId="0" xfId="0" applyFont="1" applyFill="1" applyAlignment="1">
      <alignment horizontal="left" vertical="center"/>
    </xf>
    <xf numFmtId="187" fontId="58" fillId="0" borderId="0" xfId="0" applyNumberFormat="1" applyFont="1" applyAlignment="1">
      <alignment horizontal="right" vertical="center" wrapText="1"/>
    </xf>
    <xf numFmtId="0" fontId="88" fillId="0" borderId="0" xfId="0" applyFont="1" applyAlignment="1">
      <alignment horizontal="left" vertical="center" wrapText="1"/>
    </xf>
    <xf numFmtId="0" fontId="89" fillId="2" borderId="0" xfId="0" applyFont="1" applyFill="1" applyAlignment="1">
      <alignment horizontal="center" vertical="center" wrapText="1"/>
    </xf>
    <xf numFmtId="0" fontId="86" fillId="20" borderId="0" xfId="0" applyFont="1" applyFill="1" applyAlignment="1">
      <alignment horizontal="left" vertical="center" wrapText="1"/>
    </xf>
    <xf numFmtId="0" fontId="87" fillId="20" borderId="0" xfId="0" applyFont="1" applyFill="1" applyAlignment="1">
      <alignment wrapText="1"/>
    </xf>
    <xf numFmtId="174" fontId="0" fillId="0" borderId="0" xfId="0" applyNumberFormat="1"/>
    <xf numFmtId="200" fontId="58" fillId="0" borderId="0" xfId="0" applyNumberFormat="1" applyFont="1" applyAlignment="1">
      <alignment horizontal="right" vertical="center"/>
    </xf>
    <xf numFmtId="207" fontId="58" fillId="0" borderId="0" xfId="0" applyNumberFormat="1" applyFont="1" applyAlignment="1">
      <alignment horizontal="right" vertical="center"/>
    </xf>
    <xf numFmtId="207" fontId="0" fillId="0" borderId="0" xfId="0" applyNumberFormat="1"/>
    <xf numFmtId="207" fontId="10" fillId="2" borderId="0" xfId="0" applyNumberFormat="1" applyFont="1" applyFill="1" applyAlignment="1">
      <alignment horizontal="center" vertical="center" wrapText="1"/>
    </xf>
    <xf numFmtId="1" fontId="58" fillId="0" borderId="0" xfId="0" applyNumberFormat="1" applyFont="1" applyAlignment="1">
      <alignment horizontal="right" vertical="center"/>
    </xf>
    <xf numFmtId="208" fontId="58" fillId="0" borderId="0" xfId="0" applyNumberFormat="1" applyFont="1" applyAlignment="1">
      <alignment horizontal="right" vertical="center"/>
    </xf>
    <xf numFmtId="174" fontId="52" fillId="0" borderId="0" xfId="0" applyNumberFormat="1" applyFont="1" applyAlignment="1">
      <alignment horizontal="right" vertical="center"/>
    </xf>
    <xf numFmtId="208" fontId="53" fillId="0" borderId="0" xfId="0" applyNumberFormat="1" applyFont="1" applyAlignment="1">
      <alignment horizontal="left" vertical="center" wrapText="1"/>
    </xf>
    <xf numFmtId="200" fontId="0" fillId="0" borderId="0" xfId="0" applyNumberFormat="1"/>
    <xf numFmtId="208" fontId="0" fillId="0" borderId="0" xfId="0" applyNumberFormat="1"/>
    <xf numFmtId="206" fontId="0" fillId="0" borderId="0" xfId="0" applyNumberFormat="1"/>
    <xf numFmtId="0" fontId="91" fillId="0" borderId="0" xfId="0" applyFont="1"/>
    <xf numFmtId="0" fontId="93" fillId="22" borderId="53" xfId="0" applyFont="1" applyFill="1" applyBorder="1" applyAlignment="1">
      <alignment wrapText="1"/>
    </xf>
    <xf numFmtId="0" fontId="91" fillId="0" borderId="0" xfId="0" applyFont="1" applyAlignment="1">
      <alignment wrapText="1"/>
    </xf>
    <xf numFmtId="209" fontId="95" fillId="0" borderId="0" xfId="0" applyNumberFormat="1" applyFont="1" applyAlignment="1">
      <alignment wrapText="1"/>
    </xf>
    <xf numFmtId="0" fontId="94" fillId="22" borderId="0" xfId="0" applyFont="1" applyFill="1" applyAlignment="1">
      <alignment wrapText="1"/>
    </xf>
    <xf numFmtId="209" fontId="96" fillId="22" borderId="0" xfId="0" applyNumberFormat="1" applyFont="1" applyFill="1" applyAlignment="1">
      <alignment wrapText="1"/>
    </xf>
    <xf numFmtId="0" fontId="94" fillId="24" borderId="0" xfId="0" applyFont="1" applyFill="1" applyAlignment="1">
      <alignment wrapText="1"/>
    </xf>
    <xf numFmtId="174" fontId="91" fillId="0" borderId="0" xfId="0" applyNumberFormat="1" applyFont="1" applyAlignment="1">
      <alignment wrapText="1"/>
    </xf>
    <xf numFmtId="174" fontId="95" fillId="0" borderId="0" xfId="0" applyNumberFormat="1" applyFont="1" applyAlignment="1">
      <alignment wrapText="1"/>
    </xf>
    <xf numFmtId="0" fontId="95" fillId="0" borderId="0" xfId="0" applyFont="1" applyAlignment="1">
      <alignment wrapText="1"/>
    </xf>
    <xf numFmtId="187" fontId="0" fillId="0" borderId="0" xfId="0" applyNumberFormat="1"/>
    <xf numFmtId="169" fontId="5" fillId="8" borderId="0" xfId="0" applyNumberFormat="1" applyFont="1" applyFill="1" applyAlignment="1">
      <alignment horizontal="right"/>
    </xf>
    <xf numFmtId="199" fontId="13" fillId="8" borderId="0" xfId="0" applyNumberFormat="1" applyFont="1" applyFill="1" applyAlignment="1">
      <alignment horizontal="right"/>
    </xf>
    <xf numFmtId="2" fontId="53" fillId="0" borderId="0" xfId="0" applyNumberFormat="1" applyFont="1" applyAlignment="1">
      <alignment horizontal="right" vertical="center"/>
    </xf>
    <xf numFmtId="206" fontId="53" fillId="0" borderId="0" xfId="0" applyNumberFormat="1" applyFont="1" applyAlignment="1">
      <alignment horizontal="right" vertical="center"/>
    </xf>
    <xf numFmtId="10" fontId="53" fillId="0" borderId="0" xfId="0" applyNumberFormat="1" applyFont="1" applyAlignment="1">
      <alignment horizontal="right" vertical="center"/>
    </xf>
    <xf numFmtId="2" fontId="52" fillId="0" borderId="0" xfId="0" applyNumberFormat="1" applyFont="1" applyAlignment="1">
      <alignment horizontal="right" vertical="center"/>
    </xf>
    <xf numFmtId="2" fontId="57" fillId="3" borderId="0" xfId="0" applyNumberFormat="1" applyFont="1" applyFill="1" applyAlignment="1">
      <alignment horizontal="right" vertical="center"/>
    </xf>
    <xf numFmtId="10" fontId="57" fillId="3" borderId="0" xfId="0" applyNumberFormat="1" applyFont="1" applyFill="1" applyAlignment="1">
      <alignment horizontal="right" vertical="center"/>
    </xf>
    <xf numFmtId="10" fontId="0" fillId="0" borderId="0" xfId="0" applyNumberFormat="1"/>
    <xf numFmtId="2" fontId="0" fillId="0" borderId="0" xfId="0" applyNumberFormat="1"/>
    <xf numFmtId="208" fontId="53" fillId="0" borderId="0" xfId="0" applyNumberFormat="1" applyFont="1" applyAlignment="1">
      <alignment horizontal="right" vertical="center"/>
    </xf>
    <xf numFmtId="170" fontId="0" fillId="0" borderId="0" xfId="0" applyNumberFormat="1"/>
    <xf numFmtId="3" fontId="49" fillId="0" borderId="11" xfId="0" applyNumberFormat="1" applyFont="1" applyBorder="1" applyAlignment="1">
      <alignment wrapText="1"/>
    </xf>
    <xf numFmtId="0" fontId="49" fillId="0" borderId="11" xfId="0" applyFont="1" applyBorder="1" applyAlignment="1">
      <alignment horizontal="right" wrapText="1"/>
    </xf>
    <xf numFmtId="168" fontId="49" fillId="0" borderId="11" xfId="0" applyNumberFormat="1" applyFont="1" applyBorder="1" applyAlignment="1">
      <alignment horizontal="right" wrapText="1"/>
    </xf>
    <xf numFmtId="0" fontId="49" fillId="0" borderId="11" xfId="0" applyFont="1" applyBorder="1" applyAlignment="1">
      <alignment wrapText="1"/>
    </xf>
    <xf numFmtId="170" fontId="49" fillId="0" borderId="14" xfId="0" applyNumberFormat="1" applyFont="1" applyBorder="1" applyAlignment="1">
      <alignment wrapText="1"/>
    </xf>
    <xf numFmtId="0" fontId="98" fillId="26" borderId="10" xfId="0" applyFont="1" applyFill="1" applyBorder="1" applyAlignment="1">
      <alignment horizontal="center" vertical="center" wrapText="1"/>
    </xf>
    <xf numFmtId="0" fontId="98" fillId="26" borderId="12" xfId="0" applyFont="1" applyFill="1" applyBorder="1" applyAlignment="1">
      <alignment horizontal="center" vertical="center" wrapText="1"/>
    </xf>
    <xf numFmtId="200" fontId="0" fillId="0" borderId="0" xfId="0" applyNumberFormat="1" applyAlignment="1">
      <alignment wrapText="1"/>
    </xf>
    <xf numFmtId="0" fontId="99" fillId="0" borderId="0" xfId="0" applyFont="1" applyAlignment="1">
      <alignment horizontal="center"/>
    </xf>
    <xf numFmtId="17" fontId="3" fillId="0" borderId="0" xfId="0" applyNumberFormat="1" applyFont="1" applyAlignment="1">
      <alignment horizontal="right"/>
    </xf>
    <xf numFmtId="17" fontId="3" fillId="0" borderId="0" xfId="0" applyNumberFormat="1" applyFont="1"/>
    <xf numFmtId="211" fontId="0" fillId="0" borderId="0" xfId="0" applyNumberFormat="1"/>
    <xf numFmtId="10" fontId="95" fillId="0" borderId="0" xfId="0" applyNumberFormat="1" applyFont="1" applyAlignment="1">
      <alignment wrapText="1"/>
    </xf>
    <xf numFmtId="10" fontId="96" fillId="22" borderId="0" xfId="0" applyNumberFormat="1" applyFont="1" applyFill="1" applyAlignment="1">
      <alignment wrapText="1"/>
    </xf>
    <xf numFmtId="200" fontId="49" fillId="0" borderId="11" xfId="0" applyNumberFormat="1" applyFont="1" applyBorder="1" applyAlignment="1">
      <alignment wrapText="1"/>
    </xf>
    <xf numFmtId="0" fontId="13" fillId="0" borderId="15" xfId="0" applyFont="1" applyBorder="1"/>
    <xf numFmtId="0" fontId="13" fillId="0" borderId="17" xfId="0" applyFont="1" applyBorder="1"/>
    <xf numFmtId="0" fontId="13" fillId="0" borderId="19" xfId="0" applyFont="1" applyBorder="1"/>
    <xf numFmtId="0" fontId="100" fillId="27" borderId="0" xfId="0" applyFont="1" applyFill="1" applyAlignment="1">
      <alignment horizontal="center" vertical="center" wrapText="1"/>
    </xf>
    <xf numFmtId="174" fontId="0" fillId="0" borderId="0" xfId="0" applyNumberFormat="1" applyAlignment="1">
      <alignment wrapText="1"/>
    </xf>
    <xf numFmtId="0" fontId="63" fillId="0" borderId="0" xfId="1" applyFont="1" applyAlignment="1">
      <alignment vertical="center"/>
    </xf>
    <xf numFmtId="0" fontId="57" fillId="17" borderId="35" xfId="1" applyFont="1" applyFill="1" applyBorder="1" applyAlignment="1">
      <alignment horizontal="center" vertical="center"/>
    </xf>
    <xf numFmtId="0" fontId="66" fillId="15" borderId="34" xfId="1" applyFont="1" applyFill="1" applyBorder="1" applyAlignment="1">
      <alignment vertical="center"/>
    </xf>
    <xf numFmtId="202" fontId="82" fillId="15" borderId="34" xfId="1" applyNumberFormat="1" applyFont="1" applyFill="1" applyBorder="1" applyAlignment="1">
      <alignment horizontal="right" vertical="center"/>
    </xf>
    <xf numFmtId="203" fontId="58" fillId="15" borderId="34" xfId="1" applyNumberFormat="1" applyFont="1" applyFill="1" applyBorder="1" applyAlignment="1">
      <alignment horizontal="right" vertical="center"/>
    </xf>
    <xf numFmtId="0" fontId="66" fillId="0" borderId="34" xfId="1" applyFont="1" applyBorder="1" applyAlignment="1">
      <alignment vertical="center"/>
    </xf>
    <xf numFmtId="201" fontId="82" fillId="0" borderId="34" xfId="1" applyNumberFormat="1" applyFont="1" applyBorder="1" applyAlignment="1">
      <alignment horizontal="right" vertical="center"/>
    </xf>
    <xf numFmtId="202" fontId="82" fillId="0" borderId="34" xfId="1" applyNumberFormat="1" applyFont="1" applyBorder="1" applyAlignment="1">
      <alignment horizontal="right" vertical="center"/>
    </xf>
    <xf numFmtId="203" fontId="58" fillId="0" borderId="34" xfId="1" applyNumberFormat="1" applyFont="1" applyBorder="1" applyAlignment="1">
      <alignment horizontal="right" vertical="center"/>
    </xf>
    <xf numFmtId="201" fontId="61" fillId="0" borderId="0" xfId="1" applyNumberFormat="1"/>
    <xf numFmtId="0" fontId="66" fillId="14" borderId="34" xfId="1" applyFont="1" applyFill="1" applyBorder="1" applyAlignment="1">
      <alignment vertical="center"/>
    </xf>
    <xf numFmtId="202" fontId="82" fillId="14" borderId="34" xfId="1" applyNumberFormat="1" applyFont="1" applyFill="1" applyBorder="1" applyAlignment="1">
      <alignment horizontal="right" vertical="center"/>
    </xf>
    <xf numFmtId="203" fontId="58" fillId="14" borderId="34" xfId="1" applyNumberFormat="1" applyFont="1" applyFill="1" applyBorder="1" applyAlignment="1">
      <alignment horizontal="right" vertical="center"/>
    </xf>
    <xf numFmtId="201" fontId="76" fillId="16" borderId="34" xfId="1" applyNumberFormat="1" applyFont="1" applyFill="1" applyBorder="1" applyAlignment="1">
      <alignment horizontal="right" vertical="center"/>
    </xf>
    <xf numFmtId="203" fontId="77" fillId="16" borderId="34" xfId="1" applyNumberFormat="1" applyFont="1" applyFill="1" applyBorder="1" applyAlignment="1">
      <alignment horizontal="right" vertical="center"/>
    </xf>
    <xf numFmtId="202" fontId="76" fillId="16" borderId="34" xfId="1" applyNumberFormat="1" applyFont="1" applyFill="1" applyBorder="1" applyAlignment="1">
      <alignment horizontal="right" vertical="center"/>
    </xf>
    <xf numFmtId="203" fontId="82" fillId="0" borderId="34" xfId="1" applyNumberFormat="1" applyFont="1" applyBorder="1" applyAlignment="1">
      <alignment horizontal="right" vertical="center"/>
    </xf>
    <xf numFmtId="203" fontId="66" fillId="0" borderId="34" xfId="1" applyNumberFormat="1" applyFont="1" applyBorder="1" applyAlignment="1">
      <alignment horizontal="right" vertical="center"/>
    </xf>
    <xf numFmtId="203" fontId="76" fillId="16" borderId="34" xfId="1" applyNumberFormat="1" applyFont="1" applyFill="1" applyBorder="1" applyAlignment="1">
      <alignment horizontal="right" vertical="center"/>
    </xf>
    <xf numFmtId="0" fontId="62" fillId="0" borderId="0" xfId="1" applyFont="1"/>
    <xf numFmtId="0" fontId="57" fillId="17" borderId="0" xfId="1" applyFont="1" applyFill="1" applyAlignment="1">
      <alignment vertical="center"/>
    </xf>
    <xf numFmtId="0" fontId="66" fillId="0" borderId="0" xfId="1" applyFont="1" applyAlignment="1">
      <alignment vertical="center"/>
    </xf>
    <xf numFmtId="0" fontId="68" fillId="14" borderId="37" xfId="1" applyFont="1" applyFill="1" applyBorder="1" applyAlignment="1">
      <alignment vertical="center"/>
    </xf>
    <xf numFmtId="0" fontId="68" fillId="14" borderId="38" xfId="1" applyFont="1" applyFill="1" applyBorder="1" applyAlignment="1">
      <alignment vertical="center"/>
    </xf>
    <xf numFmtId="205" fontId="82" fillId="0" borderId="34" xfId="1" applyNumberFormat="1" applyFont="1" applyBorder="1" applyAlignment="1">
      <alignment horizontal="right" vertical="center"/>
    </xf>
    <xf numFmtId="2" fontId="58" fillId="0" borderId="34" xfId="0" applyNumberFormat="1" applyFont="1" applyBorder="1" applyAlignment="1">
      <alignment horizontal="right" vertical="center"/>
    </xf>
    <xf numFmtId="206" fontId="82" fillId="0" borderId="34" xfId="0" applyNumberFormat="1" applyFont="1" applyBorder="1" applyAlignment="1">
      <alignment horizontal="right" vertical="center"/>
    </xf>
    <xf numFmtId="206" fontId="82" fillId="0" borderId="34" xfId="1" applyNumberFormat="1" applyFont="1" applyBorder="1" applyAlignment="1">
      <alignment horizontal="right" vertical="center"/>
    </xf>
    <xf numFmtId="2" fontId="82" fillId="0" borderId="34" xfId="0" applyNumberFormat="1" applyFont="1" applyBorder="1" applyAlignment="1">
      <alignment horizontal="right" vertical="center"/>
    </xf>
    <xf numFmtId="212" fontId="63" fillId="0" borderId="0" xfId="0" applyNumberFormat="1" applyFont="1" applyAlignment="1">
      <alignment vertical="center"/>
    </xf>
    <xf numFmtId="0" fontId="61" fillId="0" borderId="0" xfId="1" applyAlignment="1">
      <alignment wrapText="1"/>
    </xf>
    <xf numFmtId="0" fontId="106" fillId="0" borderId="0" xfId="0" applyFont="1" applyAlignment="1">
      <alignment horizontal="left" vertical="center"/>
    </xf>
    <xf numFmtId="0" fontId="106" fillId="0" borderId="0" xfId="0" applyFont="1" applyAlignment="1">
      <alignment horizontal="left" vertical="center" wrapText="1"/>
    </xf>
    <xf numFmtId="0" fontId="106" fillId="0" borderId="0" xfId="0" applyFont="1" applyAlignment="1">
      <alignment vertical="center"/>
    </xf>
    <xf numFmtId="0" fontId="106" fillId="0" borderId="0" xfId="0" applyFont="1" applyAlignment="1">
      <alignment vertical="center" wrapText="1"/>
    </xf>
    <xf numFmtId="0" fontId="105" fillId="30" borderId="54" xfId="0" applyFont="1" applyFill="1" applyBorder="1" applyAlignment="1">
      <alignment horizontal="center" vertical="center" wrapText="1"/>
    </xf>
    <xf numFmtId="0" fontId="106" fillId="0" borderId="56" xfId="0" applyFont="1" applyBorder="1" applyAlignment="1">
      <alignment horizontal="left" vertical="center"/>
    </xf>
    <xf numFmtId="0" fontId="106" fillId="0" borderId="56" xfId="0" applyFont="1" applyBorder="1" applyAlignment="1">
      <alignment horizontal="right" vertical="center"/>
    </xf>
    <xf numFmtId="187" fontId="106" fillId="0" borderId="56" xfId="0" applyNumberFormat="1" applyFont="1" applyBorder="1" applyAlignment="1">
      <alignment horizontal="right" vertical="center"/>
    </xf>
    <xf numFmtId="174" fontId="106" fillId="0" borderId="56" xfId="0" applyNumberFormat="1" applyFont="1" applyBorder="1" applyAlignment="1">
      <alignment horizontal="right" vertical="center"/>
    </xf>
    <xf numFmtId="164" fontId="106" fillId="0" borderId="56" xfId="0" applyNumberFormat="1" applyFont="1" applyBorder="1" applyAlignment="1">
      <alignment horizontal="right" vertical="center"/>
    </xf>
    <xf numFmtId="182" fontId="106" fillId="0" borderId="56" xfId="0" applyNumberFormat="1" applyFont="1" applyBorder="1" applyAlignment="1">
      <alignment horizontal="right" vertical="center"/>
    </xf>
    <xf numFmtId="0" fontId="106" fillId="0" borderId="56" xfId="0" applyFont="1" applyBorder="1" applyAlignment="1">
      <alignment horizontal="left" vertical="center" wrapText="1"/>
    </xf>
    <xf numFmtId="0" fontId="106" fillId="0" borderId="57" xfId="0" applyFont="1" applyBorder="1" applyAlignment="1">
      <alignment horizontal="left" vertical="center"/>
    </xf>
    <xf numFmtId="174" fontId="106" fillId="0" borderId="57" xfId="0" applyNumberFormat="1" applyFont="1" applyBorder="1" applyAlignment="1">
      <alignment horizontal="right" vertical="center"/>
    </xf>
    <xf numFmtId="187" fontId="106" fillId="0" borderId="57" xfId="0" applyNumberFormat="1" applyFont="1" applyBorder="1" applyAlignment="1">
      <alignment horizontal="right" vertical="center"/>
    </xf>
    <xf numFmtId="164" fontId="106" fillId="0" borderId="57" xfId="0" applyNumberFormat="1" applyFont="1" applyBorder="1" applyAlignment="1">
      <alignment horizontal="right" vertical="center"/>
    </xf>
    <xf numFmtId="182" fontId="106" fillId="0" borderId="57" xfId="0" applyNumberFormat="1" applyFont="1" applyBorder="1" applyAlignment="1">
      <alignment horizontal="right" vertical="center"/>
    </xf>
    <xf numFmtId="0" fontId="106" fillId="0" borderId="57" xfId="0" applyFont="1" applyBorder="1" applyAlignment="1">
      <alignment horizontal="right" vertical="center"/>
    </xf>
    <xf numFmtId="0" fontId="106" fillId="0" borderId="57" xfId="0" applyFont="1" applyBorder="1" applyAlignment="1">
      <alignment horizontal="left" vertical="center" wrapText="1"/>
    </xf>
    <xf numFmtId="0" fontId="105" fillId="0" borderId="57" xfId="0" applyFont="1" applyBorder="1" applyAlignment="1">
      <alignment horizontal="left" vertical="center"/>
    </xf>
    <xf numFmtId="174" fontId="105" fillId="0" borderId="57" xfId="0" applyNumberFormat="1" applyFont="1" applyBorder="1" applyAlignment="1">
      <alignment horizontal="right" vertical="center"/>
    </xf>
    <xf numFmtId="187" fontId="105" fillId="0" borderId="57" xfId="0" applyNumberFormat="1" applyFont="1" applyBorder="1" applyAlignment="1">
      <alignment horizontal="right" vertical="center"/>
    </xf>
    <xf numFmtId="182" fontId="105" fillId="0" borderId="57" xfId="0" applyNumberFormat="1" applyFont="1" applyBorder="1" applyAlignment="1">
      <alignment horizontal="right" vertical="center"/>
    </xf>
    <xf numFmtId="0" fontId="105" fillId="0" borderId="57" xfId="0" applyFont="1" applyBorder="1" applyAlignment="1">
      <alignment horizontal="right" vertical="center"/>
    </xf>
    <xf numFmtId="0" fontId="105" fillId="0" borderId="57" xfId="0" applyFont="1" applyBorder="1" applyAlignment="1">
      <alignment horizontal="left" vertical="center" wrapText="1"/>
    </xf>
    <xf numFmtId="0" fontId="106" fillId="0" borderId="58" xfId="0" applyFont="1" applyBorder="1" applyAlignment="1">
      <alignment horizontal="left" vertical="center"/>
    </xf>
    <xf numFmtId="174" fontId="106" fillId="0" borderId="58" xfId="0" applyNumberFormat="1" applyFont="1" applyBorder="1" applyAlignment="1">
      <alignment horizontal="right" vertical="center"/>
    </xf>
    <xf numFmtId="187" fontId="106" fillId="0" borderId="58" xfId="0" applyNumberFormat="1" applyFont="1" applyBorder="1" applyAlignment="1">
      <alignment horizontal="right" vertical="center"/>
    </xf>
    <xf numFmtId="164" fontId="106" fillId="0" borderId="58" xfId="0" applyNumberFormat="1" applyFont="1" applyBorder="1" applyAlignment="1">
      <alignment horizontal="right" vertical="center"/>
    </xf>
    <xf numFmtId="182" fontId="106" fillId="0" borderId="58" xfId="0" applyNumberFormat="1" applyFont="1" applyBorder="1" applyAlignment="1">
      <alignment horizontal="right" vertical="center"/>
    </xf>
    <xf numFmtId="0" fontId="106" fillId="0" borderId="58" xfId="0" applyFont="1" applyBorder="1" applyAlignment="1">
      <alignment horizontal="right" vertical="center"/>
    </xf>
    <xf numFmtId="0" fontId="106" fillId="0" borderId="58" xfId="0" applyFont="1" applyBorder="1" applyAlignment="1">
      <alignment horizontal="left" vertical="center" wrapText="1"/>
    </xf>
    <xf numFmtId="0" fontId="106" fillId="0" borderId="59" xfId="0" applyFont="1" applyBorder="1" applyAlignment="1">
      <alignment horizontal="left" vertical="center"/>
    </xf>
    <xf numFmtId="0" fontId="106" fillId="0" borderId="59" xfId="0" applyFont="1" applyBorder="1" applyAlignment="1">
      <alignment horizontal="left" vertical="center" wrapText="1"/>
    </xf>
    <xf numFmtId="0" fontId="105" fillId="0" borderId="59" xfId="0" applyFont="1" applyBorder="1" applyAlignment="1">
      <alignment horizontal="left" vertical="center"/>
    </xf>
    <xf numFmtId="170" fontId="106" fillId="0" borderId="57" xfId="0" applyNumberFormat="1" applyFont="1" applyBorder="1" applyAlignment="1">
      <alignment horizontal="right" vertical="center"/>
    </xf>
    <xf numFmtId="168" fontId="106" fillId="0" borderId="58" xfId="0" applyNumberFormat="1" applyFont="1" applyBorder="1" applyAlignment="1">
      <alignment horizontal="right" vertical="center"/>
    </xf>
    <xf numFmtId="206" fontId="106" fillId="0" borderId="57" xfId="0" applyNumberFormat="1" applyFont="1" applyBorder="1" applyAlignment="1">
      <alignment horizontal="right" vertical="center"/>
    </xf>
    <xf numFmtId="0" fontId="106" fillId="0" borderId="56" xfId="0" applyFont="1" applyBorder="1" applyAlignment="1">
      <alignment vertical="center"/>
    </xf>
    <xf numFmtId="210" fontId="106" fillId="0" borderId="56" xfId="0" applyNumberFormat="1" applyFont="1" applyBorder="1" applyAlignment="1">
      <alignment vertical="center"/>
    </xf>
    <xf numFmtId="0" fontId="106" fillId="0" borderId="56" xfId="0" applyFont="1" applyBorder="1" applyAlignment="1">
      <alignment vertical="center" wrapText="1"/>
    </xf>
    <xf numFmtId="0" fontId="106" fillId="0" borderId="57" xfId="0" applyFont="1" applyBorder="1" applyAlignment="1">
      <alignment vertical="center"/>
    </xf>
    <xf numFmtId="210" fontId="106" fillId="0" borderId="57" xfId="0" applyNumberFormat="1" applyFont="1" applyBorder="1" applyAlignment="1">
      <alignment vertical="center"/>
    </xf>
    <xf numFmtId="0" fontId="106" fillId="0" borderId="57" xfId="0" applyFont="1" applyBorder="1" applyAlignment="1">
      <alignment vertical="center" wrapText="1"/>
    </xf>
    <xf numFmtId="174" fontId="106" fillId="0" borderId="57" xfId="0" applyNumberFormat="1" applyFont="1" applyBorder="1" applyAlignment="1">
      <alignment vertical="center"/>
    </xf>
    <xf numFmtId="0" fontId="106" fillId="0" borderId="58" xfId="0" applyFont="1" applyBorder="1" applyAlignment="1">
      <alignment vertical="center"/>
    </xf>
    <xf numFmtId="174" fontId="106" fillId="0" borderId="58" xfId="0" applyNumberFormat="1" applyFont="1" applyBorder="1" applyAlignment="1">
      <alignment vertical="center"/>
    </xf>
    <xf numFmtId="0" fontId="106" fillId="0" borderId="58" xfId="0" applyFont="1" applyBorder="1" applyAlignment="1">
      <alignment vertical="center" wrapText="1"/>
    </xf>
    <xf numFmtId="0" fontId="106" fillId="0" borderId="54" xfId="0" applyFont="1" applyBorder="1" applyAlignment="1">
      <alignment vertical="center"/>
    </xf>
    <xf numFmtId="0" fontId="106" fillId="0" borderId="59" xfId="0" applyFont="1" applyBorder="1" applyAlignment="1">
      <alignment vertical="center"/>
    </xf>
    <xf numFmtId="0" fontId="106" fillId="0" borderId="59" xfId="0" applyFont="1" applyBorder="1" applyAlignment="1">
      <alignment vertical="center" wrapText="1"/>
    </xf>
    <xf numFmtId="0" fontId="105" fillId="32" borderId="58" xfId="0" applyFont="1" applyFill="1" applyBorder="1" applyAlignment="1">
      <alignment horizontal="left" vertical="center"/>
    </xf>
    <xf numFmtId="187" fontId="105" fillId="32" borderId="58" xfId="0" applyNumberFormat="1" applyFont="1" applyFill="1" applyBorder="1" applyAlignment="1">
      <alignment horizontal="right" vertical="center"/>
    </xf>
    <xf numFmtId="174" fontId="105" fillId="32" borderId="58" xfId="0" applyNumberFormat="1" applyFont="1" applyFill="1" applyBorder="1" applyAlignment="1">
      <alignment horizontal="right" vertical="center"/>
    </xf>
    <xf numFmtId="0" fontId="105" fillId="32" borderId="58" xfId="0" applyFont="1" applyFill="1" applyBorder="1" applyAlignment="1">
      <alignment horizontal="left" vertical="center" wrapText="1"/>
    </xf>
    <xf numFmtId="0" fontId="105" fillId="32" borderId="58" xfId="0" applyFont="1" applyFill="1" applyBorder="1" applyAlignment="1">
      <alignment vertical="center"/>
    </xf>
    <xf numFmtId="210" fontId="105" fillId="32" borderId="58" xfId="0" applyNumberFormat="1" applyFont="1" applyFill="1" applyBorder="1" applyAlignment="1">
      <alignment vertical="center"/>
    </xf>
    <xf numFmtId="0" fontId="105" fillId="32" borderId="58" xfId="0" applyFont="1" applyFill="1" applyBorder="1" applyAlignment="1">
      <alignment vertical="center" wrapText="1"/>
    </xf>
    <xf numFmtId="0" fontId="105" fillId="32" borderId="57" xfId="0" applyFont="1" applyFill="1" applyBorder="1" applyAlignment="1">
      <alignment vertical="center"/>
    </xf>
    <xf numFmtId="210" fontId="105" fillId="32" borderId="57" xfId="0" applyNumberFormat="1" applyFont="1" applyFill="1" applyBorder="1" applyAlignment="1">
      <alignment vertical="center"/>
    </xf>
    <xf numFmtId="187" fontId="105" fillId="32" borderId="0" xfId="0" applyNumberFormat="1" applyFont="1" applyFill="1" applyAlignment="1">
      <alignment horizontal="right" vertical="center"/>
    </xf>
    <xf numFmtId="174" fontId="105" fillId="32" borderId="0" xfId="0" applyNumberFormat="1" applyFont="1" applyFill="1" applyAlignment="1">
      <alignment horizontal="right" vertical="center"/>
    </xf>
    <xf numFmtId="164" fontId="105" fillId="32" borderId="0" xfId="0" applyNumberFormat="1" applyFont="1" applyFill="1" applyAlignment="1">
      <alignment horizontal="right" vertical="center"/>
    </xf>
    <xf numFmtId="170" fontId="105" fillId="32" borderId="0" xfId="0" applyNumberFormat="1" applyFont="1" applyFill="1" applyAlignment="1">
      <alignment horizontal="right" vertical="center"/>
    </xf>
    <xf numFmtId="182" fontId="105" fillId="32" borderId="0" xfId="0" applyNumberFormat="1" applyFont="1" applyFill="1" applyAlignment="1">
      <alignment horizontal="right" vertical="center"/>
    </xf>
    <xf numFmtId="0" fontId="105" fillId="28" borderId="59" xfId="0" applyFont="1" applyFill="1" applyBorder="1" applyAlignment="1">
      <alignment horizontal="center" vertical="center"/>
    </xf>
    <xf numFmtId="0" fontId="105" fillId="28" borderId="57" xfId="0" applyFont="1" applyFill="1" applyBorder="1" applyAlignment="1">
      <alignment horizontal="center" vertical="center"/>
    </xf>
    <xf numFmtId="0" fontId="105" fillId="28" borderId="58" xfId="0" applyFont="1" applyFill="1" applyBorder="1" applyAlignment="1">
      <alignment horizontal="center" vertical="center"/>
    </xf>
    <xf numFmtId="0" fontId="105" fillId="33" borderId="57" xfId="0" applyFont="1" applyFill="1" applyBorder="1" applyAlignment="1">
      <alignment horizontal="right" vertical="center"/>
    </xf>
    <xf numFmtId="208" fontId="106" fillId="0" borderId="56" xfId="0" applyNumberFormat="1" applyFont="1" applyBorder="1" applyAlignment="1">
      <alignment horizontal="right" vertical="center" wrapText="1"/>
    </xf>
    <xf numFmtId="208" fontId="106" fillId="0" borderId="57" xfId="0" applyNumberFormat="1" applyFont="1" applyBorder="1" applyAlignment="1">
      <alignment horizontal="right" vertical="center" wrapText="1"/>
    </xf>
    <xf numFmtId="208" fontId="106" fillId="0" borderId="58" xfId="0" applyNumberFormat="1" applyFont="1" applyBorder="1" applyAlignment="1">
      <alignment horizontal="right" vertical="center" wrapText="1"/>
    </xf>
    <xf numFmtId="209" fontId="106" fillId="0" borderId="57" xfId="0" applyNumberFormat="1" applyFont="1" applyBorder="1" applyAlignment="1">
      <alignment horizontal="right" vertical="center"/>
    </xf>
    <xf numFmtId="208" fontId="106" fillId="0" borderId="58" xfId="0" applyNumberFormat="1" applyFont="1" applyBorder="1" applyAlignment="1">
      <alignment horizontal="right" vertical="center"/>
    </xf>
    <xf numFmtId="208" fontId="106" fillId="0" borderId="56" xfId="0" applyNumberFormat="1" applyFont="1" applyBorder="1" applyAlignment="1">
      <alignment horizontal="right" vertical="center"/>
    </xf>
    <xf numFmtId="0" fontId="105" fillId="28" borderId="59" xfId="0" applyFont="1" applyFill="1" applyBorder="1" applyAlignment="1">
      <alignment horizontal="center" vertical="center" wrapText="1"/>
    </xf>
    <xf numFmtId="0" fontId="105" fillId="28" borderId="57" xfId="0" applyFont="1" applyFill="1" applyBorder="1" applyAlignment="1">
      <alignment horizontal="center" vertical="center" wrapText="1"/>
    </xf>
    <xf numFmtId="0" fontId="23" fillId="35" borderId="0" xfId="0" applyFont="1" applyFill="1" applyAlignment="1">
      <alignment horizontal="center" wrapText="1"/>
    </xf>
    <xf numFmtId="213" fontId="0" fillId="0" borderId="0" xfId="0" applyNumberFormat="1" applyAlignment="1">
      <alignment wrapText="1"/>
    </xf>
    <xf numFmtId="10" fontId="0" fillId="0" borderId="0" xfId="0" applyNumberFormat="1" applyAlignment="1">
      <alignment wrapText="1"/>
    </xf>
    <xf numFmtId="0" fontId="100" fillId="38" borderId="0" xfId="0" applyFont="1" applyFill="1" applyAlignment="1">
      <alignment wrapText="1"/>
    </xf>
    <xf numFmtId="203" fontId="58" fillId="0" borderId="0" xfId="0" applyNumberFormat="1" applyFont="1" applyAlignment="1">
      <alignment horizontal="right" vertical="center"/>
    </xf>
    <xf numFmtId="214" fontId="0" fillId="0" borderId="0" xfId="0" applyNumberFormat="1" applyAlignment="1">
      <alignment wrapText="1"/>
    </xf>
    <xf numFmtId="215" fontId="0" fillId="0" borderId="0" xfId="0" applyNumberFormat="1" applyAlignment="1">
      <alignment wrapText="1"/>
    </xf>
    <xf numFmtId="216" fontId="0" fillId="0" borderId="0" xfId="0" applyNumberFormat="1" applyAlignment="1">
      <alignment wrapText="1"/>
    </xf>
    <xf numFmtId="0" fontId="105" fillId="40" borderId="58" xfId="0" applyFont="1" applyFill="1" applyBorder="1" applyAlignment="1">
      <alignment horizontal="left" vertical="center"/>
    </xf>
    <xf numFmtId="0" fontId="105" fillId="40" borderId="0" xfId="0" applyFont="1" applyFill="1" applyAlignment="1">
      <alignment horizontal="left" vertical="center"/>
    </xf>
    <xf numFmtId="0" fontId="23" fillId="37" borderId="0" xfId="0" applyFont="1" applyFill="1" applyAlignment="1">
      <alignment wrapText="1"/>
    </xf>
    <xf numFmtId="0" fontId="112" fillId="0" borderId="0" xfId="0" applyFont="1"/>
    <xf numFmtId="0" fontId="112" fillId="0" borderId="0" xfId="0" applyFont="1" applyAlignment="1">
      <alignment vertical="center"/>
    </xf>
    <xf numFmtId="0" fontId="112" fillId="0" borderId="0" xfId="0" applyFont="1" applyAlignment="1">
      <alignment wrapText="1"/>
    </xf>
    <xf numFmtId="0" fontId="118" fillId="0" borderId="0" xfId="0" applyFont="1" applyAlignment="1">
      <alignment horizontal="left" vertical="center" wrapText="1"/>
    </xf>
    <xf numFmtId="0" fontId="120" fillId="0" borderId="0" xfId="0" applyFont="1" applyAlignment="1">
      <alignment wrapText="1"/>
    </xf>
    <xf numFmtId="0" fontId="115" fillId="0" borderId="0" xfId="0" applyFont="1" applyAlignment="1">
      <alignment vertical="center"/>
    </xf>
    <xf numFmtId="219" fontId="0" fillId="0" borderId="0" xfId="0" applyNumberFormat="1"/>
    <xf numFmtId="216" fontId="0" fillId="0" borderId="0" xfId="0" applyNumberFormat="1"/>
    <xf numFmtId="0" fontId="112" fillId="2" borderId="10" xfId="0" applyFont="1" applyFill="1" applyBorder="1" applyAlignment="1">
      <alignment horizontal="left" vertical="center"/>
    </xf>
    <xf numFmtId="0" fontId="112" fillId="2" borderId="0" xfId="0" applyFont="1" applyFill="1" applyAlignment="1">
      <alignment wrapText="1"/>
    </xf>
    <xf numFmtId="0" fontId="112" fillId="0" borderId="10" xfId="0" applyFont="1" applyBorder="1"/>
    <xf numFmtId="0" fontId="115" fillId="0" borderId="10" xfId="0" applyFont="1" applyBorder="1"/>
    <xf numFmtId="0" fontId="115" fillId="0" borderId="0" xfId="0" applyFont="1"/>
    <xf numFmtId="0" fontId="112" fillId="0" borderId="10" xfId="0" applyFont="1" applyBorder="1" applyAlignment="1">
      <alignment horizontal="left"/>
    </xf>
    <xf numFmtId="218" fontId="112" fillId="2" borderId="0" xfId="0" applyNumberFormat="1" applyFont="1" applyFill="1" applyAlignment="1">
      <alignment wrapText="1"/>
    </xf>
    <xf numFmtId="218" fontId="115" fillId="0" borderId="0" xfId="0" applyNumberFormat="1" applyFont="1" applyAlignment="1">
      <alignment horizontal="right"/>
    </xf>
    <xf numFmtId="218" fontId="6" fillId="0" borderId="0" xfId="0" applyNumberFormat="1" applyFont="1" applyAlignment="1">
      <alignment horizontal="right"/>
    </xf>
    <xf numFmtId="218" fontId="24" fillId="0" borderId="0" xfId="0" applyNumberFormat="1" applyFont="1" applyAlignment="1">
      <alignment horizontal="right"/>
    </xf>
    <xf numFmtId="218" fontId="112" fillId="0" borderId="0" xfId="0" applyNumberFormat="1" applyFont="1" applyAlignment="1">
      <alignment horizontal="right"/>
    </xf>
    <xf numFmtId="0" fontId="120" fillId="0" borderId="0" xfId="0" applyFont="1" applyAlignment="1">
      <alignment vertical="center" wrapText="1"/>
    </xf>
    <xf numFmtId="0" fontId="114" fillId="41" borderId="0" xfId="0" applyFont="1" applyFill="1" applyAlignment="1">
      <alignment wrapText="1"/>
    </xf>
    <xf numFmtId="0" fontId="120" fillId="0" borderId="0" xfId="0" applyFont="1" applyAlignment="1">
      <alignment horizontal="left" vertical="center" wrapText="1"/>
    </xf>
    <xf numFmtId="0" fontId="119" fillId="3" borderId="0" xfId="0" applyFont="1" applyFill="1" applyAlignment="1">
      <alignment horizontal="left" vertical="center" wrapText="1"/>
    </xf>
    <xf numFmtId="218" fontId="0" fillId="0" borderId="0" xfId="0" applyNumberFormat="1"/>
    <xf numFmtId="0" fontId="121" fillId="46" borderId="0" xfId="0" applyFont="1" applyFill="1" applyAlignment="1">
      <alignment horizontal="center"/>
    </xf>
    <xf numFmtId="220" fontId="0" fillId="0" borderId="0" xfId="0" applyNumberFormat="1"/>
    <xf numFmtId="202" fontId="82" fillId="43" borderId="34" xfId="0" applyNumberFormat="1" applyFont="1" applyFill="1" applyBorder="1" applyAlignment="1">
      <alignment horizontal="right" vertical="center"/>
    </xf>
    <xf numFmtId="203" fontId="58" fillId="43" borderId="34" xfId="0" applyNumberFormat="1" applyFont="1" applyFill="1" applyBorder="1" applyAlignment="1">
      <alignment horizontal="right" vertical="center"/>
    </xf>
    <xf numFmtId="216" fontId="82" fillId="0" borderId="34" xfId="0" applyNumberFormat="1" applyFont="1" applyBorder="1" applyAlignment="1">
      <alignment horizontal="right" vertical="center"/>
    </xf>
    <xf numFmtId="0" fontId="121" fillId="46" borderId="0" xfId="0" applyFont="1" applyFill="1" applyAlignment="1">
      <alignment wrapText="1"/>
    </xf>
    <xf numFmtId="0" fontId="121" fillId="48" borderId="0" xfId="0" applyFont="1" applyFill="1" applyAlignment="1">
      <alignment wrapText="1"/>
    </xf>
    <xf numFmtId="0" fontId="121" fillId="50" borderId="0" xfId="0" applyFont="1" applyFill="1" applyAlignment="1">
      <alignment wrapText="1"/>
    </xf>
    <xf numFmtId="0" fontId="121" fillId="54" borderId="0" xfId="0" applyFont="1" applyFill="1" applyAlignment="1">
      <alignment wrapText="1"/>
    </xf>
    <xf numFmtId="0" fontId="121" fillId="54" borderId="0" xfId="0" applyFont="1" applyFill="1" applyAlignment="1">
      <alignment horizontal="center" wrapText="1"/>
    </xf>
    <xf numFmtId="0" fontId="122" fillId="0" borderId="0" xfId="0" applyFont="1" applyAlignment="1">
      <alignment vertical="center" wrapText="1"/>
    </xf>
    <xf numFmtId="0" fontId="120" fillId="55" borderId="0" xfId="0" applyFont="1" applyFill="1"/>
    <xf numFmtId="0" fontId="120" fillId="55" borderId="11" xfId="0" applyFont="1" applyFill="1" applyBorder="1"/>
    <xf numFmtId="0" fontId="119" fillId="55" borderId="10" xfId="0" applyFont="1" applyFill="1" applyBorder="1" applyAlignment="1">
      <alignment horizontal="center"/>
    </xf>
    <xf numFmtId="0" fontId="119" fillId="55" borderId="0" xfId="0" applyFont="1" applyFill="1" applyAlignment="1">
      <alignment horizontal="center"/>
    </xf>
    <xf numFmtId="0" fontId="119" fillId="55" borderId="11" xfId="0" applyFont="1" applyFill="1" applyBorder="1" applyAlignment="1">
      <alignment horizontal="center"/>
    </xf>
    <xf numFmtId="0" fontId="120" fillId="55" borderId="10" xfId="0" applyFont="1" applyFill="1" applyBorder="1"/>
    <xf numFmtId="0" fontId="120" fillId="55" borderId="12" xfId="0" applyFont="1" applyFill="1" applyBorder="1"/>
    <xf numFmtId="0" fontId="120" fillId="55" borderId="13" xfId="0" applyFont="1" applyFill="1" applyBorder="1"/>
    <xf numFmtId="0" fontId="120" fillId="55" borderId="14" xfId="0" applyFont="1" applyFill="1" applyBorder="1"/>
    <xf numFmtId="0" fontId="120" fillId="55" borderId="7" xfId="0" applyFont="1" applyFill="1" applyBorder="1"/>
    <xf numFmtId="0" fontId="120" fillId="55" borderId="8" xfId="0" applyFont="1" applyFill="1" applyBorder="1"/>
    <xf numFmtId="0" fontId="120" fillId="55" borderId="9" xfId="0" applyFont="1" applyFill="1" applyBorder="1"/>
    <xf numFmtId="0" fontId="128" fillId="56" borderId="60" xfId="0" applyFont="1" applyFill="1" applyBorder="1" applyAlignment="1">
      <alignment vertical="center"/>
    </xf>
    <xf numFmtId="0" fontId="131" fillId="59" borderId="61" xfId="0" applyFont="1" applyFill="1" applyBorder="1" applyAlignment="1">
      <alignment horizontal="center" vertical="center"/>
    </xf>
    <xf numFmtId="0" fontId="132" fillId="60" borderId="61" xfId="0" applyFont="1" applyFill="1" applyBorder="1" applyAlignment="1">
      <alignment horizontal="center" vertical="center"/>
    </xf>
    <xf numFmtId="0" fontId="133" fillId="56" borderId="60" xfId="0" applyFont="1" applyFill="1" applyBorder="1" applyAlignment="1">
      <alignment vertical="center"/>
    </xf>
    <xf numFmtId="0" fontId="136" fillId="62" borderId="62" xfId="0" applyFont="1" applyFill="1" applyBorder="1" applyAlignment="1">
      <alignment horizontal="center" vertical="center"/>
    </xf>
    <xf numFmtId="0" fontId="137" fillId="63" borderId="62" xfId="0" applyFont="1" applyFill="1" applyBorder="1" applyAlignment="1">
      <alignment vertical="center"/>
    </xf>
    <xf numFmtId="0" fontId="131" fillId="64" borderId="61" xfId="0" applyFont="1" applyFill="1" applyBorder="1" applyAlignment="1">
      <alignment vertical="center"/>
    </xf>
    <xf numFmtId="0" fontId="138" fillId="65" borderId="62" xfId="0" applyFont="1" applyFill="1" applyBorder="1" applyAlignment="1">
      <alignment vertical="center"/>
    </xf>
    <xf numFmtId="0" fontId="131" fillId="66" borderId="61" xfId="0" applyFont="1" applyFill="1" applyBorder="1" applyAlignment="1">
      <alignment vertical="center"/>
    </xf>
    <xf numFmtId="0" fontId="134" fillId="67" borderId="63" xfId="0" applyFont="1" applyFill="1" applyBorder="1" applyAlignment="1">
      <alignment vertical="center"/>
    </xf>
    <xf numFmtId="0" fontId="138" fillId="68" borderId="60" xfId="0" applyFont="1" applyFill="1" applyBorder="1" applyAlignment="1">
      <alignment vertical="center"/>
    </xf>
    <xf numFmtId="0" fontId="136" fillId="68" borderId="60" xfId="0" applyFont="1" applyFill="1" applyBorder="1" applyAlignment="1">
      <alignment vertical="center"/>
    </xf>
    <xf numFmtId="0" fontId="139" fillId="69" borderId="60" xfId="0" applyFont="1" applyFill="1" applyBorder="1" applyAlignment="1">
      <alignment vertical="center"/>
    </xf>
    <xf numFmtId="0" fontId="140" fillId="63" borderId="60" xfId="0" applyFont="1" applyFill="1" applyBorder="1" applyAlignment="1">
      <alignment vertical="center"/>
    </xf>
    <xf numFmtId="0" fontId="141" fillId="58" borderId="60" xfId="0" applyFont="1" applyFill="1" applyBorder="1" applyAlignment="1">
      <alignment vertical="center" wrapText="1"/>
    </xf>
    <xf numFmtId="0" fontId="128" fillId="70" borderId="60" xfId="0" applyFont="1" applyFill="1" applyBorder="1" applyAlignment="1">
      <alignment vertical="center" wrapText="1"/>
    </xf>
    <xf numFmtId="0" fontId="142" fillId="60" borderId="60" xfId="0" applyFont="1" applyFill="1" applyBorder="1" applyAlignment="1">
      <alignment vertical="center" wrapText="1"/>
    </xf>
    <xf numFmtId="0" fontId="143" fillId="71" borderId="60" xfId="0" applyFont="1" applyFill="1" applyBorder="1" applyAlignment="1">
      <alignment vertical="center" wrapText="1"/>
    </xf>
    <xf numFmtId="0" fontId="145" fillId="56" borderId="60" xfId="0" applyFont="1" applyFill="1" applyBorder="1" applyAlignment="1">
      <alignment vertical="center"/>
    </xf>
    <xf numFmtId="0" fontId="146" fillId="59" borderId="60" xfId="0" applyFont="1" applyFill="1" applyBorder="1" applyAlignment="1">
      <alignment vertical="center"/>
    </xf>
    <xf numFmtId="0" fontId="132" fillId="56" borderId="60" xfId="0" applyFont="1" applyFill="1" applyBorder="1" applyAlignment="1">
      <alignment vertical="center"/>
    </xf>
    <xf numFmtId="0" fontId="147" fillId="71" borderId="64" xfId="0" applyFont="1" applyFill="1" applyBorder="1" applyAlignment="1">
      <alignment vertical="center" wrapText="1"/>
    </xf>
    <xf numFmtId="0" fontId="148" fillId="71" borderId="64" xfId="0" applyFont="1" applyFill="1" applyBorder="1" applyAlignment="1">
      <alignment vertical="center" wrapText="1"/>
    </xf>
    <xf numFmtId="0" fontId="143" fillId="71" borderId="64" xfId="0" applyFont="1" applyFill="1" applyBorder="1" applyAlignment="1">
      <alignment vertical="center" wrapText="1"/>
    </xf>
    <xf numFmtId="0" fontId="149" fillId="69" borderId="65" xfId="0" applyFont="1" applyFill="1" applyBorder="1" applyAlignment="1">
      <alignment vertical="center"/>
    </xf>
    <xf numFmtId="0" fontId="150" fillId="69" borderId="65" xfId="0" applyFont="1" applyFill="1" applyBorder="1" applyAlignment="1">
      <alignment vertical="center"/>
    </xf>
    <xf numFmtId="0" fontId="139" fillId="69" borderId="65" xfId="0" applyFont="1" applyFill="1" applyBorder="1" applyAlignment="1">
      <alignment vertical="center"/>
    </xf>
    <xf numFmtId="219" fontId="144" fillId="71" borderId="64" xfId="0" applyNumberFormat="1" applyFont="1" applyFill="1" applyBorder="1" applyAlignment="1">
      <alignment horizontal="right" vertical="center" wrapText="1"/>
    </xf>
    <xf numFmtId="49" fontId="144" fillId="71" borderId="64" xfId="0" applyNumberFormat="1" applyFont="1" applyFill="1" applyBorder="1" applyAlignment="1">
      <alignment horizontal="right" vertical="center" wrapText="1"/>
    </xf>
    <xf numFmtId="216" fontId="144" fillId="71" borderId="64" xfId="0" applyNumberFormat="1" applyFont="1" applyFill="1" applyBorder="1" applyAlignment="1">
      <alignment horizontal="right" vertical="center" wrapText="1"/>
    </xf>
    <xf numFmtId="202" fontId="144" fillId="71" borderId="64" xfId="0" applyNumberFormat="1" applyFont="1" applyFill="1" applyBorder="1" applyAlignment="1">
      <alignment horizontal="right" vertical="center" wrapText="1"/>
    </xf>
    <xf numFmtId="219" fontId="144" fillId="72" borderId="60" xfId="0" applyNumberFormat="1" applyFont="1" applyFill="1" applyBorder="1" applyAlignment="1">
      <alignment horizontal="right" vertical="center"/>
    </xf>
    <xf numFmtId="49" fontId="144" fillId="72" borderId="60" xfId="0" applyNumberFormat="1" applyFont="1" applyFill="1" applyBorder="1" applyAlignment="1">
      <alignment horizontal="right" vertical="center"/>
    </xf>
    <xf numFmtId="49" fontId="144" fillId="72" borderId="60" xfId="0" applyNumberFormat="1" applyFont="1" applyFill="1" applyBorder="1" applyAlignment="1">
      <alignment horizontal="right" vertical="center" wrapText="1"/>
    </xf>
    <xf numFmtId="217" fontId="144" fillId="72" borderId="60" xfId="0" applyNumberFormat="1" applyFont="1" applyFill="1" applyBorder="1" applyAlignment="1">
      <alignment horizontal="right" vertical="center"/>
    </xf>
    <xf numFmtId="216" fontId="144" fillId="72" borderId="60" xfId="0" applyNumberFormat="1" applyFont="1" applyFill="1" applyBorder="1" applyAlignment="1">
      <alignment horizontal="right" vertical="center"/>
    </xf>
    <xf numFmtId="0" fontId="128" fillId="56" borderId="60" xfId="0" applyFont="1" applyFill="1" applyBorder="1" applyAlignment="1">
      <alignment vertical="center" wrapText="1"/>
    </xf>
    <xf numFmtId="219" fontId="149" fillId="69" borderId="65" xfId="0" applyNumberFormat="1" applyFont="1" applyFill="1" applyBorder="1" applyAlignment="1">
      <alignment horizontal="right" vertical="center"/>
    </xf>
    <xf numFmtId="202" fontId="149" fillId="69" borderId="65" xfId="0" applyNumberFormat="1" applyFont="1" applyFill="1" applyBorder="1" applyAlignment="1">
      <alignment horizontal="right" vertical="center"/>
    </xf>
    <xf numFmtId="49" fontId="149" fillId="69" borderId="65" xfId="0" applyNumberFormat="1" applyFont="1" applyFill="1" applyBorder="1" applyAlignment="1">
      <alignment horizontal="right" vertical="center"/>
    </xf>
    <xf numFmtId="216" fontId="149" fillId="69" borderId="65" xfId="0" applyNumberFormat="1" applyFont="1" applyFill="1" applyBorder="1" applyAlignment="1">
      <alignment horizontal="right" vertical="center"/>
    </xf>
    <xf numFmtId="0" fontId="58" fillId="8" borderId="0" xfId="0" applyFont="1" applyFill="1" applyAlignment="1">
      <alignment horizontal="right"/>
    </xf>
    <xf numFmtId="194" fontId="58" fillId="8" borderId="0" xfId="0" applyNumberFormat="1" applyFont="1" applyFill="1" applyAlignment="1">
      <alignment horizontal="right"/>
    </xf>
    <xf numFmtId="197" fontId="80" fillId="8" borderId="0" xfId="0" applyNumberFormat="1" applyFont="1" applyFill="1" applyAlignment="1">
      <alignment horizontal="right"/>
    </xf>
    <xf numFmtId="10" fontId="80" fillId="8" borderId="0" xfId="0" applyNumberFormat="1" applyFont="1" applyFill="1" applyAlignment="1">
      <alignment horizontal="right"/>
    </xf>
    <xf numFmtId="170" fontId="58" fillId="8" borderId="0" xfId="0" applyNumberFormat="1" applyFont="1" applyFill="1" applyAlignment="1">
      <alignment horizontal="right"/>
    </xf>
    <xf numFmtId="169" fontId="80" fillId="8" borderId="0" xfId="0" applyNumberFormat="1" applyFont="1" applyFill="1" applyAlignment="1">
      <alignment horizontal="right"/>
    </xf>
    <xf numFmtId="169" fontId="80" fillId="8" borderId="0" xfId="0" applyNumberFormat="1" applyFont="1" applyFill="1"/>
    <xf numFmtId="3" fontId="53" fillId="8" borderId="0" xfId="0" applyNumberFormat="1" applyFont="1" applyFill="1"/>
    <xf numFmtId="4" fontId="80" fillId="8" borderId="0" xfId="0" applyNumberFormat="1" applyFont="1" applyFill="1" applyAlignment="1">
      <alignment horizontal="right"/>
    </xf>
    <xf numFmtId="174" fontId="80" fillId="8" borderId="0" xfId="0" applyNumberFormat="1" applyFont="1" applyFill="1" applyAlignment="1">
      <alignment horizontal="right"/>
    </xf>
    <xf numFmtId="174" fontId="80" fillId="8" borderId="0" xfId="0" applyNumberFormat="1" applyFont="1" applyFill="1" applyAlignment="1">
      <alignment horizontal="left"/>
    </xf>
    <xf numFmtId="182" fontId="58" fillId="0" borderId="0" xfId="0" applyNumberFormat="1" applyFont="1" applyAlignment="1">
      <alignment horizontal="right" vertical="center"/>
    </xf>
    <xf numFmtId="209" fontId="151" fillId="0" borderId="0" xfId="0" applyNumberFormat="1" applyFont="1" applyAlignment="1">
      <alignment wrapText="1"/>
    </xf>
    <xf numFmtId="10" fontId="151" fillId="0" borderId="0" xfId="0" applyNumberFormat="1" applyFont="1" applyAlignment="1">
      <alignment wrapText="1"/>
    </xf>
    <xf numFmtId="174" fontId="151" fillId="0" borderId="0" xfId="0" applyNumberFormat="1" applyFont="1" applyAlignment="1">
      <alignment wrapText="1"/>
    </xf>
    <xf numFmtId="220" fontId="152" fillId="0" borderId="0" xfId="0" applyNumberFormat="1" applyFont="1"/>
    <xf numFmtId="220" fontId="153" fillId="0" borderId="0" xfId="0" applyNumberFormat="1" applyFont="1"/>
    <xf numFmtId="202" fontId="153" fillId="0" borderId="0" xfId="0" applyNumberFormat="1" applyFont="1"/>
    <xf numFmtId="216" fontId="152" fillId="0" borderId="0" xfId="0" applyNumberFormat="1" applyFont="1"/>
    <xf numFmtId="187" fontId="154" fillId="0" borderId="56" xfId="0" applyNumberFormat="1" applyFont="1" applyBorder="1" applyAlignment="1">
      <alignment horizontal="right" vertical="center"/>
    </xf>
    <xf numFmtId="187" fontId="155" fillId="0" borderId="56" xfId="0" applyNumberFormat="1" applyFont="1" applyBorder="1" applyAlignment="1">
      <alignment horizontal="right" vertical="center"/>
    </xf>
    <xf numFmtId="174" fontId="154" fillId="0" borderId="56" xfId="0" applyNumberFormat="1" applyFont="1" applyBorder="1" applyAlignment="1">
      <alignment horizontal="right" vertical="center"/>
    </xf>
    <xf numFmtId="182" fontId="155" fillId="0" borderId="56" xfId="0" applyNumberFormat="1" applyFont="1" applyBorder="1" applyAlignment="1">
      <alignment horizontal="right" vertical="center"/>
    </xf>
    <xf numFmtId="174" fontId="155" fillId="0" borderId="56" xfId="0" applyNumberFormat="1" applyFont="1" applyBorder="1" applyAlignment="1">
      <alignment horizontal="right" vertical="center"/>
    </xf>
    <xf numFmtId="187" fontId="154" fillId="0" borderId="57" xfId="0" applyNumberFormat="1" applyFont="1" applyBorder="1" applyAlignment="1">
      <alignment horizontal="right" vertical="center"/>
    </xf>
    <xf numFmtId="187" fontId="155" fillId="0" borderId="57" xfId="0" applyNumberFormat="1" applyFont="1" applyBorder="1" applyAlignment="1">
      <alignment horizontal="right" vertical="center"/>
    </xf>
    <xf numFmtId="174" fontId="154" fillId="0" borderId="57" xfId="0" applyNumberFormat="1" applyFont="1" applyBorder="1" applyAlignment="1">
      <alignment horizontal="right" vertical="center"/>
    </xf>
    <xf numFmtId="182" fontId="155" fillId="0" borderId="57" xfId="0" applyNumberFormat="1" applyFont="1" applyBorder="1" applyAlignment="1">
      <alignment horizontal="right" vertical="center"/>
    </xf>
    <xf numFmtId="174" fontId="155" fillId="0" borderId="57" xfId="0" applyNumberFormat="1" applyFont="1" applyBorder="1" applyAlignment="1">
      <alignment horizontal="right" vertical="center"/>
    </xf>
    <xf numFmtId="187" fontId="156" fillId="32" borderId="58" xfId="0" applyNumberFormat="1" applyFont="1" applyFill="1" applyBorder="1" applyAlignment="1">
      <alignment horizontal="right" vertical="center"/>
    </xf>
    <xf numFmtId="174" fontId="156" fillId="32" borderId="58" xfId="0" applyNumberFormat="1" applyFont="1" applyFill="1" applyBorder="1" applyAlignment="1">
      <alignment horizontal="right" vertical="center"/>
    </xf>
    <xf numFmtId="182" fontId="156" fillId="32" borderId="58" xfId="0" applyNumberFormat="1" applyFont="1" applyFill="1" applyBorder="1" applyAlignment="1">
      <alignment horizontal="right" vertical="center"/>
    </xf>
    <xf numFmtId="187" fontId="154" fillId="0" borderId="59" xfId="0" applyNumberFormat="1" applyFont="1" applyBorder="1" applyAlignment="1">
      <alignment horizontal="right" vertical="center"/>
    </xf>
    <xf numFmtId="2" fontId="155" fillId="0" borderId="56" xfId="0" applyNumberFormat="1" applyFont="1" applyBorder="1" applyAlignment="1">
      <alignment horizontal="right" vertical="center"/>
    </xf>
    <xf numFmtId="10" fontId="155" fillId="0" borderId="56" xfId="0" applyNumberFormat="1" applyFont="1" applyBorder="1" applyAlignment="1">
      <alignment horizontal="right" vertical="center"/>
    </xf>
    <xf numFmtId="206" fontId="155" fillId="0" borderId="56" xfId="0" applyNumberFormat="1" applyFont="1" applyBorder="1" applyAlignment="1">
      <alignment horizontal="right" vertical="center"/>
    </xf>
    <xf numFmtId="2" fontId="155" fillId="0" borderId="56" xfId="0" applyNumberFormat="1" applyFont="1" applyBorder="1" applyAlignment="1">
      <alignment horizontal="right" vertical="center" wrapText="1"/>
    </xf>
    <xf numFmtId="2" fontId="155" fillId="0" borderId="57" xfId="0" applyNumberFormat="1" applyFont="1" applyBorder="1" applyAlignment="1">
      <alignment horizontal="right" vertical="center"/>
    </xf>
    <xf numFmtId="10" fontId="155" fillId="0" borderId="57" xfId="0" applyNumberFormat="1" applyFont="1" applyBorder="1" applyAlignment="1">
      <alignment horizontal="right" vertical="center"/>
    </xf>
    <xf numFmtId="206" fontId="155" fillId="0" borderId="57" xfId="0" applyNumberFormat="1" applyFont="1" applyBorder="1" applyAlignment="1">
      <alignment horizontal="right" vertical="center"/>
    </xf>
    <xf numFmtId="2" fontId="155" fillId="0" borderId="57" xfId="0" applyNumberFormat="1" applyFont="1" applyBorder="1" applyAlignment="1">
      <alignment horizontal="right" vertical="center" wrapText="1"/>
    </xf>
    <xf numFmtId="2" fontId="155" fillId="0" borderId="58" xfId="0" applyNumberFormat="1" applyFont="1" applyBorder="1" applyAlignment="1">
      <alignment horizontal="right" vertical="center"/>
    </xf>
    <xf numFmtId="10" fontId="155" fillId="0" borderId="58" xfId="0" applyNumberFormat="1" applyFont="1" applyBorder="1" applyAlignment="1">
      <alignment horizontal="right" vertical="center"/>
    </xf>
    <xf numFmtId="206" fontId="155" fillId="0" borderId="58" xfId="0" applyNumberFormat="1" applyFont="1" applyBorder="1" applyAlignment="1">
      <alignment horizontal="right" vertical="center"/>
    </xf>
    <xf numFmtId="2" fontId="155" fillId="0" borderId="58" xfId="0" applyNumberFormat="1" applyFont="1" applyBorder="1" applyAlignment="1">
      <alignment horizontal="right" vertical="center" wrapText="1"/>
    </xf>
    <xf numFmtId="0" fontId="58" fillId="0" borderId="0" xfId="0" applyFont="1" applyAlignment="1">
      <alignment horizontal="left" vertical="center" wrapText="1"/>
    </xf>
    <xf numFmtId="207" fontId="152" fillId="0" borderId="0" xfId="0" applyNumberFormat="1" applyFont="1"/>
    <xf numFmtId="207" fontId="77" fillId="2" borderId="0" xfId="0" applyNumberFormat="1" applyFont="1" applyFill="1" applyAlignment="1">
      <alignment horizontal="center" vertical="center" wrapText="1"/>
    </xf>
    <xf numFmtId="197" fontId="49" fillId="8" borderId="0" xfId="0" applyNumberFormat="1" applyFont="1" applyFill="1" applyAlignment="1">
      <alignment horizontal="right"/>
    </xf>
    <xf numFmtId="174" fontId="49" fillId="8" borderId="0" xfId="0" applyNumberFormat="1" applyFont="1" applyFill="1" applyAlignment="1">
      <alignment horizontal="right"/>
    </xf>
    <xf numFmtId="186" fontId="80" fillId="8" borderId="0" xfId="0" applyNumberFormat="1" applyFont="1" applyFill="1" applyAlignment="1">
      <alignment horizontal="right"/>
    </xf>
    <xf numFmtId="177" fontId="80" fillId="8" borderId="0" xfId="0" applyNumberFormat="1" applyFont="1" applyFill="1" applyAlignment="1">
      <alignment horizontal="right"/>
    </xf>
    <xf numFmtId="0" fontId="53" fillId="8" borderId="0" xfId="0" applyFont="1" applyFill="1" applyAlignment="1">
      <alignment horizontal="right"/>
    </xf>
    <xf numFmtId="166" fontId="53" fillId="8" borderId="0" xfId="0" applyNumberFormat="1" applyFont="1" applyFill="1" applyAlignment="1">
      <alignment horizontal="right"/>
    </xf>
    <xf numFmtId="0" fontId="157" fillId="0" borderId="0" xfId="0" applyFont="1" applyAlignment="1">
      <alignment horizontal="center"/>
    </xf>
    <xf numFmtId="10" fontId="80" fillId="8" borderId="0" xfId="0" applyNumberFormat="1" applyFont="1" applyFill="1" applyAlignment="1">
      <alignment horizontal="left"/>
    </xf>
    <xf numFmtId="169" fontId="49" fillId="8" borderId="0" xfId="0" applyNumberFormat="1" applyFont="1" applyFill="1"/>
    <xf numFmtId="0" fontId="49" fillId="8" borderId="0" xfId="0" applyFont="1" applyFill="1" applyAlignment="1">
      <alignment horizontal="left"/>
    </xf>
    <xf numFmtId="191" fontId="49" fillId="8" borderId="0" xfId="0" applyNumberFormat="1" applyFont="1" applyFill="1" applyAlignment="1">
      <alignment horizontal="left"/>
    </xf>
    <xf numFmtId="0" fontId="80" fillId="8" borderId="0" xfId="0" applyFont="1" applyFill="1"/>
    <xf numFmtId="207" fontId="53" fillId="0" borderId="0" xfId="0" applyNumberFormat="1" applyFont="1" applyAlignment="1">
      <alignment horizontal="right" vertical="center"/>
    </xf>
    <xf numFmtId="207" fontId="153" fillId="0" borderId="0" xfId="0" applyNumberFormat="1" applyFont="1"/>
    <xf numFmtId="207" fontId="57" fillId="2" borderId="0" xfId="0" applyNumberFormat="1" applyFont="1" applyFill="1" applyAlignment="1">
      <alignment horizontal="center" vertical="center" wrapText="1"/>
    </xf>
    <xf numFmtId="0" fontId="127" fillId="3" borderId="0" xfId="0" applyFont="1" applyFill="1" applyAlignment="1">
      <alignment horizontal="left" vertical="center" wrapText="1"/>
    </xf>
    <xf numFmtId="174" fontId="153" fillId="0" borderId="0" xfId="0" applyNumberFormat="1" applyFont="1"/>
    <xf numFmtId="208" fontId="153" fillId="0" borderId="0" xfId="0" applyNumberFormat="1" applyFont="1"/>
    <xf numFmtId="3" fontId="80" fillId="0" borderId="11" xfId="0" applyNumberFormat="1" applyFont="1" applyBorder="1" applyAlignment="1">
      <alignment wrapText="1"/>
    </xf>
    <xf numFmtId="1" fontId="80" fillId="0" borderId="11" xfId="0" applyNumberFormat="1" applyFont="1" applyBorder="1" applyAlignment="1">
      <alignment wrapText="1"/>
    </xf>
    <xf numFmtId="200" fontId="80" fillId="0" borderId="11" xfId="0" applyNumberFormat="1" applyFont="1" applyBorder="1" applyAlignment="1">
      <alignment wrapText="1"/>
    </xf>
    <xf numFmtId="0" fontId="53" fillId="0" borderId="0" xfId="0" applyFont="1" applyAlignment="1">
      <alignment vertical="center"/>
    </xf>
    <xf numFmtId="187" fontId="53" fillId="0" borderId="0" xfId="0" applyNumberFormat="1" applyFont="1" applyAlignment="1">
      <alignment horizontal="right" vertical="center" wrapText="1"/>
    </xf>
    <xf numFmtId="0" fontId="153" fillId="0" borderId="0" xfId="0" applyFont="1" applyAlignment="1">
      <alignment wrapText="1"/>
    </xf>
    <xf numFmtId="0" fontId="158" fillId="20" borderId="0" xfId="0" applyFont="1" applyFill="1" applyAlignment="1">
      <alignment wrapText="1"/>
    </xf>
    <xf numFmtId="0" fontId="159" fillId="0" borderId="0" xfId="0" applyFont="1" applyAlignment="1">
      <alignment wrapText="1"/>
    </xf>
    <xf numFmtId="213" fontId="153" fillId="0" borderId="0" xfId="0" applyNumberFormat="1" applyFont="1" applyAlignment="1">
      <alignment wrapText="1"/>
    </xf>
    <xf numFmtId="200" fontId="153" fillId="0" borderId="0" xfId="0" applyNumberFormat="1" applyFont="1" applyAlignment="1">
      <alignment wrapText="1"/>
    </xf>
    <xf numFmtId="0" fontId="159" fillId="0" borderId="0" xfId="0" applyFont="1" applyAlignment="1">
      <alignment vertical="center" wrapText="1"/>
    </xf>
    <xf numFmtId="174" fontId="49" fillId="0" borderId="0" xfId="0" applyNumberFormat="1" applyFont="1" applyAlignment="1">
      <alignment horizontal="right"/>
    </xf>
    <xf numFmtId="3" fontId="49" fillId="4" borderId="0" xfId="0" applyNumberFormat="1" applyFont="1" applyFill="1" applyAlignment="1">
      <alignment horizontal="right"/>
    </xf>
    <xf numFmtId="174" fontId="49" fillId="4" borderId="0" xfId="0" applyNumberFormat="1" applyFont="1" applyFill="1" applyAlignment="1">
      <alignment horizontal="left"/>
    </xf>
    <xf numFmtId="174" fontId="49" fillId="4" borderId="0" xfId="0" applyNumberFormat="1" applyFont="1" applyFill="1" applyAlignment="1">
      <alignment horizontal="right"/>
    </xf>
    <xf numFmtId="0" fontId="68" fillId="14" borderId="36" xfId="0" applyFont="1" applyFill="1" applyBorder="1" applyAlignment="1">
      <alignment vertical="center"/>
    </xf>
    <xf numFmtId="0" fontId="57" fillId="2" borderId="0" xfId="0" applyFont="1" applyFill="1" applyAlignment="1">
      <alignment horizontal="center" vertical="center" wrapText="1"/>
    </xf>
    <xf numFmtId="0" fontId="58" fillId="0" borderId="0" xfId="0" applyFont="1" applyAlignment="1">
      <alignment horizontal="left" vertical="center"/>
    </xf>
    <xf numFmtId="217" fontId="58" fillId="0" borderId="0" xfId="0" applyNumberFormat="1" applyFont="1" applyAlignment="1">
      <alignment horizontal="left" vertical="center"/>
    </xf>
    <xf numFmtId="10" fontId="80" fillId="0" borderId="0" xfId="0" applyNumberFormat="1" applyFont="1" applyAlignment="1">
      <alignment horizontal="right"/>
    </xf>
    <xf numFmtId="165" fontId="80" fillId="8" borderId="0" xfId="0" applyNumberFormat="1" applyFont="1" applyFill="1" applyAlignment="1">
      <alignment horizontal="right"/>
    </xf>
    <xf numFmtId="0" fontId="75" fillId="0" borderId="0" xfId="0" applyFont="1" applyAlignment="1">
      <alignment horizontal="left" vertical="center" wrapText="1"/>
    </xf>
    <xf numFmtId="4" fontId="144" fillId="72" borderId="60" xfId="0" applyNumberFormat="1" applyFont="1" applyFill="1" applyBorder="1" applyAlignment="1">
      <alignment horizontal="right" vertical="center"/>
    </xf>
    <xf numFmtId="174" fontId="144" fillId="72" borderId="60" xfId="0" applyNumberFormat="1" applyFont="1" applyFill="1" applyBorder="1" applyAlignment="1">
      <alignment horizontal="right" vertical="center"/>
    </xf>
    <xf numFmtId="1" fontId="144" fillId="72" borderId="60" xfId="0" applyNumberFormat="1" applyFont="1" applyFill="1" applyBorder="1" applyAlignment="1">
      <alignment horizontal="right" vertical="center"/>
    </xf>
    <xf numFmtId="0" fontId="117" fillId="51" borderId="0" xfId="0" applyFont="1" applyFill="1"/>
    <xf numFmtId="0" fontId="117" fillId="42" borderId="0" xfId="0" applyFont="1" applyFill="1"/>
    <xf numFmtId="0" fontId="117" fillId="45" borderId="0" xfId="0" applyFont="1" applyFill="1"/>
    <xf numFmtId="0" fontId="117" fillId="47" borderId="0" xfId="0" applyFont="1" applyFill="1"/>
    <xf numFmtId="0" fontId="117" fillId="49" borderId="0" xfId="0" applyFont="1" applyFill="1"/>
    <xf numFmtId="0" fontId="65" fillId="34" borderId="0" xfId="0" applyFont="1" applyFill="1"/>
    <xf numFmtId="0" fontId="109" fillId="36" borderId="0" xfId="0" applyFont="1" applyFill="1" applyAlignment="1">
      <alignment wrapText="1"/>
    </xf>
    <xf numFmtId="0" fontId="100" fillId="34" borderId="0" xfId="0" applyFont="1" applyFill="1"/>
    <xf numFmtId="0" fontId="59" fillId="0" borderId="0" xfId="0" applyFont="1" applyAlignment="1">
      <alignment horizontal="left" vertical="center" wrapText="1"/>
    </xf>
    <xf numFmtId="0" fontId="0" fillId="0" borderId="0" xfId="0" applyAlignment="1">
      <alignment wrapText="1"/>
    </xf>
    <xf numFmtId="0" fontId="37" fillId="2" borderId="7" xfId="0" applyFont="1" applyFill="1" applyBorder="1"/>
    <xf numFmtId="0" fontId="0" fillId="0" borderId="0" xfId="0"/>
    <xf numFmtId="0" fontId="3" fillId="9" borderId="10" xfId="0" applyFont="1" applyFill="1" applyBorder="1"/>
    <xf numFmtId="0" fontId="57" fillId="3" borderId="0" xfId="0" applyFont="1" applyFill="1" applyAlignment="1">
      <alignment horizontal="left" vertical="center"/>
    </xf>
    <xf numFmtId="0" fontId="57" fillId="3" borderId="0" xfId="0" applyFont="1" applyFill="1" applyAlignment="1">
      <alignment horizontal="left" vertical="center" wrapText="1"/>
    </xf>
    <xf numFmtId="0" fontId="119" fillId="55" borderId="10" xfId="0" applyFont="1" applyFill="1" applyBorder="1" applyAlignment="1">
      <alignment horizontal="left"/>
    </xf>
    <xf numFmtId="0" fontId="119" fillId="55" borderId="0" xfId="0" applyFont="1" applyFill="1" applyAlignment="1">
      <alignment horizontal="left"/>
    </xf>
    <xf numFmtId="0" fontId="119" fillId="55" borderId="11" xfId="0" applyFont="1" applyFill="1" applyBorder="1" applyAlignment="1">
      <alignment horizontal="left"/>
    </xf>
    <xf numFmtId="0" fontId="119" fillId="55" borderId="0" xfId="0" applyFont="1" applyFill="1"/>
    <xf numFmtId="0" fontId="119" fillId="55" borderId="11" xfId="0" applyFont="1" applyFill="1" applyBorder="1"/>
    <xf numFmtId="0" fontId="71" fillId="0" borderId="0" xfId="0" applyFont="1" applyAlignment="1">
      <alignment horizontal="center" vertical="center" wrapText="1"/>
    </xf>
    <xf numFmtId="0" fontId="71" fillId="0" borderId="11" xfId="0" applyFont="1" applyBorder="1" applyAlignment="1">
      <alignment horizontal="center" vertical="center" wrapText="1"/>
    </xf>
    <xf numFmtId="0" fontId="71" fillId="0" borderId="13" xfId="0" applyFont="1" applyBorder="1" applyAlignment="1">
      <alignment horizontal="center" vertical="center" wrapText="1"/>
    </xf>
    <xf numFmtId="0" fontId="71" fillId="0" borderId="14" xfId="0" applyFont="1" applyBorder="1" applyAlignment="1">
      <alignment horizontal="center" vertical="center" wrapText="1"/>
    </xf>
    <xf numFmtId="0" fontId="111" fillId="39" borderId="7" xfId="0" applyFont="1" applyFill="1" applyBorder="1" applyAlignment="1">
      <alignment horizontal="center" vertical="center"/>
    </xf>
    <xf numFmtId="0" fontId="111" fillId="39" borderId="8" xfId="0" applyFont="1" applyFill="1" applyBorder="1" applyAlignment="1">
      <alignment horizontal="center" vertical="center"/>
    </xf>
    <xf numFmtId="0" fontId="111" fillId="39" borderId="9" xfId="0" applyFont="1" applyFill="1" applyBorder="1" applyAlignment="1">
      <alignment horizontal="center" vertical="center"/>
    </xf>
    <xf numFmtId="0" fontId="111" fillId="39" borderId="0" xfId="0" applyFont="1" applyFill="1" applyAlignment="1">
      <alignment horizontal="center" vertical="center"/>
    </xf>
    <xf numFmtId="0" fontId="27" fillId="11" borderId="24" xfId="0" applyFont="1" applyFill="1" applyBorder="1" applyAlignment="1">
      <alignment horizontal="center" vertical="top"/>
    </xf>
    <xf numFmtId="0" fontId="27" fillId="11" borderId="25" xfId="0" applyFont="1" applyFill="1" applyBorder="1" applyAlignment="1">
      <alignment horizontal="center" vertical="top"/>
    </xf>
    <xf numFmtId="0" fontId="27" fillId="11" borderId="26" xfId="0" applyFont="1" applyFill="1" applyBorder="1" applyAlignment="1">
      <alignment horizontal="center" vertical="top"/>
    </xf>
    <xf numFmtId="0" fontId="97" fillId="25" borderId="7" xfId="0" applyFont="1" applyFill="1" applyBorder="1" applyAlignment="1">
      <alignment horizontal="left" vertical="center"/>
    </xf>
    <xf numFmtId="0" fontId="97" fillId="25" borderId="8" xfId="0" applyFont="1" applyFill="1" applyBorder="1" applyAlignment="1">
      <alignment horizontal="left" vertical="center"/>
    </xf>
    <xf numFmtId="0" fontId="97" fillId="25" borderId="9" xfId="0" applyFont="1" applyFill="1" applyBorder="1" applyAlignment="1">
      <alignment horizontal="left" vertical="center"/>
    </xf>
    <xf numFmtId="0" fontId="0" fillId="0" borderId="0" xfId="0" applyAlignment="1">
      <alignment horizontal="center"/>
    </xf>
    <xf numFmtId="168" fontId="4" fillId="8" borderId="0" xfId="0" applyNumberFormat="1" applyFont="1" applyFill="1" applyAlignment="1">
      <alignment horizontal="right"/>
    </xf>
    <xf numFmtId="0" fontId="60" fillId="3" borderId="0" xfId="0" applyFont="1" applyFill="1" applyAlignment="1">
      <alignment horizontal="left" vertical="center"/>
    </xf>
    <xf numFmtId="0" fontId="106" fillId="0" borderId="0" xfId="0" applyFont="1" applyAlignment="1">
      <alignment horizontal="left" vertical="center" wrapText="1"/>
    </xf>
    <xf numFmtId="0" fontId="106" fillId="0" borderId="57" xfId="0" applyFont="1" applyBorder="1" applyAlignment="1">
      <alignment horizontal="left" vertical="center" wrapText="1"/>
    </xf>
    <xf numFmtId="0" fontId="107" fillId="31" borderId="7" xfId="0" applyFont="1" applyFill="1" applyBorder="1" applyAlignment="1">
      <alignment vertical="center"/>
    </xf>
    <xf numFmtId="0" fontId="107" fillId="31" borderId="7" xfId="0" applyFont="1" applyFill="1" applyBorder="1" applyAlignment="1">
      <alignment vertical="center" wrapText="1"/>
    </xf>
    <xf numFmtId="0" fontId="104" fillId="0" borderId="10" xfId="0" applyFont="1" applyBorder="1" applyAlignment="1">
      <alignment vertical="center"/>
    </xf>
    <xf numFmtId="0" fontId="104" fillId="0" borderId="10" xfId="0" applyFont="1" applyBorder="1" applyAlignment="1">
      <alignment vertical="center" wrapText="1"/>
    </xf>
    <xf numFmtId="0" fontId="102" fillId="31" borderId="10" xfId="0" applyFont="1" applyFill="1" applyBorder="1" applyAlignment="1">
      <alignment vertical="center"/>
    </xf>
    <xf numFmtId="0" fontId="102" fillId="31" borderId="10" xfId="0" applyFont="1" applyFill="1" applyBorder="1" applyAlignment="1">
      <alignment vertical="center" wrapText="1"/>
    </xf>
    <xf numFmtId="0" fontId="103" fillId="29" borderId="0" xfId="0" applyFont="1" applyFill="1" applyAlignment="1">
      <alignment horizontal="left" vertical="center"/>
    </xf>
    <xf numFmtId="0" fontId="103" fillId="29" borderId="0" xfId="0" applyFont="1" applyFill="1" applyAlignment="1">
      <alignment horizontal="left" vertical="center" wrapText="1"/>
    </xf>
    <xf numFmtId="0" fontId="106" fillId="0" borderId="59" xfId="0" applyFont="1" applyBorder="1" applyAlignment="1">
      <alignment horizontal="left" vertical="center" wrapText="1"/>
    </xf>
    <xf numFmtId="0" fontId="104" fillId="0" borderId="0" xfId="0" applyFont="1" applyAlignment="1">
      <alignment horizontal="left" vertical="center" wrapText="1"/>
    </xf>
    <xf numFmtId="0" fontId="103" fillId="40" borderId="0" xfId="0" applyFont="1" applyFill="1" applyAlignment="1">
      <alignment horizontal="left" vertical="center"/>
    </xf>
    <xf numFmtId="0" fontId="110" fillId="40" borderId="0" xfId="0" applyFont="1" applyFill="1" applyAlignment="1">
      <alignment horizontal="left" vertical="center" wrapText="1"/>
    </xf>
    <xf numFmtId="0" fontId="106" fillId="0" borderId="58" xfId="0" applyFont="1" applyBorder="1" applyAlignment="1">
      <alignment horizontal="left" vertical="center" wrapText="1"/>
    </xf>
    <xf numFmtId="0" fontId="120" fillId="0" borderId="0" xfId="0" applyFont="1" applyAlignment="1">
      <alignment horizontal="left" vertical="center" wrapText="1"/>
    </xf>
    <xf numFmtId="0" fontId="53" fillId="0" borderId="0" xfId="0" applyFont="1" applyAlignment="1">
      <alignment horizontal="left" vertical="center" wrapText="1"/>
    </xf>
    <xf numFmtId="0" fontId="10" fillId="2" borderId="0" xfId="0" applyFont="1" applyFill="1" applyAlignment="1">
      <alignment horizontal="center" vertical="center" wrapText="1"/>
    </xf>
    <xf numFmtId="0" fontId="123" fillId="44" borderId="0" xfId="0" applyFont="1" applyFill="1" applyAlignment="1">
      <alignment wrapText="1"/>
    </xf>
    <xf numFmtId="0" fontId="68" fillId="0" borderId="0" xfId="0" applyFont="1" applyAlignment="1">
      <alignment horizontal="left" vertical="center" wrapText="1"/>
    </xf>
    <xf numFmtId="0" fontId="3" fillId="2" borderId="10" xfId="0" applyFont="1" applyFill="1" applyBorder="1"/>
    <xf numFmtId="0" fontId="23" fillId="37" borderId="0" xfId="0" applyFont="1" applyFill="1"/>
    <xf numFmtId="0" fontId="103" fillId="29" borderId="54" xfId="0" applyFont="1" applyFill="1" applyBorder="1" applyAlignment="1">
      <alignment vertical="center"/>
    </xf>
    <xf numFmtId="0" fontId="103" fillId="29" borderId="54" xfId="0" applyFont="1" applyFill="1" applyBorder="1" applyAlignment="1">
      <alignment vertical="center" wrapText="1"/>
    </xf>
    <xf numFmtId="0" fontId="108" fillId="29" borderId="54" xfId="0" applyFont="1" applyFill="1" applyBorder="1" applyAlignment="1">
      <alignment vertical="center"/>
    </xf>
    <xf numFmtId="0" fontId="108" fillId="29" borderId="54" xfId="0" applyFont="1" applyFill="1" applyBorder="1" applyAlignment="1">
      <alignment vertical="center" wrapText="1"/>
    </xf>
    <xf numFmtId="0" fontId="104" fillId="0" borderId="54" xfId="0" applyFont="1" applyBorder="1" applyAlignment="1">
      <alignment vertical="center" wrapText="1"/>
    </xf>
    <xf numFmtId="0" fontId="57" fillId="18" borderId="27" xfId="1" applyFont="1" applyFill="1" applyBorder="1" applyAlignment="1">
      <alignment horizontal="left" vertical="center"/>
    </xf>
    <xf numFmtId="0" fontId="77" fillId="18" borderId="0" xfId="1" applyFont="1" applyFill="1" applyAlignment="1">
      <alignment vertical="center"/>
    </xf>
    <xf numFmtId="0" fontId="57" fillId="18" borderId="0" xfId="1" applyFont="1" applyFill="1" applyAlignment="1">
      <alignment vertical="center"/>
    </xf>
    <xf numFmtId="0" fontId="65" fillId="17" borderId="27" xfId="1" applyFont="1" applyFill="1" applyBorder="1" applyAlignment="1">
      <alignment vertical="center"/>
    </xf>
    <xf numFmtId="0" fontId="58" fillId="17" borderId="0" xfId="1" applyFont="1" applyFill="1" applyAlignment="1">
      <alignment vertical="center"/>
    </xf>
    <xf numFmtId="0" fontId="66" fillId="17" borderId="0" xfId="1" applyFont="1" applyFill="1" applyAlignment="1">
      <alignment vertical="center"/>
    </xf>
    <xf numFmtId="0" fontId="57" fillId="18" borderId="0" xfId="1" applyFont="1" applyFill="1" applyAlignment="1">
      <alignment horizontal="center" vertical="center"/>
    </xf>
    <xf numFmtId="0" fontId="57" fillId="18" borderId="28" xfId="1" applyFont="1" applyFill="1" applyBorder="1" applyAlignment="1">
      <alignment horizontal="left" vertical="center"/>
    </xf>
    <xf numFmtId="0" fontId="57" fillId="18" borderId="29" xfId="1" applyFont="1" applyFill="1" applyBorder="1" applyAlignment="1">
      <alignment horizontal="left" vertical="center"/>
    </xf>
    <xf numFmtId="0" fontId="57" fillId="18" borderId="30" xfId="1" applyFont="1" applyFill="1" applyBorder="1" applyAlignment="1">
      <alignment horizontal="left" vertical="center"/>
    </xf>
    <xf numFmtId="0" fontId="116" fillId="18" borderId="28" xfId="0" applyFont="1" applyFill="1" applyBorder="1" applyAlignment="1">
      <alignment horizontal="left" vertical="center"/>
    </xf>
    <xf numFmtId="0" fontId="10" fillId="18" borderId="28" xfId="1" applyFont="1" applyFill="1" applyBorder="1" applyAlignment="1">
      <alignment horizontal="left" vertical="center"/>
    </xf>
    <xf numFmtId="200" fontId="77" fillId="18" borderId="0" xfId="1" applyNumberFormat="1" applyFont="1" applyFill="1" applyAlignment="1">
      <alignment horizontal="center" vertical="center"/>
    </xf>
    <xf numFmtId="200" fontId="57" fillId="18" borderId="0" xfId="1" applyNumberFormat="1" applyFont="1" applyFill="1" applyAlignment="1">
      <alignment horizontal="center" vertical="center"/>
    </xf>
    <xf numFmtId="0" fontId="77" fillId="18" borderId="0" xfId="0" applyFont="1" applyFill="1" applyAlignment="1">
      <alignment horizontal="center" vertical="center"/>
    </xf>
    <xf numFmtId="0" fontId="77" fillId="18" borderId="0" xfId="1" applyFont="1" applyFill="1" applyAlignment="1">
      <alignment horizontal="center" vertical="center"/>
    </xf>
    <xf numFmtId="0" fontId="66" fillId="0" borderId="34" xfId="1" applyFont="1" applyBorder="1" applyAlignment="1">
      <alignment vertical="center"/>
    </xf>
    <xf numFmtId="201" fontId="58" fillId="0" borderId="34" xfId="1" applyNumberFormat="1" applyFont="1" applyBorder="1" applyAlignment="1">
      <alignment horizontal="right" vertical="center"/>
    </xf>
    <xf numFmtId="201" fontId="66" fillId="0" borderId="34" xfId="1" applyNumberFormat="1" applyFont="1" applyBorder="1" applyAlignment="1">
      <alignment horizontal="right" vertical="center"/>
    </xf>
    <xf numFmtId="201" fontId="82" fillId="0" borderId="34" xfId="1" applyNumberFormat="1" applyFont="1" applyBorder="1" applyAlignment="1">
      <alignment horizontal="right" vertical="center"/>
    </xf>
    <xf numFmtId="0" fontId="53" fillId="19" borderId="31" xfId="0" applyFont="1" applyFill="1" applyBorder="1" applyAlignment="1">
      <alignment vertical="center" wrapText="1"/>
    </xf>
    <xf numFmtId="0" fontId="66" fillId="19" borderId="32" xfId="1" applyFont="1" applyFill="1" applyBorder="1" applyAlignment="1">
      <alignment vertical="center" wrapText="1"/>
    </xf>
    <xf numFmtId="0" fontId="66" fillId="19" borderId="33" xfId="1" applyFont="1" applyFill="1" applyBorder="1" applyAlignment="1">
      <alignment vertical="center" wrapText="1"/>
    </xf>
    <xf numFmtId="0" fontId="67" fillId="19" borderId="34" xfId="1" applyFont="1" applyFill="1" applyBorder="1" applyAlignment="1">
      <alignment horizontal="center" vertical="center"/>
    </xf>
    <xf numFmtId="0" fontId="83" fillId="19" borderId="55" xfId="1" applyFont="1" applyFill="1" applyBorder="1" applyAlignment="1">
      <alignment horizontal="center" vertical="center" wrapText="1"/>
    </xf>
    <xf numFmtId="0" fontId="83" fillId="19" borderId="54" xfId="1" applyFont="1" applyFill="1" applyBorder="1" applyAlignment="1">
      <alignment horizontal="center" vertical="center" wrapText="1"/>
    </xf>
    <xf numFmtId="201" fontId="78" fillId="19" borderId="34" xfId="1" applyNumberFormat="1" applyFont="1" applyFill="1" applyBorder="1" applyAlignment="1">
      <alignment horizontal="center" vertical="center"/>
    </xf>
    <xf numFmtId="201" fontId="73" fillId="19" borderId="34" xfId="1" applyNumberFormat="1" applyFont="1" applyFill="1" applyBorder="1" applyAlignment="1">
      <alignment horizontal="center" vertical="center"/>
    </xf>
    <xf numFmtId="0" fontId="78" fillId="19" borderId="34" xfId="1" applyFont="1" applyFill="1" applyBorder="1" applyAlignment="1">
      <alignment horizontal="center" vertical="center"/>
    </xf>
    <xf numFmtId="0" fontId="73" fillId="19" borderId="34" xfId="1" applyFont="1" applyFill="1" applyBorder="1" applyAlignment="1">
      <alignment horizontal="center" vertical="center"/>
    </xf>
    <xf numFmtId="0" fontId="79" fillId="19" borderId="34" xfId="1" applyFont="1" applyFill="1" applyBorder="1" applyAlignment="1">
      <alignment horizontal="center" vertical="center"/>
    </xf>
    <xf numFmtId="202" fontId="79" fillId="19" borderId="34" xfId="1" applyNumberFormat="1" applyFont="1" applyFill="1" applyBorder="1" applyAlignment="1">
      <alignment horizontal="center" vertical="center"/>
    </xf>
    <xf numFmtId="202" fontId="73" fillId="19" borderId="34" xfId="1" applyNumberFormat="1" applyFont="1" applyFill="1" applyBorder="1" applyAlignment="1">
      <alignment horizontal="center" vertical="center"/>
    </xf>
    <xf numFmtId="0" fontId="80" fillId="19" borderId="34" xfId="1" applyFont="1" applyFill="1" applyBorder="1" applyAlignment="1">
      <alignment horizontal="center" vertical="center"/>
    </xf>
    <xf numFmtId="0" fontId="72" fillId="19" borderId="34" xfId="1" applyFont="1" applyFill="1" applyBorder="1" applyAlignment="1">
      <alignment horizontal="center" vertical="center"/>
    </xf>
    <xf numFmtId="0" fontId="81" fillId="19" borderId="34" xfId="1" applyFont="1" applyFill="1" applyBorder="1" applyAlignment="1">
      <alignment horizontal="center" vertical="center"/>
    </xf>
    <xf numFmtId="0" fontId="57" fillId="17" borderId="35" xfId="1" applyFont="1" applyFill="1" applyBorder="1" applyAlignment="1">
      <alignment horizontal="center" vertical="center"/>
    </xf>
    <xf numFmtId="0" fontId="66" fillId="15" borderId="34" xfId="1" applyFont="1" applyFill="1" applyBorder="1" applyAlignment="1">
      <alignment vertical="center"/>
    </xf>
    <xf numFmtId="201" fontId="58" fillId="15" borderId="34" xfId="1" applyNumberFormat="1" applyFont="1" applyFill="1" applyBorder="1" applyAlignment="1">
      <alignment horizontal="right" vertical="center"/>
    </xf>
    <xf numFmtId="201" fontId="66" fillId="15" borderId="34" xfId="1" applyNumberFormat="1" applyFont="1" applyFill="1" applyBorder="1" applyAlignment="1">
      <alignment horizontal="right" vertical="center"/>
    </xf>
    <xf numFmtId="201" fontId="82" fillId="15" borderId="34" xfId="1" applyNumberFormat="1" applyFont="1" applyFill="1" applyBorder="1" applyAlignment="1">
      <alignment horizontal="right" vertical="center"/>
    </xf>
    <xf numFmtId="201" fontId="58" fillId="43" borderId="34" xfId="0" applyNumberFormat="1" applyFont="1" applyFill="1" applyBorder="1" applyAlignment="1">
      <alignment horizontal="right" vertical="center"/>
    </xf>
    <xf numFmtId="201" fontId="53" fillId="43" borderId="34" xfId="0" applyNumberFormat="1" applyFont="1" applyFill="1" applyBorder="1" applyAlignment="1">
      <alignment horizontal="right" vertical="center"/>
    </xf>
    <xf numFmtId="201" fontId="82" fillId="43" borderId="34" xfId="0" applyNumberFormat="1" applyFont="1" applyFill="1" applyBorder="1" applyAlignment="1">
      <alignment horizontal="right" vertical="center"/>
    </xf>
    <xf numFmtId="0" fontId="66" fillId="14" borderId="34" xfId="1" applyFont="1" applyFill="1" applyBorder="1" applyAlignment="1">
      <alignment vertical="center"/>
    </xf>
    <xf numFmtId="201" fontId="58" fillId="14" borderId="34" xfId="1" applyNumberFormat="1" applyFont="1" applyFill="1" applyBorder="1" applyAlignment="1">
      <alignment horizontal="right" vertical="center"/>
    </xf>
    <xf numFmtId="201" fontId="66" fillId="14" borderId="34" xfId="1" applyNumberFormat="1" applyFont="1" applyFill="1" applyBorder="1" applyAlignment="1">
      <alignment horizontal="right" vertical="center"/>
    </xf>
    <xf numFmtId="201" fontId="82" fillId="14" borderId="34" xfId="1" applyNumberFormat="1" applyFont="1" applyFill="1" applyBorder="1" applyAlignment="1">
      <alignment horizontal="right" vertical="center"/>
    </xf>
    <xf numFmtId="0" fontId="53" fillId="15" borderId="36" xfId="0" applyFont="1" applyFill="1" applyBorder="1" applyAlignment="1">
      <alignment vertical="center" wrapText="1"/>
    </xf>
    <xf numFmtId="0" fontId="63" fillId="15" borderId="37" xfId="1" applyFont="1" applyFill="1" applyBorder="1" applyAlignment="1">
      <alignment vertical="center" wrapText="1"/>
    </xf>
    <xf numFmtId="0" fontId="63" fillId="15" borderId="38" xfId="1" applyFont="1" applyFill="1" applyBorder="1" applyAlignment="1">
      <alignment vertical="center" wrapText="1"/>
    </xf>
    <xf numFmtId="0" fontId="63" fillId="15" borderId="39" xfId="1" applyFont="1" applyFill="1" applyBorder="1" applyAlignment="1">
      <alignment vertical="center"/>
    </xf>
    <xf numFmtId="0" fontId="63" fillId="15" borderId="0" xfId="1" applyFont="1" applyFill="1" applyAlignment="1">
      <alignment vertical="center"/>
    </xf>
    <xf numFmtId="0" fontId="63" fillId="15" borderId="40" xfId="1" applyFont="1" applyFill="1" applyBorder="1" applyAlignment="1">
      <alignment vertical="center"/>
    </xf>
    <xf numFmtId="0" fontId="63" fillId="15" borderId="41" xfId="1" applyFont="1" applyFill="1" applyBorder="1" applyAlignment="1">
      <alignment vertical="center"/>
    </xf>
    <xf numFmtId="0" fontId="63" fillId="15" borderId="42" xfId="1" applyFont="1" applyFill="1" applyBorder="1" applyAlignment="1">
      <alignment vertical="center"/>
    </xf>
    <xf numFmtId="0" fontId="63" fillId="15" borderId="43" xfId="1" applyFont="1" applyFill="1" applyBorder="1" applyAlignment="1">
      <alignment vertical="center"/>
    </xf>
    <xf numFmtId="200" fontId="58" fillId="0" borderId="34" xfId="1" applyNumberFormat="1" applyFont="1" applyBorder="1" applyAlignment="1">
      <alignment horizontal="center" vertical="center"/>
    </xf>
    <xf numFmtId="200" fontId="66" fillId="0" borderId="34" xfId="1" applyNumberFormat="1" applyFont="1" applyBorder="1" applyAlignment="1">
      <alignment horizontal="center" vertical="center"/>
    </xf>
    <xf numFmtId="0" fontId="64" fillId="0" borderId="0" xfId="1" applyFont="1" applyAlignment="1">
      <alignment vertical="center"/>
    </xf>
    <xf numFmtId="0" fontId="57" fillId="16" borderId="34" xfId="1" applyFont="1" applyFill="1" applyBorder="1" applyAlignment="1">
      <alignment vertical="center"/>
    </xf>
    <xf numFmtId="200" fontId="77" fillId="16" borderId="34" xfId="1" applyNumberFormat="1" applyFont="1" applyFill="1" applyBorder="1" applyAlignment="1">
      <alignment horizontal="center" vertical="center"/>
    </xf>
    <xf numFmtId="200" fontId="57" fillId="16" borderId="34" xfId="1" applyNumberFormat="1" applyFont="1" applyFill="1" applyBorder="1" applyAlignment="1">
      <alignment horizontal="center" vertical="center"/>
    </xf>
    <xf numFmtId="201" fontId="77" fillId="16" borderId="34" xfId="1" applyNumberFormat="1" applyFont="1" applyFill="1" applyBorder="1" applyAlignment="1">
      <alignment horizontal="right" vertical="center"/>
    </xf>
    <xf numFmtId="201" fontId="57" fillId="16" borderId="34" xfId="1" applyNumberFormat="1" applyFont="1" applyFill="1" applyBorder="1" applyAlignment="1">
      <alignment horizontal="right" vertical="center"/>
    </xf>
    <xf numFmtId="201" fontId="76" fillId="16" borderId="34" xfId="1" applyNumberFormat="1" applyFont="1" applyFill="1" applyBorder="1" applyAlignment="1">
      <alignment horizontal="right" vertical="center"/>
    </xf>
    <xf numFmtId="0" fontId="82" fillId="17" borderId="0" xfId="1" applyFont="1" applyFill="1" applyAlignment="1">
      <alignment vertical="center"/>
    </xf>
    <xf numFmtId="0" fontId="58" fillId="0" borderId="34" xfId="1" applyFont="1" applyBorder="1" applyAlignment="1">
      <alignment vertical="center"/>
    </xf>
    <xf numFmtId="204" fontId="53" fillId="0" borderId="34" xfId="0" applyNumberFormat="1" applyFont="1" applyBorder="1" applyAlignment="1">
      <alignment horizontal="right" vertical="center"/>
    </xf>
    <xf numFmtId="204" fontId="66" fillId="0" borderId="34" xfId="1" applyNumberFormat="1" applyFont="1" applyBorder="1" applyAlignment="1">
      <alignment horizontal="right" vertical="center"/>
    </xf>
    <xf numFmtId="0" fontId="77" fillId="16" borderId="34" xfId="1" applyFont="1" applyFill="1" applyBorder="1" applyAlignment="1">
      <alignment vertical="center"/>
    </xf>
    <xf numFmtId="204" fontId="57" fillId="16" borderId="34" xfId="0" applyNumberFormat="1" applyFont="1" applyFill="1" applyBorder="1" applyAlignment="1">
      <alignment horizontal="right" vertical="center"/>
    </xf>
    <xf numFmtId="204" fontId="57" fillId="16" borderId="34" xfId="1" applyNumberFormat="1" applyFont="1" applyFill="1" applyBorder="1" applyAlignment="1">
      <alignment horizontal="right" vertical="center"/>
    </xf>
    <xf numFmtId="201" fontId="82" fillId="0" borderId="34" xfId="1" applyNumberFormat="1" applyFont="1" applyBorder="1" applyAlignment="1">
      <alignment vertical="center"/>
    </xf>
    <xf numFmtId="0" fontId="74" fillId="19" borderId="0" xfId="1" applyFont="1" applyFill="1" applyAlignment="1">
      <alignment vertical="center"/>
    </xf>
    <xf numFmtId="0" fontId="76" fillId="17" borderId="27" xfId="1" applyFont="1" applyFill="1" applyBorder="1" applyAlignment="1">
      <alignment vertical="center"/>
    </xf>
    <xf numFmtId="0" fontId="57" fillId="17" borderId="27" xfId="1" applyFont="1" applyFill="1" applyBorder="1" applyAlignment="1">
      <alignment vertical="center"/>
    </xf>
    <xf numFmtId="2" fontId="58" fillId="0" borderId="34" xfId="1" applyNumberFormat="1" applyFont="1" applyBorder="1" applyAlignment="1">
      <alignment horizontal="right" vertical="center"/>
    </xf>
    <xf numFmtId="2" fontId="66" fillId="0" borderId="34" xfId="1" applyNumberFormat="1" applyFont="1" applyBorder="1" applyAlignment="1">
      <alignment horizontal="right" vertical="center"/>
    </xf>
    <xf numFmtId="203" fontId="82" fillId="0" borderId="34" xfId="1" applyNumberFormat="1" applyFont="1" applyBorder="1" applyAlignment="1">
      <alignment horizontal="right" vertical="center"/>
    </xf>
    <xf numFmtId="203" fontId="66" fillId="0" borderId="34" xfId="1" applyNumberFormat="1" applyFont="1" applyBorder="1" applyAlignment="1">
      <alignment horizontal="right" vertical="center"/>
    </xf>
    <xf numFmtId="2" fontId="77" fillId="16" borderId="34" xfId="1" applyNumberFormat="1" applyFont="1" applyFill="1" applyBorder="1" applyAlignment="1">
      <alignment horizontal="right" vertical="center"/>
    </xf>
    <xf numFmtId="2" fontId="57" fillId="16" borderId="34" xfId="1" applyNumberFormat="1" applyFont="1" applyFill="1" applyBorder="1" applyAlignment="1">
      <alignment horizontal="right" vertical="center"/>
    </xf>
    <xf numFmtId="203" fontId="76" fillId="16" borderId="34" xfId="1" applyNumberFormat="1" applyFont="1" applyFill="1" applyBorder="1" applyAlignment="1">
      <alignment horizontal="right" vertical="center"/>
    </xf>
    <xf numFmtId="203" fontId="57" fillId="16" borderId="34" xfId="1" applyNumberFormat="1" applyFont="1" applyFill="1" applyBorder="1" applyAlignment="1">
      <alignment horizontal="right" vertical="center"/>
    </xf>
    <xf numFmtId="0" fontId="68" fillId="19" borderId="34" xfId="1" applyFont="1" applyFill="1" applyBorder="1" applyAlignment="1">
      <alignment vertical="center" wrapText="1"/>
    </xf>
    <xf numFmtId="0" fontId="67" fillId="19" borderId="34" xfId="1" applyFont="1" applyFill="1" applyBorder="1" applyAlignment="1">
      <alignment vertical="center" wrapText="1"/>
    </xf>
    <xf numFmtId="0" fontId="82" fillId="15" borderId="36" xfId="1" applyFont="1" applyFill="1" applyBorder="1" applyAlignment="1">
      <alignment vertical="center"/>
    </xf>
    <xf numFmtId="0" fontId="63" fillId="15" borderId="37" xfId="1" applyFont="1" applyFill="1" applyBorder="1" applyAlignment="1">
      <alignment vertical="center"/>
    </xf>
    <xf numFmtId="0" fontId="63" fillId="15" borderId="38" xfId="1" applyFont="1" applyFill="1" applyBorder="1" applyAlignment="1">
      <alignment vertical="center"/>
    </xf>
    <xf numFmtId="0" fontId="68" fillId="19" borderId="44" xfId="1" applyFont="1" applyFill="1" applyBorder="1" applyAlignment="1">
      <alignment vertical="center" wrapText="1"/>
    </xf>
    <xf numFmtId="0" fontId="68" fillId="19" borderId="0" xfId="1" applyFont="1" applyFill="1" applyAlignment="1">
      <alignment vertical="center" wrapText="1"/>
    </xf>
    <xf numFmtId="0" fontId="68" fillId="19" borderId="44" xfId="1" applyFont="1" applyFill="1" applyBorder="1" applyAlignment="1">
      <alignment vertical="center"/>
    </xf>
    <xf numFmtId="0" fontId="68" fillId="19" borderId="0" xfId="1" applyFont="1" applyFill="1" applyAlignment="1">
      <alignment vertical="center"/>
    </xf>
    <xf numFmtId="0" fontId="66" fillId="14" borderId="36" xfId="1" applyFont="1" applyFill="1" applyBorder="1" applyAlignment="1">
      <alignment vertical="center" wrapText="1"/>
    </xf>
    <xf numFmtId="0" fontId="66" fillId="14" borderId="37" xfId="1" applyFont="1" applyFill="1" applyBorder="1" applyAlignment="1">
      <alignment vertical="center" wrapText="1"/>
    </xf>
    <xf numFmtId="0" fontId="66" fillId="14" borderId="38" xfId="1" applyFont="1" applyFill="1" applyBorder="1" applyAlignment="1">
      <alignment vertical="center" wrapText="1"/>
    </xf>
    <xf numFmtId="0" fontId="66" fillId="14" borderId="41" xfId="1" applyFont="1" applyFill="1" applyBorder="1" applyAlignment="1">
      <alignment vertical="center" wrapText="1"/>
    </xf>
    <xf numFmtId="0" fontId="66" fillId="14" borderId="42" xfId="1" applyFont="1" applyFill="1" applyBorder="1" applyAlignment="1">
      <alignment vertical="center" wrapText="1"/>
    </xf>
    <xf numFmtId="0" fontId="66" fillId="14" borderId="43" xfId="1" applyFont="1" applyFill="1" applyBorder="1" applyAlignment="1">
      <alignment vertical="center" wrapText="1"/>
    </xf>
    <xf numFmtId="0" fontId="57" fillId="19" borderId="27" xfId="1" applyFont="1" applyFill="1" applyBorder="1" applyAlignment="1">
      <alignment vertical="center" wrapText="1"/>
    </xf>
    <xf numFmtId="0" fontId="57" fillId="14" borderId="45" xfId="1" applyFont="1" applyFill="1" applyBorder="1" applyAlignment="1">
      <alignment vertical="center" wrapText="1"/>
    </xf>
    <xf numFmtId="0" fontId="57" fillId="14" borderId="46" xfId="1" applyFont="1" applyFill="1" applyBorder="1" applyAlignment="1">
      <alignment vertical="center" wrapText="1"/>
    </xf>
    <xf numFmtId="0" fontId="57" fillId="14" borderId="47" xfId="1" applyFont="1" applyFill="1" applyBorder="1" applyAlignment="1">
      <alignment vertical="center" wrapText="1"/>
    </xf>
    <xf numFmtId="0" fontId="57" fillId="14" borderId="48" xfId="1" applyFont="1" applyFill="1" applyBorder="1" applyAlignment="1">
      <alignment vertical="center"/>
    </xf>
    <xf numFmtId="0" fontId="57" fillId="14" borderId="0" xfId="1" applyFont="1" applyFill="1" applyAlignment="1">
      <alignment vertical="center"/>
    </xf>
    <xf numFmtId="0" fontId="57" fillId="14" borderId="49" xfId="1" applyFont="1" applyFill="1" applyBorder="1" applyAlignment="1">
      <alignment vertical="center"/>
    </xf>
    <xf numFmtId="0" fontId="57" fillId="14" borderId="50" xfId="1" applyFont="1" applyFill="1" applyBorder="1" applyAlignment="1">
      <alignment vertical="center"/>
    </xf>
    <xf numFmtId="0" fontId="57" fillId="14" borderId="51" xfId="1" applyFont="1" applyFill="1" applyBorder="1" applyAlignment="1">
      <alignment vertical="center"/>
    </xf>
    <xf numFmtId="0" fontId="57" fillId="14" borderId="52" xfId="1" applyFont="1" applyFill="1" applyBorder="1" applyAlignment="1">
      <alignment vertical="center"/>
    </xf>
    <xf numFmtId="0" fontId="101" fillId="31" borderId="54" xfId="0" applyFont="1" applyFill="1" applyBorder="1" applyAlignment="1">
      <alignment wrapText="1"/>
    </xf>
    <xf numFmtId="0" fontId="124" fillId="44" borderId="36" xfId="0" applyFont="1" applyFill="1" applyBorder="1" applyAlignment="1">
      <alignment vertical="center" wrapText="1"/>
    </xf>
    <xf numFmtId="0" fontId="124" fillId="44" borderId="37" xfId="0" applyFont="1" applyFill="1" applyBorder="1" applyAlignment="1">
      <alignment vertical="center" wrapText="1"/>
    </xf>
    <xf numFmtId="0" fontId="68" fillId="14" borderId="37" xfId="1" applyFont="1" applyFill="1" applyBorder="1" applyAlignment="1">
      <alignment vertical="center"/>
    </xf>
    <xf numFmtId="0" fontId="68" fillId="14" borderId="38" xfId="1" applyFont="1" applyFill="1" applyBorder="1" applyAlignment="1">
      <alignment vertical="center"/>
    </xf>
    <xf numFmtId="0" fontId="68" fillId="14" borderId="39" xfId="1" applyFont="1" applyFill="1" applyBorder="1" applyAlignment="1">
      <alignment vertical="center"/>
    </xf>
    <xf numFmtId="0" fontId="68" fillId="14" borderId="0" xfId="1" applyFont="1" applyFill="1" applyAlignment="1">
      <alignment vertical="center"/>
    </xf>
    <xf numFmtId="0" fontId="68" fillId="14" borderId="40" xfId="1" applyFont="1" applyFill="1" applyBorder="1" applyAlignment="1">
      <alignment vertical="center"/>
    </xf>
    <xf numFmtId="0" fontId="68" fillId="14" borderId="41" xfId="1" applyFont="1" applyFill="1" applyBorder="1" applyAlignment="1">
      <alignment vertical="center"/>
    </xf>
    <xf numFmtId="0" fontId="68" fillId="14" borderId="42" xfId="1" applyFont="1" applyFill="1" applyBorder="1" applyAlignment="1">
      <alignment vertical="center"/>
    </xf>
    <xf numFmtId="212" fontId="68" fillId="14" borderId="42" xfId="0" applyNumberFormat="1" applyFont="1" applyFill="1" applyBorder="1" applyAlignment="1">
      <alignment vertical="center"/>
    </xf>
    <xf numFmtId="0" fontId="68" fillId="14" borderId="43" xfId="1" applyFont="1" applyFill="1" applyBorder="1" applyAlignment="1">
      <alignment vertical="center"/>
    </xf>
    <xf numFmtId="216" fontId="58" fillId="0" borderId="34" xfId="0" applyNumberFormat="1" applyFont="1" applyBorder="1" applyAlignment="1">
      <alignment horizontal="right" vertical="center"/>
    </xf>
    <xf numFmtId="221" fontId="53" fillId="0" borderId="34" xfId="0" applyNumberFormat="1" applyFont="1" applyBorder="1" applyAlignment="1">
      <alignment horizontal="right" vertical="center"/>
    </xf>
    <xf numFmtId="202" fontId="66" fillId="0" borderId="34" xfId="1" applyNumberFormat="1" applyFont="1" applyBorder="1" applyAlignment="1">
      <alignment horizontal="right" vertical="center"/>
    </xf>
    <xf numFmtId="0" fontId="53" fillId="0" borderId="34" xfId="0" applyFont="1" applyBorder="1" applyAlignment="1">
      <alignment vertical="center"/>
    </xf>
    <xf numFmtId="0" fontId="58" fillId="19" borderId="36" xfId="1" applyFont="1" applyFill="1" applyBorder="1" applyAlignment="1">
      <alignment vertical="center"/>
    </xf>
    <xf numFmtId="0" fontId="66" fillId="19" borderId="37" xfId="1" applyFont="1" applyFill="1" applyBorder="1" applyAlignment="1">
      <alignment vertical="center"/>
    </xf>
    <xf numFmtId="0" fontId="66" fillId="19" borderId="38" xfId="1" applyFont="1" applyFill="1" applyBorder="1" applyAlignment="1">
      <alignment vertical="center"/>
    </xf>
    <xf numFmtId="0" fontId="66" fillId="19" borderId="39" xfId="1" applyFont="1" applyFill="1" applyBorder="1" applyAlignment="1">
      <alignment vertical="center"/>
    </xf>
    <xf numFmtId="0" fontId="66" fillId="19" borderId="0" xfId="1" applyFont="1" applyFill="1" applyAlignment="1">
      <alignment vertical="center"/>
    </xf>
    <xf numFmtId="0" fontId="66" fillId="19" borderId="40" xfId="1" applyFont="1" applyFill="1" applyBorder="1" applyAlignment="1">
      <alignment vertical="center"/>
    </xf>
    <xf numFmtId="0" fontId="66" fillId="19" borderId="41" xfId="1" applyFont="1" applyFill="1" applyBorder="1" applyAlignment="1">
      <alignment vertical="center"/>
    </xf>
    <xf numFmtId="0" fontId="66" fillId="19" borderId="42" xfId="1" applyFont="1" applyFill="1" applyBorder="1" applyAlignment="1">
      <alignment vertical="center"/>
    </xf>
    <xf numFmtId="0" fontId="66" fillId="19" borderId="43" xfId="1" applyFont="1" applyFill="1" applyBorder="1" applyAlignment="1">
      <alignment vertical="center"/>
    </xf>
    <xf numFmtId="0" fontId="66" fillId="19" borderId="36" xfId="1" applyFont="1" applyFill="1" applyBorder="1" applyAlignment="1">
      <alignment vertical="center"/>
    </xf>
    <xf numFmtId="216" fontId="58" fillId="0" borderId="34" xfId="0" applyNumberFormat="1" applyFont="1" applyBorder="1" applyAlignment="1">
      <alignment vertical="center"/>
    </xf>
    <xf numFmtId="202" fontId="58" fillId="0" borderId="34" xfId="1" applyNumberFormat="1" applyFont="1" applyBorder="1" applyAlignment="1">
      <alignment horizontal="right" vertical="center"/>
    </xf>
    <xf numFmtId="201" fontId="84" fillId="19" borderId="34" xfId="1" applyNumberFormat="1" applyFont="1" applyFill="1" applyBorder="1" applyAlignment="1">
      <alignment horizontal="center" vertical="center"/>
    </xf>
    <xf numFmtId="201" fontId="70" fillId="19" borderId="34" xfId="1" applyNumberFormat="1" applyFont="1" applyFill="1" applyBorder="1" applyAlignment="1">
      <alignment horizontal="center" vertical="center"/>
    </xf>
    <xf numFmtId="201" fontId="85" fillId="19" borderId="34" xfId="1" applyNumberFormat="1" applyFont="1" applyFill="1" applyBorder="1" applyAlignment="1">
      <alignment horizontal="center" vertical="center"/>
    </xf>
    <xf numFmtId="202" fontId="85" fillId="19" borderId="34" xfId="1" applyNumberFormat="1" applyFont="1" applyFill="1" applyBorder="1" applyAlignment="1">
      <alignment horizontal="center" vertical="center"/>
    </xf>
    <xf numFmtId="202" fontId="70" fillId="19" borderId="34" xfId="1" applyNumberFormat="1" applyFont="1" applyFill="1" applyBorder="1" applyAlignment="1">
      <alignment horizontal="center" vertical="center"/>
    </xf>
    <xf numFmtId="203" fontId="84" fillId="19" borderId="34" xfId="1" applyNumberFormat="1" applyFont="1" applyFill="1" applyBorder="1" applyAlignment="1">
      <alignment horizontal="center" vertical="center"/>
    </xf>
    <xf numFmtId="203" fontId="70" fillId="19" borderId="34" xfId="1" applyNumberFormat="1" applyFont="1" applyFill="1" applyBorder="1" applyAlignment="1">
      <alignment horizontal="center" vertical="center"/>
    </xf>
    <xf numFmtId="0" fontId="71" fillId="19" borderId="34" xfId="1" applyFont="1" applyFill="1" applyBorder="1" applyAlignment="1">
      <alignment horizontal="center" vertical="center"/>
    </xf>
    <xf numFmtId="0" fontId="69" fillId="19" borderId="34" xfId="1" applyFont="1" applyFill="1" applyBorder="1" applyAlignment="1">
      <alignment horizontal="center" vertical="center"/>
    </xf>
    <xf numFmtId="0" fontId="77" fillId="17" borderId="36" xfId="1" applyFont="1" applyFill="1" applyBorder="1" applyAlignment="1">
      <alignment vertical="center"/>
    </xf>
    <xf numFmtId="0" fontId="57" fillId="17" borderId="37" xfId="1" applyFont="1" applyFill="1" applyBorder="1" applyAlignment="1">
      <alignment vertical="center"/>
    </xf>
    <xf numFmtId="0" fontId="57" fillId="17" borderId="38" xfId="1" applyFont="1" applyFill="1" applyBorder="1" applyAlignment="1">
      <alignment vertical="center"/>
    </xf>
    <xf numFmtId="0" fontId="68" fillId="15" borderId="39" xfId="1" applyFont="1" applyFill="1" applyBorder="1" applyAlignment="1">
      <alignment vertical="center"/>
    </xf>
    <xf numFmtId="0" fontId="68" fillId="15" borderId="0" xfId="1" applyFont="1" applyFill="1" applyAlignment="1">
      <alignment vertical="center"/>
    </xf>
    <xf numFmtId="0" fontId="68" fillId="15" borderId="40" xfId="1" applyFont="1" applyFill="1" applyBorder="1" applyAlignment="1">
      <alignment vertical="center"/>
    </xf>
    <xf numFmtId="0" fontId="68" fillId="15" borderId="41" xfId="1" applyFont="1" applyFill="1" applyBorder="1" applyAlignment="1">
      <alignment vertical="center"/>
    </xf>
    <xf numFmtId="0" fontId="68" fillId="15" borderId="42" xfId="1" applyFont="1" applyFill="1" applyBorder="1" applyAlignment="1">
      <alignment vertical="center"/>
    </xf>
    <xf numFmtId="0" fontId="68" fillId="15" borderId="43" xfId="1" applyFont="1" applyFill="1" applyBorder="1" applyAlignment="1">
      <alignment vertical="center"/>
    </xf>
    <xf numFmtId="0" fontId="3" fillId="0" borderId="11" xfId="0" applyFont="1" applyBorder="1" applyAlignment="1">
      <alignment horizontal="left" vertical="center"/>
    </xf>
    <xf numFmtId="0" fontId="0" fillId="0" borderId="0" xfId="0" applyAlignment="1">
      <alignment horizontal="left"/>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76" fillId="3" borderId="0" xfId="0" applyFont="1" applyFill="1" applyAlignment="1">
      <alignment horizontal="left" vertical="center" wrapText="1"/>
    </xf>
    <xf numFmtId="0" fontId="92" fillId="23" borderId="0" xfId="0" applyFont="1" applyFill="1" applyAlignment="1">
      <alignment wrapText="1"/>
    </xf>
    <xf numFmtId="0" fontId="114" fillId="45" borderId="0" xfId="0" applyFont="1" applyFill="1" applyAlignment="1">
      <alignment horizontal="left"/>
    </xf>
    <xf numFmtId="0" fontId="92" fillId="21" borderId="0" xfId="0" applyFont="1" applyFill="1" applyAlignment="1">
      <alignment vertical="center"/>
    </xf>
    <xf numFmtId="0" fontId="90" fillId="22" borderId="0" xfId="0" applyFont="1" applyFill="1" applyAlignment="1">
      <alignment vertical="center" wrapText="1"/>
    </xf>
    <xf numFmtId="0" fontId="92" fillId="23" borderId="0" xfId="0" applyFont="1" applyFill="1"/>
    <xf numFmtId="0" fontId="135" fillId="59" borderId="60" xfId="0" applyFont="1" applyFill="1" applyBorder="1" applyAlignment="1">
      <alignment vertical="center"/>
    </xf>
    <xf numFmtId="0" fontId="129" fillId="57" borderId="60" xfId="0" applyFont="1" applyFill="1" applyBorder="1" applyAlignment="1">
      <alignment vertical="center"/>
    </xf>
    <xf numFmtId="0" fontId="130" fillId="58" borderId="60" xfId="0" applyFont="1" applyFill="1" applyBorder="1" applyAlignment="1">
      <alignment vertical="center" wrapText="1"/>
    </xf>
    <xf numFmtId="0" fontId="134" fillId="61" borderId="60" xfId="0" applyFont="1" applyFill="1" applyBorder="1" applyAlignment="1">
      <alignment vertical="center"/>
    </xf>
    <xf numFmtId="0" fontId="132" fillId="60" borderId="60" xfId="0" applyFont="1" applyFill="1" applyBorder="1" applyAlignment="1">
      <alignment vertical="center"/>
    </xf>
    <xf numFmtId="0" fontId="0" fillId="0" borderId="60" xfId="0" applyBorder="1"/>
    <xf numFmtId="0" fontId="113" fillId="53" borderId="0" xfId="0" applyFont="1" applyFill="1"/>
    <xf numFmtId="0" fontId="126" fillId="51" borderId="0" xfId="0" applyFont="1" applyFill="1" applyAlignment="1">
      <alignment horizontal="left" vertical="center"/>
    </xf>
    <xf numFmtId="0" fontId="125" fillId="52" borderId="0" xfId="0" applyFont="1" applyFill="1"/>
  </cellXfs>
  <cellStyles count="2">
    <cellStyle name="Normal" xfId="0" builtinId="0"/>
    <cellStyle name="Normal 2" xfId="1" xr:uid="{00000000-0005-0000-0000-000001000000}"/>
  </cellStyles>
  <dxfs count="67">
    <dxf>
      <font>
        <b/>
        <color rgb="FF9C6500"/>
      </font>
      <fill>
        <patternFill>
          <bgColor rgb="FFFFF2CC"/>
        </patternFill>
      </fill>
    </dxf>
    <dxf>
      <font>
        <b/>
        <color rgb="FF548235"/>
      </font>
      <fill>
        <patternFill>
          <bgColor rgb="FFE2F0D9"/>
        </patternFill>
      </fill>
    </dxf>
    <dxf>
      <font>
        <b/>
        <color rgb="FF9C6500"/>
      </font>
      <fill>
        <patternFill>
          <bgColor rgb="FFFFF2CC"/>
        </patternFill>
      </fill>
    </dxf>
    <dxf>
      <font>
        <b/>
        <color rgb="FF9C6500"/>
      </font>
      <fill>
        <patternFill>
          <bgColor rgb="FFFFF2CC"/>
        </patternFill>
      </fill>
    </dxf>
    <dxf>
      <font>
        <b/>
        <color rgb="FF006100"/>
      </font>
      <fill>
        <patternFill>
          <bgColor rgb="FFE2F0D9"/>
        </patternFill>
      </fill>
    </dxf>
    <dxf>
      <font>
        <b/>
        <color rgb="FF9C6500"/>
      </font>
      <fill>
        <patternFill>
          <bgColor rgb="FFFFF2CC"/>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9C6500"/>
      </font>
      <fill>
        <patternFill>
          <bgColor rgb="FFFFF2CC"/>
        </patternFill>
      </fill>
    </dxf>
    <dxf>
      <font>
        <b/>
        <color rgb="FF548235"/>
      </font>
      <fill>
        <patternFill>
          <bgColor rgb="FFE2F0D9"/>
        </patternFill>
      </fill>
    </dxf>
    <dxf>
      <font>
        <b/>
        <color rgb="FF1F2933"/>
      </font>
      <fill>
        <patternFill>
          <bgColor rgb="FFDCE9F3"/>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ill>
        <patternFill>
          <bgColor rgb="FFE6E6E6"/>
        </patternFill>
      </fill>
    </dxf>
    <dxf>
      <font>
        <color theme="0"/>
      </font>
      <fill>
        <patternFill>
          <bgColor rgb="FFFF0000"/>
        </patternFill>
      </fill>
    </dxf>
    <dxf>
      <font>
        <color theme="0"/>
      </font>
      <fill>
        <patternFill>
          <bgColor theme="4"/>
        </patternFill>
      </fill>
    </dxf>
    <dxf>
      <font>
        <color theme="0" tint="-0.34998626667073579"/>
      </font>
      <fill>
        <patternFill>
          <bgColor auto="1"/>
        </patternFill>
      </fill>
    </dxf>
    <dxf>
      <font>
        <color rgb="FFFF0000"/>
      </font>
    </dxf>
    <dxf>
      <font>
        <color rgb="FFFF0000"/>
      </font>
    </dxf>
    <dxf>
      <font>
        <color rgb="FF0000FF"/>
      </font>
      <fill>
        <patternFill>
          <bgColor rgb="FFE6E6E6"/>
        </patternFill>
      </fill>
    </dxf>
    <dxf>
      <font>
        <color rgb="FF0000FF"/>
      </font>
      <fill>
        <patternFill>
          <bgColor rgb="FFE6E6E6"/>
        </patternFill>
      </fill>
    </dxf>
    <dxf>
      <font>
        <color rgb="FF0000FF"/>
      </font>
      <fill>
        <patternFill>
          <bgColor rgb="FFE6E6E6"/>
        </patternFill>
      </fill>
    </dxf>
    <dxf>
      <font>
        <color theme="0"/>
      </font>
    </dxf>
    <dxf>
      <font>
        <color theme="0"/>
      </font>
    </dxf>
    <dxf>
      <font>
        <color theme="0" tint="-0.49971007415997803"/>
      </font>
      <fill>
        <patternFill>
          <bgColor theme="0" tint="-0.49971007415997803"/>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E6E6E6"/>
      </font>
    </dxf>
    <dxf>
      <font>
        <color rgb="FFE6E6E6"/>
      </font>
    </dxf>
    <dxf>
      <font>
        <color rgb="FFFF0000"/>
      </font>
    </dxf>
    <dxf>
      <font>
        <color theme="0"/>
      </font>
      <fill>
        <patternFill>
          <bgColor theme="4"/>
        </patternFill>
      </fill>
    </dxf>
    <dxf>
      <font>
        <color theme="0" tint="-0.49971007415997803"/>
      </font>
      <fill>
        <patternFill>
          <bgColor auto="1"/>
        </patternFill>
      </fill>
      <border>
        <left style="thin">
          <color theme="4"/>
        </left>
        <right style="thin">
          <color theme="4"/>
        </right>
        <top style="thin">
          <color theme="4"/>
        </top>
        <bottom style="thin">
          <color theme="4"/>
        </bottom>
      </border>
    </dxf>
    <dxf>
      <font>
        <color theme="0" tint="-0.49971007415997803"/>
      </font>
      <fill>
        <patternFill>
          <bgColor theme="0" tint="-0.49971007415997803"/>
        </patternFill>
      </fill>
    </dxf>
    <dxf>
      <font>
        <color theme="0" tint="-0.49971007415997803"/>
      </font>
      <numFmt numFmtId="222" formatCode="&quot;NA&quot;"/>
      <fill>
        <patternFill>
          <bgColor rgb="FFE6E6E6"/>
        </patternFill>
      </fill>
    </dxf>
    <dxf>
      <font>
        <color rgb="FFE6E6E6"/>
      </font>
    </dxf>
    <dxf>
      <font>
        <color theme="0"/>
      </font>
      <fill>
        <patternFill>
          <bgColor theme="4"/>
        </patternFill>
      </fill>
    </dxf>
    <dxf>
      <font>
        <color theme="0" tint="-0.34998626667073579"/>
      </font>
      <numFmt numFmtId="223" formatCode="&quot;Detail ---&gt;&quot;"/>
      <fill>
        <patternFill>
          <bgColor rgb="FFE6E6E6"/>
        </patternFill>
      </fill>
    </dxf>
    <dxf>
      <font>
        <color theme="0" tint="-0.49971007415997803"/>
      </font>
      <fill>
        <patternFill>
          <bgColor auto="1"/>
        </patternFill>
      </fill>
      <border>
        <left style="thin">
          <color theme="4"/>
        </left>
        <right style="thin">
          <color theme="4"/>
        </right>
        <top style="thin">
          <color theme="4"/>
        </top>
        <bottom style="thin">
          <color theme="4"/>
        </bottom>
      </border>
    </dxf>
    <dxf>
      <font>
        <color theme="0"/>
      </font>
      <fill>
        <patternFill>
          <bgColor rgb="FFFF0000"/>
        </patternFill>
      </fill>
    </dxf>
    <dxf>
      <font>
        <color theme="2"/>
      </font>
      <fill>
        <patternFill>
          <bgColor theme="2"/>
        </patternFill>
      </fill>
    </dxf>
    <dxf>
      <font>
        <color theme="0"/>
      </font>
      <fill>
        <patternFill>
          <bgColor theme="4"/>
        </patternFill>
      </fill>
    </dxf>
    <dxf>
      <font>
        <color theme="0" tint="-0.49971007415997803"/>
      </font>
      <fill>
        <patternFill>
          <bgColor auto="1"/>
        </patternFill>
      </fill>
      <border>
        <left style="thin">
          <color theme="4"/>
        </left>
        <right style="thin">
          <color theme="4"/>
        </right>
        <top style="thin">
          <color theme="4"/>
        </top>
        <bottom style="thin">
          <color theme="4"/>
        </bottom>
      </border>
    </dxf>
    <dxf>
      <font>
        <color theme="5" tint="-0.24994659260841701"/>
      </font>
      <fill>
        <patternFill>
          <bgColor auto="1"/>
        </patternFill>
      </fill>
    </dxf>
    <dxf>
      <font>
        <color theme="5" tint="-0.24994659260841701"/>
      </font>
      <fill>
        <patternFill>
          <bgColor auto="1"/>
        </patternFill>
      </fill>
    </dxf>
    <dxf>
      <font>
        <color theme="5" tint="-0.24994659260841701"/>
      </font>
      <fill>
        <patternFill>
          <bgColor auto="1"/>
        </patternFill>
      </fill>
      <border>
        <left style="thin">
          <color theme="4"/>
        </left>
        <right style="thin">
          <color theme="4"/>
        </right>
        <top style="thin">
          <color theme="4"/>
        </top>
        <bottom style="thin">
          <color theme="4"/>
        </bottom>
      </border>
    </dxf>
    <dxf>
      <font>
        <color theme="5" tint="-0.24994659260841701"/>
      </font>
      <fill>
        <patternFill>
          <bgColor auto="1"/>
        </patternFill>
      </fill>
      <border>
        <left style="thin">
          <color theme="4"/>
        </left>
        <right style="thin">
          <color theme="4"/>
        </right>
        <top style="thin">
          <color theme="4"/>
        </top>
        <bottom style="thin">
          <color theme="4"/>
        </bottom>
      </border>
    </dxf>
    <dxf>
      <font>
        <b/>
        <color rgb="FF9C6500"/>
      </font>
      <fill>
        <patternFill>
          <bgColor rgb="FFFFF2CC"/>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9C6500"/>
      </font>
      <fill>
        <patternFill>
          <bgColor rgb="FFFFF2CC"/>
        </patternFill>
      </fill>
    </dxf>
    <dxf>
      <font>
        <b/>
        <color rgb="FF9C6500"/>
      </font>
      <fill>
        <patternFill>
          <bgColor rgb="FFFFF2CC"/>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u val="none"/>
      </font>
    </dxf>
    <dxf>
      <font>
        <u/>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800">
                <a:solidFill>
                  <a:schemeClr val="tx1">
                    <a:lumMod val="65000"/>
                    <a:lumOff val="35000"/>
                  </a:schemeClr>
                </a:solidFill>
                <a:latin typeface="+mn-lt"/>
                <a:ea typeface="+mn-lt"/>
                <a:cs typeface="+mn-lt"/>
              </a:rPr>
              <a:t>Total Project Costs by Month</a:t>
            </a:r>
          </a:p>
        </c:rich>
      </c:tx>
      <c:overlay val="1"/>
    </c:title>
    <c:autoTitleDeleted val="0"/>
    <c:plotArea>
      <c:layout/>
      <c:barChart>
        <c:barDir val="col"/>
        <c:grouping val="clustered"/>
        <c:varyColors val="0"/>
        <c:ser>
          <c:idx val="0"/>
          <c:order val="0"/>
          <c:tx>
            <c:v>Project Cost by Month</c:v>
          </c:tx>
          <c:spPr>
            <a:solidFill>
              <a:srgbClr val="C1B56B"/>
            </a:solidFill>
            <a:ln w="6350" cmpd="sng">
              <a:noFill/>
            </a:ln>
          </c:spPr>
          <c:invertIfNegative val="1"/>
          <c:val>
            <c:numRef>
              <c:f>[0]!Range_Total_Cost</c:f>
              <c:numCache>
                <c:formatCode>#,##0;\(#,##0\);\-</c:formatCode>
                <c:ptCount val="62"/>
                <c:pt idx="0">
                  <c:v>93017714.091035873</c:v>
                </c:pt>
                <c:pt idx="1">
                  <c:v>882028.36212584306</c:v>
                </c:pt>
                <c:pt idx="2">
                  <c:v>1153238.7592138182</c:v>
                </c:pt>
                <c:pt idx="3">
                  <c:v>1540571.8400115801</c:v>
                </c:pt>
                <c:pt idx="4">
                  <c:v>2077208.6703043352</c:v>
                </c:pt>
                <c:pt idx="5">
                  <c:v>2798042.1575110573</c:v>
                </c:pt>
                <c:pt idx="6">
                  <c:v>3736098.8558910517</c:v>
                </c:pt>
                <c:pt idx="7">
                  <c:v>4917681.2983414307</c:v>
                </c:pt>
                <c:pt idx="8">
                  <c:v>6356585.443407244</c:v>
                </c:pt>
                <c:pt idx="9">
                  <c:v>8048084.8374454733</c:v>
                </c:pt>
                <c:pt idx="10">
                  <c:v>9963673.1491933651</c:v>
                </c:pt>
                <c:pt idx="11">
                  <c:v>12047726.791351493</c:v>
                </c:pt>
                <c:pt idx="12">
                  <c:v>14217202.323856961</c:v>
                </c:pt>
                <c:pt idx="13">
                  <c:v>16365167.698586643</c:v>
                </c:pt>
                <c:pt idx="14">
                  <c:v>18368392.667920161</c:v>
                </c:pt>
                <c:pt idx="15">
                  <c:v>20098477.243874725</c:v>
                </c:pt>
                <c:pt idx="16">
                  <c:v>21435229.253932979</c:v>
                </c:pt>
                <c:pt idx="17">
                  <c:v>22280397.403045714</c:v>
                </c:pt>
                <c:pt idx="18">
                  <c:v>22569593.467381995</c:v>
                </c:pt>
                <c:pt idx="19">
                  <c:v>22280397.403045733</c:v>
                </c:pt>
                <c:pt idx="20">
                  <c:v>21435229.253932942</c:v>
                </c:pt>
                <c:pt idx="21">
                  <c:v>20098477.243874762</c:v>
                </c:pt>
                <c:pt idx="22">
                  <c:v>18368392.667920135</c:v>
                </c:pt>
                <c:pt idx="23">
                  <c:v>16365167.698586643</c:v>
                </c:pt>
                <c:pt idx="24">
                  <c:v>14217202.323856987</c:v>
                </c:pt>
                <c:pt idx="25">
                  <c:v>12047726.791351464</c:v>
                </c:pt>
                <c:pt idx="26">
                  <c:v>9963673.1491933651</c:v>
                </c:pt>
                <c:pt idx="27">
                  <c:v>8048084.8374454975</c:v>
                </c:pt>
                <c:pt idx="28">
                  <c:v>6356585.4434072273</c:v>
                </c:pt>
                <c:pt idx="29">
                  <c:v>4917681.2983414317</c:v>
                </c:pt>
                <c:pt idx="30">
                  <c:v>3736098.8558910657</c:v>
                </c:pt>
                <c:pt idx="31">
                  <c:v>2798042.157511042</c:v>
                </c:pt>
                <c:pt idx="32">
                  <c:v>2077208.670304341</c:v>
                </c:pt>
                <c:pt idx="33">
                  <c:v>1540571.8400115611</c:v>
                </c:pt>
                <c:pt idx="34">
                  <c:v>1153238.7592138406</c:v>
                </c:pt>
                <c:pt idx="35">
                  <c:v>882028.36212582723</c:v>
                </c:pt>
                <c:pt idx="36">
                  <c:v>697714.0910358784</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4="http://schemas.microsoft.com/office/drawing/2007/8/2/chart" uri="{6F2FDCE9-48DA-4B69-8628-5D25D57E5C99}">
              <c14:invertSolidFillFmt>
                <c14:spPr xmlns:c14="http://schemas.microsoft.com/office/drawing/2007/8/2/chart">
                  <a:solidFill>
                    <a:srgbClr val="FFFFFF"/>
                  </a:solidFill>
                  <a:ln w="6350" cmpd="sng">
                    <a:noFill/>
                  </a:ln>
                </c14:spPr>
              </c14:invertSolidFillFmt>
            </c:ex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CF4B-4EB3-861A-F0C443884C73}"/>
            </c:ext>
          </c:extLst>
        </c:ser>
        <c:dLbls>
          <c:showLegendKey val="0"/>
          <c:showVal val="0"/>
          <c:showCatName val="0"/>
          <c:showSerName val="0"/>
          <c:showPercent val="0"/>
          <c:showBubbleSize val="0"/>
        </c:dLbls>
        <c:gapWidth val="40"/>
        <c:overlap val="-35"/>
        <c:axId val="48650112"/>
        <c:axId val="48672768"/>
      </c:barChart>
      <c:catAx>
        <c:axId val="48650112"/>
        <c:scaling>
          <c:orientation val="minMax"/>
        </c:scaling>
        <c:delete val="0"/>
        <c:axPos val="b"/>
        <c:numFmt formatCode="&quot;Month&quot;\ 0" sourceLinked="1"/>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ln>
          </c:spPr>
        </c:majorGridlines>
        <c:numFmt formatCode="#,##0;\(#,##0\);\-" sourceLinked="1"/>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noFill/>
    <a:ln w="9525" cmpd="sng">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800">
                <a:solidFill>
                  <a:schemeClr val="tx1">
                    <a:lumMod val="65000"/>
                    <a:lumOff val="35000"/>
                  </a:schemeClr>
                </a:solidFill>
                <a:latin typeface="+mn-lt"/>
                <a:ea typeface="+mn-lt"/>
                <a:cs typeface="+mn-lt"/>
              </a:rPr>
              <a:t>Net Operating Income</a:t>
            </a:r>
          </a:p>
        </c:rich>
      </c:tx>
      <c:overlay val="1"/>
    </c:title>
    <c:autoTitleDeleted val="0"/>
    <c:plotArea>
      <c:layout/>
      <c:barChart>
        <c:barDir val="col"/>
        <c:grouping val="clustered"/>
        <c:varyColors val="0"/>
        <c:ser>
          <c:idx val="0"/>
          <c:order val="0"/>
          <c:tx>
            <c:v>Net Operating Income</c:v>
          </c:tx>
          <c:spPr>
            <a:noFill/>
            <a:ln w="25400" cmpd="sng">
              <a:solidFill>
                <a:schemeClr val="accent1"/>
              </a:solidFill>
            </a:ln>
          </c:spPr>
          <c:invertIfNegative val="1"/>
          <c:val>
            <c:numRef>
              <c:f>[0]!Range_NOI</c:f>
              <c:numCache>
                <c:formatCode>#,##0;\(#,##0\);\-</c:formatCode>
                <c:ptCount val="62"/>
                <c:pt idx="0" formatCode="_(* #,##0_);_(* \(#,##0\);_(* &quot;-&quot;_);_(@_)">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716666.66666666663</c:v>
                </c:pt>
                <c:pt idx="23">
                  <c:v>716666.66666666663</c:v>
                </c:pt>
                <c:pt idx="24">
                  <c:v>716666.66666666663</c:v>
                </c:pt>
                <c:pt idx="25">
                  <c:v>933333.33333333326</c:v>
                </c:pt>
                <c:pt idx="26">
                  <c:v>933333.33333333326</c:v>
                </c:pt>
                <c:pt idx="27">
                  <c:v>933333.33333333326</c:v>
                </c:pt>
                <c:pt idx="28">
                  <c:v>1107500</c:v>
                </c:pt>
                <c:pt idx="29">
                  <c:v>1107500</c:v>
                </c:pt>
                <c:pt idx="30">
                  <c:v>1107500</c:v>
                </c:pt>
                <c:pt idx="31">
                  <c:v>1265833.3333333333</c:v>
                </c:pt>
                <c:pt idx="32">
                  <c:v>1265833.3333333333</c:v>
                </c:pt>
                <c:pt idx="33">
                  <c:v>1265833.3333333333</c:v>
                </c:pt>
                <c:pt idx="34">
                  <c:v>1298416.6666666665</c:v>
                </c:pt>
                <c:pt idx="35">
                  <c:v>1298416.6666666665</c:v>
                </c:pt>
                <c:pt idx="36">
                  <c:v>1298416.6666666665</c:v>
                </c:pt>
                <c:pt idx="37">
                  <c:v>1329966.833333333</c:v>
                </c:pt>
                <c:pt idx="38">
                  <c:v>1537461.250366004</c:v>
                </c:pt>
                <c:pt idx="39">
                  <c:v>1744955.6673986751</c:v>
                </c:pt>
                <c:pt idx="40">
                  <c:v>1960527.6614040788</c:v>
                </c:pt>
                <c:pt idx="41">
                  <c:v>2168682.6596498829</c:v>
                </c:pt>
                <c:pt idx="42">
                  <c:v>2376837.6578956875</c:v>
                </c:pt>
                <c:pt idx="43">
                  <c:v>2590534.3228081581</c:v>
                </c:pt>
                <c:pt idx="44">
                  <c:v>2798689.3210539622</c:v>
                </c:pt>
                <c:pt idx="45">
                  <c:v>3006844.3192997663</c:v>
                </c:pt>
                <c:pt idx="46">
                  <c:v>3241223.0675455704</c:v>
                </c:pt>
                <c:pt idx="47">
                  <c:v>3449378.065791375</c:v>
                </c:pt>
                <c:pt idx="48">
                  <c:v>3657533.0640371782</c:v>
                </c:pt>
                <c:pt idx="49">
                  <c:v>3936582.4825900565</c:v>
                </c:pt>
                <c:pt idx="50">
                  <c:v>3936582.4825900565</c:v>
                </c:pt>
                <c:pt idx="51">
                  <c:v>3936582.4825900565</c:v>
                </c:pt>
                <c:pt idx="52">
                  <c:v>3942891.6700900565</c:v>
                </c:pt>
                <c:pt idx="53">
                  <c:v>3942891.6700900565</c:v>
                </c:pt>
                <c:pt idx="54">
                  <c:v>3942891.6700900565</c:v>
                </c:pt>
                <c:pt idx="55">
                  <c:v>3948627.2950900565</c:v>
                </c:pt>
                <c:pt idx="56">
                  <c:v>3948627.2950900565</c:v>
                </c:pt>
                <c:pt idx="57">
                  <c:v>3948627.2950900565</c:v>
                </c:pt>
                <c:pt idx="58">
                  <c:v>3975768.8763400572</c:v>
                </c:pt>
                <c:pt idx="59">
                  <c:v>3975768.8763400572</c:v>
                </c:pt>
                <c:pt idx="60">
                  <c:v>3975768.8763400572</c:v>
                </c:pt>
                <c:pt idx="61">
                  <c:v>4048514.1446548081</c:v>
                </c:pt>
              </c:numCache>
            </c:numRef>
          </c:val>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CE3F-438A-996E-A68BE5C16F22}"/>
            </c:ext>
          </c:extLst>
        </c:ser>
        <c:dLbls>
          <c:showLegendKey val="0"/>
          <c:showVal val="0"/>
          <c:showCatName val="0"/>
          <c:showSerName val="0"/>
          <c:showPercent val="0"/>
          <c:showBubbleSize val="0"/>
        </c:dLbls>
        <c:gapWidth val="40"/>
        <c:overlap val="-35"/>
        <c:axId val="48650112"/>
        <c:axId val="48672768"/>
      </c:barChart>
      <c:catAx>
        <c:axId val="48650112"/>
        <c:scaling>
          <c:orientation val="minMax"/>
        </c:scaling>
        <c:delete val="0"/>
        <c:axPos val="b"/>
        <c:numFmt formatCode="&quot;Month&quot;\ 0" sourceLinked="1"/>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ln>
          </c:spPr>
        </c:majorGridlines>
        <c:numFmt formatCode="#,##0_);\(#,##0\)" sourceLinked="0"/>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noFill/>
    <a:ln w="9525" cmpd="sng">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800">
                <a:solidFill>
                  <a:schemeClr val="tx1">
                    <a:lumMod val="65000"/>
                    <a:lumOff val="35000"/>
                  </a:schemeClr>
                </a:solidFill>
                <a:latin typeface="+mn-lt"/>
                <a:ea typeface="+mn-lt"/>
                <a:cs typeface="+mn-lt"/>
              </a:rPr>
              <a:t>Equity (Tan) and Debt (Purple) Cash Flows by Month</a:t>
            </a:r>
          </a:p>
        </c:rich>
      </c:tx>
      <c:overlay val="1"/>
    </c:title>
    <c:autoTitleDeleted val="0"/>
    <c:plotArea>
      <c:layout/>
      <c:barChart>
        <c:barDir val="col"/>
        <c:grouping val="stacked"/>
        <c:varyColors val="0"/>
        <c:ser>
          <c:idx val="0"/>
          <c:order val="0"/>
          <c:tx>
            <c:v>Total Equity</c:v>
          </c:tx>
          <c:spPr>
            <a:solidFill>
              <a:srgbClr val="C1B56B"/>
            </a:solidFill>
            <a:ln w="25400" cmpd="sng">
              <a:noFill/>
            </a:ln>
          </c:spPr>
          <c:invertIfNegative val="1"/>
          <c:val>
            <c:numRef>
              <c:f>[0]!Range_Equity</c:f>
              <c:numCache>
                <c:formatCode>#,##0;\(#,##0\);\-</c:formatCode>
                <c:ptCount val="62"/>
                <c:pt idx="0">
                  <c:v>76389582.872717112</c:v>
                </c:pt>
                <c:pt idx="1">
                  <c:v>0</c:v>
                </c:pt>
                <c:pt idx="2">
                  <c:v>0</c:v>
                </c:pt>
                <c:pt idx="3">
                  <c:v>0</c:v>
                </c:pt>
                <c:pt idx="4">
                  <c:v>0</c:v>
                </c:pt>
                <c:pt idx="5">
                  <c:v>0</c:v>
                </c:pt>
                <c:pt idx="6">
                  <c:v>0</c:v>
                </c:pt>
                <c:pt idx="7">
                  <c:v>0</c:v>
                </c:pt>
                <c:pt idx="8">
                  <c:v>0</c:v>
                </c:pt>
                <c:pt idx="9">
                  <c:v>0</c:v>
                </c:pt>
                <c:pt idx="10">
                  <c:v>0</c:v>
                </c:pt>
                <c:pt idx="11">
                  <c:v>0</c:v>
                </c:pt>
                <c:pt idx="12">
                  <c:v>0</c:v>
                </c:pt>
                <c:pt idx="13">
                  <c:v>1932832.6541841328</c:v>
                </c:pt>
                <c:pt idx="14">
                  <c:v>9018148.7201975472</c:v>
                </c:pt>
                <c:pt idx="15">
                  <c:v>9899906.2401258312</c:v>
                </c:pt>
                <c:pt idx="16">
                  <c:v>10594941.16352598</c:v>
                </c:pt>
                <c:pt idx="17">
                  <c:v>11052921.895156011</c:v>
                </c:pt>
                <c:pt idx="18">
                  <c:v>11239422.165153038</c:v>
                </c:pt>
                <c:pt idx="19">
                  <c:v>11140198.701522876</c:v>
                </c:pt>
                <c:pt idx="20">
                  <c:v>10717614.626966465</c:v>
                </c:pt>
                <c:pt idx="21">
                  <c:v>9958489.4848614372</c:v>
                </c:pt>
                <c:pt idx="22">
                  <c:v>9009642.7212263867</c:v>
                </c:pt>
                <c:pt idx="23">
                  <c:v>7937236.9224123061</c:v>
                </c:pt>
                <c:pt idx="24">
                  <c:v>6809936.3983054236</c:v>
                </c:pt>
                <c:pt idx="25">
                  <c:v>5691768.1681506895</c:v>
                </c:pt>
                <c:pt idx="26">
                  <c:v>4636441.3020178862</c:v>
                </c:pt>
                <c:pt idx="27">
                  <c:v>3683760.0847496688</c:v>
                </c:pt>
                <c:pt idx="28">
                  <c:v>2858321.365391125</c:v>
                </c:pt>
                <c:pt idx="29">
                  <c:v>2170273.6327078128</c:v>
                </c:pt>
                <c:pt idx="30">
                  <c:v>2511793.8528059889</c:v>
                </c:pt>
                <c:pt idx="31">
                  <c:v>2588403.2305097445</c:v>
                </c:pt>
                <c:pt idx="32">
                  <c:v>1907637.5390378961</c:v>
                </c:pt>
                <c:pt idx="33">
                  <c:v>1407860.6251646222</c:v>
                </c:pt>
                <c:pt idx="34">
                  <c:v>1052641.1338138934</c:v>
                </c:pt>
                <c:pt idx="35">
                  <c:v>808110.76923857466</c:v>
                </c:pt>
                <c:pt idx="36">
                  <c:v>645030.61280501459</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4="http://schemas.microsoft.com/office/drawing/2007/8/2/chart" uri="{6F2FDCE9-48DA-4B69-8628-5D25D57E5C99}">
              <c14:invertSolidFillFmt>
                <c14:spPr xmlns:c14="http://schemas.microsoft.com/office/drawing/2007/8/2/chart">
                  <a:solidFill>
                    <a:srgbClr val="FFFFFF"/>
                  </a:solidFill>
                  <a:ln w="25400" cmpd="sng">
                    <a:noFill/>
                  </a:ln>
                </c14:spPr>
              </c14:invertSolidFillFmt>
            </c:ex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9205-4B5E-AF8A-F55054AF989C}"/>
            </c:ext>
          </c:extLst>
        </c:ser>
        <c:ser>
          <c:idx val="1"/>
          <c:order val="1"/>
          <c:tx>
            <c:v>Total Debt</c:v>
          </c:tx>
          <c:spPr>
            <a:solidFill>
              <a:srgbClr val="D17DF9"/>
            </a:solidFill>
            <a:ln w="25400" cmpd="sng">
              <a:noFill/>
            </a:ln>
          </c:spPr>
          <c:invertIfNegative val="1"/>
          <c:val>
            <c:numRef>
              <c:f>[0]!Range_Debt</c:f>
              <c:numCache>
                <c:formatCode>#,##0;\(#,##0\);\-</c:formatCode>
                <c:ptCount val="62"/>
                <c:pt idx="0">
                  <c:v>16628131.21831876</c:v>
                </c:pt>
                <c:pt idx="1">
                  <c:v>952590.63109591056</c:v>
                </c:pt>
                <c:pt idx="2">
                  <c:v>1153238.7592138182</c:v>
                </c:pt>
                <c:pt idx="3">
                  <c:v>1593255.3182424391</c:v>
                </c:pt>
                <c:pt idx="4">
                  <c:v>2151126.2631915766</c:v>
                </c:pt>
                <c:pt idx="5">
                  <c:v>2898639.7829110157</c:v>
                </c:pt>
                <c:pt idx="6">
                  <c:v>3868810.0707379892</c:v>
                </c:pt>
                <c:pt idx="7">
                  <c:v>5087252.4296078607</c:v>
                </c:pt>
                <c:pt idx="8">
                  <c:v>6566224.3704085397</c:v>
                </c:pt>
                <c:pt idx="9">
                  <c:v>8298517.1205737963</c:v>
                </c:pt>
                <c:pt idx="10">
                  <c:v>10252240.165656256</c:v>
                </c:pt>
                <c:pt idx="11">
                  <c:v>12367698.147663975</c:v>
                </c:pt>
                <c:pt idx="12">
                  <c:v>14557484.657830048</c:v>
                </c:pt>
                <c:pt idx="13">
                  <c:v>14432335.04440251</c:v>
                </c:pt>
                <c:pt idx="14">
                  <c:v>9350243.9477226138</c:v>
                </c:pt>
                <c:pt idx="15">
                  <c:v>10198571.003748894</c:v>
                </c:pt>
                <c:pt idx="16">
                  <c:v>10840288.090406999</c:v>
                </c:pt>
                <c:pt idx="17">
                  <c:v>11227475.507889703</c:v>
                </c:pt>
                <c:pt idx="18">
                  <c:v>11330171.302228957</c:v>
                </c:pt>
                <c:pt idx="19">
                  <c:v>11140198.701522857</c:v>
                </c:pt>
                <c:pt idx="20">
                  <c:v>10717614.626966476</c:v>
                </c:pt>
                <c:pt idx="21">
                  <c:v>10139987.759013325</c:v>
                </c:pt>
                <c:pt idx="22">
                  <c:v>9358749.9466937482</c:v>
                </c:pt>
                <c:pt idx="23">
                  <c:v>8427930.7761743367</c:v>
                </c:pt>
                <c:pt idx="24">
                  <c:v>7407265.9255515635</c:v>
                </c:pt>
                <c:pt idx="25">
                  <c:v>6355958.6232007742</c:v>
                </c:pt>
                <c:pt idx="26">
                  <c:v>5327231.8471754789</c:v>
                </c:pt>
                <c:pt idx="27">
                  <c:v>4364324.7526958287</c:v>
                </c:pt>
                <c:pt idx="28">
                  <c:v>3498264.0780161023</c:v>
                </c:pt>
                <c:pt idx="29">
                  <c:v>2747407.6656336188</c:v>
                </c:pt>
                <c:pt idx="30">
                  <c:v>1224305.0030850768</c:v>
                </c:pt>
                <c:pt idx="31">
                  <c:v>209638.92700129747</c:v>
                </c:pt>
                <c:pt idx="32">
                  <c:v>169571.13126644492</c:v>
                </c:pt>
                <c:pt idx="33">
                  <c:v>132711.21484693885</c:v>
                </c:pt>
                <c:pt idx="34">
                  <c:v>100597.62539994717</c:v>
                </c:pt>
                <c:pt idx="35">
                  <c:v>73917.592887252569</c:v>
                </c:pt>
                <c:pt idx="36">
                  <c:v>52683.47823086381</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4="http://schemas.microsoft.com/office/drawing/2007/8/2/chart" uri="{6F2FDCE9-48DA-4B69-8628-5D25D57E5C99}">
              <c14:invertSolidFillFmt>
                <c14:spPr xmlns:c14="http://schemas.microsoft.com/office/drawing/2007/8/2/chart">
                  <a:solidFill>
                    <a:srgbClr val="FFFFFF"/>
                  </a:solidFill>
                  <a:ln w="25400" cmpd="sng">
                    <a:noFill/>
                  </a:ln>
                </c14:spPr>
              </c14:invertSolidFillFmt>
            </c:ex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1-9205-4B5E-AF8A-F55054AF989C}"/>
            </c:ext>
          </c:extLst>
        </c:ser>
        <c:dLbls>
          <c:showLegendKey val="0"/>
          <c:showVal val="0"/>
          <c:showCatName val="0"/>
          <c:showSerName val="0"/>
          <c:showPercent val="0"/>
          <c:showBubbleSize val="0"/>
        </c:dLbls>
        <c:gapWidth val="40"/>
        <c:overlap val="100"/>
        <c:axId val="48650112"/>
        <c:axId val="48672768"/>
      </c:barChart>
      <c:catAx>
        <c:axId val="48650112"/>
        <c:scaling>
          <c:orientation val="minMax"/>
        </c:scaling>
        <c:delete val="0"/>
        <c:axPos val="b"/>
        <c:numFmt formatCode="&quot;Month&quot;\ 0" sourceLinked="1"/>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ln>
          </c:spPr>
        </c:majorGridlines>
        <c:numFmt formatCode="#,##0;\(#,##0\);\-" sourceLinked="1"/>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noFill/>
    <a:ln w="9525" cmpd="sng">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a:solidFill>
                  <a:schemeClr val="tx1">
                    <a:lumMod val="65000"/>
                    <a:lumOff val="35000"/>
                  </a:schemeClr>
                </a:solidFill>
                <a:latin typeface="+mn-lt"/>
                <a:ea typeface="+mn-lt"/>
                <a:cs typeface="+mn-lt"/>
              </a:rPr>
              <a:t>Development Spread</a:t>
            </a:r>
          </a:p>
        </c:rich>
      </c:tx>
      <c:overlay val="1"/>
    </c:title>
    <c:autoTitleDeleted val="0"/>
    <c:plotArea>
      <c:layout/>
      <c:barChart>
        <c:barDir val="col"/>
        <c:grouping val="clustered"/>
        <c:varyColors val="0"/>
        <c:ser>
          <c:idx val="0"/>
          <c:order val="0"/>
          <c:tx>
            <c:v>Yield-on-Cost</c:v>
          </c:tx>
          <c:spPr>
            <a:solidFill>
              <a:srgbClr val="F6E5FE"/>
            </a:solidFill>
            <a:ln>
              <a:noFill/>
            </a:ln>
          </c:spPr>
          <c:invertIfNegative val="1"/>
          <c:cat>
            <c:strRef>
              <c:f>Summary!$R$27:$S$27</c:f>
              <c:strCache>
                <c:ptCount val="2"/>
                <c:pt idx="0">
                  <c:v>Stabilized (Untrended)</c:v>
                </c:pt>
                <c:pt idx="1">
                  <c:v>Sale</c:v>
                </c:pt>
              </c:strCache>
            </c:strRef>
          </c:cat>
          <c:val>
            <c:numRef>
              <c:f>Summary!$R$28:$S$28</c:f>
              <c:numCache>
                <c:formatCode>0.0%</c:formatCode>
                <c:ptCount val="2"/>
                <c:pt idx="0">
                  <c:v>0.10146206645917477</c:v>
                </c:pt>
                <c:pt idx="1">
                  <c:v>0.10863342287656985</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694E-4894-B57D-5238DF468C50}"/>
            </c:ext>
          </c:extLst>
        </c:ser>
        <c:ser>
          <c:idx val="1"/>
          <c:order val="1"/>
          <c:tx>
            <c:v>Mkt Cap Rate</c:v>
          </c:tx>
          <c:spPr>
            <a:solidFill>
              <a:srgbClr val="F3F0E1"/>
            </a:solidFill>
            <a:ln>
              <a:noFill/>
            </a:ln>
          </c:spPr>
          <c:invertIfNegative val="1"/>
          <c:cat>
            <c:strRef>
              <c:f>Summary!$R$27:$S$27</c:f>
              <c:strCache>
                <c:ptCount val="2"/>
                <c:pt idx="0">
                  <c:v>Stabilized (Untrended)</c:v>
                </c:pt>
                <c:pt idx="1">
                  <c:v>Sale</c:v>
                </c:pt>
              </c:strCache>
            </c:strRef>
          </c:cat>
          <c:val>
            <c:numRef>
              <c:f>Summary!$R$29:$S$29</c:f>
              <c:numCache>
                <c:formatCode>0.0%</c:formatCode>
                <c:ptCount val="2"/>
                <c:pt idx="0">
                  <c:v>6.7008196721311475E-2</c:v>
                </c:pt>
                <c:pt idx="1">
                  <c:v>6.7500000000000004E-2</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1-694E-4894-B57D-5238DF468C50}"/>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ln>
          </c:spPr>
        </c:majorGridlines>
        <c:numFmt formatCode="0.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en-US"/>
        </a:p>
      </c:txPr>
    </c:legend>
    <c:plotVisOnly val="1"/>
    <c:dispBlanksAs val="zero"/>
    <c:showDLblsOverMax val="1"/>
  </c:chart>
  <c:spPr>
    <a:noFill/>
    <a:ln w="9525" cmpd="sng">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a:solidFill>
                  <a:schemeClr val="tx1">
                    <a:lumMod val="65000"/>
                    <a:lumOff val="35000"/>
                  </a:schemeClr>
                </a:solidFill>
                <a:latin typeface="+mn-lt"/>
                <a:ea typeface="+mn-lt"/>
                <a:cs typeface="+mn-lt"/>
              </a:rPr>
              <a:t>Equity IRR by Partner</a:t>
            </a:r>
          </a:p>
        </c:rich>
      </c:tx>
      <c:overlay val="1"/>
    </c:title>
    <c:autoTitleDeleted val="0"/>
    <c:plotArea>
      <c:layout/>
      <c:barChart>
        <c:barDir val="col"/>
        <c:grouping val="clustered"/>
        <c:varyColors val="0"/>
        <c:ser>
          <c:idx val="0"/>
          <c:order val="0"/>
          <c:tx>
            <c:v>Equity IRR</c:v>
          </c:tx>
          <c:spPr>
            <a:solidFill>
              <a:srgbClr val="FCEAD0"/>
            </a:solidFill>
            <a:ln>
              <a:noFill/>
            </a:ln>
          </c:spPr>
          <c:invertIfNegative val="1"/>
          <c:cat>
            <c:strRef>
              <c:f>Summary!$N$21:$N$23</c:f>
              <c:strCache>
                <c:ptCount val="2"/>
                <c:pt idx="0">
                  <c:v>Limited Partners</c:v>
                </c:pt>
                <c:pt idx="1">
                  <c:v>General Partner / Sponsor</c:v>
                </c:pt>
              </c:strCache>
            </c:strRef>
          </c:cat>
          <c:val>
            <c:numRef>
              <c:f>Summary!$S$21:$S$23</c:f>
              <c:numCache>
                <c:formatCode>0.0%</c:formatCode>
                <c:ptCount val="3"/>
                <c:pt idx="0">
                  <c:v>4.7683715820312501E-9</c:v>
                </c:pt>
                <c:pt idx="1">
                  <c:v>0</c:v>
                </c:pt>
                <c:pt idx="2" formatCode="0.00%">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7408-4AFE-BA73-1ACA1C79481A}"/>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ln>
          </c:spPr>
        </c:majorGridlines>
        <c:numFmt formatCode="0.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en-US"/>
        </a:p>
      </c:txPr>
    </c:legend>
    <c:plotVisOnly val="1"/>
    <c:dispBlanksAs val="zero"/>
    <c:showDLblsOverMax val="1"/>
  </c:chart>
  <c:spPr>
    <a:noFill/>
    <a:ln w="9525" cmpd="sng">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a:solidFill>
                  <a:schemeClr val="tx1">
                    <a:lumMod val="65000"/>
                    <a:lumOff val="35000"/>
                  </a:schemeClr>
                </a:solidFill>
                <a:latin typeface="+mn-lt"/>
                <a:ea typeface="+mn-lt"/>
                <a:cs typeface="+mn-lt"/>
              </a:rPr>
              <a:t>Equity Multiple by Partner</a:t>
            </a:r>
          </a:p>
        </c:rich>
      </c:tx>
      <c:overlay val="1"/>
    </c:title>
    <c:autoTitleDeleted val="0"/>
    <c:plotArea>
      <c:layout/>
      <c:barChart>
        <c:barDir val="col"/>
        <c:grouping val="clustered"/>
        <c:varyColors val="0"/>
        <c:ser>
          <c:idx val="0"/>
          <c:order val="0"/>
          <c:tx>
            <c:v>Equity Multiple</c:v>
          </c:tx>
          <c:spPr>
            <a:solidFill>
              <a:srgbClr val="F09415"/>
            </a:solidFill>
            <a:ln>
              <a:noFill/>
            </a:ln>
          </c:spPr>
          <c:invertIfNegative val="1"/>
          <c:dLbls>
            <c:spPr>
              <a:noFill/>
              <a:ln>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Summary!$N$21:$N$23</c:f>
              <c:strCache>
                <c:ptCount val="2"/>
                <c:pt idx="0">
                  <c:v>Limited Partners</c:v>
                </c:pt>
                <c:pt idx="1">
                  <c:v>General Partner / Sponsor</c:v>
                </c:pt>
              </c:strCache>
            </c:strRef>
          </c:cat>
          <c:val>
            <c:numRef>
              <c:f>Summary!$R$21:$R$23</c:f>
              <c:numCache>
                <c:formatCode>0.00"x"</c:formatCode>
                <c:ptCount val="3"/>
                <c:pt idx="0">
                  <c:v>3.6516197698477049</c:v>
                </c:pt>
                <c:pt idx="1">
                  <c:v>0</c:v>
                </c:pt>
                <c:pt idx="2" formatCode="0.00&quot;X&quot;">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20FB-4684-9822-C6430A48003C}"/>
            </c:ext>
          </c:extLst>
        </c:ser>
        <c:dLbls>
          <c:dLblPos val="outEnd"/>
          <c:showLegendKey val="0"/>
          <c:showVal val="1"/>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ln>
          </c:spPr>
        </c:majorGridlines>
        <c:numFmt formatCode="0.00&quot;x&quot;"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en-US"/>
        </a:p>
      </c:txPr>
    </c:legend>
    <c:plotVisOnly val="1"/>
    <c:dispBlanksAs val="zero"/>
    <c:showDLblsOverMax val="1"/>
  </c:chart>
  <c:spPr>
    <a:noFill/>
    <a:ln w="9525" cmpd="sng">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b="1">
                <a:solidFill>
                  <a:schemeClr val="lt1">
                    <a:lumMod val="85000"/>
                  </a:schemeClr>
                </a:solidFill>
                <a:latin typeface="+mn-lt"/>
                <a:ea typeface="+mn-lt"/>
                <a:cs typeface="+mn-lt"/>
              </a:rPr>
              <a:t>First Generation Leasing by Year (NRA)</a:t>
            </a:r>
          </a:p>
        </c:rich>
      </c:tx>
      <c:overlay val="1"/>
    </c:title>
    <c:autoTitleDeleted val="0"/>
    <c:plotArea>
      <c:layout/>
      <c:barChart>
        <c:barDir val="col"/>
        <c:grouping val="clustered"/>
        <c:varyColors val="0"/>
        <c:ser>
          <c:idx val="0"/>
          <c:order val="0"/>
          <c:spPr>
            <a:noFill/>
            <a:ln w="9525" cmpd="sng">
              <a:solidFill>
                <a:schemeClr val="accent1"/>
              </a:solidFill>
            </a:ln>
          </c:spPr>
          <c:invertIfNegative val="1"/>
          <c:cat>
            <c:strRef>
              <c:f>'Tenant Report'!$E$5:$N$5</c:f>
              <c:strCache>
                <c:ptCount val="6"/>
                <c:pt idx="0">
                  <c:v>Year 1</c:v>
                </c:pt>
                <c:pt idx="1">
                  <c:v>Year 2</c:v>
                </c:pt>
                <c:pt idx="2">
                  <c:v>Year 3</c:v>
                </c:pt>
                <c:pt idx="3">
                  <c:v>Year 4</c:v>
                </c:pt>
                <c:pt idx="4">
                  <c:v>Year 5</c:v>
                </c:pt>
                <c:pt idx="5">
                  <c:v>Year 6</c:v>
                </c:pt>
              </c:strCache>
            </c:strRef>
          </c:cat>
          <c:val>
            <c:numRef>
              <c:f>'Tenant Report'!$E$6:$N$6</c:f>
              <c:numCache>
                <c:formatCode>#,##0</c:formatCode>
                <c:ptCount val="10"/>
                <c:pt idx="0">
                  <c:v>0</c:v>
                </c:pt>
                <c:pt idx="1">
                  <c:v>0</c:v>
                </c:pt>
                <c:pt idx="2">
                  <c:v>0</c:v>
                </c:pt>
                <c:pt idx="3">
                  <c:v>65391.983333333337</c:v>
                </c:pt>
                <c:pt idx="4">
                  <c:v>13078.396666666667</c:v>
                </c:pt>
                <c:pt idx="5">
                  <c:v>0</c:v>
                </c:pt>
                <c:pt idx="6">
                  <c:v>0</c:v>
                </c:pt>
                <c:pt idx="7">
                  <c:v>0</c:v>
                </c:pt>
                <c:pt idx="8">
                  <c:v>0</c:v>
                </c:pt>
                <c:pt idx="9">
                  <c:v>0</c:v>
                </c:pt>
              </c:numCache>
            </c:numRef>
          </c:val>
          <c:extLst>
            <c:ext xmlns:c16="http://schemas.microsoft.com/office/drawing/2014/chart" uri="{C3380CC4-5D6E-409C-BE32-E72D297353CC}">
              <c16:uniqueId val="{00000000-3F7C-42BC-8B2B-048F051AEE26}"/>
            </c:ext>
          </c:extLst>
        </c:ser>
        <c:dLbls>
          <c:showLegendKey val="0"/>
          <c:showVal val="0"/>
          <c:showCatName val="0"/>
          <c:showSerName val="0"/>
          <c:showPercent val="0"/>
          <c:showBubbleSize val="0"/>
        </c:dLbls>
        <c:gapWidth val="315"/>
        <c:overlap val="-40"/>
        <c:axId val="48650112"/>
        <c:axId val="48672768"/>
      </c:barChart>
      <c:catAx>
        <c:axId val="48650112"/>
        <c:scaling>
          <c:orientation val="minMax"/>
        </c:scaling>
        <c:delete val="0"/>
        <c:axPos val="b"/>
        <c:majorGridlines>
          <c:spPr>
            <a:ln w="9525" cmpd="sng">
              <a:gradFill>
                <a:gsLst>
                  <a:gs pos="100000">
                    <a:schemeClr val="dk1">
                      <a:lumMod val="75000"/>
                      <a:lumOff val="25000"/>
                    </a:schemeClr>
                  </a:gs>
                  <a:gs pos="0">
                    <a:schemeClr val="dk1">
                      <a:lumMod val="65000"/>
                      <a:lumOff val="35000"/>
                    </a:schemeClr>
                  </a:gs>
                </a:gsLst>
                <a:lin ang="5400000"/>
              </a:gradFill>
            </a:ln>
          </c:spPr>
        </c:majorGridlines>
        <c:numFmt formatCode="General" sourceLinked="1"/>
        <c:majorTickMark val="none"/>
        <c:minorTickMark val="none"/>
        <c:tickLblPos val="nextTo"/>
        <c:spPr>
          <a:ln>
            <a:noFill/>
          </a:ln>
        </c:spPr>
        <c:txPr>
          <a:bodyPr rot="-60000000" vert="horz" anchor="ctr" anchorCtr="1"/>
          <a:lstStyle/>
          <a:p>
            <a:pPr>
              <a:defRPr sz="900" b="0" i="0" u="none">
                <a:solidFill>
                  <a:schemeClr val="lt1">
                    <a:lumMod val="7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mpd="sng">
              <a:gradFill>
                <a:gsLst>
                  <a:gs pos="100000">
                    <a:schemeClr val="dk1">
                      <a:lumMod val="75000"/>
                      <a:lumOff val="25000"/>
                    </a:schemeClr>
                  </a:gs>
                  <a:gs pos="0">
                    <a:schemeClr val="dk1">
                      <a:lumMod val="65000"/>
                      <a:lumOff val="35000"/>
                    </a:schemeClr>
                  </a:gs>
                </a:gsLst>
                <a:lin ang="5400000"/>
              </a:gradFill>
            </a:ln>
          </c:spPr>
        </c:majorGridlines>
        <c:numFmt formatCode="#,##0" sourceLinked="1"/>
        <c:majorTickMark val="none"/>
        <c:minorTickMark val="none"/>
        <c:tickLblPos val="nextTo"/>
        <c:spPr>
          <a:ln>
            <a:noFill/>
          </a:ln>
        </c:spPr>
        <c:txPr>
          <a:bodyPr rot="-60000000" vert="horz" anchor="ctr" anchorCtr="1"/>
          <a:lstStyle/>
          <a:p>
            <a:pPr>
              <a:defRPr sz="900" b="0" i="0" u="none">
                <a:solidFill>
                  <a:schemeClr val="lt1">
                    <a:lumMod val="7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dk1">
        <a:lumMod val="75000"/>
        <a:lumOff val="25000"/>
      </a:schemeClr>
    </a:solidFill>
    <a:ln w="9525" cmpd="sng">
      <a:solidFill>
        <a:schemeClr val="dk1">
          <a:lumMod val="15000"/>
          <a:lumOff val="85000"/>
        </a:schemeClr>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b="1">
                <a:solidFill>
                  <a:schemeClr val="lt1">
                    <a:lumMod val="85000"/>
                  </a:schemeClr>
                </a:solidFill>
                <a:latin typeface="+mn-lt"/>
                <a:ea typeface="+mn-lt"/>
                <a:cs typeface="+mn-lt"/>
              </a:rPr>
              <a:t>Occupancy by Year (% of Total NRA)</a:t>
            </a:r>
          </a:p>
        </c:rich>
      </c:tx>
      <c:overlay val="1"/>
    </c:title>
    <c:autoTitleDeleted val="0"/>
    <c:plotArea>
      <c:layout/>
      <c:barChart>
        <c:barDir val="col"/>
        <c:grouping val="clustered"/>
        <c:varyColors val="0"/>
        <c:ser>
          <c:idx val="0"/>
          <c:order val="0"/>
          <c:spPr>
            <a:noFill/>
            <a:ln w="9525" cmpd="sng">
              <a:solidFill>
                <a:schemeClr val="accent1"/>
              </a:solidFill>
            </a:ln>
          </c:spPr>
          <c:invertIfNegative val="1"/>
          <c:cat>
            <c:strRef>
              <c:f>'Tenant Report'!$E$5:$N$5</c:f>
              <c:strCache>
                <c:ptCount val="6"/>
                <c:pt idx="0">
                  <c:v>Year 1</c:v>
                </c:pt>
                <c:pt idx="1">
                  <c:v>Year 2</c:v>
                </c:pt>
                <c:pt idx="2">
                  <c:v>Year 3</c:v>
                </c:pt>
                <c:pt idx="3">
                  <c:v>Year 4</c:v>
                </c:pt>
                <c:pt idx="4">
                  <c:v>Year 5</c:v>
                </c:pt>
                <c:pt idx="5">
                  <c:v>Year 6</c:v>
                </c:pt>
              </c:strCache>
            </c:strRef>
          </c:cat>
          <c:val>
            <c:numRef>
              <c:f>'Tenant Report'!$E$8:$N$8</c:f>
              <c:numCache>
                <c:formatCode>0%</c:formatCode>
                <c:ptCount val="10"/>
                <c:pt idx="0">
                  <c:v>0</c:v>
                </c:pt>
                <c:pt idx="1">
                  <c:v>0</c:v>
                </c:pt>
                <c:pt idx="2">
                  <c:v>0</c:v>
                </c:pt>
                <c:pt idx="3">
                  <c:v>0.83333333333333337</c:v>
                </c:pt>
                <c:pt idx="4">
                  <c:v>1</c:v>
                </c:pt>
                <c:pt idx="5">
                  <c:v>1</c:v>
                </c:pt>
                <c:pt idx="6">
                  <c:v>0</c:v>
                </c:pt>
                <c:pt idx="7">
                  <c:v>0</c:v>
                </c:pt>
                <c:pt idx="8">
                  <c:v>0</c:v>
                </c:pt>
                <c:pt idx="9">
                  <c:v>0</c:v>
                </c:pt>
              </c:numCache>
            </c:numRef>
          </c:val>
          <c:extLst>
            <c:ext xmlns:c16="http://schemas.microsoft.com/office/drawing/2014/chart" uri="{C3380CC4-5D6E-409C-BE32-E72D297353CC}">
              <c16:uniqueId val="{00000000-AE2A-4799-BF09-90841FFE247C}"/>
            </c:ext>
          </c:extLst>
        </c:ser>
        <c:dLbls>
          <c:showLegendKey val="0"/>
          <c:showVal val="0"/>
          <c:showCatName val="0"/>
          <c:showSerName val="0"/>
          <c:showPercent val="0"/>
          <c:showBubbleSize val="0"/>
        </c:dLbls>
        <c:gapWidth val="315"/>
        <c:overlap val="-40"/>
        <c:axId val="48650112"/>
        <c:axId val="48672768"/>
      </c:barChart>
      <c:catAx>
        <c:axId val="48650112"/>
        <c:scaling>
          <c:orientation val="minMax"/>
        </c:scaling>
        <c:delete val="0"/>
        <c:axPos val="b"/>
        <c:majorGridlines>
          <c:spPr>
            <a:ln w="9525" cmpd="sng">
              <a:gradFill>
                <a:gsLst>
                  <a:gs pos="100000">
                    <a:schemeClr val="dk1">
                      <a:lumMod val="75000"/>
                      <a:lumOff val="25000"/>
                    </a:schemeClr>
                  </a:gs>
                  <a:gs pos="0">
                    <a:schemeClr val="dk1">
                      <a:lumMod val="65000"/>
                      <a:lumOff val="35000"/>
                    </a:schemeClr>
                  </a:gs>
                </a:gsLst>
                <a:lin ang="5400000"/>
              </a:gradFill>
            </a:ln>
          </c:spPr>
        </c:majorGridlines>
        <c:numFmt formatCode="General" sourceLinked="1"/>
        <c:majorTickMark val="none"/>
        <c:minorTickMark val="none"/>
        <c:tickLblPos val="nextTo"/>
        <c:spPr>
          <a:ln>
            <a:noFill/>
          </a:ln>
        </c:spPr>
        <c:txPr>
          <a:bodyPr rot="-60000000" vert="horz" anchor="ctr" anchorCtr="1"/>
          <a:lstStyle/>
          <a:p>
            <a:pPr>
              <a:defRPr sz="900" b="0" i="0" u="none">
                <a:solidFill>
                  <a:schemeClr val="lt1">
                    <a:lumMod val="7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max val="1"/>
        </c:scaling>
        <c:delete val="0"/>
        <c:axPos val="l"/>
        <c:majorGridlines>
          <c:spPr>
            <a:ln w="9525" cmpd="sng">
              <a:gradFill>
                <a:gsLst>
                  <a:gs pos="100000">
                    <a:schemeClr val="dk1">
                      <a:lumMod val="75000"/>
                      <a:lumOff val="25000"/>
                    </a:schemeClr>
                  </a:gs>
                  <a:gs pos="0">
                    <a:schemeClr val="dk1">
                      <a:lumMod val="65000"/>
                      <a:lumOff val="35000"/>
                    </a:schemeClr>
                  </a:gs>
                </a:gsLst>
                <a:lin ang="5400000"/>
              </a:gradFill>
            </a:ln>
          </c:spPr>
        </c:majorGridlines>
        <c:numFmt formatCode="0%" sourceLinked="1"/>
        <c:majorTickMark val="none"/>
        <c:minorTickMark val="none"/>
        <c:tickLblPos val="nextTo"/>
        <c:spPr>
          <a:ln>
            <a:noFill/>
          </a:ln>
        </c:spPr>
        <c:txPr>
          <a:bodyPr rot="-60000000" vert="horz" anchor="ctr" anchorCtr="1"/>
          <a:lstStyle/>
          <a:p>
            <a:pPr>
              <a:defRPr sz="900" b="0" i="0" u="none">
                <a:solidFill>
                  <a:schemeClr val="lt1">
                    <a:lumMod val="7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dk1">
        <a:lumMod val="75000"/>
        <a:lumOff val="25000"/>
      </a:schemeClr>
    </a:solidFill>
    <a:ln w="9525" cmpd="sng">
      <a:solidFill>
        <a:schemeClr val="dk1">
          <a:lumMod val="15000"/>
          <a:lumOff val="85000"/>
        </a:schemeClr>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a:solidFill>
                  <a:schemeClr val="tx1">
                    <a:lumMod val="65000"/>
                    <a:lumOff val="35000"/>
                  </a:schemeClr>
                </a:solidFill>
                <a:latin typeface="+mn-lt"/>
                <a:ea typeface="+mn-lt"/>
                <a:cs typeface="+mn-lt"/>
              </a:rPr>
              <a:t>S-Curve Steepness Setting</a:t>
            </a:r>
          </a:p>
        </c:rich>
      </c:tx>
      <c:overlay val="1"/>
    </c:title>
    <c:autoTitleDeleted val="0"/>
    <c:plotArea>
      <c:layout/>
      <c:lineChart>
        <c:grouping val="standard"/>
        <c:varyColors val="0"/>
        <c:ser>
          <c:idx val="0"/>
          <c:order val="0"/>
          <c:spPr>
            <a:ln w="28575">
              <a:solidFill>
                <a:schemeClr val="accent1"/>
              </a:solidFill>
            </a:ln>
          </c:spPr>
          <c:marker>
            <c:symbol val="none"/>
          </c:marker>
          <c:cat>
            <c:numRef>
              <c:f>Data!$M$5:$AK$5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Data!$M$6:$AK$6</c:f>
              <c:numCache>
                <c:formatCode>#,##0</c:formatCode>
                <c:ptCount val="25"/>
                <c:pt idx="0">
                  <c:v>1544.3394461531143</c:v>
                </c:pt>
                <c:pt idx="1">
                  <c:v>2985.7345133916106</c:v>
                </c:pt>
                <c:pt idx="2">
                  <c:v>5450.8186218771189</c:v>
                </c:pt>
                <c:pt idx="3">
                  <c:v>9396.6877681614151</c:v>
                </c:pt>
                <c:pt idx="4">
                  <c:v>15296.453551937133</c:v>
                </c:pt>
                <c:pt idx="5">
                  <c:v>23513.102062249949</c:v>
                </c:pt>
                <c:pt idx="6">
                  <c:v>34129.711659858258</c:v>
                </c:pt>
                <c:pt idx="7">
                  <c:v>46779.877223665448</c:v>
                </c:pt>
                <c:pt idx="8">
                  <c:v>60546.566553706223</c:v>
                </c:pt>
                <c:pt idx="9">
                  <c:v>73998.705904511255</c:v>
                </c:pt>
                <c:pt idx="10">
                  <c:v>85401.014354287341</c:v>
                </c:pt>
                <c:pt idx="11">
                  <c:v>93069.275260365757</c:v>
                </c:pt>
                <c:pt idx="12">
                  <c:v>95775.426159670722</c:v>
                </c:pt>
                <c:pt idx="13">
                  <c:v>93069.275260365815</c:v>
                </c:pt>
                <c:pt idx="14">
                  <c:v>85401.014354287297</c:v>
                </c:pt>
                <c:pt idx="15">
                  <c:v>73998.705904511226</c:v>
                </c:pt>
                <c:pt idx="16">
                  <c:v>60546.566553706223</c:v>
                </c:pt>
                <c:pt idx="17">
                  <c:v>46779.877223665513</c:v>
                </c:pt>
                <c:pt idx="18">
                  <c:v>34129.711659858265</c:v>
                </c:pt>
                <c:pt idx="19">
                  <c:v>23513.102062249942</c:v>
                </c:pt>
                <c:pt idx="20">
                  <c:v>15296.453551937057</c:v>
                </c:pt>
                <c:pt idx="21">
                  <c:v>9396.6877681614442</c:v>
                </c:pt>
                <c:pt idx="22">
                  <c:v>5450.8186218771325</c:v>
                </c:pt>
                <c:pt idx="23">
                  <c:v>2985.7345133915878</c:v>
                </c:pt>
                <c:pt idx="24">
                  <c:v>1544.3394461531182</c:v>
                </c:pt>
              </c:numCache>
            </c:numRef>
          </c:val>
          <c:smooth val="0"/>
          <c:extLst>
            <c:ext xmlns:c16="http://schemas.microsoft.com/office/drawing/2014/chart" uri="{C3380CC4-5D6E-409C-BE32-E72D297353CC}">
              <c16:uniqueId val="{00000000-32F5-4469-B6D7-DAA3BC2D083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max val="160000"/>
        </c:scaling>
        <c:delete val="0"/>
        <c:axPos val="l"/>
        <c:majorGridlines>
          <c:spPr>
            <a:ln w="9525" cmpd="sng">
              <a:solidFill>
                <a:schemeClr val="tx1">
                  <a:lumMod val="15000"/>
                  <a:lumOff val="85000"/>
                </a:schemeClr>
              </a:solidFill>
            </a:ln>
          </c:spPr>
        </c:majorGridlines>
        <c:numFmt formatCode="#,##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Selected investor value by valuation method (A$ millions)</a:t>
            </a:r>
          </a:p>
        </c:rich>
      </c:tx>
      <c:overlay val="1"/>
    </c:title>
    <c:autoTitleDeleted val="0"/>
    <c:plotArea>
      <c:layout/>
      <c:barChart>
        <c:barDir val="col"/>
        <c:grouping val="clustered"/>
        <c:varyColors val="0"/>
        <c:ser>
          <c:idx val="0"/>
          <c:order val="0"/>
          <c:tx>
            <c:v>Selected investor value</c:v>
          </c:tx>
          <c:invertIfNegative val="1"/>
          <c:cat>
            <c:strRef>
              <c:f>'INVESTOR REPORT'!$A$16:$A$20</c:f>
              <c:strCache>
                <c:ptCount val="5"/>
                <c:pt idx="0">
                  <c:v>Base income-capitalisation case</c:v>
                </c:pt>
                <c:pt idx="1">
                  <c:v>Downside income-capitalisation case</c:v>
                </c:pt>
                <c:pt idx="2">
                  <c:v>Upside income-capitalisation case</c:v>
                </c:pt>
                <c:pt idx="3">
                  <c:v>Cost cross-check (not market value)</c:v>
                </c:pt>
                <c:pt idx="4">
                  <c:v>Property DCF cross-check</c:v>
                </c:pt>
              </c:strCache>
            </c:strRef>
          </c:cat>
          <c:val>
            <c:numRef>
              <c:f>'INVESTOR REPORT'!$G$16:$G$20</c:f>
              <c:numCache>
                <c:formatCode>"A$"0.00"m";[Red]\("A$"0.00"m"\);\-</c:formatCode>
                <c:ptCount val="5"/>
                <c:pt idx="0">
                  <c:v>9.989001356246046</c:v>
                </c:pt>
                <c:pt idx="1">
                  <c:v>8.9167611294254474</c:v>
                </c:pt>
                <c:pt idx="2">
                  <c:v>11.23416069433183</c:v>
                </c:pt>
                <c:pt idx="4">
                  <c:v>4.3531438146070786E-2</c:v>
                </c:pt>
              </c:numCache>
            </c:numRef>
          </c:val>
          <c:extLst>
            <c:ext xmlns:c16="http://schemas.microsoft.com/office/drawing/2014/chart" uri="{C3380CC4-5D6E-409C-BE32-E72D297353CC}">
              <c16:uniqueId val="{00000000-2EE1-4516-9728-0B8A91477FA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quot;A$&quot;0.00&quot;m&quot;;[Red]\(&quot;A$&quot;0.00&quot;m&quot;\);\-" sourceLinked="1"/>
        <c:majorTickMark val="none"/>
        <c:minorTickMark val="none"/>
        <c:tickLblPos val="nextTo"/>
        <c:txPr>
          <a:bodyPr anchorCtr="1"/>
          <a:lstStyle/>
          <a:p>
            <a:pPr>
              <a:defRPr sz="900"/>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Selected investor value under funding sensitivity (A$ millions)</a:t>
            </a:r>
          </a:p>
        </c:rich>
      </c:tx>
      <c:overlay val="1"/>
    </c:title>
    <c:autoTitleDeleted val="0"/>
    <c:plotArea>
      <c:layout/>
      <c:lineChart>
        <c:grouping val="standard"/>
        <c:varyColors val="0"/>
        <c:ser>
          <c:idx val="0"/>
          <c:order val="0"/>
          <c:tx>
            <c:v>Selected investor value</c:v>
          </c:tx>
          <c:marker>
            <c:symbol val="none"/>
          </c:marker>
          <c:cat>
            <c:strRef>
              <c:f>'INVESTOR REPORT'!$A$64:$A$69</c:f>
              <c:strCache>
                <c:ptCount val="6"/>
                <c:pt idx="0">
                  <c:v>A$0m</c:v>
                </c:pt>
                <c:pt idx="1">
                  <c:v>A$50m</c:v>
                </c:pt>
                <c:pt idx="2">
                  <c:v>A$100m</c:v>
                </c:pt>
                <c:pt idx="3">
                  <c:v>Base — A$136m</c:v>
                </c:pt>
                <c:pt idx="4">
                  <c:v>A$150m</c:v>
                </c:pt>
                <c:pt idx="5">
                  <c:v>A$200m</c:v>
                </c:pt>
              </c:strCache>
            </c:strRef>
          </c:cat>
          <c:val>
            <c:numRef>
              <c:f>'INVESTOR REPORT'!$J$64:$J$69</c:f>
              <c:numCache>
                <c:formatCode>"A$"0.00"m";[Red]\("A$"0.00"m"\);\-</c:formatCode>
                <c:ptCount val="6"/>
                <c:pt idx="0">
                  <c:v>25.697619845090045</c:v>
                </c:pt>
                <c:pt idx="1">
                  <c:v>16.09684728675526</c:v>
                </c:pt>
                <c:pt idx="2">
                  <c:v>11.718682753364467</c:v>
                </c:pt>
                <c:pt idx="3">
                  <c:v>9.7996059210654707</c:v>
                </c:pt>
                <c:pt idx="4">
                  <c:v>9.2128809663121807</c:v>
                </c:pt>
                <c:pt idx="5">
                  <c:v>7.5899291100469757</c:v>
                </c:pt>
              </c:numCache>
            </c:numRef>
          </c:val>
          <c:smooth val="0"/>
          <c:extLst>
            <c:ext xmlns:c16="http://schemas.microsoft.com/office/drawing/2014/chart" uri="{C3380CC4-5D6E-409C-BE32-E72D297353CC}">
              <c16:uniqueId val="{00000000-D882-48C6-BD04-30EA64B3275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quot;A$&quot;0.00&quot;m&quot;;[Red]\(&quot;A$&quot;0.00&quot;m&quot;\);\-" sourceLinked="1"/>
        <c:majorTickMark val="none"/>
        <c:minorTickMark val="none"/>
        <c:tickLblPos val="nextTo"/>
        <c:txPr>
          <a:bodyPr anchorCtr="1"/>
          <a:lstStyle/>
          <a:p>
            <a:pPr>
              <a:defRPr sz="900"/>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Operating cash flow and debt service (A$m)</a:t>
            </a:r>
          </a:p>
        </c:rich>
      </c:tx>
      <c:overlay val="1"/>
    </c:title>
    <c:autoTitleDeleted val="0"/>
    <c:plotArea>
      <c:layout/>
      <c:lineChart>
        <c:grouping val="standard"/>
        <c:varyColors val="1"/>
        <c:ser>
          <c:idx val="0"/>
          <c:order val="0"/>
          <c:tx>
            <c:v>Gross revenue</c:v>
          </c:tx>
          <c:marker>
            <c:symbol val="none"/>
          </c:marker>
          <c:cat>
            <c:strLit>
              <c:ptCount val="8"/>
              <c:pt idx="0">
                <c:v>Year 1</c:v>
              </c:pt>
              <c:pt idx="1">
                <c:v>Year 2</c:v>
              </c:pt>
              <c:pt idx="2">
                <c:v>Year 3</c:v>
              </c:pt>
              <c:pt idx="3">
                <c:v>Year 4</c:v>
              </c:pt>
              <c:pt idx="4">
                <c:v>Year 5</c:v>
              </c:pt>
              <c:pt idx="5">
                <c:v>Year 6</c:v>
              </c:pt>
              <c:pt idx="6">
                <c:v>Year 7</c:v>
              </c:pt>
              <c:pt idx="7">
                <c:v>Year 8</c:v>
              </c:pt>
            </c:strLit>
          </c:cat>
          <c:val>
            <c:numLit>
              <c:formatCode>General</c:formatCode>
              <c:ptCount val="8"/>
              <c:pt idx="0">
                <c:v>36.82</c:v>
              </c:pt>
              <c:pt idx="1">
                <c:v>38.76</c:v>
              </c:pt>
              <c:pt idx="2">
                <c:v>40.42</c:v>
              </c:pt>
              <c:pt idx="3">
                <c:v>41.9</c:v>
              </c:pt>
              <c:pt idx="4">
                <c:v>43.38</c:v>
              </c:pt>
              <c:pt idx="5">
                <c:v>43.19</c:v>
              </c:pt>
              <c:pt idx="6">
                <c:v>44.703499999999991</c:v>
              </c:pt>
              <c:pt idx="7">
                <c:v>46.263672499999991</c:v>
              </c:pt>
            </c:numLit>
          </c:val>
          <c:smooth val="1"/>
          <c:extLst>
            <c:ext xmlns:c16="http://schemas.microsoft.com/office/drawing/2014/chart" uri="{C3380CC4-5D6E-409C-BE32-E72D297353CC}">
              <c16:uniqueId val="{00000000-B977-4FAE-8907-74E265D1F882}"/>
            </c:ext>
          </c:extLst>
        </c:ser>
        <c:ser>
          <c:idx val="1"/>
          <c:order val="1"/>
          <c:tx>
            <c:v>CFADS</c:v>
          </c:tx>
          <c:marker>
            <c:symbol val="none"/>
          </c:marker>
          <c:cat>
            <c:strLit>
              <c:ptCount val="8"/>
              <c:pt idx="0">
                <c:v>Year 1</c:v>
              </c:pt>
              <c:pt idx="1">
                <c:v>Year 2</c:v>
              </c:pt>
              <c:pt idx="2">
                <c:v>Year 3</c:v>
              </c:pt>
              <c:pt idx="3">
                <c:v>Year 4</c:v>
              </c:pt>
              <c:pt idx="4">
                <c:v>Year 5</c:v>
              </c:pt>
              <c:pt idx="5">
                <c:v>Year 6</c:v>
              </c:pt>
              <c:pt idx="6">
                <c:v>Year 7</c:v>
              </c:pt>
              <c:pt idx="7">
                <c:v>Year 8</c:v>
              </c:pt>
            </c:strLit>
          </c:cat>
          <c:val>
            <c:numLit>
              <c:formatCode>General</c:formatCode>
              <c:ptCount val="8"/>
              <c:pt idx="0">
                <c:v>31.860000000000003</c:v>
              </c:pt>
              <c:pt idx="1">
                <c:v>33.15</c:v>
              </c:pt>
              <c:pt idx="2">
                <c:v>34.25</c:v>
              </c:pt>
              <c:pt idx="3">
                <c:v>35.230000000000004</c:v>
              </c:pt>
              <c:pt idx="4">
                <c:v>36.190000000000005</c:v>
              </c:pt>
              <c:pt idx="5">
                <c:v>35.569999999999993</c:v>
              </c:pt>
              <c:pt idx="6">
                <c:v>36.816799999999986</c:v>
              </c:pt>
              <c:pt idx="7">
                <c:v>38.100937999999992</c:v>
              </c:pt>
            </c:numLit>
          </c:val>
          <c:smooth val="1"/>
          <c:extLst>
            <c:ext xmlns:c16="http://schemas.microsoft.com/office/drawing/2014/chart" uri="{C3380CC4-5D6E-409C-BE32-E72D297353CC}">
              <c16:uniqueId val="{00000001-B977-4FAE-8907-74E265D1F882}"/>
            </c:ext>
          </c:extLst>
        </c:ser>
        <c:ser>
          <c:idx val="2"/>
          <c:order val="2"/>
          <c:tx>
            <c:v>Debt service</c:v>
          </c:tx>
          <c:marker>
            <c:symbol val="none"/>
          </c:marker>
          <c:cat>
            <c:strLit>
              <c:ptCount val="8"/>
              <c:pt idx="0">
                <c:v>Year 1</c:v>
              </c:pt>
              <c:pt idx="1">
                <c:v>Year 2</c:v>
              </c:pt>
              <c:pt idx="2">
                <c:v>Year 3</c:v>
              </c:pt>
              <c:pt idx="3">
                <c:v>Year 4</c:v>
              </c:pt>
              <c:pt idx="4">
                <c:v>Year 5</c:v>
              </c:pt>
              <c:pt idx="5">
                <c:v>Year 6</c:v>
              </c:pt>
              <c:pt idx="6">
                <c:v>Year 7</c:v>
              </c:pt>
              <c:pt idx="7">
                <c:v>Year 8</c:v>
              </c:pt>
            </c:strLit>
          </c:cat>
          <c:val>
            <c:numLit>
              <c:formatCode>General</c:formatCode>
              <c:ptCount val="8"/>
              <c:pt idx="0">
                <c:v>23.68447824085116</c:v>
              </c:pt>
              <c:pt idx="1">
                <c:v>23.68447824085116</c:v>
              </c:pt>
              <c:pt idx="2">
                <c:v>23.68447824085116</c:v>
              </c:pt>
              <c:pt idx="3">
                <c:v>23.68447824085116</c:v>
              </c:pt>
              <c:pt idx="4">
                <c:v>23.68447824085116</c:v>
              </c:pt>
              <c:pt idx="5">
                <c:v>23.68447824085116</c:v>
              </c:pt>
              <c:pt idx="6">
                <c:v>23.68447824085116</c:v>
              </c:pt>
              <c:pt idx="7">
                <c:v>23.68447824085116</c:v>
              </c:pt>
            </c:numLit>
          </c:val>
          <c:smooth val="1"/>
          <c:extLst>
            <c:ext xmlns:c16="http://schemas.microsoft.com/office/drawing/2014/chart" uri="{C3380CC4-5D6E-409C-BE32-E72D297353CC}">
              <c16:uniqueId val="{00000002-B977-4FAE-8907-74E265D1F88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Year 8 revenue mix (A$m)</a:t>
            </a:r>
          </a:p>
        </c:rich>
      </c:tx>
      <c:overlay val="1"/>
    </c:title>
    <c:autoTitleDeleted val="0"/>
    <c:plotArea>
      <c:layout/>
      <c:barChart>
        <c:barDir val="col"/>
        <c:grouping val="clustered"/>
        <c:varyColors val="0"/>
        <c:ser>
          <c:idx val="0"/>
          <c:order val="0"/>
          <c:tx>
            <c:v>A$m</c:v>
          </c:tx>
          <c:invertIfNegative val="1"/>
          <c:cat>
            <c:strLit>
              <c:ptCount val="6"/>
              <c:pt idx="0">
                <c:v>Lease / venue revenue</c:v>
              </c:pt>
              <c:pt idx="1">
                <c:v>Student accommodation</c:v>
              </c:pt>
              <c:pt idx="2">
                <c:v>Car park</c:v>
              </c:pt>
              <c:pt idx="3">
                <c:v>Utilities</c:v>
              </c:pt>
              <c:pt idx="4">
                <c:v>Outgoings recovery</c:v>
              </c:pt>
              <c:pt idx="5">
                <c:v>Other precinct income</c:v>
              </c:pt>
            </c:strLit>
          </c:cat>
          <c:val>
            <c:numLit>
              <c:formatCode>General</c:formatCode>
              <c:ptCount val="6"/>
              <c:pt idx="0">
                <c:v>19.560568499999995</c:v>
              </c:pt>
              <c:pt idx="1">
                <c:v>9.5660392499999993</c:v>
              </c:pt>
              <c:pt idx="2">
                <c:v>7.8627914999999984</c:v>
              </c:pt>
              <c:pt idx="3">
                <c:v>3.8242732499999903</c:v>
              </c:pt>
              <c:pt idx="4">
                <c:v>5.45</c:v>
              </c:pt>
              <c:pt idx="5">
                <c:v>0</c:v>
              </c:pt>
            </c:numLit>
          </c:val>
          <c:extLst>
            <c:ext xmlns:c16="http://schemas.microsoft.com/office/drawing/2014/chart" uri="{C3380CC4-5D6E-409C-BE32-E72D297353CC}">
              <c16:uniqueId val="{00000000-1D4B-4CFC-B147-B448B25052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200">
                <a:solidFill>
                  <a:schemeClr val="tx1">
                    <a:lumMod val="65000"/>
                    <a:lumOff val="35000"/>
                  </a:schemeClr>
                </a:solidFill>
                <a:latin typeface="+mn-lt"/>
                <a:ea typeface="+mn-lt"/>
                <a:cs typeface="+mn-lt"/>
              </a:rPr>
              <a:t>Selected value composition (A$m)</a:t>
            </a:r>
          </a:p>
        </c:rich>
      </c:tx>
      <c:overlay val="1"/>
    </c:title>
    <c:autoTitleDeleted val="0"/>
    <c:plotArea>
      <c:layout/>
      <c:barChart>
        <c:barDir val="col"/>
        <c:grouping val="clustered"/>
        <c:varyColors val="0"/>
        <c:ser>
          <c:idx val="0"/>
          <c:order val="0"/>
          <c:tx>
            <c:strRef>
              <c:f>'INVESTOR REPORT'!$B$123</c:f>
              <c:strCache>
                <c:ptCount val="1"/>
              </c:strCache>
            </c:strRef>
          </c:tx>
          <c:spPr>
            <a:solidFill>
              <a:srgbClr val="F09415"/>
            </a:solidFill>
            <a:ln>
              <a:noFill/>
            </a:ln>
          </c:spPr>
          <c:invertIfNegative val="1"/>
          <c:cat>
            <c:strRef>
              <c:f>'INVESTOR REPORT'!$A$123:$A$126</c:f>
              <c:strCache>
                <c:ptCount val="4"/>
                <c:pt idx="0">
                  <c:v>Invested capital</c:v>
                </c:pt>
                <c:pt idx="1">
                  <c:v>Property equity at selected valuation â€” ex retained cash</c:v>
                </c:pt>
                <c:pt idx="2">
                  <c:v>Retained cash at selected valuation</c:v>
                </c:pt>
                <c:pt idx="3">
                  <c:v>Cash distributions through selected valuation</c:v>
                </c:pt>
              </c:strCache>
            </c:strRef>
          </c:cat>
          <c:val>
            <c:numRef>
              <c:f>'INVESTOR REPORT'!$B$124:$B$126</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1DFA-4409-A958-673F84A3772D}"/>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ln>
          </c:spPr>
        </c:majorGridlines>
        <c:numFmt formatCode="0.0" sourceLinked="0"/>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200">
                <a:solidFill>
                  <a:schemeClr val="tx1">
                    <a:lumMod val="65000"/>
                    <a:lumOff val="35000"/>
                  </a:schemeClr>
                </a:solidFill>
                <a:latin typeface="+mn-lt"/>
                <a:ea typeface="+mn-lt"/>
                <a:cs typeface="+mn-lt"/>
              </a:rPr>
              <a:t>Debt profile at key stages (A$m)</a:t>
            </a:r>
          </a:p>
        </c:rich>
      </c:tx>
      <c:overlay val="1"/>
    </c:title>
    <c:autoTitleDeleted val="0"/>
    <c:plotArea>
      <c:layout/>
      <c:barChart>
        <c:barDir val="col"/>
        <c:grouping val="clustered"/>
        <c:varyColors val="0"/>
        <c:ser>
          <c:idx val="0"/>
          <c:order val="0"/>
          <c:tx>
            <c:strRef>
              <c:f>'INVESTOR REPORT'!$B$154</c:f>
              <c:strCache>
                <c:ptCount val="1"/>
              </c:strCache>
            </c:strRef>
          </c:tx>
          <c:spPr>
            <a:solidFill>
              <a:srgbClr val="F09415"/>
            </a:solidFill>
            <a:ln>
              <a:noFill/>
            </a:ln>
          </c:spPr>
          <c:invertIfNegative val="1"/>
          <c:cat>
            <c:strRef>
              <c:f>'INVESTOR REPORT'!$A$154:$A$156</c:f>
              <c:strCache>
                <c:ptCount val="3"/>
                <c:pt idx="0">
                  <c:v>Peak construction debt</c:v>
                </c:pt>
                <c:pt idx="1">
                  <c:v>Debt at valuation date</c:v>
                </c:pt>
                <c:pt idx="2">
                  <c:v>Debt paydown to valuation date</c:v>
                </c:pt>
              </c:strCache>
            </c:strRef>
          </c:cat>
          <c:val>
            <c:numRef>
              <c:f>'INVESTOR REPORT'!$B$155:$B$156</c:f>
              <c:numCache>
                <c:formatCode>General</c:formatCode>
                <c:ptCount val="2"/>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E439-44A0-8AD6-1F557696D77D}"/>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ln>
          </c:spPr>
        </c:majorGridlines>
        <c:numFmt formatCode="0.0" sourceLinked="0"/>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28574</xdr:colOff>
      <xdr:row>37</xdr:row>
      <xdr:rowOff>47625</xdr:rowOff>
    </xdr:from>
    <xdr:to>
      <xdr:col>13</xdr:col>
      <xdr:colOff>9525</xdr:colOff>
      <xdr:row>51</xdr:row>
      <xdr:rowOff>171450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28574</xdr:colOff>
      <xdr:row>66</xdr:row>
      <xdr:rowOff>66675</xdr:rowOff>
    </xdr:from>
    <xdr:to>
      <xdr:col>13</xdr:col>
      <xdr:colOff>9524</xdr:colOff>
      <xdr:row>82</xdr:row>
      <xdr:rowOff>123825</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28574</xdr:colOff>
      <xdr:row>52</xdr:row>
      <xdr:rowOff>42863</xdr:rowOff>
    </xdr:from>
    <xdr:to>
      <xdr:col>13</xdr:col>
      <xdr:colOff>9524</xdr:colOff>
      <xdr:row>66</xdr:row>
      <xdr:rowOff>14288</xdr:rowOff>
    </xdr:to>
    <xdr:graphicFrame macro="">
      <xdr:nvGraphicFramePr>
        <xdr:cNvPr id="4" nam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xdr:colOff>
      <xdr:row>37</xdr:row>
      <xdr:rowOff>47625</xdr:rowOff>
    </xdr:from>
    <xdr:to>
      <xdr:col>18</xdr:col>
      <xdr:colOff>657225</xdr:colOff>
      <xdr:row>51</xdr:row>
      <xdr:rowOff>171451</xdr:rowOff>
    </xdr:to>
    <xdr:graphicFrame macro="">
      <xdr:nvGraphicFramePr>
        <xdr:cNvPr id="5" nam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xdr:colOff>
      <xdr:row>52</xdr:row>
      <xdr:rowOff>47625</xdr:rowOff>
    </xdr:from>
    <xdr:to>
      <xdr:col>18</xdr:col>
      <xdr:colOff>657225</xdr:colOff>
      <xdr:row>66</xdr:row>
      <xdr:rowOff>9525</xdr:rowOff>
    </xdr:to>
    <xdr:graphicFrame macro="">
      <xdr:nvGraphicFramePr>
        <xdr:cNvPr id="6" nam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xdr:colOff>
      <xdr:row>66</xdr:row>
      <xdr:rowOff>66675</xdr:rowOff>
    </xdr:from>
    <xdr:to>
      <xdr:col>18</xdr:col>
      <xdr:colOff>657225</xdr:colOff>
      <xdr:row>82</xdr:row>
      <xdr:rowOff>123825</xdr:rowOff>
    </xdr:to>
    <xdr:graphicFrame macro="">
      <xdr:nvGraphicFramePr>
        <xdr:cNvPr id="7" name="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19050</xdr:colOff>
      <xdr:row>36</xdr:row>
      <xdr:rowOff>9525</xdr:rowOff>
    </xdr:from>
    <xdr:to>
      <xdr:col>18</xdr:col>
      <xdr:colOff>0</xdr:colOff>
      <xdr:row>37</xdr:row>
      <xdr:rowOff>0</xdr:rowOff>
    </xdr:to>
    <xdr:sp macro="" textlink="">
      <xdr:nvSpPr>
        <xdr:cNvPr id="8" name="Rectangle 12">
          <a:extLst>
            <a:ext uri="{FF2B5EF4-FFF2-40B4-BE49-F238E27FC236}">
              <a16:creationId xmlns:a16="http://schemas.microsoft.com/office/drawing/2014/main" id="{00000000-0008-0000-0000-000008000000}"/>
            </a:ext>
          </a:extLst>
        </xdr:cNvPr>
        <xdr:cNvSpPr>
          <a:spLocks noGrp="1"/>
        </xdr:cNvSpPr>
      </xdr:nvSpPr>
      <xdr:spPr>
        <a:xfrm>
          <a:off x="8915400" y="6905625"/>
          <a:ext cx="66675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18</xdr:col>
      <xdr:colOff>19050</xdr:colOff>
      <xdr:row>36</xdr:row>
      <xdr:rowOff>0</xdr:rowOff>
    </xdr:from>
    <xdr:to>
      <xdr:col>18</xdr:col>
      <xdr:colOff>809625</xdr:colOff>
      <xdr:row>37</xdr:row>
      <xdr:rowOff>0</xdr:rowOff>
    </xdr:to>
    <xdr:sp macro="" textlink="">
      <xdr:nvSpPr>
        <xdr:cNvPr id="9" name="Rectangle 13">
          <a:extLst>
            <a:ext uri="{FF2B5EF4-FFF2-40B4-BE49-F238E27FC236}">
              <a16:creationId xmlns:a16="http://schemas.microsoft.com/office/drawing/2014/main" id="{00000000-0008-0000-0000-000009000000}"/>
            </a:ext>
          </a:extLst>
        </xdr:cNvPr>
        <xdr:cNvSpPr>
          <a:spLocks noGrp="1"/>
        </xdr:cNvSpPr>
      </xdr:nvSpPr>
      <xdr:spPr>
        <a:xfrm>
          <a:off x="2809875" y="8915400"/>
          <a:ext cx="7905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17</xdr:col>
      <xdr:colOff>19050</xdr:colOff>
      <xdr:row>18</xdr:row>
      <xdr:rowOff>9525</xdr:rowOff>
    </xdr:from>
    <xdr:to>
      <xdr:col>18</xdr:col>
      <xdr:colOff>0</xdr:colOff>
      <xdr:row>19</xdr:row>
      <xdr:rowOff>0</xdr:rowOff>
    </xdr:to>
    <xdr:sp macro="" textlink="">
      <xdr:nvSpPr>
        <xdr:cNvPr id="10" name="Rectangle 3">
          <a:extLst>
            <a:ext uri="{FF2B5EF4-FFF2-40B4-BE49-F238E27FC236}">
              <a16:creationId xmlns:a16="http://schemas.microsoft.com/office/drawing/2014/main" id="{00000000-0008-0000-0000-00000A000000}"/>
            </a:ext>
          </a:extLst>
        </xdr:cNvPr>
        <xdr:cNvSpPr>
          <a:spLocks noGrp="1"/>
        </xdr:cNvSpPr>
      </xdr:nvSpPr>
      <xdr:spPr>
        <a:xfrm>
          <a:off x="8915400" y="3343275"/>
          <a:ext cx="66675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18</xdr:col>
      <xdr:colOff>19050</xdr:colOff>
      <xdr:row>18</xdr:row>
      <xdr:rowOff>0</xdr:rowOff>
    </xdr:from>
    <xdr:to>
      <xdr:col>18</xdr:col>
      <xdr:colOff>809625</xdr:colOff>
      <xdr:row>19</xdr:row>
      <xdr:rowOff>0</xdr:rowOff>
    </xdr:to>
    <xdr:sp macro="" textlink="">
      <xdr:nvSpPr>
        <xdr:cNvPr id="11" name="Rectangle 7">
          <a:extLst>
            <a:ext uri="{FF2B5EF4-FFF2-40B4-BE49-F238E27FC236}">
              <a16:creationId xmlns:a16="http://schemas.microsoft.com/office/drawing/2014/main" id="{00000000-0008-0000-0000-00000B000000}"/>
            </a:ext>
          </a:extLst>
        </xdr:cNvPr>
        <xdr:cNvSpPr>
          <a:spLocks noGrp="1"/>
        </xdr:cNvSpPr>
      </xdr:nvSpPr>
      <xdr:spPr>
        <a:xfrm>
          <a:off x="9601200" y="6896100"/>
          <a:ext cx="666750"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16</xdr:col>
      <xdr:colOff>0</xdr:colOff>
      <xdr:row>3</xdr:row>
      <xdr:rowOff>0</xdr:rowOff>
    </xdr:from>
    <xdr:to>
      <xdr:col>18</xdr:col>
      <xdr:colOff>666750</xdr:colOff>
      <xdr:row>3</xdr:row>
      <xdr:rowOff>180975</xdr:rowOff>
    </xdr:to>
    <xdr:sp macro="" textlink="">
      <xdr:nvSpPr>
        <xdr:cNvPr id="12" name="Rectangle 10">
          <a:extLst>
            <a:ext uri="{FF2B5EF4-FFF2-40B4-BE49-F238E27FC236}">
              <a16:creationId xmlns:a16="http://schemas.microsoft.com/office/drawing/2014/main" id="{00000000-0008-0000-0000-00000C000000}"/>
            </a:ext>
          </a:extLst>
        </xdr:cNvPr>
        <xdr:cNvSpPr>
          <a:spLocks noGrp="1"/>
        </xdr:cNvSpPr>
      </xdr:nvSpPr>
      <xdr:spPr>
        <a:xfrm>
          <a:off x="8210550" y="476250"/>
          <a:ext cx="2038350"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13</xdr:col>
      <xdr:colOff>25400</xdr:colOff>
      <xdr:row>4</xdr:row>
      <xdr:rowOff>38100</xdr:rowOff>
    </xdr:from>
    <xdr:to>
      <xdr:col>18</xdr:col>
      <xdr:colOff>685800</xdr:colOff>
      <xdr:row>17</xdr:row>
      <xdr:rowOff>132725</xdr:rowOff>
    </xdr:to>
    <xdr:pic>
      <xdr:nvPicPr>
        <xdr:cNvPr id="13" name="/xl/media/image1.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xdr:colOff>
      <xdr:row>1</xdr:row>
      <xdr:rowOff>0</xdr:rowOff>
    </xdr:from>
    <xdr:to>
      <xdr:col>5</xdr:col>
      <xdr:colOff>522941</xdr:colOff>
      <xdr:row>1</xdr:row>
      <xdr:rowOff>179294</xdr:rowOff>
    </xdr:to>
    <xdr:sp macro="" textlink="">
      <xdr:nvSpPr>
        <xdr:cNvPr id="2" name="Rectangle 9">
          <a:extLst>
            <a:ext uri="{FF2B5EF4-FFF2-40B4-BE49-F238E27FC236}">
              <a16:creationId xmlns:a16="http://schemas.microsoft.com/office/drawing/2014/main" id="{00000000-0008-0000-0100-000002000000}"/>
            </a:ext>
          </a:extLst>
        </xdr:cNvPr>
        <xdr:cNvSpPr>
          <a:spLocks noGrp="1"/>
        </xdr:cNvSpPr>
      </xdr:nvSpPr>
      <xdr:spPr>
        <a:xfrm>
          <a:off x="2450502" y="67235"/>
          <a:ext cx="2158851" cy="179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xdr:col>
      <xdr:colOff>714375</xdr:colOff>
      <xdr:row>25</xdr:row>
      <xdr:rowOff>47625</xdr:rowOff>
    </xdr:from>
    <xdr:to>
      <xdr:col>1</xdr:col>
      <xdr:colOff>1436931</xdr:colOff>
      <xdr:row>26</xdr:row>
      <xdr:rowOff>1905</xdr:rowOff>
    </xdr:to>
    <xdr:sp macro="" textlink="">
      <xdr:nvSpPr>
        <xdr:cNvPr id="3" name="Rectangle 12">
          <a:extLst>
            <a:ext uri="{FF2B5EF4-FFF2-40B4-BE49-F238E27FC236}">
              <a16:creationId xmlns:a16="http://schemas.microsoft.com/office/drawing/2014/main" id="{00000000-0008-0000-0100-000003000000}"/>
            </a:ext>
          </a:extLst>
        </xdr:cNvPr>
        <xdr:cNvSpPr>
          <a:spLocks noGrp="1"/>
        </xdr:cNvSpPr>
      </xdr:nvSpPr>
      <xdr:spPr>
        <a:xfrm>
          <a:off x="781050" y="4238625"/>
          <a:ext cx="731520" cy="15240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Add Item</a:t>
          </a:r>
          <a:endParaRPr/>
        </a:p>
      </xdr:txBody>
    </xdr:sp>
    <xdr:clientData/>
  </xdr:twoCellAnchor>
  <xdr:twoCellAnchor editAs="oneCell">
    <xdr:from>
      <xdr:col>1</xdr:col>
      <xdr:colOff>714375</xdr:colOff>
      <xdr:row>32</xdr:row>
      <xdr:rowOff>38100</xdr:rowOff>
    </xdr:from>
    <xdr:to>
      <xdr:col>1</xdr:col>
      <xdr:colOff>1436931</xdr:colOff>
      <xdr:row>33</xdr:row>
      <xdr:rowOff>0</xdr:rowOff>
    </xdr:to>
    <xdr:sp macro="" textlink="">
      <xdr:nvSpPr>
        <xdr:cNvPr id="4" name="Rectangle 13">
          <a:extLst>
            <a:ext uri="{FF2B5EF4-FFF2-40B4-BE49-F238E27FC236}">
              <a16:creationId xmlns:a16="http://schemas.microsoft.com/office/drawing/2014/main" id="{00000000-0008-0000-0100-000004000000}"/>
            </a:ext>
          </a:extLst>
        </xdr:cNvPr>
        <xdr:cNvSpPr>
          <a:spLocks noGrp="1"/>
        </xdr:cNvSpPr>
      </xdr:nvSpPr>
      <xdr:spPr>
        <a:xfrm>
          <a:off x="781050" y="6943725"/>
          <a:ext cx="731520" cy="15240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Add Item</a:t>
          </a:r>
          <a:endParaRPr/>
        </a:p>
      </xdr:txBody>
    </xdr:sp>
    <xdr:clientData/>
  </xdr:twoCellAnchor>
  <xdr:twoCellAnchor editAs="oneCell">
    <xdr:from>
      <xdr:col>1</xdr:col>
      <xdr:colOff>714375</xdr:colOff>
      <xdr:row>39</xdr:row>
      <xdr:rowOff>38100</xdr:rowOff>
    </xdr:from>
    <xdr:to>
      <xdr:col>1</xdr:col>
      <xdr:colOff>1436931</xdr:colOff>
      <xdr:row>40</xdr:row>
      <xdr:rowOff>0</xdr:rowOff>
    </xdr:to>
    <xdr:sp macro="" textlink="">
      <xdr:nvSpPr>
        <xdr:cNvPr id="5" name="Rectangle 14">
          <a:extLst>
            <a:ext uri="{FF2B5EF4-FFF2-40B4-BE49-F238E27FC236}">
              <a16:creationId xmlns:a16="http://schemas.microsoft.com/office/drawing/2014/main" id="{00000000-0008-0000-0100-000005000000}"/>
            </a:ext>
          </a:extLst>
        </xdr:cNvPr>
        <xdr:cNvSpPr>
          <a:spLocks noGrp="1"/>
        </xdr:cNvSpPr>
      </xdr:nvSpPr>
      <xdr:spPr>
        <a:xfrm>
          <a:off x="781050" y="6477000"/>
          <a:ext cx="731520" cy="15240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Add Item</a:t>
          </a:r>
          <a:endParaRPr/>
        </a:p>
      </xdr:txBody>
    </xdr:sp>
    <xdr:clientData/>
  </xdr:twoCellAnchor>
  <xdr:twoCellAnchor editAs="oneCell">
    <xdr:from>
      <xdr:col>2</xdr:col>
      <xdr:colOff>85725</xdr:colOff>
      <xdr:row>25</xdr:row>
      <xdr:rowOff>47625</xdr:rowOff>
    </xdr:from>
    <xdr:to>
      <xdr:col>2</xdr:col>
      <xdr:colOff>817245</xdr:colOff>
      <xdr:row>26</xdr:row>
      <xdr:rowOff>1905</xdr:rowOff>
    </xdr:to>
    <xdr:sp macro="" textlink="">
      <xdr:nvSpPr>
        <xdr:cNvPr id="6" name="Rectangle 15">
          <a:extLst>
            <a:ext uri="{FF2B5EF4-FFF2-40B4-BE49-F238E27FC236}">
              <a16:creationId xmlns:a16="http://schemas.microsoft.com/office/drawing/2014/main" id="{00000000-0008-0000-0100-000006000000}"/>
            </a:ext>
          </a:extLst>
        </xdr:cNvPr>
        <xdr:cNvSpPr>
          <a:spLocks noGrp="1"/>
        </xdr:cNvSpPr>
      </xdr:nvSpPr>
      <xdr:spPr>
        <a:xfrm>
          <a:off x="1562100" y="4229100"/>
          <a:ext cx="731520" cy="16383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Del. Item</a:t>
          </a:r>
          <a:endParaRPr/>
        </a:p>
      </xdr:txBody>
    </xdr:sp>
    <xdr:clientData/>
  </xdr:twoCellAnchor>
  <xdr:twoCellAnchor editAs="oneCell">
    <xdr:from>
      <xdr:col>2</xdr:col>
      <xdr:colOff>85725</xdr:colOff>
      <xdr:row>32</xdr:row>
      <xdr:rowOff>38100</xdr:rowOff>
    </xdr:from>
    <xdr:to>
      <xdr:col>2</xdr:col>
      <xdr:colOff>817245</xdr:colOff>
      <xdr:row>33</xdr:row>
      <xdr:rowOff>0</xdr:rowOff>
    </xdr:to>
    <xdr:sp macro="" textlink="">
      <xdr:nvSpPr>
        <xdr:cNvPr id="7" name="Rectangle 16">
          <a:extLst>
            <a:ext uri="{FF2B5EF4-FFF2-40B4-BE49-F238E27FC236}">
              <a16:creationId xmlns:a16="http://schemas.microsoft.com/office/drawing/2014/main" id="{00000000-0008-0000-0100-000007000000}"/>
            </a:ext>
          </a:extLst>
        </xdr:cNvPr>
        <xdr:cNvSpPr>
          <a:spLocks noGrp="1"/>
        </xdr:cNvSpPr>
      </xdr:nvSpPr>
      <xdr:spPr>
        <a:xfrm>
          <a:off x="1562100" y="5562600"/>
          <a:ext cx="731520" cy="17145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Del. Item</a:t>
          </a:r>
          <a:endParaRPr/>
        </a:p>
      </xdr:txBody>
    </xdr:sp>
    <xdr:clientData/>
  </xdr:twoCellAnchor>
  <xdr:twoCellAnchor editAs="oneCell">
    <xdr:from>
      <xdr:col>2</xdr:col>
      <xdr:colOff>85725</xdr:colOff>
      <xdr:row>39</xdr:row>
      <xdr:rowOff>38100</xdr:rowOff>
    </xdr:from>
    <xdr:to>
      <xdr:col>2</xdr:col>
      <xdr:colOff>817245</xdr:colOff>
      <xdr:row>40</xdr:row>
      <xdr:rowOff>0</xdr:rowOff>
    </xdr:to>
    <xdr:sp macro="" textlink="">
      <xdr:nvSpPr>
        <xdr:cNvPr id="8" name="Rectangle 17">
          <a:extLst>
            <a:ext uri="{FF2B5EF4-FFF2-40B4-BE49-F238E27FC236}">
              <a16:creationId xmlns:a16="http://schemas.microsoft.com/office/drawing/2014/main" id="{00000000-0008-0000-0100-000008000000}"/>
            </a:ext>
          </a:extLst>
        </xdr:cNvPr>
        <xdr:cNvSpPr>
          <a:spLocks noGrp="1"/>
        </xdr:cNvSpPr>
      </xdr:nvSpPr>
      <xdr:spPr>
        <a:xfrm>
          <a:off x="1562100" y="6905625"/>
          <a:ext cx="731520" cy="17145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Del. Item</a:t>
          </a:r>
          <a:endParaRPr/>
        </a:p>
      </xdr:txBody>
    </xdr:sp>
    <xdr:clientData/>
  </xdr:twoCellAnchor>
  <xdr:twoCellAnchor editAs="oneCell">
    <xdr:from>
      <xdr:col>1</xdr:col>
      <xdr:colOff>19050</xdr:colOff>
      <xdr:row>219</xdr:row>
      <xdr:rowOff>9525</xdr:rowOff>
    </xdr:from>
    <xdr:to>
      <xdr:col>2</xdr:col>
      <xdr:colOff>9525</xdr:colOff>
      <xdr:row>220</xdr:row>
      <xdr:rowOff>0</xdr:rowOff>
    </xdr:to>
    <xdr:sp macro="" textlink="">
      <xdr:nvSpPr>
        <xdr:cNvPr id="9" name="Rectangle 24">
          <a:extLst>
            <a:ext uri="{FF2B5EF4-FFF2-40B4-BE49-F238E27FC236}">
              <a16:creationId xmlns:a16="http://schemas.microsoft.com/office/drawing/2014/main" id="{00000000-0008-0000-0100-000009000000}"/>
            </a:ext>
          </a:extLst>
        </xdr:cNvPr>
        <xdr:cNvSpPr>
          <a:spLocks noGrp="1"/>
        </xdr:cNvSpPr>
      </xdr:nvSpPr>
      <xdr:spPr>
        <a:xfrm>
          <a:off x="85725" y="37366575"/>
          <a:ext cx="1400175"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2</xdr:col>
      <xdr:colOff>19050</xdr:colOff>
      <xdr:row>219</xdr:row>
      <xdr:rowOff>0</xdr:rowOff>
    </xdr:from>
    <xdr:to>
      <xdr:col>3</xdr:col>
      <xdr:colOff>0</xdr:colOff>
      <xdr:row>219</xdr:row>
      <xdr:rowOff>200025</xdr:rowOff>
    </xdr:to>
    <xdr:sp macro="" textlink="">
      <xdr:nvSpPr>
        <xdr:cNvPr id="10" name="Rectangle 25">
          <a:extLst>
            <a:ext uri="{FF2B5EF4-FFF2-40B4-BE49-F238E27FC236}">
              <a16:creationId xmlns:a16="http://schemas.microsoft.com/office/drawing/2014/main" id="{00000000-0008-0000-0100-00000A000000}"/>
            </a:ext>
          </a:extLst>
        </xdr:cNvPr>
        <xdr:cNvSpPr>
          <a:spLocks noGrp="1"/>
        </xdr:cNvSpPr>
      </xdr:nvSpPr>
      <xdr:spPr>
        <a:xfrm>
          <a:off x="1495425" y="37357050"/>
          <a:ext cx="95250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xdr:col>
      <xdr:colOff>19050</xdr:colOff>
      <xdr:row>255</xdr:row>
      <xdr:rowOff>9525</xdr:rowOff>
    </xdr:from>
    <xdr:to>
      <xdr:col>1</xdr:col>
      <xdr:colOff>809625</xdr:colOff>
      <xdr:row>255</xdr:row>
      <xdr:rowOff>171450</xdr:rowOff>
    </xdr:to>
    <xdr:sp macro="" textlink="">
      <xdr:nvSpPr>
        <xdr:cNvPr id="11" name="Rectangle 26">
          <a:extLst>
            <a:ext uri="{FF2B5EF4-FFF2-40B4-BE49-F238E27FC236}">
              <a16:creationId xmlns:a16="http://schemas.microsoft.com/office/drawing/2014/main" id="{00000000-0008-0000-0100-00000B000000}"/>
            </a:ext>
          </a:extLst>
        </xdr:cNvPr>
        <xdr:cNvSpPr>
          <a:spLocks noGrp="1"/>
        </xdr:cNvSpPr>
      </xdr:nvSpPr>
      <xdr:spPr>
        <a:xfrm>
          <a:off x="85725" y="35290125"/>
          <a:ext cx="790575"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2</xdr:col>
      <xdr:colOff>19050</xdr:colOff>
      <xdr:row>255</xdr:row>
      <xdr:rowOff>0</xdr:rowOff>
    </xdr:from>
    <xdr:to>
      <xdr:col>2</xdr:col>
      <xdr:colOff>809625</xdr:colOff>
      <xdr:row>256</xdr:row>
      <xdr:rowOff>0</xdr:rowOff>
    </xdr:to>
    <xdr:sp macro="" textlink="">
      <xdr:nvSpPr>
        <xdr:cNvPr id="12" name="Rectangle 27">
          <a:extLst>
            <a:ext uri="{FF2B5EF4-FFF2-40B4-BE49-F238E27FC236}">
              <a16:creationId xmlns:a16="http://schemas.microsoft.com/office/drawing/2014/main" id="{00000000-0008-0000-0100-00000C000000}"/>
            </a:ext>
          </a:extLst>
        </xdr:cNvPr>
        <xdr:cNvSpPr>
          <a:spLocks noGrp="1"/>
        </xdr:cNvSpPr>
      </xdr:nvSpPr>
      <xdr:spPr>
        <a:xfrm>
          <a:off x="904875" y="35280600"/>
          <a:ext cx="7905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142</xdr:col>
      <xdr:colOff>19050</xdr:colOff>
      <xdr:row>4</xdr:row>
      <xdr:rowOff>9525</xdr:rowOff>
    </xdr:from>
    <xdr:to>
      <xdr:col>142</xdr:col>
      <xdr:colOff>809625</xdr:colOff>
      <xdr:row>4</xdr:row>
      <xdr:rowOff>171450</xdr:rowOff>
    </xdr:to>
    <xdr:sp macro="" textlink="">
      <xdr:nvSpPr>
        <xdr:cNvPr id="13" name="Rectangle 28">
          <a:extLst>
            <a:ext uri="{FF2B5EF4-FFF2-40B4-BE49-F238E27FC236}">
              <a16:creationId xmlns:a16="http://schemas.microsoft.com/office/drawing/2014/main" id="{00000000-0008-0000-0100-00000D000000}"/>
            </a:ext>
          </a:extLst>
        </xdr:cNvPr>
        <xdr:cNvSpPr>
          <a:spLocks noGrp="1"/>
        </xdr:cNvSpPr>
      </xdr:nvSpPr>
      <xdr:spPr>
        <a:xfrm>
          <a:off x="85725" y="18297525"/>
          <a:ext cx="790575"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143</xdr:col>
      <xdr:colOff>19050</xdr:colOff>
      <xdr:row>4</xdr:row>
      <xdr:rowOff>0</xdr:rowOff>
    </xdr:from>
    <xdr:to>
      <xdr:col>143</xdr:col>
      <xdr:colOff>809625</xdr:colOff>
      <xdr:row>5</xdr:row>
      <xdr:rowOff>0</xdr:rowOff>
    </xdr:to>
    <xdr:sp macro="" textlink="">
      <xdr:nvSpPr>
        <xdr:cNvPr id="14" name="Rectangle 29">
          <a:extLst>
            <a:ext uri="{FF2B5EF4-FFF2-40B4-BE49-F238E27FC236}">
              <a16:creationId xmlns:a16="http://schemas.microsoft.com/office/drawing/2014/main" id="{00000000-0008-0000-0100-00000E000000}"/>
            </a:ext>
          </a:extLst>
        </xdr:cNvPr>
        <xdr:cNvSpPr>
          <a:spLocks noGrp="1"/>
        </xdr:cNvSpPr>
      </xdr:nvSpPr>
      <xdr:spPr>
        <a:xfrm>
          <a:off x="904875" y="18288000"/>
          <a:ext cx="7905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3</xdr:col>
      <xdr:colOff>57150</xdr:colOff>
      <xdr:row>267</xdr:row>
      <xdr:rowOff>38100</xdr:rowOff>
    </xdr:from>
    <xdr:to>
      <xdr:col>6</xdr:col>
      <xdr:colOff>619125</xdr:colOff>
      <xdr:row>268</xdr:row>
      <xdr:rowOff>142875</xdr:rowOff>
    </xdr:to>
    <xdr:sp macro="" textlink="">
      <xdr:nvSpPr>
        <xdr:cNvPr id="15" name="Rectangle 8">
          <a:extLst>
            <a:ext uri="{FF2B5EF4-FFF2-40B4-BE49-F238E27FC236}">
              <a16:creationId xmlns:a16="http://schemas.microsoft.com/office/drawing/2014/main" id="{00000000-0008-0000-0100-00000F000000}"/>
            </a:ext>
          </a:extLst>
        </xdr:cNvPr>
        <xdr:cNvSpPr>
          <a:spLocks noGrp="1"/>
        </xdr:cNvSpPr>
      </xdr:nvSpPr>
      <xdr:spPr>
        <a:xfrm>
          <a:off x="1762125" y="41119425"/>
          <a:ext cx="2200275" cy="161925"/>
        </a:xfrm>
        <a:prstGeom prst="rect">
          <a:avLst/>
        </a:prstGeom>
        <a:noFill/>
        <a:ln w="31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800"/>
            <a:t>UPDATE SENSITIVITY TABLES</a:t>
          </a:r>
          <a:endParaRPr/>
        </a:p>
      </xdr:txBody>
    </xdr:sp>
    <xdr:clientData/>
  </xdr:twoCellAnchor>
  <xdr:twoCellAnchor editAs="oneCell">
    <xdr:from>
      <xdr:col>3</xdr:col>
      <xdr:colOff>19050</xdr:colOff>
      <xdr:row>66</xdr:row>
      <xdr:rowOff>9525</xdr:rowOff>
    </xdr:from>
    <xdr:to>
      <xdr:col>3</xdr:col>
      <xdr:colOff>809625</xdr:colOff>
      <xdr:row>66</xdr:row>
      <xdr:rowOff>171450</xdr:rowOff>
    </xdr:to>
    <xdr:sp macro="" textlink="">
      <xdr:nvSpPr>
        <xdr:cNvPr id="16" name="Rectangle 33">
          <a:extLst>
            <a:ext uri="{FF2B5EF4-FFF2-40B4-BE49-F238E27FC236}">
              <a16:creationId xmlns:a16="http://schemas.microsoft.com/office/drawing/2014/main" id="{00000000-0008-0000-0100-000010000000}"/>
            </a:ext>
          </a:extLst>
        </xdr:cNvPr>
        <xdr:cNvSpPr>
          <a:spLocks noGrp="1"/>
        </xdr:cNvSpPr>
      </xdr:nvSpPr>
      <xdr:spPr>
        <a:xfrm>
          <a:off x="85725" y="15449550"/>
          <a:ext cx="790575"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4</xdr:col>
      <xdr:colOff>19050</xdr:colOff>
      <xdr:row>66</xdr:row>
      <xdr:rowOff>0</xdr:rowOff>
    </xdr:from>
    <xdr:to>
      <xdr:col>4</xdr:col>
      <xdr:colOff>809625</xdr:colOff>
      <xdr:row>67</xdr:row>
      <xdr:rowOff>0</xdr:rowOff>
    </xdr:to>
    <xdr:sp macro="" textlink="">
      <xdr:nvSpPr>
        <xdr:cNvPr id="17" name="Rectangle 34">
          <a:extLst>
            <a:ext uri="{FF2B5EF4-FFF2-40B4-BE49-F238E27FC236}">
              <a16:creationId xmlns:a16="http://schemas.microsoft.com/office/drawing/2014/main" id="{00000000-0008-0000-0100-000011000000}"/>
            </a:ext>
          </a:extLst>
        </xdr:cNvPr>
        <xdr:cNvSpPr>
          <a:spLocks noGrp="1"/>
        </xdr:cNvSpPr>
      </xdr:nvSpPr>
      <xdr:spPr>
        <a:xfrm>
          <a:off x="1171575" y="15440025"/>
          <a:ext cx="7905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oneCellAnchor>
    <xdr:from>
      <xdr:col>2</xdr:col>
      <xdr:colOff>428625</xdr:colOff>
      <xdr:row>90</xdr:row>
      <xdr:rowOff>28573</xdr:rowOff>
    </xdr:from>
    <xdr:ext cx="1143000" cy="182880"/>
    <xdr:sp macro="" textlink="">
      <xdr:nvSpPr>
        <xdr:cNvPr id="18" name="Rectangle 37">
          <a:extLst>
            <a:ext uri="{FF2B5EF4-FFF2-40B4-BE49-F238E27FC236}">
              <a16:creationId xmlns:a16="http://schemas.microsoft.com/office/drawing/2014/main" id="{00000000-0008-0000-0100-000012000000}"/>
            </a:ext>
          </a:extLst>
        </xdr:cNvPr>
        <xdr:cNvSpPr>
          <a:spLocks noGrp="1"/>
        </xdr:cNvSpPr>
      </xdr:nvSpPr>
      <xdr:spPr>
        <a:xfrm>
          <a:off x="1905000" y="15268573"/>
          <a:ext cx="1143000" cy="18288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Add Tenant</a:t>
          </a:r>
          <a:endParaRPr/>
        </a:p>
      </xdr:txBody>
    </xdr:sp>
    <xdr:clientData/>
  </xdr:oneCellAnchor>
  <xdr:oneCellAnchor>
    <xdr:from>
      <xdr:col>3</xdr:col>
      <xdr:colOff>628650</xdr:colOff>
      <xdr:row>90</xdr:row>
      <xdr:rowOff>28573</xdr:rowOff>
    </xdr:from>
    <xdr:ext cx="1143000" cy="182880"/>
    <xdr:sp macro="" textlink="">
      <xdr:nvSpPr>
        <xdr:cNvPr id="19" name="Rectangle 38">
          <a:extLst>
            <a:ext uri="{FF2B5EF4-FFF2-40B4-BE49-F238E27FC236}">
              <a16:creationId xmlns:a16="http://schemas.microsoft.com/office/drawing/2014/main" id="{00000000-0008-0000-0100-000013000000}"/>
            </a:ext>
          </a:extLst>
        </xdr:cNvPr>
        <xdr:cNvSpPr>
          <a:spLocks noGrp="1"/>
        </xdr:cNvSpPr>
      </xdr:nvSpPr>
      <xdr:spPr>
        <a:xfrm>
          <a:off x="3076575" y="15268573"/>
          <a:ext cx="1143000" cy="18288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Delete Tenant</a:t>
          </a:r>
          <a:endParaRPr/>
        </a:p>
      </xdr:txBody>
    </xdr:sp>
    <xdr:clientData/>
  </xdr:oneCellAnchor>
  <xdr:twoCellAnchor editAs="oneCell">
    <xdr:from>
      <xdr:col>7</xdr:col>
      <xdr:colOff>0</xdr:colOff>
      <xdr:row>77</xdr:row>
      <xdr:rowOff>0</xdr:rowOff>
    </xdr:from>
    <xdr:to>
      <xdr:col>8</xdr:col>
      <xdr:colOff>9525</xdr:colOff>
      <xdr:row>78</xdr:row>
      <xdr:rowOff>0</xdr:rowOff>
    </xdr:to>
    <xdr:sp macro="" textlink="">
      <xdr:nvSpPr>
        <xdr:cNvPr id="20" name="Rectangle 7">
          <a:extLst>
            <a:ext uri="{FF2B5EF4-FFF2-40B4-BE49-F238E27FC236}">
              <a16:creationId xmlns:a16="http://schemas.microsoft.com/office/drawing/2014/main" id="{00000000-0008-0000-0100-000014000000}"/>
            </a:ext>
          </a:extLst>
        </xdr:cNvPr>
        <xdr:cNvSpPr>
          <a:spLocks noGrp="1"/>
        </xdr:cNvSpPr>
      </xdr:nvSpPr>
      <xdr:spPr>
        <a:xfrm>
          <a:off x="5895975" y="13611225"/>
          <a:ext cx="828675" cy="190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8</xdr:col>
      <xdr:colOff>9526</xdr:colOff>
      <xdr:row>77</xdr:row>
      <xdr:rowOff>1</xdr:rowOff>
    </xdr:from>
    <xdr:to>
      <xdr:col>9</xdr:col>
      <xdr:colOff>1</xdr:colOff>
      <xdr:row>78</xdr:row>
      <xdr:rowOff>9526</xdr:rowOff>
    </xdr:to>
    <xdr:sp macro="" textlink="">
      <xdr:nvSpPr>
        <xdr:cNvPr id="21" name="Rectangle 10">
          <a:extLst>
            <a:ext uri="{FF2B5EF4-FFF2-40B4-BE49-F238E27FC236}">
              <a16:creationId xmlns:a16="http://schemas.microsoft.com/office/drawing/2014/main" id="{00000000-0008-0000-0100-000015000000}"/>
            </a:ext>
          </a:extLst>
        </xdr:cNvPr>
        <xdr:cNvSpPr>
          <a:spLocks noGrp="1"/>
        </xdr:cNvSpPr>
      </xdr:nvSpPr>
      <xdr:spPr>
        <a:xfrm>
          <a:off x="6248401" y="11468101"/>
          <a:ext cx="952500" cy="171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oneCellAnchor>
    <xdr:from>
      <xdr:col>2</xdr:col>
      <xdr:colOff>323850</xdr:colOff>
      <xdr:row>132</xdr:row>
      <xdr:rowOff>28575</xdr:rowOff>
    </xdr:from>
    <xdr:ext cx="822960" cy="182880"/>
    <xdr:sp macro="" textlink="">
      <xdr:nvSpPr>
        <xdr:cNvPr id="22" name="Rectangle 20">
          <a:extLst>
            <a:ext uri="{FF2B5EF4-FFF2-40B4-BE49-F238E27FC236}">
              <a16:creationId xmlns:a16="http://schemas.microsoft.com/office/drawing/2014/main" id="{00000000-0008-0000-0100-000016000000}"/>
            </a:ext>
          </a:extLst>
        </xdr:cNvPr>
        <xdr:cNvSpPr>
          <a:spLocks noGrp="1"/>
        </xdr:cNvSpPr>
      </xdr:nvSpPr>
      <xdr:spPr>
        <a:xfrm>
          <a:off x="1800225" y="22450425"/>
          <a:ext cx="822960" cy="18288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Add OpEx</a:t>
          </a:r>
          <a:endParaRPr/>
        </a:p>
      </xdr:txBody>
    </xdr:sp>
    <xdr:clientData/>
  </xdr:oneCellAnchor>
  <xdr:oneCellAnchor>
    <xdr:from>
      <xdr:col>3</xdr:col>
      <xdr:colOff>200025</xdr:colOff>
      <xdr:row>132</xdr:row>
      <xdr:rowOff>28575</xdr:rowOff>
    </xdr:from>
    <xdr:ext cx="914400" cy="182880"/>
    <xdr:sp macro="" textlink="">
      <xdr:nvSpPr>
        <xdr:cNvPr id="23" name="Rectangle 21">
          <a:extLst>
            <a:ext uri="{FF2B5EF4-FFF2-40B4-BE49-F238E27FC236}">
              <a16:creationId xmlns:a16="http://schemas.microsoft.com/office/drawing/2014/main" id="{00000000-0008-0000-0100-000017000000}"/>
            </a:ext>
          </a:extLst>
        </xdr:cNvPr>
        <xdr:cNvSpPr>
          <a:spLocks noGrp="1"/>
        </xdr:cNvSpPr>
      </xdr:nvSpPr>
      <xdr:spPr>
        <a:xfrm>
          <a:off x="2647950" y="22450425"/>
          <a:ext cx="914400" cy="182880"/>
        </a:xfrm>
        <a:prstGeom prst="rect">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00">
              <a:solidFill>
                <a:sysClr val="windowText" lastClr="000000"/>
              </a:solidFill>
            </a:rPr>
            <a:t>Delete OpEx</a:t>
          </a:r>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42862</xdr:colOff>
      <xdr:row>8</xdr:row>
      <xdr:rowOff>42862</xdr:rowOff>
    </xdr:from>
    <xdr:to>
      <xdr:col>7</xdr:col>
      <xdr:colOff>571500</xdr:colOff>
      <xdr:row>25</xdr:row>
      <xdr:rowOff>190500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609600</xdr:colOff>
      <xdr:row>8</xdr:row>
      <xdr:rowOff>38100</xdr:rowOff>
    </xdr:from>
    <xdr:to>
      <xdr:col>13</xdr:col>
      <xdr:colOff>1112520</xdr:colOff>
      <xdr:row>25</xdr:row>
      <xdr:rowOff>185738</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922020</xdr:colOff>
      <xdr:row>26</xdr:row>
      <xdr:rowOff>15240</xdr:rowOff>
    </xdr:from>
    <xdr:to>
      <xdr:col>14</xdr:col>
      <xdr:colOff>0</xdr:colOff>
      <xdr:row>26</xdr:row>
      <xdr:rowOff>182880</xdr:rowOff>
    </xdr:to>
    <xdr:sp macro="" textlink="">
      <xdr:nvSpPr>
        <xdr:cNvPr id="4" name="Rectangle 1">
          <a:extLst>
            <a:ext uri="{FF2B5EF4-FFF2-40B4-BE49-F238E27FC236}">
              <a16:creationId xmlns:a16="http://schemas.microsoft.com/office/drawing/2014/main" id="{00000000-0008-0000-0300-000004000000}"/>
            </a:ext>
          </a:extLst>
        </xdr:cNvPr>
        <xdr:cNvSpPr>
          <a:spLocks noGrp="1"/>
        </xdr:cNvSpPr>
      </xdr:nvSpPr>
      <xdr:spPr>
        <a:xfrm>
          <a:off x="9867900" y="5212080"/>
          <a:ext cx="1988820" cy="1676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26670</xdr:colOff>
      <xdr:row>3</xdr:row>
      <xdr:rowOff>5715</xdr:rowOff>
    </xdr:from>
    <xdr:to>
      <xdr:col>13</xdr:col>
      <xdr:colOff>339090</xdr:colOff>
      <xdr:row>12</xdr:row>
      <xdr:rowOff>108585</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21</xdr:row>
      <xdr:rowOff>0</xdr:rowOff>
    </xdr:from>
    <xdr:to>
      <xdr:col>8</xdr:col>
      <xdr:colOff>0</xdr:colOff>
      <xdr:row>34</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70</xdr:row>
      <xdr:rowOff>0</xdr:rowOff>
    </xdr:from>
    <xdr:to>
      <xdr:col>8</xdr:col>
      <xdr:colOff>0</xdr:colOff>
      <xdr:row>82</xdr:row>
      <xdr:rowOff>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232</xdr:row>
      <xdr:rowOff>28575</xdr:rowOff>
    </xdr:from>
    <xdr:to>
      <xdr:col>9</xdr:col>
      <xdr:colOff>25400</xdr:colOff>
      <xdr:row>246</xdr:row>
      <xdr:rowOff>161925</xdr:rowOff>
    </xdr:to>
    <xdr:graphicFrame macro="">
      <xdr:nvGraphicFramePr>
        <xdr:cNvPr id="4" nam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28575</xdr:colOff>
      <xdr:row>232</xdr:row>
      <xdr:rowOff>28575</xdr:rowOff>
    </xdr:from>
    <xdr:to>
      <xdr:col>19</xdr:col>
      <xdr:colOff>57150</xdr:colOff>
      <xdr:row>246</xdr:row>
      <xdr:rowOff>161925</xdr:rowOff>
    </xdr:to>
    <xdr:graphicFrame macro="">
      <xdr:nvGraphicFramePr>
        <xdr:cNvPr id="5" name="Chart">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216</xdr:row>
      <xdr:rowOff>76200</xdr:rowOff>
    </xdr:from>
    <xdr:to>
      <xdr:col>9</xdr:col>
      <xdr:colOff>25400</xdr:colOff>
      <xdr:row>231</xdr:row>
      <xdr:rowOff>25400</xdr:rowOff>
    </xdr:to>
    <xdr:graphicFrame macro="">
      <xdr:nvGraphicFramePr>
        <xdr:cNvPr id="6" name="Chart">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28575</xdr:colOff>
      <xdr:row>216</xdr:row>
      <xdr:rowOff>76200</xdr:rowOff>
    </xdr:from>
    <xdr:to>
      <xdr:col>19</xdr:col>
      <xdr:colOff>57150</xdr:colOff>
      <xdr:row>231</xdr:row>
      <xdr:rowOff>25400</xdr:rowOff>
    </xdr:to>
    <xdr:graphicFrame macro="">
      <xdr:nvGraphicFramePr>
        <xdr:cNvPr id="7" name="Chart">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Office">
      <a:majorFont>
        <a:latin typeface="Calibri Light"/>
        <a:ea typeface="Calibri Light"/>
        <a:cs typeface="Calibri Light"/>
      </a:majorFont>
      <a:minorFont>
        <a:latin typeface="Calibri"/>
        <a:ea typeface="Calibri"/>
        <a:cs typeface="Calibri"/>
      </a:minorFont>
    </a:fontScheme>
    <a:fmtScheme name="Berlin">
      <a:fillStyleLst>
        <a:solidFill>
          <a:schemeClr val="phClr"/>
        </a:solidFill>
        <a:solidFill>
          <a:schemeClr val="dk1"/>
        </a:solidFill>
        <a:solidFill>
          <a:schemeClr val="accent1"/>
        </a:solidFill>
      </a:fillStyleLst>
      <a:lnStyleLst>
        <a:ln w="9525">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6000"/>
                <a:shade val="100000"/>
                <a:lumMod val="128000"/>
                <a:satMod val="200000"/>
              </a:schemeClr>
            </a:gs>
            <a:gs pos="50000">
              <a:schemeClr val="phClr">
                <a:shade val="100000"/>
                <a:lumMod val="130000"/>
                <a:satMod val="110000"/>
              </a:schemeClr>
            </a:gs>
            <a:gs pos="100000">
              <a:schemeClr val="phClr">
                <a:shade val="78000"/>
                <a:lumMod val="69000"/>
                <a:satMod val="200000"/>
              </a:schemeClr>
            </a:gs>
          </a:gsLst>
          <a:lin ang="252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1B56B"/>
  </sheetPr>
  <dimension ref="A1:AE86"/>
  <sheetViews>
    <sheetView showGridLines="0" topLeftCell="A53" workbookViewId="0"/>
  </sheetViews>
  <sheetFormatPr defaultColWidth="0" defaultRowHeight="14.5" x14ac:dyDescent="0.35"/>
  <cols>
    <col min="1" max="1" width="1.83203125" customWidth="1"/>
    <col min="2" max="2" width="31.6640625" customWidth="1"/>
    <col min="3" max="3" width="8.6640625" customWidth="1"/>
    <col min="4" max="4" width="3.9140625" customWidth="1"/>
    <col min="5" max="5" width="6.58203125" customWidth="1"/>
    <col min="6" max="6" width="28.25" customWidth="1"/>
    <col min="7" max="7" width="12.75" customWidth="1"/>
    <col min="8" max="8" width="21.33203125" customWidth="1"/>
    <col min="9" max="9" width="9" customWidth="1"/>
    <col min="10" max="10" width="3.9140625" customWidth="1"/>
    <col min="11" max="11" width="5.25" customWidth="1"/>
    <col min="12" max="12" width="16.75" customWidth="1"/>
    <col min="13" max="13" width="9.58203125" customWidth="1"/>
    <col min="14" max="14" width="30" customWidth="1"/>
    <col min="15" max="15" width="28" customWidth="1"/>
    <col min="16" max="16" width="18" customWidth="1"/>
    <col min="17" max="17" width="32" customWidth="1"/>
    <col min="18" max="18" width="24" customWidth="1"/>
    <col min="19" max="19" width="22" customWidth="1"/>
    <col min="20" max="20" width="0.9140625" customWidth="1"/>
    <col min="21" max="30" width="9" hidden="1" customWidth="1"/>
    <col min="31" max="31" width="0" hidden="1" customWidth="1"/>
    <col min="32" max="16384" width="9" hidden="1"/>
  </cols>
  <sheetData>
    <row r="1" spans="1:19" ht="5.15" customHeight="1" x14ac:dyDescent="0.35"/>
    <row r="2" spans="1:19" ht="15.5" x14ac:dyDescent="0.35">
      <c r="B2" s="115" t="str">
        <f>Underwriting!B2</f>
        <v>THE BEND ENTERTAINMENT PRECINCT</v>
      </c>
      <c r="C2" s="116"/>
      <c r="D2" s="116"/>
      <c r="E2" s="116"/>
      <c r="F2" s="116"/>
      <c r="G2" s="116"/>
      <c r="H2" s="116"/>
      <c r="I2" s="116"/>
      <c r="J2" s="116"/>
      <c r="K2" s="116"/>
      <c r="L2" s="116"/>
      <c r="M2" s="116"/>
      <c r="N2" s="116"/>
      <c r="O2" s="116"/>
      <c r="P2" s="116"/>
      <c r="Q2" s="116"/>
      <c r="R2" s="116"/>
      <c r="S2" s="117" t="str">
        <f>UPPER(Underwriting!I2)</f>
        <v>MAYABAY ACTIVE (MELBOURNE) PTY LTD</v>
      </c>
    </row>
    <row r="3" spans="1:19" s="4" customFormat="1" x14ac:dyDescent="0.35">
      <c r="A3"/>
      <c r="B3" s="118" t="str">
        <f>Underwriting!E11&amp;", "&amp;Underwriting!I10</f>
        <v>Port Melbourne, VIC</v>
      </c>
      <c r="C3" s="6"/>
      <c r="D3" s="6"/>
      <c r="E3" s="6"/>
      <c r="F3" s="6"/>
      <c r="G3" s="6"/>
      <c r="H3" s="6"/>
      <c r="I3" s="6"/>
      <c r="J3" s="6"/>
      <c r="K3" s="6"/>
      <c r="L3" s="6"/>
      <c r="M3" s="6"/>
      <c r="N3" s="326"/>
      <c r="O3" s="326"/>
      <c r="P3" s="326"/>
      <c r="Q3" s="326"/>
      <c r="R3" s="326"/>
      <c r="S3" s="119" t="str">
        <f>"ANALYSIS START - "&amp;UPPER(TEXT(Underwriting!E13,"MMM YYYY"))</f>
        <v>ANALYSIS START - JUL 2026</v>
      </c>
    </row>
    <row r="4" spans="1:19" s="4" customFormat="1" x14ac:dyDescent="0.35">
      <c r="A4"/>
      <c r="B4" s="120" t="s">
        <v>0</v>
      </c>
      <c r="C4" s="121"/>
      <c r="D4" s="121"/>
      <c r="E4" s="121"/>
      <c r="F4" s="121"/>
      <c r="G4" s="121"/>
      <c r="H4" s="121"/>
      <c r="I4" s="121"/>
      <c r="J4" s="121"/>
      <c r="K4" s="121"/>
      <c r="L4" s="121"/>
      <c r="M4" s="121"/>
      <c r="N4" s="327"/>
      <c r="O4" s="327"/>
      <c r="P4" s="327"/>
      <c r="Q4" s="954" t="s">
        <v>1</v>
      </c>
      <c r="R4" s="955"/>
      <c r="S4" s="956"/>
    </row>
    <row r="5" spans="1:19" s="4" customFormat="1" x14ac:dyDescent="0.35">
      <c r="A5"/>
      <c r="B5" s="328" t="s">
        <v>2</v>
      </c>
      <c r="C5" s="94"/>
      <c r="D5" s="94"/>
      <c r="E5" s="329"/>
      <c r="F5" s="330" t="str">
        <f>Underwriting!E10&amp;", "&amp;Underwriting!E11&amp;" "&amp;Underwriting!I10</f>
        <v>Port Melbourne, Port Melbourne VIC</v>
      </c>
      <c r="G5" s="331" t="s">
        <v>3</v>
      </c>
      <c r="H5" s="94"/>
      <c r="I5" s="94"/>
      <c r="J5" s="94"/>
      <c r="K5" s="94"/>
      <c r="L5" s="94"/>
      <c r="M5" s="332"/>
      <c r="N5" s="957" t="s">
        <v>4</v>
      </c>
      <c r="O5" s="958"/>
      <c r="P5" s="958"/>
      <c r="Q5" s="958"/>
      <c r="R5" s="958"/>
      <c r="S5" s="959"/>
    </row>
    <row r="6" spans="1:19" s="4" customFormat="1" ht="22" customHeight="1" x14ac:dyDescent="0.35">
      <c r="A6"/>
      <c r="B6" s="180" t="str">
        <f>"Net Rentable Area ("&amp;Unit_Type&amp;")"</f>
        <v>Net Rentable Area (M2)</v>
      </c>
      <c r="C6"/>
      <c r="D6"/>
      <c r="E6" s="333"/>
      <c r="F6" s="608">
        <f>'VALUATION &amp; RETURNS'!$CS$38</f>
        <v>78470.38</v>
      </c>
      <c r="G6" s="623" t="s">
        <v>5</v>
      </c>
      <c r="H6" s="334"/>
      <c r="I6" s="334"/>
      <c r="J6" s="334"/>
      <c r="K6" s="334"/>
      <c r="L6" s="334"/>
      <c r="M6" s="335"/>
      <c r="N6" s="613" t="s">
        <v>6</v>
      </c>
      <c r="O6" s="946" t="s">
        <v>7</v>
      </c>
      <c r="P6" s="946"/>
      <c r="Q6" s="946"/>
      <c r="R6" s="946"/>
      <c r="S6" s="947"/>
    </row>
    <row r="7" spans="1:19" s="4" customFormat="1" ht="22" customHeight="1" x14ac:dyDescent="0.35">
      <c r="A7"/>
      <c r="B7" s="95" t="s">
        <v>8</v>
      </c>
      <c r="C7"/>
      <c r="D7"/>
      <c r="E7" s="333"/>
      <c r="F7" s="901">
        <f>Underwriting!$E$17</f>
        <v>8.500425122470487</v>
      </c>
      <c r="G7" s="624" t="s">
        <v>9</v>
      </c>
      <c r="H7" s="336"/>
      <c r="I7" s="336"/>
      <c r="J7" s="336"/>
      <c r="K7" s="336"/>
      <c r="L7" s="336"/>
      <c r="M7" s="337"/>
      <c r="N7" s="613" t="s">
        <v>10</v>
      </c>
      <c r="O7" s="946" t="s">
        <v>11</v>
      </c>
      <c r="P7" s="946"/>
      <c r="Q7" s="946"/>
      <c r="R7" s="946"/>
      <c r="S7" s="947"/>
    </row>
    <row r="8" spans="1:19" s="4" customFormat="1" ht="22" customHeight="1" x14ac:dyDescent="0.35">
      <c r="A8"/>
      <c r="B8" s="180" t="s">
        <v>12</v>
      </c>
      <c r="C8"/>
      <c r="D8"/>
      <c r="E8" s="333"/>
      <c r="F8" s="609" t="str">
        <f>"Mixed-use entertainment, leisure, PBSA and ancillary precinct"</f>
        <v>Mixed-use entertainment, leisure, PBSA and ancillary precinct</v>
      </c>
      <c r="G8" s="624" t="s">
        <v>13</v>
      </c>
      <c r="H8" s="336"/>
      <c r="I8" s="336"/>
      <c r="J8" s="336"/>
      <c r="K8" s="336"/>
      <c r="L8" s="336"/>
      <c r="M8" s="337"/>
      <c r="N8" s="613" t="s">
        <v>14</v>
      </c>
      <c r="O8" s="946" t="s">
        <v>15</v>
      </c>
      <c r="P8" s="946"/>
      <c r="Q8" s="946"/>
      <c r="R8" s="946"/>
      <c r="S8" s="947"/>
    </row>
    <row r="9" spans="1:19" s="4" customFormat="1" ht="22" customHeight="1" x14ac:dyDescent="0.35">
      <c r="A9"/>
      <c r="B9" s="180" t="s">
        <v>16</v>
      </c>
      <c r="C9"/>
      <c r="D9"/>
      <c r="E9" s="333"/>
      <c r="F9" s="610" t="str">
        <f>"Multiple component buildings — see component tabs"</f>
        <v>Multiple component buildings — see component tabs</v>
      </c>
      <c r="G9" s="624" t="s">
        <v>17</v>
      </c>
      <c r="H9" s="336"/>
      <c r="I9" s="336"/>
      <c r="J9" s="336"/>
      <c r="K9" s="336"/>
      <c r="L9" s="336"/>
      <c r="M9" s="337"/>
      <c r="N9" s="613" t="s">
        <v>18</v>
      </c>
      <c r="O9" s="946" t="s">
        <v>19</v>
      </c>
      <c r="P9" s="946"/>
      <c r="Q9" s="946"/>
      <c r="R9" s="946"/>
      <c r="S9" s="947"/>
    </row>
    <row r="10" spans="1:19" s="4" customFormat="1" ht="22" customHeight="1" x14ac:dyDescent="0.35">
      <c r="A10"/>
      <c r="B10" s="95" t="s">
        <v>20</v>
      </c>
      <c r="C10"/>
      <c r="D10"/>
      <c r="E10" s="333"/>
      <c r="F10" s="902">
        <f>SUM(Underwriting!$E$20:$E$21)</f>
        <v>353.11671000000001</v>
      </c>
      <c r="G10" s="624" t="s">
        <v>21</v>
      </c>
      <c r="H10" s="336"/>
      <c r="I10" s="336"/>
      <c r="J10" s="336"/>
      <c r="K10" s="336"/>
      <c r="L10" s="336"/>
      <c r="M10" s="337"/>
      <c r="N10" s="613" t="s">
        <v>22</v>
      </c>
      <c r="O10" s="946" t="s">
        <v>23</v>
      </c>
      <c r="P10" s="946"/>
      <c r="Q10" s="946"/>
      <c r="R10" s="946"/>
      <c r="S10" s="947"/>
    </row>
    <row r="11" spans="1:19" s="4" customFormat="1" ht="22" customHeight="1" x14ac:dyDescent="0.35">
      <c r="A11"/>
      <c r="B11" s="95" t="s">
        <v>24</v>
      </c>
      <c r="C11"/>
      <c r="D11"/>
      <c r="E11" s="93">
        <v>1</v>
      </c>
      <c r="F11" s="903">
        <f>Underwriting!$E$13</f>
        <v>46204</v>
      </c>
      <c r="G11" s="624" t="s">
        <v>25</v>
      </c>
      <c r="H11" s="336"/>
      <c r="I11" s="336"/>
      <c r="J11" s="336"/>
      <c r="K11" s="336"/>
      <c r="L11" s="336"/>
      <c r="M11" s="337"/>
      <c r="N11" s="613" t="s">
        <v>26</v>
      </c>
      <c r="O11" s="946" t="s">
        <v>27</v>
      </c>
      <c r="P11" s="946"/>
      <c r="Q11" s="946"/>
      <c r="R11" s="946"/>
      <c r="S11" s="947"/>
    </row>
    <row r="12" spans="1:19" s="4" customFormat="1" ht="22" customHeight="1" x14ac:dyDescent="0.35">
      <c r="A12"/>
      <c r="B12" s="95" t="s">
        <v>28</v>
      </c>
      <c r="C12"/>
      <c r="D12"/>
      <c r="E12" s="93">
        <v>1</v>
      </c>
      <c r="F12" s="903">
        <f>Underwriting!$E$13</f>
        <v>46204</v>
      </c>
      <c r="G12" s="114" t="s">
        <v>29</v>
      </c>
      <c r="H12"/>
      <c r="I12"/>
      <c r="J12"/>
      <c r="K12"/>
      <c r="L12"/>
      <c r="M12" s="338"/>
      <c r="N12" s="613" t="s">
        <v>30</v>
      </c>
      <c r="O12" s="946" t="str">
        <f>IFERROR(IF(MAX(MAX('Financial Statements'!$G$50:$X$50),-MIN('Financial Statements'!$G$50:$X$50))&lt;=1,"PASS","FAIL"),"PENDING RECALC")</f>
        <v>FAIL</v>
      </c>
      <c r="P12" s="946"/>
      <c r="Q12" s="946"/>
      <c r="R12" s="946"/>
      <c r="S12" s="947"/>
    </row>
    <row r="13" spans="1:19" s="4" customFormat="1" ht="22" customHeight="1" x14ac:dyDescent="0.35">
      <c r="A13"/>
      <c r="B13" s="95" t="s">
        <v>31</v>
      </c>
      <c r="C13"/>
      <c r="D13"/>
      <c r="E13" s="93">
        <f>Timing_Construction_End</f>
        <v>36</v>
      </c>
      <c r="F13" s="622">
        <f>EOMONTH(Underwriting!$E$13,Underwriting!$D$88-2)</f>
        <v>47299</v>
      </c>
      <c r="G13" s="623" t="s">
        <v>32</v>
      </c>
      <c r="H13" s="334"/>
      <c r="I13" s="334"/>
      <c r="J13" s="334"/>
      <c r="K13" s="334"/>
      <c r="L13" s="334"/>
      <c r="M13" s="335"/>
      <c r="N13" s="613" t="s">
        <v>33</v>
      </c>
      <c r="O13" s="946" t="str">
        <f>IFERROR(IF(ABS(Underwriting!$I$57-SUM(Underwriting!$I$69,Underwriting!$I$75))&lt;0.01,"PASS","FAIL"),"PENDING RECALC")</f>
        <v>FAIL</v>
      </c>
      <c r="P13" s="946"/>
      <c r="Q13" s="946"/>
      <c r="R13" s="946"/>
      <c r="S13" s="947"/>
    </row>
    <row r="14" spans="1:19" s="4" customFormat="1" ht="22" customHeight="1" x14ac:dyDescent="0.35">
      <c r="A14"/>
      <c r="B14" s="95" t="s">
        <v>34</v>
      </c>
      <c r="C14"/>
      <c r="D14"/>
      <c r="E14" s="93">
        <f>Timing_Operation_Begin_Month</f>
        <v>37</v>
      </c>
      <c r="F14" s="622">
        <f>EOMONTH(F13,1)</f>
        <v>47330</v>
      </c>
      <c r="G14" s="624" t="s">
        <v>35</v>
      </c>
      <c r="H14" s="336"/>
      <c r="I14" s="336"/>
      <c r="J14" s="336"/>
      <c r="K14" s="336"/>
      <c r="L14" s="336"/>
      <c r="M14" s="337"/>
      <c r="N14" s="613" t="s">
        <v>36</v>
      </c>
      <c r="O14" s="946" t="str">
        <f>IFERROR(IF(AND(MAX(MAX(DEBT!$F$96:$DV$96),-MIN(DEBT!$F$96:$DV$96))&lt;=0.01,MAX(MAX(DEBT!$F$136:$DV$136),-MIN(DEBT!$F$136:$DV$136))&lt;=0.01),"PASS","FAIL"),"PENDING RECALC")</f>
        <v>FAIL</v>
      </c>
      <c r="P14" s="946"/>
      <c r="Q14" s="946"/>
      <c r="R14" s="946"/>
      <c r="S14" s="947"/>
    </row>
    <row r="15" spans="1:19" s="4" customFormat="1" ht="22" customHeight="1" x14ac:dyDescent="0.35">
      <c r="A15"/>
      <c r="B15" s="95" t="s">
        <v>37</v>
      </c>
      <c r="C15"/>
      <c r="D15"/>
      <c r="E15" s="93">
        <f>Stabilization_1st_Month</f>
        <v>49</v>
      </c>
      <c r="F15" s="622">
        <f>EOMONTH(Underwriting!$E$13,Underwriting!$D$89-1)</f>
        <v>47695</v>
      </c>
      <c r="G15" s="624" t="s">
        <v>38</v>
      </c>
      <c r="H15" s="336"/>
      <c r="I15" s="336"/>
      <c r="J15" s="336"/>
      <c r="K15" s="336"/>
      <c r="L15" s="336"/>
      <c r="M15" s="337"/>
      <c r="N15" s="613" t="s">
        <v>39</v>
      </c>
      <c r="O15" s="946" t="s">
        <v>40</v>
      </c>
      <c r="P15" s="946"/>
      <c r="Q15" s="946"/>
      <c r="R15" s="946"/>
      <c r="S15" s="947"/>
    </row>
    <row r="16" spans="1:19" s="4" customFormat="1" ht="22" customHeight="1" x14ac:dyDescent="0.35">
      <c r="A16"/>
      <c r="B16" s="95" t="s">
        <v>41</v>
      </c>
      <c r="C16"/>
      <c r="D16"/>
      <c r="E16" s="93">
        <f>Timing_Reversion_Month</f>
        <v>61</v>
      </c>
      <c r="F16" s="622">
        <f>Underwriting!$I$15</f>
        <v>48030</v>
      </c>
      <c r="G16" s="624" t="s">
        <v>42</v>
      </c>
      <c r="H16" s="336"/>
      <c r="I16" s="336"/>
      <c r="J16" s="336"/>
      <c r="K16" s="336"/>
      <c r="L16" s="336"/>
      <c r="M16" s="337"/>
      <c r="N16" s="613" t="s">
        <v>43</v>
      </c>
      <c r="O16" s="946" t="s">
        <v>44</v>
      </c>
      <c r="P16" s="946"/>
      <c r="Q16" s="946"/>
      <c r="R16" s="946"/>
      <c r="S16" s="947"/>
    </row>
    <row r="17" spans="1:19" s="4" customFormat="1" ht="22" customHeight="1" x14ac:dyDescent="0.35">
      <c r="A17"/>
      <c r="B17"/>
      <c r="C17"/>
      <c r="D17"/>
      <c r="E17"/>
      <c r="F17" s="611" t="s">
        <v>45</v>
      </c>
      <c r="G17" s="624" t="s">
        <v>46</v>
      </c>
      <c r="H17" s="336"/>
      <c r="I17" s="336"/>
      <c r="J17" s="336"/>
      <c r="K17" s="336"/>
      <c r="L17" s="336"/>
      <c r="M17" s="337"/>
      <c r="N17" s="613" t="s">
        <v>47</v>
      </c>
      <c r="O17" s="946" t="s">
        <v>48</v>
      </c>
      <c r="P17" s="946"/>
      <c r="Q17" s="946"/>
      <c r="R17" s="946"/>
      <c r="S17" s="947"/>
    </row>
    <row r="18" spans="1:19" s="4" customFormat="1" ht="22" customHeight="1" x14ac:dyDescent="0.35">
      <c r="A18"/>
      <c r="B18" s="96"/>
      <c r="C18" s="97"/>
      <c r="D18" s="97"/>
      <c r="E18" s="113"/>
      <c r="F18" s="612" t="s">
        <v>49</v>
      </c>
      <c r="G18" s="625" t="s">
        <v>50</v>
      </c>
      <c r="H18" s="339"/>
      <c r="I18" s="339"/>
      <c r="J18" s="339"/>
      <c r="K18" s="339"/>
      <c r="L18" s="339"/>
      <c r="M18" s="340"/>
      <c r="N18" s="614" t="s">
        <v>51</v>
      </c>
      <c r="O18" s="948" t="s">
        <v>52</v>
      </c>
      <c r="P18" s="948"/>
      <c r="Q18" s="948"/>
      <c r="R18" s="948"/>
      <c r="S18" s="949"/>
    </row>
    <row r="19" spans="1:19" x14ac:dyDescent="0.35">
      <c r="A19" s="8">
        <v>0</v>
      </c>
      <c r="B19" s="120" t="s">
        <v>53</v>
      </c>
      <c r="C19" s="121"/>
      <c r="D19" s="121"/>
      <c r="E19" s="121"/>
      <c r="F19" s="121"/>
      <c r="G19" s="121"/>
      <c r="H19" s="121"/>
      <c r="I19" s="121"/>
      <c r="J19" s="121"/>
      <c r="K19" s="122"/>
      <c r="L19" s="122"/>
      <c r="M19" s="122"/>
      <c r="N19" s="327"/>
      <c r="O19" s="327"/>
      <c r="P19" s="327"/>
      <c r="Q19" s="123" t="s">
        <v>54</v>
      </c>
      <c r="R19" s="341" t="s">
        <v>55</v>
      </c>
      <c r="S19" s="341" t="s">
        <v>56</v>
      </c>
    </row>
    <row r="20" spans="1:19" s="4" customFormat="1" ht="25" customHeight="1" x14ac:dyDescent="0.35">
      <c r="A20"/>
      <c r="B20" s="328" t="s">
        <v>57</v>
      </c>
      <c r="C20" s="94"/>
      <c r="D20" s="94"/>
      <c r="E20" s="94"/>
      <c r="F20" s="94"/>
      <c r="G20" s="342" t="str">
        <f>TEXT(Underwriting!G105,"0.00%")&amp;" / "&amp;TEXT(Underwriting!F138,"0.00%")</f>
        <v>3.50% / 0.00%</v>
      </c>
      <c r="H20" s="343" t="s">
        <v>58</v>
      </c>
      <c r="I20" s="94"/>
      <c r="J20" s="94"/>
      <c r="K20" s="344"/>
      <c r="L20" s="344" t="str">
        <f>+Underwriting!H165</f>
        <v>STABILIZED (UNTRENDED)</v>
      </c>
      <c r="M20" s="345" t="str">
        <f>+Underwriting!I165</f>
        <v>SALE</v>
      </c>
      <c r="N20" s="950" t="s">
        <v>59</v>
      </c>
      <c r="O20" s="951"/>
      <c r="P20" s="951"/>
      <c r="Q20" s="951" t="s">
        <v>60</v>
      </c>
      <c r="R20" s="951" t="s">
        <v>61</v>
      </c>
      <c r="S20" s="952" t="s">
        <v>62</v>
      </c>
    </row>
    <row r="21" spans="1:19" s="4" customFormat="1" x14ac:dyDescent="0.35">
      <c r="A21"/>
      <c r="B21" s="95" t="str">
        <f>"Effective Rent / "&amp;Unit_Type</f>
        <v>Effective Rent / M2</v>
      </c>
      <c r="C21"/>
      <c r="D21"/>
      <c r="E21"/>
      <c r="F21"/>
      <c r="G21" s="125">
        <f>Underwriting!H105</f>
        <v>194.72315541227147</v>
      </c>
      <c r="H21" s="95" t="s">
        <v>63</v>
      </c>
      <c r="I21"/>
      <c r="J21"/>
      <c r="K21" s="98"/>
      <c r="L21" s="346">
        <f>+Underwriting!H171</f>
        <v>48830200.368285805</v>
      </c>
      <c r="M21" s="347">
        <f>+Underwriting!I171</f>
        <v>52215580.384524018</v>
      </c>
      <c r="N21" s="95" t="s">
        <v>64</v>
      </c>
      <c r="O21"/>
      <c r="P21"/>
      <c r="Q21" s="99">
        <f>Underwriting!G223</f>
        <v>1.3761097649026197</v>
      </c>
      <c r="R21" s="348">
        <f>Underwriting!H223</f>
        <v>3.6516197698477049</v>
      </c>
      <c r="S21" s="127">
        <f>Underwriting!I223</f>
        <v>4.7683715820312501E-9</v>
      </c>
    </row>
    <row r="22" spans="1:19" s="4" customFormat="1" x14ac:dyDescent="0.35">
      <c r="A22"/>
      <c r="B22" s="95" t="s">
        <v>65</v>
      </c>
      <c r="C22"/>
      <c r="D22"/>
      <c r="E22"/>
      <c r="F22"/>
      <c r="G22" s="251">
        <f>Underwriting!G129</f>
        <v>0</v>
      </c>
      <c r="H22" s="180" t="s">
        <v>66</v>
      </c>
      <c r="I22"/>
      <c r="J22"/>
      <c r="K22" s="102"/>
      <c r="L22" s="349">
        <f>+Underwriting!H177</f>
        <v>3288278.6208900046</v>
      </c>
      <c r="M22" s="350">
        <f>+Underwriting!I177</f>
        <v>3454747.7260725615</v>
      </c>
      <c r="N22" s="95" t="s">
        <v>67</v>
      </c>
      <c r="O22"/>
      <c r="P22"/>
      <c r="Q22" s="99" t="str">
        <f>Underwriting!G224</f>
        <v>NA</v>
      </c>
      <c r="R22" s="348" t="str">
        <f>Underwriting!H224</f>
        <v>NA</v>
      </c>
      <c r="S22" s="127" t="str">
        <f>Underwriting!I224</f>
        <v>NA</v>
      </c>
    </row>
    <row r="23" spans="1:19" s="4" customFormat="1" x14ac:dyDescent="0.35">
      <c r="A23"/>
      <c r="B23" s="95" t="s">
        <v>68</v>
      </c>
      <c r="C23"/>
      <c r="D23"/>
      <c r="E23"/>
      <c r="F23"/>
      <c r="G23" s="251">
        <f>IF(Underwriting!$I$138=0,"",Underwriting!$I$120/Underwriting!$I$138)</f>
        <v>1</v>
      </c>
      <c r="H23" s="95" t="s">
        <v>69</v>
      </c>
      <c r="I23"/>
      <c r="J23"/>
      <c r="K23" s="98"/>
      <c r="L23" s="346">
        <f>L21-L22</f>
        <v>45541921.747395799</v>
      </c>
      <c r="M23" s="347">
        <f>M21-M22</f>
        <v>48760832.658451453</v>
      </c>
      <c r="N23" s="95" t="str">
        <f>Underwriting!B225</f>
        <v/>
      </c>
      <c r="O23"/>
      <c r="P23"/>
      <c r="Q23" s="99" t="str">
        <f>Underwriting!G225</f>
        <v/>
      </c>
      <c r="R23" s="100" t="str">
        <f>Underwriting!H225</f>
        <v/>
      </c>
      <c r="S23" s="101" t="str">
        <f>Underwriting!I225</f>
        <v/>
      </c>
    </row>
    <row r="24" spans="1:19" s="4" customFormat="1" x14ac:dyDescent="0.35">
      <c r="A24"/>
      <c r="B24" s="95" t="s">
        <v>70</v>
      </c>
      <c r="C24"/>
      <c r="D24"/>
      <c r="E24"/>
      <c r="F24"/>
      <c r="G24" s="251">
        <f>IF(Underwriting!$I$140=0,"",OpEx_7/Underwriting!$I$140)</f>
        <v>0</v>
      </c>
      <c r="H24" s="180" t="s">
        <v>71</v>
      </c>
      <c r="I24"/>
      <c r="J24"/>
      <c r="K24" s="102"/>
      <c r="L24" s="349">
        <f>+Underwriting!H183</f>
        <v>0</v>
      </c>
      <c r="M24" s="350">
        <f>+Underwriting!I183</f>
        <v>0</v>
      </c>
      <c r="N24" s="351" t="s">
        <v>72</v>
      </c>
      <c r="O24"/>
      <c r="P24"/>
      <c r="Q24" s="352" t="s">
        <v>60</v>
      </c>
      <c r="R24" s="352" t="s">
        <v>61</v>
      </c>
      <c r="S24" s="353" t="s">
        <v>62</v>
      </c>
    </row>
    <row r="25" spans="1:19" s="4" customFormat="1" x14ac:dyDescent="0.35">
      <c r="A25"/>
      <c r="B25" s="4" t="str">
        <f>"Leasing Cost Reserve / "&amp;Unit_Type&amp;" / Yr"</f>
        <v>Leasing Cost Reserve / M2 / Yr</v>
      </c>
      <c r="C25"/>
      <c r="D25"/>
      <c r="E25"/>
      <c r="F25"/>
      <c r="G25" s="125">
        <f>+Underwriting!H151</f>
        <v>0</v>
      </c>
      <c r="H25" s="95" t="s">
        <v>73</v>
      </c>
      <c r="I25"/>
      <c r="J25"/>
      <c r="K25" s="98"/>
      <c r="L25" s="346">
        <f>L23-L24</f>
        <v>45541921.747395799</v>
      </c>
      <c r="M25" s="347">
        <f>M23-M24</f>
        <v>48760832.658451453</v>
      </c>
      <c r="N25" s="95" t="s">
        <v>74</v>
      </c>
      <c r="O25"/>
      <c r="P25"/>
      <c r="Q25" s="99">
        <f>IFERROR(IF(Underwriting!$I$49=0,"",Underwriting!$I$211/Underwriting!$I$49),"")</f>
        <v>1.0011752186877272</v>
      </c>
      <c r="R25" s="348">
        <f>Underwriting!G211</f>
        <v>2.317703172440579</v>
      </c>
      <c r="S25" s="127">
        <f>Underwriting!H211</f>
        <v>0.26738072037696836</v>
      </c>
    </row>
    <row r="26" spans="1:19" s="4" customFormat="1" x14ac:dyDescent="0.35">
      <c r="A26"/>
      <c r="B26"/>
      <c r="C26"/>
      <c r="D26"/>
      <c r="E26"/>
      <c r="F26"/>
      <c r="G26"/>
      <c r="H26" s="180" t="s">
        <v>75</v>
      </c>
      <c r="I26"/>
      <c r="J26"/>
      <c r="K26" s="103"/>
      <c r="L26" s="99">
        <f>Underwriting!H189</f>
        <v>6.7008196721311475E-2</v>
      </c>
      <c r="M26" s="127">
        <f>Underwriting!I189</f>
        <v>6.7500000000000004E-2</v>
      </c>
      <c r="N26" s="95" t="s">
        <v>76</v>
      </c>
      <c r="O26"/>
      <c r="P26"/>
      <c r="Q26" s="99">
        <f>IFERROR(IF(Equity_Total=0,"",Underwriting!$I$212/Equity_Total),"")</f>
        <v>1.7496554813476544</v>
      </c>
      <c r="R26" s="348">
        <f>Underwriting!G212</f>
        <v>3.6516197698477049</v>
      </c>
      <c r="S26" s="127">
        <f>Underwriting!H212</f>
        <v>2.9802322387695314E-9</v>
      </c>
    </row>
    <row r="27" spans="1:19" s="4" customFormat="1" x14ac:dyDescent="0.35">
      <c r="A27"/>
      <c r="B27" s="95" t="s">
        <v>77</v>
      </c>
      <c r="C27"/>
      <c r="D27"/>
      <c r="E27"/>
      <c r="F27"/>
      <c r="G27" s="354">
        <f>Underwriting!E190</f>
        <v>707935051.93010986</v>
      </c>
      <c r="H27" s="95" t="s">
        <v>78</v>
      </c>
      <c r="I27"/>
      <c r="J27"/>
      <c r="K27" s="98"/>
      <c r="L27" s="346">
        <f>Underwriting!H191</f>
        <v>679647027.91220641</v>
      </c>
      <c r="M27" s="347">
        <f>Underwriting!I191</f>
        <v>722382706.05113256</v>
      </c>
      <c r="N27" s="351" t="s">
        <v>79</v>
      </c>
      <c r="O27"/>
      <c r="P27"/>
      <c r="Q27" s="352"/>
      <c r="R27" s="352" t="str">
        <f>PROPER(Underwriting!H214)</f>
        <v>Stabilized (Untrended)</v>
      </c>
      <c r="S27" s="353" t="str">
        <f>PROPER(Underwriting!I214)</f>
        <v>Sale</v>
      </c>
    </row>
    <row r="28" spans="1:19" s="4" customFormat="1" x14ac:dyDescent="0.35">
      <c r="A28"/>
      <c r="B28" s="180" t="str">
        <f>IF(Perm_Debt?,"Permanent Loan Payoff","Construction Loan Payoff")</f>
        <v>Construction Loan Payoff</v>
      </c>
      <c r="C28"/>
      <c r="D28"/>
      <c r="E28"/>
      <c r="F28"/>
      <c r="G28" s="355">
        <f>IFERROR(IF(Perm_Debt?,Underwriting!$I$83,-Underwriting!$I$75),"")</f>
        <v>-235202653.50721359</v>
      </c>
      <c r="H28" s="95" t="s">
        <v>80</v>
      </c>
      <c r="I28"/>
      <c r="J28"/>
      <c r="K28" s="99"/>
      <c r="L28" s="99">
        <f>L27/$M$36</f>
        <v>1.5141739581675011</v>
      </c>
      <c r="M28" s="127">
        <f>M27/$M$36</f>
        <v>1.6093840426158494</v>
      </c>
      <c r="N28" s="95" t="str">
        <f>Underwriting!B215</f>
        <v>Yield-on-Cost</v>
      </c>
      <c r="O28"/>
      <c r="P28"/>
      <c r="Q28" s="103"/>
      <c r="R28" s="99">
        <f>Underwriting!H215</f>
        <v>0.10146206645917477</v>
      </c>
      <c r="S28" s="127">
        <f>Underwriting!I215</f>
        <v>0.10863342287656985</v>
      </c>
    </row>
    <row r="29" spans="1:19" s="4" customFormat="1" x14ac:dyDescent="0.35">
      <c r="A29"/>
      <c r="B29" s="95" t="s">
        <v>81</v>
      </c>
      <c r="C29"/>
      <c r="D29"/>
      <c r="E29"/>
      <c r="F29"/>
      <c r="G29" s="354">
        <f>IFERROR(Underwriting!$E$192,"")</f>
        <v>472732398.42289627</v>
      </c>
      <c r="H29" s="95" t="str">
        <f>"Valuation/"&amp;Unit_Type</f>
        <v>Valuation/M2</v>
      </c>
      <c r="I29"/>
      <c r="J29"/>
      <c r="K29" s="162"/>
      <c r="L29" s="105">
        <f>L27/Units</f>
        <v>8661.1920053427348</v>
      </c>
      <c r="M29" s="249">
        <f>M27/Units</f>
        <v>9205.801043032192</v>
      </c>
      <c r="N29" s="95" t="str">
        <f>Underwriting!B216</f>
        <v>Market Cap Rate</v>
      </c>
      <c r="O29"/>
      <c r="P29"/>
      <c r="Q29" s="106"/>
      <c r="R29" s="356">
        <f>Underwriting!H216</f>
        <v>6.7008196721311475E-2</v>
      </c>
      <c r="S29" s="357">
        <f>Underwriting!I216</f>
        <v>6.7500000000000004E-2</v>
      </c>
    </row>
    <row r="30" spans="1:19" s="4" customFormat="1" x14ac:dyDescent="0.35">
      <c r="A30"/>
      <c r="B30" s="95"/>
      <c r="C30"/>
      <c r="D30"/>
      <c r="E30"/>
      <c r="F30"/>
      <c r="G30" s="126"/>
      <c r="H30" s="95"/>
      <c r="I30"/>
      <c r="J30"/>
      <c r="K30" s="99"/>
      <c r="L30" s="99"/>
      <c r="M30" s="127"/>
      <c r="N30" s="95" t="str">
        <f>Underwriting!B217</f>
        <v>Development Spread</v>
      </c>
      <c r="O30"/>
      <c r="P30"/>
      <c r="Q30" s="108"/>
      <c r="R30" s="108">
        <f>Underwriting!H217</f>
        <v>344.53869737863295</v>
      </c>
      <c r="S30" s="109">
        <f>Underwriting!I217</f>
        <v>411.33422876569847</v>
      </c>
    </row>
    <row r="31" spans="1:19" s="4" customFormat="1" ht="25" customHeight="1" x14ac:dyDescent="0.35">
      <c r="A31"/>
      <c r="B31" s="351" t="s">
        <v>82</v>
      </c>
      <c r="C31" s="104"/>
      <c r="D31" s="104"/>
      <c r="E31" s="352" t="s">
        <v>83</v>
      </c>
      <c r="F31" s="352" t="s">
        <v>84</v>
      </c>
      <c r="G31" s="352" t="s">
        <v>85</v>
      </c>
      <c r="H31" s="351" t="s">
        <v>86</v>
      </c>
      <c r="I31"/>
      <c r="J31"/>
      <c r="K31" s="352" t="s">
        <v>83</v>
      </c>
      <c r="L31" s="352" t="str">
        <f>"/Buildable "&amp;Unit_Type</f>
        <v>/Buildable M2</v>
      </c>
      <c r="M31" s="353" t="s">
        <v>85</v>
      </c>
      <c r="N31" s="953" t="str">
        <f>Underwriting!$C$271</f>
        <v>Vacancy</v>
      </c>
      <c r="O31" s="953"/>
      <c r="P31" s="953"/>
      <c r="Q31" s="953"/>
      <c r="R31" s="953"/>
      <c r="S31" s="953"/>
    </row>
    <row r="32" spans="1:19" s="4" customFormat="1" x14ac:dyDescent="0.35">
      <c r="A32"/>
      <c r="B32" s="95" t="str">
        <f>Underwriting!B61</f>
        <v>Construction Debt</v>
      </c>
      <c r="C32"/>
      <c r="D32"/>
      <c r="E32" s="99">
        <f>IF(IF(Dbl_Promote?=1,$G$36,$G$35)=0,"",G32/IF(Dbl_Promote?=1,$G$36,$G$35))</f>
        <v>0.51818607937478611</v>
      </c>
      <c r="F32" s="358">
        <f>IFERROR(G32/Units,"")</f>
        <v>2997.3431186036514</v>
      </c>
      <c r="G32" s="346">
        <f>IFERROR(Debt_Total,0)</f>
        <v>235202653.50721359</v>
      </c>
      <c r="H32" s="180" t="str">
        <f>Underwriting!B26</f>
        <v>Land Costs</v>
      </c>
      <c r="I32"/>
      <c r="J32"/>
      <c r="K32" s="99">
        <f>M32/$M$36</f>
        <v>0.20567814479736227</v>
      </c>
      <c r="L32" s="105">
        <f>M32/Units</f>
        <v>1176.4948761558182</v>
      </c>
      <c r="M32" s="347">
        <f>Underwriting!I31</f>
        <v>92320000</v>
      </c>
      <c r="N32" s="359" t="s">
        <v>87</v>
      </c>
      <c r="O32" s="360"/>
      <c r="P32" s="360"/>
      <c r="Q32" s="352" t="s">
        <v>88</v>
      </c>
      <c r="R32" s="352" t="str">
        <f>Underwriting!H271</f>
        <v>Dev. Spread</v>
      </c>
      <c r="S32" s="353" t="str">
        <f>Underwriting!I271</f>
        <v>Levered EMx</v>
      </c>
    </row>
    <row r="33" spans="1:19" s="4" customFormat="1" x14ac:dyDescent="0.35">
      <c r="A33"/>
      <c r="B33" s="95" t="s">
        <v>64</v>
      </c>
      <c r="C33"/>
      <c r="D33"/>
      <c r="E33" s="99">
        <f>IF(IF(Dbl_Promote?=1,$G$36,$G$35)=0,"",G33/IF(Dbl_Promote?=1,$G$36,$G$35))</f>
        <v>0.48181392062521389</v>
      </c>
      <c r="F33" s="358">
        <f>IFERROR(G33/Units,"")</f>
        <v>2786.9556842898483</v>
      </c>
      <c r="G33" s="346">
        <f>Underwriting!D223</f>
        <v>218693471.58938444</v>
      </c>
      <c r="H33" s="180">
        <f>Underwriting!B33</f>
        <v>0</v>
      </c>
      <c r="I33"/>
      <c r="J33"/>
      <c r="K33" s="99">
        <f>M33/$M$36</f>
        <v>0.79432185520263776</v>
      </c>
      <c r="L33" s="105">
        <f>M33/Units</f>
        <v>4543.5823703349142</v>
      </c>
      <c r="M33" s="347">
        <f>Underwriting!I38</f>
        <v>356536635.1614815</v>
      </c>
      <c r="N33" s="223" t="str">
        <f>Underwriting!B272</f>
        <v>Base Case</v>
      </c>
      <c r="O33"/>
      <c r="P33" s="22"/>
      <c r="Q33" s="251">
        <f>Underwriting!G272</f>
        <v>6.7500000000000004E-2</v>
      </c>
      <c r="R33" s="108">
        <f>Underwriting!H272</f>
        <v>411.33422876569847</v>
      </c>
      <c r="S33" s="361">
        <f>Underwriting!I272</f>
        <v>3.6516197698477049</v>
      </c>
    </row>
    <row r="34" spans="1:19" s="4" customFormat="1" x14ac:dyDescent="0.35">
      <c r="A34"/>
      <c r="B34" s="95" t="s">
        <v>67</v>
      </c>
      <c r="C34"/>
      <c r="D34"/>
      <c r="E34" s="99">
        <f>IF(IF(Dbl_Promote?=1,$G$36,$G$35)=0,"",G34/IF(Dbl_Promote?=1,$G$36,$G$35))</f>
        <v>0</v>
      </c>
      <c r="F34" s="358">
        <f>IFERROR(G34/Units,"")</f>
        <v>0</v>
      </c>
      <c r="G34" s="346">
        <f>Underwriting!D224</f>
        <v>0</v>
      </c>
      <c r="H34" s="180">
        <f>Underwriting!B40</f>
        <v>0</v>
      </c>
      <c r="I34"/>
      <c r="J34"/>
      <c r="K34" s="99">
        <f>M34/$M$36</f>
        <v>0</v>
      </c>
      <c r="L34" s="105">
        <f>M34/Units</f>
        <v>0</v>
      </c>
      <c r="M34" s="347">
        <f>Underwriting!I47</f>
        <v>0</v>
      </c>
      <c r="N34" s="362" t="str">
        <f>Underwriting!B273</f>
        <v>Downside #1</v>
      </c>
      <c r="O34"/>
      <c r="P34" s="363"/>
      <c r="Q34" s="99">
        <f>Underwriting!G273</f>
        <v>0.06</v>
      </c>
      <c r="R34" s="108">
        <f>Underwriting!H273</f>
        <v>486.33422876569853</v>
      </c>
      <c r="S34" s="361">
        <f>Underwriting!I273</f>
        <v>4.2734712335659921</v>
      </c>
    </row>
    <row r="35" spans="1:19" s="4" customFormat="1" x14ac:dyDescent="0.35">
      <c r="A35"/>
      <c r="B35" s="95" t="str">
        <f>IF(Dbl_Promote?=1,Underwriting!B225,"Total Sources")</f>
        <v>Total Sources</v>
      </c>
      <c r="C35"/>
      <c r="D35"/>
      <c r="E35" s="99">
        <f>IF(IF(Dbl_Promote?=1,$G$36,$G$35)=0,"",G35/IF(Dbl_Promote?=1,$G$36,$G$35))</f>
        <v>1</v>
      </c>
      <c r="F35" s="364">
        <f>IFERROR(G35/Units,"")</f>
        <v>5784.2988028934997</v>
      </c>
      <c r="G35" s="349">
        <f>IFERROR(IF(B36="",SUM(G32:G34),Underwriting!$D$225),SUM(G32:G34))</f>
        <v>453896125.09659803</v>
      </c>
      <c r="H35" s="180">
        <f>Underwriting!B51</f>
        <v>0</v>
      </c>
      <c r="I35"/>
      <c r="J35"/>
      <c r="K35" s="99">
        <f>M35/$M$36</f>
        <v>0</v>
      </c>
      <c r="L35" s="107">
        <f>M35/Units</f>
        <v>0</v>
      </c>
      <c r="M35" s="350">
        <f>Underwriting!I55</f>
        <v>0</v>
      </c>
      <c r="N35" s="362" t="str">
        <f>Underwriting!B274</f>
        <v>Downside #2</v>
      </c>
      <c r="O35"/>
      <c r="P35" s="363"/>
      <c r="Q35" s="99">
        <f>Underwriting!G274</f>
        <v>6.25E-2</v>
      </c>
      <c r="R35" s="108">
        <f>Underwriting!H274</f>
        <v>461.33422876569853</v>
      </c>
      <c r="S35" s="361">
        <f>Underwriting!I274</f>
        <v>4.0496047066274086</v>
      </c>
    </row>
    <row r="36" spans="1:19" s="4" customFormat="1" x14ac:dyDescent="0.35">
      <c r="A36"/>
      <c r="B36" s="96" t="str">
        <f>IF(Dbl_Promote?=1,"Total Sources","")</f>
        <v/>
      </c>
      <c r="C36" s="97"/>
      <c r="D36" s="97"/>
      <c r="E36" s="110" t="str">
        <f>IF(Dbl_Promote?=1,G36/$G$36,"")</f>
        <v/>
      </c>
      <c r="F36" s="111" t="str">
        <f>IFERROR(G36/Units,"")</f>
        <v/>
      </c>
      <c r="G36" s="111" t="str">
        <f>IF(B36="","",SUM(G32:G35))</f>
        <v/>
      </c>
      <c r="H36" s="96" t="s">
        <v>89</v>
      </c>
      <c r="I36" s="110"/>
      <c r="J36" s="110"/>
      <c r="K36" s="110">
        <f>M36/$M$36</f>
        <v>1</v>
      </c>
      <c r="L36" s="112">
        <f>SUM(L32:L35)</f>
        <v>5720.0772464907323</v>
      </c>
      <c r="M36" s="365">
        <f>SUM(M32:M35)</f>
        <v>448856635.1614815</v>
      </c>
      <c r="N36" s="366" t="str">
        <f>Underwriting!B275</f>
        <v>Downside #3</v>
      </c>
      <c r="O36"/>
      <c r="P36" s="367"/>
      <c r="Q36" s="110">
        <f>Underwriting!G275</f>
        <v>6.5000000000000002E-2</v>
      </c>
      <c r="R36" s="368">
        <f>Underwriting!H275</f>
        <v>436.33422876569847</v>
      </c>
      <c r="S36" s="369">
        <f>Underwriting!I275</f>
        <v>3.842958681761024</v>
      </c>
    </row>
    <row r="37" spans="1:19" x14ac:dyDescent="0.35">
      <c r="A37" s="370">
        <v>0</v>
      </c>
      <c r="B37" s="120" t="s">
        <v>90</v>
      </c>
      <c r="C37" s="121"/>
      <c r="D37" s="121"/>
      <c r="E37" s="121"/>
      <c r="F37" s="121"/>
      <c r="G37" s="121"/>
      <c r="H37" s="121"/>
      <c r="I37" s="121"/>
      <c r="J37" s="121"/>
      <c r="K37" s="121"/>
      <c r="L37" s="121"/>
      <c r="M37" s="121"/>
      <c r="N37" s="327"/>
      <c r="O37" s="327"/>
      <c r="P37" s="327"/>
      <c r="Q37" s="123" t="s">
        <v>91</v>
      </c>
      <c r="R37" s="341" t="s">
        <v>55</v>
      </c>
      <c r="S37" s="341" t="s">
        <v>56</v>
      </c>
    </row>
    <row r="38" spans="1:19" s="4" customFormat="1" x14ac:dyDescent="0.35">
      <c r="A38"/>
      <c r="B38" s="328"/>
      <c r="C38" s="94"/>
      <c r="D38" s="94"/>
      <c r="E38" s="94"/>
      <c r="F38" s="94"/>
      <c r="G38" s="94"/>
      <c r="H38" s="94"/>
      <c r="I38" s="94"/>
      <c r="J38" s="94"/>
      <c r="K38" s="94"/>
      <c r="L38" s="94"/>
      <c r="M38" s="332"/>
      <c r="N38" s="328"/>
      <c r="O38" s="94"/>
      <c r="P38" s="94"/>
      <c r="Q38" s="94"/>
      <c r="R38" s="94"/>
      <c r="S38" s="332"/>
    </row>
    <row r="39" spans="1:19" s="4" customFormat="1" x14ac:dyDescent="0.35">
      <c r="A39"/>
      <c r="B39" s="95"/>
      <c r="C39"/>
      <c r="D39"/>
      <c r="E39"/>
      <c r="F39"/>
      <c r="G39"/>
      <c r="H39"/>
      <c r="I39"/>
      <c r="J39"/>
      <c r="K39"/>
      <c r="L39"/>
      <c r="M39" s="338"/>
      <c r="N39" s="95"/>
      <c r="O39"/>
      <c r="P39"/>
      <c r="Q39"/>
      <c r="R39"/>
      <c r="S39" s="338"/>
    </row>
    <row r="40" spans="1:19" s="4" customFormat="1" x14ac:dyDescent="0.35">
      <c r="A40"/>
      <c r="B40" s="95"/>
      <c r="C40"/>
      <c r="D40"/>
      <c r="E40"/>
      <c r="F40"/>
      <c r="G40"/>
      <c r="H40"/>
      <c r="I40"/>
      <c r="J40"/>
      <c r="K40"/>
      <c r="L40"/>
      <c r="M40" s="338"/>
      <c r="N40" s="941"/>
      <c r="O40" s="942"/>
      <c r="P40" s="942"/>
      <c r="Q40" s="942"/>
      <c r="R40" s="942"/>
      <c r="S40" s="943"/>
    </row>
    <row r="41" spans="1:19" s="4" customFormat="1" x14ac:dyDescent="0.35">
      <c r="A41"/>
      <c r="B41" s="95"/>
      <c r="C41"/>
      <c r="D41"/>
      <c r="E41"/>
      <c r="F41"/>
      <c r="G41"/>
      <c r="H41"/>
      <c r="I41"/>
      <c r="J41"/>
      <c r="K41"/>
      <c r="L41"/>
      <c r="M41" s="338"/>
      <c r="N41" s="784"/>
      <c r="O41" s="785"/>
      <c r="P41" s="785"/>
      <c r="Q41" s="785"/>
      <c r="R41" s="785"/>
      <c r="S41" s="786"/>
    </row>
    <row r="42" spans="1:19" s="4" customFormat="1" x14ac:dyDescent="0.35">
      <c r="A42"/>
      <c r="B42" s="95"/>
      <c r="C42"/>
      <c r="D42"/>
      <c r="E42"/>
      <c r="F42"/>
      <c r="G42"/>
      <c r="H42"/>
      <c r="I42"/>
      <c r="J42"/>
      <c r="K42"/>
      <c r="L42"/>
      <c r="M42" s="338"/>
      <c r="N42" s="787"/>
      <c r="O42" s="782"/>
      <c r="P42" s="782"/>
      <c r="Q42" s="782"/>
      <c r="R42" s="782"/>
      <c r="S42" s="783"/>
    </row>
    <row r="43" spans="1:19" s="4" customFormat="1" x14ac:dyDescent="0.35">
      <c r="A43"/>
      <c r="B43" s="95"/>
      <c r="C43"/>
      <c r="D43"/>
      <c r="E43"/>
      <c r="F43"/>
      <c r="G43"/>
      <c r="H43"/>
      <c r="I43"/>
      <c r="J43"/>
      <c r="K43"/>
      <c r="L43"/>
      <c r="M43" s="338"/>
      <c r="N43" s="787"/>
      <c r="O43" s="782"/>
      <c r="P43" s="782"/>
      <c r="Q43" s="782"/>
      <c r="R43" s="782"/>
      <c r="S43" s="783"/>
    </row>
    <row r="44" spans="1:19" s="4" customFormat="1" x14ac:dyDescent="0.35">
      <c r="A44"/>
      <c r="B44" s="95"/>
      <c r="C44"/>
      <c r="D44"/>
      <c r="E44"/>
      <c r="F44"/>
      <c r="G44"/>
      <c r="H44"/>
      <c r="I44"/>
      <c r="J44"/>
      <c r="K44"/>
      <c r="L44"/>
      <c r="M44" s="338"/>
      <c r="N44" s="787"/>
      <c r="O44" s="782"/>
      <c r="P44" s="782"/>
      <c r="Q44" s="782"/>
      <c r="R44" s="782"/>
      <c r="S44" s="783"/>
    </row>
    <row r="45" spans="1:19" s="4" customFormat="1" x14ac:dyDescent="0.35">
      <c r="A45"/>
      <c r="B45" s="95"/>
      <c r="C45"/>
      <c r="D45"/>
      <c r="E45"/>
      <c r="F45"/>
      <c r="G45"/>
      <c r="H45"/>
      <c r="I45"/>
      <c r="J45"/>
      <c r="K45"/>
      <c r="L45"/>
      <c r="M45" s="338"/>
      <c r="N45" s="787"/>
      <c r="O45" s="782"/>
      <c r="P45" s="782"/>
      <c r="Q45" s="782"/>
      <c r="R45" s="782"/>
      <c r="S45" s="783"/>
    </row>
    <row r="46" spans="1:19" s="4" customFormat="1" x14ac:dyDescent="0.35">
      <c r="A46"/>
      <c r="B46" s="95"/>
      <c r="C46"/>
      <c r="D46"/>
      <c r="E46"/>
      <c r="F46"/>
      <c r="G46"/>
      <c r="H46"/>
      <c r="I46"/>
      <c r="J46"/>
      <c r="K46"/>
      <c r="L46"/>
      <c r="M46" s="338"/>
      <c r="N46" s="787"/>
      <c r="O46" s="782"/>
      <c r="P46" s="782"/>
      <c r="Q46" s="782"/>
      <c r="R46" s="782"/>
      <c r="S46" s="783"/>
    </row>
    <row r="47" spans="1:19" s="4" customFormat="1" x14ac:dyDescent="0.35">
      <c r="A47"/>
      <c r="B47" s="95"/>
      <c r="C47"/>
      <c r="D47"/>
      <c r="E47"/>
      <c r="F47"/>
      <c r="G47"/>
      <c r="H47"/>
      <c r="I47"/>
      <c r="J47"/>
      <c r="K47"/>
      <c r="L47"/>
      <c r="M47" s="338"/>
      <c r="N47" s="787"/>
      <c r="O47" s="782"/>
      <c r="P47" s="782"/>
      <c r="Q47" s="782"/>
      <c r="R47" s="782"/>
      <c r="S47" s="783"/>
    </row>
    <row r="48" spans="1:19" s="4" customFormat="1" x14ac:dyDescent="0.35">
      <c r="A48"/>
      <c r="B48" s="95"/>
      <c r="C48"/>
      <c r="D48"/>
      <c r="E48"/>
      <c r="F48"/>
      <c r="G48"/>
      <c r="H48"/>
      <c r="I48"/>
      <c r="J48"/>
      <c r="K48"/>
      <c r="L48"/>
      <c r="M48" s="338"/>
      <c r="N48" s="787"/>
      <c r="O48" s="782"/>
      <c r="P48" s="782"/>
      <c r="Q48" s="782"/>
      <c r="R48" s="782"/>
      <c r="S48" s="783"/>
    </row>
    <row r="49" spans="1:19" s="4" customFormat="1" x14ac:dyDescent="0.35">
      <c r="A49"/>
      <c r="B49" s="95"/>
      <c r="C49"/>
      <c r="D49"/>
      <c r="E49"/>
      <c r="F49"/>
      <c r="G49"/>
      <c r="H49"/>
      <c r="I49"/>
      <c r="J49"/>
      <c r="K49"/>
      <c r="L49"/>
      <c r="M49" s="338"/>
      <c r="N49" s="787"/>
      <c r="O49" s="782"/>
      <c r="P49" s="782"/>
      <c r="Q49" s="782"/>
      <c r="R49" s="782"/>
      <c r="S49" s="783"/>
    </row>
    <row r="50" spans="1:19" s="4" customFormat="1" x14ac:dyDescent="0.35">
      <c r="A50"/>
      <c r="B50" s="95"/>
      <c r="C50"/>
      <c r="D50"/>
      <c r="E50"/>
      <c r="F50"/>
      <c r="G50"/>
      <c r="H50"/>
      <c r="I50"/>
      <c r="J50"/>
      <c r="K50"/>
      <c r="L50"/>
      <c r="M50" s="338"/>
      <c r="N50" s="787"/>
      <c r="O50" s="782"/>
      <c r="P50" s="782"/>
      <c r="Q50" s="782"/>
      <c r="R50" s="782"/>
      <c r="S50" s="783"/>
    </row>
    <row r="51" spans="1:19" s="4" customFormat="1" x14ac:dyDescent="0.35">
      <c r="A51"/>
      <c r="B51" s="95"/>
      <c r="C51"/>
      <c r="D51"/>
      <c r="E51"/>
      <c r="F51"/>
      <c r="G51"/>
      <c r="H51"/>
      <c r="I51"/>
      <c r="J51"/>
      <c r="K51"/>
      <c r="L51"/>
      <c r="M51" s="338"/>
      <c r="N51" s="787"/>
      <c r="O51" s="782"/>
      <c r="P51" s="782"/>
      <c r="Q51" s="782"/>
      <c r="R51" s="782"/>
      <c r="S51" s="783"/>
    </row>
    <row r="52" spans="1:19" x14ac:dyDescent="0.35">
      <c r="B52" s="96"/>
      <c r="C52" s="97"/>
      <c r="D52" s="97"/>
      <c r="E52" s="97"/>
      <c r="F52" s="97"/>
      <c r="G52" s="97"/>
      <c r="H52" s="97"/>
      <c r="I52" s="97"/>
      <c r="J52" s="97"/>
      <c r="K52" s="97"/>
      <c r="L52" s="97"/>
      <c r="M52" s="371"/>
      <c r="N52" s="788"/>
      <c r="O52" s="789"/>
      <c r="P52" s="789"/>
      <c r="Q52" s="789"/>
      <c r="R52" s="789"/>
      <c r="S52" s="790"/>
    </row>
    <row r="53" spans="1:19" x14ac:dyDescent="0.35">
      <c r="B53" s="328"/>
      <c r="C53" s="94"/>
      <c r="D53" s="94"/>
      <c r="E53" s="94"/>
      <c r="F53" s="94"/>
      <c r="G53" s="94"/>
      <c r="H53" s="94"/>
      <c r="I53" s="94"/>
      <c r="J53" s="94"/>
      <c r="K53" s="94"/>
      <c r="L53" s="94"/>
      <c r="M53" s="332"/>
      <c r="N53" s="782"/>
      <c r="O53" s="782"/>
      <c r="P53" s="782"/>
      <c r="Q53" s="782"/>
      <c r="R53" s="782"/>
      <c r="S53" s="783"/>
    </row>
    <row r="54" spans="1:19" s="4" customFormat="1" x14ac:dyDescent="0.35">
      <c r="A54"/>
      <c r="B54" s="95"/>
      <c r="C54"/>
      <c r="D54"/>
      <c r="E54"/>
      <c r="F54"/>
      <c r="G54"/>
      <c r="H54"/>
      <c r="I54"/>
      <c r="J54"/>
      <c r="K54"/>
      <c r="L54"/>
      <c r="M54" s="338"/>
      <c r="N54" s="944"/>
      <c r="O54" s="944"/>
      <c r="P54" s="944"/>
      <c r="Q54" s="944"/>
      <c r="R54" s="944"/>
      <c r="S54" s="945"/>
    </row>
    <row r="55" spans="1:19" s="4" customFormat="1" x14ac:dyDescent="0.35">
      <c r="A55"/>
      <c r="B55" s="95"/>
      <c r="C55"/>
      <c r="D55"/>
      <c r="E55"/>
      <c r="F55"/>
      <c r="G55"/>
      <c r="H55"/>
      <c r="I55"/>
      <c r="J55"/>
      <c r="K55"/>
      <c r="L55"/>
      <c r="M55" s="338"/>
      <c r="N55" s="785"/>
      <c r="O55" s="785"/>
      <c r="P55" s="785"/>
      <c r="Q55" s="785"/>
      <c r="R55" s="785"/>
      <c r="S55" s="786"/>
    </row>
    <row r="56" spans="1:19" s="4" customFormat="1" x14ac:dyDescent="0.35">
      <c r="A56"/>
      <c r="B56" s="95"/>
      <c r="C56"/>
      <c r="D56"/>
      <c r="E56"/>
      <c r="F56"/>
      <c r="G56"/>
      <c r="H56"/>
      <c r="I56"/>
      <c r="J56"/>
      <c r="K56"/>
      <c r="L56"/>
      <c r="M56" s="338"/>
      <c r="N56" s="782"/>
      <c r="O56" s="782"/>
      <c r="P56" s="782"/>
      <c r="Q56" s="782"/>
      <c r="R56" s="782"/>
      <c r="S56" s="783"/>
    </row>
    <row r="57" spans="1:19" s="4" customFormat="1" x14ac:dyDescent="0.35">
      <c r="A57"/>
      <c r="B57" s="95"/>
      <c r="C57"/>
      <c r="D57"/>
      <c r="E57"/>
      <c r="F57"/>
      <c r="G57"/>
      <c r="H57"/>
      <c r="I57"/>
      <c r="J57"/>
      <c r="K57"/>
      <c r="L57"/>
      <c r="M57" s="338"/>
      <c r="N57" s="782"/>
      <c r="O57" s="782"/>
      <c r="P57" s="782"/>
      <c r="Q57" s="782"/>
      <c r="R57" s="782"/>
      <c r="S57" s="783"/>
    </row>
    <row r="58" spans="1:19" s="4" customFormat="1" x14ac:dyDescent="0.35">
      <c r="A58"/>
      <c r="B58" s="95"/>
      <c r="C58"/>
      <c r="D58"/>
      <c r="E58"/>
      <c r="F58"/>
      <c r="G58"/>
      <c r="H58"/>
      <c r="I58"/>
      <c r="J58"/>
      <c r="K58"/>
      <c r="L58"/>
      <c r="M58" s="338"/>
      <c r="N58" s="782"/>
      <c r="O58" s="782"/>
      <c r="P58" s="782"/>
      <c r="Q58" s="782"/>
      <c r="R58" s="782"/>
      <c r="S58" s="783"/>
    </row>
    <row r="59" spans="1:19" s="4" customFormat="1" x14ac:dyDescent="0.35">
      <c r="A59"/>
      <c r="B59" s="95"/>
      <c r="C59"/>
      <c r="D59"/>
      <c r="E59"/>
      <c r="F59"/>
      <c r="G59"/>
      <c r="H59"/>
      <c r="I59"/>
      <c r="J59"/>
      <c r="K59"/>
      <c r="L59"/>
      <c r="M59" s="338"/>
      <c r="N59" s="782"/>
      <c r="O59" s="782"/>
      <c r="P59" s="782"/>
      <c r="Q59" s="782"/>
      <c r="R59" s="782"/>
      <c r="S59" s="783"/>
    </row>
    <row r="60" spans="1:19" s="4" customFormat="1" x14ac:dyDescent="0.35">
      <c r="A60"/>
      <c r="B60" s="95"/>
      <c r="C60"/>
      <c r="D60"/>
      <c r="E60"/>
      <c r="F60"/>
      <c r="G60"/>
      <c r="H60"/>
      <c r="I60"/>
      <c r="J60"/>
      <c r="K60"/>
      <c r="L60"/>
      <c r="M60" s="338"/>
      <c r="N60" s="782"/>
      <c r="O60" s="782"/>
      <c r="P60" s="782"/>
      <c r="Q60" s="782"/>
      <c r="R60" s="782"/>
      <c r="S60" s="783"/>
    </row>
    <row r="61" spans="1:19" s="4" customFormat="1" x14ac:dyDescent="0.35">
      <c r="A61"/>
      <c r="B61" s="95"/>
      <c r="C61"/>
      <c r="D61"/>
      <c r="E61"/>
      <c r="F61"/>
      <c r="G61"/>
      <c r="H61"/>
      <c r="I61"/>
      <c r="J61"/>
      <c r="K61"/>
      <c r="L61"/>
      <c r="M61" s="338"/>
      <c r="N61" s="782"/>
      <c r="O61" s="782"/>
      <c r="P61" s="782"/>
      <c r="Q61" s="782"/>
      <c r="R61" s="782"/>
      <c r="S61" s="783"/>
    </row>
    <row r="62" spans="1:19" s="4" customFormat="1" x14ac:dyDescent="0.35">
      <c r="A62"/>
      <c r="B62" s="95"/>
      <c r="C62"/>
      <c r="D62"/>
      <c r="E62"/>
      <c r="F62"/>
      <c r="G62"/>
      <c r="H62"/>
      <c r="I62"/>
      <c r="J62"/>
      <c r="K62"/>
      <c r="L62"/>
      <c r="M62" s="338"/>
      <c r="N62" s="782"/>
      <c r="O62" s="782"/>
      <c r="P62" s="782"/>
      <c r="Q62" s="782"/>
      <c r="R62" s="782"/>
      <c r="S62" s="783"/>
    </row>
    <row r="63" spans="1:19" s="4" customFormat="1" x14ac:dyDescent="0.35">
      <c r="A63"/>
      <c r="B63" s="95"/>
      <c r="C63"/>
      <c r="D63"/>
      <c r="E63"/>
      <c r="F63"/>
      <c r="G63"/>
      <c r="H63"/>
      <c r="I63"/>
      <c r="J63"/>
      <c r="K63"/>
      <c r="L63"/>
      <c r="M63" s="338"/>
      <c r="N63" s="944"/>
      <c r="O63" s="944"/>
      <c r="P63" s="944"/>
      <c r="Q63" s="944"/>
      <c r="R63" s="944"/>
      <c r="S63" s="945"/>
    </row>
    <row r="64" spans="1:19" s="4" customFormat="1" x14ac:dyDescent="0.35">
      <c r="A64"/>
      <c r="B64" s="95"/>
      <c r="C64"/>
      <c r="D64"/>
      <c r="E64"/>
      <c r="F64"/>
      <c r="G64"/>
      <c r="H64"/>
      <c r="I64"/>
      <c r="J64"/>
      <c r="K64"/>
      <c r="L64"/>
      <c r="M64" s="338"/>
      <c r="N64" s="785"/>
      <c r="O64" s="785"/>
      <c r="P64" s="785"/>
      <c r="Q64" s="785"/>
      <c r="R64" s="785"/>
      <c r="S64" s="786"/>
    </row>
    <row r="65" spans="1:19" s="4" customFormat="1" x14ac:dyDescent="0.35">
      <c r="A65"/>
      <c r="B65" s="95"/>
      <c r="C65"/>
      <c r="D65"/>
      <c r="E65"/>
      <c r="F65"/>
      <c r="G65"/>
      <c r="H65"/>
      <c r="I65"/>
      <c r="J65"/>
      <c r="K65"/>
      <c r="L65"/>
      <c r="M65" s="338"/>
      <c r="N65" s="782"/>
      <c r="O65" s="782"/>
      <c r="P65" s="782"/>
      <c r="Q65" s="782"/>
      <c r="R65" s="782"/>
      <c r="S65" s="783"/>
    </row>
    <row r="66" spans="1:19" s="4" customFormat="1" x14ac:dyDescent="0.35">
      <c r="A66"/>
      <c r="B66" s="96"/>
      <c r="C66" s="97"/>
      <c r="D66" s="97"/>
      <c r="E66" s="97"/>
      <c r="F66" s="97"/>
      <c r="G66" s="97"/>
      <c r="H66" s="97"/>
      <c r="I66" s="97"/>
      <c r="J66" s="97"/>
      <c r="K66" s="97"/>
      <c r="L66" s="97"/>
      <c r="M66" s="371"/>
      <c r="N66" s="782"/>
      <c r="O66" s="782"/>
      <c r="P66" s="782"/>
      <c r="Q66" s="782"/>
      <c r="R66" s="782"/>
      <c r="S66" s="783"/>
    </row>
    <row r="67" spans="1:19" s="4" customFormat="1" x14ac:dyDescent="0.35">
      <c r="A67"/>
      <c r="B67" s="328"/>
      <c r="C67" s="94"/>
      <c r="D67" s="94"/>
      <c r="E67" s="94"/>
      <c r="F67" s="94"/>
      <c r="G67" s="94"/>
      <c r="H67" s="94"/>
      <c r="I67" s="94"/>
      <c r="J67" s="94"/>
      <c r="K67" s="94"/>
      <c r="L67" s="94"/>
      <c r="M67" s="332"/>
      <c r="N67" s="791"/>
      <c r="O67" s="792"/>
      <c r="P67" s="792"/>
      <c r="Q67" s="792"/>
      <c r="R67" s="792"/>
      <c r="S67" s="793"/>
    </row>
    <row r="68" spans="1:19" x14ac:dyDescent="0.35">
      <c r="B68" s="95"/>
      <c r="C68" s="4"/>
      <c r="D68" s="4"/>
      <c r="E68" s="4"/>
      <c r="F68" s="4"/>
      <c r="G68" s="4"/>
      <c r="H68" s="4"/>
      <c r="I68" s="4"/>
      <c r="J68" s="4"/>
      <c r="K68" s="4"/>
      <c r="L68" s="4"/>
      <c r="M68" s="338"/>
      <c r="N68" s="787"/>
      <c r="O68" s="782"/>
      <c r="P68" s="782"/>
      <c r="Q68" s="782"/>
      <c r="R68" s="782"/>
      <c r="S68" s="783"/>
    </row>
    <row r="69" spans="1:19" x14ac:dyDescent="0.35">
      <c r="B69" s="95"/>
      <c r="C69" s="4"/>
      <c r="D69" s="4"/>
      <c r="E69" s="4"/>
      <c r="F69" s="4"/>
      <c r="G69" s="4"/>
      <c r="H69" s="4"/>
      <c r="I69" s="4"/>
      <c r="J69" s="4"/>
      <c r="K69" s="4"/>
      <c r="L69" s="4"/>
      <c r="M69" s="338"/>
      <c r="N69" s="787"/>
      <c r="O69" s="782"/>
      <c r="P69" s="782"/>
      <c r="Q69" s="782"/>
      <c r="R69" s="782"/>
      <c r="S69" s="783"/>
    </row>
    <row r="70" spans="1:19" s="4" customFormat="1" x14ac:dyDescent="0.35">
      <c r="A70"/>
      <c r="B70" s="95"/>
      <c r="C70"/>
      <c r="D70"/>
      <c r="E70"/>
      <c r="F70"/>
      <c r="G70"/>
      <c r="H70"/>
      <c r="I70"/>
      <c r="J70"/>
      <c r="K70"/>
      <c r="L70"/>
      <c r="M70" s="338"/>
      <c r="N70" s="787"/>
      <c r="O70" s="782"/>
      <c r="P70" s="782"/>
      <c r="Q70" s="782"/>
      <c r="R70" s="782"/>
      <c r="S70" s="783"/>
    </row>
    <row r="71" spans="1:19" s="4" customFormat="1" x14ac:dyDescent="0.35">
      <c r="A71"/>
      <c r="B71" s="95"/>
      <c r="C71"/>
      <c r="D71"/>
      <c r="E71"/>
      <c r="F71"/>
      <c r="G71"/>
      <c r="H71"/>
      <c r="I71"/>
      <c r="J71"/>
      <c r="K71"/>
      <c r="L71"/>
      <c r="M71" s="338"/>
      <c r="N71" s="787"/>
      <c r="O71" s="782"/>
      <c r="P71" s="782"/>
      <c r="Q71" s="782"/>
      <c r="R71" s="782"/>
      <c r="S71" s="783"/>
    </row>
    <row r="72" spans="1:19" s="4" customFormat="1" x14ac:dyDescent="0.35">
      <c r="A72"/>
      <c r="B72" s="95"/>
      <c r="C72"/>
      <c r="D72"/>
      <c r="E72"/>
      <c r="F72"/>
      <c r="G72"/>
      <c r="H72"/>
      <c r="I72"/>
      <c r="J72"/>
      <c r="K72"/>
      <c r="L72"/>
      <c r="M72" s="338"/>
      <c r="N72" s="787"/>
      <c r="O72" s="782"/>
      <c r="P72" s="782"/>
      <c r="Q72" s="782"/>
      <c r="R72" s="782"/>
      <c r="S72" s="783"/>
    </row>
    <row r="73" spans="1:19" s="4" customFormat="1" x14ac:dyDescent="0.35">
      <c r="A73"/>
      <c r="B73" s="95"/>
      <c r="C73"/>
      <c r="D73"/>
      <c r="E73"/>
      <c r="F73"/>
      <c r="G73"/>
      <c r="H73"/>
      <c r="I73"/>
      <c r="J73"/>
      <c r="K73"/>
      <c r="L73"/>
      <c r="M73" s="338"/>
      <c r="N73" s="95"/>
      <c r="O73"/>
      <c r="P73"/>
      <c r="Q73"/>
      <c r="R73"/>
      <c r="S73" s="338"/>
    </row>
    <row r="74" spans="1:19" s="4" customFormat="1" x14ac:dyDescent="0.35">
      <c r="A74"/>
      <c r="B74" s="95"/>
      <c r="C74"/>
      <c r="D74"/>
      <c r="E74"/>
      <c r="F74"/>
      <c r="G74"/>
      <c r="H74"/>
      <c r="I74"/>
      <c r="J74"/>
      <c r="K74"/>
      <c r="L74"/>
      <c r="M74" s="338"/>
      <c r="N74" s="95"/>
      <c r="O74"/>
      <c r="P74"/>
      <c r="Q74"/>
      <c r="R74"/>
      <c r="S74" s="338"/>
    </row>
    <row r="75" spans="1:19" s="4" customFormat="1" x14ac:dyDescent="0.35">
      <c r="A75"/>
      <c r="B75" s="95"/>
      <c r="C75"/>
      <c r="D75"/>
      <c r="E75"/>
      <c r="F75"/>
      <c r="G75"/>
      <c r="H75"/>
      <c r="I75"/>
      <c r="J75"/>
      <c r="K75"/>
      <c r="L75"/>
      <c r="M75" s="338"/>
      <c r="N75" s="95"/>
      <c r="O75"/>
      <c r="P75"/>
      <c r="Q75"/>
      <c r="R75"/>
      <c r="S75" s="338"/>
    </row>
    <row r="76" spans="1:19" s="4" customFormat="1" x14ac:dyDescent="0.35">
      <c r="A76"/>
      <c r="B76" s="95"/>
      <c r="C76"/>
      <c r="D76"/>
      <c r="E76"/>
      <c r="F76"/>
      <c r="G76"/>
      <c r="H76"/>
      <c r="I76"/>
      <c r="J76"/>
      <c r="K76"/>
      <c r="L76"/>
      <c r="M76" s="338"/>
      <c r="N76" s="95"/>
      <c r="O76"/>
      <c r="P76"/>
      <c r="Q76"/>
      <c r="R76"/>
      <c r="S76" s="338"/>
    </row>
    <row r="77" spans="1:19" s="4" customFormat="1" x14ac:dyDescent="0.35">
      <c r="A77"/>
      <c r="B77" s="95"/>
      <c r="C77"/>
      <c r="D77"/>
      <c r="E77"/>
      <c r="F77"/>
      <c r="G77"/>
      <c r="H77"/>
      <c r="I77"/>
      <c r="J77"/>
      <c r="K77"/>
      <c r="L77"/>
      <c r="M77" s="338"/>
      <c r="N77" s="95"/>
      <c r="O77"/>
      <c r="P77"/>
      <c r="Q77"/>
      <c r="R77"/>
      <c r="S77" s="338"/>
    </row>
    <row r="78" spans="1:19" s="4" customFormat="1" x14ac:dyDescent="0.35">
      <c r="A78"/>
      <c r="B78" s="95"/>
      <c r="C78"/>
      <c r="D78"/>
      <c r="E78"/>
      <c r="F78"/>
      <c r="G78"/>
      <c r="H78"/>
      <c r="I78"/>
      <c r="J78"/>
      <c r="K78"/>
      <c r="L78"/>
      <c r="M78" s="338"/>
      <c r="N78" s="95"/>
      <c r="O78"/>
      <c r="P78"/>
      <c r="Q78"/>
      <c r="R78"/>
      <c r="S78" s="338"/>
    </row>
    <row r="79" spans="1:19" s="4" customFormat="1" x14ac:dyDescent="0.35">
      <c r="A79"/>
      <c r="B79" s="95"/>
      <c r="C79"/>
      <c r="D79"/>
      <c r="E79"/>
      <c r="F79"/>
      <c r="G79"/>
      <c r="H79"/>
      <c r="I79"/>
      <c r="J79"/>
      <c r="K79"/>
      <c r="L79"/>
      <c r="M79" s="338"/>
      <c r="N79" s="95"/>
      <c r="O79"/>
      <c r="P79"/>
      <c r="Q79"/>
      <c r="R79"/>
      <c r="S79" s="338"/>
    </row>
    <row r="80" spans="1:19" s="4" customFormat="1" x14ac:dyDescent="0.35">
      <c r="A80"/>
      <c r="B80" s="95"/>
      <c r="C80"/>
      <c r="D80"/>
      <c r="E80"/>
      <c r="F80"/>
      <c r="G80"/>
      <c r="H80"/>
      <c r="I80"/>
      <c r="J80"/>
      <c r="K80"/>
      <c r="L80"/>
      <c r="M80" s="338"/>
      <c r="N80" s="95"/>
      <c r="O80"/>
      <c r="P80"/>
      <c r="Q80"/>
      <c r="R80"/>
      <c r="S80" s="338"/>
    </row>
    <row r="81" spans="1:19" s="4" customFormat="1" x14ac:dyDescent="0.35">
      <c r="A81"/>
      <c r="B81" s="95"/>
      <c r="C81"/>
      <c r="D81"/>
      <c r="E81"/>
      <c r="F81"/>
      <c r="G81"/>
      <c r="H81"/>
      <c r="I81"/>
      <c r="J81"/>
      <c r="K81"/>
      <c r="L81"/>
      <c r="M81" s="338"/>
      <c r="N81" s="95"/>
      <c r="O81"/>
      <c r="P81"/>
      <c r="Q81"/>
      <c r="R81"/>
      <c r="S81" s="338"/>
    </row>
    <row r="82" spans="1:19" s="4" customFormat="1" x14ac:dyDescent="0.35">
      <c r="A82"/>
      <c r="B82" s="95"/>
      <c r="C82"/>
      <c r="D82"/>
      <c r="E82"/>
      <c r="F82"/>
      <c r="G82"/>
      <c r="H82"/>
      <c r="I82"/>
      <c r="J82"/>
      <c r="K82"/>
      <c r="L82"/>
      <c r="M82" s="338"/>
      <c r="N82" s="95"/>
      <c r="O82"/>
      <c r="P82"/>
      <c r="Q82"/>
      <c r="R82"/>
      <c r="S82" s="338"/>
    </row>
    <row r="83" spans="1:19" s="4" customFormat="1" x14ac:dyDescent="0.35">
      <c r="A83"/>
      <c r="B83" s="96"/>
      <c r="C83" s="97"/>
      <c r="D83" s="97"/>
      <c r="E83" s="97"/>
      <c r="F83" s="97"/>
      <c r="G83" s="97"/>
      <c r="H83" s="97"/>
      <c r="I83" s="97"/>
      <c r="J83" s="97"/>
      <c r="K83" s="97"/>
      <c r="L83" s="97"/>
      <c r="M83" s="371"/>
      <c r="N83" s="96"/>
      <c r="O83" s="97"/>
      <c r="P83" s="97"/>
      <c r="Q83" s="97"/>
      <c r="R83" s="97"/>
      <c r="S83" s="371"/>
    </row>
    <row r="86" spans="1:19" x14ac:dyDescent="0.35">
      <c r="S86" s="133">
        <v>0.33</v>
      </c>
    </row>
  </sheetData>
  <mergeCells count="20">
    <mergeCell ref="O14:S14"/>
    <mergeCell ref="O15:S15"/>
    <mergeCell ref="O9:S9"/>
    <mergeCell ref="O10:S10"/>
    <mergeCell ref="O11:S11"/>
    <mergeCell ref="O12:S12"/>
    <mergeCell ref="O13:S13"/>
    <mergeCell ref="Q4:S4"/>
    <mergeCell ref="N5:S5"/>
    <mergeCell ref="O6:S6"/>
    <mergeCell ref="O7:S7"/>
    <mergeCell ref="O8:S8"/>
    <mergeCell ref="N40:S40"/>
    <mergeCell ref="N54:S54"/>
    <mergeCell ref="N63:S63"/>
    <mergeCell ref="O16:S16"/>
    <mergeCell ref="O17:S17"/>
    <mergeCell ref="O18:S18"/>
    <mergeCell ref="N20:S20"/>
    <mergeCell ref="N31:S31"/>
  </mergeCells>
  <conditionalFormatting sqref="F34:G34">
    <cfRule type="expression" dxfId="66" priority="8">
      <formula>$B$36=""</formula>
    </cfRule>
  </conditionalFormatting>
  <conditionalFormatting sqref="F35:G35">
    <cfRule type="expression" dxfId="65" priority="9">
      <formula>$B$36=""</formula>
    </cfRule>
  </conditionalFormatting>
  <conditionalFormatting sqref="O12:O14">
    <cfRule type="expression" dxfId="64" priority="14">
      <formula>O12="PASS"</formula>
    </cfRule>
    <cfRule type="expression" dxfId="63" priority="15">
      <formula>O12="FAIL"</formula>
    </cfRule>
  </conditionalFormatting>
  <conditionalFormatting sqref="O42:O52">
    <cfRule type="expression" dxfId="62" priority="16">
      <formula>O42="PASS"</formula>
    </cfRule>
    <cfRule type="expression" dxfId="61" priority="17">
      <formula>OR(O42="FAIL",LEFT(O42,9)="NOT READY")</formula>
    </cfRule>
    <cfRule type="expression" dxfId="60" priority="18">
      <formula>OR(O42="OUTSTANDING",LEFT(O42,11)="TECHNICALLY")</formula>
    </cfRule>
    <cfRule type="expression" dxfId="59" priority="19">
      <formula>O42="PENDING RECALC"</formula>
    </cfRule>
  </conditionalFormatting>
  <conditionalFormatting sqref="O56:O61">
    <cfRule type="expression" dxfId="58" priority="20">
      <formula>O56="PASS"</formula>
    </cfRule>
    <cfRule type="expression" dxfId="57" priority="21">
      <formula>O56="FAIL"</formula>
    </cfRule>
  </conditionalFormatting>
  <conditionalFormatting sqref="O65:O72">
    <cfRule type="expression" dxfId="56" priority="22">
      <formula>O65="PASS"</formula>
    </cfRule>
    <cfRule type="expression" dxfId="55" priority="23">
      <formula>OR(O65="FAIL",O65="REVIEW",O65="PENDING RECALC")</formula>
    </cfRule>
  </conditionalFormatting>
  <conditionalFormatting sqref="R19">
    <cfRule type="expression" dxfId="54" priority="3">
      <formula>Tenant_Report?=1</formula>
    </cfRule>
  </conditionalFormatting>
  <conditionalFormatting sqref="R37">
    <cfRule type="expression" dxfId="53" priority="5">
      <formula>CF_Report?=1</formula>
    </cfRule>
  </conditionalFormatting>
  <conditionalFormatting sqref="S19">
    <cfRule type="expression" dxfId="52" priority="2">
      <formula>Tenant_Report?=0</formula>
    </cfRule>
  </conditionalFormatting>
  <conditionalFormatting sqref="S37">
    <cfRule type="expression" dxfId="51" priority="4">
      <formula>CF_Report?=0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8F42"/>
  </sheetPr>
  <dimension ref="A1:PI296"/>
  <sheetViews>
    <sheetView showGridLines="0" workbookViewId="0"/>
  </sheetViews>
  <sheetFormatPr defaultColWidth="0" defaultRowHeight="14.5" x14ac:dyDescent="0.35"/>
  <cols>
    <col min="1" max="1" width="2" style="141" customWidth="1"/>
    <col min="2" max="2" width="30.83203125" style="4" customWidth="1"/>
    <col min="3" max="3" width="23.5" style="4" customWidth="1"/>
    <col min="4" max="4" width="12.58203125" style="4" customWidth="1"/>
    <col min="5" max="5" width="24.1640625" style="4" customWidth="1"/>
    <col min="6" max="6" width="18.33203125" style="4" customWidth="1"/>
    <col min="7" max="7" width="27.75" style="4" customWidth="1"/>
    <col min="8" max="8" width="24.25" style="4" customWidth="1"/>
    <col min="9" max="9" width="21.6640625" style="4" customWidth="1"/>
    <col min="10" max="10" width="1.25" style="5" customWidth="1"/>
    <col min="11" max="11" width="18.33203125" style="22" customWidth="1"/>
    <col min="12" max="12" width="33.08203125" style="22" customWidth="1"/>
    <col min="13" max="14" width="8.75" style="22" customWidth="1"/>
    <col min="15" max="15" width="9.83203125" style="22" customWidth="1"/>
    <col min="16" max="16" width="8.5" style="22" customWidth="1"/>
    <col min="17" max="17" width="8.75" style="22" customWidth="1"/>
    <col min="18" max="18" width="15.83203125" style="22" customWidth="1"/>
    <col min="19" max="19" width="9.5" style="22" customWidth="1"/>
    <col min="20" max="21" width="9.83203125" style="22" customWidth="1"/>
    <col min="22" max="22" width="14.25" style="22" customWidth="1"/>
    <col min="23" max="23" width="9.83203125" style="22" customWidth="1"/>
    <col min="24" max="24" width="9.5" style="22" customWidth="1"/>
    <col min="25" max="25" width="8.25" style="22" customWidth="1"/>
    <col min="26" max="26" width="8.75" style="22" customWidth="1"/>
    <col min="27" max="29" width="8.5" style="22" customWidth="1"/>
    <col min="30" max="30" width="8.25" style="22" customWidth="1"/>
    <col min="31" max="33" width="7.83203125" style="22" customWidth="1"/>
    <col min="34" max="39" width="8.25" style="22" customWidth="1"/>
    <col min="40" max="54" width="9.25" style="22" customWidth="1"/>
    <col min="55" max="55" width="11" style="22" customWidth="1"/>
    <col min="56" max="57" width="9.25" style="22" customWidth="1"/>
    <col min="58" max="60" width="9" style="22" customWidth="1"/>
    <col min="61" max="69" width="9.25" style="22" customWidth="1"/>
    <col min="70" max="72" width="9" style="22" customWidth="1"/>
    <col min="73" max="90" width="9.25" style="22" customWidth="1"/>
    <col min="91" max="96" width="9" style="22" customWidth="1"/>
    <col min="97" max="102" width="9.25" style="22" customWidth="1"/>
    <col min="103" max="105" width="9" style="22" customWidth="1"/>
    <col min="106" max="117" width="9.25" style="22" customWidth="1"/>
    <col min="118" max="120" width="9" style="22" customWidth="1"/>
    <col min="121" max="123" width="8.58203125" style="22" customWidth="1"/>
    <col min="124" max="135" width="9.25" style="22" customWidth="1"/>
    <col min="136" max="141" width="9" style="22" customWidth="1"/>
    <col min="142" max="144" width="9.25" style="22" customWidth="1"/>
    <col min="145" max="145" width="1.83203125" style="22" customWidth="1"/>
    <col min="146" max="146" width="31.08203125" style="223" customWidth="1"/>
    <col min="147" max="147" width="14" style="22" customWidth="1"/>
    <col min="148" max="148" width="10.33203125" style="22" customWidth="1"/>
    <col min="149" max="149" width="8.33203125" style="22" customWidth="1"/>
    <col min="150" max="150" width="37.33203125" style="22" customWidth="1"/>
    <col min="151" max="151" width="10.25" style="22" customWidth="1"/>
    <col min="152" max="152" width="8.5" style="22" customWidth="1"/>
    <col min="153" max="153" width="7.75" style="22" customWidth="1"/>
    <col min="154" max="154" width="8.5" style="22" customWidth="1"/>
    <col min="155" max="155" width="8.58203125" style="22" customWidth="1"/>
    <col min="156" max="156" width="8.25" style="22" customWidth="1"/>
    <col min="157" max="157" width="9" style="22" customWidth="1"/>
    <col min="158" max="158" width="8.5" style="22" customWidth="1"/>
    <col min="159" max="159" width="8.25" style="22" customWidth="1"/>
    <col min="160" max="160" width="8.58203125" style="22" customWidth="1"/>
    <col min="161" max="162" width="8.5" style="22" customWidth="1"/>
    <col min="163" max="163" width="8.58203125" style="22" customWidth="1"/>
    <col min="164" max="164" width="8.5" style="22" customWidth="1"/>
    <col min="165" max="165" width="8.08203125" style="22" customWidth="1"/>
    <col min="166" max="166" width="8.5" style="22" customWidth="1"/>
    <col min="167" max="167" width="8.58203125" style="22" customWidth="1"/>
    <col min="168" max="168" width="8.25" style="22" customWidth="1"/>
    <col min="169" max="169" width="9" style="22" customWidth="1"/>
    <col min="170" max="170" width="8.5" style="22" customWidth="1"/>
    <col min="171" max="171" width="8.25" style="22" customWidth="1"/>
    <col min="172" max="172" width="8.58203125" style="22" customWidth="1"/>
    <col min="173" max="174" width="8.5" style="22" customWidth="1"/>
    <col min="175" max="175" width="8.58203125" style="22" customWidth="1"/>
    <col min="176" max="176" width="8.5" style="22" customWidth="1"/>
    <col min="177" max="177" width="8.33203125" style="22" customWidth="1"/>
    <col min="178" max="178" width="8.5" style="22" customWidth="1"/>
    <col min="179" max="179" width="8.58203125" style="22" customWidth="1"/>
    <col min="180" max="180" width="8.33203125" style="22" customWidth="1"/>
    <col min="181" max="181" width="9" style="22" customWidth="1"/>
    <col min="182" max="182" width="8.5" style="22" customWidth="1"/>
    <col min="183" max="183" width="8.25" style="22" customWidth="1"/>
    <col min="184" max="184" width="8.58203125" style="22" customWidth="1"/>
    <col min="185" max="186" width="8.5" style="22" customWidth="1"/>
    <col min="187" max="187" width="8.58203125" style="22" customWidth="1"/>
    <col min="188" max="188" width="8.5" style="22" customWidth="1"/>
    <col min="189" max="189" width="8.33203125" style="22" customWidth="1"/>
    <col min="190" max="190" width="8.5" style="22" customWidth="1"/>
    <col min="191" max="191" width="8.58203125" style="22" customWidth="1"/>
    <col min="192" max="192" width="8.33203125" style="22" customWidth="1"/>
    <col min="193" max="193" width="9" style="22" customWidth="1"/>
    <col min="194" max="194" width="8.5" style="22" customWidth="1"/>
    <col min="195" max="195" width="8.75" style="22" customWidth="1"/>
    <col min="196" max="196" width="8.58203125" style="22" customWidth="1"/>
    <col min="197" max="198" width="8.5" style="22" customWidth="1"/>
    <col min="199" max="199" width="8.58203125" style="22" customWidth="1"/>
    <col min="200" max="200" width="8.5" style="22" customWidth="1"/>
    <col min="201" max="201" width="8.33203125" style="22" customWidth="1"/>
    <col min="202" max="202" width="8.5" style="22" customWidth="1"/>
    <col min="203" max="203" width="8.58203125" style="22" customWidth="1"/>
    <col min="204" max="204" width="8.33203125" style="22" customWidth="1"/>
    <col min="205" max="205" width="9" style="22" customWidth="1"/>
    <col min="206" max="206" width="8.5" style="22" customWidth="1"/>
    <col min="207" max="212" width="8.33203125" style="22" customWidth="1"/>
    <col min="213" max="213" width="8.08203125" style="22" customWidth="1"/>
    <col min="214" max="216" width="8.33203125" style="22" customWidth="1"/>
    <col min="217" max="217" width="8.58203125" style="22" customWidth="1"/>
    <col min="218" max="219" width="8.33203125" style="22" customWidth="1"/>
    <col min="220" max="220" width="8.58203125" style="22" customWidth="1"/>
    <col min="221" max="222" width="8.5" style="22" customWidth="1"/>
    <col min="223" max="223" width="8.58203125" style="22" customWidth="1"/>
    <col min="224" max="224" width="8.5" style="22" customWidth="1"/>
    <col min="225" max="225" width="8.33203125" style="22" customWidth="1"/>
    <col min="226" max="226" width="8.5" style="22" customWidth="1"/>
    <col min="227" max="227" width="8.58203125" style="22" customWidth="1"/>
    <col min="228" max="228" width="8.33203125" style="22" customWidth="1"/>
    <col min="229" max="229" width="9" style="22" customWidth="1"/>
    <col min="230" max="230" width="8.5" style="22" customWidth="1"/>
    <col min="231" max="231" width="8.33203125" style="22" customWidth="1"/>
    <col min="232" max="232" width="8.58203125" style="22" customWidth="1"/>
    <col min="233" max="234" width="8.5" style="22" customWidth="1"/>
    <col min="235" max="235" width="8.58203125" style="22" customWidth="1"/>
    <col min="236" max="236" width="8.5" style="22" customWidth="1"/>
    <col min="237" max="237" width="8.33203125" style="22" customWidth="1"/>
    <col min="238" max="238" width="8.5" style="22" customWidth="1"/>
    <col min="239" max="239" width="8.58203125" style="22" customWidth="1"/>
    <col min="240" max="240" width="8.33203125" style="22" customWidth="1"/>
    <col min="241" max="241" width="9" style="22" customWidth="1"/>
    <col min="242" max="242" width="8.5" style="22" customWidth="1"/>
    <col min="243" max="243" width="8.25" style="22" customWidth="1"/>
    <col min="244" max="244" width="8.58203125" style="22" customWidth="1"/>
    <col min="245" max="246" width="8.5" style="22" customWidth="1"/>
    <col min="247" max="247" width="8.58203125" style="22" customWidth="1"/>
    <col min="248" max="248" width="8.5" style="22" customWidth="1"/>
    <col min="249" max="249" width="8.33203125" style="22" customWidth="1"/>
    <col min="250" max="250" width="8.5" style="22" customWidth="1"/>
    <col min="251" max="251" width="8.58203125" style="22" customWidth="1"/>
    <col min="252" max="252" width="8.75" style="22" customWidth="1"/>
    <col min="253" max="253" width="9" style="22" customWidth="1"/>
    <col min="254" max="261" width="8.75" style="22" customWidth="1"/>
    <col min="262" max="262" width="8.5" style="22" customWidth="1"/>
    <col min="263" max="263" width="8.58203125" style="22" customWidth="1"/>
    <col min="264" max="264" width="8.5" style="22" customWidth="1"/>
    <col min="265" max="265" width="9" style="22" customWidth="1"/>
    <col min="266" max="267" width="8.5" style="22" customWidth="1"/>
    <col min="268" max="268" width="8.58203125" style="22" customWidth="1"/>
    <col min="269" max="270" width="8.5" style="22" customWidth="1"/>
    <col min="271" max="271" width="8.58203125" style="22" customWidth="1"/>
    <col min="272" max="272" width="8.75" style="22" customWidth="1"/>
    <col min="273" max="273" width="8.5" style="22" customWidth="1"/>
    <col min="274" max="276" width="8.75" style="22" customWidth="1"/>
    <col min="277" max="277" width="9" style="22" customWidth="1"/>
    <col min="278" max="282" width="8.75" style="22" customWidth="1"/>
    <col min="283" max="283" width="8.58203125" style="22" customWidth="1"/>
    <col min="284" max="284" width="8.75" style="22" customWidth="1"/>
    <col min="285" max="285" width="1.6640625" style="5" customWidth="1"/>
    <col min="286" max="286" width="28.33203125" style="5" customWidth="1"/>
    <col min="287" max="287" width="14.83203125" style="5" customWidth="1"/>
    <col min="288" max="288" width="9.83203125" style="5" customWidth="1"/>
    <col min="289" max="289" width="12.75" style="5" customWidth="1"/>
    <col min="290" max="290" width="9.58203125" style="5" customWidth="1"/>
    <col min="291" max="291" width="7.9140625" style="5" customWidth="1"/>
    <col min="292" max="292" width="8.5" style="5" customWidth="1"/>
    <col min="293" max="293" width="7.75" style="5" customWidth="1"/>
    <col min="294" max="294" width="8.5" style="5" customWidth="1"/>
    <col min="295" max="295" width="8.58203125" style="5" customWidth="1"/>
    <col min="296" max="296" width="8.25" style="5" customWidth="1"/>
    <col min="297" max="297" width="9" style="5" customWidth="1"/>
    <col min="298" max="298" width="8.5" style="5" customWidth="1"/>
    <col min="299" max="299" width="8.25" style="5" customWidth="1"/>
    <col min="300" max="300" width="8.58203125" style="5" customWidth="1"/>
    <col min="301" max="302" width="8.5" style="5" customWidth="1"/>
    <col min="303" max="303" width="8.58203125" style="5" customWidth="1"/>
    <col min="304" max="304" width="8.5" style="5" customWidth="1"/>
    <col min="305" max="305" width="8.08203125" style="5" customWidth="1"/>
    <col min="306" max="306" width="8.5" style="5" customWidth="1"/>
    <col min="307" max="307" width="8.58203125" style="5" customWidth="1"/>
    <col min="308" max="308" width="8.25" style="5" customWidth="1"/>
    <col min="309" max="309" width="9" style="5" customWidth="1"/>
    <col min="310" max="310" width="8.5" style="5" customWidth="1"/>
    <col min="311" max="311" width="8.25" style="5" customWidth="1"/>
    <col min="312" max="312" width="8.58203125" style="5" customWidth="1"/>
    <col min="313" max="314" width="8.5" style="5" customWidth="1"/>
    <col min="315" max="315" width="8.58203125" style="5" customWidth="1"/>
    <col min="316" max="316" width="8.5" style="5" customWidth="1"/>
    <col min="317" max="317" width="8.33203125" style="5" customWidth="1"/>
    <col min="318" max="318" width="8.5" style="5" customWidth="1"/>
    <col min="319" max="319" width="8.58203125" style="5" customWidth="1"/>
    <col min="320" max="320" width="8.33203125" style="5" customWidth="1"/>
    <col min="321" max="321" width="9" style="5" customWidth="1"/>
    <col min="322" max="322" width="8.5" style="5" customWidth="1"/>
    <col min="323" max="323" width="8.25" style="5" customWidth="1"/>
    <col min="324" max="324" width="8.58203125" style="5" customWidth="1"/>
    <col min="325" max="326" width="8.5" style="5" customWidth="1"/>
    <col min="327" max="327" width="8.58203125" style="5" customWidth="1"/>
    <col min="328" max="328" width="8.5" style="5" customWidth="1"/>
    <col min="329" max="329" width="8.33203125" style="5" customWidth="1"/>
    <col min="330" max="330" width="8.5" style="5" customWidth="1"/>
    <col min="331" max="331" width="8.58203125" style="5" customWidth="1"/>
    <col min="332" max="332" width="8.33203125" style="5" customWidth="1"/>
    <col min="333" max="333" width="9" style="5" customWidth="1"/>
    <col min="334" max="334" width="8.5" style="5" customWidth="1"/>
    <col min="335" max="335" width="8.33203125" style="5" customWidth="1"/>
    <col min="336" max="336" width="8.58203125" style="5" customWidth="1"/>
    <col min="337" max="338" width="8.5" style="5" customWidth="1"/>
    <col min="339" max="339" width="8.58203125" style="5" customWidth="1"/>
    <col min="340" max="340" width="8.5" style="5" customWidth="1"/>
    <col min="341" max="341" width="8.33203125" style="5" customWidth="1"/>
    <col min="342" max="342" width="8.5" style="5" customWidth="1"/>
    <col min="343" max="343" width="8.58203125" style="5" customWidth="1"/>
    <col min="344" max="344" width="8.33203125" style="5" customWidth="1"/>
    <col min="345" max="345" width="9" style="5" customWidth="1"/>
    <col min="346" max="346" width="8.5" style="5" customWidth="1"/>
    <col min="347" max="352" width="8.33203125" style="5" customWidth="1"/>
    <col min="353" max="353" width="8.08203125" style="5" customWidth="1"/>
    <col min="354" max="356" width="8.33203125" style="5" customWidth="1"/>
    <col min="357" max="357" width="8.58203125" style="5" customWidth="1"/>
    <col min="358" max="359" width="8.33203125" style="5" customWidth="1"/>
    <col min="360" max="360" width="8.58203125" style="5" customWidth="1"/>
    <col min="361" max="362" width="8.5" style="5" customWidth="1"/>
    <col min="363" max="363" width="8.58203125" style="5" customWidth="1"/>
    <col min="364" max="364" width="8.5" style="5" customWidth="1"/>
    <col min="365" max="365" width="8.33203125" style="5" customWidth="1"/>
    <col min="366" max="366" width="8.5" style="5" customWidth="1"/>
    <col min="367" max="367" width="8.58203125" style="5" customWidth="1"/>
    <col min="368" max="368" width="8.33203125" style="5" customWidth="1"/>
    <col min="369" max="369" width="9" style="5" customWidth="1"/>
    <col min="370" max="370" width="8.5" style="5" customWidth="1"/>
    <col min="371" max="371" width="8.33203125" style="5" customWidth="1"/>
    <col min="372" max="372" width="8.58203125" style="5" customWidth="1"/>
    <col min="373" max="374" width="8.5" style="5" customWidth="1"/>
    <col min="375" max="375" width="8.58203125" style="5" customWidth="1"/>
    <col min="376" max="376" width="8.5" style="5" customWidth="1"/>
    <col min="377" max="377" width="8.33203125" style="5" customWidth="1"/>
    <col min="378" max="378" width="8.5" style="5" customWidth="1"/>
    <col min="379" max="379" width="8.58203125" style="5" customWidth="1"/>
    <col min="380" max="380" width="8.33203125" style="5" customWidth="1"/>
    <col min="381" max="381" width="9" style="5" customWidth="1"/>
    <col min="382" max="382" width="8.5" style="5" customWidth="1"/>
    <col min="383" max="383" width="8.25" style="5" customWidth="1"/>
    <col min="384" max="384" width="8.58203125" style="5" customWidth="1"/>
    <col min="385" max="386" width="8.5" style="5" customWidth="1"/>
    <col min="387" max="387" width="8.58203125" style="5" customWidth="1"/>
    <col min="388" max="388" width="8.5" style="5" customWidth="1"/>
    <col min="389" max="389" width="8.33203125" style="5" customWidth="1"/>
    <col min="390" max="390" width="8.5" style="5" customWidth="1"/>
    <col min="391" max="391" width="8.58203125" style="5" customWidth="1"/>
    <col min="392" max="392" width="8.75" style="5" customWidth="1"/>
    <col min="393" max="393" width="9" style="5" customWidth="1"/>
    <col min="394" max="401" width="8.75" style="5" customWidth="1"/>
    <col min="402" max="402" width="8.5" style="5" customWidth="1"/>
    <col min="403" max="403" width="8.58203125" style="5" customWidth="1"/>
    <col min="404" max="404" width="8.5" style="5" customWidth="1"/>
    <col min="405" max="405" width="9" style="5" customWidth="1"/>
    <col min="406" max="407" width="8.5" style="5" customWidth="1"/>
    <col min="408" max="408" width="8.58203125" style="5" customWidth="1"/>
    <col min="409" max="410" width="8.5" style="5" customWidth="1"/>
    <col min="411" max="411" width="8.58203125" style="5" customWidth="1"/>
    <col min="412" max="412" width="8.75" style="5" customWidth="1"/>
    <col min="413" max="413" width="8.5" style="5" customWidth="1"/>
    <col min="414" max="416" width="8.75" style="5" customWidth="1"/>
    <col min="417" max="417" width="9" style="5" customWidth="1"/>
    <col min="418" max="422" width="8.75" style="5" customWidth="1"/>
    <col min="423" max="423" width="8.58203125" style="5" customWidth="1"/>
    <col min="424" max="424" width="8.75" style="5" customWidth="1"/>
    <col min="425" max="425" width="1.9140625" style="5" customWidth="1"/>
    <col min="426" max="16384" width="8.75" style="5" hidden="1"/>
  </cols>
  <sheetData>
    <row r="1" spans="1:424" ht="5" customHeight="1" x14ac:dyDescent="0.3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s="219"/>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c r="JZ1" s="262"/>
      <c r="KA1" s="262"/>
      <c r="KB1" s="262"/>
      <c r="KC1" s="262"/>
      <c r="KD1" s="262"/>
      <c r="KE1" s="262"/>
      <c r="KF1" s="262"/>
      <c r="KG1" s="262"/>
      <c r="KH1" s="262"/>
      <c r="KI1" s="262"/>
      <c r="KJ1" s="262"/>
      <c r="KK1" s="262"/>
      <c r="KL1" s="262"/>
      <c r="KM1" s="262"/>
      <c r="KN1" s="262"/>
      <c r="KO1" s="262"/>
      <c r="KP1" s="262"/>
      <c r="KQ1" s="262"/>
      <c r="KR1" s="262"/>
      <c r="KS1" s="262"/>
      <c r="KT1" s="262"/>
      <c r="KU1" s="262"/>
      <c r="KV1" s="262"/>
      <c r="KW1" s="262"/>
      <c r="KX1" s="262"/>
      <c r="KY1" s="262"/>
      <c r="KZ1" s="262"/>
      <c r="LA1" s="262"/>
      <c r="LB1" s="262"/>
      <c r="LC1" s="262"/>
      <c r="LD1" s="262"/>
      <c r="LE1" s="262"/>
      <c r="LF1" s="262"/>
      <c r="LG1" s="262"/>
      <c r="LH1" s="262"/>
      <c r="LI1" s="262"/>
      <c r="LJ1" s="262"/>
      <c r="LK1" s="262"/>
      <c r="LL1" s="262"/>
      <c r="LM1" s="262"/>
      <c r="LN1" s="262"/>
      <c r="LO1" s="262"/>
      <c r="LP1" s="262"/>
      <c r="LQ1" s="262"/>
      <c r="LR1" s="262"/>
      <c r="LS1" s="262"/>
      <c r="LT1" s="262"/>
      <c r="LU1" s="262"/>
      <c r="LV1" s="262"/>
      <c r="LW1" s="262"/>
      <c r="LX1" s="262"/>
      <c r="LY1" s="262"/>
      <c r="LZ1" s="262"/>
      <c r="MA1" s="262"/>
      <c r="MB1" s="262"/>
      <c r="MC1" s="262"/>
      <c r="MD1" s="262"/>
      <c r="ME1" s="262"/>
      <c r="MF1" s="262"/>
      <c r="MG1" s="262"/>
      <c r="MH1" s="262"/>
      <c r="MI1" s="262"/>
      <c r="MJ1" s="262"/>
      <c r="MK1" s="262"/>
      <c r="ML1" s="262"/>
      <c r="MM1" s="262"/>
      <c r="MN1" s="262"/>
      <c r="MO1" s="262"/>
      <c r="MP1" s="262"/>
      <c r="MQ1" s="262"/>
      <c r="MR1" s="262"/>
      <c r="MS1" s="262"/>
      <c r="MT1" s="262"/>
      <c r="MU1" s="262"/>
      <c r="MV1" s="262"/>
      <c r="MW1" s="262"/>
      <c r="MX1" s="262"/>
      <c r="MY1" s="262"/>
      <c r="MZ1" s="262"/>
      <c r="NA1" s="262"/>
      <c r="NB1" s="262"/>
      <c r="NC1" s="262"/>
      <c r="ND1" s="262"/>
      <c r="NE1" s="262"/>
      <c r="NF1" s="262"/>
      <c r="NG1" s="262"/>
      <c r="NH1" s="262"/>
      <c r="NI1" s="262"/>
      <c r="NJ1" s="262"/>
      <c r="NK1" s="262"/>
      <c r="NL1" s="262"/>
      <c r="NM1" s="262"/>
      <c r="NN1" s="262"/>
      <c r="NO1" s="262"/>
      <c r="NP1" s="262"/>
      <c r="NQ1" s="262"/>
      <c r="NR1" s="262"/>
      <c r="NS1" s="262"/>
      <c r="NT1" s="262"/>
      <c r="NU1" s="262"/>
      <c r="NV1" s="262"/>
      <c r="NW1" s="262"/>
      <c r="NX1" s="262"/>
      <c r="NY1" s="262"/>
      <c r="NZ1" s="262"/>
      <c r="OA1" s="262"/>
      <c r="OB1" s="262"/>
      <c r="OC1" s="262"/>
      <c r="OD1" s="262"/>
      <c r="OE1" s="262"/>
      <c r="OF1" s="262"/>
      <c r="OG1" s="262"/>
      <c r="OH1" s="262"/>
      <c r="OI1" s="262"/>
      <c r="OJ1" s="262"/>
      <c r="OK1" s="262"/>
      <c r="OL1" s="262"/>
      <c r="OM1" s="262"/>
      <c r="ON1" s="262"/>
      <c r="OO1" s="262"/>
      <c r="OP1" s="262"/>
      <c r="OQ1" s="262"/>
      <c r="OR1" s="262"/>
      <c r="OS1" s="262"/>
      <c r="OT1" s="262"/>
      <c r="OU1" s="262"/>
      <c r="OV1" s="262"/>
      <c r="OW1" s="262"/>
      <c r="OX1" s="262"/>
      <c r="OY1" s="262"/>
      <c r="OZ1" s="262"/>
      <c r="PA1" s="262"/>
      <c r="PB1" s="262"/>
      <c r="PC1" s="262"/>
      <c r="PD1" s="262"/>
      <c r="PE1" s="262"/>
      <c r="PF1" s="262"/>
      <c r="PG1" s="262"/>
      <c r="PH1" s="262"/>
    </row>
    <row r="2" spans="1:424" ht="15.5" x14ac:dyDescent="0.35">
      <c r="A2"/>
      <c r="B2" s="372" t="str">
        <f>UPPER(Investment_Name)</f>
        <v>THE BEND ENTERTAINMENT PRECINCT</v>
      </c>
      <c r="C2"/>
      <c r="D2" s="960" t="str">
        <f>IFERROR(IF(Recalc?,"","CLICK TO RECALCULATE"),"CLICK TO RECALCULATE")</f>
        <v>CLICK TO RECALCULATE</v>
      </c>
      <c r="E2" s="960"/>
      <c r="F2" s="960"/>
      <c r="G2" s="960"/>
      <c r="H2"/>
      <c r="I2" s="373" t="s">
        <v>92</v>
      </c>
      <c r="J2" s="22"/>
      <c r="K2" s="22" t="s">
        <v>93</v>
      </c>
      <c r="L2" s="161">
        <f>ROUNDUP(L3/12,0)</f>
        <v>0</v>
      </c>
      <c r="M2" s="161">
        <f>ROUNDUP(M3/12,0)</f>
        <v>1</v>
      </c>
      <c r="N2" s="161">
        <f t="shared" ref="N2:BY2" si="0">ROUNDUP(N3/12,0)</f>
        <v>1</v>
      </c>
      <c r="O2" s="161">
        <f t="shared" si="0"/>
        <v>1</v>
      </c>
      <c r="P2" s="161">
        <f t="shared" si="0"/>
        <v>1</v>
      </c>
      <c r="Q2" s="161">
        <f t="shared" si="0"/>
        <v>1</v>
      </c>
      <c r="R2" s="161">
        <f t="shared" si="0"/>
        <v>1</v>
      </c>
      <c r="S2" s="161">
        <f t="shared" si="0"/>
        <v>1</v>
      </c>
      <c r="T2" s="161">
        <f t="shared" si="0"/>
        <v>1</v>
      </c>
      <c r="U2" s="161">
        <f t="shared" si="0"/>
        <v>1</v>
      </c>
      <c r="V2" s="161">
        <f t="shared" si="0"/>
        <v>1</v>
      </c>
      <c r="W2" s="161">
        <f t="shared" si="0"/>
        <v>1</v>
      </c>
      <c r="X2" s="161">
        <f t="shared" si="0"/>
        <v>1</v>
      </c>
      <c r="Y2" s="161">
        <f t="shared" si="0"/>
        <v>2</v>
      </c>
      <c r="Z2" s="161">
        <f t="shared" si="0"/>
        <v>2</v>
      </c>
      <c r="AA2" s="161">
        <f t="shared" si="0"/>
        <v>2</v>
      </c>
      <c r="AB2" s="161">
        <f t="shared" si="0"/>
        <v>2</v>
      </c>
      <c r="AC2" s="161">
        <f t="shared" si="0"/>
        <v>2</v>
      </c>
      <c r="AD2" s="161">
        <f t="shared" si="0"/>
        <v>2</v>
      </c>
      <c r="AE2" s="161">
        <f t="shared" si="0"/>
        <v>2</v>
      </c>
      <c r="AF2" s="161">
        <f t="shared" si="0"/>
        <v>2</v>
      </c>
      <c r="AG2" s="161">
        <f t="shared" si="0"/>
        <v>2</v>
      </c>
      <c r="AH2" s="161">
        <f t="shared" si="0"/>
        <v>2</v>
      </c>
      <c r="AI2" s="161">
        <f t="shared" si="0"/>
        <v>2</v>
      </c>
      <c r="AJ2" s="161">
        <f t="shared" si="0"/>
        <v>2</v>
      </c>
      <c r="AK2" s="161">
        <f t="shared" si="0"/>
        <v>3</v>
      </c>
      <c r="AL2" s="161">
        <f t="shared" si="0"/>
        <v>3</v>
      </c>
      <c r="AM2" s="161">
        <f t="shared" si="0"/>
        <v>3</v>
      </c>
      <c r="AN2" s="161">
        <f t="shared" si="0"/>
        <v>3</v>
      </c>
      <c r="AO2" s="161">
        <f t="shared" si="0"/>
        <v>3</v>
      </c>
      <c r="AP2" s="161">
        <f t="shared" si="0"/>
        <v>3</v>
      </c>
      <c r="AQ2" s="161">
        <f t="shared" si="0"/>
        <v>3</v>
      </c>
      <c r="AR2" s="161">
        <f t="shared" si="0"/>
        <v>3</v>
      </c>
      <c r="AS2" s="161">
        <f t="shared" si="0"/>
        <v>3</v>
      </c>
      <c r="AT2" s="161">
        <f t="shared" si="0"/>
        <v>3</v>
      </c>
      <c r="AU2" s="161">
        <f t="shared" si="0"/>
        <v>3</v>
      </c>
      <c r="AV2" s="161">
        <f t="shared" si="0"/>
        <v>3</v>
      </c>
      <c r="AW2" s="161">
        <f t="shared" si="0"/>
        <v>4</v>
      </c>
      <c r="AX2" s="161">
        <f t="shared" si="0"/>
        <v>4</v>
      </c>
      <c r="AY2" s="161">
        <f t="shared" si="0"/>
        <v>4</v>
      </c>
      <c r="AZ2" s="161">
        <f t="shared" si="0"/>
        <v>4</v>
      </c>
      <c r="BA2" s="161">
        <f t="shared" si="0"/>
        <v>4</v>
      </c>
      <c r="BB2" s="161">
        <f t="shared" si="0"/>
        <v>4</v>
      </c>
      <c r="BC2" s="161">
        <f t="shared" si="0"/>
        <v>4</v>
      </c>
      <c r="BD2" s="161">
        <f t="shared" si="0"/>
        <v>4</v>
      </c>
      <c r="BE2" s="161">
        <f t="shared" si="0"/>
        <v>4</v>
      </c>
      <c r="BF2" s="161">
        <f t="shared" si="0"/>
        <v>4</v>
      </c>
      <c r="BG2" s="161">
        <f t="shared" si="0"/>
        <v>4</v>
      </c>
      <c r="BH2" s="161">
        <f t="shared" si="0"/>
        <v>4</v>
      </c>
      <c r="BI2" s="161">
        <f t="shared" si="0"/>
        <v>5</v>
      </c>
      <c r="BJ2" s="161">
        <f t="shared" si="0"/>
        <v>5</v>
      </c>
      <c r="BK2" s="161">
        <f t="shared" si="0"/>
        <v>5</v>
      </c>
      <c r="BL2" s="161">
        <f t="shared" si="0"/>
        <v>5</v>
      </c>
      <c r="BM2" s="161">
        <f t="shared" si="0"/>
        <v>5</v>
      </c>
      <c r="BN2" s="161">
        <f t="shared" si="0"/>
        <v>5</v>
      </c>
      <c r="BO2" s="161">
        <f t="shared" si="0"/>
        <v>5</v>
      </c>
      <c r="BP2" s="161">
        <f t="shared" si="0"/>
        <v>5</v>
      </c>
      <c r="BQ2" s="161">
        <f t="shared" si="0"/>
        <v>5</v>
      </c>
      <c r="BR2" s="161">
        <f t="shared" si="0"/>
        <v>5</v>
      </c>
      <c r="BS2" s="161">
        <f t="shared" si="0"/>
        <v>5</v>
      </c>
      <c r="BT2" s="161">
        <f t="shared" si="0"/>
        <v>5</v>
      </c>
      <c r="BU2" s="161">
        <f t="shared" si="0"/>
        <v>6</v>
      </c>
      <c r="BV2" s="161">
        <f t="shared" si="0"/>
        <v>6</v>
      </c>
      <c r="BW2" s="161">
        <f t="shared" si="0"/>
        <v>6</v>
      </c>
      <c r="BX2" s="161">
        <f t="shared" si="0"/>
        <v>6</v>
      </c>
      <c r="BY2" s="161">
        <f t="shared" si="0"/>
        <v>6</v>
      </c>
      <c r="BZ2" s="161">
        <f t="shared" ref="BZ2:EK2" si="1">ROUNDUP(BZ3/12,0)</f>
        <v>6</v>
      </c>
      <c r="CA2" s="161">
        <f t="shared" si="1"/>
        <v>6</v>
      </c>
      <c r="CB2" s="161">
        <f t="shared" si="1"/>
        <v>6</v>
      </c>
      <c r="CC2" s="161">
        <f t="shared" si="1"/>
        <v>6</v>
      </c>
      <c r="CD2" s="161">
        <f t="shared" si="1"/>
        <v>6</v>
      </c>
      <c r="CE2" s="161">
        <f t="shared" si="1"/>
        <v>6</v>
      </c>
      <c r="CF2" s="161">
        <f t="shared" si="1"/>
        <v>6</v>
      </c>
      <c r="CG2" s="161">
        <f t="shared" si="1"/>
        <v>7</v>
      </c>
      <c r="CH2" s="161">
        <f t="shared" si="1"/>
        <v>7</v>
      </c>
      <c r="CI2" s="161">
        <f t="shared" si="1"/>
        <v>7</v>
      </c>
      <c r="CJ2" s="161">
        <f t="shared" si="1"/>
        <v>7</v>
      </c>
      <c r="CK2" s="161">
        <f t="shared" si="1"/>
        <v>7</v>
      </c>
      <c r="CL2" s="161">
        <f t="shared" si="1"/>
        <v>7</v>
      </c>
      <c r="CM2" s="161">
        <f t="shared" si="1"/>
        <v>7</v>
      </c>
      <c r="CN2" s="161">
        <f t="shared" si="1"/>
        <v>7</v>
      </c>
      <c r="CO2" s="161">
        <f t="shared" si="1"/>
        <v>7</v>
      </c>
      <c r="CP2" s="161">
        <f t="shared" si="1"/>
        <v>7</v>
      </c>
      <c r="CQ2" s="161">
        <f t="shared" si="1"/>
        <v>7</v>
      </c>
      <c r="CR2" s="161">
        <f t="shared" si="1"/>
        <v>7</v>
      </c>
      <c r="CS2" s="161">
        <f t="shared" si="1"/>
        <v>8</v>
      </c>
      <c r="CT2" s="161">
        <f t="shared" si="1"/>
        <v>8</v>
      </c>
      <c r="CU2" s="161">
        <f t="shared" si="1"/>
        <v>8</v>
      </c>
      <c r="CV2" s="161">
        <f t="shared" si="1"/>
        <v>8</v>
      </c>
      <c r="CW2" s="161">
        <f t="shared" si="1"/>
        <v>8</v>
      </c>
      <c r="CX2" s="161">
        <f t="shared" si="1"/>
        <v>8</v>
      </c>
      <c r="CY2" s="161">
        <f t="shared" si="1"/>
        <v>8</v>
      </c>
      <c r="CZ2" s="161">
        <f t="shared" si="1"/>
        <v>8</v>
      </c>
      <c r="DA2" s="161">
        <f t="shared" si="1"/>
        <v>8</v>
      </c>
      <c r="DB2" s="161">
        <f t="shared" si="1"/>
        <v>8</v>
      </c>
      <c r="DC2" s="161">
        <f t="shared" si="1"/>
        <v>8</v>
      </c>
      <c r="DD2" s="161">
        <f t="shared" si="1"/>
        <v>8</v>
      </c>
      <c r="DE2" s="161">
        <f t="shared" si="1"/>
        <v>9</v>
      </c>
      <c r="DF2" s="161">
        <f t="shared" si="1"/>
        <v>9</v>
      </c>
      <c r="DG2" s="161">
        <f t="shared" si="1"/>
        <v>9</v>
      </c>
      <c r="DH2" s="161">
        <f t="shared" si="1"/>
        <v>9</v>
      </c>
      <c r="DI2" s="161">
        <f t="shared" si="1"/>
        <v>9</v>
      </c>
      <c r="DJ2" s="161">
        <f t="shared" si="1"/>
        <v>9</v>
      </c>
      <c r="DK2" s="161">
        <f t="shared" si="1"/>
        <v>9</v>
      </c>
      <c r="DL2" s="161">
        <f t="shared" si="1"/>
        <v>9</v>
      </c>
      <c r="DM2" s="161">
        <f t="shared" si="1"/>
        <v>9</v>
      </c>
      <c r="DN2" s="161">
        <f t="shared" si="1"/>
        <v>9</v>
      </c>
      <c r="DO2" s="161">
        <f t="shared" si="1"/>
        <v>9</v>
      </c>
      <c r="DP2" s="161">
        <f t="shared" si="1"/>
        <v>9</v>
      </c>
      <c r="DQ2" s="161">
        <f t="shared" si="1"/>
        <v>10</v>
      </c>
      <c r="DR2" s="161">
        <f t="shared" si="1"/>
        <v>10</v>
      </c>
      <c r="DS2" s="161">
        <f t="shared" si="1"/>
        <v>10</v>
      </c>
      <c r="DT2" s="161">
        <f t="shared" si="1"/>
        <v>10</v>
      </c>
      <c r="DU2" s="161">
        <f t="shared" si="1"/>
        <v>10</v>
      </c>
      <c r="DV2" s="161">
        <f t="shared" si="1"/>
        <v>10</v>
      </c>
      <c r="DW2" s="161">
        <f t="shared" si="1"/>
        <v>10</v>
      </c>
      <c r="DX2" s="161">
        <f t="shared" si="1"/>
        <v>10</v>
      </c>
      <c r="DY2" s="161">
        <f t="shared" si="1"/>
        <v>10</v>
      </c>
      <c r="DZ2" s="161">
        <f t="shared" si="1"/>
        <v>10</v>
      </c>
      <c r="EA2" s="161">
        <f t="shared" si="1"/>
        <v>10</v>
      </c>
      <c r="EB2" s="161">
        <f t="shared" si="1"/>
        <v>10</v>
      </c>
      <c r="EC2" s="161">
        <f t="shared" si="1"/>
        <v>11</v>
      </c>
      <c r="ED2" s="161">
        <f t="shared" si="1"/>
        <v>11</v>
      </c>
      <c r="EE2" s="161">
        <f t="shared" si="1"/>
        <v>11</v>
      </c>
      <c r="EF2" s="161">
        <f t="shared" si="1"/>
        <v>11</v>
      </c>
      <c r="EG2" s="161">
        <f t="shared" si="1"/>
        <v>11</v>
      </c>
      <c r="EH2" s="161">
        <f t="shared" si="1"/>
        <v>11</v>
      </c>
      <c r="EI2" s="161">
        <f t="shared" si="1"/>
        <v>11</v>
      </c>
      <c r="EJ2" s="161">
        <f t="shared" si="1"/>
        <v>11</v>
      </c>
      <c r="EK2" s="161">
        <f t="shared" si="1"/>
        <v>11</v>
      </c>
      <c r="EL2" s="161">
        <f>ROUNDUP(EL3/12,0)</f>
        <v>11</v>
      </c>
      <c r="EM2" s="161">
        <f>ROUNDUP(EM3/12,0)</f>
        <v>11</v>
      </c>
      <c r="EN2" s="161">
        <f>ROUNDUP(EN3/12,0)</f>
        <v>11</v>
      </c>
      <c r="EO2"/>
      <c r="EP2" s="219"/>
      <c r="EQ2" s="18"/>
      <c r="ER2" s="18"/>
      <c r="ES2" s="18"/>
      <c r="ET2" s="18"/>
      <c r="EU2" s="18"/>
      <c r="EV2" s="195">
        <f>L2</f>
        <v>0</v>
      </c>
      <c r="EW2" s="195">
        <f t="shared" ref="EW2:HH3" si="2">M2</f>
        <v>1</v>
      </c>
      <c r="EX2" s="195">
        <f t="shared" si="2"/>
        <v>1</v>
      </c>
      <c r="EY2" s="195">
        <f t="shared" si="2"/>
        <v>1</v>
      </c>
      <c r="EZ2" s="195">
        <f t="shared" si="2"/>
        <v>1</v>
      </c>
      <c r="FA2" s="195">
        <f t="shared" si="2"/>
        <v>1</v>
      </c>
      <c r="FB2" s="195">
        <f t="shared" si="2"/>
        <v>1</v>
      </c>
      <c r="FC2" s="195">
        <f t="shared" si="2"/>
        <v>1</v>
      </c>
      <c r="FD2" s="195">
        <f t="shared" si="2"/>
        <v>1</v>
      </c>
      <c r="FE2" s="195">
        <f t="shared" si="2"/>
        <v>1</v>
      </c>
      <c r="FF2" s="195">
        <f t="shared" si="2"/>
        <v>1</v>
      </c>
      <c r="FG2" s="195">
        <f t="shared" si="2"/>
        <v>1</v>
      </c>
      <c r="FH2" s="195">
        <f t="shared" si="2"/>
        <v>1</v>
      </c>
      <c r="FI2" s="195">
        <f t="shared" si="2"/>
        <v>2</v>
      </c>
      <c r="FJ2" s="195">
        <f t="shared" si="2"/>
        <v>2</v>
      </c>
      <c r="FK2" s="195">
        <f t="shared" si="2"/>
        <v>2</v>
      </c>
      <c r="FL2" s="195">
        <f t="shared" si="2"/>
        <v>2</v>
      </c>
      <c r="FM2" s="195">
        <f t="shared" si="2"/>
        <v>2</v>
      </c>
      <c r="FN2" s="195">
        <f t="shared" si="2"/>
        <v>2</v>
      </c>
      <c r="FO2" s="195">
        <f t="shared" si="2"/>
        <v>2</v>
      </c>
      <c r="FP2" s="195">
        <f t="shared" si="2"/>
        <v>2</v>
      </c>
      <c r="FQ2" s="195">
        <f t="shared" si="2"/>
        <v>2</v>
      </c>
      <c r="FR2" s="195">
        <f t="shared" si="2"/>
        <v>2</v>
      </c>
      <c r="FS2" s="195">
        <f t="shared" si="2"/>
        <v>2</v>
      </c>
      <c r="FT2" s="195">
        <f t="shared" si="2"/>
        <v>2</v>
      </c>
      <c r="FU2" s="195">
        <f t="shared" si="2"/>
        <v>3</v>
      </c>
      <c r="FV2" s="195">
        <f t="shared" si="2"/>
        <v>3</v>
      </c>
      <c r="FW2" s="195">
        <f t="shared" si="2"/>
        <v>3</v>
      </c>
      <c r="FX2" s="195">
        <f t="shared" si="2"/>
        <v>3</v>
      </c>
      <c r="FY2" s="195">
        <f t="shared" si="2"/>
        <v>3</v>
      </c>
      <c r="FZ2" s="195">
        <f t="shared" si="2"/>
        <v>3</v>
      </c>
      <c r="GA2" s="195">
        <f t="shared" si="2"/>
        <v>3</v>
      </c>
      <c r="GB2" s="195">
        <f t="shared" si="2"/>
        <v>3</v>
      </c>
      <c r="GC2" s="195">
        <f t="shared" si="2"/>
        <v>3</v>
      </c>
      <c r="GD2" s="195">
        <f t="shared" si="2"/>
        <v>3</v>
      </c>
      <c r="GE2" s="195">
        <f t="shared" si="2"/>
        <v>3</v>
      </c>
      <c r="GF2" s="195">
        <f t="shared" si="2"/>
        <v>3</v>
      </c>
      <c r="GG2" s="195">
        <f t="shared" si="2"/>
        <v>4</v>
      </c>
      <c r="GH2" s="195">
        <f t="shared" si="2"/>
        <v>4</v>
      </c>
      <c r="GI2" s="195">
        <f t="shared" si="2"/>
        <v>4</v>
      </c>
      <c r="GJ2" s="195">
        <f t="shared" si="2"/>
        <v>4</v>
      </c>
      <c r="GK2" s="195">
        <f t="shared" si="2"/>
        <v>4</v>
      </c>
      <c r="GL2" s="195">
        <f t="shared" si="2"/>
        <v>4</v>
      </c>
      <c r="GM2" s="195">
        <f t="shared" si="2"/>
        <v>4</v>
      </c>
      <c r="GN2" s="195">
        <f t="shared" si="2"/>
        <v>4</v>
      </c>
      <c r="GO2" s="195">
        <f t="shared" si="2"/>
        <v>4</v>
      </c>
      <c r="GP2" s="195">
        <f t="shared" si="2"/>
        <v>4</v>
      </c>
      <c r="GQ2" s="195">
        <f t="shared" si="2"/>
        <v>4</v>
      </c>
      <c r="GR2" s="195">
        <f t="shared" si="2"/>
        <v>4</v>
      </c>
      <c r="GS2" s="195">
        <f t="shared" si="2"/>
        <v>5</v>
      </c>
      <c r="GT2" s="195">
        <f t="shared" si="2"/>
        <v>5</v>
      </c>
      <c r="GU2" s="195">
        <f t="shared" si="2"/>
        <v>5</v>
      </c>
      <c r="GV2" s="195">
        <f t="shared" si="2"/>
        <v>5</v>
      </c>
      <c r="GW2" s="195">
        <f t="shared" si="2"/>
        <v>5</v>
      </c>
      <c r="GX2" s="195">
        <f t="shared" si="2"/>
        <v>5</v>
      </c>
      <c r="GY2" s="195">
        <f t="shared" si="2"/>
        <v>5</v>
      </c>
      <c r="GZ2" s="195">
        <f t="shared" si="2"/>
        <v>5</v>
      </c>
      <c r="HA2" s="195">
        <f t="shared" si="2"/>
        <v>5</v>
      </c>
      <c r="HB2" s="195">
        <f t="shared" si="2"/>
        <v>5</v>
      </c>
      <c r="HC2" s="195">
        <f t="shared" si="2"/>
        <v>5</v>
      </c>
      <c r="HD2" s="195">
        <f t="shared" si="2"/>
        <v>5</v>
      </c>
      <c r="HE2" s="195">
        <f t="shared" si="2"/>
        <v>6</v>
      </c>
      <c r="HF2" s="195">
        <f t="shared" si="2"/>
        <v>6</v>
      </c>
      <c r="HG2" s="195">
        <f t="shared" si="2"/>
        <v>6</v>
      </c>
      <c r="HH2" s="195">
        <f t="shared" si="2"/>
        <v>6</v>
      </c>
      <c r="HI2" s="195">
        <f t="shared" ref="HI2:IQ3" si="3">BY2</f>
        <v>6</v>
      </c>
      <c r="HJ2" s="195">
        <f t="shared" si="3"/>
        <v>6</v>
      </c>
      <c r="HK2" s="195">
        <f t="shared" si="3"/>
        <v>6</v>
      </c>
      <c r="HL2" s="195">
        <f t="shared" si="3"/>
        <v>6</v>
      </c>
      <c r="HM2" s="195">
        <f t="shared" si="3"/>
        <v>6</v>
      </c>
      <c r="HN2" s="195">
        <f t="shared" si="3"/>
        <v>6</v>
      </c>
      <c r="HO2" s="195">
        <f t="shared" si="3"/>
        <v>6</v>
      </c>
      <c r="HP2" s="195">
        <f t="shared" si="3"/>
        <v>6</v>
      </c>
      <c r="HQ2" s="195">
        <f t="shared" si="3"/>
        <v>7</v>
      </c>
      <c r="HR2" s="195">
        <f t="shared" si="3"/>
        <v>7</v>
      </c>
      <c r="HS2" s="195">
        <f t="shared" si="3"/>
        <v>7</v>
      </c>
      <c r="HT2" s="195">
        <f t="shared" si="3"/>
        <v>7</v>
      </c>
      <c r="HU2" s="195">
        <f t="shared" si="3"/>
        <v>7</v>
      </c>
      <c r="HV2" s="195">
        <f t="shared" si="3"/>
        <v>7</v>
      </c>
      <c r="HW2" s="195">
        <f t="shared" si="3"/>
        <v>7</v>
      </c>
      <c r="HX2" s="195">
        <f t="shared" si="3"/>
        <v>7</v>
      </c>
      <c r="HY2" s="195">
        <f t="shared" si="3"/>
        <v>7</v>
      </c>
      <c r="HZ2" s="195">
        <f t="shared" si="3"/>
        <v>7</v>
      </c>
      <c r="IA2" s="195">
        <f t="shared" si="3"/>
        <v>7</v>
      </c>
      <c r="IB2" s="195">
        <f t="shared" si="3"/>
        <v>7</v>
      </c>
      <c r="IC2" s="195">
        <f t="shared" si="3"/>
        <v>8</v>
      </c>
      <c r="ID2" s="195">
        <f t="shared" si="3"/>
        <v>8</v>
      </c>
      <c r="IE2" s="195">
        <f t="shared" si="3"/>
        <v>8</v>
      </c>
      <c r="IF2" s="195">
        <f t="shared" si="3"/>
        <v>8</v>
      </c>
      <c r="IG2" s="195">
        <f t="shared" si="3"/>
        <v>8</v>
      </c>
      <c r="IH2" s="195">
        <f t="shared" si="3"/>
        <v>8</v>
      </c>
      <c r="II2" s="195">
        <f t="shared" si="3"/>
        <v>8</v>
      </c>
      <c r="IJ2" s="195">
        <f t="shared" si="3"/>
        <v>8</v>
      </c>
      <c r="IK2" s="195">
        <f t="shared" si="3"/>
        <v>8</v>
      </c>
      <c r="IL2" s="195">
        <f t="shared" si="3"/>
        <v>8</v>
      </c>
      <c r="IM2" s="195">
        <f t="shared" si="3"/>
        <v>8</v>
      </c>
      <c r="IN2" s="195">
        <f t="shared" si="3"/>
        <v>8</v>
      </c>
      <c r="IO2" s="195">
        <f t="shared" si="3"/>
        <v>9</v>
      </c>
      <c r="IP2" s="195">
        <f t="shared" si="3"/>
        <v>9</v>
      </c>
      <c r="IQ2" s="195">
        <f t="shared" si="3"/>
        <v>9</v>
      </c>
      <c r="IR2" s="195">
        <f t="shared" ref="IR2:JA3" si="4">DH2</f>
        <v>9</v>
      </c>
      <c r="IS2" s="195">
        <f t="shared" si="4"/>
        <v>9</v>
      </c>
      <c r="IT2" s="195">
        <f t="shared" si="4"/>
        <v>9</v>
      </c>
      <c r="IU2" s="195">
        <f t="shared" si="4"/>
        <v>9</v>
      </c>
      <c r="IV2" s="195">
        <f t="shared" si="4"/>
        <v>9</v>
      </c>
      <c r="IW2" s="195">
        <f t="shared" si="4"/>
        <v>9</v>
      </c>
      <c r="IX2" s="195">
        <f t="shared" si="4"/>
        <v>9</v>
      </c>
      <c r="IY2" s="195">
        <f t="shared" si="4"/>
        <v>9</v>
      </c>
      <c r="IZ2" s="195">
        <f t="shared" si="4"/>
        <v>9</v>
      </c>
      <c r="JA2" s="195">
        <f t="shared" si="4"/>
        <v>10</v>
      </c>
      <c r="JB2" s="195">
        <f t="shared" ref="JB2:JK3" si="5">DR2</f>
        <v>10</v>
      </c>
      <c r="JC2" s="195">
        <f t="shared" si="5"/>
        <v>10</v>
      </c>
      <c r="JD2" s="195">
        <f t="shared" si="5"/>
        <v>10</v>
      </c>
      <c r="JE2" s="195">
        <f t="shared" si="5"/>
        <v>10</v>
      </c>
      <c r="JF2" s="195">
        <f t="shared" si="5"/>
        <v>10</v>
      </c>
      <c r="JG2" s="195">
        <f t="shared" si="5"/>
        <v>10</v>
      </c>
      <c r="JH2" s="195">
        <f t="shared" si="5"/>
        <v>10</v>
      </c>
      <c r="JI2" s="195">
        <f t="shared" si="5"/>
        <v>10</v>
      </c>
      <c r="JJ2" s="195">
        <f t="shared" si="5"/>
        <v>10</v>
      </c>
      <c r="JK2" s="195">
        <f t="shared" si="5"/>
        <v>10</v>
      </c>
      <c r="JL2" s="195">
        <f t="shared" ref="JL2:JU3" si="6">EB2</f>
        <v>10</v>
      </c>
      <c r="JM2" s="195">
        <f t="shared" si="6"/>
        <v>11</v>
      </c>
      <c r="JN2" s="195">
        <f t="shared" si="6"/>
        <v>11</v>
      </c>
      <c r="JO2" s="195">
        <f t="shared" si="6"/>
        <v>11</v>
      </c>
      <c r="JP2" s="195">
        <f t="shared" si="6"/>
        <v>11</v>
      </c>
      <c r="JQ2" s="195">
        <f t="shared" si="6"/>
        <v>11</v>
      </c>
      <c r="JR2" s="195">
        <f t="shared" si="6"/>
        <v>11</v>
      </c>
      <c r="JS2" s="195">
        <f t="shared" si="6"/>
        <v>11</v>
      </c>
      <c r="JT2" s="195">
        <f t="shared" si="6"/>
        <v>11</v>
      </c>
      <c r="JU2" s="195">
        <f t="shared" si="6"/>
        <v>11</v>
      </c>
      <c r="JV2" s="195">
        <f t="shared" ref="JV2:JX3" si="7">EL2</f>
        <v>11</v>
      </c>
      <c r="JW2" s="195">
        <f t="shared" si="7"/>
        <v>11</v>
      </c>
      <c r="JX2" s="195">
        <f t="shared" si="7"/>
        <v>11</v>
      </c>
      <c r="JY2"/>
      <c r="JZ2" s="262"/>
      <c r="KA2" s="262"/>
      <c r="KB2" s="262"/>
      <c r="KC2" s="262"/>
      <c r="KD2" s="262"/>
      <c r="KE2" s="262"/>
      <c r="KF2" s="195">
        <f t="shared" ref="KF2:KO3" si="8">EV2</f>
        <v>0</v>
      </c>
      <c r="KG2" s="195">
        <f t="shared" si="8"/>
        <v>1</v>
      </c>
      <c r="KH2" s="195">
        <f t="shared" si="8"/>
        <v>1</v>
      </c>
      <c r="KI2" s="195">
        <f t="shared" si="8"/>
        <v>1</v>
      </c>
      <c r="KJ2" s="195">
        <f t="shared" si="8"/>
        <v>1</v>
      </c>
      <c r="KK2" s="195">
        <f t="shared" si="8"/>
        <v>1</v>
      </c>
      <c r="KL2" s="195">
        <f t="shared" si="8"/>
        <v>1</v>
      </c>
      <c r="KM2" s="195">
        <f t="shared" si="8"/>
        <v>1</v>
      </c>
      <c r="KN2" s="195">
        <f t="shared" si="8"/>
        <v>1</v>
      </c>
      <c r="KO2" s="195">
        <f t="shared" si="8"/>
        <v>1</v>
      </c>
      <c r="KP2" s="195">
        <f t="shared" ref="KP2:KY3" si="9">FF2</f>
        <v>1</v>
      </c>
      <c r="KQ2" s="195">
        <f t="shared" si="9"/>
        <v>1</v>
      </c>
      <c r="KR2" s="195">
        <f t="shared" si="9"/>
        <v>1</v>
      </c>
      <c r="KS2" s="195">
        <f t="shared" si="9"/>
        <v>2</v>
      </c>
      <c r="KT2" s="195">
        <f t="shared" si="9"/>
        <v>2</v>
      </c>
      <c r="KU2" s="195">
        <f t="shared" si="9"/>
        <v>2</v>
      </c>
      <c r="KV2" s="195">
        <f t="shared" si="9"/>
        <v>2</v>
      </c>
      <c r="KW2" s="195">
        <f t="shared" si="9"/>
        <v>2</v>
      </c>
      <c r="KX2" s="195">
        <f t="shared" si="9"/>
        <v>2</v>
      </c>
      <c r="KY2" s="195">
        <f t="shared" si="9"/>
        <v>2</v>
      </c>
      <c r="KZ2" s="195">
        <f t="shared" ref="KZ2:LI3" si="10">FP2</f>
        <v>2</v>
      </c>
      <c r="LA2" s="195">
        <f t="shared" si="10"/>
        <v>2</v>
      </c>
      <c r="LB2" s="195">
        <f t="shared" si="10"/>
        <v>2</v>
      </c>
      <c r="LC2" s="195">
        <f t="shared" si="10"/>
        <v>2</v>
      </c>
      <c r="LD2" s="195">
        <f t="shared" si="10"/>
        <v>2</v>
      </c>
      <c r="LE2" s="195">
        <f t="shared" si="10"/>
        <v>3</v>
      </c>
      <c r="LF2" s="195">
        <f t="shared" si="10"/>
        <v>3</v>
      </c>
      <c r="LG2" s="195">
        <f t="shared" si="10"/>
        <v>3</v>
      </c>
      <c r="LH2" s="195">
        <f t="shared" si="10"/>
        <v>3</v>
      </c>
      <c r="LI2" s="195">
        <f t="shared" si="10"/>
        <v>3</v>
      </c>
      <c r="LJ2" s="195">
        <f t="shared" ref="LJ2:LS3" si="11">FZ2</f>
        <v>3</v>
      </c>
      <c r="LK2" s="195">
        <f t="shared" si="11"/>
        <v>3</v>
      </c>
      <c r="LL2" s="195">
        <f t="shared" si="11"/>
        <v>3</v>
      </c>
      <c r="LM2" s="195">
        <f t="shared" si="11"/>
        <v>3</v>
      </c>
      <c r="LN2" s="195">
        <f t="shared" si="11"/>
        <v>3</v>
      </c>
      <c r="LO2" s="195">
        <f t="shared" si="11"/>
        <v>3</v>
      </c>
      <c r="LP2" s="195">
        <f t="shared" si="11"/>
        <v>3</v>
      </c>
      <c r="LQ2" s="195">
        <f t="shared" si="11"/>
        <v>4</v>
      </c>
      <c r="LR2" s="195">
        <f t="shared" si="11"/>
        <v>4</v>
      </c>
      <c r="LS2" s="195">
        <f t="shared" si="11"/>
        <v>4</v>
      </c>
      <c r="LT2" s="195">
        <f t="shared" ref="LT2:MC3" si="12">GJ2</f>
        <v>4</v>
      </c>
      <c r="LU2" s="195">
        <f t="shared" si="12"/>
        <v>4</v>
      </c>
      <c r="LV2" s="195">
        <f t="shared" si="12"/>
        <v>4</v>
      </c>
      <c r="LW2" s="195">
        <f t="shared" si="12"/>
        <v>4</v>
      </c>
      <c r="LX2" s="195">
        <f t="shared" si="12"/>
        <v>4</v>
      </c>
      <c r="LY2" s="195">
        <f t="shared" si="12"/>
        <v>4</v>
      </c>
      <c r="LZ2" s="195">
        <f t="shared" si="12"/>
        <v>4</v>
      </c>
      <c r="MA2" s="195">
        <f t="shared" si="12"/>
        <v>4</v>
      </c>
      <c r="MB2" s="195">
        <f t="shared" si="12"/>
        <v>4</v>
      </c>
      <c r="MC2" s="195">
        <f t="shared" si="12"/>
        <v>5</v>
      </c>
      <c r="MD2" s="195">
        <f t="shared" ref="MD2:MM3" si="13">GT2</f>
        <v>5</v>
      </c>
      <c r="ME2" s="195">
        <f t="shared" si="13"/>
        <v>5</v>
      </c>
      <c r="MF2" s="195">
        <f t="shared" si="13"/>
        <v>5</v>
      </c>
      <c r="MG2" s="195">
        <f t="shared" si="13"/>
        <v>5</v>
      </c>
      <c r="MH2" s="195">
        <f t="shared" si="13"/>
        <v>5</v>
      </c>
      <c r="MI2" s="195">
        <f t="shared" si="13"/>
        <v>5</v>
      </c>
      <c r="MJ2" s="195">
        <f t="shared" si="13"/>
        <v>5</v>
      </c>
      <c r="MK2" s="195">
        <f t="shared" si="13"/>
        <v>5</v>
      </c>
      <c r="ML2" s="195">
        <f t="shared" si="13"/>
        <v>5</v>
      </c>
      <c r="MM2" s="195">
        <f t="shared" si="13"/>
        <v>5</v>
      </c>
      <c r="MN2" s="195">
        <f t="shared" ref="MN2:MW3" si="14">HD2</f>
        <v>5</v>
      </c>
      <c r="MO2" s="195">
        <f t="shared" si="14"/>
        <v>6</v>
      </c>
      <c r="MP2" s="195">
        <f t="shared" si="14"/>
        <v>6</v>
      </c>
      <c r="MQ2" s="195">
        <f t="shared" si="14"/>
        <v>6</v>
      </c>
      <c r="MR2" s="195">
        <f t="shared" si="14"/>
        <v>6</v>
      </c>
      <c r="MS2" s="195">
        <f t="shared" si="14"/>
        <v>6</v>
      </c>
      <c r="MT2" s="195">
        <f t="shared" si="14"/>
        <v>6</v>
      </c>
      <c r="MU2" s="195">
        <f t="shared" si="14"/>
        <v>6</v>
      </c>
      <c r="MV2" s="195">
        <f t="shared" si="14"/>
        <v>6</v>
      </c>
      <c r="MW2" s="195">
        <f t="shared" si="14"/>
        <v>6</v>
      </c>
      <c r="MX2" s="195">
        <f t="shared" ref="MX2:NG3" si="15">HN2</f>
        <v>6</v>
      </c>
      <c r="MY2" s="195">
        <f t="shared" si="15"/>
        <v>6</v>
      </c>
      <c r="MZ2" s="195">
        <f t="shared" si="15"/>
        <v>6</v>
      </c>
      <c r="NA2" s="195">
        <f t="shared" si="15"/>
        <v>7</v>
      </c>
      <c r="NB2" s="195">
        <f t="shared" si="15"/>
        <v>7</v>
      </c>
      <c r="NC2" s="195">
        <f t="shared" si="15"/>
        <v>7</v>
      </c>
      <c r="ND2" s="195">
        <f t="shared" si="15"/>
        <v>7</v>
      </c>
      <c r="NE2" s="195">
        <f t="shared" si="15"/>
        <v>7</v>
      </c>
      <c r="NF2" s="195">
        <f t="shared" si="15"/>
        <v>7</v>
      </c>
      <c r="NG2" s="195">
        <f t="shared" si="15"/>
        <v>7</v>
      </c>
      <c r="NH2" s="195">
        <f t="shared" ref="NH2:NQ3" si="16">HX2</f>
        <v>7</v>
      </c>
      <c r="NI2" s="195">
        <f t="shared" si="16"/>
        <v>7</v>
      </c>
      <c r="NJ2" s="195">
        <f t="shared" si="16"/>
        <v>7</v>
      </c>
      <c r="NK2" s="195">
        <f t="shared" si="16"/>
        <v>7</v>
      </c>
      <c r="NL2" s="195">
        <f t="shared" si="16"/>
        <v>7</v>
      </c>
      <c r="NM2" s="195">
        <f t="shared" si="16"/>
        <v>8</v>
      </c>
      <c r="NN2" s="195">
        <f t="shared" si="16"/>
        <v>8</v>
      </c>
      <c r="NO2" s="195">
        <f t="shared" si="16"/>
        <v>8</v>
      </c>
      <c r="NP2" s="195">
        <f t="shared" si="16"/>
        <v>8</v>
      </c>
      <c r="NQ2" s="195">
        <f t="shared" si="16"/>
        <v>8</v>
      </c>
      <c r="NR2" s="195">
        <f t="shared" ref="NR2:OA3" si="17">IH2</f>
        <v>8</v>
      </c>
      <c r="NS2" s="195">
        <f t="shared" si="17"/>
        <v>8</v>
      </c>
      <c r="NT2" s="195">
        <f t="shared" si="17"/>
        <v>8</v>
      </c>
      <c r="NU2" s="195">
        <f t="shared" si="17"/>
        <v>8</v>
      </c>
      <c r="NV2" s="195">
        <f t="shared" si="17"/>
        <v>8</v>
      </c>
      <c r="NW2" s="195">
        <f t="shared" si="17"/>
        <v>8</v>
      </c>
      <c r="NX2" s="195">
        <f t="shared" si="17"/>
        <v>8</v>
      </c>
      <c r="NY2" s="195">
        <f t="shared" si="17"/>
        <v>9</v>
      </c>
      <c r="NZ2" s="195">
        <f t="shared" si="17"/>
        <v>9</v>
      </c>
      <c r="OA2" s="195">
        <f t="shared" si="17"/>
        <v>9</v>
      </c>
      <c r="OB2" s="195">
        <f t="shared" ref="OB2:OK3" si="18">IR2</f>
        <v>9</v>
      </c>
      <c r="OC2" s="195">
        <f t="shared" si="18"/>
        <v>9</v>
      </c>
      <c r="OD2" s="195">
        <f t="shared" si="18"/>
        <v>9</v>
      </c>
      <c r="OE2" s="195">
        <f t="shared" si="18"/>
        <v>9</v>
      </c>
      <c r="OF2" s="195">
        <f t="shared" si="18"/>
        <v>9</v>
      </c>
      <c r="OG2" s="195">
        <f t="shared" si="18"/>
        <v>9</v>
      </c>
      <c r="OH2" s="195">
        <f t="shared" si="18"/>
        <v>9</v>
      </c>
      <c r="OI2" s="195">
        <f t="shared" si="18"/>
        <v>9</v>
      </c>
      <c r="OJ2" s="195">
        <f t="shared" si="18"/>
        <v>9</v>
      </c>
      <c r="OK2" s="195">
        <f t="shared" si="18"/>
        <v>10</v>
      </c>
      <c r="OL2" s="195">
        <f t="shared" ref="OL2:OU3" si="19">JB2</f>
        <v>10</v>
      </c>
      <c r="OM2" s="195">
        <f t="shared" si="19"/>
        <v>10</v>
      </c>
      <c r="ON2" s="195">
        <f t="shared" si="19"/>
        <v>10</v>
      </c>
      <c r="OO2" s="195">
        <f t="shared" si="19"/>
        <v>10</v>
      </c>
      <c r="OP2" s="195">
        <f t="shared" si="19"/>
        <v>10</v>
      </c>
      <c r="OQ2" s="195">
        <f t="shared" si="19"/>
        <v>10</v>
      </c>
      <c r="OR2" s="195">
        <f t="shared" si="19"/>
        <v>10</v>
      </c>
      <c r="OS2" s="195">
        <f t="shared" si="19"/>
        <v>10</v>
      </c>
      <c r="OT2" s="195">
        <f t="shared" si="19"/>
        <v>10</v>
      </c>
      <c r="OU2" s="195">
        <f t="shared" si="19"/>
        <v>10</v>
      </c>
      <c r="OV2" s="195">
        <f t="shared" ref="OV2:PE3" si="20">JL2</f>
        <v>10</v>
      </c>
      <c r="OW2" s="195">
        <f t="shared" si="20"/>
        <v>11</v>
      </c>
      <c r="OX2" s="195">
        <f t="shared" si="20"/>
        <v>11</v>
      </c>
      <c r="OY2" s="195">
        <f t="shared" si="20"/>
        <v>11</v>
      </c>
      <c r="OZ2" s="195">
        <f t="shared" si="20"/>
        <v>11</v>
      </c>
      <c r="PA2" s="195">
        <f t="shared" si="20"/>
        <v>11</v>
      </c>
      <c r="PB2" s="195">
        <f t="shared" si="20"/>
        <v>11</v>
      </c>
      <c r="PC2" s="195">
        <f t="shared" si="20"/>
        <v>11</v>
      </c>
      <c r="PD2" s="195">
        <f t="shared" si="20"/>
        <v>11</v>
      </c>
      <c r="PE2" s="195">
        <f t="shared" si="20"/>
        <v>11</v>
      </c>
      <c r="PF2" s="195">
        <f t="shared" ref="PF2:PH3" si="21">JV2</f>
        <v>11</v>
      </c>
      <c r="PG2" s="195">
        <f t="shared" si="21"/>
        <v>11</v>
      </c>
      <c r="PH2" s="195">
        <f t="shared" si="21"/>
        <v>11</v>
      </c>
    </row>
    <row r="3" spans="1:424" x14ac:dyDescent="0.35">
      <c r="A3"/>
      <c r="B3"/>
      <c r="C3"/>
      <c r="D3"/>
      <c r="E3"/>
      <c r="F3"/>
      <c r="G3"/>
      <c r="H3"/>
      <c r="I3"/>
      <c r="J3" s="374"/>
      <c r="K3" s="374" t="s">
        <v>94</v>
      </c>
      <c r="L3" s="196">
        <f>COLUMN()-COLUMN($L$3)</f>
        <v>0</v>
      </c>
      <c r="M3" s="196">
        <f>COLUMN()-COLUMN($L$3)</f>
        <v>1</v>
      </c>
      <c r="N3" s="196">
        <f t="shared" ref="N3:BY3" si="22">COLUMN()-COLUMN($L$3)</f>
        <v>2</v>
      </c>
      <c r="O3" s="196">
        <f t="shared" si="22"/>
        <v>3</v>
      </c>
      <c r="P3" s="196">
        <f t="shared" si="22"/>
        <v>4</v>
      </c>
      <c r="Q3" s="196">
        <f t="shared" si="22"/>
        <v>5</v>
      </c>
      <c r="R3" s="196">
        <f t="shared" si="22"/>
        <v>6</v>
      </c>
      <c r="S3" s="196">
        <f t="shared" si="22"/>
        <v>7</v>
      </c>
      <c r="T3" s="196">
        <f t="shared" si="22"/>
        <v>8</v>
      </c>
      <c r="U3" s="196">
        <f t="shared" si="22"/>
        <v>9</v>
      </c>
      <c r="V3" s="196">
        <f t="shared" si="22"/>
        <v>10</v>
      </c>
      <c r="W3" s="196">
        <f t="shared" si="22"/>
        <v>11</v>
      </c>
      <c r="X3" s="196">
        <f t="shared" si="22"/>
        <v>12</v>
      </c>
      <c r="Y3" s="196">
        <f t="shared" si="22"/>
        <v>13</v>
      </c>
      <c r="Z3" s="196">
        <f t="shared" si="22"/>
        <v>14</v>
      </c>
      <c r="AA3" s="196">
        <f t="shared" si="22"/>
        <v>15</v>
      </c>
      <c r="AB3" s="196">
        <f t="shared" si="22"/>
        <v>16</v>
      </c>
      <c r="AC3" s="196">
        <f t="shared" si="22"/>
        <v>17</v>
      </c>
      <c r="AD3" s="196">
        <f t="shared" si="22"/>
        <v>18</v>
      </c>
      <c r="AE3" s="196">
        <f t="shared" si="22"/>
        <v>19</v>
      </c>
      <c r="AF3" s="196">
        <f t="shared" si="22"/>
        <v>20</v>
      </c>
      <c r="AG3" s="196">
        <f t="shared" si="22"/>
        <v>21</v>
      </c>
      <c r="AH3" s="196">
        <f t="shared" si="22"/>
        <v>22</v>
      </c>
      <c r="AI3" s="196">
        <f t="shared" si="22"/>
        <v>23</v>
      </c>
      <c r="AJ3" s="196">
        <f t="shared" si="22"/>
        <v>24</v>
      </c>
      <c r="AK3" s="196">
        <f t="shared" si="22"/>
        <v>25</v>
      </c>
      <c r="AL3" s="196">
        <f t="shared" si="22"/>
        <v>26</v>
      </c>
      <c r="AM3" s="196">
        <f t="shared" si="22"/>
        <v>27</v>
      </c>
      <c r="AN3" s="196">
        <f t="shared" si="22"/>
        <v>28</v>
      </c>
      <c r="AO3" s="196">
        <f t="shared" si="22"/>
        <v>29</v>
      </c>
      <c r="AP3" s="196">
        <f t="shared" si="22"/>
        <v>30</v>
      </c>
      <c r="AQ3" s="196">
        <f t="shared" si="22"/>
        <v>31</v>
      </c>
      <c r="AR3" s="196">
        <f t="shared" si="22"/>
        <v>32</v>
      </c>
      <c r="AS3" s="196">
        <f t="shared" si="22"/>
        <v>33</v>
      </c>
      <c r="AT3" s="196">
        <f t="shared" si="22"/>
        <v>34</v>
      </c>
      <c r="AU3" s="196">
        <f t="shared" si="22"/>
        <v>35</v>
      </c>
      <c r="AV3" s="196">
        <f t="shared" si="22"/>
        <v>36</v>
      </c>
      <c r="AW3" s="196">
        <f t="shared" si="22"/>
        <v>37</v>
      </c>
      <c r="AX3" s="196">
        <f t="shared" si="22"/>
        <v>38</v>
      </c>
      <c r="AY3" s="196">
        <f t="shared" si="22"/>
        <v>39</v>
      </c>
      <c r="AZ3" s="196">
        <f t="shared" si="22"/>
        <v>40</v>
      </c>
      <c r="BA3" s="196">
        <f t="shared" si="22"/>
        <v>41</v>
      </c>
      <c r="BB3" s="196">
        <f t="shared" si="22"/>
        <v>42</v>
      </c>
      <c r="BC3" s="196">
        <f t="shared" si="22"/>
        <v>43</v>
      </c>
      <c r="BD3" s="196">
        <f t="shared" si="22"/>
        <v>44</v>
      </c>
      <c r="BE3" s="196">
        <f t="shared" si="22"/>
        <v>45</v>
      </c>
      <c r="BF3" s="196">
        <f t="shared" si="22"/>
        <v>46</v>
      </c>
      <c r="BG3" s="196">
        <f t="shared" si="22"/>
        <v>47</v>
      </c>
      <c r="BH3" s="196">
        <f t="shared" si="22"/>
        <v>48</v>
      </c>
      <c r="BI3" s="196">
        <f t="shared" si="22"/>
        <v>49</v>
      </c>
      <c r="BJ3" s="196">
        <f t="shared" si="22"/>
        <v>50</v>
      </c>
      <c r="BK3" s="196">
        <f t="shared" si="22"/>
        <v>51</v>
      </c>
      <c r="BL3" s="196">
        <f t="shared" si="22"/>
        <v>52</v>
      </c>
      <c r="BM3" s="196">
        <f t="shared" si="22"/>
        <v>53</v>
      </c>
      <c r="BN3" s="196">
        <f t="shared" si="22"/>
        <v>54</v>
      </c>
      <c r="BO3" s="196">
        <f t="shared" si="22"/>
        <v>55</v>
      </c>
      <c r="BP3" s="196">
        <f t="shared" si="22"/>
        <v>56</v>
      </c>
      <c r="BQ3" s="196">
        <f t="shared" si="22"/>
        <v>57</v>
      </c>
      <c r="BR3" s="196">
        <f t="shared" si="22"/>
        <v>58</v>
      </c>
      <c r="BS3" s="196">
        <f t="shared" si="22"/>
        <v>59</v>
      </c>
      <c r="BT3" s="196">
        <f t="shared" si="22"/>
        <v>60</v>
      </c>
      <c r="BU3" s="196">
        <f t="shared" si="22"/>
        <v>61</v>
      </c>
      <c r="BV3" s="196">
        <f t="shared" si="22"/>
        <v>62</v>
      </c>
      <c r="BW3" s="196">
        <f t="shared" si="22"/>
        <v>63</v>
      </c>
      <c r="BX3" s="196">
        <f t="shared" si="22"/>
        <v>64</v>
      </c>
      <c r="BY3" s="196">
        <f t="shared" si="22"/>
        <v>65</v>
      </c>
      <c r="BZ3" s="196">
        <f t="shared" ref="BZ3:EK3" si="23">COLUMN()-COLUMN($L$3)</f>
        <v>66</v>
      </c>
      <c r="CA3" s="196">
        <f t="shared" si="23"/>
        <v>67</v>
      </c>
      <c r="CB3" s="196">
        <f t="shared" si="23"/>
        <v>68</v>
      </c>
      <c r="CC3" s="196">
        <f t="shared" si="23"/>
        <v>69</v>
      </c>
      <c r="CD3" s="196">
        <f t="shared" si="23"/>
        <v>70</v>
      </c>
      <c r="CE3" s="196">
        <f t="shared" si="23"/>
        <v>71</v>
      </c>
      <c r="CF3" s="196">
        <f t="shared" si="23"/>
        <v>72</v>
      </c>
      <c r="CG3" s="196">
        <f t="shared" si="23"/>
        <v>73</v>
      </c>
      <c r="CH3" s="196">
        <f t="shared" si="23"/>
        <v>74</v>
      </c>
      <c r="CI3" s="196">
        <f t="shared" si="23"/>
        <v>75</v>
      </c>
      <c r="CJ3" s="196">
        <f t="shared" si="23"/>
        <v>76</v>
      </c>
      <c r="CK3" s="196">
        <f t="shared" si="23"/>
        <v>77</v>
      </c>
      <c r="CL3" s="196">
        <f t="shared" si="23"/>
        <v>78</v>
      </c>
      <c r="CM3" s="196">
        <f t="shared" si="23"/>
        <v>79</v>
      </c>
      <c r="CN3" s="196">
        <f t="shared" si="23"/>
        <v>80</v>
      </c>
      <c r="CO3" s="196">
        <f t="shared" si="23"/>
        <v>81</v>
      </c>
      <c r="CP3" s="196">
        <f t="shared" si="23"/>
        <v>82</v>
      </c>
      <c r="CQ3" s="196">
        <f t="shared" si="23"/>
        <v>83</v>
      </c>
      <c r="CR3" s="196">
        <f t="shared" si="23"/>
        <v>84</v>
      </c>
      <c r="CS3" s="196">
        <f t="shared" si="23"/>
        <v>85</v>
      </c>
      <c r="CT3" s="196">
        <f t="shared" si="23"/>
        <v>86</v>
      </c>
      <c r="CU3" s="196">
        <f t="shared" si="23"/>
        <v>87</v>
      </c>
      <c r="CV3" s="196">
        <f t="shared" si="23"/>
        <v>88</v>
      </c>
      <c r="CW3" s="196">
        <f t="shared" si="23"/>
        <v>89</v>
      </c>
      <c r="CX3" s="196">
        <f t="shared" si="23"/>
        <v>90</v>
      </c>
      <c r="CY3" s="196">
        <f t="shared" si="23"/>
        <v>91</v>
      </c>
      <c r="CZ3" s="196">
        <f t="shared" si="23"/>
        <v>92</v>
      </c>
      <c r="DA3" s="196">
        <f t="shared" si="23"/>
        <v>93</v>
      </c>
      <c r="DB3" s="196">
        <f t="shared" si="23"/>
        <v>94</v>
      </c>
      <c r="DC3" s="196">
        <f t="shared" si="23"/>
        <v>95</v>
      </c>
      <c r="DD3" s="196">
        <f t="shared" si="23"/>
        <v>96</v>
      </c>
      <c r="DE3" s="196">
        <f t="shared" si="23"/>
        <v>97</v>
      </c>
      <c r="DF3" s="196">
        <f t="shared" si="23"/>
        <v>98</v>
      </c>
      <c r="DG3" s="196">
        <f t="shared" si="23"/>
        <v>99</v>
      </c>
      <c r="DH3" s="196">
        <f t="shared" si="23"/>
        <v>100</v>
      </c>
      <c r="DI3" s="196">
        <f t="shared" si="23"/>
        <v>101</v>
      </c>
      <c r="DJ3" s="196">
        <f t="shared" si="23"/>
        <v>102</v>
      </c>
      <c r="DK3" s="196">
        <f t="shared" si="23"/>
        <v>103</v>
      </c>
      <c r="DL3" s="196">
        <f t="shared" si="23"/>
        <v>104</v>
      </c>
      <c r="DM3" s="196">
        <f t="shared" si="23"/>
        <v>105</v>
      </c>
      <c r="DN3" s="196">
        <f t="shared" si="23"/>
        <v>106</v>
      </c>
      <c r="DO3" s="196">
        <f t="shared" si="23"/>
        <v>107</v>
      </c>
      <c r="DP3" s="196">
        <f t="shared" si="23"/>
        <v>108</v>
      </c>
      <c r="DQ3" s="196">
        <f t="shared" si="23"/>
        <v>109</v>
      </c>
      <c r="DR3" s="196">
        <f t="shared" si="23"/>
        <v>110</v>
      </c>
      <c r="DS3" s="196">
        <f t="shared" si="23"/>
        <v>111</v>
      </c>
      <c r="DT3" s="196">
        <f t="shared" si="23"/>
        <v>112</v>
      </c>
      <c r="DU3" s="196">
        <f t="shared" si="23"/>
        <v>113</v>
      </c>
      <c r="DV3" s="196">
        <f t="shared" si="23"/>
        <v>114</v>
      </c>
      <c r="DW3" s="196">
        <f t="shared" si="23"/>
        <v>115</v>
      </c>
      <c r="DX3" s="196">
        <f t="shared" si="23"/>
        <v>116</v>
      </c>
      <c r="DY3" s="196">
        <f t="shared" si="23"/>
        <v>117</v>
      </c>
      <c r="DZ3" s="196">
        <f t="shared" si="23"/>
        <v>118</v>
      </c>
      <c r="EA3" s="196">
        <f t="shared" si="23"/>
        <v>119</v>
      </c>
      <c r="EB3" s="196">
        <f t="shared" si="23"/>
        <v>120</v>
      </c>
      <c r="EC3" s="196">
        <f t="shared" si="23"/>
        <v>121</v>
      </c>
      <c r="ED3" s="196">
        <f t="shared" si="23"/>
        <v>122</v>
      </c>
      <c r="EE3" s="196">
        <f t="shared" si="23"/>
        <v>123</v>
      </c>
      <c r="EF3" s="196">
        <f t="shared" si="23"/>
        <v>124</v>
      </c>
      <c r="EG3" s="196">
        <f t="shared" si="23"/>
        <v>125</v>
      </c>
      <c r="EH3" s="196">
        <f t="shared" si="23"/>
        <v>126</v>
      </c>
      <c r="EI3" s="196">
        <f t="shared" si="23"/>
        <v>127</v>
      </c>
      <c r="EJ3" s="196">
        <f t="shared" si="23"/>
        <v>128</v>
      </c>
      <c r="EK3" s="196">
        <f t="shared" si="23"/>
        <v>129</v>
      </c>
      <c r="EL3" s="196">
        <f>COLUMN()-COLUMN($L$3)</f>
        <v>130</v>
      </c>
      <c r="EM3" s="196">
        <f>COLUMN()-COLUMN($L$3)</f>
        <v>131</v>
      </c>
      <c r="EN3" s="196">
        <f>COLUMN()-COLUMN($L$3)</f>
        <v>132</v>
      </c>
      <c r="EO3"/>
      <c r="EP3" s="219"/>
      <c r="EQ3" s="18"/>
      <c r="ER3" s="18"/>
      <c r="ES3" s="18"/>
      <c r="ET3" s="18"/>
      <c r="EU3" s="18"/>
      <c r="EV3" s="197">
        <f>L3</f>
        <v>0</v>
      </c>
      <c r="EW3" s="197">
        <f t="shared" si="2"/>
        <v>1</v>
      </c>
      <c r="EX3" s="197">
        <f t="shared" si="2"/>
        <v>2</v>
      </c>
      <c r="EY3" s="197">
        <f t="shared" si="2"/>
        <v>3</v>
      </c>
      <c r="EZ3" s="197">
        <f t="shared" si="2"/>
        <v>4</v>
      </c>
      <c r="FA3" s="197">
        <f t="shared" si="2"/>
        <v>5</v>
      </c>
      <c r="FB3" s="197">
        <f t="shared" si="2"/>
        <v>6</v>
      </c>
      <c r="FC3" s="197">
        <f t="shared" si="2"/>
        <v>7</v>
      </c>
      <c r="FD3" s="197">
        <f t="shared" si="2"/>
        <v>8</v>
      </c>
      <c r="FE3" s="197">
        <f t="shared" si="2"/>
        <v>9</v>
      </c>
      <c r="FF3" s="197">
        <f t="shared" si="2"/>
        <v>10</v>
      </c>
      <c r="FG3" s="197">
        <f t="shared" si="2"/>
        <v>11</v>
      </c>
      <c r="FH3" s="197">
        <f t="shared" si="2"/>
        <v>12</v>
      </c>
      <c r="FI3" s="197">
        <f t="shared" si="2"/>
        <v>13</v>
      </c>
      <c r="FJ3" s="197">
        <f t="shared" si="2"/>
        <v>14</v>
      </c>
      <c r="FK3" s="197">
        <f t="shared" si="2"/>
        <v>15</v>
      </c>
      <c r="FL3" s="197">
        <f t="shared" si="2"/>
        <v>16</v>
      </c>
      <c r="FM3" s="197">
        <f t="shared" si="2"/>
        <v>17</v>
      </c>
      <c r="FN3" s="197">
        <f t="shared" si="2"/>
        <v>18</v>
      </c>
      <c r="FO3" s="197">
        <f t="shared" si="2"/>
        <v>19</v>
      </c>
      <c r="FP3" s="197">
        <f t="shared" si="2"/>
        <v>20</v>
      </c>
      <c r="FQ3" s="197">
        <f t="shared" si="2"/>
        <v>21</v>
      </c>
      <c r="FR3" s="197">
        <f t="shared" si="2"/>
        <v>22</v>
      </c>
      <c r="FS3" s="197">
        <f t="shared" si="2"/>
        <v>23</v>
      </c>
      <c r="FT3" s="197">
        <f t="shared" si="2"/>
        <v>24</v>
      </c>
      <c r="FU3" s="197">
        <f t="shared" si="2"/>
        <v>25</v>
      </c>
      <c r="FV3" s="197">
        <f t="shared" si="2"/>
        <v>26</v>
      </c>
      <c r="FW3" s="197">
        <f t="shared" si="2"/>
        <v>27</v>
      </c>
      <c r="FX3" s="197">
        <f t="shared" si="2"/>
        <v>28</v>
      </c>
      <c r="FY3" s="197">
        <f t="shared" si="2"/>
        <v>29</v>
      </c>
      <c r="FZ3" s="197">
        <f t="shared" si="2"/>
        <v>30</v>
      </c>
      <c r="GA3" s="197">
        <f t="shared" si="2"/>
        <v>31</v>
      </c>
      <c r="GB3" s="197">
        <f t="shared" si="2"/>
        <v>32</v>
      </c>
      <c r="GC3" s="197">
        <f t="shared" si="2"/>
        <v>33</v>
      </c>
      <c r="GD3" s="197">
        <f t="shared" si="2"/>
        <v>34</v>
      </c>
      <c r="GE3" s="197">
        <f t="shared" si="2"/>
        <v>35</v>
      </c>
      <c r="GF3" s="197">
        <f t="shared" si="2"/>
        <v>36</v>
      </c>
      <c r="GG3" s="197">
        <f t="shared" si="2"/>
        <v>37</v>
      </c>
      <c r="GH3" s="197">
        <f t="shared" si="2"/>
        <v>38</v>
      </c>
      <c r="GI3" s="197">
        <f t="shared" si="2"/>
        <v>39</v>
      </c>
      <c r="GJ3" s="197">
        <f t="shared" si="2"/>
        <v>40</v>
      </c>
      <c r="GK3" s="197">
        <f t="shared" si="2"/>
        <v>41</v>
      </c>
      <c r="GL3" s="197">
        <f t="shared" si="2"/>
        <v>42</v>
      </c>
      <c r="GM3" s="197">
        <f t="shared" si="2"/>
        <v>43</v>
      </c>
      <c r="GN3" s="197">
        <f t="shared" si="2"/>
        <v>44</v>
      </c>
      <c r="GO3" s="197">
        <f t="shared" si="2"/>
        <v>45</v>
      </c>
      <c r="GP3" s="197">
        <f t="shared" si="2"/>
        <v>46</v>
      </c>
      <c r="GQ3" s="197">
        <f t="shared" si="2"/>
        <v>47</v>
      </c>
      <c r="GR3" s="197">
        <f t="shared" si="2"/>
        <v>48</v>
      </c>
      <c r="GS3" s="197">
        <f t="shared" si="2"/>
        <v>49</v>
      </c>
      <c r="GT3" s="197">
        <f t="shared" si="2"/>
        <v>50</v>
      </c>
      <c r="GU3" s="197">
        <f t="shared" si="2"/>
        <v>51</v>
      </c>
      <c r="GV3" s="197">
        <f t="shared" si="2"/>
        <v>52</v>
      </c>
      <c r="GW3" s="197">
        <f t="shared" si="2"/>
        <v>53</v>
      </c>
      <c r="GX3" s="197">
        <f t="shared" si="2"/>
        <v>54</v>
      </c>
      <c r="GY3" s="197">
        <f t="shared" si="2"/>
        <v>55</v>
      </c>
      <c r="GZ3" s="197">
        <f t="shared" si="2"/>
        <v>56</v>
      </c>
      <c r="HA3" s="197">
        <f t="shared" si="2"/>
        <v>57</v>
      </c>
      <c r="HB3" s="197">
        <f t="shared" si="2"/>
        <v>58</v>
      </c>
      <c r="HC3" s="197">
        <f t="shared" si="2"/>
        <v>59</v>
      </c>
      <c r="HD3" s="197">
        <f t="shared" si="2"/>
        <v>60</v>
      </c>
      <c r="HE3" s="197">
        <f t="shared" si="2"/>
        <v>61</v>
      </c>
      <c r="HF3" s="197">
        <f t="shared" si="2"/>
        <v>62</v>
      </c>
      <c r="HG3" s="197">
        <f t="shared" si="2"/>
        <v>63</v>
      </c>
      <c r="HH3" s="197">
        <f t="shared" si="2"/>
        <v>64</v>
      </c>
      <c r="HI3" s="197">
        <f t="shared" si="3"/>
        <v>65</v>
      </c>
      <c r="HJ3" s="197">
        <f t="shared" si="3"/>
        <v>66</v>
      </c>
      <c r="HK3" s="197">
        <f t="shared" si="3"/>
        <v>67</v>
      </c>
      <c r="HL3" s="197">
        <f t="shared" si="3"/>
        <v>68</v>
      </c>
      <c r="HM3" s="197">
        <f t="shared" si="3"/>
        <v>69</v>
      </c>
      <c r="HN3" s="197">
        <f t="shared" si="3"/>
        <v>70</v>
      </c>
      <c r="HO3" s="197">
        <f t="shared" si="3"/>
        <v>71</v>
      </c>
      <c r="HP3" s="197">
        <f t="shared" si="3"/>
        <v>72</v>
      </c>
      <c r="HQ3" s="197">
        <f t="shared" si="3"/>
        <v>73</v>
      </c>
      <c r="HR3" s="197">
        <f t="shared" si="3"/>
        <v>74</v>
      </c>
      <c r="HS3" s="197">
        <f t="shared" si="3"/>
        <v>75</v>
      </c>
      <c r="HT3" s="197">
        <f t="shared" si="3"/>
        <v>76</v>
      </c>
      <c r="HU3" s="197">
        <f t="shared" si="3"/>
        <v>77</v>
      </c>
      <c r="HV3" s="197">
        <f t="shared" si="3"/>
        <v>78</v>
      </c>
      <c r="HW3" s="197">
        <f t="shared" si="3"/>
        <v>79</v>
      </c>
      <c r="HX3" s="197">
        <f t="shared" si="3"/>
        <v>80</v>
      </c>
      <c r="HY3" s="197">
        <f t="shared" si="3"/>
        <v>81</v>
      </c>
      <c r="HZ3" s="197">
        <f t="shared" si="3"/>
        <v>82</v>
      </c>
      <c r="IA3" s="197">
        <f t="shared" si="3"/>
        <v>83</v>
      </c>
      <c r="IB3" s="197">
        <f t="shared" si="3"/>
        <v>84</v>
      </c>
      <c r="IC3" s="197">
        <f t="shared" si="3"/>
        <v>85</v>
      </c>
      <c r="ID3" s="197">
        <f t="shared" si="3"/>
        <v>86</v>
      </c>
      <c r="IE3" s="197">
        <f t="shared" si="3"/>
        <v>87</v>
      </c>
      <c r="IF3" s="197">
        <f t="shared" si="3"/>
        <v>88</v>
      </c>
      <c r="IG3" s="197">
        <f t="shared" si="3"/>
        <v>89</v>
      </c>
      <c r="IH3" s="197">
        <f t="shared" si="3"/>
        <v>90</v>
      </c>
      <c r="II3" s="197">
        <f t="shared" si="3"/>
        <v>91</v>
      </c>
      <c r="IJ3" s="197">
        <f t="shared" si="3"/>
        <v>92</v>
      </c>
      <c r="IK3" s="197">
        <f t="shared" si="3"/>
        <v>93</v>
      </c>
      <c r="IL3" s="197">
        <f t="shared" si="3"/>
        <v>94</v>
      </c>
      <c r="IM3" s="197">
        <f t="shared" si="3"/>
        <v>95</v>
      </c>
      <c r="IN3" s="197">
        <f t="shared" si="3"/>
        <v>96</v>
      </c>
      <c r="IO3" s="197">
        <f t="shared" si="3"/>
        <v>97</v>
      </c>
      <c r="IP3" s="197">
        <f t="shared" si="3"/>
        <v>98</v>
      </c>
      <c r="IQ3" s="197">
        <f t="shared" si="3"/>
        <v>99</v>
      </c>
      <c r="IR3" s="197">
        <f t="shared" si="4"/>
        <v>100</v>
      </c>
      <c r="IS3" s="197">
        <f t="shared" si="4"/>
        <v>101</v>
      </c>
      <c r="IT3" s="197">
        <f t="shared" si="4"/>
        <v>102</v>
      </c>
      <c r="IU3" s="197">
        <f t="shared" si="4"/>
        <v>103</v>
      </c>
      <c r="IV3" s="197">
        <f t="shared" si="4"/>
        <v>104</v>
      </c>
      <c r="IW3" s="197">
        <f t="shared" si="4"/>
        <v>105</v>
      </c>
      <c r="IX3" s="197">
        <f t="shared" si="4"/>
        <v>106</v>
      </c>
      <c r="IY3" s="197">
        <f t="shared" si="4"/>
        <v>107</v>
      </c>
      <c r="IZ3" s="197">
        <f t="shared" si="4"/>
        <v>108</v>
      </c>
      <c r="JA3" s="197">
        <f t="shared" si="4"/>
        <v>109</v>
      </c>
      <c r="JB3" s="197">
        <f t="shared" si="5"/>
        <v>110</v>
      </c>
      <c r="JC3" s="197">
        <f t="shared" si="5"/>
        <v>111</v>
      </c>
      <c r="JD3" s="197">
        <f t="shared" si="5"/>
        <v>112</v>
      </c>
      <c r="JE3" s="197">
        <f t="shared" si="5"/>
        <v>113</v>
      </c>
      <c r="JF3" s="197">
        <f t="shared" si="5"/>
        <v>114</v>
      </c>
      <c r="JG3" s="197">
        <f t="shared" si="5"/>
        <v>115</v>
      </c>
      <c r="JH3" s="197">
        <f t="shared" si="5"/>
        <v>116</v>
      </c>
      <c r="JI3" s="197">
        <f t="shared" si="5"/>
        <v>117</v>
      </c>
      <c r="JJ3" s="197">
        <f t="shared" si="5"/>
        <v>118</v>
      </c>
      <c r="JK3" s="197">
        <f t="shared" si="5"/>
        <v>119</v>
      </c>
      <c r="JL3" s="197">
        <f t="shared" si="6"/>
        <v>120</v>
      </c>
      <c r="JM3" s="197">
        <f t="shared" si="6"/>
        <v>121</v>
      </c>
      <c r="JN3" s="197">
        <f t="shared" si="6"/>
        <v>122</v>
      </c>
      <c r="JO3" s="197">
        <f t="shared" si="6"/>
        <v>123</v>
      </c>
      <c r="JP3" s="197">
        <f t="shared" si="6"/>
        <v>124</v>
      </c>
      <c r="JQ3" s="197">
        <f t="shared" si="6"/>
        <v>125</v>
      </c>
      <c r="JR3" s="197">
        <f t="shared" si="6"/>
        <v>126</v>
      </c>
      <c r="JS3" s="197">
        <f t="shared" si="6"/>
        <v>127</v>
      </c>
      <c r="JT3" s="197">
        <f t="shared" si="6"/>
        <v>128</v>
      </c>
      <c r="JU3" s="197">
        <f t="shared" si="6"/>
        <v>129</v>
      </c>
      <c r="JV3" s="197">
        <f t="shared" si="7"/>
        <v>130</v>
      </c>
      <c r="JW3" s="197">
        <f t="shared" si="7"/>
        <v>131</v>
      </c>
      <c r="JX3" s="197">
        <f t="shared" si="7"/>
        <v>132</v>
      </c>
      <c r="JY3"/>
      <c r="JZ3" s="262"/>
      <c r="KA3" s="262"/>
      <c r="KB3" s="262"/>
      <c r="KC3" s="262"/>
      <c r="KD3" s="262"/>
      <c r="KE3" s="262"/>
      <c r="KF3" s="197">
        <f t="shared" si="8"/>
        <v>0</v>
      </c>
      <c r="KG3" s="197">
        <f t="shared" si="8"/>
        <v>1</v>
      </c>
      <c r="KH3" s="197">
        <f t="shared" si="8"/>
        <v>2</v>
      </c>
      <c r="KI3" s="197">
        <f t="shared" si="8"/>
        <v>3</v>
      </c>
      <c r="KJ3" s="197">
        <f t="shared" si="8"/>
        <v>4</v>
      </c>
      <c r="KK3" s="197">
        <f t="shared" si="8"/>
        <v>5</v>
      </c>
      <c r="KL3" s="197">
        <f t="shared" si="8"/>
        <v>6</v>
      </c>
      <c r="KM3" s="197">
        <f t="shared" si="8"/>
        <v>7</v>
      </c>
      <c r="KN3" s="197">
        <f t="shared" si="8"/>
        <v>8</v>
      </c>
      <c r="KO3" s="197">
        <f t="shared" si="8"/>
        <v>9</v>
      </c>
      <c r="KP3" s="197">
        <f t="shared" si="9"/>
        <v>10</v>
      </c>
      <c r="KQ3" s="197">
        <f t="shared" si="9"/>
        <v>11</v>
      </c>
      <c r="KR3" s="197">
        <f t="shared" si="9"/>
        <v>12</v>
      </c>
      <c r="KS3" s="197">
        <f t="shared" si="9"/>
        <v>13</v>
      </c>
      <c r="KT3" s="197">
        <f t="shared" si="9"/>
        <v>14</v>
      </c>
      <c r="KU3" s="197">
        <f t="shared" si="9"/>
        <v>15</v>
      </c>
      <c r="KV3" s="197">
        <f t="shared" si="9"/>
        <v>16</v>
      </c>
      <c r="KW3" s="197">
        <f t="shared" si="9"/>
        <v>17</v>
      </c>
      <c r="KX3" s="197">
        <f t="shared" si="9"/>
        <v>18</v>
      </c>
      <c r="KY3" s="197">
        <f t="shared" si="9"/>
        <v>19</v>
      </c>
      <c r="KZ3" s="197">
        <f t="shared" si="10"/>
        <v>20</v>
      </c>
      <c r="LA3" s="197">
        <f t="shared" si="10"/>
        <v>21</v>
      </c>
      <c r="LB3" s="197">
        <f t="shared" si="10"/>
        <v>22</v>
      </c>
      <c r="LC3" s="197">
        <f t="shared" si="10"/>
        <v>23</v>
      </c>
      <c r="LD3" s="197">
        <f t="shared" si="10"/>
        <v>24</v>
      </c>
      <c r="LE3" s="197">
        <f t="shared" si="10"/>
        <v>25</v>
      </c>
      <c r="LF3" s="197">
        <f t="shared" si="10"/>
        <v>26</v>
      </c>
      <c r="LG3" s="197">
        <f t="shared" si="10"/>
        <v>27</v>
      </c>
      <c r="LH3" s="197">
        <f t="shared" si="10"/>
        <v>28</v>
      </c>
      <c r="LI3" s="197">
        <f t="shared" si="10"/>
        <v>29</v>
      </c>
      <c r="LJ3" s="197">
        <f t="shared" si="11"/>
        <v>30</v>
      </c>
      <c r="LK3" s="197">
        <f t="shared" si="11"/>
        <v>31</v>
      </c>
      <c r="LL3" s="197">
        <f t="shared" si="11"/>
        <v>32</v>
      </c>
      <c r="LM3" s="197">
        <f t="shared" si="11"/>
        <v>33</v>
      </c>
      <c r="LN3" s="197">
        <f t="shared" si="11"/>
        <v>34</v>
      </c>
      <c r="LO3" s="197">
        <f t="shared" si="11"/>
        <v>35</v>
      </c>
      <c r="LP3" s="197">
        <f t="shared" si="11"/>
        <v>36</v>
      </c>
      <c r="LQ3" s="197">
        <f t="shared" si="11"/>
        <v>37</v>
      </c>
      <c r="LR3" s="197">
        <f t="shared" si="11"/>
        <v>38</v>
      </c>
      <c r="LS3" s="197">
        <f t="shared" si="11"/>
        <v>39</v>
      </c>
      <c r="LT3" s="197">
        <f t="shared" si="12"/>
        <v>40</v>
      </c>
      <c r="LU3" s="197">
        <f t="shared" si="12"/>
        <v>41</v>
      </c>
      <c r="LV3" s="197">
        <f t="shared" si="12"/>
        <v>42</v>
      </c>
      <c r="LW3" s="197">
        <f t="shared" si="12"/>
        <v>43</v>
      </c>
      <c r="LX3" s="197">
        <f t="shared" si="12"/>
        <v>44</v>
      </c>
      <c r="LY3" s="197">
        <f t="shared" si="12"/>
        <v>45</v>
      </c>
      <c r="LZ3" s="197">
        <f t="shared" si="12"/>
        <v>46</v>
      </c>
      <c r="MA3" s="197">
        <f t="shared" si="12"/>
        <v>47</v>
      </c>
      <c r="MB3" s="197">
        <f t="shared" si="12"/>
        <v>48</v>
      </c>
      <c r="MC3" s="197">
        <f t="shared" si="12"/>
        <v>49</v>
      </c>
      <c r="MD3" s="197">
        <f t="shared" si="13"/>
        <v>50</v>
      </c>
      <c r="ME3" s="197">
        <f t="shared" si="13"/>
        <v>51</v>
      </c>
      <c r="MF3" s="197">
        <f t="shared" si="13"/>
        <v>52</v>
      </c>
      <c r="MG3" s="197">
        <f t="shared" si="13"/>
        <v>53</v>
      </c>
      <c r="MH3" s="197">
        <f t="shared" si="13"/>
        <v>54</v>
      </c>
      <c r="MI3" s="197">
        <f t="shared" si="13"/>
        <v>55</v>
      </c>
      <c r="MJ3" s="197">
        <f t="shared" si="13"/>
        <v>56</v>
      </c>
      <c r="MK3" s="197">
        <f t="shared" si="13"/>
        <v>57</v>
      </c>
      <c r="ML3" s="197">
        <f t="shared" si="13"/>
        <v>58</v>
      </c>
      <c r="MM3" s="197">
        <f t="shared" si="13"/>
        <v>59</v>
      </c>
      <c r="MN3" s="197">
        <f t="shared" si="14"/>
        <v>60</v>
      </c>
      <c r="MO3" s="197">
        <f t="shared" si="14"/>
        <v>61</v>
      </c>
      <c r="MP3" s="197">
        <f t="shared" si="14"/>
        <v>62</v>
      </c>
      <c r="MQ3" s="197">
        <f t="shared" si="14"/>
        <v>63</v>
      </c>
      <c r="MR3" s="197">
        <f t="shared" si="14"/>
        <v>64</v>
      </c>
      <c r="MS3" s="197">
        <f t="shared" si="14"/>
        <v>65</v>
      </c>
      <c r="MT3" s="197">
        <f t="shared" si="14"/>
        <v>66</v>
      </c>
      <c r="MU3" s="197">
        <f t="shared" si="14"/>
        <v>67</v>
      </c>
      <c r="MV3" s="197">
        <f t="shared" si="14"/>
        <v>68</v>
      </c>
      <c r="MW3" s="197">
        <f t="shared" si="14"/>
        <v>69</v>
      </c>
      <c r="MX3" s="197">
        <f t="shared" si="15"/>
        <v>70</v>
      </c>
      <c r="MY3" s="197">
        <f t="shared" si="15"/>
        <v>71</v>
      </c>
      <c r="MZ3" s="197">
        <f t="shared" si="15"/>
        <v>72</v>
      </c>
      <c r="NA3" s="197">
        <f t="shared" si="15"/>
        <v>73</v>
      </c>
      <c r="NB3" s="197">
        <f t="shared" si="15"/>
        <v>74</v>
      </c>
      <c r="NC3" s="197">
        <f t="shared" si="15"/>
        <v>75</v>
      </c>
      <c r="ND3" s="197">
        <f t="shared" si="15"/>
        <v>76</v>
      </c>
      <c r="NE3" s="197">
        <f t="shared" si="15"/>
        <v>77</v>
      </c>
      <c r="NF3" s="197">
        <f t="shared" si="15"/>
        <v>78</v>
      </c>
      <c r="NG3" s="197">
        <f t="shared" si="15"/>
        <v>79</v>
      </c>
      <c r="NH3" s="197">
        <f t="shared" si="16"/>
        <v>80</v>
      </c>
      <c r="NI3" s="197">
        <f t="shared" si="16"/>
        <v>81</v>
      </c>
      <c r="NJ3" s="197">
        <f t="shared" si="16"/>
        <v>82</v>
      </c>
      <c r="NK3" s="197">
        <f t="shared" si="16"/>
        <v>83</v>
      </c>
      <c r="NL3" s="197">
        <f t="shared" si="16"/>
        <v>84</v>
      </c>
      <c r="NM3" s="197">
        <f t="shared" si="16"/>
        <v>85</v>
      </c>
      <c r="NN3" s="197">
        <f t="shared" si="16"/>
        <v>86</v>
      </c>
      <c r="NO3" s="197">
        <f t="shared" si="16"/>
        <v>87</v>
      </c>
      <c r="NP3" s="197">
        <f t="shared" si="16"/>
        <v>88</v>
      </c>
      <c r="NQ3" s="197">
        <f t="shared" si="16"/>
        <v>89</v>
      </c>
      <c r="NR3" s="197">
        <f t="shared" si="17"/>
        <v>90</v>
      </c>
      <c r="NS3" s="197">
        <f t="shared" si="17"/>
        <v>91</v>
      </c>
      <c r="NT3" s="197">
        <f t="shared" si="17"/>
        <v>92</v>
      </c>
      <c r="NU3" s="197">
        <f t="shared" si="17"/>
        <v>93</v>
      </c>
      <c r="NV3" s="197">
        <f t="shared" si="17"/>
        <v>94</v>
      </c>
      <c r="NW3" s="197">
        <f t="shared" si="17"/>
        <v>95</v>
      </c>
      <c r="NX3" s="197">
        <f t="shared" si="17"/>
        <v>96</v>
      </c>
      <c r="NY3" s="197">
        <f t="shared" si="17"/>
        <v>97</v>
      </c>
      <c r="NZ3" s="197">
        <f t="shared" si="17"/>
        <v>98</v>
      </c>
      <c r="OA3" s="197">
        <f t="shared" si="17"/>
        <v>99</v>
      </c>
      <c r="OB3" s="197">
        <f t="shared" si="18"/>
        <v>100</v>
      </c>
      <c r="OC3" s="197">
        <f t="shared" si="18"/>
        <v>101</v>
      </c>
      <c r="OD3" s="197">
        <f t="shared" si="18"/>
        <v>102</v>
      </c>
      <c r="OE3" s="197">
        <f t="shared" si="18"/>
        <v>103</v>
      </c>
      <c r="OF3" s="197">
        <f t="shared" si="18"/>
        <v>104</v>
      </c>
      <c r="OG3" s="197">
        <f t="shared" si="18"/>
        <v>105</v>
      </c>
      <c r="OH3" s="197">
        <f t="shared" si="18"/>
        <v>106</v>
      </c>
      <c r="OI3" s="197">
        <f t="shared" si="18"/>
        <v>107</v>
      </c>
      <c r="OJ3" s="197">
        <f t="shared" si="18"/>
        <v>108</v>
      </c>
      <c r="OK3" s="197">
        <f t="shared" si="18"/>
        <v>109</v>
      </c>
      <c r="OL3" s="197">
        <f t="shared" si="19"/>
        <v>110</v>
      </c>
      <c r="OM3" s="197">
        <f t="shared" si="19"/>
        <v>111</v>
      </c>
      <c r="ON3" s="197">
        <f t="shared" si="19"/>
        <v>112</v>
      </c>
      <c r="OO3" s="197">
        <f t="shared" si="19"/>
        <v>113</v>
      </c>
      <c r="OP3" s="197">
        <f t="shared" si="19"/>
        <v>114</v>
      </c>
      <c r="OQ3" s="197">
        <f t="shared" si="19"/>
        <v>115</v>
      </c>
      <c r="OR3" s="197">
        <f t="shared" si="19"/>
        <v>116</v>
      </c>
      <c r="OS3" s="197">
        <f t="shared" si="19"/>
        <v>117</v>
      </c>
      <c r="OT3" s="197">
        <f t="shared" si="19"/>
        <v>118</v>
      </c>
      <c r="OU3" s="197">
        <f t="shared" si="19"/>
        <v>119</v>
      </c>
      <c r="OV3" s="197">
        <f t="shared" si="20"/>
        <v>120</v>
      </c>
      <c r="OW3" s="197">
        <f t="shared" si="20"/>
        <v>121</v>
      </c>
      <c r="OX3" s="197">
        <f t="shared" si="20"/>
        <v>122</v>
      </c>
      <c r="OY3" s="197">
        <f t="shared" si="20"/>
        <v>123</v>
      </c>
      <c r="OZ3" s="197">
        <f t="shared" si="20"/>
        <v>124</v>
      </c>
      <c r="PA3" s="197">
        <f t="shared" si="20"/>
        <v>125</v>
      </c>
      <c r="PB3" s="197">
        <f t="shared" si="20"/>
        <v>126</v>
      </c>
      <c r="PC3" s="197">
        <f t="shared" si="20"/>
        <v>127</v>
      </c>
      <c r="PD3" s="197">
        <f t="shared" si="20"/>
        <v>128</v>
      </c>
      <c r="PE3" s="197">
        <f t="shared" si="20"/>
        <v>129</v>
      </c>
      <c r="PF3" s="197">
        <f t="shared" si="21"/>
        <v>130</v>
      </c>
      <c r="PG3" s="197">
        <f t="shared" si="21"/>
        <v>131</v>
      </c>
      <c r="PH3" s="197">
        <f t="shared" si="21"/>
        <v>132</v>
      </c>
    </row>
    <row r="4" spans="1:424" x14ac:dyDescent="0.35">
      <c r="A4"/>
      <c r="B4"/>
      <c r="C4"/>
      <c r="D4"/>
      <c r="E4"/>
      <c r="F4"/>
      <c r="G4"/>
      <c r="H4"/>
      <c r="I4"/>
      <c r="J4"/>
      <c r="K4" s="616" t="s">
        <v>95</v>
      </c>
      <c r="L4" s="889" t="str">
        <f t="shared" ref="L4:AQ4" si="24">IF(L$24="","",IF(L$24&lt;=$E$13,"Actual","Forecast"))</f>
        <v>Actual</v>
      </c>
      <c r="M4" s="889" t="str">
        <f t="shared" si="24"/>
        <v>Forecast</v>
      </c>
      <c r="N4" s="889" t="str">
        <f t="shared" si="24"/>
        <v>Forecast</v>
      </c>
      <c r="O4" s="889" t="str">
        <f t="shared" si="24"/>
        <v>Forecast</v>
      </c>
      <c r="P4" s="889" t="str">
        <f t="shared" si="24"/>
        <v>Forecast</v>
      </c>
      <c r="Q4" s="889" t="str">
        <f t="shared" si="24"/>
        <v>Forecast</v>
      </c>
      <c r="R4" s="889" t="str">
        <f t="shared" si="24"/>
        <v>Forecast</v>
      </c>
      <c r="S4" s="889" t="str">
        <f t="shared" si="24"/>
        <v>Forecast</v>
      </c>
      <c r="T4" s="889" t="str">
        <f t="shared" si="24"/>
        <v>Forecast</v>
      </c>
      <c r="U4" s="889" t="str">
        <f t="shared" si="24"/>
        <v>Forecast</v>
      </c>
      <c r="V4" s="889" t="str">
        <f t="shared" si="24"/>
        <v>Forecast</v>
      </c>
      <c r="W4" s="889" t="str">
        <f t="shared" si="24"/>
        <v>Forecast</v>
      </c>
      <c r="X4" s="889" t="str">
        <f t="shared" si="24"/>
        <v>Forecast</v>
      </c>
      <c r="Y4" s="889" t="str">
        <f t="shared" si="24"/>
        <v>Forecast</v>
      </c>
      <c r="Z4" s="889" t="str">
        <f t="shared" si="24"/>
        <v>Forecast</v>
      </c>
      <c r="AA4" s="889" t="str">
        <f t="shared" si="24"/>
        <v>Forecast</v>
      </c>
      <c r="AB4" s="889" t="str">
        <f t="shared" si="24"/>
        <v>Forecast</v>
      </c>
      <c r="AC4" s="889" t="str">
        <f t="shared" si="24"/>
        <v>Forecast</v>
      </c>
      <c r="AD4" s="889" t="str">
        <f t="shared" si="24"/>
        <v>Forecast</v>
      </c>
      <c r="AE4" s="889" t="str">
        <f t="shared" si="24"/>
        <v>Forecast</v>
      </c>
      <c r="AF4" s="889" t="str">
        <f t="shared" si="24"/>
        <v>Forecast</v>
      </c>
      <c r="AG4" s="889" t="str">
        <f t="shared" si="24"/>
        <v>Forecast</v>
      </c>
      <c r="AH4" s="889" t="str">
        <f t="shared" si="24"/>
        <v>Forecast</v>
      </c>
      <c r="AI4" s="889" t="str">
        <f t="shared" si="24"/>
        <v>Forecast</v>
      </c>
      <c r="AJ4" s="889" t="str">
        <f t="shared" si="24"/>
        <v>Forecast</v>
      </c>
      <c r="AK4" s="889" t="str">
        <f t="shared" si="24"/>
        <v>Forecast</v>
      </c>
      <c r="AL4" s="889" t="str">
        <f t="shared" si="24"/>
        <v>Forecast</v>
      </c>
      <c r="AM4" s="889" t="str">
        <f t="shared" si="24"/>
        <v>Forecast</v>
      </c>
      <c r="AN4" s="889" t="str">
        <f t="shared" si="24"/>
        <v>Forecast</v>
      </c>
      <c r="AO4" s="889" t="str">
        <f t="shared" si="24"/>
        <v>Forecast</v>
      </c>
      <c r="AP4" s="889" t="str">
        <f t="shared" si="24"/>
        <v>Forecast</v>
      </c>
      <c r="AQ4" s="889" t="str">
        <f t="shared" si="24"/>
        <v>Forecast</v>
      </c>
      <c r="AR4" s="889" t="str">
        <f t="shared" ref="AR4:BW4" si="25">IF(AR$24="","",IF(AR$24&lt;=$E$13,"Actual","Forecast"))</f>
        <v>Forecast</v>
      </c>
      <c r="AS4" s="889" t="str">
        <f t="shared" si="25"/>
        <v>Forecast</v>
      </c>
      <c r="AT4" s="889" t="str">
        <f t="shared" si="25"/>
        <v>Forecast</v>
      </c>
      <c r="AU4" s="889" t="str">
        <f t="shared" si="25"/>
        <v>Forecast</v>
      </c>
      <c r="AV4" s="889" t="str">
        <f t="shared" si="25"/>
        <v>Forecast</v>
      </c>
      <c r="AW4" s="889" t="str">
        <f t="shared" si="25"/>
        <v>Forecast</v>
      </c>
      <c r="AX4" s="889" t="str">
        <f t="shared" si="25"/>
        <v>Forecast</v>
      </c>
      <c r="AY4" s="889" t="str">
        <f t="shared" si="25"/>
        <v>Forecast</v>
      </c>
      <c r="AZ4" s="889" t="str">
        <f t="shared" si="25"/>
        <v>Forecast</v>
      </c>
      <c r="BA4" s="889" t="str">
        <f t="shared" si="25"/>
        <v>Forecast</v>
      </c>
      <c r="BB4" s="889" t="str">
        <f t="shared" si="25"/>
        <v>Forecast</v>
      </c>
      <c r="BC4" s="889" t="str">
        <f t="shared" si="25"/>
        <v>Forecast</v>
      </c>
      <c r="BD4" s="889" t="str">
        <f t="shared" si="25"/>
        <v>Forecast</v>
      </c>
      <c r="BE4" s="889" t="str">
        <f t="shared" si="25"/>
        <v>Forecast</v>
      </c>
      <c r="BF4" s="889" t="str">
        <f t="shared" si="25"/>
        <v>Forecast</v>
      </c>
      <c r="BG4" s="889" t="str">
        <f t="shared" si="25"/>
        <v>Forecast</v>
      </c>
      <c r="BH4" s="889" t="str">
        <f t="shared" si="25"/>
        <v>Forecast</v>
      </c>
      <c r="BI4" s="889" t="str">
        <f t="shared" si="25"/>
        <v>Forecast</v>
      </c>
      <c r="BJ4" s="889" t="str">
        <f t="shared" si="25"/>
        <v>Forecast</v>
      </c>
      <c r="BK4" s="889" t="str">
        <f t="shared" si="25"/>
        <v>Forecast</v>
      </c>
      <c r="BL4" s="889" t="str">
        <f t="shared" si="25"/>
        <v>Forecast</v>
      </c>
      <c r="BM4" s="889" t="str">
        <f t="shared" si="25"/>
        <v>Forecast</v>
      </c>
      <c r="BN4" s="889" t="str">
        <f t="shared" si="25"/>
        <v>Forecast</v>
      </c>
      <c r="BO4" s="889" t="str">
        <f t="shared" si="25"/>
        <v>Forecast</v>
      </c>
      <c r="BP4" s="889" t="str">
        <f t="shared" si="25"/>
        <v>Forecast</v>
      </c>
      <c r="BQ4" s="889" t="str">
        <f t="shared" si="25"/>
        <v>Forecast</v>
      </c>
      <c r="BR4" s="889" t="str">
        <f t="shared" si="25"/>
        <v>Forecast</v>
      </c>
      <c r="BS4" s="889" t="str">
        <f t="shared" si="25"/>
        <v>Forecast</v>
      </c>
      <c r="BT4" s="889" t="str">
        <f t="shared" si="25"/>
        <v>Forecast</v>
      </c>
      <c r="BU4" s="889" t="str">
        <f t="shared" si="25"/>
        <v>Forecast</v>
      </c>
      <c r="BV4" s="889" t="str">
        <f t="shared" si="25"/>
        <v>Forecast</v>
      </c>
      <c r="BW4" s="889" t="str">
        <f t="shared" si="25"/>
        <v>Forecast</v>
      </c>
      <c r="BX4" s="889" t="str">
        <f t="shared" ref="BX4:DC4" si="26">IF(BX$24="","",IF(BX$24&lt;=$E$13,"Actual","Forecast"))</f>
        <v>Forecast</v>
      </c>
      <c r="BY4" s="889" t="str">
        <f t="shared" si="26"/>
        <v>Forecast</v>
      </c>
      <c r="BZ4" s="889" t="str">
        <f t="shared" si="26"/>
        <v>Forecast</v>
      </c>
      <c r="CA4" s="889" t="str">
        <f t="shared" si="26"/>
        <v>Forecast</v>
      </c>
      <c r="CB4" s="889" t="str">
        <f t="shared" si="26"/>
        <v>Forecast</v>
      </c>
      <c r="CC4" s="889" t="str">
        <f t="shared" si="26"/>
        <v>Forecast</v>
      </c>
      <c r="CD4" s="889" t="str">
        <f t="shared" si="26"/>
        <v>Forecast</v>
      </c>
      <c r="CE4" s="889" t="str">
        <f t="shared" si="26"/>
        <v>Forecast</v>
      </c>
      <c r="CF4" s="889" t="str">
        <f t="shared" si="26"/>
        <v>Forecast</v>
      </c>
      <c r="CG4" s="889" t="str">
        <f t="shared" si="26"/>
        <v>Forecast</v>
      </c>
      <c r="CH4" s="889" t="str">
        <f t="shared" si="26"/>
        <v>Forecast</v>
      </c>
      <c r="CI4" s="889" t="str">
        <f t="shared" si="26"/>
        <v>Forecast</v>
      </c>
      <c r="CJ4" s="889" t="str">
        <f t="shared" si="26"/>
        <v>Forecast</v>
      </c>
      <c r="CK4" s="889" t="str">
        <f t="shared" si="26"/>
        <v>Forecast</v>
      </c>
      <c r="CL4" s="889" t="str">
        <f t="shared" si="26"/>
        <v>Forecast</v>
      </c>
      <c r="CM4" s="889" t="str">
        <f t="shared" si="26"/>
        <v>Forecast</v>
      </c>
      <c r="CN4" s="889" t="str">
        <f t="shared" si="26"/>
        <v>Forecast</v>
      </c>
      <c r="CO4" s="889" t="str">
        <f t="shared" si="26"/>
        <v>Forecast</v>
      </c>
      <c r="CP4" s="889" t="str">
        <f t="shared" si="26"/>
        <v>Forecast</v>
      </c>
      <c r="CQ4" s="889" t="str">
        <f t="shared" si="26"/>
        <v>Forecast</v>
      </c>
      <c r="CR4" s="889" t="str">
        <f t="shared" si="26"/>
        <v>Forecast</v>
      </c>
      <c r="CS4" s="889" t="str">
        <f t="shared" si="26"/>
        <v>Forecast</v>
      </c>
      <c r="CT4" s="889" t="str">
        <f t="shared" si="26"/>
        <v>Forecast</v>
      </c>
      <c r="CU4" s="889" t="str">
        <f t="shared" si="26"/>
        <v>Forecast</v>
      </c>
      <c r="CV4" s="889" t="str">
        <f t="shared" si="26"/>
        <v>Forecast</v>
      </c>
      <c r="CW4" s="889" t="str">
        <f t="shared" si="26"/>
        <v>Forecast</v>
      </c>
      <c r="CX4" s="889" t="str">
        <f t="shared" si="26"/>
        <v>Forecast</v>
      </c>
      <c r="CY4" s="889" t="str">
        <f t="shared" si="26"/>
        <v>Forecast</v>
      </c>
      <c r="CZ4" s="889" t="str">
        <f t="shared" si="26"/>
        <v>Forecast</v>
      </c>
      <c r="DA4" s="889" t="str">
        <f t="shared" si="26"/>
        <v>Forecast</v>
      </c>
      <c r="DB4" s="889" t="str">
        <f t="shared" si="26"/>
        <v>Forecast</v>
      </c>
      <c r="DC4" s="889" t="str">
        <f t="shared" si="26"/>
        <v>Forecast</v>
      </c>
      <c r="DD4" s="889" t="str">
        <f t="shared" ref="DD4:EN4" si="27">IF(DD$24="","",IF(DD$24&lt;=$E$13,"Actual","Forecast"))</f>
        <v>Forecast</v>
      </c>
      <c r="DE4" s="889" t="str">
        <f t="shared" si="27"/>
        <v>Forecast</v>
      </c>
      <c r="DF4" s="889" t="str">
        <f t="shared" si="27"/>
        <v>Forecast</v>
      </c>
      <c r="DG4" s="889" t="str">
        <f t="shared" si="27"/>
        <v>Forecast</v>
      </c>
      <c r="DH4" s="889" t="str">
        <f t="shared" si="27"/>
        <v>Forecast</v>
      </c>
      <c r="DI4" s="889" t="str">
        <f t="shared" si="27"/>
        <v>Forecast</v>
      </c>
      <c r="DJ4" s="889" t="str">
        <f t="shared" si="27"/>
        <v>Forecast</v>
      </c>
      <c r="DK4" s="889" t="str">
        <f t="shared" si="27"/>
        <v>Forecast</v>
      </c>
      <c r="DL4" s="889" t="str">
        <f t="shared" si="27"/>
        <v>Forecast</v>
      </c>
      <c r="DM4" s="889" t="str">
        <f t="shared" si="27"/>
        <v>Forecast</v>
      </c>
      <c r="DN4" s="889" t="str">
        <f t="shared" si="27"/>
        <v>Forecast</v>
      </c>
      <c r="DO4" s="889" t="str">
        <f t="shared" si="27"/>
        <v>Forecast</v>
      </c>
      <c r="DP4" s="889" t="str">
        <f t="shared" si="27"/>
        <v>Forecast</v>
      </c>
      <c r="DQ4" s="889" t="str">
        <f t="shared" si="27"/>
        <v>Forecast</v>
      </c>
      <c r="DR4" s="889" t="str">
        <f t="shared" si="27"/>
        <v>Forecast</v>
      </c>
      <c r="DS4" s="889" t="str">
        <f t="shared" si="27"/>
        <v>Forecast</v>
      </c>
      <c r="DT4" s="889" t="str">
        <f t="shared" si="27"/>
        <v>Forecast</v>
      </c>
      <c r="DU4" s="889" t="str">
        <f t="shared" si="27"/>
        <v>Forecast</v>
      </c>
      <c r="DV4" s="889" t="str">
        <f t="shared" si="27"/>
        <v>Forecast</v>
      </c>
      <c r="DW4" s="889" t="str">
        <f t="shared" si="27"/>
        <v>Forecast</v>
      </c>
      <c r="DX4" s="889" t="str">
        <f t="shared" si="27"/>
        <v>Forecast</v>
      </c>
      <c r="DY4" s="889" t="str">
        <f t="shared" si="27"/>
        <v>Forecast</v>
      </c>
      <c r="DZ4" s="889" t="str">
        <f t="shared" si="27"/>
        <v>Forecast</v>
      </c>
      <c r="EA4" s="889" t="str">
        <f t="shared" si="27"/>
        <v>Forecast</v>
      </c>
      <c r="EB4" s="889" t="str">
        <f t="shared" si="27"/>
        <v>Forecast</v>
      </c>
      <c r="EC4" s="889" t="str">
        <f t="shared" si="27"/>
        <v>Forecast</v>
      </c>
      <c r="ED4" s="889" t="str">
        <f t="shared" si="27"/>
        <v>Forecast</v>
      </c>
      <c r="EE4" s="889" t="str">
        <f t="shared" si="27"/>
        <v>Forecast</v>
      </c>
      <c r="EF4" s="889" t="str">
        <f t="shared" si="27"/>
        <v>Forecast</v>
      </c>
      <c r="EG4" s="889" t="str">
        <f t="shared" si="27"/>
        <v>Forecast</v>
      </c>
      <c r="EH4" s="889" t="str">
        <f t="shared" si="27"/>
        <v>Forecast</v>
      </c>
      <c r="EI4" s="889" t="str">
        <f t="shared" si="27"/>
        <v>Forecast</v>
      </c>
      <c r="EJ4" s="889" t="str">
        <f t="shared" si="27"/>
        <v>Forecast</v>
      </c>
      <c r="EK4" s="889" t="str">
        <f t="shared" si="27"/>
        <v>Forecast</v>
      </c>
      <c r="EL4" s="889" t="str">
        <f t="shared" si="27"/>
        <v>Forecast</v>
      </c>
      <c r="EM4" s="889" t="str">
        <f t="shared" si="27"/>
        <v>Forecast</v>
      </c>
      <c r="EN4" s="889" t="str">
        <f t="shared" si="27"/>
        <v>Forecast</v>
      </c>
      <c r="EO4"/>
      <c r="EP4" s="219"/>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c r="JB4" s="18"/>
      <c r="JC4" s="18"/>
      <c r="JD4" s="18"/>
      <c r="JE4" s="18"/>
      <c r="JF4" s="18"/>
      <c r="JG4" s="18"/>
      <c r="JH4" s="18"/>
      <c r="JI4" s="18"/>
      <c r="JJ4" s="18"/>
      <c r="JK4" s="18"/>
      <c r="JL4" s="18"/>
      <c r="JM4" s="18"/>
      <c r="JN4" s="18"/>
      <c r="JO4" s="18"/>
      <c r="JP4" s="18"/>
      <c r="JQ4" s="18"/>
      <c r="JR4" s="18"/>
      <c r="JS4" s="18"/>
      <c r="JT4" s="18"/>
      <c r="JU4" s="18"/>
      <c r="JV4" s="18"/>
      <c r="JW4" s="18"/>
      <c r="JX4" s="18"/>
      <c r="JY4"/>
      <c r="JZ4" s="262"/>
      <c r="KA4" s="262"/>
      <c r="KB4" s="262"/>
      <c r="KC4" s="262"/>
      <c r="KD4" s="262"/>
      <c r="KE4" s="262"/>
      <c r="KF4" s="262"/>
      <c r="KG4" s="262"/>
      <c r="KH4" s="262"/>
      <c r="KI4" s="262"/>
      <c r="KJ4" s="262"/>
      <c r="KK4" s="262"/>
      <c r="KL4" s="262"/>
      <c r="KM4" s="262"/>
      <c r="KN4" s="262"/>
      <c r="KO4" s="262"/>
      <c r="KP4" s="262"/>
      <c r="KQ4" s="262"/>
      <c r="KR4" s="262"/>
      <c r="KS4" s="262"/>
      <c r="KT4" s="262"/>
      <c r="KU4" s="262"/>
      <c r="KV4" s="262"/>
      <c r="KW4" s="262"/>
      <c r="KX4" s="262"/>
      <c r="KY4" s="262"/>
      <c r="KZ4" s="262"/>
      <c r="LA4" s="262"/>
      <c r="LB4" s="262"/>
      <c r="LC4" s="262"/>
      <c r="LD4" s="262"/>
      <c r="LE4" s="262"/>
      <c r="LF4" s="262"/>
      <c r="LG4" s="262"/>
      <c r="LH4" s="262"/>
      <c r="LI4" s="262"/>
      <c r="LJ4" s="262"/>
      <c r="LK4" s="262"/>
      <c r="LL4" s="262"/>
      <c r="LM4" s="262"/>
      <c r="LN4" s="262"/>
      <c r="LO4" s="262"/>
      <c r="LP4" s="262"/>
      <c r="LQ4" s="262"/>
      <c r="LR4" s="262"/>
      <c r="LS4" s="262"/>
      <c r="LT4" s="262"/>
      <c r="LU4" s="262"/>
      <c r="LV4" s="262"/>
      <c r="LW4" s="262"/>
      <c r="LX4" s="262"/>
      <c r="LY4" s="262"/>
      <c r="LZ4" s="262"/>
      <c r="MA4" s="262"/>
      <c r="MB4" s="262"/>
      <c r="MC4" s="262"/>
      <c r="MD4" s="262"/>
      <c r="ME4" s="262"/>
      <c r="MF4" s="262"/>
      <c r="MG4" s="262"/>
      <c r="MH4" s="262"/>
      <c r="MI4" s="262"/>
      <c r="MJ4" s="262"/>
      <c r="MK4" s="262"/>
      <c r="ML4" s="262"/>
      <c r="MM4" s="262"/>
      <c r="MN4" s="262"/>
      <c r="MO4" s="262"/>
      <c r="MP4" s="262"/>
      <c r="MQ4" s="262"/>
      <c r="MR4" s="262"/>
      <c r="MS4" s="262"/>
      <c r="MT4" s="262"/>
      <c r="MU4" s="262"/>
      <c r="MV4" s="262"/>
      <c r="MW4" s="262"/>
      <c r="MX4" s="262"/>
      <c r="MY4" s="262"/>
      <c r="MZ4" s="262"/>
      <c r="NA4" s="262"/>
      <c r="NB4" s="262"/>
      <c r="NC4" s="262"/>
      <c r="ND4" s="262"/>
      <c r="NE4" s="262"/>
      <c r="NF4" s="262"/>
      <c r="NG4" s="262"/>
      <c r="NH4" s="262"/>
      <c r="NI4" s="262"/>
      <c r="NJ4" s="262"/>
      <c r="NK4" s="262"/>
      <c r="NL4" s="262"/>
      <c r="NM4" s="262"/>
      <c r="NN4" s="262"/>
      <c r="NO4" s="262"/>
      <c r="NP4" s="262"/>
      <c r="NQ4" s="262"/>
      <c r="NR4" s="262"/>
      <c r="NS4" s="262"/>
      <c r="NT4" s="262"/>
      <c r="NU4" s="262"/>
      <c r="NV4" s="262"/>
      <c r="NW4" s="262"/>
      <c r="NX4" s="262"/>
      <c r="NY4" s="262"/>
      <c r="NZ4" s="262"/>
      <c r="OA4" s="262"/>
      <c r="OB4" s="262"/>
      <c r="OC4" s="262"/>
      <c r="OD4" s="262"/>
      <c r="OE4" s="262"/>
      <c r="OF4" s="262"/>
      <c r="OG4" s="262"/>
      <c r="OH4" s="262"/>
      <c r="OI4" s="262"/>
      <c r="OJ4" s="262"/>
      <c r="OK4" s="262"/>
      <c r="OL4" s="262"/>
      <c r="OM4" s="262"/>
      <c r="ON4" s="262"/>
      <c r="OO4" s="262"/>
      <c r="OP4" s="262"/>
      <c r="OQ4" s="262"/>
      <c r="OR4" s="262"/>
      <c r="OS4" s="262"/>
      <c r="OT4" s="262"/>
      <c r="OU4" s="262"/>
      <c r="OV4" s="262"/>
      <c r="OW4" s="262"/>
      <c r="OX4" s="262"/>
      <c r="OY4" s="262"/>
      <c r="OZ4" s="262"/>
      <c r="PA4" s="262"/>
      <c r="PB4" s="262"/>
      <c r="PC4" s="262"/>
      <c r="PD4" s="262"/>
      <c r="PE4" s="262"/>
      <c r="PF4" s="262"/>
      <c r="PG4" s="262"/>
      <c r="PH4" s="262"/>
    </row>
    <row r="5" spans="1:424" s="29" customFormat="1" x14ac:dyDescent="0.35">
      <c r="A5" s="375"/>
      <c r="B5" s="376" t="s">
        <v>96</v>
      </c>
      <c r="C5" s="30">
        <f>H212</f>
        <v>2.9802322387695314E-9</v>
      </c>
      <c r="D5" s="31" t="s">
        <v>97</v>
      </c>
      <c r="E5" s="377">
        <f>G212</f>
        <v>3.6516197698477049</v>
      </c>
      <c r="F5" s="277">
        <f>Timing_Reversion_Month</f>
        <v>61</v>
      </c>
      <c r="G5" s="30"/>
      <c r="H5" s="376" t="s">
        <v>98</v>
      </c>
      <c r="I5" s="33">
        <f>H217</f>
        <v>344.53869737863295</v>
      </c>
      <c r="J5"/>
      <c r="K5" s="376"/>
      <c r="L5" s="376"/>
      <c r="M5" s="376"/>
      <c r="N5" s="376"/>
      <c r="O5" s="376"/>
      <c r="P5" s="376"/>
      <c r="Q5" s="376"/>
      <c r="R5" s="376"/>
      <c r="S5" s="376"/>
      <c r="T5" s="376"/>
      <c r="U5" s="376"/>
      <c r="V5" s="376"/>
      <c r="W5" s="376"/>
      <c r="X5" s="376"/>
      <c r="Y5" s="376"/>
      <c r="Z5" s="376"/>
      <c r="AA5" s="376"/>
      <c r="AB5" s="376"/>
      <c r="AC5" s="376"/>
      <c r="AD5" s="376"/>
      <c r="AE5" s="376"/>
      <c r="AF5" s="376"/>
      <c r="AG5" s="376"/>
      <c r="AH5" s="376"/>
      <c r="AI5" s="376"/>
      <c r="AJ5" s="376"/>
      <c r="AK5" s="376"/>
      <c r="AL5" s="376"/>
      <c r="AM5" s="376"/>
      <c r="AN5" s="376"/>
      <c r="AO5" s="376"/>
      <c r="AP5" s="376"/>
      <c r="AQ5" s="376"/>
      <c r="AR5" s="376"/>
      <c r="AS5" s="376"/>
      <c r="AT5" s="376"/>
      <c r="AU5" s="376"/>
      <c r="AV5" s="376"/>
      <c r="AW5" s="376"/>
      <c r="AX5" s="376"/>
      <c r="AY5" s="376"/>
      <c r="AZ5" s="376"/>
      <c r="BA5" s="376"/>
      <c r="BB5" s="376"/>
      <c r="BC5" s="376"/>
      <c r="BD5" s="376"/>
      <c r="BE5" s="376"/>
      <c r="BF5" s="376"/>
      <c r="BG5" s="376"/>
      <c r="BH5" s="376"/>
      <c r="BI5" s="376"/>
      <c r="BJ5" s="376"/>
      <c r="BK5" s="376"/>
      <c r="BL5" s="376"/>
      <c r="BM5" s="376"/>
      <c r="BN5" s="376"/>
      <c r="BO5" s="376"/>
      <c r="BP5" s="376"/>
      <c r="BQ5" s="376"/>
      <c r="BR5" s="376"/>
      <c r="BS5" s="376"/>
      <c r="BT5" s="376"/>
      <c r="BU5" s="376"/>
      <c r="BV5" s="376"/>
      <c r="BW5" s="376"/>
      <c r="BX5" s="376"/>
      <c r="BY5" s="376"/>
      <c r="BZ5" s="376"/>
      <c r="CA5" s="376"/>
      <c r="CB5" s="376"/>
      <c r="CC5" s="376"/>
      <c r="CD5" s="376"/>
      <c r="CE5" s="376"/>
      <c r="CF5" s="376"/>
      <c r="CG5" s="376"/>
      <c r="CH5" s="376"/>
      <c r="CI5" s="376"/>
      <c r="CJ5" s="376"/>
      <c r="CK5" s="376"/>
      <c r="CL5" s="376"/>
      <c r="CM5" s="376"/>
      <c r="CN5" s="376"/>
      <c r="CO5" s="376"/>
      <c r="CP5" s="376"/>
      <c r="CQ5" s="376"/>
      <c r="CR5" s="376"/>
      <c r="CS5" s="376"/>
      <c r="CT5" s="376"/>
      <c r="CU5" s="376"/>
      <c r="CV5" s="376"/>
      <c r="CW5" s="376"/>
      <c r="CX5" s="376"/>
      <c r="CY5" s="376"/>
      <c r="CZ5" s="376"/>
      <c r="DA5" s="376"/>
      <c r="DB5" s="376"/>
      <c r="DC5" s="376"/>
      <c r="DD5" s="376"/>
      <c r="DE5" s="376"/>
      <c r="DF5" s="376"/>
      <c r="DG5" s="376"/>
      <c r="DH5" s="376"/>
      <c r="DI5" s="376"/>
      <c r="DJ5" s="376"/>
      <c r="DK5" s="376"/>
      <c r="DL5" s="376"/>
      <c r="DM5" s="376"/>
      <c r="DN5" s="376"/>
      <c r="DO5" s="376"/>
      <c r="DP5" s="376"/>
      <c r="DQ5" s="376"/>
      <c r="DR5" s="376"/>
      <c r="DS5" s="376"/>
      <c r="DT5" s="376"/>
      <c r="DU5" s="376"/>
      <c r="DV5" s="376"/>
      <c r="DW5" s="376"/>
      <c r="DX5" s="376"/>
      <c r="DY5" s="376"/>
      <c r="DZ5" s="376"/>
      <c r="EA5" s="376"/>
      <c r="EB5" s="376"/>
      <c r="EC5" s="376"/>
      <c r="ED5" s="376"/>
      <c r="EE5" s="376"/>
      <c r="EF5" s="376"/>
      <c r="EG5" s="376"/>
      <c r="EH5" s="376"/>
      <c r="EI5" s="376"/>
      <c r="EJ5" s="376"/>
      <c r="EK5" s="376"/>
      <c r="EL5" s="376"/>
      <c r="EM5" s="378" t="s">
        <v>99</v>
      </c>
      <c r="EN5" s="379" t="s">
        <v>100</v>
      </c>
      <c r="EO5" s="380">
        <v>1</v>
      </c>
      <c r="EP5" s="381"/>
      <c r="EQ5" s="382"/>
      <c r="ER5" s="382"/>
      <c r="ES5" s="382"/>
      <c r="ET5" s="382"/>
      <c r="EU5" s="382"/>
      <c r="EV5" s="382"/>
      <c r="EW5" s="382"/>
      <c r="EX5" s="382"/>
      <c r="EY5" s="382"/>
      <c r="EZ5" s="382"/>
      <c r="FA5" s="382"/>
      <c r="FB5" s="382"/>
      <c r="FC5" s="382"/>
      <c r="FD5" s="382"/>
      <c r="FE5" s="382"/>
      <c r="FF5" s="382"/>
      <c r="FG5" s="382"/>
      <c r="FH5" s="382"/>
      <c r="FI5" s="382"/>
      <c r="FJ5" s="382"/>
      <c r="FK5" s="382"/>
      <c r="FL5" s="382"/>
      <c r="FM5" s="382"/>
      <c r="FN5" s="382"/>
      <c r="FO5" s="382"/>
      <c r="FP5" s="382"/>
      <c r="FQ5" s="382"/>
      <c r="FR5" s="382"/>
      <c r="FS5" s="382"/>
      <c r="FT5" s="382"/>
      <c r="FU5" s="382"/>
      <c r="FV5" s="382"/>
      <c r="FW5" s="382"/>
      <c r="FX5" s="382"/>
      <c r="FY5" s="382"/>
      <c r="FZ5" s="382"/>
      <c r="GA5" s="382"/>
      <c r="GB5" s="382"/>
      <c r="GC5" s="382"/>
      <c r="GD5" s="382"/>
      <c r="GE5" s="382"/>
      <c r="GF5" s="382"/>
      <c r="GG5" s="382"/>
      <c r="GH5" s="382"/>
      <c r="GI5" s="382"/>
      <c r="GJ5" s="382"/>
      <c r="GK5" s="382"/>
      <c r="GL5" s="382"/>
      <c r="GM5" s="382"/>
      <c r="GN5" s="382"/>
      <c r="GO5" s="382"/>
      <c r="GP5" s="382"/>
      <c r="GQ5" s="382"/>
      <c r="GR5" s="382"/>
      <c r="GS5" s="382"/>
      <c r="GT5" s="382"/>
      <c r="GU5" s="382"/>
      <c r="GV5" s="382"/>
      <c r="GW5" s="382"/>
      <c r="GX5" s="382"/>
      <c r="GY5" s="382"/>
      <c r="GZ5" s="382"/>
      <c r="HA5" s="382"/>
      <c r="HB5" s="382"/>
      <c r="HC5" s="382"/>
      <c r="HD5" s="382"/>
      <c r="HE5" s="382"/>
      <c r="HF5" s="382"/>
      <c r="HG5" s="382"/>
      <c r="HH5" s="382"/>
      <c r="HI5" s="382"/>
      <c r="HJ5" s="382"/>
      <c r="HK5" s="382"/>
      <c r="HL5" s="382"/>
      <c r="HM5" s="382"/>
      <c r="HN5" s="382"/>
      <c r="HO5" s="382"/>
      <c r="HP5" s="382"/>
      <c r="HQ5" s="382"/>
      <c r="HR5" s="382"/>
      <c r="HS5" s="382"/>
      <c r="HT5" s="382"/>
      <c r="HU5" s="382"/>
      <c r="HV5" s="382"/>
      <c r="HW5" s="382"/>
      <c r="HX5" s="382"/>
      <c r="HY5" s="382"/>
      <c r="HZ5" s="382"/>
      <c r="IA5" s="382"/>
      <c r="IB5" s="382"/>
      <c r="IC5" s="382"/>
      <c r="ID5" s="382"/>
      <c r="IE5" s="382"/>
      <c r="IF5" s="382"/>
      <c r="IG5" s="382"/>
      <c r="IH5" s="382"/>
      <c r="II5" s="382"/>
      <c r="IJ5" s="382"/>
      <c r="IK5" s="382"/>
      <c r="IL5" s="382"/>
      <c r="IM5" s="382"/>
      <c r="IN5" s="382"/>
      <c r="IO5" s="382"/>
      <c r="IP5" s="382"/>
      <c r="IQ5" s="382"/>
      <c r="IR5" s="382"/>
      <c r="IS5" s="382"/>
      <c r="IT5" s="382"/>
      <c r="IU5" s="382"/>
      <c r="IV5" s="382"/>
      <c r="IW5" s="382"/>
      <c r="IX5" s="382"/>
      <c r="IY5" s="382"/>
      <c r="IZ5" s="382"/>
      <c r="JA5" s="382"/>
      <c r="JB5" s="382"/>
      <c r="JC5" s="382"/>
      <c r="JD5" s="382"/>
      <c r="JE5" s="382"/>
      <c r="JF5" s="382"/>
      <c r="JG5" s="382"/>
      <c r="JH5" s="382"/>
      <c r="JI5" s="382"/>
      <c r="JJ5" s="382"/>
      <c r="JK5" s="382"/>
      <c r="JL5" s="382"/>
      <c r="JM5" s="382"/>
      <c r="JN5" s="382"/>
      <c r="JO5" s="382"/>
      <c r="JP5" s="382"/>
      <c r="JQ5" s="382"/>
      <c r="JR5" s="382"/>
      <c r="JS5" s="382"/>
      <c r="JT5" s="382"/>
      <c r="JU5" s="382"/>
      <c r="JV5" s="382"/>
      <c r="JW5" s="382"/>
      <c r="JX5" s="382"/>
      <c r="JY5"/>
      <c r="JZ5" s="383"/>
      <c r="KA5" s="383"/>
      <c r="KB5" s="383"/>
      <c r="KC5" s="383"/>
      <c r="KD5" s="383"/>
      <c r="KE5" s="383"/>
      <c r="KF5" s="383"/>
      <c r="KG5" s="383"/>
      <c r="KH5" s="383"/>
      <c r="KI5" s="383"/>
      <c r="KJ5" s="383"/>
      <c r="KK5" s="383"/>
      <c r="KL5" s="383"/>
      <c r="KM5" s="383"/>
      <c r="KN5" s="383"/>
      <c r="KO5" s="383"/>
      <c r="KP5" s="383"/>
      <c r="KQ5" s="383"/>
      <c r="KR5" s="383"/>
      <c r="KS5" s="383"/>
      <c r="KT5" s="383"/>
      <c r="KU5" s="383"/>
      <c r="KV5" s="383"/>
      <c r="KW5" s="383"/>
      <c r="KX5" s="383"/>
      <c r="KY5" s="383"/>
      <c r="KZ5" s="383"/>
      <c r="LA5" s="383"/>
      <c r="LB5" s="383"/>
      <c r="LC5" s="383"/>
      <c r="LD5" s="383"/>
      <c r="LE5" s="383"/>
      <c r="LF5" s="383"/>
      <c r="LG5" s="383"/>
      <c r="LH5" s="383"/>
      <c r="LI5" s="383"/>
      <c r="LJ5" s="383"/>
      <c r="LK5" s="383"/>
      <c r="LL5" s="383"/>
      <c r="LM5" s="383"/>
      <c r="LN5" s="383"/>
      <c r="LO5" s="383"/>
      <c r="LP5" s="383"/>
      <c r="LQ5" s="383"/>
      <c r="LR5" s="383"/>
      <c r="LS5" s="383"/>
      <c r="LT5" s="383"/>
      <c r="LU5" s="383"/>
      <c r="LV5" s="383"/>
      <c r="LW5" s="383"/>
      <c r="LX5" s="383"/>
      <c r="LY5" s="383"/>
      <c r="LZ5" s="383"/>
      <c r="MA5" s="383"/>
      <c r="MB5" s="383"/>
      <c r="MC5" s="383"/>
      <c r="MD5" s="383"/>
      <c r="ME5" s="383"/>
      <c r="MF5" s="383"/>
      <c r="MG5" s="383"/>
      <c r="MH5" s="383"/>
      <c r="MI5" s="383"/>
      <c r="MJ5" s="383"/>
      <c r="MK5" s="383"/>
      <c r="ML5" s="383"/>
      <c r="MM5" s="383"/>
      <c r="MN5" s="383"/>
      <c r="MO5" s="383"/>
      <c r="MP5" s="383"/>
      <c r="MQ5" s="383"/>
      <c r="MR5" s="383"/>
      <c r="MS5" s="383"/>
      <c r="MT5" s="383"/>
      <c r="MU5" s="383"/>
      <c r="MV5" s="383"/>
      <c r="MW5" s="383"/>
      <c r="MX5" s="383"/>
      <c r="MY5" s="383"/>
      <c r="MZ5" s="383"/>
      <c r="NA5" s="383"/>
      <c r="NB5" s="383"/>
      <c r="NC5" s="383"/>
      <c r="ND5" s="383"/>
      <c r="NE5" s="383"/>
      <c r="NF5" s="383"/>
      <c r="NG5" s="383"/>
      <c r="NH5" s="383"/>
      <c r="NI5" s="383"/>
      <c r="NJ5" s="383"/>
      <c r="NK5" s="383"/>
      <c r="NL5" s="383"/>
      <c r="NM5" s="383"/>
      <c r="NN5" s="383"/>
      <c r="NO5" s="383"/>
      <c r="NP5" s="383"/>
      <c r="NQ5" s="383"/>
      <c r="NR5" s="383"/>
      <c r="NS5" s="383"/>
      <c r="NT5" s="383"/>
      <c r="NU5" s="383"/>
      <c r="NV5" s="383"/>
      <c r="NW5" s="383"/>
      <c r="NX5" s="383"/>
      <c r="NY5" s="383"/>
      <c r="NZ5" s="383"/>
      <c r="OA5" s="383"/>
      <c r="OB5" s="383"/>
      <c r="OC5" s="383"/>
      <c r="OD5" s="383"/>
      <c r="OE5" s="383"/>
      <c r="OF5" s="383"/>
      <c r="OG5" s="383"/>
      <c r="OH5" s="383"/>
      <c r="OI5" s="383"/>
      <c r="OJ5" s="383"/>
      <c r="OK5" s="383"/>
      <c r="OL5" s="383"/>
      <c r="OM5" s="383"/>
      <c r="ON5" s="383"/>
      <c r="OO5" s="383"/>
      <c r="OP5" s="383"/>
      <c r="OQ5" s="383"/>
      <c r="OR5" s="383"/>
      <c r="OS5" s="383"/>
      <c r="OT5" s="383"/>
      <c r="OU5" s="383"/>
      <c r="OV5" s="383"/>
      <c r="OW5" s="383"/>
      <c r="OX5" s="383"/>
      <c r="OY5" s="383"/>
      <c r="OZ5" s="383"/>
      <c r="PA5" s="383"/>
      <c r="PB5" s="383"/>
      <c r="PC5" s="383"/>
      <c r="PD5" s="383"/>
      <c r="PE5" s="383"/>
      <c r="PF5" s="383"/>
      <c r="PG5" s="383"/>
      <c r="PH5" s="383"/>
    </row>
    <row r="6" spans="1:424" s="29" customFormat="1" x14ac:dyDescent="0.35">
      <c r="A6" s="375"/>
      <c r="B6" s="376"/>
      <c r="C6" s="30"/>
      <c r="D6" s="31"/>
      <c r="E6" s="32"/>
      <c r="F6" s="32"/>
      <c r="G6" s="30"/>
      <c r="H6" s="376"/>
      <c r="I6" s="33"/>
      <c r="J6"/>
      <c r="K6" s="376"/>
      <c r="L6" s="376"/>
      <c r="M6" s="376"/>
      <c r="N6" s="376"/>
      <c r="O6" s="376"/>
      <c r="P6" s="376"/>
      <c r="Q6" s="376"/>
      <c r="R6" s="376"/>
      <c r="S6" s="376"/>
      <c r="T6" s="376"/>
      <c r="U6" s="376"/>
      <c r="V6" s="376"/>
      <c r="W6" s="376"/>
      <c r="X6" s="376"/>
      <c r="Y6" s="376"/>
      <c r="Z6" s="376"/>
      <c r="AA6" s="376"/>
      <c r="AB6" s="376"/>
      <c r="AC6" s="376"/>
      <c r="AD6" s="376"/>
      <c r="AE6" s="376"/>
      <c r="AF6" s="376"/>
      <c r="AG6" s="376"/>
      <c r="AH6" s="376"/>
      <c r="AI6" s="376"/>
      <c r="AJ6" s="376"/>
      <c r="AK6" s="376"/>
      <c r="AL6" s="376"/>
      <c r="AM6" s="376"/>
      <c r="AN6" s="376"/>
      <c r="AO6" s="376"/>
      <c r="AP6" s="376"/>
      <c r="AQ6" s="376"/>
      <c r="AR6" s="376"/>
      <c r="AS6" s="376"/>
      <c r="AT6" s="376"/>
      <c r="AU6" s="376"/>
      <c r="AV6" s="376"/>
      <c r="AW6" s="376"/>
      <c r="AX6" s="376"/>
      <c r="AY6" s="376"/>
      <c r="AZ6" s="376"/>
      <c r="BA6" s="376"/>
      <c r="BB6" s="376"/>
      <c r="BC6" s="376"/>
      <c r="BD6" s="376"/>
      <c r="BE6" s="376"/>
      <c r="BF6" s="376"/>
      <c r="BG6" s="376"/>
      <c r="BH6" s="376"/>
      <c r="BI6" s="376"/>
      <c r="BJ6" s="376"/>
      <c r="BK6" s="376"/>
      <c r="BL6" s="376"/>
      <c r="BM6" s="376"/>
      <c r="BN6" s="376"/>
      <c r="BO6" s="376"/>
      <c r="BP6" s="376"/>
      <c r="BQ6" s="376"/>
      <c r="BR6" s="376"/>
      <c r="BS6" s="376"/>
      <c r="BT6" s="376"/>
      <c r="BU6" s="376"/>
      <c r="BV6" s="376"/>
      <c r="BW6" s="376"/>
      <c r="BX6" s="376"/>
      <c r="BY6" s="376"/>
      <c r="BZ6" s="376"/>
      <c r="CA6" s="376"/>
      <c r="CB6" s="376"/>
      <c r="CC6" s="376"/>
      <c r="CD6" s="376"/>
      <c r="CE6" s="376"/>
      <c r="CF6" s="376"/>
      <c r="CG6" s="376"/>
      <c r="CH6" s="376"/>
      <c r="CI6" s="376"/>
      <c r="CJ6" s="376"/>
      <c r="CK6" s="376"/>
      <c r="CL6" s="376"/>
      <c r="CM6" s="376"/>
      <c r="CN6" s="376"/>
      <c r="CO6" s="376"/>
      <c r="CP6" s="376"/>
      <c r="CQ6" s="376"/>
      <c r="CR6" s="376"/>
      <c r="CS6" s="376"/>
      <c r="CT6" s="376"/>
      <c r="CU6" s="376"/>
      <c r="CV6" s="376"/>
      <c r="CW6" s="376"/>
      <c r="CX6" s="376"/>
      <c r="CY6" s="376"/>
      <c r="CZ6" s="376"/>
      <c r="DA6" s="376"/>
      <c r="DB6" s="376"/>
      <c r="DC6" s="376"/>
      <c r="DD6" s="376"/>
      <c r="DE6" s="376"/>
      <c r="DF6" s="376"/>
      <c r="DG6" s="376"/>
      <c r="DH6" s="376"/>
      <c r="DI6" s="376"/>
      <c r="DJ6" s="376"/>
      <c r="DK6" s="376"/>
      <c r="DL6" s="376"/>
      <c r="DM6" s="376"/>
      <c r="DN6" s="376"/>
      <c r="DO6" s="376"/>
      <c r="DP6" s="376"/>
      <c r="DQ6" s="376"/>
      <c r="DR6" s="376"/>
      <c r="DS6" s="376"/>
      <c r="DT6" s="376"/>
      <c r="DU6" s="376"/>
      <c r="DV6" s="376"/>
      <c r="DW6" s="376"/>
      <c r="DX6" s="376"/>
      <c r="DY6" s="376"/>
      <c r="DZ6" s="376"/>
      <c r="EA6" s="376"/>
      <c r="EB6" s="376"/>
      <c r="EC6" s="376"/>
      <c r="ED6" s="376"/>
      <c r="EE6" s="376"/>
      <c r="EF6" s="376"/>
      <c r="EG6" s="376"/>
      <c r="EH6" s="376"/>
      <c r="EI6" s="376"/>
      <c r="EJ6" s="376"/>
      <c r="EK6" s="376"/>
      <c r="EL6" s="376"/>
      <c r="EM6" s="384"/>
      <c r="EN6" s="385"/>
      <c r="EO6" s="376"/>
      <c r="EP6" s="381"/>
      <c r="EQ6" s="382"/>
      <c r="ER6" s="382"/>
      <c r="ES6" s="382"/>
      <c r="ET6" s="382"/>
      <c r="EU6" s="382"/>
      <c r="EV6" s="382"/>
      <c r="EW6" s="382"/>
      <c r="EX6" s="382"/>
      <c r="EY6" s="382"/>
      <c r="EZ6" s="382"/>
      <c r="FA6" s="382"/>
      <c r="FB6" s="382"/>
      <c r="FC6" s="382"/>
      <c r="FD6" s="382"/>
      <c r="FE6" s="382"/>
      <c r="FF6" s="382"/>
      <c r="FG6" s="382"/>
      <c r="FH6" s="382"/>
      <c r="FI6" s="382"/>
      <c r="FJ6" s="382"/>
      <c r="FK6" s="382"/>
      <c r="FL6" s="382"/>
      <c r="FM6" s="382"/>
      <c r="FN6" s="382"/>
      <c r="FO6" s="382"/>
      <c r="FP6" s="382"/>
      <c r="FQ6" s="382"/>
      <c r="FR6" s="382"/>
      <c r="FS6" s="382"/>
      <c r="FT6" s="382"/>
      <c r="FU6" s="382"/>
      <c r="FV6" s="382"/>
      <c r="FW6" s="382"/>
      <c r="FX6" s="382"/>
      <c r="FY6" s="382"/>
      <c r="FZ6" s="382"/>
      <c r="GA6" s="382"/>
      <c r="GB6" s="382"/>
      <c r="GC6" s="382"/>
      <c r="GD6" s="382"/>
      <c r="GE6" s="382"/>
      <c r="GF6" s="382"/>
      <c r="GG6" s="382"/>
      <c r="GH6" s="382"/>
      <c r="GI6" s="382"/>
      <c r="GJ6" s="382"/>
      <c r="GK6" s="382"/>
      <c r="GL6" s="382"/>
      <c r="GM6" s="382"/>
      <c r="GN6" s="382"/>
      <c r="GO6" s="382"/>
      <c r="GP6" s="382"/>
      <c r="GQ6" s="382"/>
      <c r="GR6" s="382"/>
      <c r="GS6" s="382"/>
      <c r="GT6" s="382"/>
      <c r="GU6" s="382"/>
      <c r="GV6" s="382"/>
      <c r="GW6" s="382"/>
      <c r="GX6" s="382"/>
      <c r="GY6" s="382"/>
      <c r="GZ6" s="382"/>
      <c r="HA6" s="382"/>
      <c r="HB6" s="382"/>
      <c r="HC6" s="382"/>
      <c r="HD6" s="382"/>
      <c r="HE6" s="382"/>
      <c r="HF6" s="382"/>
      <c r="HG6" s="382"/>
      <c r="HH6" s="382"/>
      <c r="HI6" s="382"/>
      <c r="HJ6" s="382"/>
      <c r="HK6" s="382"/>
      <c r="HL6" s="382"/>
      <c r="HM6" s="382"/>
      <c r="HN6" s="382"/>
      <c r="HO6" s="382"/>
      <c r="HP6" s="382"/>
      <c r="HQ6" s="382"/>
      <c r="HR6" s="382"/>
      <c r="HS6" s="382"/>
      <c r="HT6" s="382"/>
      <c r="HU6" s="382"/>
      <c r="HV6" s="382"/>
      <c r="HW6" s="382"/>
      <c r="HX6" s="382"/>
      <c r="HY6" s="382"/>
      <c r="HZ6" s="382"/>
      <c r="IA6" s="382"/>
      <c r="IB6" s="382"/>
      <c r="IC6" s="382"/>
      <c r="ID6" s="382"/>
      <c r="IE6" s="382"/>
      <c r="IF6" s="382"/>
      <c r="IG6" s="382"/>
      <c r="IH6" s="382"/>
      <c r="II6" s="382"/>
      <c r="IJ6" s="382"/>
      <c r="IK6" s="382"/>
      <c r="IL6" s="382"/>
      <c r="IM6" s="382"/>
      <c r="IN6" s="382"/>
      <c r="IO6" s="382"/>
      <c r="IP6" s="382"/>
      <c r="IQ6" s="382"/>
      <c r="IR6" s="382"/>
      <c r="IS6" s="382"/>
      <c r="IT6" s="382"/>
      <c r="IU6" s="382"/>
      <c r="IV6" s="382"/>
      <c r="IW6" s="382"/>
      <c r="IX6" s="382"/>
      <c r="IY6" s="382"/>
      <c r="IZ6" s="382"/>
      <c r="JA6" s="382"/>
      <c r="JB6" s="382"/>
      <c r="JC6" s="382"/>
      <c r="JD6" s="382"/>
      <c r="JE6" s="382"/>
      <c r="JF6" s="382"/>
      <c r="JG6" s="382"/>
      <c r="JH6" s="382"/>
      <c r="JI6" s="382"/>
      <c r="JJ6" s="382"/>
      <c r="JK6" s="382"/>
      <c r="JL6" s="382"/>
      <c r="JM6" s="382"/>
      <c r="JN6" s="382"/>
      <c r="JO6" s="382"/>
      <c r="JP6" s="382"/>
      <c r="JQ6" s="382"/>
      <c r="JR6" s="382"/>
      <c r="JS6" s="382"/>
      <c r="JT6" s="382"/>
      <c r="JU6" s="382"/>
      <c r="JV6" s="382"/>
      <c r="JW6" s="382"/>
      <c r="JX6" s="382"/>
      <c r="JY6"/>
      <c r="JZ6" s="383"/>
      <c r="KA6" s="383"/>
      <c r="KB6" s="383"/>
      <c r="KC6" s="383"/>
      <c r="KD6" s="383"/>
      <c r="KE6" s="383"/>
      <c r="KF6" s="383"/>
      <c r="KG6" s="383"/>
      <c r="KH6" s="383"/>
      <c r="KI6" s="383"/>
      <c r="KJ6" s="383"/>
      <c r="KK6" s="383"/>
      <c r="KL6" s="383"/>
      <c r="KM6" s="383"/>
      <c r="KN6" s="383"/>
      <c r="KO6" s="383"/>
      <c r="KP6" s="383"/>
      <c r="KQ6" s="383"/>
      <c r="KR6" s="383"/>
      <c r="KS6" s="383"/>
      <c r="KT6" s="383"/>
      <c r="KU6" s="383"/>
      <c r="KV6" s="383"/>
      <c r="KW6" s="383"/>
      <c r="KX6" s="383"/>
      <c r="KY6" s="383"/>
      <c r="KZ6" s="383"/>
      <c r="LA6" s="383"/>
      <c r="LB6" s="383"/>
      <c r="LC6" s="383"/>
      <c r="LD6" s="383"/>
      <c r="LE6" s="383"/>
      <c r="LF6" s="383"/>
      <c r="LG6" s="383"/>
      <c r="LH6" s="383"/>
      <c r="LI6" s="383"/>
      <c r="LJ6" s="383"/>
      <c r="LK6" s="383"/>
      <c r="LL6" s="383"/>
      <c r="LM6" s="383"/>
      <c r="LN6" s="383"/>
      <c r="LO6" s="383"/>
      <c r="LP6" s="383"/>
      <c r="LQ6" s="383"/>
      <c r="LR6" s="383"/>
      <c r="LS6" s="383"/>
      <c r="LT6" s="383"/>
      <c r="LU6" s="383"/>
      <c r="LV6" s="383"/>
      <c r="LW6" s="383"/>
      <c r="LX6" s="383"/>
      <c r="LY6" s="383"/>
      <c r="LZ6" s="383"/>
      <c r="MA6" s="383"/>
      <c r="MB6" s="383"/>
      <c r="MC6" s="383"/>
      <c r="MD6" s="383"/>
      <c r="ME6" s="383"/>
      <c r="MF6" s="383"/>
      <c r="MG6" s="383"/>
      <c r="MH6" s="383"/>
      <c r="MI6" s="383"/>
      <c r="MJ6" s="383"/>
      <c r="MK6" s="383"/>
      <c r="ML6" s="383"/>
      <c r="MM6" s="383"/>
      <c r="MN6" s="383"/>
      <c r="MO6" s="383"/>
      <c r="MP6" s="383"/>
      <c r="MQ6" s="383"/>
      <c r="MR6" s="383"/>
      <c r="MS6" s="383"/>
      <c r="MT6" s="383"/>
      <c r="MU6" s="383"/>
      <c r="MV6" s="383"/>
      <c r="MW6" s="383"/>
      <c r="MX6" s="383"/>
      <c r="MY6" s="383"/>
      <c r="MZ6" s="383"/>
      <c r="NA6" s="383"/>
      <c r="NB6" s="383"/>
      <c r="NC6" s="383"/>
      <c r="ND6" s="383"/>
      <c r="NE6" s="383"/>
      <c r="NF6" s="383"/>
      <c r="NG6" s="383"/>
      <c r="NH6" s="383"/>
      <c r="NI6" s="383"/>
      <c r="NJ6" s="383"/>
      <c r="NK6" s="383"/>
      <c r="NL6" s="383"/>
      <c r="NM6" s="383"/>
      <c r="NN6" s="383"/>
      <c r="NO6" s="383"/>
      <c r="NP6" s="383"/>
      <c r="NQ6" s="383"/>
      <c r="NR6" s="383"/>
      <c r="NS6" s="383"/>
      <c r="NT6" s="383"/>
      <c r="NU6" s="383"/>
      <c r="NV6" s="383"/>
      <c r="NW6" s="383"/>
      <c r="NX6" s="383"/>
      <c r="NY6" s="383"/>
      <c r="NZ6" s="383"/>
      <c r="OA6" s="383"/>
      <c r="OB6" s="383"/>
      <c r="OC6" s="383"/>
      <c r="OD6" s="383"/>
      <c r="OE6" s="383"/>
      <c r="OF6" s="383"/>
      <c r="OG6" s="383"/>
      <c r="OH6" s="383"/>
      <c r="OI6" s="383"/>
      <c r="OJ6" s="383"/>
      <c r="OK6" s="383"/>
      <c r="OL6" s="383"/>
      <c r="OM6" s="383"/>
      <c r="ON6" s="383"/>
      <c r="OO6" s="383"/>
      <c r="OP6" s="383"/>
      <c r="OQ6" s="383"/>
      <c r="OR6" s="383"/>
      <c r="OS6" s="383"/>
      <c r="OT6" s="383"/>
      <c r="OU6" s="383"/>
      <c r="OV6" s="383"/>
      <c r="OW6" s="383"/>
      <c r="OX6" s="383"/>
      <c r="OY6" s="383"/>
      <c r="OZ6" s="383"/>
      <c r="PA6" s="383"/>
      <c r="PB6" s="383"/>
      <c r="PC6" s="383"/>
      <c r="PD6" s="383"/>
      <c r="PE6" s="383"/>
      <c r="PF6" s="383"/>
      <c r="PG6" s="383"/>
      <c r="PH6" s="383"/>
    </row>
    <row r="7" spans="1:424" x14ac:dyDescent="0.35">
      <c r="A7"/>
      <c r="B7" s="386"/>
      <c r="C7" s="386"/>
      <c r="D7" s="386"/>
      <c r="E7" s="386"/>
      <c r="F7" s="386"/>
      <c r="G7" s="386"/>
      <c r="H7" s="386"/>
      <c r="I7" s="386"/>
      <c r="J7" s="387"/>
      <c r="K7" s="388"/>
      <c r="L7" s="388"/>
      <c r="M7" s="388"/>
      <c r="N7" s="388"/>
      <c r="O7" s="388"/>
      <c r="P7" s="388"/>
      <c r="Q7" s="388"/>
      <c r="R7" s="388"/>
      <c r="S7" s="388"/>
      <c r="T7" s="388"/>
      <c r="U7" s="388"/>
      <c r="V7" s="388"/>
      <c r="W7" s="388"/>
      <c r="X7" s="388"/>
      <c r="Y7" s="388"/>
      <c r="Z7" s="388"/>
      <c r="AA7" s="388"/>
      <c r="AB7" s="388"/>
      <c r="AC7" s="388"/>
      <c r="AD7" s="388"/>
      <c r="AE7" s="388"/>
      <c r="AF7" s="388"/>
      <c r="AG7" s="388"/>
      <c r="AH7" s="388"/>
      <c r="AI7" s="388"/>
      <c r="AJ7" s="388"/>
      <c r="AK7" s="388"/>
      <c r="AL7" s="388"/>
      <c r="AM7" s="388"/>
      <c r="AN7" s="388"/>
      <c r="AO7" s="388"/>
      <c r="AP7" s="388"/>
      <c r="AQ7" s="388"/>
      <c r="AR7" s="388"/>
      <c r="AS7" s="388"/>
      <c r="AT7" s="388"/>
      <c r="AU7" s="388"/>
      <c r="AV7" s="388"/>
      <c r="AW7" s="388"/>
      <c r="AX7" s="388"/>
      <c r="AY7" s="388"/>
      <c r="AZ7" s="388"/>
      <c r="BA7" s="388"/>
      <c r="BB7" s="388"/>
      <c r="BC7" s="388"/>
      <c r="BD7" s="388"/>
      <c r="BE7" s="388"/>
      <c r="BF7" s="388"/>
      <c r="BG7" s="388"/>
      <c r="BH7" s="388"/>
      <c r="BI7" s="388"/>
      <c r="BJ7" s="388"/>
      <c r="BK7" s="388"/>
      <c r="BL7" s="388"/>
      <c r="BM7" s="388"/>
      <c r="BN7" s="388"/>
      <c r="BO7" s="388"/>
      <c r="BP7" s="388"/>
      <c r="BQ7" s="388"/>
      <c r="BR7" s="388"/>
      <c r="BS7" s="388"/>
      <c r="BT7" s="388"/>
      <c r="BU7" s="388"/>
      <c r="BV7" s="388"/>
      <c r="BW7" s="388"/>
      <c r="BX7" s="388"/>
      <c r="BY7" s="388"/>
      <c r="BZ7" s="388"/>
      <c r="CA7" s="388"/>
      <c r="CB7" s="388"/>
      <c r="CC7" s="388"/>
      <c r="CD7" s="388"/>
      <c r="CE7" s="388"/>
      <c r="CF7" s="388"/>
      <c r="CG7" s="388"/>
      <c r="CH7" s="388"/>
      <c r="CI7" s="388"/>
      <c r="CJ7" s="388"/>
      <c r="CK7" s="388"/>
      <c r="CL7" s="388"/>
      <c r="CM7" s="388"/>
      <c r="CN7" s="388"/>
      <c r="CO7" s="388"/>
      <c r="CP7" s="388"/>
      <c r="CQ7" s="388"/>
      <c r="CR7" s="388"/>
      <c r="CS7" s="388"/>
      <c r="CT7" s="388"/>
      <c r="CU7" s="388"/>
      <c r="CV7" s="388"/>
      <c r="CW7" s="388"/>
      <c r="CX7" s="388"/>
      <c r="CY7" s="388"/>
      <c r="CZ7" s="388"/>
      <c r="DA7" s="388"/>
      <c r="DB7" s="388"/>
      <c r="DC7" s="388"/>
      <c r="DD7" s="388"/>
      <c r="DE7" s="388"/>
      <c r="DF7" s="388"/>
      <c r="DG7" s="388"/>
      <c r="DH7" s="388"/>
      <c r="DI7" s="388"/>
      <c r="DJ7" s="388"/>
      <c r="DK7" s="388"/>
      <c r="DL7" s="388"/>
      <c r="DM7" s="388"/>
      <c r="DN7" s="388"/>
      <c r="DO7" s="388"/>
      <c r="DP7" s="388"/>
      <c r="DQ7" s="388"/>
      <c r="DR7" s="388"/>
      <c r="DS7" s="388"/>
      <c r="DT7" s="388"/>
      <c r="DU7" s="388"/>
      <c r="DV7" s="388"/>
      <c r="DW7" s="388"/>
      <c r="DX7" s="388"/>
      <c r="DY7" s="388"/>
      <c r="DZ7" s="388"/>
      <c r="EA7" s="388"/>
      <c r="EB7" s="388"/>
      <c r="EC7" s="388"/>
      <c r="ED7" s="388"/>
      <c r="EE7" s="388"/>
      <c r="EF7" s="388"/>
      <c r="EG7" s="388"/>
      <c r="EH7" s="388"/>
      <c r="EI7" s="388"/>
      <c r="EJ7" s="388"/>
      <c r="EK7" s="388"/>
      <c r="EL7" s="388"/>
      <c r="EM7" s="388"/>
      <c r="EN7" s="388"/>
      <c r="EO7" s="388"/>
      <c r="EP7" s="389"/>
      <c r="EQ7" s="390"/>
      <c r="ER7" s="390"/>
      <c r="ES7" s="390"/>
      <c r="ET7" s="390"/>
      <c r="EU7" s="390"/>
      <c r="EV7" s="390"/>
      <c r="EW7" s="390"/>
      <c r="EX7" s="390"/>
      <c r="EY7" s="390"/>
      <c r="EZ7" s="390"/>
      <c r="FA7" s="390"/>
      <c r="FB7" s="390"/>
      <c r="FC7" s="390"/>
      <c r="FD7" s="390"/>
      <c r="FE7" s="390"/>
      <c r="FF7" s="390"/>
      <c r="FG7" s="390"/>
      <c r="FH7" s="390"/>
      <c r="FI7" s="390"/>
      <c r="FJ7" s="390"/>
      <c r="FK7" s="390"/>
      <c r="FL7" s="390"/>
      <c r="FM7" s="390"/>
      <c r="FN7" s="390"/>
      <c r="FO7" s="390"/>
      <c r="FP7" s="390"/>
      <c r="FQ7" s="390"/>
      <c r="FR7" s="390"/>
      <c r="FS7" s="390"/>
      <c r="FT7" s="390"/>
      <c r="FU7" s="390"/>
      <c r="FV7" s="390"/>
      <c r="FW7" s="390"/>
      <c r="FX7" s="390"/>
      <c r="FY7" s="390"/>
      <c r="FZ7" s="390"/>
      <c r="GA7" s="390"/>
      <c r="GB7" s="390"/>
      <c r="GC7" s="390"/>
      <c r="GD7" s="390"/>
      <c r="GE7" s="390"/>
      <c r="GF7" s="390"/>
      <c r="GG7" s="390"/>
      <c r="GH7" s="390"/>
      <c r="GI7" s="390"/>
      <c r="GJ7" s="390"/>
      <c r="GK7" s="390"/>
      <c r="GL7" s="390"/>
      <c r="GM7" s="390"/>
      <c r="GN7" s="390"/>
      <c r="GO7" s="390"/>
      <c r="GP7" s="390"/>
      <c r="GQ7" s="390"/>
      <c r="GR7" s="390"/>
      <c r="GS7" s="390"/>
      <c r="GT7" s="390"/>
      <c r="GU7" s="390"/>
      <c r="GV7" s="390"/>
      <c r="GW7" s="390"/>
      <c r="GX7" s="390"/>
      <c r="GY7" s="390"/>
      <c r="GZ7" s="390"/>
      <c r="HA7" s="390"/>
      <c r="HB7" s="390"/>
      <c r="HC7" s="390"/>
      <c r="HD7" s="390"/>
      <c r="HE7" s="390"/>
      <c r="HF7" s="390"/>
      <c r="HG7" s="390"/>
      <c r="HH7" s="390"/>
      <c r="HI7" s="390"/>
      <c r="HJ7" s="390"/>
      <c r="HK7" s="390"/>
      <c r="HL7" s="390"/>
      <c r="HM7" s="390"/>
      <c r="HN7" s="390"/>
      <c r="HO7" s="390"/>
      <c r="HP7" s="390"/>
      <c r="HQ7" s="390"/>
      <c r="HR7" s="390"/>
      <c r="HS7" s="390"/>
      <c r="HT7" s="390"/>
      <c r="HU7" s="390"/>
      <c r="HV7" s="390"/>
      <c r="HW7" s="390"/>
      <c r="HX7" s="390"/>
      <c r="HY7" s="390"/>
      <c r="HZ7" s="390"/>
      <c r="IA7" s="390"/>
      <c r="IB7" s="390"/>
      <c r="IC7" s="390"/>
      <c r="ID7" s="390"/>
      <c r="IE7" s="390"/>
      <c r="IF7" s="390"/>
      <c r="IG7" s="390"/>
      <c r="IH7" s="390"/>
      <c r="II7" s="390"/>
      <c r="IJ7" s="390"/>
      <c r="IK7" s="390"/>
      <c r="IL7" s="390"/>
      <c r="IM7" s="390"/>
      <c r="IN7" s="390"/>
      <c r="IO7" s="390"/>
      <c r="IP7" s="390"/>
      <c r="IQ7" s="390"/>
      <c r="IR7" s="390"/>
      <c r="IS7" s="390"/>
      <c r="IT7" s="390"/>
      <c r="IU7" s="390"/>
      <c r="IV7" s="390"/>
      <c r="IW7" s="390"/>
      <c r="IX7" s="390"/>
      <c r="IY7" s="390"/>
      <c r="IZ7" s="390"/>
      <c r="JA7" s="390"/>
      <c r="JB7" s="390"/>
      <c r="JC7" s="390"/>
      <c r="JD7" s="390"/>
      <c r="JE7" s="390"/>
      <c r="JF7" s="390"/>
      <c r="JG7" s="390"/>
      <c r="JH7" s="390"/>
      <c r="JI7" s="390"/>
      <c r="JJ7" s="390"/>
      <c r="JK7" s="390"/>
      <c r="JL7" s="390"/>
      <c r="JM7" s="390"/>
      <c r="JN7" s="390"/>
      <c r="JO7" s="390"/>
      <c r="JP7" s="390"/>
      <c r="JQ7" s="390"/>
      <c r="JR7" s="390"/>
      <c r="JS7" s="390"/>
      <c r="JT7" s="390"/>
      <c r="JU7" s="390"/>
      <c r="JV7" s="390"/>
      <c r="JW7" s="390"/>
      <c r="JX7" s="390"/>
      <c r="JY7"/>
      <c r="JZ7" s="262"/>
      <c r="KA7" s="262"/>
      <c r="KB7" s="262"/>
      <c r="KC7" s="262"/>
      <c r="KD7" s="262"/>
      <c r="KE7" s="262"/>
      <c r="KF7" s="262"/>
      <c r="KG7" s="262"/>
      <c r="KH7" s="262"/>
      <c r="KI7" s="262"/>
      <c r="KJ7" s="262"/>
      <c r="KK7" s="262"/>
      <c r="KL7" s="262"/>
      <c r="KM7" s="262"/>
      <c r="KN7" s="262"/>
      <c r="KO7" s="262"/>
      <c r="KP7" s="262"/>
      <c r="KQ7" s="262"/>
      <c r="KR7" s="262"/>
      <c r="KS7" s="262"/>
      <c r="KT7" s="262"/>
      <c r="KU7" s="262"/>
      <c r="KV7" s="262"/>
      <c r="KW7" s="262"/>
      <c r="KX7" s="262"/>
      <c r="KY7" s="262"/>
      <c r="KZ7" s="262"/>
      <c r="LA7" s="262"/>
      <c r="LB7" s="262"/>
      <c r="LC7" s="262"/>
      <c r="LD7" s="262"/>
      <c r="LE7" s="262"/>
      <c r="LF7" s="262"/>
      <c r="LG7" s="262"/>
      <c r="LH7" s="262"/>
      <c r="LI7" s="262"/>
      <c r="LJ7" s="262"/>
      <c r="LK7" s="262"/>
      <c r="LL7" s="262"/>
      <c r="LM7" s="262"/>
      <c r="LN7" s="262"/>
      <c r="LO7" s="262"/>
      <c r="LP7" s="262"/>
      <c r="LQ7" s="262"/>
      <c r="LR7" s="262"/>
      <c r="LS7" s="262"/>
      <c r="LT7" s="262"/>
      <c r="LU7" s="262"/>
      <c r="LV7" s="262"/>
      <c r="LW7" s="262"/>
      <c r="LX7" s="262"/>
      <c r="LY7" s="262"/>
      <c r="LZ7" s="262"/>
      <c r="MA7" s="262"/>
      <c r="MB7" s="262"/>
      <c r="MC7" s="262"/>
      <c r="MD7" s="262"/>
      <c r="ME7" s="262"/>
      <c r="MF7" s="262"/>
      <c r="MG7" s="262"/>
      <c r="MH7" s="262"/>
      <c r="MI7" s="262"/>
      <c r="MJ7" s="262"/>
      <c r="MK7" s="262"/>
      <c r="ML7" s="262"/>
      <c r="MM7" s="262"/>
      <c r="MN7" s="262"/>
      <c r="MO7" s="262"/>
      <c r="MP7" s="262"/>
      <c r="MQ7" s="262"/>
      <c r="MR7" s="262"/>
      <c r="MS7" s="262"/>
      <c r="MT7" s="262"/>
      <c r="MU7" s="262"/>
      <c r="MV7" s="262"/>
      <c r="MW7" s="262"/>
      <c r="MX7" s="262"/>
      <c r="MY7" s="262"/>
      <c r="MZ7" s="262"/>
      <c r="NA7" s="262"/>
      <c r="NB7" s="262"/>
      <c r="NC7" s="262"/>
      <c r="ND7" s="262"/>
      <c r="NE7" s="262"/>
      <c r="NF7" s="262"/>
      <c r="NG7" s="262"/>
      <c r="NH7" s="262"/>
      <c r="NI7" s="262"/>
      <c r="NJ7" s="262"/>
      <c r="NK7" s="262"/>
      <c r="NL7" s="262"/>
      <c r="NM7" s="262"/>
      <c r="NN7" s="262"/>
      <c r="NO7" s="262"/>
      <c r="NP7" s="262"/>
      <c r="NQ7" s="262"/>
      <c r="NR7" s="262"/>
      <c r="NS7" s="262"/>
      <c r="NT7" s="262"/>
      <c r="NU7" s="262"/>
      <c r="NV7" s="262"/>
      <c r="NW7" s="262"/>
      <c r="NX7" s="262"/>
      <c r="NY7" s="262"/>
      <c r="NZ7" s="262"/>
      <c r="OA7" s="262"/>
      <c r="OB7" s="262"/>
      <c r="OC7" s="262"/>
      <c r="OD7" s="262"/>
      <c r="OE7" s="262"/>
      <c r="OF7" s="262"/>
      <c r="OG7" s="262"/>
      <c r="OH7" s="262"/>
      <c r="OI7" s="262"/>
      <c r="OJ7" s="262"/>
      <c r="OK7" s="262"/>
      <c r="OL7" s="262"/>
      <c r="OM7" s="262"/>
      <c r="ON7" s="262"/>
      <c r="OO7" s="262"/>
      <c r="OP7" s="262"/>
      <c r="OQ7" s="262"/>
      <c r="OR7" s="262"/>
      <c r="OS7" s="262"/>
      <c r="OT7" s="262"/>
      <c r="OU7" s="262"/>
      <c r="OV7" s="262"/>
      <c r="OW7" s="262"/>
      <c r="OX7" s="262"/>
      <c r="OY7" s="262"/>
      <c r="OZ7" s="262"/>
      <c r="PA7" s="262"/>
      <c r="PB7" s="262"/>
      <c r="PC7" s="262"/>
      <c r="PD7" s="262"/>
      <c r="PE7" s="262"/>
      <c r="PF7" s="262"/>
      <c r="PG7" s="262"/>
      <c r="PH7" s="262"/>
    </row>
    <row r="8" spans="1:424" x14ac:dyDescent="0.35">
      <c r="A8"/>
      <c r="B8" s="391" t="s">
        <v>0</v>
      </c>
      <c r="C8" s="392"/>
      <c r="D8" s="392"/>
      <c r="E8" s="392"/>
      <c r="F8" s="392"/>
      <c r="G8" s="392"/>
      <c r="H8" s="393"/>
      <c r="I8" s="394" t="s">
        <v>101</v>
      </c>
      <c r="J8" s="395"/>
      <c r="K8" s="396"/>
      <c r="L8" s="396"/>
      <c r="M8" s="396"/>
      <c r="N8" s="396"/>
      <c r="O8" s="396"/>
      <c r="P8" s="396"/>
      <c r="Q8" s="396"/>
      <c r="R8" s="396"/>
      <c r="S8" s="396"/>
      <c r="T8" s="396"/>
      <c r="U8" s="396"/>
      <c r="V8" s="396"/>
      <c r="W8" s="396"/>
      <c r="X8" s="396"/>
      <c r="Y8" s="396"/>
      <c r="Z8" s="396"/>
      <c r="AA8" s="396"/>
      <c r="AB8" s="396"/>
      <c r="AC8" s="396"/>
      <c r="AD8" s="396"/>
      <c r="AE8" s="396"/>
      <c r="AF8" s="396"/>
      <c r="AG8" s="396"/>
      <c r="AH8" s="396"/>
      <c r="AI8" s="396"/>
      <c r="AJ8" s="396"/>
      <c r="AK8" s="396"/>
      <c r="AL8" s="396"/>
      <c r="AM8" s="396"/>
      <c r="AN8" s="396"/>
      <c r="AO8" s="396"/>
      <c r="AP8" s="396"/>
      <c r="AQ8" s="396"/>
      <c r="AR8" s="396"/>
      <c r="AS8" s="396"/>
      <c r="AT8" s="396"/>
      <c r="AU8" s="396"/>
      <c r="AV8" s="396"/>
      <c r="AW8" s="396"/>
      <c r="AX8" s="396"/>
      <c r="AY8" s="396"/>
      <c r="AZ8" s="396"/>
      <c r="BA8" s="396"/>
      <c r="BB8" s="396"/>
      <c r="BC8" s="396"/>
      <c r="BD8" s="396"/>
      <c r="BE8" s="396"/>
      <c r="BF8" s="396"/>
      <c r="BG8" s="396"/>
      <c r="BH8" s="396"/>
      <c r="BI8" s="396"/>
      <c r="BJ8" s="396"/>
      <c r="BK8" s="396"/>
      <c r="BL8" s="396"/>
      <c r="BM8" s="396"/>
      <c r="BN8" s="396"/>
      <c r="BO8" s="396"/>
      <c r="BP8" s="396"/>
      <c r="BQ8" s="396"/>
      <c r="BR8" s="396"/>
      <c r="BS8" s="396"/>
      <c r="BT8" s="396"/>
      <c r="BU8" s="396"/>
      <c r="BV8" s="396"/>
      <c r="BW8" s="396"/>
      <c r="BX8" s="396"/>
      <c r="BY8" s="396"/>
      <c r="BZ8" s="396"/>
      <c r="CA8" s="396"/>
      <c r="CB8" s="396"/>
      <c r="CC8" s="396"/>
      <c r="CD8" s="396"/>
      <c r="CE8" s="396"/>
      <c r="CF8" s="396"/>
      <c r="CG8" s="396"/>
      <c r="CH8" s="396"/>
      <c r="CI8" s="396"/>
      <c r="CJ8" s="396"/>
      <c r="CK8" s="396"/>
      <c r="CL8" s="396"/>
      <c r="CM8" s="396"/>
      <c r="CN8" s="396"/>
      <c r="CO8" s="396"/>
      <c r="CP8" s="396"/>
      <c r="CQ8" s="396"/>
      <c r="CR8" s="396"/>
      <c r="CS8" s="396"/>
      <c r="CT8" s="396"/>
      <c r="CU8" s="396"/>
      <c r="CV8" s="396"/>
      <c r="CW8" s="396"/>
      <c r="CX8" s="396"/>
      <c r="CY8" s="396"/>
      <c r="CZ8" s="396"/>
      <c r="DA8" s="396"/>
      <c r="DB8" s="396"/>
      <c r="DC8" s="396"/>
      <c r="DD8" s="396"/>
      <c r="DE8" s="396"/>
      <c r="DF8" s="396"/>
      <c r="DG8" s="396"/>
      <c r="DH8" s="396"/>
      <c r="DI8" s="396"/>
      <c r="DJ8" s="396"/>
      <c r="DK8" s="396"/>
      <c r="DL8" s="396"/>
      <c r="DM8" s="396"/>
      <c r="DN8" s="396"/>
      <c r="DO8" s="396"/>
      <c r="DP8" s="396"/>
      <c r="DQ8" s="396"/>
      <c r="DR8" s="396"/>
      <c r="DS8" s="396"/>
      <c r="DT8" s="396"/>
      <c r="DU8" s="396"/>
      <c r="DV8" s="396"/>
      <c r="DW8" s="396"/>
      <c r="DX8" s="396"/>
      <c r="DY8" s="396"/>
      <c r="DZ8" s="396"/>
      <c r="EA8" s="396"/>
      <c r="EB8" s="396"/>
      <c r="EC8" s="396"/>
      <c r="ED8" s="396"/>
      <c r="EE8" s="396"/>
      <c r="EF8" s="396"/>
      <c r="EG8" s="396"/>
      <c r="EH8" s="396"/>
      <c r="EI8" s="396"/>
      <c r="EJ8" s="396"/>
      <c r="EK8" s="396"/>
      <c r="EL8" s="396"/>
      <c r="EM8" s="396"/>
      <c r="EN8" s="396"/>
      <c r="EO8" s="396"/>
      <c r="EP8" s="219"/>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s="18"/>
      <c r="HU8" s="18"/>
      <c r="HV8" s="18"/>
      <c r="HW8" s="18"/>
      <c r="HX8" s="18"/>
      <c r="HY8" s="18"/>
      <c r="HZ8" s="18"/>
      <c r="IA8" s="18"/>
      <c r="IB8" s="18"/>
      <c r="IC8" s="18"/>
      <c r="ID8" s="18"/>
      <c r="IE8" s="18"/>
      <c r="IF8" s="18"/>
      <c r="IG8" s="18"/>
      <c r="IH8" s="18"/>
      <c r="II8" s="18"/>
      <c r="IJ8" s="18"/>
      <c r="IK8" s="18"/>
      <c r="IL8" s="18"/>
      <c r="IM8" s="18"/>
      <c r="IN8" s="18"/>
      <c r="IO8" s="18"/>
      <c r="IP8" s="18"/>
      <c r="IQ8" s="18"/>
      <c r="IR8" s="18"/>
      <c r="IS8" s="18"/>
      <c r="IT8" s="18"/>
      <c r="IU8" s="18"/>
      <c r="IV8" s="18"/>
      <c r="IW8" s="18"/>
      <c r="IX8" s="18"/>
      <c r="IY8" s="18"/>
      <c r="IZ8" s="18"/>
      <c r="JA8" s="18"/>
      <c r="JB8" s="18"/>
      <c r="JC8" s="18"/>
      <c r="JD8" s="18"/>
      <c r="JE8" s="18"/>
      <c r="JF8" s="18"/>
      <c r="JG8" s="18"/>
      <c r="JH8" s="18"/>
      <c r="JI8" s="18"/>
      <c r="JJ8" s="18"/>
      <c r="JK8" s="18"/>
      <c r="JL8" s="18"/>
      <c r="JM8" s="18"/>
      <c r="JN8" s="18"/>
      <c r="JO8" s="18"/>
      <c r="JP8" s="18"/>
      <c r="JQ8" s="18"/>
      <c r="JR8" s="18"/>
      <c r="JS8" s="18"/>
      <c r="JT8" s="18"/>
      <c r="JU8" s="18"/>
      <c r="JV8" s="18"/>
      <c r="JW8" s="18"/>
      <c r="JX8" s="18"/>
      <c r="JY8"/>
      <c r="JZ8" s="262"/>
      <c r="KA8" s="262"/>
      <c r="KB8" s="262"/>
      <c r="KC8" s="262"/>
      <c r="KD8" s="262"/>
      <c r="KE8" s="262"/>
      <c r="KF8" s="262"/>
      <c r="KG8" s="262"/>
      <c r="KH8" s="262"/>
      <c r="KI8" s="262"/>
      <c r="KJ8" s="262"/>
      <c r="KK8" s="262"/>
      <c r="KL8" s="262"/>
      <c r="KM8" s="262"/>
      <c r="KN8" s="262"/>
      <c r="KO8" s="262"/>
      <c r="KP8" s="262"/>
      <c r="KQ8" s="262"/>
      <c r="KR8" s="262"/>
      <c r="KS8" s="262"/>
      <c r="KT8" s="262"/>
      <c r="KU8" s="262"/>
      <c r="KV8" s="262"/>
      <c r="KW8" s="262"/>
      <c r="KX8" s="262"/>
      <c r="KY8" s="262"/>
      <c r="KZ8" s="262"/>
      <c r="LA8" s="262"/>
      <c r="LB8" s="262"/>
      <c r="LC8" s="262"/>
      <c r="LD8" s="262"/>
      <c r="LE8" s="262"/>
      <c r="LF8" s="262"/>
      <c r="LG8" s="262"/>
      <c r="LH8" s="262"/>
      <c r="LI8" s="262"/>
      <c r="LJ8" s="262"/>
      <c r="LK8" s="262"/>
      <c r="LL8" s="262"/>
      <c r="LM8" s="262"/>
      <c r="LN8" s="262"/>
      <c r="LO8" s="262"/>
      <c r="LP8" s="262"/>
      <c r="LQ8" s="262"/>
      <c r="LR8" s="262"/>
      <c r="LS8" s="262"/>
      <c r="LT8" s="262"/>
      <c r="LU8" s="262"/>
      <c r="LV8" s="262"/>
      <c r="LW8" s="262"/>
      <c r="LX8" s="262"/>
      <c r="LY8" s="262"/>
      <c r="LZ8" s="262"/>
      <c r="MA8" s="262"/>
      <c r="MB8" s="262"/>
      <c r="MC8" s="262"/>
      <c r="MD8" s="262"/>
      <c r="ME8" s="262"/>
      <c r="MF8" s="262"/>
      <c r="MG8" s="262"/>
      <c r="MH8" s="262"/>
      <c r="MI8" s="262"/>
      <c r="MJ8" s="262"/>
      <c r="MK8" s="262"/>
      <c r="ML8" s="262"/>
      <c r="MM8" s="262"/>
      <c r="MN8" s="262"/>
      <c r="MO8" s="262"/>
      <c r="MP8" s="262"/>
      <c r="MQ8" s="262"/>
      <c r="MR8" s="262"/>
      <c r="MS8" s="262"/>
      <c r="MT8" s="262"/>
      <c r="MU8" s="262"/>
      <c r="MV8" s="262"/>
      <c r="MW8" s="262"/>
      <c r="MX8" s="262"/>
      <c r="MY8" s="262"/>
      <c r="MZ8" s="262"/>
      <c r="NA8" s="262"/>
      <c r="NB8" s="262"/>
      <c r="NC8" s="262"/>
      <c r="ND8" s="262"/>
      <c r="NE8" s="262"/>
      <c r="NF8" s="262"/>
      <c r="NG8" s="262"/>
      <c r="NH8" s="262"/>
      <c r="NI8" s="262"/>
      <c r="NJ8" s="262"/>
      <c r="NK8" s="262"/>
      <c r="NL8" s="262"/>
      <c r="NM8" s="262"/>
      <c r="NN8" s="262"/>
      <c r="NO8" s="262"/>
      <c r="NP8" s="262"/>
      <c r="NQ8" s="262"/>
      <c r="NR8" s="262"/>
      <c r="NS8" s="262"/>
      <c r="NT8" s="262"/>
      <c r="NU8" s="262"/>
      <c r="NV8" s="262"/>
      <c r="NW8" s="262"/>
      <c r="NX8" s="262"/>
      <c r="NY8" s="262"/>
      <c r="NZ8" s="262"/>
      <c r="OA8" s="262"/>
      <c r="OB8" s="262"/>
      <c r="OC8" s="262"/>
      <c r="OD8" s="262"/>
      <c r="OE8" s="262"/>
      <c r="OF8" s="262"/>
      <c r="OG8" s="262"/>
      <c r="OH8" s="262"/>
      <c r="OI8" s="262"/>
      <c r="OJ8" s="262"/>
      <c r="OK8" s="262"/>
      <c r="OL8" s="262"/>
      <c r="OM8" s="262"/>
      <c r="ON8" s="262"/>
      <c r="OO8" s="262"/>
      <c r="OP8" s="262"/>
      <c r="OQ8" s="262"/>
      <c r="OR8" s="262"/>
      <c r="OS8" s="262"/>
      <c r="OT8" s="262"/>
      <c r="OU8" s="262"/>
      <c r="OV8" s="262"/>
      <c r="OW8" s="262"/>
      <c r="OX8" s="262"/>
      <c r="OY8" s="262"/>
      <c r="OZ8" s="262"/>
      <c r="PA8" s="262"/>
      <c r="PB8" s="262"/>
      <c r="PC8" s="262"/>
      <c r="PD8" s="262"/>
      <c r="PE8" s="262"/>
      <c r="PF8" s="262"/>
      <c r="PG8" s="262"/>
      <c r="PH8" s="262"/>
    </row>
    <row r="9" spans="1:424" x14ac:dyDescent="0.35">
      <c r="A9"/>
      <c r="B9" s="34" t="s">
        <v>102</v>
      </c>
      <c r="C9" s="34"/>
      <c r="D9" s="397"/>
      <c r="E9" s="835" t="str">
        <f>'URWLD COMPANY INPUTS'!$F$37</f>
        <v>THE BEND Entertainment Precinct</v>
      </c>
      <c r="F9" s="34" t="s">
        <v>103</v>
      </c>
      <c r="G9" s="397"/>
      <c r="H9" s="397"/>
      <c r="I9" s="398" t="s">
        <v>104</v>
      </c>
      <c r="J9" s="395"/>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6"/>
      <c r="AJ9" s="396"/>
      <c r="AK9" s="396"/>
      <c r="AL9" s="396"/>
      <c r="AM9" s="396"/>
      <c r="AN9" s="396"/>
      <c r="AO9" s="396"/>
      <c r="AP9" s="396"/>
      <c r="AQ9" s="396"/>
      <c r="AR9" s="396"/>
      <c r="AS9" s="396"/>
      <c r="AT9" s="396"/>
      <c r="AU9" s="396"/>
      <c r="AV9" s="396"/>
      <c r="AW9" s="396"/>
      <c r="AX9" s="396"/>
      <c r="AY9" s="396"/>
      <c r="AZ9" s="396"/>
      <c r="BA9" s="396"/>
      <c r="BB9" s="396"/>
      <c r="BC9" s="396"/>
      <c r="BD9" s="396"/>
      <c r="BE9" s="396"/>
      <c r="BF9" s="396"/>
      <c r="BG9" s="396"/>
      <c r="BH9" s="396"/>
      <c r="BI9" s="396"/>
      <c r="BJ9" s="396"/>
      <c r="BK9" s="396"/>
      <c r="BL9" s="396"/>
      <c r="BM9" s="396"/>
      <c r="BN9" s="396"/>
      <c r="BO9" s="396"/>
      <c r="BP9" s="396"/>
      <c r="BQ9" s="396"/>
      <c r="BR9" s="396"/>
      <c r="BS9" s="396"/>
      <c r="BT9" s="396"/>
      <c r="BU9" s="396"/>
      <c r="BV9" s="396"/>
      <c r="BW9" s="396"/>
      <c r="BX9" s="396"/>
      <c r="BY9" s="396"/>
      <c r="BZ9" s="396"/>
      <c r="CA9" s="396"/>
      <c r="CB9" s="396"/>
      <c r="CC9" s="396"/>
      <c r="CD9" s="396"/>
      <c r="CE9" s="396"/>
      <c r="CF9" s="396"/>
      <c r="CG9" s="396"/>
      <c r="CH9" s="396"/>
      <c r="CI9" s="396"/>
      <c r="CJ9" s="396"/>
      <c r="CK9" s="396"/>
      <c r="CL9" s="396"/>
      <c r="CM9" s="396"/>
      <c r="CN9" s="396"/>
      <c r="CO9" s="396"/>
      <c r="CP9" s="396"/>
      <c r="CQ9" s="396"/>
      <c r="CR9" s="396"/>
      <c r="CS9" s="396"/>
      <c r="CT9" s="396"/>
      <c r="CU9" s="396"/>
      <c r="CV9" s="396"/>
      <c r="CW9" s="396"/>
      <c r="CX9" s="396"/>
      <c r="CY9" s="396"/>
      <c r="CZ9" s="396"/>
      <c r="DA9" s="396"/>
      <c r="DB9" s="396"/>
      <c r="DC9" s="396"/>
      <c r="DD9" s="396"/>
      <c r="DE9" s="396"/>
      <c r="DF9" s="396"/>
      <c r="DG9" s="396"/>
      <c r="DH9" s="396"/>
      <c r="DI9" s="396"/>
      <c r="DJ9" s="396"/>
      <c r="DK9" s="396"/>
      <c r="DL9" s="396"/>
      <c r="DM9" s="396"/>
      <c r="DN9" s="396"/>
      <c r="DO9" s="396"/>
      <c r="DP9" s="396"/>
      <c r="DQ9" s="396"/>
      <c r="DR9" s="396"/>
      <c r="DS9" s="396"/>
      <c r="DT9" s="396"/>
      <c r="DU9" s="396"/>
      <c r="DV9" s="396"/>
      <c r="DW9" s="396"/>
      <c r="DX9" s="396"/>
      <c r="DY9" s="396"/>
      <c r="DZ9" s="396"/>
      <c r="EA9" s="396"/>
      <c r="EB9" s="396"/>
      <c r="EC9" s="396"/>
      <c r="ED9" s="396"/>
      <c r="EE9" s="396"/>
      <c r="EF9" s="396"/>
      <c r="EG9" s="396"/>
      <c r="EH9" s="396"/>
      <c r="EI9" s="396"/>
      <c r="EJ9" s="396"/>
      <c r="EK9" s="396"/>
      <c r="EL9" s="396"/>
      <c r="EM9" s="396"/>
      <c r="EN9" s="396"/>
      <c r="EO9" s="396"/>
      <c r="EP9" s="219"/>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c r="HY9" s="18"/>
      <c r="HZ9" s="18"/>
      <c r="IA9" s="18"/>
      <c r="IB9" s="18"/>
      <c r="IC9" s="18"/>
      <c r="ID9" s="18"/>
      <c r="IE9" s="18"/>
      <c r="IF9" s="18"/>
      <c r="IG9" s="18"/>
      <c r="IH9" s="18"/>
      <c r="II9" s="18"/>
      <c r="IJ9" s="18"/>
      <c r="IK9" s="18"/>
      <c r="IL9" s="18"/>
      <c r="IM9" s="18"/>
      <c r="IN9" s="18"/>
      <c r="IO9" s="18"/>
      <c r="IP9" s="18"/>
      <c r="IQ9" s="18"/>
      <c r="IR9" s="18"/>
      <c r="IS9" s="18"/>
      <c r="IT9" s="18"/>
      <c r="IU9" s="18"/>
      <c r="IV9" s="18"/>
      <c r="IW9" s="18"/>
      <c r="IX9" s="18"/>
      <c r="IY9" s="18"/>
      <c r="IZ9" s="18"/>
      <c r="JA9" s="18"/>
      <c r="JB9" s="18"/>
      <c r="JC9" s="18"/>
      <c r="JD9" s="18"/>
      <c r="JE9" s="18"/>
      <c r="JF9" s="18"/>
      <c r="JG9" s="18"/>
      <c r="JH9" s="18"/>
      <c r="JI9" s="18"/>
      <c r="JJ9" s="18"/>
      <c r="JK9" s="18"/>
      <c r="JL9" s="18"/>
      <c r="JM9" s="18"/>
      <c r="JN9" s="18"/>
      <c r="JO9" s="18"/>
      <c r="JP9" s="18"/>
      <c r="JQ9" s="18"/>
      <c r="JR9" s="18"/>
      <c r="JS9" s="18"/>
      <c r="JT9" s="18"/>
      <c r="JU9" s="18"/>
      <c r="JV9" s="18"/>
      <c r="JW9" s="18"/>
      <c r="JX9" s="18"/>
      <c r="JY9"/>
      <c r="JZ9" s="262"/>
      <c r="KA9" s="262"/>
      <c r="KB9" s="262"/>
      <c r="KC9" s="262"/>
      <c r="KD9" s="262"/>
      <c r="KE9" s="262"/>
      <c r="KF9" s="262"/>
      <c r="KG9" s="262"/>
      <c r="KH9" s="262"/>
      <c r="KI9" s="262"/>
      <c r="KJ9" s="262"/>
      <c r="KK9" s="262"/>
      <c r="KL9" s="262"/>
      <c r="KM9" s="262"/>
      <c r="KN9" s="262"/>
      <c r="KO9" s="262"/>
      <c r="KP9" s="262"/>
      <c r="KQ9" s="262"/>
      <c r="KR9" s="262"/>
      <c r="KS9" s="262"/>
      <c r="KT9" s="262"/>
      <c r="KU9" s="262"/>
      <c r="KV9" s="262"/>
      <c r="KW9" s="262"/>
      <c r="KX9" s="262"/>
      <c r="KY9" s="262"/>
      <c r="KZ9" s="262"/>
      <c r="LA9" s="262"/>
      <c r="LB9" s="262"/>
      <c r="LC9" s="262"/>
      <c r="LD9" s="262"/>
      <c r="LE9" s="262"/>
      <c r="LF9" s="262"/>
      <c r="LG9" s="262"/>
      <c r="LH9" s="262"/>
      <c r="LI9" s="262"/>
      <c r="LJ9" s="262"/>
      <c r="LK9" s="262"/>
      <c r="LL9" s="262"/>
      <c r="LM9" s="262"/>
      <c r="LN9" s="262"/>
      <c r="LO9" s="262"/>
      <c r="LP9" s="262"/>
      <c r="LQ9" s="262"/>
      <c r="LR9" s="262"/>
      <c r="LS9" s="262"/>
      <c r="LT9" s="262"/>
      <c r="LU9" s="262"/>
      <c r="LV9" s="262"/>
      <c r="LW9" s="262"/>
      <c r="LX9" s="262"/>
      <c r="LY9" s="262"/>
      <c r="LZ9" s="262"/>
      <c r="MA9" s="262"/>
      <c r="MB9" s="262"/>
      <c r="MC9" s="262"/>
      <c r="MD9" s="262"/>
      <c r="ME9" s="262"/>
      <c r="MF9" s="262"/>
      <c r="MG9" s="262"/>
      <c r="MH9" s="262"/>
      <c r="MI9" s="262"/>
      <c r="MJ9" s="262"/>
      <c r="MK9" s="262"/>
      <c r="ML9" s="262"/>
      <c r="MM9" s="262"/>
      <c r="MN9" s="262"/>
      <c r="MO9" s="262"/>
      <c r="MP9" s="262"/>
      <c r="MQ9" s="262"/>
      <c r="MR9" s="262"/>
      <c r="MS9" s="262"/>
      <c r="MT9" s="262"/>
      <c r="MU9" s="262"/>
      <c r="MV9" s="262"/>
      <c r="MW9" s="262"/>
      <c r="MX9" s="262"/>
      <c r="MY9" s="262"/>
      <c r="MZ9" s="262"/>
      <c r="NA9" s="262"/>
      <c r="NB9" s="262"/>
      <c r="NC9" s="262"/>
      <c r="ND9" s="262"/>
      <c r="NE9" s="262"/>
      <c r="NF9" s="262"/>
      <c r="NG9" s="262"/>
      <c r="NH9" s="262"/>
      <c r="NI9" s="262"/>
      <c r="NJ9" s="262"/>
      <c r="NK9" s="262"/>
      <c r="NL9" s="262"/>
      <c r="NM9" s="262"/>
      <c r="NN9" s="262"/>
      <c r="NO9" s="262"/>
      <c r="NP9" s="262"/>
      <c r="NQ9" s="262"/>
      <c r="NR9" s="262"/>
      <c r="NS9" s="262"/>
      <c r="NT9" s="262"/>
      <c r="NU9" s="262"/>
      <c r="NV9" s="262"/>
      <c r="NW9" s="262"/>
      <c r="NX9" s="262"/>
      <c r="NY9" s="262"/>
      <c r="NZ9" s="262"/>
      <c r="OA9" s="262"/>
      <c r="OB9" s="262"/>
      <c r="OC9" s="262"/>
      <c r="OD9" s="262"/>
      <c r="OE9" s="262"/>
      <c r="OF9" s="262"/>
      <c r="OG9" s="262"/>
      <c r="OH9" s="262"/>
      <c r="OI9" s="262"/>
      <c r="OJ9" s="262"/>
      <c r="OK9" s="262"/>
      <c r="OL9" s="262"/>
      <c r="OM9" s="262"/>
      <c r="ON9" s="262"/>
      <c r="OO9" s="262"/>
      <c r="OP9" s="262"/>
      <c r="OQ9" s="262"/>
      <c r="OR9" s="262"/>
      <c r="OS9" s="262"/>
      <c r="OT9" s="262"/>
      <c r="OU9" s="262"/>
      <c r="OV9" s="262"/>
      <c r="OW9" s="262"/>
      <c r="OX9" s="262"/>
      <c r="OY9" s="262"/>
      <c r="OZ9" s="262"/>
      <c r="PA9" s="262"/>
      <c r="PB9" s="262"/>
      <c r="PC9" s="262"/>
      <c r="PD9" s="262"/>
      <c r="PE9" s="262"/>
      <c r="PF9" s="262"/>
      <c r="PG9" s="262"/>
      <c r="PH9" s="262"/>
    </row>
    <row r="10" spans="1:424" x14ac:dyDescent="0.35">
      <c r="A10"/>
      <c r="B10" s="64" t="s">
        <v>2</v>
      </c>
      <c r="C10" s="34"/>
      <c r="D10" s="397"/>
      <c r="E10" s="835" t="str">
        <f>'URWLD COMPANY INPUTS'!$F$38</f>
        <v>Port Melbourne</v>
      </c>
      <c r="F10" s="34" t="s">
        <v>105</v>
      </c>
      <c r="G10" s="397"/>
      <c r="H10" s="397"/>
      <c r="I10" s="887" t="str">
        <f>IF($E$10="Port Melbourne","VIC","")</f>
        <v>VIC</v>
      </c>
      <c r="J10" s="395"/>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6"/>
      <c r="AH10" s="396"/>
      <c r="AI10" s="396"/>
      <c r="AJ10" s="396"/>
      <c r="AK10" s="396"/>
      <c r="AL10" s="396"/>
      <c r="AM10" s="396"/>
      <c r="AN10" s="396"/>
      <c r="AO10" s="396"/>
      <c r="AP10" s="396"/>
      <c r="AQ10" s="396"/>
      <c r="AR10" s="396"/>
      <c r="AS10" s="396"/>
      <c r="AT10" s="396"/>
      <c r="AU10" s="396"/>
      <c r="AV10" s="396"/>
      <c r="AW10" s="396"/>
      <c r="AX10" s="396"/>
      <c r="AY10" s="396"/>
      <c r="AZ10" s="396"/>
      <c r="BA10" s="396"/>
      <c r="BB10" s="396"/>
      <c r="BC10" s="396"/>
      <c r="BD10" s="396"/>
      <c r="BE10" s="396"/>
      <c r="BF10" s="396"/>
      <c r="BG10" s="396"/>
      <c r="BH10" s="396"/>
      <c r="BI10" s="396"/>
      <c r="BJ10" s="396"/>
      <c r="BK10" s="396"/>
      <c r="BL10" s="396"/>
      <c r="BM10" s="396"/>
      <c r="BN10" s="396"/>
      <c r="BO10" s="396"/>
      <c r="BP10" s="396"/>
      <c r="BQ10" s="396"/>
      <c r="BR10" s="396"/>
      <c r="BS10" s="396"/>
      <c r="BT10" s="396"/>
      <c r="BU10" s="396"/>
      <c r="BV10" s="396"/>
      <c r="BW10" s="396"/>
      <c r="BX10" s="396"/>
      <c r="BY10" s="396"/>
      <c r="BZ10" s="396"/>
      <c r="CA10" s="396"/>
      <c r="CB10" s="396"/>
      <c r="CC10" s="396"/>
      <c r="CD10" s="396"/>
      <c r="CE10" s="396"/>
      <c r="CF10" s="396"/>
      <c r="CG10" s="396"/>
      <c r="CH10" s="396"/>
      <c r="CI10" s="396"/>
      <c r="CJ10" s="396"/>
      <c r="CK10" s="396"/>
      <c r="CL10" s="396"/>
      <c r="CM10" s="396"/>
      <c r="CN10" s="396"/>
      <c r="CO10" s="396"/>
      <c r="CP10" s="396"/>
      <c r="CQ10" s="396"/>
      <c r="CR10" s="396"/>
      <c r="CS10" s="396"/>
      <c r="CT10" s="396"/>
      <c r="CU10" s="396"/>
      <c r="CV10" s="396"/>
      <c r="CW10" s="396"/>
      <c r="CX10" s="396"/>
      <c r="CY10" s="396"/>
      <c r="CZ10" s="396"/>
      <c r="DA10" s="396"/>
      <c r="DB10" s="396"/>
      <c r="DC10" s="396"/>
      <c r="DD10" s="396"/>
      <c r="DE10" s="396"/>
      <c r="DF10" s="396"/>
      <c r="DG10" s="396"/>
      <c r="DH10" s="396"/>
      <c r="DI10" s="396"/>
      <c r="DJ10" s="396"/>
      <c r="DK10" s="396"/>
      <c r="DL10" s="396"/>
      <c r="DM10" s="396"/>
      <c r="DN10" s="396"/>
      <c r="DO10" s="396"/>
      <c r="DP10" s="396"/>
      <c r="DQ10" s="396"/>
      <c r="DR10" s="396"/>
      <c r="DS10" s="396"/>
      <c r="DT10" s="396"/>
      <c r="DU10" s="396"/>
      <c r="DV10" s="396"/>
      <c r="DW10" s="396"/>
      <c r="DX10" s="396"/>
      <c r="DY10" s="396"/>
      <c r="DZ10" s="396"/>
      <c r="EA10" s="396"/>
      <c r="EB10" s="396"/>
      <c r="EC10" s="396"/>
      <c r="ED10" s="396"/>
      <c r="EE10" s="396"/>
      <c r="EF10" s="396"/>
      <c r="EG10" s="396"/>
      <c r="EH10" s="396"/>
      <c r="EI10" s="396"/>
      <c r="EJ10" s="396"/>
      <c r="EK10" s="396"/>
      <c r="EL10" s="396"/>
      <c r="EM10" s="396"/>
      <c r="EN10" s="396"/>
      <c r="EO10" s="396"/>
      <c r="EP10" s="219"/>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c r="JB10" s="18"/>
      <c r="JC10" s="18"/>
      <c r="JD10" s="18"/>
      <c r="JE10" s="18"/>
      <c r="JF10" s="18"/>
      <c r="JG10" s="18"/>
      <c r="JH10" s="18"/>
      <c r="JI10" s="18"/>
      <c r="JJ10" s="18"/>
      <c r="JK10" s="18"/>
      <c r="JL10" s="18"/>
      <c r="JM10" s="18"/>
      <c r="JN10" s="18"/>
      <c r="JO10" s="18"/>
      <c r="JP10" s="18"/>
      <c r="JQ10" s="18"/>
      <c r="JR10" s="18"/>
      <c r="JS10" s="18"/>
      <c r="JT10" s="18"/>
      <c r="JU10" s="18"/>
      <c r="JV10" s="18"/>
      <c r="JW10" s="18"/>
      <c r="JX10" s="18"/>
      <c r="JY10"/>
      <c r="JZ10" s="262"/>
      <c r="KA10" s="262"/>
      <c r="KB10" s="262"/>
      <c r="KC10" s="262"/>
      <c r="KD10" s="262"/>
      <c r="KE10" s="262"/>
      <c r="KF10" s="262"/>
      <c r="KG10" s="262"/>
      <c r="KH10" s="262"/>
      <c r="KI10" s="262"/>
      <c r="KJ10" s="262"/>
      <c r="KK10" s="262"/>
      <c r="KL10" s="262"/>
      <c r="KM10" s="262"/>
      <c r="KN10" s="262"/>
      <c r="KO10" s="262"/>
      <c r="KP10" s="262"/>
      <c r="KQ10" s="262"/>
      <c r="KR10" s="262"/>
      <c r="KS10" s="262"/>
      <c r="KT10" s="262"/>
      <c r="KU10" s="262"/>
      <c r="KV10" s="262"/>
      <c r="KW10" s="262"/>
      <c r="KX10" s="262"/>
      <c r="KY10" s="262"/>
      <c r="KZ10" s="262"/>
      <c r="LA10" s="262"/>
      <c r="LB10" s="262"/>
      <c r="LC10" s="262"/>
      <c r="LD10" s="262"/>
      <c r="LE10" s="262"/>
      <c r="LF10" s="262"/>
      <c r="LG10" s="262"/>
      <c r="LH10" s="262"/>
      <c r="LI10" s="262"/>
      <c r="LJ10" s="262"/>
      <c r="LK10" s="262"/>
      <c r="LL10" s="262"/>
      <c r="LM10" s="262"/>
      <c r="LN10" s="262"/>
      <c r="LO10" s="262"/>
      <c r="LP10" s="262"/>
      <c r="LQ10" s="262"/>
      <c r="LR10" s="262"/>
      <c r="LS10" s="262"/>
      <c r="LT10" s="262"/>
      <c r="LU10" s="262"/>
      <c r="LV10" s="262"/>
      <c r="LW10" s="262"/>
      <c r="LX10" s="262"/>
      <c r="LY10" s="262"/>
      <c r="LZ10" s="262"/>
      <c r="MA10" s="262"/>
      <c r="MB10" s="262"/>
      <c r="MC10" s="262"/>
      <c r="MD10" s="262"/>
      <c r="ME10" s="262"/>
      <c r="MF10" s="262"/>
      <c r="MG10" s="262"/>
      <c r="MH10" s="262"/>
      <c r="MI10" s="262"/>
      <c r="MJ10" s="262"/>
      <c r="MK10" s="262"/>
      <c r="ML10" s="262"/>
      <c r="MM10" s="262"/>
      <c r="MN10" s="262"/>
      <c r="MO10" s="262"/>
      <c r="MP10" s="262"/>
      <c r="MQ10" s="262"/>
      <c r="MR10" s="262"/>
      <c r="MS10" s="262"/>
      <c r="MT10" s="262"/>
      <c r="MU10" s="262"/>
      <c r="MV10" s="262"/>
      <c r="MW10" s="262"/>
      <c r="MX10" s="262"/>
      <c r="MY10" s="262"/>
      <c r="MZ10" s="262"/>
      <c r="NA10" s="262"/>
      <c r="NB10" s="262"/>
      <c r="NC10" s="262"/>
      <c r="ND10" s="262"/>
      <c r="NE10" s="262"/>
      <c r="NF10" s="262"/>
      <c r="NG10" s="262"/>
      <c r="NH10" s="262"/>
      <c r="NI10" s="262"/>
      <c r="NJ10" s="262"/>
      <c r="NK10" s="262"/>
      <c r="NL10" s="262"/>
      <c r="NM10" s="262"/>
      <c r="NN10" s="262"/>
      <c r="NO10" s="262"/>
      <c r="NP10" s="262"/>
      <c r="NQ10" s="262"/>
      <c r="NR10" s="262"/>
      <c r="NS10" s="262"/>
      <c r="NT10" s="262"/>
      <c r="NU10" s="262"/>
      <c r="NV10" s="262"/>
      <c r="NW10" s="262"/>
      <c r="NX10" s="262"/>
      <c r="NY10" s="262"/>
      <c r="NZ10" s="262"/>
      <c r="OA10" s="262"/>
      <c r="OB10" s="262"/>
      <c r="OC10" s="262"/>
      <c r="OD10" s="262"/>
      <c r="OE10" s="262"/>
      <c r="OF10" s="262"/>
      <c r="OG10" s="262"/>
      <c r="OH10" s="262"/>
      <c r="OI10" s="262"/>
      <c r="OJ10" s="262"/>
      <c r="OK10" s="262"/>
      <c r="OL10" s="262"/>
      <c r="OM10" s="262"/>
      <c r="ON10" s="262"/>
      <c r="OO10" s="262"/>
      <c r="OP10" s="262"/>
      <c r="OQ10" s="262"/>
      <c r="OR10" s="262"/>
      <c r="OS10" s="262"/>
      <c r="OT10" s="262"/>
      <c r="OU10" s="262"/>
      <c r="OV10" s="262"/>
      <c r="OW10" s="262"/>
      <c r="OX10" s="262"/>
      <c r="OY10" s="262"/>
      <c r="OZ10" s="262"/>
      <c r="PA10" s="262"/>
      <c r="PB10" s="262"/>
      <c r="PC10" s="262"/>
      <c r="PD10" s="262"/>
      <c r="PE10" s="262"/>
      <c r="PF10" s="262"/>
      <c r="PG10" s="262"/>
      <c r="PH10" s="262"/>
    </row>
    <row r="11" spans="1:424" x14ac:dyDescent="0.35">
      <c r="A11"/>
      <c r="B11" s="34" t="s">
        <v>106</v>
      </c>
      <c r="C11" s="34"/>
      <c r="D11" s="397"/>
      <c r="E11" s="835" t="str">
        <f>'URWLD COMPANY INPUTS'!$F$38</f>
        <v>Port Melbourne</v>
      </c>
      <c r="F11" s="34" t="s">
        <v>107</v>
      </c>
      <c r="G11" s="397"/>
      <c r="H11" s="397"/>
      <c r="I11" s="65" t="s">
        <v>108</v>
      </c>
      <c r="J11" s="395"/>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c r="AM11" s="396"/>
      <c r="AN11" s="396"/>
      <c r="AO11" s="396"/>
      <c r="AP11" s="396"/>
      <c r="AQ11" s="396"/>
      <c r="AR11" s="396"/>
      <c r="AS11" s="396"/>
      <c r="AT11" s="396"/>
      <c r="AU11" s="396"/>
      <c r="AV11" s="396"/>
      <c r="AW11" s="396"/>
      <c r="AX11" s="396"/>
      <c r="AY11" s="396"/>
      <c r="AZ11" s="396"/>
      <c r="BA11" s="396"/>
      <c r="BB11" s="396"/>
      <c r="BC11" s="396"/>
      <c r="BD11" s="396"/>
      <c r="BE11" s="396"/>
      <c r="BF11" s="396"/>
      <c r="BG11" s="396"/>
      <c r="BH11" s="396"/>
      <c r="BI11" s="396"/>
      <c r="BJ11" s="396"/>
      <c r="BK11" s="396"/>
      <c r="BL11" s="396"/>
      <c r="BM11" s="396"/>
      <c r="BN11" s="396"/>
      <c r="BO11" s="396"/>
      <c r="BP11" s="396"/>
      <c r="BQ11" s="396"/>
      <c r="BR11" s="396"/>
      <c r="BS11" s="396"/>
      <c r="BT11" s="396"/>
      <c r="BU11" s="396"/>
      <c r="BV11" s="396"/>
      <c r="BW11" s="396"/>
      <c r="BX11" s="396"/>
      <c r="BY11" s="396"/>
      <c r="BZ11" s="396"/>
      <c r="CA11" s="396"/>
      <c r="CB11" s="396"/>
      <c r="CC11" s="396"/>
      <c r="CD11" s="396"/>
      <c r="CE11" s="396"/>
      <c r="CF11" s="396"/>
      <c r="CG11" s="396"/>
      <c r="CH11" s="396"/>
      <c r="CI11" s="396"/>
      <c r="CJ11" s="396"/>
      <c r="CK11" s="396"/>
      <c r="CL11" s="396"/>
      <c r="CM11" s="396"/>
      <c r="CN11" s="396"/>
      <c r="CO11" s="396"/>
      <c r="CP11" s="396"/>
      <c r="CQ11" s="396"/>
      <c r="CR11" s="396"/>
      <c r="CS11" s="396"/>
      <c r="CT11" s="396"/>
      <c r="CU11" s="396"/>
      <c r="CV11" s="396"/>
      <c r="CW11" s="396"/>
      <c r="CX11" s="396"/>
      <c r="CY11" s="396"/>
      <c r="CZ11" s="396"/>
      <c r="DA11" s="396"/>
      <c r="DB11" s="396"/>
      <c r="DC11" s="396"/>
      <c r="DD11" s="396"/>
      <c r="DE11" s="396"/>
      <c r="DF11" s="396"/>
      <c r="DG11" s="396"/>
      <c r="DH11" s="396"/>
      <c r="DI11" s="396"/>
      <c r="DJ11" s="396"/>
      <c r="DK11" s="396"/>
      <c r="DL11" s="396"/>
      <c r="DM11" s="396"/>
      <c r="DN11" s="396"/>
      <c r="DO11" s="396"/>
      <c r="DP11" s="396"/>
      <c r="DQ11" s="396"/>
      <c r="DR11" s="396"/>
      <c r="DS11" s="396"/>
      <c r="DT11" s="396"/>
      <c r="DU11" s="396"/>
      <c r="DV11" s="396"/>
      <c r="DW11" s="396"/>
      <c r="DX11" s="396"/>
      <c r="DY11" s="396"/>
      <c r="DZ11" s="396"/>
      <c r="EA11" s="396"/>
      <c r="EB11" s="396"/>
      <c r="EC11" s="396"/>
      <c r="ED11" s="396"/>
      <c r="EE11" s="396"/>
      <c r="EF11" s="396"/>
      <c r="EG11" s="396"/>
      <c r="EH11" s="396"/>
      <c r="EI11" s="396"/>
      <c r="EJ11" s="396"/>
      <c r="EK11" s="396"/>
      <c r="EL11" s="396"/>
      <c r="EM11" s="396"/>
      <c r="EN11" s="396"/>
      <c r="EO11" s="396"/>
      <c r="EP11" s="219"/>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8"/>
      <c r="IP11" s="18"/>
      <c r="IQ11" s="18"/>
      <c r="IR11" s="18"/>
      <c r="IS11" s="18"/>
      <c r="IT11" s="18"/>
      <c r="IU11" s="18"/>
      <c r="IV11" s="18"/>
      <c r="IW11" s="18"/>
      <c r="IX11" s="18"/>
      <c r="IY11" s="18"/>
      <c r="IZ11" s="18"/>
      <c r="JA11" s="18"/>
      <c r="JB11" s="18"/>
      <c r="JC11" s="18"/>
      <c r="JD11" s="18"/>
      <c r="JE11" s="18"/>
      <c r="JF11" s="18"/>
      <c r="JG11" s="18"/>
      <c r="JH11" s="18"/>
      <c r="JI11" s="18"/>
      <c r="JJ11" s="18"/>
      <c r="JK11" s="18"/>
      <c r="JL11" s="18"/>
      <c r="JM11" s="18"/>
      <c r="JN11" s="18"/>
      <c r="JO11" s="18"/>
      <c r="JP11" s="18"/>
      <c r="JQ11" s="18"/>
      <c r="JR11" s="18"/>
      <c r="JS11" s="18"/>
      <c r="JT11" s="18"/>
      <c r="JU11" s="18"/>
      <c r="JV11" s="18"/>
      <c r="JW11" s="18"/>
      <c r="JX11" s="18"/>
      <c r="JY11"/>
      <c r="JZ11" s="262"/>
      <c r="KA11" s="262"/>
      <c r="KB11" s="262"/>
      <c r="KC11" s="262"/>
      <c r="KD11" s="262"/>
      <c r="KE11" s="262"/>
      <c r="KF11" s="262"/>
      <c r="KG11" s="262"/>
      <c r="KH11" s="262"/>
      <c r="KI11" s="262"/>
      <c r="KJ11" s="262"/>
      <c r="KK11" s="262"/>
      <c r="KL11" s="262"/>
      <c r="KM11" s="262"/>
      <c r="KN11" s="262"/>
      <c r="KO11" s="262"/>
      <c r="KP11" s="262"/>
      <c r="KQ11" s="262"/>
      <c r="KR11" s="262"/>
      <c r="KS11" s="262"/>
      <c r="KT11" s="262"/>
      <c r="KU11" s="262"/>
      <c r="KV11" s="262"/>
      <c r="KW11" s="262"/>
      <c r="KX11" s="262"/>
      <c r="KY11" s="262"/>
      <c r="KZ11" s="262"/>
      <c r="LA11" s="262"/>
      <c r="LB11" s="262"/>
      <c r="LC11" s="262"/>
      <c r="LD11" s="262"/>
      <c r="LE11" s="262"/>
      <c r="LF11" s="262"/>
      <c r="LG11" s="262"/>
      <c r="LH11" s="262"/>
      <c r="LI11" s="262"/>
      <c r="LJ11" s="262"/>
      <c r="LK11" s="262"/>
      <c r="LL11" s="262"/>
      <c r="LM11" s="262"/>
      <c r="LN11" s="262"/>
      <c r="LO11" s="262"/>
      <c r="LP11" s="262"/>
      <c r="LQ11" s="262"/>
      <c r="LR11" s="262"/>
      <c r="LS11" s="262"/>
      <c r="LT11" s="262"/>
      <c r="LU11" s="262"/>
      <c r="LV11" s="262"/>
      <c r="LW11" s="262"/>
      <c r="LX11" s="262"/>
      <c r="LY11" s="262"/>
      <c r="LZ11" s="262"/>
      <c r="MA11" s="262"/>
      <c r="MB11" s="262"/>
      <c r="MC11" s="262"/>
      <c r="MD11" s="262"/>
      <c r="ME11" s="262"/>
      <c r="MF11" s="262"/>
      <c r="MG11" s="262"/>
      <c r="MH11" s="262"/>
      <c r="MI11" s="262"/>
      <c r="MJ11" s="262"/>
      <c r="MK11" s="262"/>
      <c r="ML11" s="262"/>
      <c r="MM11" s="262"/>
      <c r="MN11" s="262"/>
      <c r="MO11" s="262"/>
      <c r="MP11" s="262"/>
      <c r="MQ11" s="262"/>
      <c r="MR11" s="262"/>
      <c r="MS11" s="262"/>
      <c r="MT11" s="262"/>
      <c r="MU11" s="262"/>
      <c r="MV11" s="262"/>
      <c r="MW11" s="262"/>
      <c r="MX11" s="262"/>
      <c r="MY11" s="262"/>
      <c r="MZ11" s="262"/>
      <c r="NA11" s="262"/>
      <c r="NB11" s="262"/>
      <c r="NC11" s="262"/>
      <c r="ND11" s="262"/>
      <c r="NE11" s="262"/>
      <c r="NF11" s="262"/>
      <c r="NG11" s="262"/>
      <c r="NH11" s="262"/>
      <c r="NI11" s="262"/>
      <c r="NJ11" s="262"/>
      <c r="NK11" s="262"/>
      <c r="NL11" s="262"/>
      <c r="NM11" s="262"/>
      <c r="NN11" s="262"/>
      <c r="NO11" s="262"/>
      <c r="NP11" s="262"/>
      <c r="NQ11" s="262"/>
      <c r="NR11" s="262"/>
      <c r="NS11" s="262"/>
      <c r="NT11" s="262"/>
      <c r="NU11" s="262"/>
      <c r="NV11" s="262"/>
      <c r="NW11" s="262"/>
      <c r="NX11" s="262"/>
      <c r="NY11" s="262"/>
      <c r="NZ11" s="262"/>
      <c r="OA11" s="262"/>
      <c r="OB11" s="262"/>
      <c r="OC11" s="262"/>
      <c r="OD11" s="262"/>
      <c r="OE11" s="262"/>
      <c r="OF11" s="262"/>
      <c r="OG11" s="262"/>
      <c r="OH11" s="262"/>
      <c r="OI11" s="262"/>
      <c r="OJ11" s="262"/>
      <c r="OK11" s="262"/>
      <c r="OL11" s="262"/>
      <c r="OM11" s="262"/>
      <c r="ON11" s="262"/>
      <c r="OO11" s="262"/>
      <c r="OP11" s="262"/>
      <c r="OQ11" s="262"/>
      <c r="OR11" s="262"/>
      <c r="OS11" s="262"/>
      <c r="OT11" s="262"/>
      <c r="OU11" s="262"/>
      <c r="OV11" s="262"/>
      <c r="OW11" s="262"/>
      <c r="OX11" s="262"/>
      <c r="OY11" s="262"/>
      <c r="OZ11" s="262"/>
      <c r="PA11" s="262"/>
      <c r="PB11" s="262"/>
      <c r="PC11" s="262"/>
      <c r="PD11" s="262"/>
      <c r="PE11" s="262"/>
      <c r="PF11" s="262"/>
      <c r="PG11" s="262"/>
      <c r="PH11" s="262"/>
    </row>
    <row r="12" spans="1:424" x14ac:dyDescent="0.35">
      <c r="A12"/>
      <c r="B12" s="34"/>
      <c r="C12" s="34"/>
      <c r="D12" s="397"/>
      <c r="E12" s="398"/>
      <c r="F12" s="34"/>
      <c r="G12" s="397"/>
      <c r="H12" s="397"/>
      <c r="I12" s="65"/>
      <c r="J12" s="395"/>
      <c r="K12" s="396"/>
      <c r="L12" s="396"/>
      <c r="M12" s="396"/>
      <c r="N12" s="396"/>
      <c r="O12" s="396"/>
      <c r="P12" s="396"/>
      <c r="Q12" s="396"/>
      <c r="R12" s="396"/>
      <c r="S12" s="396"/>
      <c r="T12" s="396"/>
      <c r="U12" s="396"/>
      <c r="V12" s="396"/>
      <c r="W12" s="396"/>
      <c r="X12" s="396"/>
      <c r="Y12" s="396"/>
      <c r="Z12" s="396"/>
      <c r="AA12" s="396"/>
      <c r="AB12" s="396"/>
      <c r="AC12" s="396"/>
      <c r="AD12" s="396"/>
      <c r="AE12" s="396"/>
      <c r="AF12" s="396"/>
      <c r="AG12" s="396"/>
      <c r="AH12" s="396"/>
      <c r="AI12" s="396"/>
      <c r="AJ12" s="396"/>
      <c r="AK12" s="396"/>
      <c r="AL12" s="396"/>
      <c r="AM12" s="396"/>
      <c r="AN12" s="396"/>
      <c r="AO12" s="396"/>
      <c r="AP12" s="396"/>
      <c r="AQ12" s="396"/>
      <c r="AR12" s="396"/>
      <c r="AS12" s="396"/>
      <c r="AT12" s="396"/>
      <c r="AU12" s="396"/>
      <c r="AV12" s="396"/>
      <c r="AW12" s="396"/>
      <c r="AX12" s="396"/>
      <c r="AY12" s="396"/>
      <c r="AZ12" s="396"/>
      <c r="BA12" s="396"/>
      <c r="BB12" s="396"/>
      <c r="BC12" s="396"/>
      <c r="BD12" s="396"/>
      <c r="BE12" s="396"/>
      <c r="BF12" s="396"/>
      <c r="BG12" s="396"/>
      <c r="BH12" s="396"/>
      <c r="BI12" s="396"/>
      <c r="BJ12" s="396"/>
      <c r="BK12" s="396"/>
      <c r="BL12" s="396"/>
      <c r="BM12" s="396"/>
      <c r="BN12" s="396"/>
      <c r="BO12" s="396"/>
      <c r="BP12" s="396"/>
      <c r="BQ12" s="396"/>
      <c r="BR12" s="396"/>
      <c r="BS12" s="396"/>
      <c r="BT12" s="396"/>
      <c r="BU12" s="396"/>
      <c r="BV12" s="396"/>
      <c r="BW12" s="396"/>
      <c r="BX12" s="396"/>
      <c r="BY12" s="396"/>
      <c r="BZ12" s="396"/>
      <c r="CA12" s="396"/>
      <c r="CB12" s="396"/>
      <c r="CC12" s="396"/>
      <c r="CD12" s="396"/>
      <c r="CE12" s="396"/>
      <c r="CF12" s="396"/>
      <c r="CG12" s="396"/>
      <c r="CH12" s="396"/>
      <c r="CI12" s="396"/>
      <c r="CJ12" s="396"/>
      <c r="CK12" s="396"/>
      <c r="CL12" s="396"/>
      <c r="CM12" s="396"/>
      <c r="CN12" s="396"/>
      <c r="CO12" s="396"/>
      <c r="CP12" s="396"/>
      <c r="CQ12" s="396"/>
      <c r="CR12" s="396"/>
      <c r="CS12" s="396"/>
      <c r="CT12" s="396"/>
      <c r="CU12" s="396"/>
      <c r="CV12" s="396"/>
      <c r="CW12" s="396"/>
      <c r="CX12" s="396"/>
      <c r="CY12" s="396"/>
      <c r="CZ12" s="396"/>
      <c r="DA12" s="396"/>
      <c r="DB12" s="396"/>
      <c r="DC12" s="396"/>
      <c r="DD12" s="396"/>
      <c r="DE12" s="396"/>
      <c r="DF12" s="396"/>
      <c r="DG12" s="396"/>
      <c r="DH12" s="396"/>
      <c r="DI12" s="396"/>
      <c r="DJ12" s="396"/>
      <c r="DK12" s="396"/>
      <c r="DL12" s="396"/>
      <c r="DM12" s="396"/>
      <c r="DN12" s="396"/>
      <c r="DO12" s="396"/>
      <c r="DP12" s="396"/>
      <c r="DQ12" s="396"/>
      <c r="DR12" s="396"/>
      <c r="DS12" s="396"/>
      <c r="DT12" s="396"/>
      <c r="DU12" s="396"/>
      <c r="DV12" s="396"/>
      <c r="DW12" s="396"/>
      <c r="DX12" s="396"/>
      <c r="DY12" s="396"/>
      <c r="DZ12" s="396"/>
      <c r="EA12" s="396"/>
      <c r="EB12" s="396"/>
      <c r="EC12" s="396"/>
      <c r="ED12" s="396"/>
      <c r="EE12" s="396"/>
      <c r="EF12" s="396"/>
      <c r="EG12" s="396"/>
      <c r="EH12" s="396"/>
      <c r="EI12" s="396"/>
      <c r="EJ12" s="396"/>
      <c r="EK12" s="396"/>
      <c r="EL12" s="396"/>
      <c r="EM12" s="396"/>
      <c r="EN12" s="396"/>
      <c r="EO12" s="396"/>
      <c r="EP12" s="219"/>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s="18"/>
      <c r="HU12" s="18"/>
      <c r="HV12" s="18"/>
      <c r="HW12" s="18"/>
      <c r="HX12" s="18"/>
      <c r="HY12" s="18"/>
      <c r="HZ12" s="18"/>
      <c r="IA12" s="18"/>
      <c r="IB12" s="18"/>
      <c r="IC12" s="18"/>
      <c r="ID12" s="18"/>
      <c r="IE12" s="18"/>
      <c r="IF12" s="18"/>
      <c r="IG12" s="18"/>
      <c r="IH12" s="18"/>
      <c r="II12" s="18"/>
      <c r="IJ12" s="18"/>
      <c r="IK12" s="18"/>
      <c r="IL12" s="18"/>
      <c r="IM12" s="18"/>
      <c r="IN12" s="18"/>
      <c r="IO12" s="18"/>
      <c r="IP12" s="18"/>
      <c r="IQ12" s="18"/>
      <c r="IR12" s="18"/>
      <c r="IS12" s="18"/>
      <c r="IT12" s="18"/>
      <c r="IU12" s="18"/>
      <c r="IV12" s="18"/>
      <c r="IW12" s="18"/>
      <c r="IX12" s="18"/>
      <c r="IY12" s="18"/>
      <c r="IZ12" s="18"/>
      <c r="JA12" s="18"/>
      <c r="JB12" s="18"/>
      <c r="JC12" s="18"/>
      <c r="JD12" s="18"/>
      <c r="JE12" s="18"/>
      <c r="JF12" s="18"/>
      <c r="JG12" s="18"/>
      <c r="JH12" s="18"/>
      <c r="JI12" s="18"/>
      <c r="JJ12" s="18"/>
      <c r="JK12" s="18"/>
      <c r="JL12" s="18"/>
      <c r="JM12" s="18"/>
      <c r="JN12" s="18"/>
      <c r="JO12" s="18"/>
      <c r="JP12" s="18"/>
      <c r="JQ12" s="18"/>
      <c r="JR12" s="18"/>
      <c r="JS12" s="18"/>
      <c r="JT12" s="18"/>
      <c r="JU12" s="18"/>
      <c r="JV12" s="18"/>
      <c r="JW12" s="18"/>
      <c r="JX12" s="18"/>
      <c r="JY12"/>
      <c r="JZ12" s="262"/>
      <c r="KA12" s="262"/>
      <c r="KB12" s="262"/>
      <c r="KC12" s="262"/>
      <c r="KD12" s="262"/>
      <c r="KE12" s="262"/>
      <c r="KF12" s="262"/>
      <c r="KG12" s="262"/>
      <c r="KH12" s="262"/>
      <c r="KI12" s="262"/>
      <c r="KJ12" s="262"/>
      <c r="KK12" s="262"/>
      <c r="KL12" s="262"/>
      <c r="KM12" s="262"/>
      <c r="KN12" s="262"/>
      <c r="KO12" s="262"/>
      <c r="KP12" s="262"/>
      <c r="KQ12" s="262"/>
      <c r="KR12" s="262"/>
      <c r="KS12" s="262"/>
      <c r="KT12" s="262"/>
      <c r="KU12" s="262"/>
      <c r="KV12" s="262"/>
      <c r="KW12" s="262"/>
      <c r="KX12" s="262"/>
      <c r="KY12" s="262"/>
      <c r="KZ12" s="262"/>
      <c r="LA12" s="262"/>
      <c r="LB12" s="262"/>
      <c r="LC12" s="262"/>
      <c r="LD12" s="262"/>
      <c r="LE12" s="262"/>
      <c r="LF12" s="262"/>
      <c r="LG12" s="262"/>
      <c r="LH12" s="262"/>
      <c r="LI12" s="262"/>
      <c r="LJ12" s="262"/>
      <c r="LK12" s="262"/>
      <c r="LL12" s="262"/>
      <c r="LM12" s="262"/>
      <c r="LN12" s="262"/>
      <c r="LO12" s="262"/>
      <c r="LP12" s="262"/>
      <c r="LQ12" s="262"/>
      <c r="LR12" s="262"/>
      <c r="LS12" s="262"/>
      <c r="LT12" s="262"/>
      <c r="LU12" s="262"/>
      <c r="LV12" s="262"/>
      <c r="LW12" s="262"/>
      <c r="LX12" s="262"/>
      <c r="LY12" s="262"/>
      <c r="LZ12" s="262"/>
      <c r="MA12" s="262"/>
      <c r="MB12" s="262"/>
      <c r="MC12" s="262"/>
      <c r="MD12" s="262"/>
      <c r="ME12" s="262"/>
      <c r="MF12" s="262"/>
      <c r="MG12" s="262"/>
      <c r="MH12" s="262"/>
      <c r="MI12" s="262"/>
      <c r="MJ12" s="262"/>
      <c r="MK12" s="262"/>
      <c r="ML12" s="262"/>
      <c r="MM12" s="262"/>
      <c r="MN12" s="262"/>
      <c r="MO12" s="262"/>
      <c r="MP12" s="262"/>
      <c r="MQ12" s="262"/>
      <c r="MR12" s="262"/>
      <c r="MS12" s="262"/>
      <c r="MT12" s="262"/>
      <c r="MU12" s="262"/>
      <c r="MV12" s="262"/>
      <c r="MW12" s="262"/>
      <c r="MX12" s="262"/>
      <c r="MY12" s="262"/>
      <c r="MZ12" s="262"/>
      <c r="NA12" s="262"/>
      <c r="NB12" s="262"/>
      <c r="NC12" s="262"/>
      <c r="ND12" s="262"/>
      <c r="NE12" s="262"/>
      <c r="NF12" s="262"/>
      <c r="NG12" s="262"/>
      <c r="NH12" s="262"/>
      <c r="NI12" s="262"/>
      <c r="NJ12" s="262"/>
      <c r="NK12" s="262"/>
      <c r="NL12" s="262"/>
      <c r="NM12" s="262"/>
      <c r="NN12" s="262"/>
      <c r="NO12" s="262"/>
      <c r="NP12" s="262"/>
      <c r="NQ12" s="262"/>
      <c r="NR12" s="262"/>
      <c r="NS12" s="262"/>
      <c r="NT12" s="262"/>
      <c r="NU12" s="262"/>
      <c r="NV12" s="262"/>
      <c r="NW12" s="262"/>
      <c r="NX12" s="262"/>
      <c r="NY12" s="262"/>
      <c r="NZ12" s="262"/>
      <c r="OA12" s="262"/>
      <c r="OB12" s="262"/>
      <c r="OC12" s="262"/>
      <c r="OD12" s="262"/>
      <c r="OE12" s="262"/>
      <c r="OF12" s="262"/>
      <c r="OG12" s="262"/>
      <c r="OH12" s="262"/>
      <c r="OI12" s="262"/>
      <c r="OJ12" s="262"/>
      <c r="OK12" s="262"/>
      <c r="OL12" s="262"/>
      <c r="OM12" s="262"/>
      <c r="ON12" s="262"/>
      <c r="OO12" s="262"/>
      <c r="OP12" s="262"/>
      <c r="OQ12" s="262"/>
      <c r="OR12" s="262"/>
      <c r="OS12" s="262"/>
      <c r="OT12" s="262"/>
      <c r="OU12" s="262"/>
      <c r="OV12" s="262"/>
      <c r="OW12" s="262"/>
      <c r="OX12" s="262"/>
      <c r="OY12" s="262"/>
      <c r="OZ12" s="262"/>
      <c r="PA12" s="262"/>
      <c r="PB12" s="262"/>
      <c r="PC12" s="262"/>
      <c r="PD12" s="262"/>
      <c r="PE12" s="262"/>
      <c r="PF12" s="262"/>
      <c r="PG12" s="262"/>
      <c r="PH12" s="262"/>
    </row>
    <row r="13" spans="1:424" x14ac:dyDescent="0.35">
      <c r="A13"/>
      <c r="B13" s="34" t="s">
        <v>109</v>
      </c>
      <c r="C13" s="34"/>
      <c r="D13" s="397"/>
      <c r="E13" s="839">
        <f>DATE(VALUE(RIGHT('URWLD COMPANY INPUTS'!$F$45,4)),VALUE(MID('URWLD COMPANY INPUTS'!$F$45,2,1))*3-2,1)</f>
        <v>46204</v>
      </c>
      <c r="F13" s="34" t="s">
        <v>110</v>
      </c>
      <c r="G13" s="397"/>
      <c r="H13" s="397"/>
      <c r="I13" s="888" t="str">
        <f>IF($E$10&lt;&gt;"","Australia","")</f>
        <v>Australia</v>
      </c>
      <c r="J13" s="395"/>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c r="AM13" s="396"/>
      <c r="AN13" s="396"/>
      <c r="AO13" s="396"/>
      <c r="AP13" s="396"/>
      <c r="AQ13" s="396"/>
      <c r="AR13" s="396"/>
      <c r="AS13" s="396"/>
      <c r="AT13" s="396"/>
      <c r="AU13" s="396"/>
      <c r="AV13" s="396"/>
      <c r="AW13" s="396"/>
      <c r="AX13" s="396"/>
      <c r="AY13" s="396"/>
      <c r="AZ13" s="396"/>
      <c r="BA13" s="396"/>
      <c r="BB13" s="396"/>
      <c r="BC13" s="396"/>
      <c r="BD13" s="396"/>
      <c r="BE13" s="396"/>
      <c r="BF13" s="396"/>
      <c r="BG13" s="396"/>
      <c r="BH13" s="396"/>
      <c r="BI13" s="396"/>
      <c r="BJ13" s="396"/>
      <c r="BK13" s="396"/>
      <c r="BL13" s="396"/>
      <c r="BM13" s="396"/>
      <c r="BN13" s="396"/>
      <c r="BO13" s="396"/>
      <c r="BP13" s="396"/>
      <c r="BQ13" s="396"/>
      <c r="BR13" s="396"/>
      <c r="BS13" s="396"/>
      <c r="BT13" s="396"/>
      <c r="BU13" s="396"/>
      <c r="BV13" s="396"/>
      <c r="BW13" s="396"/>
      <c r="BX13" s="396"/>
      <c r="BY13" s="396"/>
      <c r="BZ13" s="396"/>
      <c r="CA13" s="396"/>
      <c r="CB13" s="396"/>
      <c r="CC13" s="396"/>
      <c r="CD13" s="396"/>
      <c r="CE13" s="396"/>
      <c r="CF13" s="396"/>
      <c r="CG13" s="396"/>
      <c r="CH13" s="396"/>
      <c r="CI13" s="396"/>
      <c r="CJ13" s="396"/>
      <c r="CK13" s="396"/>
      <c r="CL13" s="396"/>
      <c r="CM13" s="396"/>
      <c r="CN13" s="396"/>
      <c r="CO13" s="396"/>
      <c r="CP13" s="396"/>
      <c r="CQ13" s="396"/>
      <c r="CR13" s="396"/>
      <c r="CS13" s="396"/>
      <c r="CT13" s="396"/>
      <c r="CU13" s="396"/>
      <c r="CV13" s="396"/>
      <c r="CW13" s="396"/>
      <c r="CX13" s="396"/>
      <c r="CY13" s="396"/>
      <c r="CZ13" s="396"/>
      <c r="DA13" s="396"/>
      <c r="DB13" s="396"/>
      <c r="DC13" s="396"/>
      <c r="DD13" s="396"/>
      <c r="DE13" s="396"/>
      <c r="DF13" s="396"/>
      <c r="DG13" s="396"/>
      <c r="DH13" s="396"/>
      <c r="DI13" s="396"/>
      <c r="DJ13" s="396"/>
      <c r="DK13" s="396"/>
      <c r="DL13" s="396"/>
      <c r="DM13" s="396"/>
      <c r="DN13" s="396"/>
      <c r="DO13" s="396"/>
      <c r="DP13" s="396"/>
      <c r="DQ13" s="396"/>
      <c r="DR13" s="396"/>
      <c r="DS13" s="396"/>
      <c r="DT13" s="396"/>
      <c r="DU13" s="396"/>
      <c r="DV13" s="396"/>
      <c r="DW13" s="396"/>
      <c r="DX13" s="396"/>
      <c r="DY13" s="396"/>
      <c r="DZ13" s="396"/>
      <c r="EA13" s="396"/>
      <c r="EB13" s="396"/>
      <c r="EC13" s="396"/>
      <c r="ED13" s="396"/>
      <c r="EE13" s="396"/>
      <c r="EF13" s="396"/>
      <c r="EG13" s="396"/>
      <c r="EH13" s="396"/>
      <c r="EI13" s="396"/>
      <c r="EJ13" s="396"/>
      <c r="EK13" s="396"/>
      <c r="EL13" s="396"/>
      <c r="EM13" s="396"/>
      <c r="EN13" s="396"/>
      <c r="EO13" s="396"/>
      <c r="EP13" s="219"/>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18"/>
      <c r="IM13" s="18"/>
      <c r="IN13" s="18"/>
      <c r="IO13" s="18"/>
      <c r="IP13" s="18"/>
      <c r="IQ13" s="18"/>
      <c r="IR13" s="18"/>
      <c r="IS13" s="18"/>
      <c r="IT13" s="18"/>
      <c r="IU13" s="18"/>
      <c r="IV13" s="18"/>
      <c r="IW13" s="18"/>
      <c r="IX13" s="18"/>
      <c r="IY13" s="18"/>
      <c r="IZ13" s="18"/>
      <c r="JA13" s="18"/>
      <c r="JB13" s="18"/>
      <c r="JC13" s="18"/>
      <c r="JD13" s="18"/>
      <c r="JE13" s="18"/>
      <c r="JF13" s="18"/>
      <c r="JG13" s="18"/>
      <c r="JH13" s="18"/>
      <c r="JI13" s="18"/>
      <c r="JJ13" s="18"/>
      <c r="JK13" s="18"/>
      <c r="JL13" s="18"/>
      <c r="JM13" s="18"/>
      <c r="JN13" s="18"/>
      <c r="JO13" s="18"/>
      <c r="JP13" s="18"/>
      <c r="JQ13" s="18"/>
      <c r="JR13" s="18"/>
      <c r="JS13" s="18"/>
      <c r="JT13" s="18"/>
      <c r="JU13" s="18"/>
      <c r="JV13" s="18"/>
      <c r="JW13" s="18"/>
      <c r="JX13" s="18"/>
      <c r="JY13"/>
      <c r="JZ13" s="262"/>
      <c r="KA13" s="262"/>
      <c r="KB13" s="262"/>
      <c r="KC13" s="262"/>
      <c r="KD13" s="262"/>
      <c r="KE13" s="262"/>
      <c r="KF13" s="262"/>
      <c r="KG13" s="262"/>
      <c r="KH13" s="262"/>
      <c r="KI13" s="262"/>
      <c r="KJ13" s="262"/>
      <c r="KK13" s="262"/>
      <c r="KL13" s="262"/>
      <c r="KM13" s="262"/>
      <c r="KN13" s="262"/>
      <c r="KO13" s="262"/>
      <c r="KP13" s="262"/>
      <c r="KQ13" s="262"/>
      <c r="KR13" s="262"/>
      <c r="KS13" s="262"/>
      <c r="KT13" s="262"/>
      <c r="KU13" s="262"/>
      <c r="KV13" s="262"/>
      <c r="KW13" s="262"/>
      <c r="KX13" s="262"/>
      <c r="KY13" s="262"/>
      <c r="KZ13" s="262"/>
      <c r="LA13" s="262"/>
      <c r="LB13" s="262"/>
      <c r="LC13" s="262"/>
      <c r="LD13" s="262"/>
      <c r="LE13" s="262"/>
      <c r="LF13" s="262"/>
      <c r="LG13" s="262"/>
      <c r="LH13" s="262"/>
      <c r="LI13" s="262"/>
      <c r="LJ13" s="262"/>
      <c r="LK13" s="262"/>
      <c r="LL13" s="262"/>
      <c r="LM13" s="262"/>
      <c r="LN13" s="262"/>
      <c r="LO13" s="262"/>
      <c r="LP13" s="262"/>
      <c r="LQ13" s="262"/>
      <c r="LR13" s="262"/>
      <c r="LS13" s="262"/>
      <c r="LT13" s="262"/>
      <c r="LU13" s="262"/>
      <c r="LV13" s="262"/>
      <c r="LW13" s="262"/>
      <c r="LX13" s="262"/>
      <c r="LY13" s="262"/>
      <c r="LZ13" s="262"/>
      <c r="MA13" s="262"/>
      <c r="MB13" s="262"/>
      <c r="MC13" s="262"/>
      <c r="MD13" s="262"/>
      <c r="ME13" s="262"/>
      <c r="MF13" s="262"/>
      <c r="MG13" s="262"/>
      <c r="MH13" s="262"/>
      <c r="MI13" s="262"/>
      <c r="MJ13" s="262"/>
      <c r="MK13" s="262"/>
      <c r="ML13" s="262"/>
      <c r="MM13" s="262"/>
      <c r="MN13" s="262"/>
      <c r="MO13" s="262"/>
      <c r="MP13" s="262"/>
      <c r="MQ13" s="262"/>
      <c r="MR13" s="262"/>
      <c r="MS13" s="262"/>
      <c r="MT13" s="262"/>
      <c r="MU13" s="262"/>
      <c r="MV13" s="262"/>
      <c r="MW13" s="262"/>
      <c r="MX13" s="262"/>
      <c r="MY13" s="262"/>
      <c r="MZ13" s="262"/>
      <c r="NA13" s="262"/>
      <c r="NB13" s="262"/>
      <c r="NC13" s="262"/>
      <c r="ND13" s="262"/>
      <c r="NE13" s="262"/>
      <c r="NF13" s="262"/>
      <c r="NG13" s="262"/>
      <c r="NH13" s="262"/>
      <c r="NI13" s="262"/>
      <c r="NJ13" s="262"/>
      <c r="NK13" s="262"/>
      <c r="NL13" s="262"/>
      <c r="NM13" s="262"/>
      <c r="NN13" s="262"/>
      <c r="NO13" s="262"/>
      <c r="NP13" s="262"/>
      <c r="NQ13" s="262"/>
      <c r="NR13" s="262"/>
      <c r="NS13" s="262"/>
      <c r="NT13" s="262"/>
      <c r="NU13" s="262"/>
      <c r="NV13" s="262"/>
      <c r="NW13" s="262"/>
      <c r="NX13" s="262"/>
      <c r="NY13" s="262"/>
      <c r="NZ13" s="262"/>
      <c r="OA13" s="262"/>
      <c r="OB13" s="262"/>
      <c r="OC13" s="262"/>
      <c r="OD13" s="262"/>
      <c r="OE13" s="262"/>
      <c r="OF13" s="262"/>
      <c r="OG13" s="262"/>
      <c r="OH13" s="262"/>
      <c r="OI13" s="262"/>
      <c r="OJ13" s="262"/>
      <c r="OK13" s="262"/>
      <c r="OL13" s="262"/>
      <c r="OM13" s="262"/>
      <c r="ON13" s="262"/>
      <c r="OO13" s="262"/>
      <c r="OP13" s="262"/>
      <c r="OQ13" s="262"/>
      <c r="OR13" s="262"/>
      <c r="OS13" s="262"/>
      <c r="OT13" s="262"/>
      <c r="OU13" s="262"/>
      <c r="OV13" s="262"/>
      <c r="OW13" s="262"/>
      <c r="OX13" s="262"/>
      <c r="OY13" s="262"/>
      <c r="OZ13" s="262"/>
      <c r="PA13" s="262"/>
      <c r="PB13" s="262"/>
      <c r="PC13" s="262"/>
      <c r="PD13" s="262"/>
      <c r="PE13" s="262"/>
      <c r="PF13" s="262"/>
      <c r="PG13" s="262"/>
      <c r="PH13" s="262"/>
    </row>
    <row r="14" spans="1:424" x14ac:dyDescent="0.35">
      <c r="A14"/>
      <c r="B14" s="34"/>
      <c r="C14" s="34"/>
      <c r="D14" s="397"/>
      <c r="E14" s="398"/>
      <c r="F14" s="34"/>
      <c r="G14" s="397"/>
      <c r="H14" s="397"/>
      <c r="I14" s="398"/>
      <c r="J14" s="395"/>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6"/>
      <c r="BB14" s="396"/>
      <c r="BC14" s="396"/>
      <c r="BD14" s="396"/>
      <c r="BE14" s="396"/>
      <c r="BF14" s="396"/>
      <c r="BG14" s="396"/>
      <c r="BH14" s="396"/>
      <c r="BI14" s="396"/>
      <c r="BJ14" s="396"/>
      <c r="BK14" s="396"/>
      <c r="BL14" s="396"/>
      <c r="BM14" s="396"/>
      <c r="BN14" s="396"/>
      <c r="BO14" s="396"/>
      <c r="BP14" s="396"/>
      <c r="BQ14" s="396"/>
      <c r="BR14" s="396"/>
      <c r="BS14" s="396"/>
      <c r="BT14" s="396"/>
      <c r="BU14" s="396"/>
      <c r="BV14" s="396"/>
      <c r="BW14" s="396"/>
      <c r="BX14" s="396"/>
      <c r="BY14" s="396"/>
      <c r="BZ14" s="396"/>
      <c r="CA14" s="396"/>
      <c r="CB14" s="396"/>
      <c r="CC14" s="396"/>
      <c r="CD14" s="396"/>
      <c r="CE14" s="396"/>
      <c r="CF14" s="396"/>
      <c r="CG14" s="396"/>
      <c r="CH14" s="396"/>
      <c r="CI14" s="396"/>
      <c r="CJ14" s="396"/>
      <c r="CK14" s="396"/>
      <c r="CL14" s="396"/>
      <c r="CM14" s="396"/>
      <c r="CN14" s="396"/>
      <c r="CO14" s="396"/>
      <c r="CP14" s="396"/>
      <c r="CQ14" s="396"/>
      <c r="CR14" s="396"/>
      <c r="CS14" s="396"/>
      <c r="CT14" s="396"/>
      <c r="CU14" s="396"/>
      <c r="CV14" s="396"/>
      <c r="CW14" s="396"/>
      <c r="CX14" s="396"/>
      <c r="CY14" s="396"/>
      <c r="CZ14" s="396"/>
      <c r="DA14" s="396"/>
      <c r="DB14" s="396"/>
      <c r="DC14" s="396"/>
      <c r="DD14" s="396"/>
      <c r="DE14" s="396"/>
      <c r="DF14" s="396"/>
      <c r="DG14" s="396"/>
      <c r="DH14" s="396"/>
      <c r="DI14" s="396"/>
      <c r="DJ14" s="396"/>
      <c r="DK14" s="396"/>
      <c r="DL14" s="396"/>
      <c r="DM14" s="396"/>
      <c r="DN14" s="396"/>
      <c r="DO14" s="396"/>
      <c r="DP14" s="396"/>
      <c r="DQ14" s="396"/>
      <c r="DR14" s="396"/>
      <c r="DS14" s="396"/>
      <c r="DT14" s="396"/>
      <c r="DU14" s="396"/>
      <c r="DV14" s="396"/>
      <c r="DW14" s="396"/>
      <c r="DX14" s="396"/>
      <c r="DY14" s="396"/>
      <c r="DZ14" s="396"/>
      <c r="EA14" s="396"/>
      <c r="EB14" s="396"/>
      <c r="EC14" s="396"/>
      <c r="ED14" s="396"/>
      <c r="EE14" s="396"/>
      <c r="EF14" s="396"/>
      <c r="EG14" s="396"/>
      <c r="EH14" s="396"/>
      <c r="EI14" s="396"/>
      <c r="EJ14" s="396"/>
      <c r="EK14" s="396"/>
      <c r="EL14" s="396"/>
      <c r="EM14" s="396"/>
      <c r="EN14" s="396"/>
      <c r="EO14" s="396"/>
      <c r="EP14" s="219"/>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c r="HX14" s="18"/>
      <c r="HY14" s="18"/>
      <c r="HZ14" s="18"/>
      <c r="IA14" s="18"/>
      <c r="IB14" s="18"/>
      <c r="IC14" s="18"/>
      <c r="ID14" s="18"/>
      <c r="IE14" s="18"/>
      <c r="IF14" s="18"/>
      <c r="IG14" s="18"/>
      <c r="IH14" s="18"/>
      <c r="II14" s="18"/>
      <c r="IJ14" s="18"/>
      <c r="IK14" s="18"/>
      <c r="IL14" s="18"/>
      <c r="IM14" s="18"/>
      <c r="IN14" s="18"/>
      <c r="IO14" s="18"/>
      <c r="IP14" s="18"/>
      <c r="IQ14" s="18"/>
      <c r="IR14" s="18"/>
      <c r="IS14" s="18"/>
      <c r="IT14" s="18"/>
      <c r="IU14" s="18"/>
      <c r="IV14" s="18"/>
      <c r="IW14" s="18"/>
      <c r="IX14" s="18"/>
      <c r="IY14" s="18"/>
      <c r="IZ14" s="18"/>
      <c r="JA14" s="18"/>
      <c r="JB14" s="18"/>
      <c r="JC14" s="18"/>
      <c r="JD14" s="18"/>
      <c r="JE14" s="18"/>
      <c r="JF14" s="18"/>
      <c r="JG14" s="18"/>
      <c r="JH14" s="18"/>
      <c r="JI14" s="18"/>
      <c r="JJ14" s="18"/>
      <c r="JK14" s="18"/>
      <c r="JL14" s="18"/>
      <c r="JM14" s="18"/>
      <c r="JN14" s="18"/>
      <c r="JO14" s="18"/>
      <c r="JP14" s="18"/>
      <c r="JQ14" s="18"/>
      <c r="JR14" s="18"/>
      <c r="JS14" s="18"/>
      <c r="JT14" s="18"/>
      <c r="JU14" s="18"/>
      <c r="JV14" s="18"/>
      <c r="JW14" s="18"/>
      <c r="JX14" s="18"/>
      <c r="JY14"/>
      <c r="JZ14" s="262"/>
      <c r="KA14" s="262"/>
      <c r="KB14" s="262"/>
      <c r="KC14" s="262"/>
      <c r="KD14" s="262"/>
      <c r="KE14" s="262"/>
      <c r="KF14" s="262"/>
      <c r="KG14" s="262"/>
      <c r="KH14" s="262"/>
      <c r="KI14" s="262"/>
      <c r="KJ14" s="262"/>
      <c r="KK14" s="262"/>
      <c r="KL14" s="262"/>
      <c r="KM14" s="262"/>
      <c r="KN14" s="262"/>
      <c r="KO14" s="262"/>
      <c r="KP14" s="262"/>
      <c r="KQ14" s="262"/>
      <c r="KR14" s="262"/>
      <c r="KS14" s="262"/>
      <c r="KT14" s="262"/>
      <c r="KU14" s="262"/>
      <c r="KV14" s="262"/>
      <c r="KW14" s="262"/>
      <c r="KX14" s="262"/>
      <c r="KY14" s="262"/>
      <c r="KZ14" s="262"/>
      <c r="LA14" s="262"/>
      <c r="LB14" s="262"/>
      <c r="LC14" s="262"/>
      <c r="LD14" s="262"/>
      <c r="LE14" s="262"/>
      <c r="LF14" s="262"/>
      <c r="LG14" s="262"/>
      <c r="LH14" s="262"/>
      <c r="LI14" s="262"/>
      <c r="LJ14" s="262"/>
      <c r="LK14" s="262"/>
      <c r="LL14" s="262"/>
      <c r="LM14" s="262"/>
      <c r="LN14" s="262"/>
      <c r="LO14" s="262"/>
      <c r="LP14" s="262"/>
      <c r="LQ14" s="262"/>
      <c r="LR14" s="262"/>
      <c r="LS14" s="262"/>
      <c r="LT14" s="262"/>
      <c r="LU14" s="262"/>
      <c r="LV14" s="262"/>
      <c r="LW14" s="262"/>
      <c r="LX14" s="262"/>
      <c r="LY14" s="262"/>
      <c r="LZ14" s="262"/>
      <c r="MA14" s="262"/>
      <c r="MB14" s="262"/>
      <c r="MC14" s="262"/>
      <c r="MD14" s="262"/>
      <c r="ME14" s="262"/>
      <c r="MF14" s="262"/>
      <c r="MG14" s="262"/>
      <c r="MH14" s="262"/>
      <c r="MI14" s="262"/>
      <c r="MJ14" s="262"/>
      <c r="MK14" s="262"/>
      <c r="ML14" s="262"/>
      <c r="MM14" s="262"/>
      <c r="MN14" s="262"/>
      <c r="MO14" s="262"/>
      <c r="MP14" s="262"/>
      <c r="MQ14" s="262"/>
      <c r="MR14" s="262"/>
      <c r="MS14" s="262"/>
      <c r="MT14" s="262"/>
      <c r="MU14" s="262"/>
      <c r="MV14" s="262"/>
      <c r="MW14" s="262"/>
      <c r="MX14" s="262"/>
      <c r="MY14" s="262"/>
      <c r="MZ14" s="262"/>
      <c r="NA14" s="262"/>
      <c r="NB14" s="262"/>
      <c r="NC14" s="262"/>
      <c r="ND14" s="262"/>
      <c r="NE14" s="262"/>
      <c r="NF14" s="262"/>
      <c r="NG14" s="262"/>
      <c r="NH14" s="262"/>
      <c r="NI14" s="262"/>
      <c r="NJ14" s="262"/>
      <c r="NK14" s="262"/>
      <c r="NL14" s="262"/>
      <c r="NM14" s="262"/>
      <c r="NN14" s="262"/>
      <c r="NO14" s="262"/>
      <c r="NP14" s="262"/>
      <c r="NQ14" s="262"/>
      <c r="NR14" s="262"/>
      <c r="NS14" s="262"/>
      <c r="NT14" s="262"/>
      <c r="NU14" s="262"/>
      <c r="NV14" s="262"/>
      <c r="NW14" s="262"/>
      <c r="NX14" s="262"/>
      <c r="NY14" s="262"/>
      <c r="NZ14" s="262"/>
      <c r="OA14" s="262"/>
      <c r="OB14" s="262"/>
      <c r="OC14" s="262"/>
      <c r="OD14" s="262"/>
      <c r="OE14" s="262"/>
      <c r="OF14" s="262"/>
      <c r="OG14" s="262"/>
      <c r="OH14" s="262"/>
      <c r="OI14" s="262"/>
      <c r="OJ14" s="262"/>
      <c r="OK14" s="262"/>
      <c r="OL14" s="262"/>
      <c r="OM14" s="262"/>
      <c r="ON14" s="262"/>
      <c r="OO14" s="262"/>
      <c r="OP14" s="262"/>
      <c r="OQ14" s="262"/>
      <c r="OR14" s="262"/>
      <c r="OS14" s="262"/>
      <c r="OT14" s="262"/>
      <c r="OU14" s="262"/>
      <c r="OV14" s="262"/>
      <c r="OW14" s="262"/>
      <c r="OX14" s="262"/>
      <c r="OY14" s="262"/>
      <c r="OZ14" s="262"/>
      <c r="PA14" s="262"/>
      <c r="PB14" s="262"/>
      <c r="PC14" s="262"/>
      <c r="PD14" s="262"/>
      <c r="PE14" s="262"/>
      <c r="PF14" s="262"/>
      <c r="PG14" s="262"/>
      <c r="PH14" s="262"/>
    </row>
    <row r="15" spans="1:424" x14ac:dyDescent="0.35">
      <c r="A15"/>
      <c r="B15" s="34" t="s">
        <v>111</v>
      </c>
      <c r="C15" s="399"/>
      <c r="D15" s="961" t="s">
        <v>112</v>
      </c>
      <c r="E15" s="961"/>
      <c r="F15" s="34" t="s">
        <v>41</v>
      </c>
      <c r="G15" s="397"/>
      <c r="H15" s="397"/>
      <c r="I15" s="67">
        <f>EDATE(E13,I16-1)</f>
        <v>48030</v>
      </c>
      <c r="J15" s="395"/>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c r="CF15" s="396"/>
      <c r="CG15" s="396"/>
      <c r="CH15" s="396"/>
      <c r="CI15" s="396"/>
      <c r="CJ15" s="396"/>
      <c r="CK15" s="396"/>
      <c r="CL15" s="396"/>
      <c r="CM15" s="396"/>
      <c r="CN15" s="396"/>
      <c r="CO15" s="396"/>
      <c r="CP15" s="396"/>
      <c r="CQ15" s="396"/>
      <c r="CR15" s="396"/>
      <c r="CS15" s="396"/>
      <c r="CT15" s="396"/>
      <c r="CU15" s="396"/>
      <c r="CV15" s="396"/>
      <c r="CW15" s="396"/>
      <c r="CX15" s="396"/>
      <c r="CY15" s="396"/>
      <c r="CZ15" s="396"/>
      <c r="DA15" s="396"/>
      <c r="DB15" s="396"/>
      <c r="DC15" s="396"/>
      <c r="DD15" s="396"/>
      <c r="DE15" s="396"/>
      <c r="DF15" s="396"/>
      <c r="DG15" s="396"/>
      <c r="DH15" s="396"/>
      <c r="DI15" s="396"/>
      <c r="DJ15" s="396"/>
      <c r="DK15" s="396"/>
      <c r="DL15" s="396"/>
      <c r="DM15" s="396"/>
      <c r="DN15" s="396"/>
      <c r="DO15" s="396"/>
      <c r="DP15" s="396"/>
      <c r="DQ15" s="396"/>
      <c r="DR15" s="396"/>
      <c r="DS15" s="396"/>
      <c r="DT15" s="396"/>
      <c r="DU15" s="396"/>
      <c r="DV15" s="396"/>
      <c r="DW15" s="396"/>
      <c r="DX15" s="396"/>
      <c r="DY15" s="396"/>
      <c r="DZ15" s="396"/>
      <c r="EA15" s="396"/>
      <c r="EB15" s="396"/>
      <c r="EC15" s="396"/>
      <c r="ED15" s="396"/>
      <c r="EE15" s="396"/>
      <c r="EF15" s="396"/>
      <c r="EG15" s="396"/>
      <c r="EH15" s="396"/>
      <c r="EI15" s="396"/>
      <c r="EJ15" s="396"/>
      <c r="EK15" s="396"/>
      <c r="EL15" s="396"/>
      <c r="EM15" s="396"/>
      <c r="EN15" s="396"/>
      <c r="EO15" s="396"/>
      <c r="EP15" s="219"/>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c r="HY15" s="18"/>
      <c r="HZ15" s="18"/>
      <c r="IA15" s="18"/>
      <c r="IB15" s="18"/>
      <c r="IC15" s="18"/>
      <c r="ID15" s="18"/>
      <c r="IE15" s="18"/>
      <c r="IF15" s="18"/>
      <c r="IG15" s="18"/>
      <c r="IH15" s="18"/>
      <c r="II15" s="18"/>
      <c r="IJ15" s="18"/>
      <c r="IK15" s="18"/>
      <c r="IL15" s="18"/>
      <c r="IM15" s="18"/>
      <c r="IN15" s="18"/>
      <c r="IO15" s="18"/>
      <c r="IP15" s="18"/>
      <c r="IQ15" s="18"/>
      <c r="IR15" s="18"/>
      <c r="IS15" s="18"/>
      <c r="IT15" s="18"/>
      <c r="IU15" s="18"/>
      <c r="IV15" s="18"/>
      <c r="IW15" s="18"/>
      <c r="IX15" s="18"/>
      <c r="IY15" s="18"/>
      <c r="IZ15" s="18"/>
      <c r="JA15" s="18"/>
      <c r="JB15" s="18"/>
      <c r="JC15" s="18"/>
      <c r="JD15" s="18"/>
      <c r="JE15" s="18"/>
      <c r="JF15" s="18"/>
      <c r="JG15" s="18"/>
      <c r="JH15" s="18"/>
      <c r="JI15" s="18"/>
      <c r="JJ15" s="18"/>
      <c r="JK15" s="18"/>
      <c r="JL15" s="18"/>
      <c r="JM15" s="18"/>
      <c r="JN15" s="18"/>
      <c r="JO15" s="18"/>
      <c r="JP15" s="18"/>
      <c r="JQ15" s="18"/>
      <c r="JR15" s="18"/>
      <c r="JS15" s="18"/>
      <c r="JT15" s="18"/>
      <c r="JU15" s="18"/>
      <c r="JV15" s="18"/>
      <c r="JW15" s="18"/>
      <c r="JX15" s="18"/>
      <c r="JY15"/>
      <c r="JZ15" s="262"/>
      <c r="KA15" s="262"/>
      <c r="KB15" s="262"/>
      <c r="KC15" s="262"/>
      <c r="KD15" s="262"/>
      <c r="KE15" s="262"/>
      <c r="KF15" s="262"/>
      <c r="KG15" s="262"/>
      <c r="KH15" s="262"/>
      <c r="KI15" s="262"/>
      <c r="KJ15" s="262"/>
      <c r="KK15" s="262"/>
      <c r="KL15" s="262"/>
      <c r="KM15" s="262"/>
      <c r="KN15" s="262"/>
      <c r="KO15" s="262"/>
      <c r="KP15" s="262"/>
      <c r="KQ15" s="262"/>
      <c r="KR15" s="262"/>
      <c r="KS15" s="262"/>
      <c r="KT15" s="262"/>
      <c r="KU15" s="262"/>
      <c r="KV15" s="262"/>
      <c r="KW15" s="262"/>
      <c r="KX15" s="262"/>
      <c r="KY15" s="262"/>
      <c r="KZ15" s="262"/>
      <c r="LA15" s="262"/>
      <c r="LB15" s="262"/>
      <c r="LC15" s="262"/>
      <c r="LD15" s="262"/>
      <c r="LE15" s="262"/>
      <c r="LF15" s="262"/>
      <c r="LG15" s="262"/>
      <c r="LH15" s="262"/>
      <c r="LI15" s="262"/>
      <c r="LJ15" s="262"/>
      <c r="LK15" s="262"/>
      <c r="LL15" s="262"/>
      <c r="LM15" s="262"/>
      <c r="LN15" s="262"/>
      <c r="LO15" s="262"/>
      <c r="LP15" s="262"/>
      <c r="LQ15" s="262"/>
      <c r="LR15" s="262"/>
      <c r="LS15" s="262"/>
      <c r="LT15" s="262"/>
      <c r="LU15" s="262"/>
      <c r="LV15" s="262"/>
      <c r="LW15" s="262"/>
      <c r="LX15" s="262"/>
      <c r="LY15" s="262"/>
      <c r="LZ15" s="262"/>
      <c r="MA15" s="262"/>
      <c r="MB15" s="262"/>
      <c r="MC15" s="262"/>
      <c r="MD15" s="262"/>
      <c r="ME15" s="262"/>
      <c r="MF15" s="262"/>
      <c r="MG15" s="262"/>
      <c r="MH15" s="262"/>
      <c r="MI15" s="262"/>
      <c r="MJ15" s="262"/>
      <c r="MK15" s="262"/>
      <c r="ML15" s="262"/>
      <c r="MM15" s="262"/>
      <c r="MN15" s="262"/>
      <c r="MO15" s="262"/>
      <c r="MP15" s="262"/>
      <c r="MQ15" s="262"/>
      <c r="MR15" s="262"/>
      <c r="MS15" s="262"/>
      <c r="MT15" s="262"/>
      <c r="MU15" s="262"/>
      <c r="MV15" s="262"/>
      <c r="MW15" s="262"/>
      <c r="MX15" s="262"/>
      <c r="MY15" s="262"/>
      <c r="MZ15" s="262"/>
      <c r="NA15" s="262"/>
      <c r="NB15" s="262"/>
      <c r="NC15" s="262"/>
      <c r="ND15" s="262"/>
      <c r="NE15" s="262"/>
      <c r="NF15" s="262"/>
      <c r="NG15" s="262"/>
      <c r="NH15" s="262"/>
      <c r="NI15" s="262"/>
      <c r="NJ15" s="262"/>
      <c r="NK15" s="262"/>
      <c r="NL15" s="262"/>
      <c r="NM15" s="262"/>
      <c r="NN15" s="262"/>
      <c r="NO15" s="262"/>
      <c r="NP15" s="262"/>
      <c r="NQ15" s="262"/>
      <c r="NR15" s="262"/>
      <c r="NS15" s="262"/>
      <c r="NT15" s="262"/>
      <c r="NU15" s="262"/>
      <c r="NV15" s="262"/>
      <c r="NW15" s="262"/>
      <c r="NX15" s="262"/>
      <c r="NY15" s="262"/>
      <c r="NZ15" s="262"/>
      <c r="OA15" s="262"/>
      <c r="OB15" s="262"/>
      <c r="OC15" s="262"/>
      <c r="OD15" s="262"/>
      <c r="OE15" s="262"/>
      <c r="OF15" s="262"/>
      <c r="OG15" s="262"/>
      <c r="OH15" s="262"/>
      <c r="OI15" s="262"/>
      <c r="OJ15" s="262"/>
      <c r="OK15" s="262"/>
      <c r="OL15" s="262"/>
      <c r="OM15" s="262"/>
      <c r="ON15" s="262"/>
      <c r="OO15" s="262"/>
      <c r="OP15" s="262"/>
      <c r="OQ15" s="262"/>
      <c r="OR15" s="262"/>
      <c r="OS15" s="262"/>
      <c r="OT15" s="262"/>
      <c r="OU15" s="262"/>
      <c r="OV15" s="262"/>
      <c r="OW15" s="262"/>
      <c r="OX15" s="262"/>
      <c r="OY15" s="262"/>
      <c r="OZ15" s="262"/>
      <c r="PA15" s="262"/>
      <c r="PB15" s="262"/>
      <c r="PC15" s="262"/>
      <c r="PD15" s="262"/>
      <c r="PE15" s="262"/>
      <c r="PF15" s="262"/>
      <c r="PG15" s="262"/>
      <c r="PH15" s="262"/>
    </row>
    <row r="16" spans="1:424" x14ac:dyDescent="0.35">
      <c r="A16"/>
      <c r="B16" s="34" t="s">
        <v>113</v>
      </c>
      <c r="C16" s="399"/>
      <c r="D16" s="397"/>
      <c r="E16" s="68" t="s">
        <v>114</v>
      </c>
      <c r="F16" s="34" t="s">
        <v>115</v>
      </c>
      <c r="G16" s="397"/>
      <c r="H16" s="397"/>
      <c r="I16" s="275">
        <f>Timing_Reversion_Month</f>
        <v>61</v>
      </c>
      <c r="J16" s="395"/>
      <c r="K16" s="396"/>
      <c r="L16" s="396"/>
      <c r="M16" s="396"/>
      <c r="N16" s="396"/>
      <c r="O16" s="396"/>
      <c r="P16" s="396"/>
      <c r="Q16" s="396"/>
      <c r="R16" s="396"/>
      <c r="S16" s="396"/>
      <c r="T16" s="396"/>
      <c r="U16" s="396"/>
      <c r="V16" s="396"/>
      <c r="W16" s="396"/>
      <c r="X16" s="396"/>
      <c r="Y16" s="396"/>
      <c r="Z16" s="396"/>
      <c r="AA16" s="396"/>
      <c r="AB16" s="396"/>
      <c r="AC16" s="396"/>
      <c r="AD16" s="396"/>
      <c r="AE16" s="396"/>
      <c r="AF16" s="396"/>
      <c r="AG16" s="396"/>
      <c r="AH16" s="396"/>
      <c r="AI16" s="396"/>
      <c r="AJ16" s="396"/>
      <c r="AK16" s="396"/>
      <c r="AL16" s="396"/>
      <c r="AM16" s="396"/>
      <c r="AN16" s="396"/>
      <c r="AO16" s="396"/>
      <c r="AP16" s="396"/>
      <c r="AQ16" s="396"/>
      <c r="AR16" s="396"/>
      <c r="AS16" s="396"/>
      <c r="AT16" s="396"/>
      <c r="AU16" s="396"/>
      <c r="AV16" s="396"/>
      <c r="AW16" s="396"/>
      <c r="AX16" s="396"/>
      <c r="AY16" s="396"/>
      <c r="AZ16" s="396"/>
      <c r="BA16" s="396"/>
      <c r="BB16" s="396"/>
      <c r="BC16" s="396"/>
      <c r="BD16" s="396"/>
      <c r="BE16" s="396"/>
      <c r="BF16" s="396"/>
      <c r="BG16" s="396"/>
      <c r="BH16" s="396"/>
      <c r="BI16" s="396"/>
      <c r="BJ16" s="396"/>
      <c r="BK16" s="396"/>
      <c r="BL16" s="396"/>
      <c r="BM16" s="396"/>
      <c r="BN16" s="396"/>
      <c r="BO16" s="396"/>
      <c r="BP16" s="396"/>
      <c r="BQ16" s="396"/>
      <c r="BR16" s="396"/>
      <c r="BS16" s="396"/>
      <c r="BT16" s="396"/>
      <c r="BU16" s="396"/>
      <c r="BV16" s="396"/>
      <c r="BW16" s="396"/>
      <c r="BX16" s="396"/>
      <c r="BY16" s="396"/>
      <c r="BZ16" s="396"/>
      <c r="CA16" s="396"/>
      <c r="CB16" s="396"/>
      <c r="CC16" s="396"/>
      <c r="CD16" s="396"/>
      <c r="CE16" s="396"/>
      <c r="CF16" s="396"/>
      <c r="CG16" s="396"/>
      <c r="CH16" s="396"/>
      <c r="CI16" s="396"/>
      <c r="CJ16" s="396"/>
      <c r="CK16" s="396"/>
      <c r="CL16" s="396"/>
      <c r="CM16" s="396"/>
      <c r="CN16" s="396"/>
      <c r="CO16" s="396"/>
      <c r="CP16" s="396"/>
      <c r="CQ16" s="396"/>
      <c r="CR16" s="396"/>
      <c r="CS16" s="396"/>
      <c r="CT16" s="396"/>
      <c r="CU16" s="396"/>
      <c r="CV16" s="396"/>
      <c r="CW16" s="396"/>
      <c r="CX16" s="396"/>
      <c r="CY16" s="396"/>
      <c r="CZ16" s="396"/>
      <c r="DA16" s="396"/>
      <c r="DB16" s="396"/>
      <c r="DC16" s="396"/>
      <c r="DD16" s="396"/>
      <c r="DE16" s="396"/>
      <c r="DF16" s="396"/>
      <c r="DG16" s="396"/>
      <c r="DH16" s="396"/>
      <c r="DI16" s="396"/>
      <c r="DJ16" s="396"/>
      <c r="DK16" s="396"/>
      <c r="DL16" s="396"/>
      <c r="DM16" s="396"/>
      <c r="DN16" s="396"/>
      <c r="DO16" s="396"/>
      <c r="DP16" s="396"/>
      <c r="DQ16" s="396"/>
      <c r="DR16" s="396"/>
      <c r="DS16" s="396"/>
      <c r="DT16" s="396"/>
      <c r="DU16" s="396"/>
      <c r="DV16" s="396"/>
      <c r="DW16" s="396"/>
      <c r="DX16" s="396"/>
      <c r="DY16" s="396"/>
      <c r="DZ16" s="396"/>
      <c r="EA16" s="396"/>
      <c r="EB16" s="396"/>
      <c r="EC16" s="396"/>
      <c r="ED16" s="396"/>
      <c r="EE16" s="396"/>
      <c r="EF16" s="396"/>
      <c r="EG16" s="396"/>
      <c r="EH16" s="396"/>
      <c r="EI16" s="396"/>
      <c r="EJ16" s="396"/>
      <c r="EK16" s="396"/>
      <c r="EL16" s="396"/>
      <c r="EM16" s="396"/>
      <c r="EN16" s="396"/>
      <c r="EO16" s="396"/>
      <c r="EP16" s="219"/>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c r="HX16" s="18"/>
      <c r="HY16" s="18"/>
      <c r="HZ16" s="18"/>
      <c r="IA16" s="18"/>
      <c r="IB16" s="18"/>
      <c r="IC16" s="18"/>
      <c r="ID16" s="18"/>
      <c r="IE16" s="18"/>
      <c r="IF16" s="18"/>
      <c r="IG16" s="18"/>
      <c r="IH16" s="18"/>
      <c r="II16" s="18"/>
      <c r="IJ16" s="18"/>
      <c r="IK16" s="18"/>
      <c r="IL16" s="18"/>
      <c r="IM16" s="18"/>
      <c r="IN16" s="18"/>
      <c r="IO16" s="18"/>
      <c r="IP16" s="18"/>
      <c r="IQ16" s="18"/>
      <c r="IR16" s="18"/>
      <c r="IS16" s="18"/>
      <c r="IT16" s="18"/>
      <c r="IU16" s="18"/>
      <c r="IV16" s="18"/>
      <c r="IW16" s="18"/>
      <c r="IX16" s="18"/>
      <c r="IY16" s="18"/>
      <c r="IZ16" s="18"/>
      <c r="JA16" s="18"/>
      <c r="JB16" s="18"/>
      <c r="JC16" s="18"/>
      <c r="JD16" s="18"/>
      <c r="JE16" s="18"/>
      <c r="JF16" s="18"/>
      <c r="JG16" s="18"/>
      <c r="JH16" s="18"/>
      <c r="JI16" s="18"/>
      <c r="JJ16" s="18"/>
      <c r="JK16" s="18"/>
      <c r="JL16" s="18"/>
      <c r="JM16" s="18"/>
      <c r="JN16" s="18"/>
      <c r="JO16" s="18"/>
      <c r="JP16" s="18"/>
      <c r="JQ16" s="18"/>
      <c r="JR16" s="18"/>
      <c r="JS16" s="18"/>
      <c r="JT16" s="18"/>
      <c r="JU16" s="18"/>
      <c r="JV16" s="18"/>
      <c r="JW16" s="18"/>
      <c r="JX16" s="18"/>
      <c r="JY16"/>
      <c r="JZ16" s="262"/>
      <c r="KA16" s="262"/>
      <c r="KB16" s="262"/>
      <c r="KC16" s="262"/>
      <c r="KD16" s="262"/>
      <c r="KE16" s="262"/>
      <c r="KF16" s="262"/>
      <c r="KG16" s="262"/>
      <c r="KH16" s="262"/>
      <c r="KI16" s="262"/>
      <c r="KJ16" s="262"/>
      <c r="KK16" s="262"/>
      <c r="KL16" s="262"/>
      <c r="KM16" s="262"/>
      <c r="KN16" s="262"/>
      <c r="KO16" s="262"/>
      <c r="KP16" s="262"/>
      <c r="KQ16" s="262"/>
      <c r="KR16" s="262"/>
      <c r="KS16" s="262"/>
      <c r="KT16" s="262"/>
      <c r="KU16" s="262"/>
      <c r="KV16" s="262"/>
      <c r="KW16" s="262"/>
      <c r="KX16" s="262"/>
      <c r="KY16" s="262"/>
      <c r="KZ16" s="262"/>
      <c r="LA16" s="262"/>
      <c r="LB16" s="262"/>
      <c r="LC16" s="262"/>
      <c r="LD16" s="262"/>
      <c r="LE16" s="262"/>
      <c r="LF16" s="262"/>
      <c r="LG16" s="262"/>
      <c r="LH16" s="262"/>
      <c r="LI16" s="262"/>
      <c r="LJ16" s="262"/>
      <c r="LK16" s="262"/>
      <c r="LL16" s="262"/>
      <c r="LM16" s="262"/>
      <c r="LN16" s="262"/>
      <c r="LO16" s="262"/>
      <c r="LP16" s="262"/>
      <c r="LQ16" s="262"/>
      <c r="LR16" s="262"/>
      <c r="LS16" s="262"/>
      <c r="LT16" s="262"/>
      <c r="LU16" s="262"/>
      <c r="LV16" s="262"/>
      <c r="LW16" s="262"/>
      <c r="LX16" s="262"/>
      <c r="LY16" s="262"/>
      <c r="LZ16" s="262"/>
      <c r="MA16" s="262"/>
      <c r="MB16" s="262"/>
      <c r="MC16" s="262"/>
      <c r="MD16" s="262"/>
      <c r="ME16" s="262"/>
      <c r="MF16" s="262"/>
      <c r="MG16" s="262"/>
      <c r="MH16" s="262"/>
      <c r="MI16" s="262"/>
      <c r="MJ16" s="262"/>
      <c r="MK16" s="262"/>
      <c r="ML16" s="262"/>
      <c r="MM16" s="262"/>
      <c r="MN16" s="262"/>
      <c r="MO16" s="262"/>
      <c r="MP16" s="262"/>
      <c r="MQ16" s="262"/>
      <c r="MR16" s="262"/>
      <c r="MS16" s="262"/>
      <c r="MT16" s="262"/>
      <c r="MU16" s="262"/>
      <c r="MV16" s="262"/>
      <c r="MW16" s="262"/>
      <c r="MX16" s="262"/>
      <c r="MY16" s="262"/>
      <c r="MZ16" s="262"/>
      <c r="NA16" s="262"/>
      <c r="NB16" s="262"/>
      <c r="NC16" s="262"/>
      <c r="ND16" s="262"/>
      <c r="NE16" s="262"/>
      <c r="NF16" s="262"/>
      <c r="NG16" s="262"/>
      <c r="NH16" s="262"/>
      <c r="NI16" s="262"/>
      <c r="NJ16" s="262"/>
      <c r="NK16" s="262"/>
      <c r="NL16" s="262"/>
      <c r="NM16" s="262"/>
      <c r="NN16" s="262"/>
      <c r="NO16" s="262"/>
      <c r="NP16" s="262"/>
      <c r="NQ16" s="262"/>
      <c r="NR16" s="262"/>
      <c r="NS16" s="262"/>
      <c r="NT16" s="262"/>
      <c r="NU16" s="262"/>
      <c r="NV16" s="262"/>
      <c r="NW16" s="262"/>
      <c r="NX16" s="262"/>
      <c r="NY16" s="262"/>
      <c r="NZ16" s="262"/>
      <c r="OA16" s="262"/>
      <c r="OB16" s="262"/>
      <c r="OC16" s="262"/>
      <c r="OD16" s="262"/>
      <c r="OE16" s="262"/>
      <c r="OF16" s="262"/>
      <c r="OG16" s="262"/>
      <c r="OH16" s="262"/>
      <c r="OI16" s="262"/>
      <c r="OJ16" s="262"/>
      <c r="OK16" s="262"/>
      <c r="OL16" s="262"/>
      <c r="OM16" s="262"/>
      <c r="ON16" s="262"/>
      <c r="OO16" s="262"/>
      <c r="OP16" s="262"/>
      <c r="OQ16" s="262"/>
      <c r="OR16" s="262"/>
      <c r="OS16" s="262"/>
      <c r="OT16" s="262"/>
      <c r="OU16" s="262"/>
      <c r="OV16" s="262"/>
      <c r="OW16" s="262"/>
      <c r="OX16" s="262"/>
      <c r="OY16" s="262"/>
      <c r="OZ16" s="262"/>
      <c r="PA16" s="262"/>
      <c r="PB16" s="262"/>
      <c r="PC16" s="262"/>
      <c r="PD16" s="262"/>
      <c r="PE16" s="262"/>
      <c r="PF16" s="262"/>
      <c r="PG16" s="262"/>
      <c r="PH16" s="262"/>
    </row>
    <row r="17" spans="1:424" x14ac:dyDescent="0.35">
      <c r="A17"/>
      <c r="B17" s="34" t="s">
        <v>8</v>
      </c>
      <c r="C17" s="37">
        <f>IF(Unit_Type="SF",E17*43560,E17*4046.86)</f>
        <v>34400.030411120919</v>
      </c>
      <c r="D17" s="397" t="str">
        <f>Unit_Type</f>
        <v>M2</v>
      </c>
      <c r="E17" s="836">
        <f>'URWLD COMPANY INPUTS'!$F$43/4046.8564224</f>
        <v>8.500425122470487</v>
      </c>
      <c r="F17" s="34" t="s">
        <v>116</v>
      </c>
      <c r="G17" s="397"/>
      <c r="H17" s="400"/>
      <c r="I17" s="189">
        <f>COUNTA($B$93:$B$105)-1</f>
        <v>12</v>
      </c>
      <c r="J17" s="395"/>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c r="BT17" s="396"/>
      <c r="BU17" s="396"/>
      <c r="BV17" s="396"/>
      <c r="BW17" s="396"/>
      <c r="BX17" s="396"/>
      <c r="BY17" s="396"/>
      <c r="BZ17" s="396"/>
      <c r="CA17" s="396"/>
      <c r="CB17" s="396"/>
      <c r="CC17" s="396"/>
      <c r="CD17" s="396"/>
      <c r="CE17" s="396"/>
      <c r="CF17" s="396"/>
      <c r="CG17" s="396"/>
      <c r="CH17" s="396"/>
      <c r="CI17" s="396"/>
      <c r="CJ17" s="396"/>
      <c r="CK17" s="396"/>
      <c r="CL17" s="396"/>
      <c r="CM17" s="396"/>
      <c r="CN17" s="396"/>
      <c r="CO17" s="396"/>
      <c r="CP17" s="396"/>
      <c r="CQ17" s="396"/>
      <c r="CR17" s="396"/>
      <c r="CS17" s="396"/>
      <c r="CT17" s="396"/>
      <c r="CU17" s="396"/>
      <c r="CV17" s="396"/>
      <c r="CW17" s="396"/>
      <c r="CX17" s="396"/>
      <c r="CY17" s="396"/>
      <c r="CZ17" s="396"/>
      <c r="DA17" s="396"/>
      <c r="DB17" s="396"/>
      <c r="DC17" s="396"/>
      <c r="DD17" s="396"/>
      <c r="DE17" s="396"/>
      <c r="DF17" s="396"/>
      <c r="DG17" s="396"/>
      <c r="DH17" s="396"/>
      <c r="DI17" s="396"/>
      <c r="DJ17" s="396"/>
      <c r="DK17" s="396"/>
      <c r="DL17" s="396"/>
      <c r="DM17" s="396"/>
      <c r="DN17" s="396"/>
      <c r="DO17" s="396"/>
      <c r="DP17" s="396"/>
      <c r="DQ17" s="396"/>
      <c r="DR17" s="396"/>
      <c r="DS17" s="396"/>
      <c r="DT17" s="396"/>
      <c r="DU17" s="396"/>
      <c r="DV17" s="396"/>
      <c r="DW17" s="396"/>
      <c r="DX17" s="396"/>
      <c r="DY17" s="396"/>
      <c r="DZ17" s="396"/>
      <c r="EA17" s="396"/>
      <c r="EB17" s="396"/>
      <c r="EC17" s="396"/>
      <c r="ED17" s="396"/>
      <c r="EE17" s="396"/>
      <c r="EF17" s="396"/>
      <c r="EG17" s="396"/>
      <c r="EH17" s="396"/>
      <c r="EI17" s="396"/>
      <c r="EJ17" s="396"/>
      <c r="EK17" s="396"/>
      <c r="EL17" s="396"/>
      <c r="EM17" s="396"/>
      <c r="EN17" s="396"/>
      <c r="EO17" s="396"/>
      <c r="EP17" s="219"/>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c r="IQ17" s="18"/>
      <c r="IR17" s="18"/>
      <c r="IS17" s="18"/>
      <c r="IT17" s="18"/>
      <c r="IU17" s="18"/>
      <c r="IV17" s="18"/>
      <c r="IW17" s="18"/>
      <c r="IX17" s="18"/>
      <c r="IY17" s="18"/>
      <c r="IZ17" s="18"/>
      <c r="JA17" s="18"/>
      <c r="JB17" s="18"/>
      <c r="JC17" s="18"/>
      <c r="JD17" s="18"/>
      <c r="JE17" s="18"/>
      <c r="JF17" s="18"/>
      <c r="JG17" s="18"/>
      <c r="JH17" s="18"/>
      <c r="JI17" s="18"/>
      <c r="JJ17" s="18"/>
      <c r="JK17" s="18"/>
      <c r="JL17" s="18"/>
      <c r="JM17" s="18"/>
      <c r="JN17" s="18"/>
      <c r="JO17" s="18"/>
      <c r="JP17" s="18"/>
      <c r="JQ17" s="18"/>
      <c r="JR17" s="18"/>
      <c r="JS17" s="18"/>
      <c r="JT17" s="18"/>
      <c r="JU17" s="18"/>
      <c r="JV17" s="18"/>
      <c r="JW17" s="18"/>
      <c r="JX17" s="18"/>
      <c r="JY17"/>
      <c r="JZ17" s="262"/>
      <c r="KA17" s="262"/>
      <c r="KB17" s="262"/>
      <c r="KC17" s="262"/>
      <c r="KD17" s="262"/>
      <c r="KE17" s="262"/>
      <c r="KF17" s="262"/>
      <c r="KG17" s="262"/>
      <c r="KH17" s="262"/>
      <c r="KI17" s="262"/>
      <c r="KJ17" s="262"/>
      <c r="KK17" s="262"/>
      <c r="KL17" s="262"/>
      <c r="KM17" s="262"/>
      <c r="KN17" s="262"/>
      <c r="KO17" s="262"/>
      <c r="KP17" s="262"/>
      <c r="KQ17" s="262"/>
      <c r="KR17" s="262"/>
      <c r="KS17" s="262"/>
      <c r="KT17" s="262"/>
      <c r="KU17" s="262"/>
      <c r="KV17" s="262"/>
      <c r="KW17" s="262"/>
      <c r="KX17" s="262"/>
      <c r="KY17" s="262"/>
      <c r="KZ17" s="262"/>
      <c r="LA17" s="262"/>
      <c r="LB17" s="262"/>
      <c r="LC17" s="262"/>
      <c r="LD17" s="262"/>
      <c r="LE17" s="262"/>
      <c r="LF17" s="262"/>
      <c r="LG17" s="262"/>
      <c r="LH17" s="262"/>
      <c r="LI17" s="262"/>
      <c r="LJ17" s="262"/>
      <c r="LK17" s="262"/>
      <c r="LL17" s="262"/>
      <c r="LM17" s="262"/>
      <c r="LN17" s="262"/>
      <c r="LO17" s="262"/>
      <c r="LP17" s="262"/>
      <c r="LQ17" s="262"/>
      <c r="LR17" s="262"/>
      <c r="LS17" s="262"/>
      <c r="LT17" s="262"/>
      <c r="LU17" s="262"/>
      <c r="LV17" s="262"/>
      <c r="LW17" s="262"/>
      <c r="LX17" s="262"/>
      <c r="LY17" s="262"/>
      <c r="LZ17" s="262"/>
      <c r="MA17" s="262"/>
      <c r="MB17" s="262"/>
      <c r="MC17" s="262"/>
      <c r="MD17" s="262"/>
      <c r="ME17" s="262"/>
      <c r="MF17" s="262"/>
      <c r="MG17" s="262"/>
      <c r="MH17" s="262"/>
      <c r="MI17" s="262"/>
      <c r="MJ17" s="262"/>
      <c r="MK17" s="262"/>
      <c r="ML17" s="262"/>
      <c r="MM17" s="262"/>
      <c r="MN17" s="262"/>
      <c r="MO17" s="262"/>
      <c r="MP17" s="262"/>
      <c r="MQ17" s="262"/>
      <c r="MR17" s="262"/>
      <c r="MS17" s="262"/>
      <c r="MT17" s="262"/>
      <c r="MU17" s="262"/>
      <c r="MV17" s="262"/>
      <c r="MW17" s="262"/>
      <c r="MX17" s="262"/>
      <c r="MY17" s="262"/>
      <c r="MZ17" s="262"/>
      <c r="NA17" s="262"/>
      <c r="NB17" s="262"/>
      <c r="NC17" s="262"/>
      <c r="ND17" s="262"/>
      <c r="NE17" s="262"/>
      <c r="NF17" s="262"/>
      <c r="NG17" s="262"/>
      <c r="NH17" s="262"/>
      <c r="NI17" s="262"/>
      <c r="NJ17" s="262"/>
      <c r="NK17" s="262"/>
      <c r="NL17" s="262"/>
      <c r="NM17" s="262"/>
      <c r="NN17" s="262"/>
      <c r="NO17" s="262"/>
      <c r="NP17" s="262"/>
      <c r="NQ17" s="262"/>
      <c r="NR17" s="262"/>
      <c r="NS17" s="262"/>
      <c r="NT17" s="262"/>
      <c r="NU17" s="262"/>
      <c r="NV17" s="262"/>
      <c r="NW17" s="262"/>
      <c r="NX17" s="262"/>
      <c r="NY17" s="262"/>
      <c r="NZ17" s="262"/>
      <c r="OA17" s="262"/>
      <c r="OB17" s="262"/>
      <c r="OC17" s="262"/>
      <c r="OD17" s="262"/>
      <c r="OE17" s="262"/>
      <c r="OF17" s="262"/>
      <c r="OG17" s="262"/>
      <c r="OH17" s="262"/>
      <c r="OI17" s="262"/>
      <c r="OJ17" s="262"/>
      <c r="OK17" s="262"/>
      <c r="OL17" s="262"/>
      <c r="OM17" s="262"/>
      <c r="ON17" s="262"/>
      <c r="OO17" s="262"/>
      <c r="OP17" s="262"/>
      <c r="OQ17" s="262"/>
      <c r="OR17" s="262"/>
      <c r="OS17" s="262"/>
      <c r="OT17" s="262"/>
      <c r="OU17" s="262"/>
      <c r="OV17" s="262"/>
      <c r="OW17" s="262"/>
      <c r="OX17" s="262"/>
      <c r="OY17" s="262"/>
      <c r="OZ17" s="262"/>
      <c r="PA17" s="262"/>
      <c r="PB17" s="262"/>
      <c r="PC17" s="262"/>
      <c r="PD17" s="262"/>
      <c r="PE17" s="262"/>
      <c r="PF17" s="262"/>
      <c r="PG17" s="262"/>
      <c r="PH17" s="262"/>
    </row>
    <row r="18" spans="1:424" x14ac:dyDescent="0.35">
      <c r="A18"/>
      <c r="B18" s="34" t="str">
        <f>"Gross Buildable (NRA - "&amp;Unit_Type&amp;")"</f>
        <v>Gross Buildable (NRA - M2)</v>
      </c>
      <c r="C18" s="397"/>
      <c r="D18" s="400"/>
      <c r="E18" s="273">
        <f>I18</f>
        <v>78470.38</v>
      </c>
      <c r="F18" s="34" t="str">
        <f>"Net Rentable (NRA - "&amp;Unit_Type&amp;")"</f>
        <v>Net Rentable (NRA - M2)</v>
      </c>
      <c r="G18" s="397"/>
      <c r="H18" s="400"/>
      <c r="I18" s="842">
        <f>SUM(E93:E104)</f>
        <v>78470.38</v>
      </c>
      <c r="J18" s="395"/>
      <c r="K18" s="396"/>
      <c r="L18" s="396"/>
      <c r="M18" s="396"/>
      <c r="N18" s="396"/>
      <c r="O18" s="396"/>
      <c r="P18" s="396"/>
      <c r="Q18" s="39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6"/>
      <c r="BK18" s="396"/>
      <c r="BL18" s="396"/>
      <c r="BM18" s="396"/>
      <c r="BN18" s="396"/>
      <c r="BO18" s="396"/>
      <c r="BP18" s="396"/>
      <c r="BQ18" s="396"/>
      <c r="BR18" s="396"/>
      <c r="BS18" s="396"/>
      <c r="BT18" s="396"/>
      <c r="BU18" s="396"/>
      <c r="BV18" s="396"/>
      <c r="BW18" s="396"/>
      <c r="BX18" s="396"/>
      <c r="BY18" s="396"/>
      <c r="BZ18" s="396"/>
      <c r="CA18" s="396"/>
      <c r="CB18" s="396"/>
      <c r="CC18" s="396"/>
      <c r="CD18" s="396"/>
      <c r="CE18" s="396"/>
      <c r="CF18" s="396"/>
      <c r="CG18" s="396"/>
      <c r="CH18" s="396"/>
      <c r="CI18" s="396"/>
      <c r="CJ18" s="396"/>
      <c r="CK18" s="396"/>
      <c r="CL18" s="396"/>
      <c r="CM18" s="396"/>
      <c r="CN18" s="396"/>
      <c r="CO18" s="396"/>
      <c r="CP18" s="396"/>
      <c r="CQ18" s="396"/>
      <c r="CR18" s="396"/>
      <c r="CS18" s="396"/>
      <c r="CT18" s="396"/>
      <c r="CU18" s="396"/>
      <c r="CV18" s="396"/>
      <c r="CW18" s="396"/>
      <c r="CX18" s="396"/>
      <c r="CY18" s="396"/>
      <c r="CZ18" s="396"/>
      <c r="DA18" s="396"/>
      <c r="DB18" s="396"/>
      <c r="DC18" s="396"/>
      <c r="DD18" s="396"/>
      <c r="DE18" s="396"/>
      <c r="DF18" s="396"/>
      <c r="DG18" s="396"/>
      <c r="DH18" s="396"/>
      <c r="DI18" s="396"/>
      <c r="DJ18" s="396"/>
      <c r="DK18" s="396"/>
      <c r="DL18" s="396"/>
      <c r="DM18" s="396"/>
      <c r="DN18" s="396"/>
      <c r="DO18" s="396"/>
      <c r="DP18" s="396"/>
      <c r="DQ18" s="396"/>
      <c r="DR18" s="396"/>
      <c r="DS18" s="396"/>
      <c r="DT18" s="396"/>
      <c r="DU18" s="396"/>
      <c r="DV18" s="396"/>
      <c r="DW18" s="396"/>
      <c r="DX18" s="396"/>
      <c r="DY18" s="396"/>
      <c r="DZ18" s="396"/>
      <c r="EA18" s="396"/>
      <c r="EB18" s="396"/>
      <c r="EC18" s="396"/>
      <c r="ED18" s="396"/>
      <c r="EE18" s="396"/>
      <c r="EF18" s="396"/>
      <c r="EG18" s="396"/>
      <c r="EH18" s="396"/>
      <c r="EI18" s="396"/>
      <c r="EJ18" s="396"/>
      <c r="EK18" s="396"/>
      <c r="EL18" s="396"/>
      <c r="EM18" s="396"/>
      <c r="EN18" s="396"/>
      <c r="EO18" s="396"/>
      <c r="EP18" s="219"/>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c r="IQ18" s="18"/>
      <c r="IR18" s="18"/>
      <c r="IS18" s="18"/>
      <c r="IT18" s="18"/>
      <c r="IU18" s="18"/>
      <c r="IV18" s="18"/>
      <c r="IW18" s="18"/>
      <c r="IX18" s="18"/>
      <c r="IY18" s="18"/>
      <c r="IZ18" s="18"/>
      <c r="JA18" s="18"/>
      <c r="JB18" s="18"/>
      <c r="JC18" s="18"/>
      <c r="JD18" s="18"/>
      <c r="JE18" s="18"/>
      <c r="JF18" s="18"/>
      <c r="JG18" s="18"/>
      <c r="JH18" s="18"/>
      <c r="JI18" s="18"/>
      <c r="JJ18" s="18"/>
      <c r="JK18" s="18"/>
      <c r="JL18" s="18"/>
      <c r="JM18" s="18"/>
      <c r="JN18" s="18"/>
      <c r="JO18" s="18"/>
      <c r="JP18" s="18"/>
      <c r="JQ18" s="18"/>
      <c r="JR18" s="18"/>
      <c r="JS18" s="18"/>
      <c r="JT18" s="18"/>
      <c r="JU18" s="18"/>
      <c r="JV18" s="18"/>
      <c r="JW18" s="18"/>
      <c r="JX18" s="18"/>
      <c r="JY18"/>
      <c r="JZ18" s="262"/>
      <c r="KA18" s="262"/>
      <c r="KB18" s="262"/>
      <c r="KC18" s="262"/>
      <c r="KD18" s="262"/>
      <c r="KE18" s="262"/>
      <c r="KF18" s="262"/>
      <c r="KG18" s="262"/>
      <c r="KH18" s="262"/>
      <c r="KI18" s="262"/>
      <c r="KJ18" s="262"/>
      <c r="KK18" s="262"/>
      <c r="KL18" s="262"/>
      <c r="KM18" s="262"/>
      <c r="KN18" s="262"/>
      <c r="KO18" s="262"/>
      <c r="KP18" s="262"/>
      <c r="KQ18" s="262"/>
      <c r="KR18" s="262"/>
      <c r="KS18" s="262"/>
      <c r="KT18" s="262"/>
      <c r="KU18" s="262"/>
      <c r="KV18" s="262"/>
      <c r="KW18" s="262"/>
      <c r="KX18" s="262"/>
      <c r="KY18" s="262"/>
      <c r="KZ18" s="262"/>
      <c r="LA18" s="262"/>
      <c r="LB18" s="262"/>
      <c r="LC18" s="262"/>
      <c r="LD18" s="262"/>
      <c r="LE18" s="262"/>
      <c r="LF18" s="262"/>
      <c r="LG18" s="262"/>
      <c r="LH18" s="262"/>
      <c r="LI18" s="262"/>
      <c r="LJ18" s="262"/>
      <c r="LK18" s="262"/>
      <c r="LL18" s="262"/>
      <c r="LM18" s="262"/>
      <c r="LN18" s="262"/>
      <c r="LO18" s="262"/>
      <c r="LP18" s="262"/>
      <c r="LQ18" s="262"/>
      <c r="LR18" s="262"/>
      <c r="LS18" s="262"/>
      <c r="LT18" s="262"/>
      <c r="LU18" s="262"/>
      <c r="LV18" s="262"/>
      <c r="LW18" s="262"/>
      <c r="LX18" s="262"/>
      <c r="LY18" s="262"/>
      <c r="LZ18" s="262"/>
      <c r="MA18" s="262"/>
      <c r="MB18" s="262"/>
      <c r="MC18" s="262"/>
      <c r="MD18" s="262"/>
      <c r="ME18" s="262"/>
      <c r="MF18" s="262"/>
      <c r="MG18" s="262"/>
      <c r="MH18" s="262"/>
      <c r="MI18" s="262"/>
      <c r="MJ18" s="262"/>
      <c r="MK18" s="262"/>
      <c r="ML18" s="262"/>
      <c r="MM18" s="262"/>
      <c r="MN18" s="262"/>
      <c r="MO18" s="262"/>
      <c r="MP18" s="262"/>
      <c r="MQ18" s="262"/>
      <c r="MR18" s="262"/>
      <c r="MS18" s="262"/>
      <c r="MT18" s="262"/>
      <c r="MU18" s="262"/>
      <c r="MV18" s="262"/>
      <c r="MW18" s="262"/>
      <c r="MX18" s="262"/>
      <c r="MY18" s="262"/>
      <c r="MZ18" s="262"/>
      <c r="NA18" s="262"/>
      <c r="NB18" s="262"/>
      <c r="NC18" s="262"/>
      <c r="ND18" s="262"/>
      <c r="NE18" s="262"/>
      <c r="NF18" s="262"/>
      <c r="NG18" s="262"/>
      <c r="NH18" s="262"/>
      <c r="NI18" s="262"/>
      <c r="NJ18" s="262"/>
      <c r="NK18" s="262"/>
      <c r="NL18" s="262"/>
      <c r="NM18" s="262"/>
      <c r="NN18" s="262"/>
      <c r="NO18" s="262"/>
      <c r="NP18" s="262"/>
      <c r="NQ18" s="262"/>
      <c r="NR18" s="262"/>
      <c r="NS18" s="262"/>
      <c r="NT18" s="262"/>
      <c r="NU18" s="262"/>
      <c r="NV18" s="262"/>
      <c r="NW18" s="262"/>
      <c r="NX18" s="262"/>
      <c r="NY18" s="262"/>
      <c r="NZ18" s="262"/>
      <c r="OA18" s="262"/>
      <c r="OB18" s="262"/>
      <c r="OC18" s="262"/>
      <c r="OD18" s="262"/>
      <c r="OE18" s="262"/>
      <c r="OF18" s="262"/>
      <c r="OG18" s="262"/>
      <c r="OH18" s="262"/>
      <c r="OI18" s="262"/>
      <c r="OJ18" s="262"/>
      <c r="OK18" s="262"/>
      <c r="OL18" s="262"/>
      <c r="OM18" s="262"/>
      <c r="ON18" s="262"/>
      <c r="OO18" s="262"/>
      <c r="OP18" s="262"/>
      <c r="OQ18" s="262"/>
      <c r="OR18" s="262"/>
      <c r="OS18" s="262"/>
      <c r="OT18" s="262"/>
      <c r="OU18" s="262"/>
      <c r="OV18" s="262"/>
      <c r="OW18" s="262"/>
      <c r="OX18" s="262"/>
      <c r="OY18" s="262"/>
      <c r="OZ18" s="262"/>
      <c r="PA18" s="262"/>
      <c r="PB18" s="262"/>
      <c r="PC18" s="262"/>
      <c r="PD18" s="262"/>
      <c r="PE18" s="262"/>
      <c r="PF18" s="262"/>
      <c r="PG18" s="262"/>
      <c r="PH18" s="262"/>
    </row>
    <row r="19" spans="1:424" x14ac:dyDescent="0.35">
      <c r="A19"/>
      <c r="B19" s="34" t="s">
        <v>117</v>
      </c>
      <c r="C19" s="397"/>
      <c r="D19" s="397"/>
      <c r="E19" s="252">
        <v>4</v>
      </c>
      <c r="F19" s="34" t="s">
        <v>118</v>
      </c>
      <c r="G19" s="399"/>
      <c r="H19" s="397"/>
      <c r="I19" s="401">
        <f>Units_SF_M2/C17</f>
        <v>2.2811136810690704</v>
      </c>
      <c r="J19" s="395"/>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c r="BL19" s="396"/>
      <c r="BM19" s="396"/>
      <c r="BN19" s="396"/>
      <c r="BO19" s="396"/>
      <c r="BP19" s="396"/>
      <c r="BQ19" s="396"/>
      <c r="BR19" s="396"/>
      <c r="BS19" s="396"/>
      <c r="BT19" s="396"/>
      <c r="BU19" s="396"/>
      <c r="BV19" s="396"/>
      <c r="BW19" s="396"/>
      <c r="BX19" s="396"/>
      <c r="BY19" s="396"/>
      <c r="BZ19" s="396"/>
      <c r="CA19" s="396"/>
      <c r="CB19" s="396"/>
      <c r="CC19" s="396"/>
      <c r="CD19" s="396"/>
      <c r="CE19" s="396"/>
      <c r="CF19" s="396"/>
      <c r="CG19" s="396"/>
      <c r="CH19" s="396"/>
      <c r="CI19" s="396"/>
      <c r="CJ19" s="396"/>
      <c r="CK19" s="396"/>
      <c r="CL19" s="396"/>
      <c r="CM19" s="396"/>
      <c r="CN19" s="396"/>
      <c r="CO19" s="396"/>
      <c r="CP19" s="396"/>
      <c r="CQ19" s="396"/>
      <c r="CR19" s="396"/>
      <c r="CS19" s="396"/>
      <c r="CT19" s="396"/>
      <c r="CU19" s="396"/>
      <c r="CV19" s="396"/>
      <c r="CW19" s="396"/>
      <c r="CX19" s="396"/>
      <c r="CY19" s="396"/>
      <c r="CZ19" s="396"/>
      <c r="DA19" s="396"/>
      <c r="DB19" s="396"/>
      <c r="DC19" s="396"/>
      <c r="DD19" s="396"/>
      <c r="DE19" s="396"/>
      <c r="DF19" s="396"/>
      <c r="DG19" s="396"/>
      <c r="DH19" s="396"/>
      <c r="DI19" s="396"/>
      <c r="DJ19" s="396"/>
      <c r="DK19" s="396"/>
      <c r="DL19" s="396"/>
      <c r="DM19" s="396"/>
      <c r="DN19" s="396"/>
      <c r="DO19" s="396"/>
      <c r="DP19" s="396"/>
      <c r="DQ19" s="396"/>
      <c r="DR19" s="396"/>
      <c r="DS19" s="396"/>
      <c r="DT19" s="396"/>
      <c r="DU19" s="396"/>
      <c r="DV19" s="396"/>
      <c r="DW19" s="396"/>
      <c r="DX19" s="396"/>
      <c r="DY19" s="396"/>
      <c r="DZ19" s="396"/>
      <c r="EA19" s="396"/>
      <c r="EB19" s="396"/>
      <c r="EC19" s="396"/>
      <c r="ED19" s="396"/>
      <c r="EE19" s="396"/>
      <c r="EF19" s="396"/>
      <c r="EG19" s="396"/>
      <c r="EH19" s="396"/>
      <c r="EI19" s="396"/>
      <c r="EJ19" s="396"/>
      <c r="EK19" s="396"/>
      <c r="EL19" s="396"/>
      <c r="EM19" s="396"/>
      <c r="EN19" s="396"/>
      <c r="EO19" s="396"/>
      <c r="EP19" s="219"/>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c r="IS19" s="18"/>
      <c r="IT19" s="18"/>
      <c r="IU19" s="18"/>
      <c r="IV19" s="18"/>
      <c r="IW19" s="18"/>
      <c r="IX19" s="18"/>
      <c r="IY19" s="18"/>
      <c r="IZ19" s="18"/>
      <c r="JA19" s="18"/>
      <c r="JB19" s="18"/>
      <c r="JC19" s="18"/>
      <c r="JD19" s="18"/>
      <c r="JE19" s="18"/>
      <c r="JF19" s="18"/>
      <c r="JG19" s="18"/>
      <c r="JH19" s="18"/>
      <c r="JI19" s="18"/>
      <c r="JJ19" s="18"/>
      <c r="JK19" s="18"/>
      <c r="JL19" s="18"/>
      <c r="JM19" s="18"/>
      <c r="JN19" s="18"/>
      <c r="JO19" s="18"/>
      <c r="JP19" s="18"/>
      <c r="JQ19" s="18"/>
      <c r="JR19" s="18"/>
      <c r="JS19" s="18"/>
      <c r="JT19" s="18"/>
      <c r="JU19" s="18"/>
      <c r="JV19" s="18"/>
      <c r="JW19" s="18"/>
      <c r="JX19" s="18"/>
      <c r="JY19"/>
      <c r="JZ19" s="262"/>
      <c r="KA19" s="262"/>
      <c r="KB19" s="262"/>
      <c r="KC19" s="262"/>
      <c r="KD19" s="262"/>
      <c r="KE19" s="262"/>
      <c r="KF19" s="262"/>
      <c r="KG19" s="262"/>
      <c r="KH19" s="262"/>
      <c r="KI19" s="262"/>
      <c r="KJ19" s="262"/>
      <c r="KK19" s="262"/>
      <c r="KL19" s="262"/>
      <c r="KM19" s="262"/>
      <c r="KN19" s="262"/>
      <c r="KO19" s="262"/>
      <c r="KP19" s="262"/>
      <c r="KQ19" s="262"/>
      <c r="KR19" s="262"/>
      <c r="KS19" s="262"/>
      <c r="KT19" s="262"/>
      <c r="KU19" s="262"/>
      <c r="KV19" s="262"/>
      <c r="KW19" s="262"/>
      <c r="KX19" s="262"/>
      <c r="KY19" s="262"/>
      <c r="KZ19" s="262"/>
      <c r="LA19" s="262"/>
      <c r="LB19" s="262"/>
      <c r="LC19" s="262"/>
      <c r="LD19" s="262"/>
      <c r="LE19" s="262"/>
      <c r="LF19" s="262"/>
      <c r="LG19" s="262"/>
      <c r="LH19" s="262"/>
      <c r="LI19" s="262"/>
      <c r="LJ19" s="262"/>
      <c r="LK19" s="262"/>
      <c r="LL19" s="262"/>
      <c r="LM19" s="262"/>
      <c r="LN19" s="262"/>
      <c r="LO19" s="262"/>
      <c r="LP19" s="262"/>
      <c r="LQ19" s="262"/>
      <c r="LR19" s="262"/>
      <c r="LS19" s="262"/>
      <c r="LT19" s="262"/>
      <c r="LU19" s="262"/>
      <c r="LV19" s="262"/>
      <c r="LW19" s="262"/>
      <c r="LX19" s="262"/>
      <c r="LY19" s="262"/>
      <c r="LZ19" s="262"/>
      <c r="MA19" s="262"/>
      <c r="MB19" s="262"/>
      <c r="MC19" s="262"/>
      <c r="MD19" s="262"/>
      <c r="ME19" s="262"/>
      <c r="MF19" s="262"/>
      <c r="MG19" s="262"/>
      <c r="MH19" s="262"/>
      <c r="MI19" s="262"/>
      <c r="MJ19" s="262"/>
      <c r="MK19" s="262"/>
      <c r="ML19" s="262"/>
      <c r="MM19" s="262"/>
      <c r="MN19" s="262"/>
      <c r="MO19" s="262"/>
      <c r="MP19" s="262"/>
      <c r="MQ19" s="262"/>
      <c r="MR19" s="262"/>
      <c r="MS19" s="262"/>
      <c r="MT19" s="262"/>
      <c r="MU19" s="262"/>
      <c r="MV19" s="262"/>
      <c r="MW19" s="262"/>
      <c r="MX19" s="262"/>
      <c r="MY19" s="262"/>
      <c r="MZ19" s="262"/>
      <c r="NA19" s="262"/>
      <c r="NB19" s="262"/>
      <c r="NC19" s="262"/>
      <c r="ND19" s="262"/>
      <c r="NE19" s="262"/>
      <c r="NF19" s="262"/>
      <c r="NG19" s="262"/>
      <c r="NH19" s="262"/>
      <c r="NI19" s="262"/>
      <c r="NJ19" s="262"/>
      <c r="NK19" s="262"/>
      <c r="NL19" s="262"/>
      <c r="NM19" s="262"/>
      <c r="NN19" s="262"/>
      <c r="NO19" s="262"/>
      <c r="NP19" s="262"/>
      <c r="NQ19" s="262"/>
      <c r="NR19" s="262"/>
      <c r="NS19" s="262"/>
      <c r="NT19" s="262"/>
      <c r="NU19" s="262"/>
      <c r="NV19" s="262"/>
      <c r="NW19" s="262"/>
      <c r="NX19" s="262"/>
      <c r="NY19" s="262"/>
      <c r="NZ19" s="262"/>
      <c r="OA19" s="262"/>
      <c r="OB19" s="262"/>
      <c r="OC19" s="262"/>
      <c r="OD19" s="262"/>
      <c r="OE19" s="262"/>
      <c r="OF19" s="262"/>
      <c r="OG19" s="262"/>
      <c r="OH19" s="262"/>
      <c r="OI19" s="262"/>
      <c r="OJ19" s="262"/>
      <c r="OK19" s="262"/>
      <c r="OL19" s="262"/>
      <c r="OM19" s="262"/>
      <c r="ON19" s="262"/>
      <c r="OO19" s="262"/>
      <c r="OP19" s="262"/>
      <c r="OQ19" s="262"/>
      <c r="OR19" s="262"/>
      <c r="OS19" s="262"/>
      <c r="OT19" s="262"/>
      <c r="OU19" s="262"/>
      <c r="OV19" s="262"/>
      <c r="OW19" s="262"/>
      <c r="OX19" s="262"/>
      <c r="OY19" s="262"/>
      <c r="OZ19" s="262"/>
      <c r="PA19" s="262"/>
      <c r="PB19" s="262"/>
      <c r="PC19" s="262"/>
      <c r="PD19" s="262"/>
      <c r="PE19" s="262"/>
      <c r="PF19" s="262"/>
      <c r="PG19" s="262"/>
      <c r="PH19" s="262"/>
    </row>
    <row r="20" spans="1:424" x14ac:dyDescent="0.35">
      <c r="A20"/>
      <c r="B20" s="34" t="s">
        <v>119</v>
      </c>
      <c r="C20" s="397"/>
      <c r="D20" s="34"/>
      <c r="E20" s="252">
        <f>Units_SF_M2/1000*0.5</f>
        <v>39.235190000000003</v>
      </c>
      <c r="F20" s="34" t="s">
        <v>120</v>
      </c>
      <c r="G20" s="397"/>
      <c r="H20" s="397"/>
      <c r="I20" s="402">
        <f>Units_SF_M2/E18</f>
        <v>1</v>
      </c>
      <c r="J20" s="395"/>
      <c r="K20" s="396"/>
      <c r="L20" s="396"/>
      <c r="M20" s="396"/>
      <c r="N20" s="396"/>
      <c r="O20" s="396"/>
      <c r="P20" s="396"/>
      <c r="Q20" s="396"/>
      <c r="R20" s="396"/>
      <c r="S20" s="396"/>
      <c r="T20" s="396"/>
      <c r="U20" s="396"/>
      <c r="V20" s="396"/>
      <c r="W20" s="396"/>
      <c r="X20" s="396"/>
      <c r="Y20" s="396"/>
      <c r="Z20" s="396"/>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6"/>
      <c r="BK20" s="396"/>
      <c r="BL20" s="396"/>
      <c r="BM20" s="396"/>
      <c r="BN20" s="396"/>
      <c r="BO20" s="396"/>
      <c r="BP20" s="396"/>
      <c r="BQ20" s="396"/>
      <c r="BR20" s="396"/>
      <c r="BS20" s="396"/>
      <c r="BT20" s="396"/>
      <c r="BU20" s="396"/>
      <c r="BV20" s="396"/>
      <c r="BW20" s="396"/>
      <c r="BX20" s="396"/>
      <c r="BY20" s="396"/>
      <c r="BZ20" s="396"/>
      <c r="CA20" s="396"/>
      <c r="CB20" s="396"/>
      <c r="CC20" s="396"/>
      <c r="CD20" s="396"/>
      <c r="CE20" s="396"/>
      <c r="CF20" s="396"/>
      <c r="CG20" s="396"/>
      <c r="CH20" s="396"/>
      <c r="CI20" s="396"/>
      <c r="CJ20" s="396"/>
      <c r="CK20" s="396"/>
      <c r="CL20" s="396"/>
      <c r="CM20" s="396"/>
      <c r="CN20" s="396"/>
      <c r="CO20" s="396"/>
      <c r="CP20" s="396"/>
      <c r="CQ20" s="396"/>
      <c r="CR20" s="396"/>
      <c r="CS20" s="396"/>
      <c r="CT20" s="396"/>
      <c r="CU20" s="396"/>
      <c r="CV20" s="396"/>
      <c r="CW20" s="396"/>
      <c r="CX20" s="396"/>
      <c r="CY20" s="396"/>
      <c r="CZ20" s="396"/>
      <c r="DA20" s="396"/>
      <c r="DB20" s="396"/>
      <c r="DC20" s="396"/>
      <c r="DD20" s="396"/>
      <c r="DE20" s="396"/>
      <c r="DF20" s="396"/>
      <c r="DG20" s="396"/>
      <c r="DH20" s="396"/>
      <c r="DI20" s="396"/>
      <c r="DJ20" s="396"/>
      <c r="DK20" s="396"/>
      <c r="DL20" s="396"/>
      <c r="DM20" s="396"/>
      <c r="DN20" s="396"/>
      <c r="DO20" s="396"/>
      <c r="DP20" s="396"/>
      <c r="DQ20" s="396"/>
      <c r="DR20" s="396"/>
      <c r="DS20" s="396"/>
      <c r="DT20" s="396"/>
      <c r="DU20" s="396"/>
      <c r="DV20" s="396"/>
      <c r="DW20" s="396"/>
      <c r="DX20" s="396"/>
      <c r="DY20" s="396"/>
      <c r="DZ20" s="396"/>
      <c r="EA20" s="396"/>
      <c r="EB20" s="396"/>
      <c r="EC20" s="396"/>
      <c r="ED20" s="396"/>
      <c r="EE20" s="396"/>
      <c r="EF20" s="396"/>
      <c r="EG20" s="396"/>
      <c r="EH20" s="396"/>
      <c r="EI20" s="396"/>
      <c r="EJ20" s="396"/>
      <c r="EK20" s="396"/>
      <c r="EL20" s="396"/>
      <c r="EM20" s="396"/>
      <c r="EN20" s="396"/>
      <c r="EO20" s="396"/>
      <c r="EP20" s="219"/>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c r="IS20" s="18"/>
      <c r="IT20" s="18"/>
      <c r="IU20" s="18"/>
      <c r="IV20" s="18"/>
      <c r="IW20" s="18"/>
      <c r="IX20" s="18"/>
      <c r="IY20" s="18"/>
      <c r="IZ20" s="18"/>
      <c r="JA20" s="18"/>
      <c r="JB20" s="18"/>
      <c r="JC20" s="18"/>
      <c r="JD20" s="18"/>
      <c r="JE20" s="18"/>
      <c r="JF20" s="18"/>
      <c r="JG20" s="18"/>
      <c r="JH20" s="18"/>
      <c r="JI20" s="18"/>
      <c r="JJ20" s="18"/>
      <c r="JK20" s="18"/>
      <c r="JL20" s="18"/>
      <c r="JM20" s="18"/>
      <c r="JN20" s="18"/>
      <c r="JO20" s="18"/>
      <c r="JP20" s="18"/>
      <c r="JQ20" s="18"/>
      <c r="JR20" s="18"/>
      <c r="JS20" s="18"/>
      <c r="JT20" s="18"/>
      <c r="JU20" s="18"/>
      <c r="JV20" s="18"/>
      <c r="JW20" s="18"/>
      <c r="JX20" s="18"/>
      <c r="JY20"/>
      <c r="JZ20" s="262"/>
      <c r="KA20" s="262"/>
      <c r="KB20" s="262"/>
      <c r="KC20" s="262"/>
      <c r="KD20" s="262"/>
      <c r="KE20" s="262"/>
      <c r="KF20" s="262"/>
      <c r="KG20" s="262"/>
      <c r="KH20" s="262"/>
      <c r="KI20" s="262"/>
      <c r="KJ20" s="262"/>
      <c r="KK20" s="262"/>
      <c r="KL20" s="262"/>
      <c r="KM20" s="262"/>
      <c r="KN20" s="262"/>
      <c r="KO20" s="262"/>
      <c r="KP20" s="262"/>
      <c r="KQ20" s="262"/>
      <c r="KR20" s="262"/>
      <c r="KS20" s="262"/>
      <c r="KT20" s="262"/>
      <c r="KU20" s="262"/>
      <c r="KV20" s="262"/>
      <c r="KW20" s="262"/>
      <c r="KX20" s="262"/>
      <c r="KY20" s="262"/>
      <c r="KZ20" s="262"/>
      <c r="LA20" s="262"/>
      <c r="LB20" s="262"/>
      <c r="LC20" s="262"/>
      <c r="LD20" s="262"/>
      <c r="LE20" s="262"/>
      <c r="LF20" s="262"/>
      <c r="LG20" s="262"/>
      <c r="LH20" s="262"/>
      <c r="LI20" s="262"/>
      <c r="LJ20" s="262"/>
      <c r="LK20" s="262"/>
      <c r="LL20" s="262"/>
      <c r="LM20" s="262"/>
      <c r="LN20" s="262"/>
      <c r="LO20" s="262"/>
      <c r="LP20" s="262"/>
      <c r="LQ20" s="262"/>
      <c r="LR20" s="262"/>
      <c r="LS20" s="262"/>
      <c r="LT20" s="262"/>
      <c r="LU20" s="262"/>
      <c r="LV20" s="262"/>
      <c r="LW20" s="262"/>
      <c r="LX20" s="262"/>
      <c r="LY20" s="262"/>
      <c r="LZ20" s="262"/>
      <c r="MA20" s="262"/>
      <c r="MB20" s="262"/>
      <c r="MC20" s="262"/>
      <c r="MD20" s="262"/>
      <c r="ME20" s="262"/>
      <c r="MF20" s="262"/>
      <c r="MG20" s="262"/>
      <c r="MH20" s="262"/>
      <c r="MI20" s="262"/>
      <c r="MJ20" s="262"/>
      <c r="MK20" s="262"/>
      <c r="ML20" s="262"/>
      <c r="MM20" s="262"/>
      <c r="MN20" s="262"/>
      <c r="MO20" s="262"/>
      <c r="MP20" s="262"/>
      <c r="MQ20" s="262"/>
      <c r="MR20" s="262"/>
      <c r="MS20" s="262"/>
      <c r="MT20" s="262"/>
      <c r="MU20" s="262"/>
      <c r="MV20" s="262"/>
      <c r="MW20" s="262"/>
      <c r="MX20" s="262"/>
      <c r="MY20" s="262"/>
      <c r="MZ20" s="262"/>
      <c r="NA20" s="262"/>
      <c r="NB20" s="262"/>
      <c r="NC20" s="262"/>
      <c r="ND20" s="262"/>
      <c r="NE20" s="262"/>
      <c r="NF20" s="262"/>
      <c r="NG20" s="262"/>
      <c r="NH20" s="262"/>
      <c r="NI20" s="262"/>
      <c r="NJ20" s="262"/>
      <c r="NK20" s="262"/>
      <c r="NL20" s="262"/>
      <c r="NM20" s="262"/>
      <c r="NN20" s="262"/>
      <c r="NO20" s="262"/>
      <c r="NP20" s="262"/>
      <c r="NQ20" s="262"/>
      <c r="NR20" s="262"/>
      <c r="NS20" s="262"/>
      <c r="NT20" s="262"/>
      <c r="NU20" s="262"/>
      <c r="NV20" s="262"/>
      <c r="NW20" s="262"/>
      <c r="NX20" s="262"/>
      <c r="NY20" s="262"/>
      <c r="NZ20" s="262"/>
      <c r="OA20" s="262"/>
      <c r="OB20" s="262"/>
      <c r="OC20" s="262"/>
      <c r="OD20" s="262"/>
      <c r="OE20" s="262"/>
      <c r="OF20" s="262"/>
      <c r="OG20" s="262"/>
      <c r="OH20" s="262"/>
      <c r="OI20" s="262"/>
      <c r="OJ20" s="262"/>
      <c r="OK20" s="262"/>
      <c r="OL20" s="262"/>
      <c r="OM20" s="262"/>
      <c r="ON20" s="262"/>
      <c r="OO20" s="262"/>
      <c r="OP20" s="262"/>
      <c r="OQ20" s="262"/>
      <c r="OR20" s="262"/>
      <c r="OS20" s="262"/>
      <c r="OT20" s="262"/>
      <c r="OU20" s="262"/>
      <c r="OV20" s="262"/>
      <c r="OW20" s="262"/>
      <c r="OX20" s="262"/>
      <c r="OY20" s="262"/>
      <c r="OZ20" s="262"/>
      <c r="PA20" s="262"/>
      <c r="PB20" s="262"/>
      <c r="PC20" s="262"/>
      <c r="PD20" s="262"/>
      <c r="PE20" s="262"/>
      <c r="PF20" s="262"/>
      <c r="PG20" s="262"/>
      <c r="PH20" s="262"/>
    </row>
    <row r="21" spans="1:424" x14ac:dyDescent="0.35">
      <c r="A21"/>
      <c r="B21" s="34" t="s">
        <v>121</v>
      </c>
      <c r="C21" s="397"/>
      <c r="D21" s="34"/>
      <c r="E21" s="252">
        <f>Units_SF_M2/1000*4</f>
        <v>313.88152000000002</v>
      </c>
      <c r="F21" s="34" t="str">
        <f>"Parking Ratio (Per "&amp;Unit_Type&amp;")"</f>
        <v>Parking Ratio (Per M2)</v>
      </c>
      <c r="G21" s="397"/>
      <c r="H21" s="34"/>
      <c r="I21" s="274">
        <f>(E21+E20)/(Units_SF_M2/1000)</f>
        <v>4.5</v>
      </c>
      <c r="J21" s="395"/>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c r="BL21" s="396"/>
      <c r="BM21" s="396"/>
      <c r="BN21" s="396"/>
      <c r="BO21" s="396"/>
      <c r="BP21" s="396"/>
      <c r="BQ21" s="396"/>
      <c r="BR21" s="396"/>
      <c r="BS21" s="396"/>
      <c r="BT21" s="396"/>
      <c r="BU21" s="396"/>
      <c r="BV21" s="396"/>
      <c r="BW21" s="396"/>
      <c r="BX21" s="396"/>
      <c r="BY21" s="396"/>
      <c r="BZ21" s="396"/>
      <c r="CA21" s="396"/>
      <c r="CB21" s="396"/>
      <c r="CC21" s="396"/>
      <c r="CD21" s="396"/>
      <c r="CE21" s="396"/>
      <c r="CF21" s="396"/>
      <c r="CG21" s="396"/>
      <c r="CH21" s="396"/>
      <c r="CI21" s="396"/>
      <c r="CJ21" s="396"/>
      <c r="CK21" s="396"/>
      <c r="CL21" s="396"/>
      <c r="CM21" s="396"/>
      <c r="CN21" s="396"/>
      <c r="CO21" s="396"/>
      <c r="CP21" s="396"/>
      <c r="CQ21" s="396"/>
      <c r="CR21" s="396"/>
      <c r="CS21" s="396"/>
      <c r="CT21" s="396"/>
      <c r="CU21" s="396"/>
      <c r="CV21" s="396"/>
      <c r="CW21" s="396"/>
      <c r="CX21" s="396"/>
      <c r="CY21" s="396"/>
      <c r="CZ21" s="396"/>
      <c r="DA21" s="396"/>
      <c r="DB21" s="396"/>
      <c r="DC21" s="396"/>
      <c r="DD21" s="396"/>
      <c r="DE21" s="396"/>
      <c r="DF21" s="396"/>
      <c r="DG21" s="396"/>
      <c r="DH21" s="396"/>
      <c r="DI21" s="396"/>
      <c r="DJ21" s="396"/>
      <c r="DK21" s="396"/>
      <c r="DL21" s="396"/>
      <c r="DM21" s="396"/>
      <c r="DN21" s="396"/>
      <c r="DO21" s="396"/>
      <c r="DP21" s="396"/>
      <c r="DQ21" s="396"/>
      <c r="DR21" s="396"/>
      <c r="DS21" s="396"/>
      <c r="DT21" s="396"/>
      <c r="DU21" s="396"/>
      <c r="DV21" s="396"/>
      <c r="DW21" s="396"/>
      <c r="DX21" s="396"/>
      <c r="DY21" s="396"/>
      <c r="DZ21" s="396"/>
      <c r="EA21" s="396"/>
      <c r="EB21" s="396"/>
      <c r="EC21" s="396"/>
      <c r="ED21" s="396"/>
      <c r="EE21" s="396"/>
      <c r="EF21" s="396"/>
      <c r="EG21" s="396"/>
      <c r="EH21" s="396"/>
      <c r="EI21" s="396"/>
      <c r="EJ21" s="396"/>
      <c r="EK21" s="396"/>
      <c r="EL21" s="396"/>
      <c r="EM21" s="396"/>
      <c r="EN21" s="396"/>
      <c r="EO21" s="396"/>
      <c r="EP21" s="219"/>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c r="IT21" s="18"/>
      <c r="IU21" s="18"/>
      <c r="IV21" s="18"/>
      <c r="IW21" s="18"/>
      <c r="IX21" s="18"/>
      <c r="IY21" s="18"/>
      <c r="IZ21" s="18"/>
      <c r="JA21" s="18"/>
      <c r="JB21" s="18"/>
      <c r="JC21" s="18"/>
      <c r="JD21" s="18"/>
      <c r="JE21" s="18"/>
      <c r="JF21" s="18"/>
      <c r="JG21" s="18"/>
      <c r="JH21" s="18"/>
      <c r="JI21" s="18"/>
      <c r="JJ21" s="18"/>
      <c r="JK21" s="18"/>
      <c r="JL21" s="18"/>
      <c r="JM21" s="18"/>
      <c r="JN21" s="18"/>
      <c r="JO21" s="18"/>
      <c r="JP21" s="18"/>
      <c r="JQ21" s="18"/>
      <c r="JR21" s="18"/>
      <c r="JS21" s="18"/>
      <c r="JT21" s="18"/>
      <c r="JU21" s="18"/>
      <c r="JV21" s="18"/>
      <c r="JW21" s="18"/>
      <c r="JX21" s="18"/>
      <c r="JY21"/>
      <c r="JZ21" s="262"/>
      <c r="KA21" s="262"/>
      <c r="KB21" s="262"/>
      <c r="KC21" s="262"/>
      <c r="KD21" s="262"/>
      <c r="KE21" s="262"/>
      <c r="KF21" s="262"/>
      <c r="KG21" s="262"/>
      <c r="KH21" s="262"/>
      <c r="KI21" s="262"/>
      <c r="KJ21" s="262"/>
      <c r="KK21" s="262"/>
      <c r="KL21" s="262"/>
      <c r="KM21" s="262"/>
      <c r="KN21" s="262"/>
      <c r="KO21" s="262"/>
      <c r="KP21" s="262"/>
      <c r="KQ21" s="262"/>
      <c r="KR21" s="262"/>
      <c r="KS21" s="262"/>
      <c r="KT21" s="262"/>
      <c r="KU21" s="262"/>
      <c r="KV21" s="262"/>
      <c r="KW21" s="262"/>
      <c r="KX21" s="262"/>
      <c r="KY21" s="262"/>
      <c r="KZ21" s="262"/>
      <c r="LA21" s="262"/>
      <c r="LB21" s="262"/>
      <c r="LC21" s="262"/>
      <c r="LD21" s="262"/>
      <c r="LE21" s="262"/>
      <c r="LF21" s="262"/>
      <c r="LG21" s="262"/>
      <c r="LH21" s="262"/>
      <c r="LI21" s="262"/>
      <c r="LJ21" s="262"/>
      <c r="LK21" s="262"/>
      <c r="LL21" s="262"/>
      <c r="LM21" s="262"/>
      <c r="LN21" s="262"/>
      <c r="LO21" s="262"/>
      <c r="LP21" s="262"/>
      <c r="LQ21" s="262"/>
      <c r="LR21" s="262"/>
      <c r="LS21" s="262"/>
      <c r="LT21" s="262"/>
      <c r="LU21" s="262"/>
      <c r="LV21" s="262"/>
      <c r="LW21" s="262"/>
      <c r="LX21" s="262"/>
      <c r="LY21" s="262"/>
      <c r="LZ21" s="262"/>
      <c r="MA21" s="262"/>
      <c r="MB21" s="262"/>
      <c r="MC21" s="262"/>
      <c r="MD21" s="262"/>
      <c r="ME21" s="262"/>
      <c r="MF21" s="262"/>
      <c r="MG21" s="262"/>
      <c r="MH21" s="262"/>
      <c r="MI21" s="262"/>
      <c r="MJ21" s="262"/>
      <c r="MK21" s="262"/>
      <c r="ML21" s="262"/>
      <c r="MM21" s="262"/>
      <c r="MN21" s="262"/>
      <c r="MO21" s="262"/>
      <c r="MP21" s="262"/>
      <c r="MQ21" s="262"/>
      <c r="MR21" s="262"/>
      <c r="MS21" s="262"/>
      <c r="MT21" s="262"/>
      <c r="MU21" s="262"/>
      <c r="MV21" s="262"/>
      <c r="MW21" s="262"/>
      <c r="MX21" s="262"/>
      <c r="MY21" s="262"/>
      <c r="MZ21" s="262"/>
      <c r="NA21" s="262"/>
      <c r="NB21" s="262"/>
      <c r="NC21" s="262"/>
      <c r="ND21" s="262"/>
      <c r="NE21" s="262"/>
      <c r="NF21" s="262"/>
      <c r="NG21" s="262"/>
      <c r="NH21" s="262"/>
      <c r="NI21" s="262"/>
      <c r="NJ21" s="262"/>
      <c r="NK21" s="262"/>
      <c r="NL21" s="262"/>
      <c r="NM21" s="262"/>
      <c r="NN21" s="262"/>
      <c r="NO21" s="262"/>
      <c r="NP21" s="262"/>
      <c r="NQ21" s="262"/>
      <c r="NR21" s="262"/>
      <c r="NS21" s="262"/>
      <c r="NT21" s="262"/>
      <c r="NU21" s="262"/>
      <c r="NV21" s="262"/>
      <c r="NW21" s="262"/>
      <c r="NX21" s="262"/>
      <c r="NY21" s="262"/>
      <c r="NZ21" s="262"/>
      <c r="OA21" s="262"/>
      <c r="OB21" s="262"/>
      <c r="OC21" s="262"/>
      <c r="OD21" s="262"/>
      <c r="OE21" s="262"/>
      <c r="OF21" s="262"/>
      <c r="OG21" s="262"/>
      <c r="OH21" s="262"/>
      <c r="OI21" s="262"/>
      <c r="OJ21" s="262"/>
      <c r="OK21" s="262"/>
      <c r="OL21" s="262"/>
      <c r="OM21" s="262"/>
      <c r="ON21" s="262"/>
      <c r="OO21" s="262"/>
      <c r="OP21" s="262"/>
      <c r="OQ21" s="262"/>
      <c r="OR21" s="262"/>
      <c r="OS21" s="262"/>
      <c r="OT21" s="262"/>
      <c r="OU21" s="262"/>
      <c r="OV21" s="262"/>
      <c r="OW21" s="262"/>
      <c r="OX21" s="262"/>
      <c r="OY21" s="262"/>
      <c r="OZ21" s="262"/>
      <c r="PA21" s="262"/>
      <c r="PB21" s="262"/>
      <c r="PC21" s="262"/>
      <c r="PD21" s="262"/>
      <c r="PE21" s="262"/>
      <c r="PF21" s="262"/>
      <c r="PG21" s="262"/>
      <c r="PH21" s="262"/>
    </row>
    <row r="22" spans="1:424" x14ac:dyDescent="0.35">
      <c r="A22"/>
      <c r="B22" s="386"/>
      <c r="C22" s="386"/>
      <c r="D22" s="386"/>
      <c r="E22" s="386"/>
      <c r="F22" s="386"/>
      <c r="G22" s="386"/>
      <c r="H22" s="386"/>
      <c r="I22" s="386"/>
      <c r="J22" s="387"/>
      <c r="K22" s="388"/>
      <c r="L22" s="388"/>
      <c r="M22" s="388"/>
      <c r="N22" s="388"/>
      <c r="O22" s="388"/>
      <c r="P22" s="388"/>
      <c r="Q22" s="388"/>
      <c r="R22" s="388"/>
      <c r="S22" s="388"/>
      <c r="T22" s="388"/>
      <c r="U22" s="388"/>
      <c r="V22" s="388"/>
      <c r="W22" s="388"/>
      <c r="X22" s="388"/>
      <c r="Y22" s="388"/>
      <c r="Z22" s="388"/>
      <c r="AA22" s="388"/>
      <c r="AB22" s="388"/>
      <c r="AC22" s="388"/>
      <c r="AD22" s="388"/>
      <c r="AE22" s="388"/>
      <c r="AF22" s="388"/>
      <c r="AG22" s="388"/>
      <c r="AH22" s="388"/>
      <c r="AI22" s="388"/>
      <c r="AJ22" s="388"/>
      <c r="AK22" s="388"/>
      <c r="AL22" s="388"/>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8"/>
      <c r="BK22" s="388"/>
      <c r="BL22" s="388"/>
      <c r="BM22" s="388"/>
      <c r="BN22" s="388"/>
      <c r="BO22" s="388"/>
      <c r="BP22" s="388"/>
      <c r="BQ22" s="388"/>
      <c r="BR22" s="388"/>
      <c r="BS22" s="388"/>
      <c r="BT22" s="388"/>
      <c r="BU22" s="388"/>
      <c r="BV22" s="388"/>
      <c r="BW22" s="388"/>
      <c r="BX22" s="388"/>
      <c r="BY22" s="388"/>
      <c r="BZ22" s="388"/>
      <c r="CA22" s="388"/>
      <c r="CB22" s="388"/>
      <c r="CC22" s="388"/>
      <c r="CD22" s="388"/>
      <c r="CE22" s="388"/>
      <c r="CF22" s="388"/>
      <c r="CG22" s="388"/>
      <c r="CH22" s="388"/>
      <c r="CI22" s="388"/>
      <c r="CJ22" s="388"/>
      <c r="CK22" s="388"/>
      <c r="CL22" s="388"/>
      <c r="CM22" s="388"/>
      <c r="CN22" s="388"/>
      <c r="CO22" s="388"/>
      <c r="CP22" s="388"/>
      <c r="CQ22" s="388"/>
      <c r="CR22" s="388"/>
      <c r="CS22" s="388"/>
      <c r="CT22" s="388"/>
      <c r="CU22" s="388"/>
      <c r="CV22" s="388"/>
      <c r="CW22" s="388"/>
      <c r="CX22" s="388"/>
      <c r="CY22" s="388"/>
      <c r="CZ22" s="388"/>
      <c r="DA22" s="388"/>
      <c r="DB22" s="388"/>
      <c r="DC22" s="388"/>
      <c r="DD22" s="388"/>
      <c r="DE22" s="388"/>
      <c r="DF22" s="388"/>
      <c r="DG22" s="388"/>
      <c r="DH22" s="388"/>
      <c r="DI22" s="388"/>
      <c r="DJ22" s="388"/>
      <c r="DK22" s="388"/>
      <c r="DL22" s="388"/>
      <c r="DM22" s="388"/>
      <c r="DN22" s="388"/>
      <c r="DO22" s="388"/>
      <c r="DP22" s="388"/>
      <c r="DQ22" s="388"/>
      <c r="DR22" s="388"/>
      <c r="DS22" s="388"/>
      <c r="DT22" s="388"/>
      <c r="DU22" s="388"/>
      <c r="DV22" s="388"/>
      <c r="DW22" s="388"/>
      <c r="DX22" s="388"/>
      <c r="DY22" s="388"/>
      <c r="DZ22" s="388"/>
      <c r="EA22" s="388"/>
      <c r="EB22" s="388"/>
      <c r="EC22" s="388"/>
      <c r="ED22" s="388"/>
      <c r="EE22" s="388"/>
      <c r="EF22" s="388"/>
      <c r="EG22" s="388"/>
      <c r="EH22" s="388"/>
      <c r="EI22" s="388"/>
      <c r="EJ22" s="388"/>
      <c r="EK22" s="388"/>
      <c r="EL22" s="388"/>
      <c r="EM22" s="388"/>
      <c r="EN22" s="388"/>
      <c r="EO22" s="388"/>
      <c r="EP22" s="403"/>
      <c r="EQ22" s="404"/>
      <c r="ER22" s="404"/>
      <c r="ES22" s="404"/>
      <c r="ET22" s="404"/>
      <c r="EU22" s="404"/>
      <c r="EV22" s="404"/>
      <c r="EW22" s="404"/>
      <c r="EX22" s="404"/>
      <c r="EY22" s="404"/>
      <c r="EZ22" s="404"/>
      <c r="FA22" s="404"/>
      <c r="FB22" s="404"/>
      <c r="FC22" s="404"/>
      <c r="FD22" s="404"/>
      <c r="FE22" s="404"/>
      <c r="FF22" s="404"/>
      <c r="FG22" s="404"/>
      <c r="FH22" s="404"/>
      <c r="FI22" s="404"/>
      <c r="FJ22" s="404"/>
      <c r="FK22" s="404"/>
      <c r="FL22" s="404"/>
      <c r="FM22" s="404"/>
      <c r="FN22" s="404"/>
      <c r="FO22" s="404"/>
      <c r="FP22" s="404"/>
      <c r="FQ22" s="404"/>
      <c r="FR22" s="404"/>
      <c r="FS22" s="404"/>
      <c r="FT22" s="404"/>
      <c r="FU22" s="404"/>
      <c r="FV22" s="404"/>
      <c r="FW22" s="404"/>
      <c r="FX22" s="404"/>
      <c r="FY22" s="404"/>
      <c r="FZ22" s="404"/>
      <c r="GA22" s="404"/>
      <c r="GB22" s="404"/>
      <c r="GC22" s="404"/>
      <c r="GD22" s="404"/>
      <c r="GE22" s="404"/>
      <c r="GF22" s="404"/>
      <c r="GG22" s="404"/>
      <c r="GH22" s="404"/>
      <c r="GI22" s="404"/>
      <c r="GJ22" s="404"/>
      <c r="GK22" s="404"/>
      <c r="GL22" s="404"/>
      <c r="GM22" s="404"/>
      <c r="GN22" s="404"/>
      <c r="GO22" s="404"/>
      <c r="GP22" s="404"/>
      <c r="GQ22" s="404"/>
      <c r="GR22" s="404"/>
      <c r="GS22" s="404"/>
      <c r="GT22" s="404"/>
      <c r="GU22" s="404"/>
      <c r="GV22" s="404"/>
      <c r="GW22" s="404"/>
      <c r="GX22" s="404"/>
      <c r="GY22" s="404"/>
      <c r="GZ22" s="404"/>
      <c r="HA22" s="404"/>
      <c r="HB22" s="404"/>
      <c r="HC22" s="404"/>
      <c r="HD22" s="404"/>
      <c r="HE22" s="404"/>
      <c r="HF22" s="404"/>
      <c r="HG22" s="404"/>
      <c r="HH22" s="404"/>
      <c r="HI22" s="404"/>
      <c r="HJ22" s="404"/>
      <c r="HK22" s="404"/>
      <c r="HL22" s="404"/>
      <c r="HM22" s="404"/>
      <c r="HN22" s="404"/>
      <c r="HO22" s="404"/>
      <c r="HP22" s="404"/>
      <c r="HQ22" s="404"/>
      <c r="HR22" s="404"/>
      <c r="HS22" s="404"/>
      <c r="HT22" s="404"/>
      <c r="HU22" s="404"/>
      <c r="HV22" s="404"/>
      <c r="HW22" s="404"/>
      <c r="HX22" s="404"/>
      <c r="HY22" s="404"/>
      <c r="HZ22" s="404"/>
      <c r="IA22" s="404"/>
      <c r="IB22" s="404"/>
      <c r="IC22" s="404"/>
      <c r="ID22" s="404"/>
      <c r="IE22" s="404"/>
      <c r="IF22" s="404"/>
      <c r="IG22" s="404"/>
      <c r="IH22" s="404"/>
      <c r="II22" s="404"/>
      <c r="IJ22" s="404"/>
      <c r="IK22" s="404"/>
      <c r="IL22" s="404"/>
      <c r="IM22" s="404"/>
      <c r="IN22" s="404"/>
      <c r="IO22" s="404"/>
      <c r="IP22" s="404"/>
      <c r="IQ22" s="404"/>
      <c r="IR22" s="404"/>
      <c r="IS22" s="404"/>
      <c r="IT22" s="404"/>
      <c r="IU22" s="404"/>
      <c r="IV22" s="404"/>
      <c r="IW22" s="404"/>
      <c r="IX22" s="404"/>
      <c r="IY22" s="404"/>
      <c r="IZ22" s="404"/>
      <c r="JA22" s="404"/>
      <c r="JB22" s="404"/>
      <c r="JC22" s="404"/>
      <c r="JD22" s="404"/>
      <c r="JE22" s="404"/>
      <c r="JF22" s="404"/>
      <c r="JG22" s="404"/>
      <c r="JH22" s="404"/>
      <c r="JI22" s="404"/>
      <c r="JJ22" s="404"/>
      <c r="JK22" s="404"/>
      <c r="JL22" s="404"/>
      <c r="JM22" s="404"/>
      <c r="JN22" s="404"/>
      <c r="JO22" s="404"/>
      <c r="JP22" s="404"/>
      <c r="JQ22" s="404"/>
      <c r="JR22" s="404"/>
      <c r="JS22" s="404"/>
      <c r="JT22" s="404"/>
      <c r="JU22" s="404"/>
      <c r="JV22" s="404"/>
      <c r="JW22" s="404"/>
      <c r="JX22" s="404"/>
      <c r="JY22"/>
      <c r="JZ22" s="262"/>
      <c r="KA22" s="262"/>
      <c r="KB22" s="262"/>
      <c r="KC22" s="262"/>
      <c r="KD22" s="262"/>
      <c r="KE22" s="262"/>
      <c r="KF22" s="262"/>
      <c r="KG22" s="262"/>
      <c r="KH22" s="262"/>
      <c r="KI22" s="262"/>
      <c r="KJ22" s="262"/>
      <c r="KK22" s="262"/>
      <c r="KL22" s="262"/>
      <c r="KM22" s="262"/>
      <c r="KN22" s="262"/>
      <c r="KO22" s="262"/>
      <c r="KP22" s="262"/>
      <c r="KQ22" s="262"/>
      <c r="KR22" s="262"/>
      <c r="KS22" s="262"/>
      <c r="KT22" s="262"/>
      <c r="KU22" s="262"/>
      <c r="KV22" s="262"/>
      <c r="KW22" s="262"/>
      <c r="KX22" s="262"/>
      <c r="KY22" s="262"/>
      <c r="KZ22" s="262"/>
      <c r="LA22" s="262"/>
      <c r="LB22" s="262"/>
      <c r="LC22" s="262"/>
      <c r="LD22" s="262"/>
      <c r="LE22" s="262"/>
      <c r="LF22" s="262"/>
      <c r="LG22" s="262"/>
      <c r="LH22" s="262"/>
      <c r="LI22" s="262"/>
      <c r="LJ22" s="262"/>
      <c r="LK22" s="262"/>
      <c r="LL22" s="262"/>
      <c r="LM22" s="262"/>
      <c r="LN22" s="262"/>
      <c r="LO22" s="262"/>
      <c r="LP22" s="262"/>
      <c r="LQ22" s="262"/>
      <c r="LR22" s="262"/>
      <c r="LS22" s="262"/>
      <c r="LT22" s="262"/>
      <c r="LU22" s="262"/>
      <c r="LV22" s="262"/>
      <c r="LW22" s="262"/>
      <c r="LX22" s="262"/>
      <c r="LY22" s="262"/>
      <c r="LZ22" s="262"/>
      <c r="MA22" s="262"/>
      <c r="MB22" s="262"/>
      <c r="MC22" s="262"/>
      <c r="MD22" s="262"/>
      <c r="ME22" s="262"/>
      <c r="MF22" s="262"/>
      <c r="MG22" s="262"/>
      <c r="MH22" s="262"/>
      <c r="MI22" s="262"/>
      <c r="MJ22" s="262"/>
      <c r="MK22" s="262"/>
      <c r="ML22" s="262"/>
      <c r="MM22" s="262"/>
      <c r="MN22" s="262"/>
      <c r="MO22" s="262"/>
      <c r="MP22" s="262"/>
      <c r="MQ22" s="262"/>
      <c r="MR22" s="262"/>
      <c r="MS22" s="262"/>
      <c r="MT22" s="262"/>
      <c r="MU22" s="262"/>
      <c r="MV22" s="262"/>
      <c r="MW22" s="262"/>
      <c r="MX22" s="262"/>
      <c r="MY22" s="262"/>
      <c r="MZ22" s="262"/>
      <c r="NA22" s="262"/>
      <c r="NB22" s="262"/>
      <c r="NC22" s="262"/>
      <c r="ND22" s="262"/>
      <c r="NE22" s="262"/>
      <c r="NF22" s="262"/>
      <c r="NG22" s="262"/>
      <c r="NH22" s="262"/>
      <c r="NI22" s="262"/>
      <c r="NJ22" s="262"/>
      <c r="NK22" s="262"/>
      <c r="NL22" s="262"/>
      <c r="NM22" s="262"/>
      <c r="NN22" s="262"/>
      <c r="NO22" s="262"/>
      <c r="NP22" s="262"/>
      <c r="NQ22" s="262"/>
      <c r="NR22" s="262"/>
      <c r="NS22" s="262"/>
      <c r="NT22" s="262"/>
      <c r="NU22" s="262"/>
      <c r="NV22" s="262"/>
      <c r="NW22" s="262"/>
      <c r="NX22" s="262"/>
      <c r="NY22" s="262"/>
      <c r="NZ22" s="262"/>
      <c r="OA22" s="262"/>
      <c r="OB22" s="262"/>
      <c r="OC22" s="262"/>
      <c r="OD22" s="262"/>
      <c r="OE22" s="262"/>
      <c r="OF22" s="262"/>
      <c r="OG22" s="262"/>
      <c r="OH22" s="262"/>
      <c r="OI22" s="262"/>
      <c r="OJ22" s="262"/>
      <c r="OK22" s="262"/>
      <c r="OL22" s="262"/>
      <c r="OM22" s="262"/>
      <c r="ON22" s="262"/>
      <c r="OO22" s="262"/>
      <c r="OP22" s="262"/>
      <c r="OQ22" s="262"/>
      <c r="OR22" s="262"/>
      <c r="OS22" s="262"/>
      <c r="OT22" s="262"/>
      <c r="OU22" s="262"/>
      <c r="OV22" s="262"/>
      <c r="OW22" s="262"/>
      <c r="OX22" s="262"/>
      <c r="OY22" s="262"/>
      <c r="OZ22" s="262"/>
      <c r="PA22" s="262"/>
      <c r="PB22" s="262"/>
      <c r="PC22" s="262"/>
      <c r="PD22" s="262"/>
      <c r="PE22" s="262"/>
      <c r="PF22" s="262"/>
      <c r="PG22" s="262"/>
      <c r="PH22" s="262"/>
    </row>
    <row r="23" spans="1:424" x14ac:dyDescent="0.35">
      <c r="A23"/>
      <c r="B23" s="2" t="s">
        <v>122</v>
      </c>
      <c r="C23" s="1"/>
      <c r="D23" s="1"/>
      <c r="E23" s="1"/>
      <c r="F23" s="1"/>
      <c r="G23" s="1"/>
      <c r="H23" s="1"/>
      <c r="I23" s="1"/>
      <c r="J23" s="161"/>
      <c r="K23" s="161" t="s">
        <v>94</v>
      </c>
      <c r="L23" s="198">
        <f>COLUMN()-COLUMN($L$23)</f>
        <v>0</v>
      </c>
      <c r="M23" s="198">
        <f t="shared" ref="M23:BX23" si="28">COLUMN()-COLUMN($L$23)</f>
        <v>1</v>
      </c>
      <c r="N23" s="198">
        <f t="shared" si="28"/>
        <v>2</v>
      </c>
      <c r="O23" s="198">
        <f t="shared" si="28"/>
        <v>3</v>
      </c>
      <c r="P23" s="198">
        <f t="shared" si="28"/>
        <v>4</v>
      </c>
      <c r="Q23" s="198">
        <f t="shared" si="28"/>
        <v>5</v>
      </c>
      <c r="R23" s="198">
        <f t="shared" si="28"/>
        <v>6</v>
      </c>
      <c r="S23" s="198">
        <f t="shared" si="28"/>
        <v>7</v>
      </c>
      <c r="T23" s="198">
        <f t="shared" si="28"/>
        <v>8</v>
      </c>
      <c r="U23" s="198">
        <f t="shared" si="28"/>
        <v>9</v>
      </c>
      <c r="V23" s="198">
        <f t="shared" si="28"/>
        <v>10</v>
      </c>
      <c r="W23" s="198">
        <f t="shared" si="28"/>
        <v>11</v>
      </c>
      <c r="X23" s="198">
        <f t="shared" si="28"/>
        <v>12</v>
      </c>
      <c r="Y23" s="198">
        <f t="shared" si="28"/>
        <v>13</v>
      </c>
      <c r="Z23" s="198">
        <f t="shared" si="28"/>
        <v>14</v>
      </c>
      <c r="AA23" s="198">
        <f t="shared" si="28"/>
        <v>15</v>
      </c>
      <c r="AB23" s="198">
        <f t="shared" si="28"/>
        <v>16</v>
      </c>
      <c r="AC23" s="198">
        <f t="shared" si="28"/>
        <v>17</v>
      </c>
      <c r="AD23" s="198">
        <f t="shared" si="28"/>
        <v>18</v>
      </c>
      <c r="AE23" s="198">
        <f t="shared" si="28"/>
        <v>19</v>
      </c>
      <c r="AF23" s="198">
        <f t="shared" si="28"/>
        <v>20</v>
      </c>
      <c r="AG23" s="198">
        <f t="shared" si="28"/>
        <v>21</v>
      </c>
      <c r="AH23" s="198">
        <f t="shared" si="28"/>
        <v>22</v>
      </c>
      <c r="AI23" s="198">
        <f t="shared" si="28"/>
        <v>23</v>
      </c>
      <c r="AJ23" s="198">
        <f t="shared" si="28"/>
        <v>24</v>
      </c>
      <c r="AK23" s="198">
        <f t="shared" si="28"/>
        <v>25</v>
      </c>
      <c r="AL23" s="198">
        <f t="shared" si="28"/>
        <v>26</v>
      </c>
      <c r="AM23" s="198">
        <f t="shared" si="28"/>
        <v>27</v>
      </c>
      <c r="AN23" s="198">
        <f t="shared" si="28"/>
        <v>28</v>
      </c>
      <c r="AO23" s="198">
        <f t="shared" si="28"/>
        <v>29</v>
      </c>
      <c r="AP23" s="198">
        <f t="shared" si="28"/>
        <v>30</v>
      </c>
      <c r="AQ23" s="198">
        <f t="shared" si="28"/>
        <v>31</v>
      </c>
      <c r="AR23" s="198">
        <f t="shared" si="28"/>
        <v>32</v>
      </c>
      <c r="AS23" s="198">
        <f t="shared" si="28"/>
        <v>33</v>
      </c>
      <c r="AT23" s="198">
        <f t="shared" si="28"/>
        <v>34</v>
      </c>
      <c r="AU23" s="198">
        <f t="shared" si="28"/>
        <v>35</v>
      </c>
      <c r="AV23" s="198">
        <f t="shared" si="28"/>
        <v>36</v>
      </c>
      <c r="AW23" s="198">
        <f t="shared" si="28"/>
        <v>37</v>
      </c>
      <c r="AX23" s="198">
        <f t="shared" si="28"/>
        <v>38</v>
      </c>
      <c r="AY23" s="198">
        <f t="shared" si="28"/>
        <v>39</v>
      </c>
      <c r="AZ23" s="198">
        <f t="shared" si="28"/>
        <v>40</v>
      </c>
      <c r="BA23" s="198">
        <f t="shared" si="28"/>
        <v>41</v>
      </c>
      <c r="BB23" s="198">
        <f t="shared" si="28"/>
        <v>42</v>
      </c>
      <c r="BC23" s="198">
        <f t="shared" si="28"/>
        <v>43</v>
      </c>
      <c r="BD23" s="198">
        <f t="shared" si="28"/>
        <v>44</v>
      </c>
      <c r="BE23" s="198">
        <f t="shared" si="28"/>
        <v>45</v>
      </c>
      <c r="BF23" s="198">
        <f t="shared" si="28"/>
        <v>46</v>
      </c>
      <c r="BG23" s="198">
        <f t="shared" si="28"/>
        <v>47</v>
      </c>
      <c r="BH23" s="198">
        <f t="shared" si="28"/>
        <v>48</v>
      </c>
      <c r="BI23" s="198">
        <f t="shared" si="28"/>
        <v>49</v>
      </c>
      <c r="BJ23" s="198">
        <f t="shared" si="28"/>
        <v>50</v>
      </c>
      <c r="BK23" s="198">
        <f t="shared" si="28"/>
        <v>51</v>
      </c>
      <c r="BL23" s="198">
        <f t="shared" si="28"/>
        <v>52</v>
      </c>
      <c r="BM23" s="198">
        <f t="shared" si="28"/>
        <v>53</v>
      </c>
      <c r="BN23" s="198">
        <f t="shared" si="28"/>
        <v>54</v>
      </c>
      <c r="BO23" s="198">
        <f t="shared" si="28"/>
        <v>55</v>
      </c>
      <c r="BP23" s="198">
        <f t="shared" si="28"/>
        <v>56</v>
      </c>
      <c r="BQ23" s="198">
        <f t="shared" si="28"/>
        <v>57</v>
      </c>
      <c r="BR23" s="198">
        <f t="shared" si="28"/>
        <v>58</v>
      </c>
      <c r="BS23" s="198">
        <f t="shared" si="28"/>
        <v>59</v>
      </c>
      <c r="BT23" s="198">
        <f t="shared" si="28"/>
        <v>60</v>
      </c>
      <c r="BU23" s="198">
        <f t="shared" si="28"/>
        <v>61</v>
      </c>
      <c r="BV23" s="198">
        <f t="shared" si="28"/>
        <v>62</v>
      </c>
      <c r="BW23" s="198">
        <f t="shared" si="28"/>
        <v>63</v>
      </c>
      <c r="BX23" s="198">
        <f t="shared" si="28"/>
        <v>64</v>
      </c>
      <c r="BY23" s="198">
        <f t="shared" ref="BY23:EJ23" si="29">COLUMN()-COLUMN($L$23)</f>
        <v>65</v>
      </c>
      <c r="BZ23" s="198">
        <f t="shared" si="29"/>
        <v>66</v>
      </c>
      <c r="CA23" s="198">
        <f t="shared" si="29"/>
        <v>67</v>
      </c>
      <c r="CB23" s="198">
        <f t="shared" si="29"/>
        <v>68</v>
      </c>
      <c r="CC23" s="198">
        <f t="shared" si="29"/>
        <v>69</v>
      </c>
      <c r="CD23" s="198">
        <f t="shared" si="29"/>
        <v>70</v>
      </c>
      <c r="CE23" s="198">
        <f t="shared" si="29"/>
        <v>71</v>
      </c>
      <c r="CF23" s="198">
        <f t="shared" si="29"/>
        <v>72</v>
      </c>
      <c r="CG23" s="198">
        <f t="shared" si="29"/>
        <v>73</v>
      </c>
      <c r="CH23" s="198">
        <f t="shared" si="29"/>
        <v>74</v>
      </c>
      <c r="CI23" s="198">
        <f t="shared" si="29"/>
        <v>75</v>
      </c>
      <c r="CJ23" s="198">
        <f t="shared" si="29"/>
        <v>76</v>
      </c>
      <c r="CK23" s="198">
        <f t="shared" si="29"/>
        <v>77</v>
      </c>
      <c r="CL23" s="198">
        <f t="shared" si="29"/>
        <v>78</v>
      </c>
      <c r="CM23" s="198">
        <f t="shared" si="29"/>
        <v>79</v>
      </c>
      <c r="CN23" s="198">
        <f t="shared" si="29"/>
        <v>80</v>
      </c>
      <c r="CO23" s="198">
        <f t="shared" si="29"/>
        <v>81</v>
      </c>
      <c r="CP23" s="198">
        <f t="shared" si="29"/>
        <v>82</v>
      </c>
      <c r="CQ23" s="198">
        <f t="shared" si="29"/>
        <v>83</v>
      </c>
      <c r="CR23" s="198">
        <f t="shared" si="29"/>
        <v>84</v>
      </c>
      <c r="CS23" s="198">
        <f t="shared" si="29"/>
        <v>85</v>
      </c>
      <c r="CT23" s="198">
        <f t="shared" si="29"/>
        <v>86</v>
      </c>
      <c r="CU23" s="198">
        <f t="shared" si="29"/>
        <v>87</v>
      </c>
      <c r="CV23" s="198">
        <f t="shared" si="29"/>
        <v>88</v>
      </c>
      <c r="CW23" s="198">
        <f t="shared" si="29"/>
        <v>89</v>
      </c>
      <c r="CX23" s="198">
        <f t="shared" si="29"/>
        <v>90</v>
      </c>
      <c r="CY23" s="198">
        <f t="shared" si="29"/>
        <v>91</v>
      </c>
      <c r="CZ23" s="198">
        <f t="shared" si="29"/>
        <v>92</v>
      </c>
      <c r="DA23" s="198">
        <f t="shared" si="29"/>
        <v>93</v>
      </c>
      <c r="DB23" s="198">
        <f t="shared" si="29"/>
        <v>94</v>
      </c>
      <c r="DC23" s="198">
        <f t="shared" si="29"/>
        <v>95</v>
      </c>
      <c r="DD23" s="198">
        <f t="shared" si="29"/>
        <v>96</v>
      </c>
      <c r="DE23" s="198">
        <f t="shared" si="29"/>
        <v>97</v>
      </c>
      <c r="DF23" s="198">
        <f t="shared" si="29"/>
        <v>98</v>
      </c>
      <c r="DG23" s="198">
        <f t="shared" si="29"/>
        <v>99</v>
      </c>
      <c r="DH23" s="198">
        <f t="shared" si="29"/>
        <v>100</v>
      </c>
      <c r="DI23" s="198">
        <f t="shared" si="29"/>
        <v>101</v>
      </c>
      <c r="DJ23" s="198">
        <f t="shared" si="29"/>
        <v>102</v>
      </c>
      <c r="DK23" s="198">
        <f t="shared" si="29"/>
        <v>103</v>
      </c>
      <c r="DL23" s="198">
        <f t="shared" si="29"/>
        <v>104</v>
      </c>
      <c r="DM23" s="198">
        <f t="shared" si="29"/>
        <v>105</v>
      </c>
      <c r="DN23" s="198">
        <f t="shared" si="29"/>
        <v>106</v>
      </c>
      <c r="DO23" s="198">
        <f t="shared" si="29"/>
        <v>107</v>
      </c>
      <c r="DP23" s="198">
        <f t="shared" si="29"/>
        <v>108</v>
      </c>
      <c r="DQ23" s="198">
        <f t="shared" si="29"/>
        <v>109</v>
      </c>
      <c r="DR23" s="198">
        <f t="shared" si="29"/>
        <v>110</v>
      </c>
      <c r="DS23" s="198">
        <f t="shared" si="29"/>
        <v>111</v>
      </c>
      <c r="DT23" s="198">
        <f t="shared" si="29"/>
        <v>112</v>
      </c>
      <c r="DU23" s="198">
        <f t="shared" si="29"/>
        <v>113</v>
      </c>
      <c r="DV23" s="198">
        <f t="shared" si="29"/>
        <v>114</v>
      </c>
      <c r="DW23" s="198">
        <f t="shared" si="29"/>
        <v>115</v>
      </c>
      <c r="DX23" s="198">
        <f t="shared" si="29"/>
        <v>116</v>
      </c>
      <c r="DY23" s="198">
        <f t="shared" si="29"/>
        <v>117</v>
      </c>
      <c r="DZ23" s="198">
        <f t="shared" si="29"/>
        <v>118</v>
      </c>
      <c r="EA23" s="198">
        <f t="shared" si="29"/>
        <v>119</v>
      </c>
      <c r="EB23" s="198">
        <f t="shared" si="29"/>
        <v>120</v>
      </c>
      <c r="EC23" s="198">
        <f t="shared" si="29"/>
        <v>121</v>
      </c>
      <c r="ED23" s="198">
        <f t="shared" si="29"/>
        <v>122</v>
      </c>
      <c r="EE23" s="198">
        <f t="shared" si="29"/>
        <v>123</v>
      </c>
      <c r="EF23" s="198">
        <f t="shared" si="29"/>
        <v>124</v>
      </c>
      <c r="EG23" s="198">
        <f t="shared" si="29"/>
        <v>125</v>
      </c>
      <c r="EH23" s="198">
        <f t="shared" si="29"/>
        <v>126</v>
      </c>
      <c r="EI23" s="198">
        <f t="shared" si="29"/>
        <v>127</v>
      </c>
      <c r="EJ23" s="198">
        <f t="shared" si="29"/>
        <v>128</v>
      </c>
      <c r="EK23" s="198">
        <f>COLUMN()-COLUMN($L$23)</f>
        <v>129</v>
      </c>
      <c r="EL23" s="198">
        <f>COLUMN()-COLUMN($L$23)</f>
        <v>130</v>
      </c>
      <c r="EM23" s="198">
        <f>COLUMN()-COLUMN($L$23)</f>
        <v>131</v>
      </c>
      <c r="EN23" s="198">
        <f>COLUMN()-COLUMN($L$23)</f>
        <v>132</v>
      </c>
      <c r="EO23" s="161"/>
      <c r="EP23" s="405" t="s">
        <v>123</v>
      </c>
      <c r="EQ23" s="199"/>
      <c r="ER23" s="16"/>
      <c r="ES23" s="16"/>
      <c r="ET23" s="16"/>
      <c r="EU23" s="16"/>
      <c r="EV23" s="17">
        <f>L23</f>
        <v>0</v>
      </c>
      <c r="EW23" s="17">
        <f t="shared" ref="EW23:HH24" si="30">M23</f>
        <v>1</v>
      </c>
      <c r="EX23" s="17">
        <f t="shared" si="30"/>
        <v>2</v>
      </c>
      <c r="EY23" s="17">
        <f t="shared" si="30"/>
        <v>3</v>
      </c>
      <c r="EZ23" s="17">
        <f t="shared" si="30"/>
        <v>4</v>
      </c>
      <c r="FA23" s="17">
        <f t="shared" si="30"/>
        <v>5</v>
      </c>
      <c r="FB23" s="17">
        <f t="shared" si="30"/>
        <v>6</v>
      </c>
      <c r="FC23" s="17">
        <f t="shared" si="30"/>
        <v>7</v>
      </c>
      <c r="FD23" s="17">
        <f t="shared" si="30"/>
        <v>8</v>
      </c>
      <c r="FE23" s="17">
        <f t="shared" si="30"/>
        <v>9</v>
      </c>
      <c r="FF23" s="17">
        <f t="shared" si="30"/>
        <v>10</v>
      </c>
      <c r="FG23" s="17">
        <f t="shared" si="30"/>
        <v>11</v>
      </c>
      <c r="FH23" s="17">
        <f t="shared" si="30"/>
        <v>12</v>
      </c>
      <c r="FI23" s="17">
        <f t="shared" si="30"/>
        <v>13</v>
      </c>
      <c r="FJ23" s="17">
        <f t="shared" si="30"/>
        <v>14</v>
      </c>
      <c r="FK23" s="17">
        <f t="shared" si="30"/>
        <v>15</v>
      </c>
      <c r="FL23" s="17">
        <f t="shared" si="30"/>
        <v>16</v>
      </c>
      <c r="FM23" s="17">
        <f t="shared" si="30"/>
        <v>17</v>
      </c>
      <c r="FN23" s="17">
        <f t="shared" si="30"/>
        <v>18</v>
      </c>
      <c r="FO23" s="17">
        <f t="shared" si="30"/>
        <v>19</v>
      </c>
      <c r="FP23" s="17">
        <f t="shared" si="30"/>
        <v>20</v>
      </c>
      <c r="FQ23" s="17">
        <f t="shared" si="30"/>
        <v>21</v>
      </c>
      <c r="FR23" s="17">
        <f t="shared" si="30"/>
        <v>22</v>
      </c>
      <c r="FS23" s="17">
        <f t="shared" si="30"/>
        <v>23</v>
      </c>
      <c r="FT23" s="17">
        <f t="shared" si="30"/>
        <v>24</v>
      </c>
      <c r="FU23" s="17">
        <f t="shared" si="30"/>
        <v>25</v>
      </c>
      <c r="FV23" s="17">
        <f t="shared" si="30"/>
        <v>26</v>
      </c>
      <c r="FW23" s="17">
        <f t="shared" si="30"/>
        <v>27</v>
      </c>
      <c r="FX23" s="17">
        <f t="shared" si="30"/>
        <v>28</v>
      </c>
      <c r="FY23" s="17">
        <f t="shared" si="30"/>
        <v>29</v>
      </c>
      <c r="FZ23" s="17">
        <f t="shared" si="30"/>
        <v>30</v>
      </c>
      <c r="GA23" s="17">
        <f t="shared" si="30"/>
        <v>31</v>
      </c>
      <c r="GB23" s="17">
        <f t="shared" si="30"/>
        <v>32</v>
      </c>
      <c r="GC23" s="17">
        <f t="shared" si="30"/>
        <v>33</v>
      </c>
      <c r="GD23" s="17">
        <f t="shared" si="30"/>
        <v>34</v>
      </c>
      <c r="GE23" s="17">
        <f t="shared" si="30"/>
        <v>35</v>
      </c>
      <c r="GF23" s="17">
        <f t="shared" si="30"/>
        <v>36</v>
      </c>
      <c r="GG23" s="17">
        <f t="shared" si="30"/>
        <v>37</v>
      </c>
      <c r="GH23" s="17">
        <f t="shared" si="30"/>
        <v>38</v>
      </c>
      <c r="GI23" s="17">
        <f t="shared" si="30"/>
        <v>39</v>
      </c>
      <c r="GJ23" s="17">
        <f t="shared" si="30"/>
        <v>40</v>
      </c>
      <c r="GK23" s="17">
        <f t="shared" si="30"/>
        <v>41</v>
      </c>
      <c r="GL23" s="17">
        <f t="shared" si="30"/>
        <v>42</v>
      </c>
      <c r="GM23" s="17">
        <f t="shared" si="30"/>
        <v>43</v>
      </c>
      <c r="GN23" s="17">
        <f t="shared" si="30"/>
        <v>44</v>
      </c>
      <c r="GO23" s="17">
        <f t="shared" si="30"/>
        <v>45</v>
      </c>
      <c r="GP23" s="17">
        <f t="shared" si="30"/>
        <v>46</v>
      </c>
      <c r="GQ23" s="17">
        <f t="shared" si="30"/>
        <v>47</v>
      </c>
      <c r="GR23" s="17">
        <f t="shared" si="30"/>
        <v>48</v>
      </c>
      <c r="GS23" s="17">
        <f t="shared" si="30"/>
        <v>49</v>
      </c>
      <c r="GT23" s="17">
        <f t="shared" si="30"/>
        <v>50</v>
      </c>
      <c r="GU23" s="17">
        <f t="shared" si="30"/>
        <v>51</v>
      </c>
      <c r="GV23" s="17">
        <f t="shared" si="30"/>
        <v>52</v>
      </c>
      <c r="GW23" s="17">
        <f t="shared" si="30"/>
        <v>53</v>
      </c>
      <c r="GX23" s="17">
        <f t="shared" si="30"/>
        <v>54</v>
      </c>
      <c r="GY23" s="17">
        <f t="shared" si="30"/>
        <v>55</v>
      </c>
      <c r="GZ23" s="17">
        <f t="shared" si="30"/>
        <v>56</v>
      </c>
      <c r="HA23" s="17">
        <f t="shared" si="30"/>
        <v>57</v>
      </c>
      <c r="HB23" s="17">
        <f t="shared" si="30"/>
        <v>58</v>
      </c>
      <c r="HC23" s="17">
        <f t="shared" si="30"/>
        <v>59</v>
      </c>
      <c r="HD23" s="17">
        <f t="shared" si="30"/>
        <v>60</v>
      </c>
      <c r="HE23" s="17">
        <f t="shared" si="30"/>
        <v>61</v>
      </c>
      <c r="HF23" s="17">
        <f t="shared" si="30"/>
        <v>62</v>
      </c>
      <c r="HG23" s="17">
        <f t="shared" si="30"/>
        <v>63</v>
      </c>
      <c r="HH23" s="17">
        <f t="shared" si="30"/>
        <v>64</v>
      </c>
      <c r="HI23" s="17">
        <f t="shared" ref="HI23:JT24" si="31">BY23</f>
        <v>65</v>
      </c>
      <c r="HJ23" s="17">
        <f t="shared" si="31"/>
        <v>66</v>
      </c>
      <c r="HK23" s="17">
        <f t="shared" si="31"/>
        <v>67</v>
      </c>
      <c r="HL23" s="17">
        <f t="shared" si="31"/>
        <v>68</v>
      </c>
      <c r="HM23" s="17">
        <f t="shared" si="31"/>
        <v>69</v>
      </c>
      <c r="HN23" s="17">
        <f t="shared" si="31"/>
        <v>70</v>
      </c>
      <c r="HO23" s="17">
        <f t="shared" si="31"/>
        <v>71</v>
      </c>
      <c r="HP23" s="17">
        <f t="shared" si="31"/>
        <v>72</v>
      </c>
      <c r="HQ23" s="17">
        <f t="shared" si="31"/>
        <v>73</v>
      </c>
      <c r="HR23" s="17">
        <f t="shared" si="31"/>
        <v>74</v>
      </c>
      <c r="HS23" s="17">
        <f t="shared" si="31"/>
        <v>75</v>
      </c>
      <c r="HT23" s="17">
        <f t="shared" si="31"/>
        <v>76</v>
      </c>
      <c r="HU23" s="17">
        <f t="shared" si="31"/>
        <v>77</v>
      </c>
      <c r="HV23" s="17">
        <f t="shared" si="31"/>
        <v>78</v>
      </c>
      <c r="HW23" s="17">
        <f t="shared" si="31"/>
        <v>79</v>
      </c>
      <c r="HX23" s="17">
        <f t="shared" si="31"/>
        <v>80</v>
      </c>
      <c r="HY23" s="17">
        <f t="shared" si="31"/>
        <v>81</v>
      </c>
      <c r="HZ23" s="17">
        <f t="shared" si="31"/>
        <v>82</v>
      </c>
      <c r="IA23" s="17">
        <f t="shared" si="31"/>
        <v>83</v>
      </c>
      <c r="IB23" s="17">
        <f t="shared" si="31"/>
        <v>84</v>
      </c>
      <c r="IC23" s="17">
        <f t="shared" si="31"/>
        <v>85</v>
      </c>
      <c r="ID23" s="17">
        <f t="shared" si="31"/>
        <v>86</v>
      </c>
      <c r="IE23" s="17">
        <f t="shared" si="31"/>
        <v>87</v>
      </c>
      <c r="IF23" s="17">
        <f t="shared" si="31"/>
        <v>88</v>
      </c>
      <c r="IG23" s="17">
        <f t="shared" si="31"/>
        <v>89</v>
      </c>
      <c r="IH23" s="17">
        <f t="shared" si="31"/>
        <v>90</v>
      </c>
      <c r="II23" s="17">
        <f t="shared" si="31"/>
        <v>91</v>
      </c>
      <c r="IJ23" s="17">
        <f t="shared" si="31"/>
        <v>92</v>
      </c>
      <c r="IK23" s="17">
        <f t="shared" si="31"/>
        <v>93</v>
      </c>
      <c r="IL23" s="17">
        <f t="shared" si="31"/>
        <v>94</v>
      </c>
      <c r="IM23" s="17">
        <f t="shared" si="31"/>
        <v>95</v>
      </c>
      <c r="IN23" s="17">
        <f t="shared" si="31"/>
        <v>96</v>
      </c>
      <c r="IO23" s="17">
        <f t="shared" si="31"/>
        <v>97</v>
      </c>
      <c r="IP23" s="17">
        <f t="shared" si="31"/>
        <v>98</v>
      </c>
      <c r="IQ23" s="17">
        <f t="shared" si="31"/>
        <v>99</v>
      </c>
      <c r="IR23" s="17">
        <f t="shared" si="31"/>
        <v>100</v>
      </c>
      <c r="IS23" s="17">
        <f t="shared" si="31"/>
        <v>101</v>
      </c>
      <c r="IT23" s="17">
        <f t="shared" si="31"/>
        <v>102</v>
      </c>
      <c r="IU23" s="17">
        <f t="shared" si="31"/>
        <v>103</v>
      </c>
      <c r="IV23" s="17">
        <f t="shared" si="31"/>
        <v>104</v>
      </c>
      <c r="IW23" s="17">
        <f t="shared" si="31"/>
        <v>105</v>
      </c>
      <c r="IX23" s="17">
        <f t="shared" si="31"/>
        <v>106</v>
      </c>
      <c r="IY23" s="17">
        <f t="shared" si="31"/>
        <v>107</v>
      </c>
      <c r="IZ23" s="17">
        <f t="shared" si="31"/>
        <v>108</v>
      </c>
      <c r="JA23" s="17">
        <f t="shared" si="31"/>
        <v>109</v>
      </c>
      <c r="JB23" s="17">
        <f t="shared" si="31"/>
        <v>110</v>
      </c>
      <c r="JC23" s="17">
        <f t="shared" si="31"/>
        <v>111</v>
      </c>
      <c r="JD23" s="17">
        <f t="shared" si="31"/>
        <v>112</v>
      </c>
      <c r="JE23" s="17">
        <f t="shared" si="31"/>
        <v>113</v>
      </c>
      <c r="JF23" s="17">
        <f t="shared" si="31"/>
        <v>114</v>
      </c>
      <c r="JG23" s="17">
        <f t="shared" si="31"/>
        <v>115</v>
      </c>
      <c r="JH23" s="17">
        <f t="shared" si="31"/>
        <v>116</v>
      </c>
      <c r="JI23" s="17">
        <f t="shared" si="31"/>
        <v>117</v>
      </c>
      <c r="JJ23" s="17">
        <f t="shared" si="31"/>
        <v>118</v>
      </c>
      <c r="JK23" s="17">
        <f t="shared" si="31"/>
        <v>119</v>
      </c>
      <c r="JL23" s="17">
        <f t="shared" si="31"/>
        <v>120</v>
      </c>
      <c r="JM23" s="17">
        <f t="shared" si="31"/>
        <v>121</v>
      </c>
      <c r="JN23" s="17">
        <f t="shared" si="31"/>
        <v>122</v>
      </c>
      <c r="JO23" s="17">
        <f t="shared" si="31"/>
        <v>123</v>
      </c>
      <c r="JP23" s="17">
        <f t="shared" si="31"/>
        <v>124</v>
      </c>
      <c r="JQ23" s="17">
        <f t="shared" si="31"/>
        <v>125</v>
      </c>
      <c r="JR23" s="17">
        <f t="shared" si="31"/>
        <v>126</v>
      </c>
      <c r="JS23" s="17">
        <f t="shared" si="31"/>
        <v>127</v>
      </c>
      <c r="JT23" s="17">
        <f t="shared" si="31"/>
        <v>128</v>
      </c>
      <c r="JU23" s="17">
        <f t="shared" ref="JU23:JX24" si="32">EK23</f>
        <v>129</v>
      </c>
      <c r="JV23" s="17">
        <f t="shared" si="32"/>
        <v>130</v>
      </c>
      <c r="JW23" s="17">
        <f t="shared" si="32"/>
        <v>131</v>
      </c>
      <c r="JX23" s="17">
        <f t="shared" si="32"/>
        <v>132</v>
      </c>
      <c r="JY23"/>
      <c r="JZ23" s="405" t="s">
        <v>124</v>
      </c>
      <c r="KA23" s="199"/>
      <c r="KB23" s="16"/>
      <c r="KC23" s="16"/>
      <c r="KD23" s="16"/>
      <c r="KE23" s="16"/>
      <c r="KF23" s="17">
        <f t="shared" ref="KF23:KO24" si="33">EV23</f>
        <v>0</v>
      </c>
      <c r="KG23" s="17">
        <f t="shared" si="33"/>
        <v>1</v>
      </c>
      <c r="KH23" s="17">
        <f t="shared" si="33"/>
        <v>2</v>
      </c>
      <c r="KI23" s="17">
        <f t="shared" si="33"/>
        <v>3</v>
      </c>
      <c r="KJ23" s="17">
        <f t="shared" si="33"/>
        <v>4</v>
      </c>
      <c r="KK23" s="17">
        <f t="shared" si="33"/>
        <v>5</v>
      </c>
      <c r="KL23" s="17">
        <f t="shared" si="33"/>
        <v>6</v>
      </c>
      <c r="KM23" s="17">
        <f t="shared" si="33"/>
        <v>7</v>
      </c>
      <c r="KN23" s="17">
        <f t="shared" si="33"/>
        <v>8</v>
      </c>
      <c r="KO23" s="17">
        <f t="shared" si="33"/>
        <v>9</v>
      </c>
      <c r="KP23" s="17">
        <f t="shared" ref="KP23:KY24" si="34">FF23</f>
        <v>10</v>
      </c>
      <c r="KQ23" s="17">
        <f t="shared" si="34"/>
        <v>11</v>
      </c>
      <c r="KR23" s="17">
        <f t="shared" si="34"/>
        <v>12</v>
      </c>
      <c r="KS23" s="17">
        <f t="shared" si="34"/>
        <v>13</v>
      </c>
      <c r="KT23" s="17">
        <f t="shared" si="34"/>
        <v>14</v>
      </c>
      <c r="KU23" s="17">
        <f t="shared" si="34"/>
        <v>15</v>
      </c>
      <c r="KV23" s="17">
        <f t="shared" si="34"/>
        <v>16</v>
      </c>
      <c r="KW23" s="17">
        <f t="shared" si="34"/>
        <v>17</v>
      </c>
      <c r="KX23" s="17">
        <f t="shared" si="34"/>
        <v>18</v>
      </c>
      <c r="KY23" s="17">
        <f t="shared" si="34"/>
        <v>19</v>
      </c>
      <c r="KZ23" s="17">
        <f t="shared" ref="KZ23:LI24" si="35">FP23</f>
        <v>20</v>
      </c>
      <c r="LA23" s="17">
        <f t="shared" si="35"/>
        <v>21</v>
      </c>
      <c r="LB23" s="17">
        <f t="shared" si="35"/>
        <v>22</v>
      </c>
      <c r="LC23" s="17">
        <f t="shared" si="35"/>
        <v>23</v>
      </c>
      <c r="LD23" s="17">
        <f t="shared" si="35"/>
        <v>24</v>
      </c>
      <c r="LE23" s="17">
        <f t="shared" si="35"/>
        <v>25</v>
      </c>
      <c r="LF23" s="17">
        <f t="shared" si="35"/>
        <v>26</v>
      </c>
      <c r="LG23" s="17">
        <f t="shared" si="35"/>
        <v>27</v>
      </c>
      <c r="LH23" s="17">
        <f t="shared" si="35"/>
        <v>28</v>
      </c>
      <c r="LI23" s="17">
        <f t="shared" si="35"/>
        <v>29</v>
      </c>
      <c r="LJ23" s="17">
        <f t="shared" ref="LJ23:LS24" si="36">FZ23</f>
        <v>30</v>
      </c>
      <c r="LK23" s="17">
        <f t="shared" si="36"/>
        <v>31</v>
      </c>
      <c r="LL23" s="17">
        <f t="shared" si="36"/>
        <v>32</v>
      </c>
      <c r="LM23" s="17">
        <f t="shared" si="36"/>
        <v>33</v>
      </c>
      <c r="LN23" s="17">
        <f t="shared" si="36"/>
        <v>34</v>
      </c>
      <c r="LO23" s="17">
        <f t="shared" si="36"/>
        <v>35</v>
      </c>
      <c r="LP23" s="17">
        <f t="shared" si="36"/>
        <v>36</v>
      </c>
      <c r="LQ23" s="17">
        <f t="shared" si="36"/>
        <v>37</v>
      </c>
      <c r="LR23" s="17">
        <f t="shared" si="36"/>
        <v>38</v>
      </c>
      <c r="LS23" s="17">
        <f t="shared" si="36"/>
        <v>39</v>
      </c>
      <c r="LT23" s="17">
        <f t="shared" ref="LT23:MC24" si="37">GJ23</f>
        <v>40</v>
      </c>
      <c r="LU23" s="17">
        <f t="shared" si="37"/>
        <v>41</v>
      </c>
      <c r="LV23" s="17">
        <f t="shared" si="37"/>
        <v>42</v>
      </c>
      <c r="LW23" s="17">
        <f t="shared" si="37"/>
        <v>43</v>
      </c>
      <c r="LX23" s="17">
        <f t="shared" si="37"/>
        <v>44</v>
      </c>
      <c r="LY23" s="17">
        <f t="shared" si="37"/>
        <v>45</v>
      </c>
      <c r="LZ23" s="17">
        <f t="shared" si="37"/>
        <v>46</v>
      </c>
      <c r="MA23" s="17">
        <f t="shared" si="37"/>
        <v>47</v>
      </c>
      <c r="MB23" s="17">
        <f t="shared" si="37"/>
        <v>48</v>
      </c>
      <c r="MC23" s="17">
        <f t="shared" si="37"/>
        <v>49</v>
      </c>
      <c r="MD23" s="17">
        <f t="shared" ref="MD23:MM24" si="38">GT23</f>
        <v>50</v>
      </c>
      <c r="ME23" s="17">
        <f t="shared" si="38"/>
        <v>51</v>
      </c>
      <c r="MF23" s="17">
        <f t="shared" si="38"/>
        <v>52</v>
      </c>
      <c r="MG23" s="17">
        <f t="shared" si="38"/>
        <v>53</v>
      </c>
      <c r="MH23" s="17">
        <f t="shared" si="38"/>
        <v>54</v>
      </c>
      <c r="MI23" s="17">
        <f t="shared" si="38"/>
        <v>55</v>
      </c>
      <c r="MJ23" s="17">
        <f t="shared" si="38"/>
        <v>56</v>
      </c>
      <c r="MK23" s="17">
        <f t="shared" si="38"/>
        <v>57</v>
      </c>
      <c r="ML23" s="17">
        <f t="shared" si="38"/>
        <v>58</v>
      </c>
      <c r="MM23" s="17">
        <f t="shared" si="38"/>
        <v>59</v>
      </c>
      <c r="MN23" s="17">
        <f t="shared" ref="MN23:MW24" si="39">HD23</f>
        <v>60</v>
      </c>
      <c r="MO23" s="17">
        <f t="shared" si="39"/>
        <v>61</v>
      </c>
      <c r="MP23" s="17">
        <f t="shared" si="39"/>
        <v>62</v>
      </c>
      <c r="MQ23" s="17">
        <f t="shared" si="39"/>
        <v>63</v>
      </c>
      <c r="MR23" s="17">
        <f t="shared" si="39"/>
        <v>64</v>
      </c>
      <c r="MS23" s="17">
        <f t="shared" si="39"/>
        <v>65</v>
      </c>
      <c r="MT23" s="17">
        <f t="shared" si="39"/>
        <v>66</v>
      </c>
      <c r="MU23" s="17">
        <f t="shared" si="39"/>
        <v>67</v>
      </c>
      <c r="MV23" s="17">
        <f t="shared" si="39"/>
        <v>68</v>
      </c>
      <c r="MW23" s="17">
        <f t="shared" si="39"/>
        <v>69</v>
      </c>
      <c r="MX23" s="17">
        <f t="shared" ref="MX23:NG24" si="40">HN23</f>
        <v>70</v>
      </c>
      <c r="MY23" s="17">
        <f t="shared" si="40"/>
        <v>71</v>
      </c>
      <c r="MZ23" s="17">
        <f t="shared" si="40"/>
        <v>72</v>
      </c>
      <c r="NA23" s="17">
        <f t="shared" si="40"/>
        <v>73</v>
      </c>
      <c r="NB23" s="17">
        <f t="shared" si="40"/>
        <v>74</v>
      </c>
      <c r="NC23" s="17">
        <f t="shared" si="40"/>
        <v>75</v>
      </c>
      <c r="ND23" s="17">
        <f t="shared" si="40"/>
        <v>76</v>
      </c>
      <c r="NE23" s="17">
        <f t="shared" si="40"/>
        <v>77</v>
      </c>
      <c r="NF23" s="17">
        <f t="shared" si="40"/>
        <v>78</v>
      </c>
      <c r="NG23" s="17">
        <f t="shared" si="40"/>
        <v>79</v>
      </c>
      <c r="NH23" s="17">
        <f t="shared" ref="NH23:NQ24" si="41">HX23</f>
        <v>80</v>
      </c>
      <c r="NI23" s="17">
        <f t="shared" si="41"/>
        <v>81</v>
      </c>
      <c r="NJ23" s="17">
        <f t="shared" si="41"/>
        <v>82</v>
      </c>
      <c r="NK23" s="17">
        <f t="shared" si="41"/>
        <v>83</v>
      </c>
      <c r="NL23" s="17">
        <f t="shared" si="41"/>
        <v>84</v>
      </c>
      <c r="NM23" s="17">
        <f t="shared" si="41"/>
        <v>85</v>
      </c>
      <c r="NN23" s="17">
        <f t="shared" si="41"/>
        <v>86</v>
      </c>
      <c r="NO23" s="17">
        <f t="shared" si="41"/>
        <v>87</v>
      </c>
      <c r="NP23" s="17">
        <f t="shared" si="41"/>
        <v>88</v>
      </c>
      <c r="NQ23" s="17">
        <f t="shared" si="41"/>
        <v>89</v>
      </c>
      <c r="NR23" s="17">
        <f t="shared" ref="NR23:OA24" si="42">IH23</f>
        <v>90</v>
      </c>
      <c r="NS23" s="17">
        <f t="shared" si="42"/>
        <v>91</v>
      </c>
      <c r="NT23" s="17">
        <f t="shared" si="42"/>
        <v>92</v>
      </c>
      <c r="NU23" s="17">
        <f t="shared" si="42"/>
        <v>93</v>
      </c>
      <c r="NV23" s="17">
        <f t="shared" si="42"/>
        <v>94</v>
      </c>
      <c r="NW23" s="17">
        <f t="shared" si="42"/>
        <v>95</v>
      </c>
      <c r="NX23" s="17">
        <f t="shared" si="42"/>
        <v>96</v>
      </c>
      <c r="NY23" s="17">
        <f t="shared" si="42"/>
        <v>97</v>
      </c>
      <c r="NZ23" s="17">
        <f t="shared" si="42"/>
        <v>98</v>
      </c>
      <c r="OA23" s="17">
        <f t="shared" si="42"/>
        <v>99</v>
      </c>
      <c r="OB23" s="17">
        <f t="shared" ref="OB23:OK24" si="43">IR23</f>
        <v>100</v>
      </c>
      <c r="OC23" s="17">
        <f t="shared" si="43"/>
        <v>101</v>
      </c>
      <c r="OD23" s="17">
        <f t="shared" si="43"/>
        <v>102</v>
      </c>
      <c r="OE23" s="17">
        <f t="shared" si="43"/>
        <v>103</v>
      </c>
      <c r="OF23" s="17">
        <f t="shared" si="43"/>
        <v>104</v>
      </c>
      <c r="OG23" s="17">
        <f t="shared" si="43"/>
        <v>105</v>
      </c>
      <c r="OH23" s="17">
        <f t="shared" si="43"/>
        <v>106</v>
      </c>
      <c r="OI23" s="17">
        <f t="shared" si="43"/>
        <v>107</v>
      </c>
      <c r="OJ23" s="17">
        <f t="shared" si="43"/>
        <v>108</v>
      </c>
      <c r="OK23" s="17">
        <f t="shared" si="43"/>
        <v>109</v>
      </c>
      <c r="OL23" s="17">
        <f t="shared" ref="OL23:OU24" si="44">JB23</f>
        <v>110</v>
      </c>
      <c r="OM23" s="17">
        <f t="shared" si="44"/>
        <v>111</v>
      </c>
      <c r="ON23" s="17">
        <f t="shared" si="44"/>
        <v>112</v>
      </c>
      <c r="OO23" s="17">
        <f t="shared" si="44"/>
        <v>113</v>
      </c>
      <c r="OP23" s="17">
        <f t="shared" si="44"/>
        <v>114</v>
      </c>
      <c r="OQ23" s="17">
        <f t="shared" si="44"/>
        <v>115</v>
      </c>
      <c r="OR23" s="17">
        <f t="shared" si="44"/>
        <v>116</v>
      </c>
      <c r="OS23" s="17">
        <f t="shared" si="44"/>
        <v>117</v>
      </c>
      <c r="OT23" s="17">
        <f t="shared" si="44"/>
        <v>118</v>
      </c>
      <c r="OU23" s="17">
        <f t="shared" si="44"/>
        <v>119</v>
      </c>
      <c r="OV23" s="17">
        <f t="shared" ref="OV23:PE24" si="45">JL23</f>
        <v>120</v>
      </c>
      <c r="OW23" s="17">
        <f t="shared" si="45"/>
        <v>121</v>
      </c>
      <c r="OX23" s="17">
        <f t="shared" si="45"/>
        <v>122</v>
      </c>
      <c r="OY23" s="17">
        <f t="shared" si="45"/>
        <v>123</v>
      </c>
      <c r="OZ23" s="17">
        <f t="shared" si="45"/>
        <v>124</v>
      </c>
      <c r="PA23" s="17">
        <f t="shared" si="45"/>
        <v>125</v>
      </c>
      <c r="PB23" s="17">
        <f t="shared" si="45"/>
        <v>126</v>
      </c>
      <c r="PC23" s="17">
        <f t="shared" si="45"/>
        <v>127</v>
      </c>
      <c r="PD23" s="17">
        <f t="shared" si="45"/>
        <v>128</v>
      </c>
      <c r="PE23" s="17">
        <f t="shared" si="45"/>
        <v>129</v>
      </c>
      <c r="PF23" s="17">
        <f t="shared" ref="PF23:PH24" si="46">JV23</f>
        <v>130</v>
      </c>
      <c r="PG23" s="17">
        <f t="shared" si="46"/>
        <v>131</v>
      </c>
      <c r="PH23" s="17">
        <f t="shared" si="46"/>
        <v>132</v>
      </c>
    </row>
    <row r="24" spans="1:424" x14ac:dyDescent="0.35">
      <c r="A24"/>
      <c r="B24" s="406" t="s">
        <v>125</v>
      </c>
      <c r="C24" s="407"/>
      <c r="D24" s="407"/>
      <c r="E24" s="407"/>
      <c r="F24" s="407"/>
      <c r="G24" s="190"/>
      <c r="H24" s="190"/>
      <c r="I24" s="408"/>
      <c r="J24" s="374"/>
      <c r="K24" s="374" t="s">
        <v>126</v>
      </c>
      <c r="L24" s="200">
        <f>EOMONTH($E$13,COLUMN()-COLUMN($L$24)-1)</f>
        <v>46203</v>
      </c>
      <c r="M24" s="200">
        <f>EOMONTH($E$13,COLUMN()-COLUMN($L$24)-1)</f>
        <v>46234</v>
      </c>
      <c r="N24" s="200">
        <f t="shared" ref="N24:BY24" si="47">EOMONTH($E$13,COLUMN()-COLUMN($L$24)-1)</f>
        <v>46265</v>
      </c>
      <c r="O24" s="200">
        <f t="shared" si="47"/>
        <v>46295</v>
      </c>
      <c r="P24" s="200">
        <f t="shared" si="47"/>
        <v>46326</v>
      </c>
      <c r="Q24" s="200">
        <f t="shared" si="47"/>
        <v>46356</v>
      </c>
      <c r="R24" s="200">
        <f t="shared" si="47"/>
        <v>46387</v>
      </c>
      <c r="S24" s="200">
        <f t="shared" si="47"/>
        <v>46418</v>
      </c>
      <c r="T24" s="200">
        <f t="shared" si="47"/>
        <v>46446</v>
      </c>
      <c r="U24" s="200">
        <f t="shared" si="47"/>
        <v>46477</v>
      </c>
      <c r="V24" s="200">
        <f t="shared" si="47"/>
        <v>46507</v>
      </c>
      <c r="W24" s="200">
        <f t="shared" si="47"/>
        <v>46538</v>
      </c>
      <c r="X24" s="200">
        <f t="shared" si="47"/>
        <v>46568</v>
      </c>
      <c r="Y24" s="200">
        <f t="shared" si="47"/>
        <v>46599</v>
      </c>
      <c r="Z24" s="200">
        <f t="shared" si="47"/>
        <v>46630</v>
      </c>
      <c r="AA24" s="200">
        <f t="shared" si="47"/>
        <v>46660</v>
      </c>
      <c r="AB24" s="200">
        <f t="shared" si="47"/>
        <v>46691</v>
      </c>
      <c r="AC24" s="200">
        <f t="shared" si="47"/>
        <v>46721</v>
      </c>
      <c r="AD24" s="200">
        <f t="shared" si="47"/>
        <v>46752</v>
      </c>
      <c r="AE24" s="200">
        <f t="shared" si="47"/>
        <v>46783</v>
      </c>
      <c r="AF24" s="200">
        <f t="shared" si="47"/>
        <v>46812</v>
      </c>
      <c r="AG24" s="200">
        <f t="shared" si="47"/>
        <v>46843</v>
      </c>
      <c r="AH24" s="200">
        <f t="shared" si="47"/>
        <v>46873</v>
      </c>
      <c r="AI24" s="200">
        <f t="shared" si="47"/>
        <v>46904</v>
      </c>
      <c r="AJ24" s="200">
        <f t="shared" si="47"/>
        <v>46934</v>
      </c>
      <c r="AK24" s="200">
        <f t="shared" si="47"/>
        <v>46965</v>
      </c>
      <c r="AL24" s="200">
        <f t="shared" si="47"/>
        <v>46996</v>
      </c>
      <c r="AM24" s="200">
        <f t="shared" si="47"/>
        <v>47026</v>
      </c>
      <c r="AN24" s="200">
        <f t="shared" si="47"/>
        <v>47057</v>
      </c>
      <c r="AO24" s="200">
        <f t="shared" si="47"/>
        <v>47087</v>
      </c>
      <c r="AP24" s="200">
        <f t="shared" si="47"/>
        <v>47118</v>
      </c>
      <c r="AQ24" s="200">
        <f t="shared" si="47"/>
        <v>47149</v>
      </c>
      <c r="AR24" s="200">
        <f t="shared" si="47"/>
        <v>47177</v>
      </c>
      <c r="AS24" s="200">
        <f t="shared" si="47"/>
        <v>47208</v>
      </c>
      <c r="AT24" s="200">
        <f t="shared" si="47"/>
        <v>47238</v>
      </c>
      <c r="AU24" s="200">
        <f t="shared" si="47"/>
        <v>47269</v>
      </c>
      <c r="AV24" s="200">
        <f t="shared" si="47"/>
        <v>47299</v>
      </c>
      <c r="AW24" s="200">
        <f t="shared" si="47"/>
        <v>47330</v>
      </c>
      <c r="AX24" s="200">
        <f t="shared" si="47"/>
        <v>47361</v>
      </c>
      <c r="AY24" s="200">
        <f t="shared" si="47"/>
        <v>47391</v>
      </c>
      <c r="AZ24" s="200">
        <f t="shared" si="47"/>
        <v>47422</v>
      </c>
      <c r="BA24" s="200">
        <f t="shared" si="47"/>
        <v>47452</v>
      </c>
      <c r="BB24" s="200">
        <f t="shared" si="47"/>
        <v>47483</v>
      </c>
      <c r="BC24" s="200">
        <f t="shared" si="47"/>
        <v>47514</v>
      </c>
      <c r="BD24" s="200">
        <f t="shared" si="47"/>
        <v>47542</v>
      </c>
      <c r="BE24" s="200">
        <f t="shared" si="47"/>
        <v>47573</v>
      </c>
      <c r="BF24" s="200">
        <f t="shared" si="47"/>
        <v>47603</v>
      </c>
      <c r="BG24" s="200">
        <f t="shared" si="47"/>
        <v>47634</v>
      </c>
      <c r="BH24" s="200">
        <f t="shared" si="47"/>
        <v>47664</v>
      </c>
      <c r="BI24" s="200">
        <f t="shared" si="47"/>
        <v>47695</v>
      </c>
      <c r="BJ24" s="200">
        <f t="shared" si="47"/>
        <v>47726</v>
      </c>
      <c r="BK24" s="200">
        <f t="shared" si="47"/>
        <v>47756</v>
      </c>
      <c r="BL24" s="200">
        <f t="shared" si="47"/>
        <v>47787</v>
      </c>
      <c r="BM24" s="200">
        <f t="shared" si="47"/>
        <v>47817</v>
      </c>
      <c r="BN24" s="200">
        <f t="shared" si="47"/>
        <v>47848</v>
      </c>
      <c r="BO24" s="200">
        <f t="shared" si="47"/>
        <v>47879</v>
      </c>
      <c r="BP24" s="200">
        <f t="shared" si="47"/>
        <v>47907</v>
      </c>
      <c r="BQ24" s="200">
        <f t="shared" si="47"/>
        <v>47938</v>
      </c>
      <c r="BR24" s="200">
        <f t="shared" si="47"/>
        <v>47968</v>
      </c>
      <c r="BS24" s="200">
        <f t="shared" si="47"/>
        <v>47999</v>
      </c>
      <c r="BT24" s="200">
        <f t="shared" si="47"/>
        <v>48029</v>
      </c>
      <c r="BU24" s="200">
        <f t="shared" si="47"/>
        <v>48060</v>
      </c>
      <c r="BV24" s="200">
        <f t="shared" si="47"/>
        <v>48091</v>
      </c>
      <c r="BW24" s="200">
        <f t="shared" si="47"/>
        <v>48121</v>
      </c>
      <c r="BX24" s="200">
        <f t="shared" si="47"/>
        <v>48152</v>
      </c>
      <c r="BY24" s="200">
        <f t="shared" si="47"/>
        <v>48182</v>
      </c>
      <c r="BZ24" s="200">
        <f t="shared" ref="BZ24:EK24" si="48">EOMONTH($E$13,COLUMN()-COLUMN($L$24)-1)</f>
        <v>48213</v>
      </c>
      <c r="CA24" s="200">
        <f t="shared" si="48"/>
        <v>48244</v>
      </c>
      <c r="CB24" s="200">
        <f t="shared" si="48"/>
        <v>48273</v>
      </c>
      <c r="CC24" s="200">
        <f t="shared" si="48"/>
        <v>48304</v>
      </c>
      <c r="CD24" s="200">
        <f t="shared" si="48"/>
        <v>48334</v>
      </c>
      <c r="CE24" s="200">
        <f t="shared" si="48"/>
        <v>48365</v>
      </c>
      <c r="CF24" s="200">
        <f t="shared" si="48"/>
        <v>48395</v>
      </c>
      <c r="CG24" s="200">
        <f t="shared" si="48"/>
        <v>48426</v>
      </c>
      <c r="CH24" s="200">
        <f t="shared" si="48"/>
        <v>48457</v>
      </c>
      <c r="CI24" s="200">
        <f t="shared" si="48"/>
        <v>48487</v>
      </c>
      <c r="CJ24" s="200">
        <f t="shared" si="48"/>
        <v>48518</v>
      </c>
      <c r="CK24" s="200">
        <f t="shared" si="48"/>
        <v>48548</v>
      </c>
      <c r="CL24" s="200">
        <f t="shared" si="48"/>
        <v>48579</v>
      </c>
      <c r="CM24" s="200">
        <f t="shared" si="48"/>
        <v>48610</v>
      </c>
      <c r="CN24" s="200">
        <f t="shared" si="48"/>
        <v>48638</v>
      </c>
      <c r="CO24" s="200">
        <f t="shared" si="48"/>
        <v>48669</v>
      </c>
      <c r="CP24" s="200">
        <f t="shared" si="48"/>
        <v>48699</v>
      </c>
      <c r="CQ24" s="200">
        <f t="shared" si="48"/>
        <v>48730</v>
      </c>
      <c r="CR24" s="200">
        <f t="shared" si="48"/>
        <v>48760</v>
      </c>
      <c r="CS24" s="200">
        <f t="shared" si="48"/>
        <v>48791</v>
      </c>
      <c r="CT24" s="200">
        <f t="shared" si="48"/>
        <v>48822</v>
      </c>
      <c r="CU24" s="200">
        <f t="shared" si="48"/>
        <v>48852</v>
      </c>
      <c r="CV24" s="200">
        <f t="shared" si="48"/>
        <v>48883</v>
      </c>
      <c r="CW24" s="200">
        <f t="shared" si="48"/>
        <v>48913</v>
      </c>
      <c r="CX24" s="200">
        <f t="shared" si="48"/>
        <v>48944</v>
      </c>
      <c r="CY24" s="200">
        <f t="shared" si="48"/>
        <v>48975</v>
      </c>
      <c r="CZ24" s="200">
        <f t="shared" si="48"/>
        <v>49003</v>
      </c>
      <c r="DA24" s="200">
        <f t="shared" si="48"/>
        <v>49034</v>
      </c>
      <c r="DB24" s="200">
        <f t="shared" si="48"/>
        <v>49064</v>
      </c>
      <c r="DC24" s="200">
        <f t="shared" si="48"/>
        <v>49095</v>
      </c>
      <c r="DD24" s="200">
        <f t="shared" si="48"/>
        <v>49125</v>
      </c>
      <c r="DE24" s="200">
        <f t="shared" si="48"/>
        <v>49156</v>
      </c>
      <c r="DF24" s="200">
        <f t="shared" si="48"/>
        <v>49187</v>
      </c>
      <c r="DG24" s="200">
        <f t="shared" si="48"/>
        <v>49217</v>
      </c>
      <c r="DH24" s="200">
        <f t="shared" si="48"/>
        <v>49248</v>
      </c>
      <c r="DI24" s="200">
        <f t="shared" si="48"/>
        <v>49278</v>
      </c>
      <c r="DJ24" s="200">
        <f t="shared" si="48"/>
        <v>49309</v>
      </c>
      <c r="DK24" s="200">
        <f t="shared" si="48"/>
        <v>49340</v>
      </c>
      <c r="DL24" s="200">
        <f t="shared" si="48"/>
        <v>49368</v>
      </c>
      <c r="DM24" s="200">
        <f t="shared" si="48"/>
        <v>49399</v>
      </c>
      <c r="DN24" s="200">
        <f t="shared" si="48"/>
        <v>49429</v>
      </c>
      <c r="DO24" s="200">
        <f t="shared" si="48"/>
        <v>49460</v>
      </c>
      <c r="DP24" s="200">
        <f t="shared" si="48"/>
        <v>49490</v>
      </c>
      <c r="DQ24" s="200">
        <f t="shared" si="48"/>
        <v>49521</v>
      </c>
      <c r="DR24" s="200">
        <f t="shared" si="48"/>
        <v>49552</v>
      </c>
      <c r="DS24" s="200">
        <f t="shared" si="48"/>
        <v>49582</v>
      </c>
      <c r="DT24" s="200">
        <f t="shared" si="48"/>
        <v>49613</v>
      </c>
      <c r="DU24" s="200">
        <f t="shared" si="48"/>
        <v>49643</v>
      </c>
      <c r="DV24" s="200">
        <f t="shared" si="48"/>
        <v>49674</v>
      </c>
      <c r="DW24" s="200">
        <f t="shared" si="48"/>
        <v>49705</v>
      </c>
      <c r="DX24" s="200">
        <f t="shared" si="48"/>
        <v>49734</v>
      </c>
      <c r="DY24" s="200">
        <f t="shared" si="48"/>
        <v>49765</v>
      </c>
      <c r="DZ24" s="200">
        <f t="shared" si="48"/>
        <v>49795</v>
      </c>
      <c r="EA24" s="200">
        <f t="shared" si="48"/>
        <v>49826</v>
      </c>
      <c r="EB24" s="200">
        <f t="shared" si="48"/>
        <v>49856</v>
      </c>
      <c r="EC24" s="200">
        <f t="shared" si="48"/>
        <v>49887</v>
      </c>
      <c r="ED24" s="200">
        <f t="shared" si="48"/>
        <v>49918</v>
      </c>
      <c r="EE24" s="200">
        <f t="shared" si="48"/>
        <v>49948</v>
      </c>
      <c r="EF24" s="200">
        <f t="shared" si="48"/>
        <v>49979</v>
      </c>
      <c r="EG24" s="200">
        <f t="shared" si="48"/>
        <v>50009</v>
      </c>
      <c r="EH24" s="200">
        <f t="shared" si="48"/>
        <v>50040</v>
      </c>
      <c r="EI24" s="200">
        <f t="shared" si="48"/>
        <v>50071</v>
      </c>
      <c r="EJ24" s="200">
        <f t="shared" si="48"/>
        <v>50099</v>
      </c>
      <c r="EK24" s="200">
        <f t="shared" si="48"/>
        <v>50130</v>
      </c>
      <c r="EL24" s="200">
        <f>EOMONTH($E$13,COLUMN()-COLUMN($L$24)-1)</f>
        <v>50160</v>
      </c>
      <c r="EM24" s="200">
        <f>EOMONTH($E$13,COLUMN()-COLUMN($L$24)-1)</f>
        <v>50191</v>
      </c>
      <c r="EN24" s="200">
        <f>EOMONTH($E$13,COLUMN()-COLUMN($L$24)-1)</f>
        <v>50221</v>
      </c>
      <c r="EO24"/>
      <c r="EP24" s="409" t="s">
        <v>85</v>
      </c>
      <c r="EQ24" s="410" t="s">
        <v>127</v>
      </c>
      <c r="ER24" s="410" t="s">
        <v>128</v>
      </c>
      <c r="ES24" s="410" t="s">
        <v>129</v>
      </c>
      <c r="ET24" s="410" t="s">
        <v>130</v>
      </c>
      <c r="EU24" s="410" t="s">
        <v>131</v>
      </c>
      <c r="EV24" s="19">
        <f>L24</f>
        <v>46203</v>
      </c>
      <c r="EW24" s="19">
        <f t="shared" si="30"/>
        <v>46234</v>
      </c>
      <c r="EX24" s="19">
        <f t="shared" si="30"/>
        <v>46265</v>
      </c>
      <c r="EY24" s="19">
        <f t="shared" si="30"/>
        <v>46295</v>
      </c>
      <c r="EZ24" s="19">
        <f t="shared" si="30"/>
        <v>46326</v>
      </c>
      <c r="FA24" s="19">
        <f t="shared" si="30"/>
        <v>46356</v>
      </c>
      <c r="FB24" s="19">
        <f t="shared" si="30"/>
        <v>46387</v>
      </c>
      <c r="FC24" s="19">
        <f t="shared" si="30"/>
        <v>46418</v>
      </c>
      <c r="FD24" s="19">
        <f t="shared" si="30"/>
        <v>46446</v>
      </c>
      <c r="FE24" s="19">
        <f t="shared" si="30"/>
        <v>46477</v>
      </c>
      <c r="FF24" s="19">
        <f t="shared" si="30"/>
        <v>46507</v>
      </c>
      <c r="FG24" s="19">
        <f t="shared" si="30"/>
        <v>46538</v>
      </c>
      <c r="FH24" s="19">
        <f t="shared" si="30"/>
        <v>46568</v>
      </c>
      <c r="FI24" s="19">
        <f t="shared" si="30"/>
        <v>46599</v>
      </c>
      <c r="FJ24" s="19">
        <f t="shared" si="30"/>
        <v>46630</v>
      </c>
      <c r="FK24" s="19">
        <f t="shared" si="30"/>
        <v>46660</v>
      </c>
      <c r="FL24" s="19">
        <f t="shared" si="30"/>
        <v>46691</v>
      </c>
      <c r="FM24" s="19">
        <f t="shared" si="30"/>
        <v>46721</v>
      </c>
      <c r="FN24" s="19">
        <f t="shared" si="30"/>
        <v>46752</v>
      </c>
      <c r="FO24" s="19">
        <f t="shared" si="30"/>
        <v>46783</v>
      </c>
      <c r="FP24" s="19">
        <f t="shared" si="30"/>
        <v>46812</v>
      </c>
      <c r="FQ24" s="19">
        <f t="shared" si="30"/>
        <v>46843</v>
      </c>
      <c r="FR24" s="19">
        <f t="shared" si="30"/>
        <v>46873</v>
      </c>
      <c r="FS24" s="19">
        <f t="shared" si="30"/>
        <v>46904</v>
      </c>
      <c r="FT24" s="19">
        <f t="shared" si="30"/>
        <v>46934</v>
      </c>
      <c r="FU24" s="19">
        <f t="shared" si="30"/>
        <v>46965</v>
      </c>
      <c r="FV24" s="19">
        <f t="shared" si="30"/>
        <v>46996</v>
      </c>
      <c r="FW24" s="19">
        <f t="shared" si="30"/>
        <v>47026</v>
      </c>
      <c r="FX24" s="19">
        <f t="shared" si="30"/>
        <v>47057</v>
      </c>
      <c r="FY24" s="19">
        <f t="shared" si="30"/>
        <v>47087</v>
      </c>
      <c r="FZ24" s="19">
        <f t="shared" si="30"/>
        <v>47118</v>
      </c>
      <c r="GA24" s="19">
        <f t="shared" si="30"/>
        <v>47149</v>
      </c>
      <c r="GB24" s="19">
        <f t="shared" si="30"/>
        <v>47177</v>
      </c>
      <c r="GC24" s="19">
        <f t="shared" si="30"/>
        <v>47208</v>
      </c>
      <c r="GD24" s="19">
        <f t="shared" si="30"/>
        <v>47238</v>
      </c>
      <c r="GE24" s="19">
        <f t="shared" si="30"/>
        <v>47269</v>
      </c>
      <c r="GF24" s="19">
        <f t="shared" si="30"/>
        <v>47299</v>
      </c>
      <c r="GG24" s="19">
        <f t="shared" si="30"/>
        <v>47330</v>
      </c>
      <c r="GH24" s="19">
        <f t="shared" si="30"/>
        <v>47361</v>
      </c>
      <c r="GI24" s="19">
        <f t="shared" si="30"/>
        <v>47391</v>
      </c>
      <c r="GJ24" s="19">
        <f t="shared" si="30"/>
        <v>47422</v>
      </c>
      <c r="GK24" s="19">
        <f t="shared" si="30"/>
        <v>47452</v>
      </c>
      <c r="GL24" s="19">
        <f t="shared" si="30"/>
        <v>47483</v>
      </c>
      <c r="GM24" s="19">
        <f t="shared" si="30"/>
        <v>47514</v>
      </c>
      <c r="GN24" s="19">
        <f t="shared" si="30"/>
        <v>47542</v>
      </c>
      <c r="GO24" s="19">
        <f t="shared" si="30"/>
        <v>47573</v>
      </c>
      <c r="GP24" s="19">
        <f t="shared" si="30"/>
        <v>47603</v>
      </c>
      <c r="GQ24" s="19">
        <f t="shared" si="30"/>
        <v>47634</v>
      </c>
      <c r="GR24" s="19">
        <f t="shared" si="30"/>
        <v>47664</v>
      </c>
      <c r="GS24" s="19">
        <f t="shared" si="30"/>
        <v>47695</v>
      </c>
      <c r="GT24" s="19">
        <f t="shared" si="30"/>
        <v>47726</v>
      </c>
      <c r="GU24" s="19">
        <f t="shared" si="30"/>
        <v>47756</v>
      </c>
      <c r="GV24" s="19">
        <f t="shared" si="30"/>
        <v>47787</v>
      </c>
      <c r="GW24" s="19">
        <f t="shared" si="30"/>
        <v>47817</v>
      </c>
      <c r="GX24" s="19">
        <f t="shared" si="30"/>
        <v>47848</v>
      </c>
      <c r="GY24" s="19">
        <f t="shared" si="30"/>
        <v>47879</v>
      </c>
      <c r="GZ24" s="19">
        <f t="shared" si="30"/>
        <v>47907</v>
      </c>
      <c r="HA24" s="19">
        <f t="shared" si="30"/>
        <v>47938</v>
      </c>
      <c r="HB24" s="19">
        <f t="shared" si="30"/>
        <v>47968</v>
      </c>
      <c r="HC24" s="19">
        <f t="shared" si="30"/>
        <v>47999</v>
      </c>
      <c r="HD24" s="19">
        <f t="shared" si="30"/>
        <v>48029</v>
      </c>
      <c r="HE24" s="19">
        <f t="shared" si="30"/>
        <v>48060</v>
      </c>
      <c r="HF24" s="19">
        <f t="shared" si="30"/>
        <v>48091</v>
      </c>
      <c r="HG24" s="19">
        <f t="shared" si="30"/>
        <v>48121</v>
      </c>
      <c r="HH24" s="19">
        <f t="shared" si="30"/>
        <v>48152</v>
      </c>
      <c r="HI24" s="19">
        <f t="shared" si="31"/>
        <v>48182</v>
      </c>
      <c r="HJ24" s="19">
        <f t="shared" si="31"/>
        <v>48213</v>
      </c>
      <c r="HK24" s="19">
        <f t="shared" si="31"/>
        <v>48244</v>
      </c>
      <c r="HL24" s="19">
        <f t="shared" si="31"/>
        <v>48273</v>
      </c>
      <c r="HM24" s="19">
        <f t="shared" si="31"/>
        <v>48304</v>
      </c>
      <c r="HN24" s="19">
        <f t="shared" si="31"/>
        <v>48334</v>
      </c>
      <c r="HO24" s="19">
        <f t="shared" si="31"/>
        <v>48365</v>
      </c>
      <c r="HP24" s="19">
        <f t="shared" si="31"/>
        <v>48395</v>
      </c>
      <c r="HQ24" s="19">
        <f t="shared" si="31"/>
        <v>48426</v>
      </c>
      <c r="HR24" s="19">
        <f t="shared" si="31"/>
        <v>48457</v>
      </c>
      <c r="HS24" s="19">
        <f t="shared" si="31"/>
        <v>48487</v>
      </c>
      <c r="HT24" s="19">
        <f t="shared" si="31"/>
        <v>48518</v>
      </c>
      <c r="HU24" s="19">
        <f t="shared" si="31"/>
        <v>48548</v>
      </c>
      <c r="HV24" s="19">
        <f t="shared" si="31"/>
        <v>48579</v>
      </c>
      <c r="HW24" s="19">
        <f t="shared" si="31"/>
        <v>48610</v>
      </c>
      <c r="HX24" s="19">
        <f t="shared" si="31"/>
        <v>48638</v>
      </c>
      <c r="HY24" s="19">
        <f t="shared" si="31"/>
        <v>48669</v>
      </c>
      <c r="HZ24" s="19">
        <f t="shared" si="31"/>
        <v>48699</v>
      </c>
      <c r="IA24" s="19">
        <f t="shared" si="31"/>
        <v>48730</v>
      </c>
      <c r="IB24" s="19">
        <f t="shared" si="31"/>
        <v>48760</v>
      </c>
      <c r="IC24" s="19">
        <f t="shared" si="31"/>
        <v>48791</v>
      </c>
      <c r="ID24" s="19">
        <f t="shared" si="31"/>
        <v>48822</v>
      </c>
      <c r="IE24" s="19">
        <f t="shared" si="31"/>
        <v>48852</v>
      </c>
      <c r="IF24" s="19">
        <f t="shared" si="31"/>
        <v>48883</v>
      </c>
      <c r="IG24" s="19">
        <f t="shared" si="31"/>
        <v>48913</v>
      </c>
      <c r="IH24" s="19">
        <f t="shared" si="31"/>
        <v>48944</v>
      </c>
      <c r="II24" s="19">
        <f t="shared" si="31"/>
        <v>48975</v>
      </c>
      <c r="IJ24" s="19">
        <f t="shared" si="31"/>
        <v>49003</v>
      </c>
      <c r="IK24" s="19">
        <f t="shared" si="31"/>
        <v>49034</v>
      </c>
      <c r="IL24" s="19">
        <f t="shared" si="31"/>
        <v>49064</v>
      </c>
      <c r="IM24" s="19">
        <f t="shared" si="31"/>
        <v>49095</v>
      </c>
      <c r="IN24" s="19">
        <f t="shared" si="31"/>
        <v>49125</v>
      </c>
      <c r="IO24" s="19">
        <f t="shared" si="31"/>
        <v>49156</v>
      </c>
      <c r="IP24" s="19">
        <f t="shared" si="31"/>
        <v>49187</v>
      </c>
      <c r="IQ24" s="19">
        <f t="shared" si="31"/>
        <v>49217</v>
      </c>
      <c r="IR24" s="19">
        <f t="shared" si="31"/>
        <v>49248</v>
      </c>
      <c r="IS24" s="19">
        <f t="shared" si="31"/>
        <v>49278</v>
      </c>
      <c r="IT24" s="19">
        <f t="shared" si="31"/>
        <v>49309</v>
      </c>
      <c r="IU24" s="19">
        <f t="shared" si="31"/>
        <v>49340</v>
      </c>
      <c r="IV24" s="19">
        <f t="shared" si="31"/>
        <v>49368</v>
      </c>
      <c r="IW24" s="19">
        <f t="shared" si="31"/>
        <v>49399</v>
      </c>
      <c r="IX24" s="19">
        <f t="shared" si="31"/>
        <v>49429</v>
      </c>
      <c r="IY24" s="19">
        <f t="shared" si="31"/>
        <v>49460</v>
      </c>
      <c r="IZ24" s="19">
        <f t="shared" si="31"/>
        <v>49490</v>
      </c>
      <c r="JA24" s="19">
        <f t="shared" si="31"/>
        <v>49521</v>
      </c>
      <c r="JB24" s="19">
        <f t="shared" si="31"/>
        <v>49552</v>
      </c>
      <c r="JC24" s="19">
        <f t="shared" si="31"/>
        <v>49582</v>
      </c>
      <c r="JD24" s="19">
        <f t="shared" si="31"/>
        <v>49613</v>
      </c>
      <c r="JE24" s="19">
        <f t="shared" si="31"/>
        <v>49643</v>
      </c>
      <c r="JF24" s="19">
        <f t="shared" si="31"/>
        <v>49674</v>
      </c>
      <c r="JG24" s="19">
        <f t="shared" si="31"/>
        <v>49705</v>
      </c>
      <c r="JH24" s="19">
        <f t="shared" si="31"/>
        <v>49734</v>
      </c>
      <c r="JI24" s="19">
        <f t="shared" si="31"/>
        <v>49765</v>
      </c>
      <c r="JJ24" s="19">
        <f t="shared" si="31"/>
        <v>49795</v>
      </c>
      <c r="JK24" s="19">
        <f t="shared" si="31"/>
        <v>49826</v>
      </c>
      <c r="JL24" s="19">
        <f t="shared" si="31"/>
        <v>49856</v>
      </c>
      <c r="JM24" s="19">
        <f t="shared" si="31"/>
        <v>49887</v>
      </c>
      <c r="JN24" s="19">
        <f t="shared" si="31"/>
        <v>49918</v>
      </c>
      <c r="JO24" s="19">
        <f t="shared" si="31"/>
        <v>49948</v>
      </c>
      <c r="JP24" s="19">
        <f t="shared" si="31"/>
        <v>49979</v>
      </c>
      <c r="JQ24" s="19">
        <f t="shared" si="31"/>
        <v>50009</v>
      </c>
      <c r="JR24" s="19">
        <f t="shared" si="31"/>
        <v>50040</v>
      </c>
      <c r="JS24" s="19">
        <f t="shared" si="31"/>
        <v>50071</v>
      </c>
      <c r="JT24" s="19">
        <f t="shared" si="31"/>
        <v>50099</v>
      </c>
      <c r="JU24" s="19">
        <f t="shared" si="32"/>
        <v>50130</v>
      </c>
      <c r="JV24" s="19">
        <f t="shared" si="32"/>
        <v>50160</v>
      </c>
      <c r="JW24" s="19">
        <f t="shared" si="32"/>
        <v>50191</v>
      </c>
      <c r="JX24" s="19">
        <f t="shared" si="32"/>
        <v>50221</v>
      </c>
      <c r="JY24"/>
      <c r="JZ24" s="409"/>
      <c r="KA24" s="410"/>
      <c r="KB24" s="410"/>
      <c r="KC24" s="410"/>
      <c r="KD24" s="410"/>
      <c r="KE24" s="410"/>
      <c r="KF24" s="19">
        <f t="shared" si="33"/>
        <v>46203</v>
      </c>
      <c r="KG24" s="19">
        <f t="shared" si="33"/>
        <v>46234</v>
      </c>
      <c r="KH24" s="19">
        <f t="shared" si="33"/>
        <v>46265</v>
      </c>
      <c r="KI24" s="19">
        <f t="shared" si="33"/>
        <v>46295</v>
      </c>
      <c r="KJ24" s="19">
        <f t="shared" si="33"/>
        <v>46326</v>
      </c>
      <c r="KK24" s="19">
        <f t="shared" si="33"/>
        <v>46356</v>
      </c>
      <c r="KL24" s="19">
        <f t="shared" si="33"/>
        <v>46387</v>
      </c>
      <c r="KM24" s="19">
        <f t="shared" si="33"/>
        <v>46418</v>
      </c>
      <c r="KN24" s="19">
        <f t="shared" si="33"/>
        <v>46446</v>
      </c>
      <c r="KO24" s="19">
        <f t="shared" si="33"/>
        <v>46477</v>
      </c>
      <c r="KP24" s="19">
        <f t="shared" si="34"/>
        <v>46507</v>
      </c>
      <c r="KQ24" s="19">
        <f t="shared" si="34"/>
        <v>46538</v>
      </c>
      <c r="KR24" s="19">
        <f t="shared" si="34"/>
        <v>46568</v>
      </c>
      <c r="KS24" s="19">
        <f t="shared" si="34"/>
        <v>46599</v>
      </c>
      <c r="KT24" s="19">
        <f t="shared" si="34"/>
        <v>46630</v>
      </c>
      <c r="KU24" s="19">
        <f t="shared" si="34"/>
        <v>46660</v>
      </c>
      <c r="KV24" s="19">
        <f t="shared" si="34"/>
        <v>46691</v>
      </c>
      <c r="KW24" s="19">
        <f t="shared" si="34"/>
        <v>46721</v>
      </c>
      <c r="KX24" s="19">
        <f t="shared" si="34"/>
        <v>46752</v>
      </c>
      <c r="KY24" s="19">
        <f t="shared" si="34"/>
        <v>46783</v>
      </c>
      <c r="KZ24" s="19">
        <f t="shared" si="35"/>
        <v>46812</v>
      </c>
      <c r="LA24" s="19">
        <f t="shared" si="35"/>
        <v>46843</v>
      </c>
      <c r="LB24" s="19">
        <f t="shared" si="35"/>
        <v>46873</v>
      </c>
      <c r="LC24" s="19">
        <f t="shared" si="35"/>
        <v>46904</v>
      </c>
      <c r="LD24" s="19">
        <f t="shared" si="35"/>
        <v>46934</v>
      </c>
      <c r="LE24" s="19">
        <f t="shared" si="35"/>
        <v>46965</v>
      </c>
      <c r="LF24" s="19">
        <f t="shared" si="35"/>
        <v>46996</v>
      </c>
      <c r="LG24" s="19">
        <f t="shared" si="35"/>
        <v>47026</v>
      </c>
      <c r="LH24" s="19">
        <f t="shared" si="35"/>
        <v>47057</v>
      </c>
      <c r="LI24" s="19">
        <f t="shared" si="35"/>
        <v>47087</v>
      </c>
      <c r="LJ24" s="19">
        <f t="shared" si="36"/>
        <v>47118</v>
      </c>
      <c r="LK24" s="19">
        <f t="shared" si="36"/>
        <v>47149</v>
      </c>
      <c r="LL24" s="19">
        <f t="shared" si="36"/>
        <v>47177</v>
      </c>
      <c r="LM24" s="19">
        <f t="shared" si="36"/>
        <v>47208</v>
      </c>
      <c r="LN24" s="19">
        <f t="shared" si="36"/>
        <v>47238</v>
      </c>
      <c r="LO24" s="19">
        <f t="shared" si="36"/>
        <v>47269</v>
      </c>
      <c r="LP24" s="19">
        <f t="shared" si="36"/>
        <v>47299</v>
      </c>
      <c r="LQ24" s="19">
        <f t="shared" si="36"/>
        <v>47330</v>
      </c>
      <c r="LR24" s="19">
        <f t="shared" si="36"/>
        <v>47361</v>
      </c>
      <c r="LS24" s="19">
        <f t="shared" si="36"/>
        <v>47391</v>
      </c>
      <c r="LT24" s="19">
        <f t="shared" si="37"/>
        <v>47422</v>
      </c>
      <c r="LU24" s="19">
        <f t="shared" si="37"/>
        <v>47452</v>
      </c>
      <c r="LV24" s="19">
        <f t="shared" si="37"/>
        <v>47483</v>
      </c>
      <c r="LW24" s="19">
        <f t="shared" si="37"/>
        <v>47514</v>
      </c>
      <c r="LX24" s="19">
        <f t="shared" si="37"/>
        <v>47542</v>
      </c>
      <c r="LY24" s="19">
        <f t="shared" si="37"/>
        <v>47573</v>
      </c>
      <c r="LZ24" s="19">
        <f t="shared" si="37"/>
        <v>47603</v>
      </c>
      <c r="MA24" s="19">
        <f t="shared" si="37"/>
        <v>47634</v>
      </c>
      <c r="MB24" s="19">
        <f t="shared" si="37"/>
        <v>47664</v>
      </c>
      <c r="MC24" s="19">
        <f t="shared" si="37"/>
        <v>47695</v>
      </c>
      <c r="MD24" s="19">
        <f t="shared" si="38"/>
        <v>47726</v>
      </c>
      <c r="ME24" s="19">
        <f t="shared" si="38"/>
        <v>47756</v>
      </c>
      <c r="MF24" s="19">
        <f t="shared" si="38"/>
        <v>47787</v>
      </c>
      <c r="MG24" s="19">
        <f t="shared" si="38"/>
        <v>47817</v>
      </c>
      <c r="MH24" s="19">
        <f t="shared" si="38"/>
        <v>47848</v>
      </c>
      <c r="MI24" s="19">
        <f t="shared" si="38"/>
        <v>47879</v>
      </c>
      <c r="MJ24" s="19">
        <f t="shared" si="38"/>
        <v>47907</v>
      </c>
      <c r="MK24" s="19">
        <f t="shared" si="38"/>
        <v>47938</v>
      </c>
      <c r="ML24" s="19">
        <f t="shared" si="38"/>
        <v>47968</v>
      </c>
      <c r="MM24" s="19">
        <f t="shared" si="38"/>
        <v>47999</v>
      </c>
      <c r="MN24" s="19">
        <f t="shared" si="39"/>
        <v>48029</v>
      </c>
      <c r="MO24" s="19">
        <f t="shared" si="39"/>
        <v>48060</v>
      </c>
      <c r="MP24" s="19">
        <f t="shared" si="39"/>
        <v>48091</v>
      </c>
      <c r="MQ24" s="19">
        <f t="shared" si="39"/>
        <v>48121</v>
      </c>
      <c r="MR24" s="19">
        <f t="shared" si="39"/>
        <v>48152</v>
      </c>
      <c r="MS24" s="19">
        <f t="shared" si="39"/>
        <v>48182</v>
      </c>
      <c r="MT24" s="19">
        <f t="shared" si="39"/>
        <v>48213</v>
      </c>
      <c r="MU24" s="19">
        <f t="shared" si="39"/>
        <v>48244</v>
      </c>
      <c r="MV24" s="19">
        <f t="shared" si="39"/>
        <v>48273</v>
      </c>
      <c r="MW24" s="19">
        <f t="shared" si="39"/>
        <v>48304</v>
      </c>
      <c r="MX24" s="19">
        <f t="shared" si="40"/>
        <v>48334</v>
      </c>
      <c r="MY24" s="19">
        <f t="shared" si="40"/>
        <v>48365</v>
      </c>
      <c r="MZ24" s="19">
        <f t="shared" si="40"/>
        <v>48395</v>
      </c>
      <c r="NA24" s="19">
        <f t="shared" si="40"/>
        <v>48426</v>
      </c>
      <c r="NB24" s="19">
        <f t="shared" si="40"/>
        <v>48457</v>
      </c>
      <c r="NC24" s="19">
        <f t="shared" si="40"/>
        <v>48487</v>
      </c>
      <c r="ND24" s="19">
        <f t="shared" si="40"/>
        <v>48518</v>
      </c>
      <c r="NE24" s="19">
        <f t="shared" si="40"/>
        <v>48548</v>
      </c>
      <c r="NF24" s="19">
        <f t="shared" si="40"/>
        <v>48579</v>
      </c>
      <c r="NG24" s="19">
        <f t="shared" si="40"/>
        <v>48610</v>
      </c>
      <c r="NH24" s="19">
        <f t="shared" si="41"/>
        <v>48638</v>
      </c>
      <c r="NI24" s="19">
        <f t="shared" si="41"/>
        <v>48669</v>
      </c>
      <c r="NJ24" s="19">
        <f t="shared" si="41"/>
        <v>48699</v>
      </c>
      <c r="NK24" s="19">
        <f t="shared" si="41"/>
        <v>48730</v>
      </c>
      <c r="NL24" s="19">
        <f t="shared" si="41"/>
        <v>48760</v>
      </c>
      <c r="NM24" s="19">
        <f t="shared" si="41"/>
        <v>48791</v>
      </c>
      <c r="NN24" s="19">
        <f t="shared" si="41"/>
        <v>48822</v>
      </c>
      <c r="NO24" s="19">
        <f t="shared" si="41"/>
        <v>48852</v>
      </c>
      <c r="NP24" s="19">
        <f t="shared" si="41"/>
        <v>48883</v>
      </c>
      <c r="NQ24" s="19">
        <f t="shared" si="41"/>
        <v>48913</v>
      </c>
      <c r="NR24" s="19">
        <f t="shared" si="42"/>
        <v>48944</v>
      </c>
      <c r="NS24" s="19">
        <f t="shared" si="42"/>
        <v>48975</v>
      </c>
      <c r="NT24" s="19">
        <f t="shared" si="42"/>
        <v>49003</v>
      </c>
      <c r="NU24" s="19">
        <f t="shared" si="42"/>
        <v>49034</v>
      </c>
      <c r="NV24" s="19">
        <f t="shared" si="42"/>
        <v>49064</v>
      </c>
      <c r="NW24" s="19">
        <f t="shared" si="42"/>
        <v>49095</v>
      </c>
      <c r="NX24" s="19">
        <f t="shared" si="42"/>
        <v>49125</v>
      </c>
      <c r="NY24" s="19">
        <f t="shared" si="42"/>
        <v>49156</v>
      </c>
      <c r="NZ24" s="19">
        <f t="shared" si="42"/>
        <v>49187</v>
      </c>
      <c r="OA24" s="19">
        <f t="shared" si="42"/>
        <v>49217</v>
      </c>
      <c r="OB24" s="19">
        <f t="shared" si="43"/>
        <v>49248</v>
      </c>
      <c r="OC24" s="19">
        <f t="shared" si="43"/>
        <v>49278</v>
      </c>
      <c r="OD24" s="19">
        <f t="shared" si="43"/>
        <v>49309</v>
      </c>
      <c r="OE24" s="19">
        <f t="shared" si="43"/>
        <v>49340</v>
      </c>
      <c r="OF24" s="19">
        <f t="shared" si="43"/>
        <v>49368</v>
      </c>
      <c r="OG24" s="19">
        <f t="shared" si="43"/>
        <v>49399</v>
      </c>
      <c r="OH24" s="19">
        <f t="shared" si="43"/>
        <v>49429</v>
      </c>
      <c r="OI24" s="19">
        <f t="shared" si="43"/>
        <v>49460</v>
      </c>
      <c r="OJ24" s="19">
        <f t="shared" si="43"/>
        <v>49490</v>
      </c>
      <c r="OK24" s="19">
        <f t="shared" si="43"/>
        <v>49521</v>
      </c>
      <c r="OL24" s="19">
        <f t="shared" si="44"/>
        <v>49552</v>
      </c>
      <c r="OM24" s="19">
        <f t="shared" si="44"/>
        <v>49582</v>
      </c>
      <c r="ON24" s="19">
        <f t="shared" si="44"/>
        <v>49613</v>
      </c>
      <c r="OO24" s="19">
        <f t="shared" si="44"/>
        <v>49643</v>
      </c>
      <c r="OP24" s="19">
        <f t="shared" si="44"/>
        <v>49674</v>
      </c>
      <c r="OQ24" s="19">
        <f t="shared" si="44"/>
        <v>49705</v>
      </c>
      <c r="OR24" s="19">
        <f t="shared" si="44"/>
        <v>49734</v>
      </c>
      <c r="OS24" s="19">
        <f t="shared" si="44"/>
        <v>49765</v>
      </c>
      <c r="OT24" s="19">
        <f t="shared" si="44"/>
        <v>49795</v>
      </c>
      <c r="OU24" s="19">
        <f t="shared" si="44"/>
        <v>49826</v>
      </c>
      <c r="OV24" s="19">
        <f t="shared" si="45"/>
        <v>49856</v>
      </c>
      <c r="OW24" s="19">
        <f t="shared" si="45"/>
        <v>49887</v>
      </c>
      <c r="OX24" s="19">
        <f t="shared" si="45"/>
        <v>49918</v>
      </c>
      <c r="OY24" s="19">
        <f t="shared" si="45"/>
        <v>49948</v>
      </c>
      <c r="OZ24" s="19">
        <f t="shared" si="45"/>
        <v>49979</v>
      </c>
      <c r="PA24" s="19">
        <f t="shared" si="45"/>
        <v>50009</v>
      </c>
      <c r="PB24" s="19">
        <f t="shared" si="45"/>
        <v>50040</v>
      </c>
      <c r="PC24" s="19">
        <f t="shared" si="45"/>
        <v>50071</v>
      </c>
      <c r="PD24" s="19">
        <f t="shared" si="45"/>
        <v>50099</v>
      </c>
      <c r="PE24" s="19">
        <f t="shared" si="45"/>
        <v>50130</v>
      </c>
      <c r="PF24" s="19">
        <f t="shared" si="46"/>
        <v>50160</v>
      </c>
      <c r="PG24" s="19">
        <f t="shared" si="46"/>
        <v>50191</v>
      </c>
      <c r="PH24" s="19">
        <f t="shared" si="46"/>
        <v>50221</v>
      </c>
    </row>
    <row r="25" spans="1:424" x14ac:dyDescent="0.35">
      <c r="A25"/>
      <c r="B25" s="411" t="s">
        <v>86</v>
      </c>
      <c r="C25" s="412"/>
      <c r="D25" s="412" t="s">
        <v>132</v>
      </c>
      <c r="E25" s="412" t="s">
        <v>133</v>
      </c>
      <c r="F25" s="412" t="s">
        <v>134</v>
      </c>
      <c r="G25" s="412"/>
      <c r="H25" s="412" t="str">
        <f>"/RENTABLE "&amp;Unit_Type</f>
        <v>/RENTABLE M2</v>
      </c>
      <c r="I25" s="412" t="s">
        <v>135</v>
      </c>
      <c r="J25" s="22"/>
      <c r="K25" s="22" t="s">
        <v>136</v>
      </c>
      <c r="L25" s="92">
        <f>SUM($L$57:L57)/Project_Cost_Total</f>
        <v>0.20723257005562956</v>
      </c>
      <c r="M25" s="92">
        <f>SUM($L$57:M57)/Project_Cost_Total</f>
        <v>0.20919762591763888</v>
      </c>
      <c r="N25" s="92">
        <f>SUM($L$57:N57)/Project_Cost_Total</f>
        <v>0.21176690677231294</v>
      </c>
      <c r="O25" s="92">
        <f>SUM($L$57:O57)/Project_Cost_Total</f>
        <v>0.21519912035529215</v>
      </c>
      <c r="P25" s="92">
        <f>SUM($L$57:P57)/Project_Cost_Total</f>
        <v>0.21982689792965512</v>
      </c>
      <c r="Q25" s="92">
        <f>SUM($L$57:Q57)/Project_Cost_Total</f>
        <v>0.22606060806853817</v>
      </c>
      <c r="R25" s="92">
        <f>SUM($L$57:R57)/Project_Cost_Total</f>
        <v>0.234384198638937</v>
      </c>
      <c r="S25" s="92">
        <f>SUM($L$57:S57)/Project_Cost_Total</f>
        <v>0.24534021646982465</v>
      </c>
      <c r="T25" s="92">
        <f>SUM($L$57:T57)/Project_Cost_Total</f>
        <v>0.2595019441696288</v>
      </c>
      <c r="U25" s="92">
        <f>SUM($L$57:U57)/Project_Cost_Total</f>
        <v>0.27743213436176012</v>
      </c>
      <c r="V25" s="92">
        <f>SUM($L$57:V57)/Project_Cost_Total</f>
        <v>0.29963003090306628</v>
      </c>
      <c r="W25" s="92">
        <f>SUM($L$57:W57)/Project_Cost_Total</f>
        <v>0.32647095481414357</v>
      </c>
      <c r="X25" s="92">
        <f>SUM($L$57:X57)/Project_Cost_Total</f>
        <v>0.35814521605959032</v>
      </c>
      <c r="Y25" s="92">
        <f>SUM($L$57:Y57)/Project_Cost_Total</f>
        <v>0.39460489252777731</v>
      </c>
      <c r="Z25" s="92">
        <f>SUM($L$57:Z57)/Project_Cost_Total</f>
        <v>0.43552751955168645</v>
      </c>
      <c r="AA25" s="92">
        <f>SUM($L$57:AA57)/Project_Cost_Total</f>
        <v>0.48030457233301393</v>
      </c>
      <c r="AB25" s="92">
        <f>SUM($L$57:AB57)/Project_Cost_Total</f>
        <v>0.52805975199348931</v>
      </c>
      <c r="AC25" s="92">
        <f>SUM($L$57:AC57)/Project_Cost_Total</f>
        <v>0.57769786727952066</v>
      </c>
      <c r="AD25" s="92">
        <f>SUM($L$57:AD57)/Project_Cost_Total</f>
        <v>0.62798027751784158</v>
      </c>
      <c r="AE25" s="92">
        <f>SUM($L$57:AE57)/Project_Cost_Total</f>
        <v>0.67761839280387293</v>
      </c>
      <c r="AF25" s="92">
        <f>SUM($L$57:AF57)/Project_Cost_Total</f>
        <v>0.72537357246434819</v>
      </c>
      <c r="AG25" s="92">
        <f>SUM($L$57:AG57)/Project_Cost_Total</f>
        <v>0.77015062524567579</v>
      </c>
      <c r="AH25" s="92">
        <f>SUM($L$57:AH57)/Project_Cost_Total</f>
        <v>0.81107325226958482</v>
      </c>
      <c r="AI25" s="92">
        <f>SUM($L$57:AI57)/Project_Cost_Total</f>
        <v>0.84753292873777175</v>
      </c>
      <c r="AJ25" s="92">
        <f>SUM($L$57:AJ57)/Project_Cost_Total</f>
        <v>0.87920718998321867</v>
      </c>
      <c r="AK25" s="92">
        <f>SUM($L$57:AK57)/Project_Cost_Total</f>
        <v>0.90604811389429585</v>
      </c>
      <c r="AL25" s="92">
        <f>SUM($L$57:AL57)/Project_Cost_Total</f>
        <v>0.92824601043560195</v>
      </c>
      <c r="AM25" s="92">
        <f>SUM($L$57:AM57)/Project_Cost_Total</f>
        <v>0.94617620062773333</v>
      </c>
      <c r="AN25" s="92">
        <f>SUM($L$57:AN57)/Project_Cost_Total</f>
        <v>0.9603379283275375</v>
      </c>
      <c r="AO25" s="92">
        <f>SUM($L$57:AO57)/Project_Cost_Total</f>
        <v>0.97129394615842524</v>
      </c>
      <c r="AP25" s="92">
        <f>SUM($L$57:AP57)/Project_Cost_Total</f>
        <v>0.97961753672882401</v>
      </c>
      <c r="AQ25" s="92">
        <f>SUM($L$57:AQ57)/Project_Cost_Total</f>
        <v>0.98585124686770709</v>
      </c>
      <c r="AR25" s="92">
        <f>SUM($L$57:AR57)/Project_Cost_Total</f>
        <v>0.99047902444207014</v>
      </c>
      <c r="AS25" s="92">
        <f>SUM($L$57:AS57)/Project_Cost_Total</f>
        <v>0.99391123802504922</v>
      </c>
      <c r="AT25" s="92">
        <f>SUM($L$57:AT57)/Project_Cost_Total</f>
        <v>0.99648051887972344</v>
      </c>
      <c r="AU25" s="92">
        <f>SUM($L$57:AU57)/Project_Cost_Total</f>
        <v>0.99844557474173268</v>
      </c>
      <c r="AV25" s="92">
        <f>SUM($L$57:AV57)/Project_Cost_Total</f>
        <v>1</v>
      </c>
      <c r="AW25" s="92">
        <f>SUM($L$57:AW57)/Project_Cost_Total</f>
        <v>1</v>
      </c>
      <c r="AX25" s="92">
        <f>SUM($L$57:AX57)/Project_Cost_Total</f>
        <v>1</v>
      </c>
      <c r="AY25" s="92">
        <f>SUM($L$57:AY57)/Project_Cost_Total</f>
        <v>1</v>
      </c>
      <c r="AZ25" s="92">
        <f>SUM($L$57:AZ57)/Project_Cost_Total</f>
        <v>1</v>
      </c>
      <c r="BA25" s="92">
        <f>SUM($L$57:BA57)/Project_Cost_Total</f>
        <v>1</v>
      </c>
      <c r="BB25" s="92">
        <f>SUM($L$57:BB57)/Project_Cost_Total</f>
        <v>1</v>
      </c>
      <c r="BC25" s="92">
        <f>SUM($L$57:BC57)/Project_Cost_Total</f>
        <v>1</v>
      </c>
      <c r="BD25" s="92">
        <f>SUM($L$57:BD57)/Project_Cost_Total</f>
        <v>1</v>
      </c>
      <c r="BE25" s="92">
        <f>SUM($L$57:BE57)/Project_Cost_Total</f>
        <v>1</v>
      </c>
      <c r="BF25" s="92">
        <f>SUM($L$57:BF57)/Project_Cost_Total</f>
        <v>1</v>
      </c>
      <c r="BG25" s="92">
        <f>SUM($L$57:BG57)/Project_Cost_Total</f>
        <v>1</v>
      </c>
      <c r="BH25" s="92">
        <f>SUM($L$57:BH57)/Project_Cost_Total</f>
        <v>1</v>
      </c>
      <c r="BI25" s="92">
        <f>SUM($L$57:BI57)/Project_Cost_Total</f>
        <v>1</v>
      </c>
      <c r="BJ25" s="92">
        <f>SUM($L$57:BJ57)/Project_Cost_Total</f>
        <v>1</v>
      </c>
      <c r="BK25" s="92">
        <f>SUM($L$57:BK57)/Project_Cost_Total</f>
        <v>1</v>
      </c>
      <c r="BL25" s="92">
        <f>SUM($L$57:BL57)/Project_Cost_Total</f>
        <v>1</v>
      </c>
      <c r="BM25" s="92">
        <f>SUM($L$57:BM57)/Project_Cost_Total</f>
        <v>1</v>
      </c>
      <c r="BN25" s="92">
        <f>SUM($L$57:BN57)/Project_Cost_Total</f>
        <v>1</v>
      </c>
      <c r="BO25" s="92">
        <f>SUM($L$57:BO57)/Project_Cost_Total</f>
        <v>1</v>
      </c>
      <c r="BP25" s="92">
        <f>SUM($L$57:BP57)/Project_Cost_Total</f>
        <v>1</v>
      </c>
      <c r="BQ25" s="92">
        <f>SUM($L$57:BQ57)/Project_Cost_Total</f>
        <v>1</v>
      </c>
      <c r="BR25" s="92">
        <f>SUM($L$57:BR57)/Project_Cost_Total</f>
        <v>1</v>
      </c>
      <c r="BS25" s="92">
        <f>SUM($L$57:BS57)/Project_Cost_Total</f>
        <v>1</v>
      </c>
      <c r="BT25" s="92">
        <f>SUM($L$57:BT57)/Project_Cost_Total</f>
        <v>1</v>
      </c>
      <c r="BU25" s="92">
        <f>SUM($L$57:BU57)/Project_Cost_Total</f>
        <v>1</v>
      </c>
      <c r="BV25" s="92">
        <f>SUM($L$57:BV57)/Project_Cost_Total</f>
        <v>1</v>
      </c>
      <c r="BW25" s="92">
        <f>SUM($L$57:BW57)/Project_Cost_Total</f>
        <v>1</v>
      </c>
      <c r="BX25" s="92">
        <f>SUM($L$57:BX57)/Project_Cost_Total</f>
        <v>1</v>
      </c>
      <c r="BY25" s="92">
        <f>SUM($L$57:BY57)/Project_Cost_Total</f>
        <v>1</v>
      </c>
      <c r="BZ25" s="92">
        <f>SUM($L$57:BZ57)/Project_Cost_Total</f>
        <v>1</v>
      </c>
      <c r="CA25" s="92">
        <f>SUM($L$57:CA57)/Project_Cost_Total</f>
        <v>1</v>
      </c>
      <c r="CB25" s="92">
        <f>SUM($L$57:CB57)/Project_Cost_Total</f>
        <v>1</v>
      </c>
      <c r="CC25" s="92">
        <f>SUM($L$57:CC57)/Project_Cost_Total</f>
        <v>1</v>
      </c>
      <c r="CD25" s="92">
        <f>SUM($L$57:CD57)/Project_Cost_Total</f>
        <v>1</v>
      </c>
      <c r="CE25" s="92">
        <f>SUM($L$57:CE57)/Project_Cost_Total</f>
        <v>1</v>
      </c>
      <c r="CF25" s="92">
        <f>SUM($L$57:CF57)/Project_Cost_Total</f>
        <v>1</v>
      </c>
      <c r="CG25" s="92">
        <f>SUM($L$57:CG57)/Project_Cost_Total</f>
        <v>1</v>
      </c>
      <c r="CH25" s="92">
        <f>SUM($L$57:CH57)/Project_Cost_Total</f>
        <v>1</v>
      </c>
      <c r="CI25" s="92">
        <f>SUM($L$57:CI57)/Project_Cost_Total</f>
        <v>1</v>
      </c>
      <c r="CJ25" s="92">
        <f>SUM($L$57:CJ57)/Project_Cost_Total</f>
        <v>1</v>
      </c>
      <c r="CK25" s="92">
        <f>SUM($L$57:CK57)/Project_Cost_Total</f>
        <v>1</v>
      </c>
      <c r="CL25" s="92">
        <f>SUM($L$57:CL57)/Project_Cost_Total</f>
        <v>1</v>
      </c>
      <c r="CM25" s="92">
        <f>SUM($L$57:CM57)/Project_Cost_Total</f>
        <v>1</v>
      </c>
      <c r="CN25" s="92">
        <f>SUM($L$57:CN57)/Project_Cost_Total</f>
        <v>1</v>
      </c>
      <c r="CO25" s="92">
        <f>SUM($L$57:CO57)/Project_Cost_Total</f>
        <v>1</v>
      </c>
      <c r="CP25" s="92">
        <f>SUM($L$57:CP57)/Project_Cost_Total</f>
        <v>1</v>
      </c>
      <c r="CQ25" s="92">
        <f>SUM($L$57:CQ57)/Project_Cost_Total</f>
        <v>1</v>
      </c>
      <c r="CR25" s="92">
        <f>SUM($L$57:CR57)/Project_Cost_Total</f>
        <v>1</v>
      </c>
      <c r="CS25" s="92">
        <f>SUM($L$57:CS57)/Project_Cost_Total</f>
        <v>1</v>
      </c>
      <c r="CT25" s="92">
        <f>SUM($L$57:CT57)/Project_Cost_Total</f>
        <v>1</v>
      </c>
      <c r="CU25" s="92">
        <f>SUM($L$57:CU57)/Project_Cost_Total</f>
        <v>1</v>
      </c>
      <c r="CV25" s="92">
        <f>SUM($L$57:CV57)/Project_Cost_Total</f>
        <v>1</v>
      </c>
      <c r="CW25" s="92">
        <f>SUM($L$57:CW57)/Project_Cost_Total</f>
        <v>1</v>
      </c>
      <c r="CX25" s="92">
        <f>SUM($L$57:CX57)/Project_Cost_Total</f>
        <v>1</v>
      </c>
      <c r="CY25" s="92">
        <f>SUM($L$57:CY57)/Project_Cost_Total</f>
        <v>1</v>
      </c>
      <c r="CZ25" s="92">
        <f>SUM($L$57:CZ57)/Project_Cost_Total</f>
        <v>1</v>
      </c>
      <c r="DA25" s="92">
        <f>SUM($L$57:DA57)/Project_Cost_Total</f>
        <v>1</v>
      </c>
      <c r="DB25" s="92">
        <f>SUM($L$57:DB57)/Project_Cost_Total</f>
        <v>1</v>
      </c>
      <c r="DC25" s="92">
        <f>SUM($L$57:DC57)/Project_Cost_Total</f>
        <v>1</v>
      </c>
      <c r="DD25" s="92">
        <f>SUM($L$57:DD57)/Project_Cost_Total</f>
        <v>1</v>
      </c>
      <c r="DE25" s="92">
        <f>SUM($L$57:DE57)/Project_Cost_Total</f>
        <v>1</v>
      </c>
      <c r="DF25" s="92">
        <f>SUM($L$57:DF57)/Project_Cost_Total</f>
        <v>1</v>
      </c>
      <c r="DG25" s="92">
        <f>SUM($L$57:DG57)/Project_Cost_Total</f>
        <v>1</v>
      </c>
      <c r="DH25" s="92">
        <f>SUM($L$57:DH57)/Project_Cost_Total</f>
        <v>1</v>
      </c>
      <c r="DI25" s="92">
        <f>SUM($L$57:DI57)/Project_Cost_Total</f>
        <v>1</v>
      </c>
      <c r="DJ25" s="92">
        <f>SUM($L$57:DJ57)/Project_Cost_Total</f>
        <v>1</v>
      </c>
      <c r="DK25" s="92">
        <f>SUM($L$57:DK57)/Project_Cost_Total</f>
        <v>1</v>
      </c>
      <c r="DL25" s="92">
        <f>SUM($L$57:DL57)/Project_Cost_Total</f>
        <v>1</v>
      </c>
      <c r="DM25" s="92">
        <f>SUM($L$57:DM57)/Project_Cost_Total</f>
        <v>1</v>
      </c>
      <c r="DN25" s="92">
        <f>SUM($L$57:DN57)/Project_Cost_Total</f>
        <v>1</v>
      </c>
      <c r="DO25" s="92">
        <f>SUM($L$57:DO57)/Project_Cost_Total</f>
        <v>1</v>
      </c>
      <c r="DP25" s="92">
        <f>SUM($L$57:DP57)/Project_Cost_Total</f>
        <v>1</v>
      </c>
      <c r="DQ25" s="92">
        <f>SUM($L$57:DQ57)/Project_Cost_Total</f>
        <v>1</v>
      </c>
      <c r="DR25" s="92">
        <f>SUM($L$57:DR57)/Project_Cost_Total</f>
        <v>1</v>
      </c>
      <c r="DS25" s="92">
        <f>SUM($L$57:DS57)/Project_Cost_Total</f>
        <v>1</v>
      </c>
      <c r="DT25" s="92">
        <f>SUM($L$57:DT57)/Project_Cost_Total</f>
        <v>1</v>
      </c>
      <c r="DU25" s="92">
        <f>SUM($L$57:DU57)/Project_Cost_Total</f>
        <v>1</v>
      </c>
      <c r="DV25" s="92">
        <f>SUM($L$57:DV57)/Project_Cost_Total</f>
        <v>1</v>
      </c>
      <c r="DW25" s="92">
        <f>SUM($L$57:DW57)/Project_Cost_Total</f>
        <v>1</v>
      </c>
      <c r="DX25" s="92">
        <f>SUM($L$57:DX57)/Project_Cost_Total</f>
        <v>1</v>
      </c>
      <c r="DY25" s="92">
        <f>SUM($L$57:DY57)/Project_Cost_Total</f>
        <v>1</v>
      </c>
      <c r="DZ25" s="92">
        <f>SUM($L$57:DZ57)/Project_Cost_Total</f>
        <v>1</v>
      </c>
      <c r="EA25" s="92">
        <f>SUM($L$57:EA57)/Project_Cost_Total</f>
        <v>1</v>
      </c>
      <c r="EB25" s="92">
        <f>SUM($L$57:EB57)/Project_Cost_Total</f>
        <v>1</v>
      </c>
      <c r="EC25" s="92">
        <f>SUM($L$57:EC57)/Project_Cost_Total</f>
        <v>1</v>
      </c>
      <c r="ED25" s="92">
        <f>SUM($L$57:ED57)/Project_Cost_Total</f>
        <v>1</v>
      </c>
      <c r="EE25" s="92">
        <f>SUM($L$57:EE57)/Project_Cost_Total</f>
        <v>1</v>
      </c>
      <c r="EF25" s="92">
        <f>SUM($L$57:EF57)/Project_Cost_Total</f>
        <v>1</v>
      </c>
      <c r="EG25" s="92">
        <f>SUM($L$57:EG57)/Project_Cost_Total</f>
        <v>1</v>
      </c>
      <c r="EH25" s="92">
        <f>SUM($L$57:EH57)/Project_Cost_Total</f>
        <v>1</v>
      </c>
      <c r="EI25" s="92">
        <f>SUM($L$57:EI57)/Project_Cost_Total</f>
        <v>1</v>
      </c>
      <c r="EJ25" s="92">
        <f>SUM($L$57:EJ57)/Project_Cost_Total</f>
        <v>1</v>
      </c>
      <c r="EK25" s="92">
        <f>SUM($L$57:EK57)/Project_Cost_Total</f>
        <v>1</v>
      </c>
      <c r="EL25" s="92">
        <f>SUM($L$57:EL57)/Project_Cost_Total</f>
        <v>1</v>
      </c>
      <c r="EM25" s="92">
        <f>SUM($L$57:EM57)/Project_Cost_Total</f>
        <v>1</v>
      </c>
      <c r="EN25" s="92">
        <f>SUM($L$57:EN57)/Project_Cost_Total</f>
        <v>1</v>
      </c>
      <c r="EO25"/>
      <c r="EP25" s="219"/>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c r="JZ25" s="219" t="str">
        <f>B25</f>
        <v>USES</v>
      </c>
      <c r="KA25" s="18"/>
      <c r="KB25" s="410" t="s">
        <v>137</v>
      </c>
      <c r="KC25" s="410" t="s">
        <v>138</v>
      </c>
      <c r="KD25" s="410" t="s">
        <v>139</v>
      </c>
      <c r="KE25" s="410" t="s">
        <v>85</v>
      </c>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c r="PB25" s="18"/>
      <c r="PC25" s="18"/>
      <c r="PD25" s="18"/>
      <c r="PE25" s="18"/>
      <c r="PF25" s="18"/>
      <c r="PG25" s="18"/>
      <c r="PH25" s="18"/>
    </row>
    <row r="26" spans="1:424" x14ac:dyDescent="0.35">
      <c r="A26"/>
      <c r="B26" s="34" t="s">
        <v>140</v>
      </c>
      <c r="C26" s="400"/>
      <c r="D26" s="400"/>
      <c r="E26" s="400"/>
      <c r="F26" s="400"/>
      <c r="G26" s="400"/>
      <c r="H26" s="400"/>
      <c r="I26" s="400"/>
      <c r="J26" s="22"/>
      <c r="K26" s="22" t="s">
        <v>141</v>
      </c>
      <c r="L26" s="92">
        <f>L25</f>
        <v>0.20723257005562956</v>
      </c>
      <c r="M26" s="92">
        <f>M25-L25</f>
        <v>1.9650558620093184E-3</v>
      </c>
      <c r="N26" s="92">
        <f t="shared" ref="N26:BY26" si="49">N25-M25</f>
        <v>2.5692808546740609E-3</v>
      </c>
      <c r="O26" s="92">
        <f t="shared" si="49"/>
        <v>3.43221358297921E-3</v>
      </c>
      <c r="P26" s="92">
        <f t="shared" si="49"/>
        <v>4.6277775743629734E-3</v>
      </c>
      <c r="Q26" s="92">
        <f t="shared" si="49"/>
        <v>6.2337101388830474E-3</v>
      </c>
      <c r="R26" s="92">
        <f t="shared" si="49"/>
        <v>8.3235905703988311E-3</v>
      </c>
      <c r="S26" s="92">
        <f t="shared" si="49"/>
        <v>1.0956017830887649E-2</v>
      </c>
      <c r="T26" s="92">
        <f t="shared" si="49"/>
        <v>1.4161727699804144E-2</v>
      </c>
      <c r="U26" s="92">
        <f t="shared" si="49"/>
        <v>1.7930190192131323E-2</v>
      </c>
      <c r="V26" s="92">
        <f t="shared" si="49"/>
        <v>2.2197896541306161E-2</v>
      </c>
      <c r="W26" s="92">
        <f t="shared" si="49"/>
        <v>2.6840923911077286E-2</v>
      </c>
      <c r="X26" s="92">
        <f t="shared" si="49"/>
        <v>3.1674261245446755E-2</v>
      </c>
      <c r="Y26" s="92">
        <f t="shared" si="49"/>
        <v>3.6459676468186986E-2</v>
      </c>
      <c r="Z26" s="92">
        <f t="shared" si="49"/>
        <v>4.0922627023909142E-2</v>
      </c>
      <c r="AA26" s="92">
        <f t="shared" si="49"/>
        <v>4.4777052781327487E-2</v>
      </c>
      <c r="AB26" s="92">
        <f t="shared" si="49"/>
        <v>4.7755179660475378E-2</v>
      </c>
      <c r="AC26" s="92">
        <f t="shared" si="49"/>
        <v>4.9638115286031348E-2</v>
      </c>
      <c r="AD26" s="92">
        <f t="shared" si="49"/>
        <v>5.0282410238320918E-2</v>
      </c>
      <c r="AE26" s="92">
        <f t="shared" si="49"/>
        <v>4.9638115286031348E-2</v>
      </c>
      <c r="AF26" s="92">
        <f t="shared" si="49"/>
        <v>4.7755179660475267E-2</v>
      </c>
      <c r="AG26" s="92">
        <f t="shared" si="49"/>
        <v>4.4777052781327598E-2</v>
      </c>
      <c r="AH26" s="92">
        <f t="shared" si="49"/>
        <v>4.0922627023909031E-2</v>
      </c>
      <c r="AI26" s="92">
        <f t="shared" si="49"/>
        <v>3.645967646818693E-2</v>
      </c>
      <c r="AJ26" s="92">
        <f t="shared" si="49"/>
        <v>3.1674261245446922E-2</v>
      </c>
      <c r="AK26" s="92">
        <f t="shared" si="49"/>
        <v>2.6840923911077175E-2</v>
      </c>
      <c r="AL26" s="92">
        <f t="shared" si="49"/>
        <v>2.2197896541306106E-2</v>
      </c>
      <c r="AM26" s="92">
        <f t="shared" si="49"/>
        <v>1.7930190192131379E-2</v>
      </c>
      <c r="AN26" s="92">
        <f t="shared" si="49"/>
        <v>1.4161727699804172E-2</v>
      </c>
      <c r="AO26" s="92">
        <f t="shared" si="49"/>
        <v>1.0956017830887732E-2</v>
      </c>
      <c r="AP26" s="92">
        <f t="shared" si="49"/>
        <v>8.3235905703987756E-3</v>
      </c>
      <c r="AQ26" s="92">
        <f t="shared" si="49"/>
        <v>6.2337101388830751E-3</v>
      </c>
      <c r="AR26" s="92">
        <f t="shared" si="49"/>
        <v>4.6277775743630567E-3</v>
      </c>
      <c r="AS26" s="92">
        <f t="shared" si="49"/>
        <v>3.4322135829790712E-3</v>
      </c>
      <c r="AT26" s="92">
        <f t="shared" si="49"/>
        <v>2.5692808546742274E-3</v>
      </c>
      <c r="AU26" s="92">
        <f t="shared" si="49"/>
        <v>1.9650558620092351E-3</v>
      </c>
      <c r="AV26" s="92">
        <f t="shared" si="49"/>
        <v>1.5544252582673224E-3</v>
      </c>
      <c r="AW26" s="92">
        <f t="shared" si="49"/>
        <v>0</v>
      </c>
      <c r="AX26" s="92">
        <f t="shared" si="49"/>
        <v>0</v>
      </c>
      <c r="AY26" s="92">
        <f t="shared" si="49"/>
        <v>0</v>
      </c>
      <c r="AZ26" s="92">
        <f t="shared" si="49"/>
        <v>0</v>
      </c>
      <c r="BA26" s="92">
        <f t="shared" si="49"/>
        <v>0</v>
      </c>
      <c r="BB26" s="92">
        <f t="shared" si="49"/>
        <v>0</v>
      </c>
      <c r="BC26" s="92">
        <f t="shared" si="49"/>
        <v>0</v>
      </c>
      <c r="BD26" s="92">
        <f t="shared" si="49"/>
        <v>0</v>
      </c>
      <c r="BE26" s="92">
        <f t="shared" si="49"/>
        <v>0</v>
      </c>
      <c r="BF26" s="92">
        <f t="shared" si="49"/>
        <v>0</v>
      </c>
      <c r="BG26" s="92">
        <f t="shared" si="49"/>
        <v>0</v>
      </c>
      <c r="BH26" s="92">
        <f t="shared" si="49"/>
        <v>0</v>
      </c>
      <c r="BI26" s="92">
        <f t="shared" si="49"/>
        <v>0</v>
      </c>
      <c r="BJ26" s="92">
        <f t="shared" si="49"/>
        <v>0</v>
      </c>
      <c r="BK26" s="92">
        <f t="shared" si="49"/>
        <v>0</v>
      </c>
      <c r="BL26" s="92">
        <f t="shared" si="49"/>
        <v>0</v>
      </c>
      <c r="BM26" s="92">
        <f t="shared" si="49"/>
        <v>0</v>
      </c>
      <c r="BN26" s="92">
        <f t="shared" si="49"/>
        <v>0</v>
      </c>
      <c r="BO26" s="92">
        <f t="shared" si="49"/>
        <v>0</v>
      </c>
      <c r="BP26" s="92">
        <f t="shared" si="49"/>
        <v>0</v>
      </c>
      <c r="BQ26" s="92">
        <f t="shared" si="49"/>
        <v>0</v>
      </c>
      <c r="BR26" s="92">
        <f t="shared" si="49"/>
        <v>0</v>
      </c>
      <c r="BS26" s="92">
        <f t="shared" si="49"/>
        <v>0</v>
      </c>
      <c r="BT26" s="92">
        <f t="shared" si="49"/>
        <v>0</v>
      </c>
      <c r="BU26" s="92">
        <f t="shared" si="49"/>
        <v>0</v>
      </c>
      <c r="BV26" s="92">
        <f t="shared" si="49"/>
        <v>0</v>
      </c>
      <c r="BW26" s="92">
        <f t="shared" si="49"/>
        <v>0</v>
      </c>
      <c r="BX26" s="92">
        <f t="shared" si="49"/>
        <v>0</v>
      </c>
      <c r="BY26" s="92">
        <f t="shared" si="49"/>
        <v>0</v>
      </c>
      <c r="BZ26" s="92">
        <f t="shared" ref="BZ26:EK26" si="50">BZ25-BY25</f>
        <v>0</v>
      </c>
      <c r="CA26" s="92">
        <f t="shared" si="50"/>
        <v>0</v>
      </c>
      <c r="CB26" s="92">
        <f t="shared" si="50"/>
        <v>0</v>
      </c>
      <c r="CC26" s="92">
        <f t="shared" si="50"/>
        <v>0</v>
      </c>
      <c r="CD26" s="92">
        <f t="shared" si="50"/>
        <v>0</v>
      </c>
      <c r="CE26" s="92">
        <f t="shared" si="50"/>
        <v>0</v>
      </c>
      <c r="CF26" s="92">
        <f t="shared" si="50"/>
        <v>0</v>
      </c>
      <c r="CG26" s="92">
        <f t="shared" si="50"/>
        <v>0</v>
      </c>
      <c r="CH26" s="92">
        <f t="shared" si="50"/>
        <v>0</v>
      </c>
      <c r="CI26" s="92">
        <f t="shared" si="50"/>
        <v>0</v>
      </c>
      <c r="CJ26" s="92">
        <f t="shared" si="50"/>
        <v>0</v>
      </c>
      <c r="CK26" s="92">
        <f t="shared" si="50"/>
        <v>0</v>
      </c>
      <c r="CL26" s="92">
        <f t="shared" si="50"/>
        <v>0</v>
      </c>
      <c r="CM26" s="92">
        <f t="shared" si="50"/>
        <v>0</v>
      </c>
      <c r="CN26" s="92">
        <f t="shared" si="50"/>
        <v>0</v>
      </c>
      <c r="CO26" s="92">
        <f t="shared" si="50"/>
        <v>0</v>
      </c>
      <c r="CP26" s="92">
        <f t="shared" si="50"/>
        <v>0</v>
      </c>
      <c r="CQ26" s="92">
        <f t="shared" si="50"/>
        <v>0</v>
      </c>
      <c r="CR26" s="92">
        <f t="shared" si="50"/>
        <v>0</v>
      </c>
      <c r="CS26" s="92">
        <f t="shared" si="50"/>
        <v>0</v>
      </c>
      <c r="CT26" s="92">
        <f t="shared" si="50"/>
        <v>0</v>
      </c>
      <c r="CU26" s="92">
        <f t="shared" si="50"/>
        <v>0</v>
      </c>
      <c r="CV26" s="92">
        <f t="shared" si="50"/>
        <v>0</v>
      </c>
      <c r="CW26" s="92">
        <f t="shared" si="50"/>
        <v>0</v>
      </c>
      <c r="CX26" s="92">
        <f t="shared" si="50"/>
        <v>0</v>
      </c>
      <c r="CY26" s="92">
        <f t="shared" si="50"/>
        <v>0</v>
      </c>
      <c r="CZ26" s="92">
        <f t="shared" si="50"/>
        <v>0</v>
      </c>
      <c r="DA26" s="92">
        <f t="shared" si="50"/>
        <v>0</v>
      </c>
      <c r="DB26" s="92">
        <f t="shared" si="50"/>
        <v>0</v>
      </c>
      <c r="DC26" s="92">
        <f t="shared" si="50"/>
        <v>0</v>
      </c>
      <c r="DD26" s="92">
        <f t="shared" si="50"/>
        <v>0</v>
      </c>
      <c r="DE26" s="92">
        <f t="shared" si="50"/>
        <v>0</v>
      </c>
      <c r="DF26" s="92">
        <f t="shared" si="50"/>
        <v>0</v>
      </c>
      <c r="DG26" s="92">
        <f t="shared" si="50"/>
        <v>0</v>
      </c>
      <c r="DH26" s="92">
        <f t="shared" si="50"/>
        <v>0</v>
      </c>
      <c r="DI26" s="92">
        <f t="shared" si="50"/>
        <v>0</v>
      </c>
      <c r="DJ26" s="92">
        <f t="shared" si="50"/>
        <v>0</v>
      </c>
      <c r="DK26" s="92">
        <f t="shared" si="50"/>
        <v>0</v>
      </c>
      <c r="DL26" s="92">
        <f t="shared" si="50"/>
        <v>0</v>
      </c>
      <c r="DM26" s="92">
        <f t="shared" si="50"/>
        <v>0</v>
      </c>
      <c r="DN26" s="92">
        <f t="shared" si="50"/>
        <v>0</v>
      </c>
      <c r="DO26" s="92">
        <f t="shared" si="50"/>
        <v>0</v>
      </c>
      <c r="DP26" s="92">
        <f t="shared" si="50"/>
        <v>0</v>
      </c>
      <c r="DQ26" s="92">
        <f t="shared" si="50"/>
        <v>0</v>
      </c>
      <c r="DR26" s="92">
        <f t="shared" si="50"/>
        <v>0</v>
      </c>
      <c r="DS26" s="92">
        <f t="shared" si="50"/>
        <v>0</v>
      </c>
      <c r="DT26" s="92">
        <f t="shared" si="50"/>
        <v>0</v>
      </c>
      <c r="DU26" s="92">
        <f t="shared" si="50"/>
        <v>0</v>
      </c>
      <c r="DV26" s="92">
        <f t="shared" si="50"/>
        <v>0</v>
      </c>
      <c r="DW26" s="92">
        <f t="shared" si="50"/>
        <v>0</v>
      </c>
      <c r="DX26" s="92">
        <f t="shared" si="50"/>
        <v>0</v>
      </c>
      <c r="DY26" s="92">
        <f t="shared" si="50"/>
        <v>0</v>
      </c>
      <c r="DZ26" s="92">
        <f t="shared" si="50"/>
        <v>0</v>
      </c>
      <c r="EA26" s="92">
        <f t="shared" si="50"/>
        <v>0</v>
      </c>
      <c r="EB26" s="92">
        <f t="shared" si="50"/>
        <v>0</v>
      </c>
      <c r="EC26" s="92">
        <f t="shared" si="50"/>
        <v>0</v>
      </c>
      <c r="ED26" s="92">
        <f t="shared" si="50"/>
        <v>0</v>
      </c>
      <c r="EE26" s="92">
        <f t="shared" si="50"/>
        <v>0</v>
      </c>
      <c r="EF26" s="92">
        <f t="shared" si="50"/>
        <v>0</v>
      </c>
      <c r="EG26" s="92">
        <f t="shared" si="50"/>
        <v>0</v>
      </c>
      <c r="EH26" s="92">
        <f t="shared" si="50"/>
        <v>0</v>
      </c>
      <c r="EI26" s="92">
        <f t="shared" si="50"/>
        <v>0</v>
      </c>
      <c r="EJ26" s="92">
        <f t="shared" si="50"/>
        <v>0</v>
      </c>
      <c r="EK26" s="92">
        <f t="shared" si="50"/>
        <v>0</v>
      </c>
      <c r="EL26" s="92">
        <f>EL25-EK25</f>
        <v>0</v>
      </c>
      <c r="EM26" s="92">
        <f>EM25-EL25</f>
        <v>0</v>
      </c>
      <c r="EN26" s="92">
        <f>EN25-EM25</f>
        <v>0</v>
      </c>
      <c r="EO26"/>
      <c r="EP26" s="219"/>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c r="JZ26" s="219" t="str">
        <f t="shared" ref="JZ26:JZ46" si="51">B26</f>
        <v>Land Costs</v>
      </c>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c r="OS26" s="18"/>
      <c r="OT26" s="18"/>
      <c r="OU26" s="18"/>
      <c r="OV26" s="18"/>
      <c r="OW26" s="18"/>
      <c r="OX26" s="18"/>
      <c r="OY26" s="18"/>
      <c r="OZ26" s="18"/>
      <c r="PA26" s="18"/>
      <c r="PB26" s="18"/>
      <c r="PC26" s="18"/>
      <c r="PD26" s="18"/>
      <c r="PE26" s="18"/>
      <c r="PF26" s="18"/>
      <c r="PG26" s="18"/>
      <c r="PH26" s="18"/>
    </row>
    <row r="27" spans="1:424" x14ac:dyDescent="0.35">
      <c r="A27"/>
      <c r="B27" s="413"/>
      <c r="C27" s="400">
        <v>0</v>
      </c>
      <c r="D27" s="45"/>
      <c r="E27" s="45">
        <f>D27</f>
        <v>0</v>
      </c>
      <c r="F27" s="414" t="s">
        <v>142</v>
      </c>
      <c r="G27" s="134">
        <f>I27/Units_SF_M2</f>
        <v>1166.9371296532524</v>
      </c>
      <c r="H27" s="415"/>
      <c r="I27" s="837">
        <f>'URWLD COMPANY INPUTS'!$D$122*1000000</f>
        <v>91570000</v>
      </c>
      <c r="J27"/>
      <c r="K27" s="22" t="str">
        <f>IF(ROUND(SUM(L27:EN27),0)=ROUND(I27,0),"","Incomplete")</f>
        <v/>
      </c>
      <c r="L27" s="417">
        <f t="shared" ref="L27:U30" si="52">AND(L$23&gt;=$D27,L$23&lt;=$E27)*(OR($F27="Straight-Line",$F27="Detail")*($I27/$ES27)+($F27="S-Curve")*EV27+OR($F27="Steady Growth",$F27="Steady Decline")*KF27)</f>
        <v>91570000</v>
      </c>
      <c r="M27" s="417">
        <f t="shared" si="52"/>
        <v>0</v>
      </c>
      <c r="N27" s="417">
        <f t="shared" si="52"/>
        <v>0</v>
      </c>
      <c r="O27" s="417">
        <f t="shared" si="52"/>
        <v>0</v>
      </c>
      <c r="P27" s="417">
        <f t="shared" si="52"/>
        <v>0</v>
      </c>
      <c r="Q27" s="417">
        <f t="shared" si="52"/>
        <v>0</v>
      </c>
      <c r="R27" s="417">
        <f t="shared" si="52"/>
        <v>0</v>
      </c>
      <c r="S27" s="417">
        <f t="shared" si="52"/>
        <v>0</v>
      </c>
      <c r="T27" s="417">
        <f t="shared" si="52"/>
        <v>0</v>
      </c>
      <c r="U27" s="417">
        <f t="shared" si="52"/>
        <v>0</v>
      </c>
      <c r="V27" s="417">
        <f t="shared" ref="V27:AE30" si="53">AND(V$23&gt;=$D27,V$23&lt;=$E27)*(OR($F27="Straight-Line",$F27="Detail")*($I27/$ES27)+($F27="S-Curve")*FF27+OR($F27="Steady Growth",$F27="Steady Decline")*KP27)</f>
        <v>0</v>
      </c>
      <c r="W27" s="417">
        <f t="shared" si="53"/>
        <v>0</v>
      </c>
      <c r="X27" s="417">
        <f t="shared" si="53"/>
        <v>0</v>
      </c>
      <c r="Y27" s="417">
        <f t="shared" si="53"/>
        <v>0</v>
      </c>
      <c r="Z27" s="417">
        <f t="shared" si="53"/>
        <v>0</v>
      </c>
      <c r="AA27" s="417">
        <f t="shared" si="53"/>
        <v>0</v>
      </c>
      <c r="AB27" s="417">
        <f t="shared" si="53"/>
        <v>0</v>
      </c>
      <c r="AC27" s="417">
        <f t="shared" si="53"/>
        <v>0</v>
      </c>
      <c r="AD27" s="417">
        <f t="shared" si="53"/>
        <v>0</v>
      </c>
      <c r="AE27" s="417">
        <f t="shared" si="53"/>
        <v>0</v>
      </c>
      <c r="AF27" s="417">
        <f t="shared" ref="AF27:AO30" si="54">AND(AF$23&gt;=$D27,AF$23&lt;=$E27)*(OR($F27="Straight-Line",$F27="Detail")*($I27/$ES27)+($F27="S-Curve")*FP27+OR($F27="Steady Growth",$F27="Steady Decline")*KZ27)</f>
        <v>0</v>
      </c>
      <c r="AG27" s="417">
        <f t="shared" si="54"/>
        <v>0</v>
      </c>
      <c r="AH27" s="417">
        <f t="shared" si="54"/>
        <v>0</v>
      </c>
      <c r="AI27" s="417">
        <f t="shared" si="54"/>
        <v>0</v>
      </c>
      <c r="AJ27" s="417">
        <f t="shared" si="54"/>
        <v>0</v>
      </c>
      <c r="AK27" s="417">
        <f t="shared" si="54"/>
        <v>0</v>
      </c>
      <c r="AL27" s="417">
        <f t="shared" si="54"/>
        <v>0</v>
      </c>
      <c r="AM27" s="417">
        <f t="shared" si="54"/>
        <v>0</v>
      </c>
      <c r="AN27" s="417">
        <f t="shared" si="54"/>
        <v>0</v>
      </c>
      <c r="AO27" s="417">
        <f t="shared" si="54"/>
        <v>0</v>
      </c>
      <c r="AP27" s="417">
        <f t="shared" ref="AP27:AY30" si="55">AND(AP$23&gt;=$D27,AP$23&lt;=$E27)*(OR($F27="Straight-Line",$F27="Detail")*($I27/$ES27)+($F27="S-Curve")*FZ27+OR($F27="Steady Growth",$F27="Steady Decline")*LJ27)</f>
        <v>0</v>
      </c>
      <c r="AQ27" s="417">
        <f t="shared" si="55"/>
        <v>0</v>
      </c>
      <c r="AR27" s="417">
        <f t="shared" si="55"/>
        <v>0</v>
      </c>
      <c r="AS27" s="417">
        <f t="shared" si="55"/>
        <v>0</v>
      </c>
      <c r="AT27" s="417">
        <f t="shared" si="55"/>
        <v>0</v>
      </c>
      <c r="AU27" s="417">
        <f t="shared" si="55"/>
        <v>0</v>
      </c>
      <c r="AV27" s="417">
        <f t="shared" si="55"/>
        <v>0</v>
      </c>
      <c r="AW27" s="417">
        <f t="shared" si="55"/>
        <v>0</v>
      </c>
      <c r="AX27" s="417">
        <f t="shared" si="55"/>
        <v>0</v>
      </c>
      <c r="AY27" s="417">
        <f t="shared" si="55"/>
        <v>0</v>
      </c>
      <c r="AZ27" s="417">
        <f t="shared" ref="AZ27:BI30" si="56">AND(AZ$23&gt;=$D27,AZ$23&lt;=$E27)*(OR($F27="Straight-Line",$F27="Detail")*($I27/$ES27)+($F27="S-Curve")*GJ27+OR($F27="Steady Growth",$F27="Steady Decline")*LT27)</f>
        <v>0</v>
      </c>
      <c r="BA27" s="417">
        <f t="shared" si="56"/>
        <v>0</v>
      </c>
      <c r="BB27" s="417">
        <f t="shared" si="56"/>
        <v>0</v>
      </c>
      <c r="BC27" s="417">
        <f t="shared" si="56"/>
        <v>0</v>
      </c>
      <c r="BD27" s="417">
        <f t="shared" si="56"/>
        <v>0</v>
      </c>
      <c r="BE27" s="417">
        <f t="shared" si="56"/>
        <v>0</v>
      </c>
      <c r="BF27" s="417">
        <f t="shared" si="56"/>
        <v>0</v>
      </c>
      <c r="BG27" s="417">
        <f t="shared" si="56"/>
        <v>0</v>
      </c>
      <c r="BH27" s="417">
        <f t="shared" si="56"/>
        <v>0</v>
      </c>
      <c r="BI27" s="417">
        <f t="shared" si="56"/>
        <v>0</v>
      </c>
      <c r="BJ27" s="417">
        <f t="shared" ref="BJ27:BS30" si="57">AND(BJ$23&gt;=$D27,BJ$23&lt;=$E27)*(OR($F27="Straight-Line",$F27="Detail")*($I27/$ES27)+($F27="S-Curve")*GT27+OR($F27="Steady Growth",$F27="Steady Decline")*MD27)</f>
        <v>0</v>
      </c>
      <c r="BK27" s="417">
        <f t="shared" si="57"/>
        <v>0</v>
      </c>
      <c r="BL27" s="417">
        <f t="shared" si="57"/>
        <v>0</v>
      </c>
      <c r="BM27" s="417">
        <f t="shared" si="57"/>
        <v>0</v>
      </c>
      <c r="BN27" s="417">
        <f t="shared" si="57"/>
        <v>0</v>
      </c>
      <c r="BO27" s="417">
        <f t="shared" si="57"/>
        <v>0</v>
      </c>
      <c r="BP27" s="417">
        <f t="shared" si="57"/>
        <v>0</v>
      </c>
      <c r="BQ27" s="417">
        <f t="shared" si="57"/>
        <v>0</v>
      </c>
      <c r="BR27" s="417">
        <f t="shared" si="57"/>
        <v>0</v>
      </c>
      <c r="BS27" s="417">
        <f t="shared" si="57"/>
        <v>0</v>
      </c>
      <c r="BT27" s="417">
        <f t="shared" ref="BT27:CC30" si="58">AND(BT$23&gt;=$D27,BT$23&lt;=$E27)*(OR($F27="Straight-Line",$F27="Detail")*($I27/$ES27)+($F27="S-Curve")*HD27+OR($F27="Steady Growth",$F27="Steady Decline")*MN27)</f>
        <v>0</v>
      </c>
      <c r="BU27" s="417">
        <f t="shared" si="58"/>
        <v>0</v>
      </c>
      <c r="BV27" s="417">
        <f t="shared" si="58"/>
        <v>0</v>
      </c>
      <c r="BW27" s="417">
        <f t="shared" si="58"/>
        <v>0</v>
      </c>
      <c r="BX27" s="417">
        <f t="shared" si="58"/>
        <v>0</v>
      </c>
      <c r="BY27" s="417">
        <f t="shared" si="58"/>
        <v>0</v>
      </c>
      <c r="BZ27" s="417">
        <f t="shared" si="58"/>
        <v>0</v>
      </c>
      <c r="CA27" s="417">
        <f t="shared" si="58"/>
        <v>0</v>
      </c>
      <c r="CB27" s="417">
        <f t="shared" si="58"/>
        <v>0</v>
      </c>
      <c r="CC27" s="417">
        <f t="shared" si="58"/>
        <v>0</v>
      </c>
      <c r="CD27" s="417">
        <f t="shared" ref="CD27:CM30" si="59">AND(CD$23&gt;=$D27,CD$23&lt;=$E27)*(OR($F27="Straight-Line",$F27="Detail")*($I27/$ES27)+($F27="S-Curve")*HN27+OR($F27="Steady Growth",$F27="Steady Decline")*MX27)</f>
        <v>0</v>
      </c>
      <c r="CE27" s="417">
        <f t="shared" si="59"/>
        <v>0</v>
      </c>
      <c r="CF27" s="417">
        <f t="shared" si="59"/>
        <v>0</v>
      </c>
      <c r="CG27" s="417">
        <f t="shared" si="59"/>
        <v>0</v>
      </c>
      <c r="CH27" s="417">
        <f t="shared" si="59"/>
        <v>0</v>
      </c>
      <c r="CI27" s="417">
        <f t="shared" si="59"/>
        <v>0</v>
      </c>
      <c r="CJ27" s="417">
        <f t="shared" si="59"/>
        <v>0</v>
      </c>
      <c r="CK27" s="417">
        <f t="shared" si="59"/>
        <v>0</v>
      </c>
      <c r="CL27" s="417">
        <f t="shared" si="59"/>
        <v>0</v>
      </c>
      <c r="CM27" s="417">
        <f t="shared" si="59"/>
        <v>0</v>
      </c>
      <c r="CN27" s="417">
        <f t="shared" ref="CN27:CW30" si="60">AND(CN$23&gt;=$D27,CN$23&lt;=$E27)*(OR($F27="Straight-Line",$F27="Detail")*($I27/$ES27)+($F27="S-Curve")*HX27+OR($F27="Steady Growth",$F27="Steady Decline")*NH27)</f>
        <v>0</v>
      </c>
      <c r="CO27" s="417">
        <f t="shared" si="60"/>
        <v>0</v>
      </c>
      <c r="CP27" s="417">
        <f t="shared" si="60"/>
        <v>0</v>
      </c>
      <c r="CQ27" s="417">
        <f t="shared" si="60"/>
        <v>0</v>
      </c>
      <c r="CR27" s="417">
        <f t="shared" si="60"/>
        <v>0</v>
      </c>
      <c r="CS27" s="417">
        <f t="shared" si="60"/>
        <v>0</v>
      </c>
      <c r="CT27" s="417">
        <f t="shared" si="60"/>
        <v>0</v>
      </c>
      <c r="CU27" s="417">
        <f t="shared" si="60"/>
        <v>0</v>
      </c>
      <c r="CV27" s="417">
        <f t="shared" si="60"/>
        <v>0</v>
      </c>
      <c r="CW27" s="417">
        <f t="shared" si="60"/>
        <v>0</v>
      </c>
      <c r="CX27" s="417">
        <f t="shared" ref="CX27:DG30" si="61">AND(CX$23&gt;=$D27,CX$23&lt;=$E27)*(OR($F27="Straight-Line",$F27="Detail")*($I27/$ES27)+($F27="S-Curve")*IH27+OR($F27="Steady Growth",$F27="Steady Decline")*NR27)</f>
        <v>0</v>
      </c>
      <c r="CY27" s="417">
        <f t="shared" si="61"/>
        <v>0</v>
      </c>
      <c r="CZ27" s="417">
        <f t="shared" si="61"/>
        <v>0</v>
      </c>
      <c r="DA27" s="417">
        <f t="shared" si="61"/>
        <v>0</v>
      </c>
      <c r="DB27" s="417">
        <f t="shared" si="61"/>
        <v>0</v>
      </c>
      <c r="DC27" s="417">
        <f t="shared" si="61"/>
        <v>0</v>
      </c>
      <c r="DD27" s="417">
        <f t="shared" si="61"/>
        <v>0</v>
      </c>
      <c r="DE27" s="417">
        <f t="shared" si="61"/>
        <v>0</v>
      </c>
      <c r="DF27" s="417">
        <f t="shared" si="61"/>
        <v>0</v>
      </c>
      <c r="DG27" s="417">
        <f t="shared" si="61"/>
        <v>0</v>
      </c>
      <c r="DH27" s="417">
        <f t="shared" ref="DH27:DQ30" si="62">AND(DH$23&gt;=$D27,DH$23&lt;=$E27)*(OR($F27="Straight-Line",$F27="Detail")*($I27/$ES27)+($F27="S-Curve")*IR27+OR($F27="Steady Growth",$F27="Steady Decline")*OB27)</f>
        <v>0</v>
      </c>
      <c r="DI27" s="417">
        <f t="shared" si="62"/>
        <v>0</v>
      </c>
      <c r="DJ27" s="417">
        <f t="shared" si="62"/>
        <v>0</v>
      </c>
      <c r="DK27" s="417">
        <f t="shared" si="62"/>
        <v>0</v>
      </c>
      <c r="DL27" s="417">
        <f t="shared" si="62"/>
        <v>0</v>
      </c>
      <c r="DM27" s="417">
        <f t="shared" si="62"/>
        <v>0</v>
      </c>
      <c r="DN27" s="417">
        <f t="shared" si="62"/>
        <v>0</v>
      </c>
      <c r="DO27" s="417">
        <f t="shared" si="62"/>
        <v>0</v>
      </c>
      <c r="DP27" s="417">
        <f t="shared" si="62"/>
        <v>0</v>
      </c>
      <c r="DQ27" s="417">
        <f t="shared" si="62"/>
        <v>0</v>
      </c>
      <c r="DR27" s="417">
        <f t="shared" ref="DR27:EA30" si="63">AND(DR$23&gt;=$D27,DR$23&lt;=$E27)*(OR($F27="Straight-Line",$F27="Detail")*($I27/$ES27)+($F27="S-Curve")*JB27+OR($F27="Steady Growth",$F27="Steady Decline")*OL27)</f>
        <v>0</v>
      </c>
      <c r="DS27" s="417">
        <f t="shared" si="63"/>
        <v>0</v>
      </c>
      <c r="DT27" s="417">
        <f t="shared" si="63"/>
        <v>0</v>
      </c>
      <c r="DU27" s="417">
        <f t="shared" si="63"/>
        <v>0</v>
      </c>
      <c r="DV27" s="417">
        <f t="shared" si="63"/>
        <v>0</v>
      </c>
      <c r="DW27" s="417">
        <f t="shared" si="63"/>
        <v>0</v>
      </c>
      <c r="DX27" s="417">
        <f t="shared" si="63"/>
        <v>0</v>
      </c>
      <c r="DY27" s="417">
        <f t="shared" si="63"/>
        <v>0</v>
      </c>
      <c r="DZ27" s="417">
        <f t="shared" si="63"/>
        <v>0</v>
      </c>
      <c r="EA27" s="417">
        <f t="shared" si="63"/>
        <v>0</v>
      </c>
      <c r="EB27" s="417">
        <f t="shared" ref="EB27:EK30" si="64">AND(EB$23&gt;=$D27,EB$23&lt;=$E27)*(OR($F27="Straight-Line",$F27="Detail")*($I27/$ES27)+($F27="S-Curve")*JL27+OR($F27="Steady Growth",$F27="Steady Decline")*OV27)</f>
        <v>0</v>
      </c>
      <c r="EC27" s="417">
        <f t="shared" si="64"/>
        <v>0</v>
      </c>
      <c r="ED27" s="417">
        <f t="shared" si="64"/>
        <v>0</v>
      </c>
      <c r="EE27" s="417">
        <f t="shared" si="64"/>
        <v>0</v>
      </c>
      <c r="EF27" s="417">
        <f t="shared" si="64"/>
        <v>0</v>
      </c>
      <c r="EG27" s="417">
        <f t="shared" si="64"/>
        <v>0</v>
      </c>
      <c r="EH27" s="417">
        <f t="shared" si="64"/>
        <v>0</v>
      </c>
      <c r="EI27" s="417">
        <f t="shared" si="64"/>
        <v>0</v>
      </c>
      <c r="EJ27" s="417">
        <f t="shared" si="64"/>
        <v>0</v>
      </c>
      <c r="EK27" s="417">
        <f t="shared" si="64"/>
        <v>0</v>
      </c>
      <c r="EL27" s="417">
        <f t="shared" ref="EL27:EN30" si="65">AND(EL$23&gt;=$D27,EL$23&lt;=$E27)*(OR($F27="Straight-Line",$F27="Detail")*($I27/$ES27)+($F27="S-Curve")*JV27+OR($F27="Steady Growth",$F27="Steady Decline")*PF27)</f>
        <v>0</v>
      </c>
      <c r="EM27" s="417">
        <f t="shared" si="65"/>
        <v>0</v>
      </c>
      <c r="EN27" s="417">
        <f t="shared" si="65"/>
        <v>0</v>
      </c>
      <c r="EO27"/>
      <c r="EP27" s="220">
        <f>I27</f>
        <v>91570000</v>
      </c>
      <c r="EQ27" s="201">
        <f>INDEX($L$24:$EN$24,1,$D27+1)</f>
        <v>46203</v>
      </c>
      <c r="ER27" s="201">
        <f>INDEX($L$24:$EN$24,1,$E27+1)</f>
        <v>46203</v>
      </c>
      <c r="ES27" s="20">
        <f>+E27-D27+1</f>
        <v>1</v>
      </c>
      <c r="ET27" s="18" t="str">
        <f>F27</f>
        <v>Straight-Line</v>
      </c>
      <c r="EU27" s="79">
        <f>ES27/Scurve_Dist</f>
        <v>0.16666666666666666</v>
      </c>
      <c r="EV27" s="20">
        <f>AND($ET27="S-Curve",EV$24&gt;=$EQ27,EV$24&lt;=$ER27)*(NORMDIST((YEAR(EV$24)-YEAR($EQ27))*12+MONTH(EV$24)-MONTH($EQ27)+1,$ES27/2,$EU27,TRUE)-NORMDIST((YEAR(EV$24)-YEAR($EQ27))*12+MONTH(EV$24)-MONTH($EQ27),$ES27/2,$EU27,TRUE))/(1-2*NORMDIST(0,$ES27/2,$EU27,TRUE))*$EP27</f>
        <v>0</v>
      </c>
      <c r="EW27" s="20">
        <f t="shared" ref="EW27:HH27" si="66">AND($ET27="S-Curve",EW$24&gt;=$EQ27,EW$24&lt;=$ER27)*(NORMDIST((YEAR(EW$24)-YEAR($EQ27))*12+MONTH(EW$24)-MONTH($EQ27)+1,$ES27/2,$EU27,TRUE)-NORMDIST((YEAR(EW$24)-YEAR($EQ27))*12+MONTH(EW$24)-MONTH($EQ27),$ES27/2,$EU27,TRUE))/(1-2*NORMDIST(0,$ES27/2,$EU27,TRUE))*$EP27</f>
        <v>0</v>
      </c>
      <c r="EX27" s="20">
        <f t="shared" si="66"/>
        <v>0</v>
      </c>
      <c r="EY27" s="20">
        <f t="shared" si="66"/>
        <v>0</v>
      </c>
      <c r="EZ27" s="20">
        <f t="shared" si="66"/>
        <v>0</v>
      </c>
      <c r="FA27" s="20">
        <f t="shared" si="66"/>
        <v>0</v>
      </c>
      <c r="FB27" s="20">
        <f t="shared" si="66"/>
        <v>0</v>
      </c>
      <c r="FC27" s="20">
        <f t="shared" si="66"/>
        <v>0</v>
      </c>
      <c r="FD27" s="20">
        <f t="shared" si="66"/>
        <v>0</v>
      </c>
      <c r="FE27" s="20">
        <f t="shared" si="66"/>
        <v>0</v>
      </c>
      <c r="FF27" s="20">
        <f t="shared" si="66"/>
        <v>0</v>
      </c>
      <c r="FG27" s="20">
        <f t="shared" si="66"/>
        <v>0</v>
      </c>
      <c r="FH27" s="20">
        <f t="shared" si="66"/>
        <v>0</v>
      </c>
      <c r="FI27" s="20">
        <f t="shared" si="66"/>
        <v>0</v>
      </c>
      <c r="FJ27" s="20">
        <f t="shared" si="66"/>
        <v>0</v>
      </c>
      <c r="FK27" s="20">
        <f t="shared" si="66"/>
        <v>0</v>
      </c>
      <c r="FL27" s="20">
        <f t="shared" si="66"/>
        <v>0</v>
      </c>
      <c r="FM27" s="20">
        <f t="shared" si="66"/>
        <v>0</v>
      </c>
      <c r="FN27" s="20">
        <f t="shared" si="66"/>
        <v>0</v>
      </c>
      <c r="FO27" s="20">
        <f t="shared" si="66"/>
        <v>0</v>
      </c>
      <c r="FP27" s="20">
        <f t="shared" si="66"/>
        <v>0</v>
      </c>
      <c r="FQ27" s="20">
        <f t="shared" si="66"/>
        <v>0</v>
      </c>
      <c r="FR27" s="20">
        <f t="shared" si="66"/>
        <v>0</v>
      </c>
      <c r="FS27" s="20">
        <f t="shared" si="66"/>
        <v>0</v>
      </c>
      <c r="FT27" s="20">
        <f t="shared" si="66"/>
        <v>0</v>
      </c>
      <c r="FU27" s="20">
        <f t="shared" si="66"/>
        <v>0</v>
      </c>
      <c r="FV27" s="20">
        <f t="shared" si="66"/>
        <v>0</v>
      </c>
      <c r="FW27" s="20">
        <f t="shared" si="66"/>
        <v>0</v>
      </c>
      <c r="FX27" s="20">
        <f t="shared" si="66"/>
        <v>0</v>
      </c>
      <c r="FY27" s="20">
        <f t="shared" si="66"/>
        <v>0</v>
      </c>
      <c r="FZ27" s="20">
        <f t="shared" si="66"/>
        <v>0</v>
      </c>
      <c r="GA27" s="20">
        <f t="shared" si="66"/>
        <v>0</v>
      </c>
      <c r="GB27" s="20">
        <f t="shared" si="66"/>
        <v>0</v>
      </c>
      <c r="GC27" s="20">
        <f t="shared" si="66"/>
        <v>0</v>
      </c>
      <c r="GD27" s="20">
        <f t="shared" si="66"/>
        <v>0</v>
      </c>
      <c r="GE27" s="20">
        <f t="shared" si="66"/>
        <v>0</v>
      </c>
      <c r="GF27" s="20">
        <f t="shared" si="66"/>
        <v>0</v>
      </c>
      <c r="GG27" s="20">
        <f t="shared" si="66"/>
        <v>0</v>
      </c>
      <c r="GH27" s="20">
        <f t="shared" si="66"/>
        <v>0</v>
      </c>
      <c r="GI27" s="20">
        <f t="shared" si="66"/>
        <v>0</v>
      </c>
      <c r="GJ27" s="20">
        <f t="shared" si="66"/>
        <v>0</v>
      </c>
      <c r="GK27" s="20">
        <f t="shared" si="66"/>
        <v>0</v>
      </c>
      <c r="GL27" s="20">
        <f t="shared" si="66"/>
        <v>0</v>
      </c>
      <c r="GM27" s="20">
        <f t="shared" si="66"/>
        <v>0</v>
      </c>
      <c r="GN27" s="20">
        <f t="shared" si="66"/>
        <v>0</v>
      </c>
      <c r="GO27" s="20">
        <f t="shared" si="66"/>
        <v>0</v>
      </c>
      <c r="GP27" s="20">
        <f t="shared" si="66"/>
        <v>0</v>
      </c>
      <c r="GQ27" s="20">
        <f t="shared" si="66"/>
        <v>0</v>
      </c>
      <c r="GR27" s="20">
        <f t="shared" si="66"/>
        <v>0</v>
      </c>
      <c r="GS27" s="20">
        <f t="shared" si="66"/>
        <v>0</v>
      </c>
      <c r="GT27" s="20">
        <f t="shared" si="66"/>
        <v>0</v>
      </c>
      <c r="GU27" s="20">
        <f t="shared" si="66"/>
        <v>0</v>
      </c>
      <c r="GV27" s="20">
        <f t="shared" si="66"/>
        <v>0</v>
      </c>
      <c r="GW27" s="20">
        <f t="shared" si="66"/>
        <v>0</v>
      </c>
      <c r="GX27" s="20">
        <f t="shared" si="66"/>
        <v>0</v>
      </c>
      <c r="GY27" s="20">
        <f t="shared" si="66"/>
        <v>0</v>
      </c>
      <c r="GZ27" s="20">
        <f t="shared" si="66"/>
        <v>0</v>
      </c>
      <c r="HA27" s="20">
        <f t="shared" si="66"/>
        <v>0</v>
      </c>
      <c r="HB27" s="20">
        <f t="shared" si="66"/>
        <v>0</v>
      </c>
      <c r="HC27" s="20">
        <f t="shared" si="66"/>
        <v>0</v>
      </c>
      <c r="HD27" s="20">
        <f t="shared" si="66"/>
        <v>0</v>
      </c>
      <c r="HE27" s="20">
        <f t="shared" si="66"/>
        <v>0</v>
      </c>
      <c r="HF27" s="20">
        <f t="shared" si="66"/>
        <v>0</v>
      </c>
      <c r="HG27" s="20">
        <f t="shared" si="66"/>
        <v>0</v>
      </c>
      <c r="HH27" s="20">
        <f t="shared" si="66"/>
        <v>0</v>
      </c>
      <c r="HI27" s="20">
        <f t="shared" ref="HI27:JT27" si="67">AND($ET27="S-Curve",HI$24&gt;=$EQ27,HI$24&lt;=$ER27)*(NORMDIST((YEAR(HI$24)-YEAR($EQ27))*12+MONTH(HI$24)-MONTH($EQ27)+1,$ES27/2,$EU27,TRUE)-NORMDIST((YEAR(HI$24)-YEAR($EQ27))*12+MONTH(HI$24)-MONTH($EQ27),$ES27/2,$EU27,TRUE))/(1-2*NORMDIST(0,$ES27/2,$EU27,TRUE))*$EP27</f>
        <v>0</v>
      </c>
      <c r="HJ27" s="20">
        <f t="shared" si="67"/>
        <v>0</v>
      </c>
      <c r="HK27" s="20">
        <f t="shared" si="67"/>
        <v>0</v>
      </c>
      <c r="HL27" s="20">
        <f t="shared" si="67"/>
        <v>0</v>
      </c>
      <c r="HM27" s="20">
        <f t="shared" si="67"/>
        <v>0</v>
      </c>
      <c r="HN27" s="20">
        <f t="shared" si="67"/>
        <v>0</v>
      </c>
      <c r="HO27" s="20">
        <f t="shared" si="67"/>
        <v>0</v>
      </c>
      <c r="HP27" s="20">
        <f t="shared" si="67"/>
        <v>0</v>
      </c>
      <c r="HQ27" s="20">
        <f t="shared" si="67"/>
        <v>0</v>
      </c>
      <c r="HR27" s="20">
        <f t="shared" si="67"/>
        <v>0</v>
      </c>
      <c r="HS27" s="20">
        <f t="shared" si="67"/>
        <v>0</v>
      </c>
      <c r="HT27" s="20">
        <f t="shared" si="67"/>
        <v>0</v>
      </c>
      <c r="HU27" s="20">
        <f t="shared" si="67"/>
        <v>0</v>
      </c>
      <c r="HV27" s="20">
        <f t="shared" si="67"/>
        <v>0</v>
      </c>
      <c r="HW27" s="20">
        <f t="shared" si="67"/>
        <v>0</v>
      </c>
      <c r="HX27" s="20">
        <f t="shared" si="67"/>
        <v>0</v>
      </c>
      <c r="HY27" s="20">
        <f t="shared" si="67"/>
        <v>0</v>
      </c>
      <c r="HZ27" s="20">
        <f t="shared" si="67"/>
        <v>0</v>
      </c>
      <c r="IA27" s="20">
        <f t="shared" si="67"/>
        <v>0</v>
      </c>
      <c r="IB27" s="20">
        <f t="shared" si="67"/>
        <v>0</v>
      </c>
      <c r="IC27" s="20">
        <f t="shared" si="67"/>
        <v>0</v>
      </c>
      <c r="ID27" s="20">
        <f t="shared" si="67"/>
        <v>0</v>
      </c>
      <c r="IE27" s="20">
        <f t="shared" si="67"/>
        <v>0</v>
      </c>
      <c r="IF27" s="20">
        <f t="shared" si="67"/>
        <v>0</v>
      </c>
      <c r="IG27" s="20">
        <f t="shared" si="67"/>
        <v>0</v>
      </c>
      <c r="IH27" s="20">
        <f t="shared" si="67"/>
        <v>0</v>
      </c>
      <c r="II27" s="20">
        <f t="shared" si="67"/>
        <v>0</v>
      </c>
      <c r="IJ27" s="20">
        <f t="shared" si="67"/>
        <v>0</v>
      </c>
      <c r="IK27" s="20">
        <f t="shared" si="67"/>
        <v>0</v>
      </c>
      <c r="IL27" s="20">
        <f t="shared" si="67"/>
        <v>0</v>
      </c>
      <c r="IM27" s="20">
        <f t="shared" si="67"/>
        <v>0</v>
      </c>
      <c r="IN27" s="20">
        <f t="shared" si="67"/>
        <v>0</v>
      </c>
      <c r="IO27" s="20">
        <f t="shared" si="67"/>
        <v>0</v>
      </c>
      <c r="IP27" s="20">
        <f t="shared" si="67"/>
        <v>0</v>
      </c>
      <c r="IQ27" s="20">
        <f t="shared" si="67"/>
        <v>0</v>
      </c>
      <c r="IR27" s="20">
        <f t="shared" si="67"/>
        <v>0</v>
      </c>
      <c r="IS27" s="20">
        <f t="shared" si="67"/>
        <v>0</v>
      </c>
      <c r="IT27" s="20">
        <f t="shared" si="67"/>
        <v>0</v>
      </c>
      <c r="IU27" s="20">
        <f t="shared" si="67"/>
        <v>0</v>
      </c>
      <c r="IV27" s="20">
        <f t="shared" si="67"/>
        <v>0</v>
      </c>
      <c r="IW27" s="20">
        <f t="shared" si="67"/>
        <v>0</v>
      </c>
      <c r="IX27" s="20">
        <f t="shared" si="67"/>
        <v>0</v>
      </c>
      <c r="IY27" s="20">
        <f t="shared" si="67"/>
        <v>0</v>
      </c>
      <c r="IZ27" s="20">
        <f t="shared" si="67"/>
        <v>0</v>
      </c>
      <c r="JA27" s="20">
        <f t="shared" si="67"/>
        <v>0</v>
      </c>
      <c r="JB27" s="20">
        <f t="shared" si="67"/>
        <v>0</v>
      </c>
      <c r="JC27" s="20">
        <f t="shared" si="67"/>
        <v>0</v>
      </c>
      <c r="JD27" s="20">
        <f t="shared" si="67"/>
        <v>0</v>
      </c>
      <c r="JE27" s="20">
        <f t="shared" si="67"/>
        <v>0</v>
      </c>
      <c r="JF27" s="20">
        <f t="shared" si="67"/>
        <v>0</v>
      </c>
      <c r="JG27" s="20">
        <f t="shared" si="67"/>
        <v>0</v>
      </c>
      <c r="JH27" s="20">
        <f t="shared" si="67"/>
        <v>0</v>
      </c>
      <c r="JI27" s="20">
        <f t="shared" si="67"/>
        <v>0</v>
      </c>
      <c r="JJ27" s="20">
        <f t="shared" si="67"/>
        <v>0</v>
      </c>
      <c r="JK27" s="20">
        <f t="shared" si="67"/>
        <v>0</v>
      </c>
      <c r="JL27" s="20">
        <f t="shared" si="67"/>
        <v>0</v>
      </c>
      <c r="JM27" s="20">
        <f t="shared" si="67"/>
        <v>0</v>
      </c>
      <c r="JN27" s="20">
        <f t="shared" si="67"/>
        <v>0</v>
      </c>
      <c r="JO27" s="20">
        <f t="shared" si="67"/>
        <v>0</v>
      </c>
      <c r="JP27" s="20">
        <f t="shared" si="67"/>
        <v>0</v>
      </c>
      <c r="JQ27" s="20">
        <f t="shared" si="67"/>
        <v>0</v>
      </c>
      <c r="JR27" s="20">
        <f t="shared" si="67"/>
        <v>0</v>
      </c>
      <c r="JS27" s="20">
        <f t="shared" si="67"/>
        <v>0</v>
      </c>
      <c r="JT27" s="20">
        <f t="shared" si="67"/>
        <v>0</v>
      </c>
      <c r="JU27" s="20">
        <f t="shared" ref="JU27:JX30" si="68">AND($ET27="S-Curve",JU$24&gt;=$EQ27,JU$24&lt;=$ER27)*(NORMDIST((YEAR(JU$24)-YEAR($EQ27))*12+MONTH(JU$24)-MONTH($EQ27)+1,$ES27/2,$EU27,TRUE)-NORMDIST((YEAR(JU$24)-YEAR($EQ27))*12+MONTH(JU$24)-MONTH($EQ27),$ES27/2,$EU27,TRUE))/(1-2*NORMDIST(0,$ES27/2,$EU27,TRUE))*$EP27</f>
        <v>0</v>
      </c>
      <c r="JV27" s="20">
        <f t="shared" si="68"/>
        <v>0</v>
      </c>
      <c r="JW27" s="20">
        <f t="shared" si="68"/>
        <v>0</v>
      </c>
      <c r="JX27" s="20">
        <f t="shared" si="68"/>
        <v>0</v>
      </c>
      <c r="JY27"/>
      <c r="JZ27" s="220">
        <f t="shared" si="51"/>
        <v>0</v>
      </c>
      <c r="KA27" s="201"/>
      <c r="KB27" s="20">
        <f t="shared" ref="KB27:KC30" si="69">D27</f>
        <v>0</v>
      </c>
      <c r="KC27" s="20">
        <f t="shared" si="69"/>
        <v>0</v>
      </c>
      <c r="KD27" s="20">
        <f>KC27-KB27+1</f>
        <v>1</v>
      </c>
      <c r="KE27" s="418">
        <f>I27</f>
        <v>91570000</v>
      </c>
      <c r="KF27" s="418">
        <f>AND(KF$23&gt;=$KB27,KF$23&lt;=$KC27)*(IF($F27="Steady Growth",KF$23-$KB27,$KC27-KF$23)+1)/($KD27*($KD27+1)/2)*$KE27</f>
        <v>91570000</v>
      </c>
      <c r="KG27" s="418">
        <f t="shared" ref="KG27:KV30" si="70">AND(KG$23&gt;=$KB27,KG$23&lt;=$KC27)*(IF($F27="Steady Growth",KG$23-$KB27,$KC27-KG$23)+1)/($KD27*($KD27+1)/2)*$KE27</f>
        <v>0</v>
      </c>
      <c r="KH27" s="418">
        <f t="shared" si="70"/>
        <v>0</v>
      </c>
      <c r="KI27" s="418">
        <f t="shared" si="70"/>
        <v>0</v>
      </c>
      <c r="KJ27" s="418">
        <f t="shared" si="70"/>
        <v>0</v>
      </c>
      <c r="KK27" s="418">
        <f t="shared" si="70"/>
        <v>0</v>
      </c>
      <c r="KL27" s="418">
        <f t="shared" si="70"/>
        <v>0</v>
      </c>
      <c r="KM27" s="418">
        <f t="shared" si="70"/>
        <v>0</v>
      </c>
      <c r="KN27" s="418">
        <f t="shared" si="70"/>
        <v>0</v>
      </c>
      <c r="KO27" s="418">
        <f t="shared" si="70"/>
        <v>0</v>
      </c>
      <c r="KP27" s="418">
        <f t="shared" si="70"/>
        <v>0</v>
      </c>
      <c r="KQ27" s="418">
        <f t="shared" si="70"/>
        <v>0</v>
      </c>
      <c r="KR27" s="418">
        <f t="shared" si="70"/>
        <v>0</v>
      </c>
      <c r="KS27" s="418">
        <f t="shared" si="70"/>
        <v>0</v>
      </c>
      <c r="KT27" s="418">
        <f t="shared" si="70"/>
        <v>0</v>
      </c>
      <c r="KU27" s="418">
        <f t="shared" si="70"/>
        <v>0</v>
      </c>
      <c r="KV27" s="418">
        <f t="shared" si="70"/>
        <v>0</v>
      </c>
      <c r="KW27" s="418">
        <f t="shared" ref="KW27:LL30" si="71">AND(KW$23&gt;=$KB27,KW$23&lt;=$KC27)*(IF($F27="Steady Growth",KW$23-$KB27,$KC27-KW$23)+1)/($KD27*($KD27+1)/2)*$KE27</f>
        <v>0</v>
      </c>
      <c r="KX27" s="418">
        <f t="shared" si="71"/>
        <v>0</v>
      </c>
      <c r="KY27" s="418">
        <f t="shared" si="71"/>
        <v>0</v>
      </c>
      <c r="KZ27" s="418">
        <f t="shared" si="71"/>
        <v>0</v>
      </c>
      <c r="LA27" s="418">
        <f t="shared" si="71"/>
        <v>0</v>
      </c>
      <c r="LB27" s="418">
        <f t="shared" si="71"/>
        <v>0</v>
      </c>
      <c r="LC27" s="418">
        <f t="shared" si="71"/>
        <v>0</v>
      </c>
      <c r="LD27" s="418">
        <f t="shared" si="71"/>
        <v>0</v>
      </c>
      <c r="LE27" s="418">
        <f t="shared" si="71"/>
        <v>0</v>
      </c>
      <c r="LF27" s="418">
        <f t="shared" si="71"/>
        <v>0</v>
      </c>
      <c r="LG27" s="418">
        <f t="shared" si="71"/>
        <v>0</v>
      </c>
      <c r="LH27" s="418">
        <f t="shared" si="71"/>
        <v>0</v>
      </c>
      <c r="LI27" s="418">
        <f t="shared" si="71"/>
        <v>0</v>
      </c>
      <c r="LJ27" s="418">
        <f t="shared" si="71"/>
        <v>0</v>
      </c>
      <c r="LK27" s="418">
        <f t="shared" si="71"/>
        <v>0</v>
      </c>
      <c r="LL27" s="418">
        <f t="shared" si="71"/>
        <v>0</v>
      </c>
      <c r="LM27" s="418">
        <f t="shared" ref="LM27:MB30" si="72">AND(LM$23&gt;=$KB27,LM$23&lt;=$KC27)*(IF($F27="Steady Growth",LM$23-$KB27,$KC27-LM$23)+1)/($KD27*($KD27+1)/2)*$KE27</f>
        <v>0</v>
      </c>
      <c r="LN27" s="418">
        <f t="shared" si="72"/>
        <v>0</v>
      </c>
      <c r="LO27" s="418">
        <f t="shared" si="72"/>
        <v>0</v>
      </c>
      <c r="LP27" s="418">
        <f t="shared" si="72"/>
        <v>0</v>
      </c>
      <c r="LQ27" s="418">
        <f t="shared" si="72"/>
        <v>0</v>
      </c>
      <c r="LR27" s="418">
        <f t="shared" si="72"/>
        <v>0</v>
      </c>
      <c r="LS27" s="418">
        <f t="shared" si="72"/>
        <v>0</v>
      </c>
      <c r="LT27" s="418">
        <f t="shared" si="72"/>
        <v>0</v>
      </c>
      <c r="LU27" s="418">
        <f t="shared" si="72"/>
        <v>0</v>
      </c>
      <c r="LV27" s="418">
        <f t="shared" si="72"/>
        <v>0</v>
      </c>
      <c r="LW27" s="418">
        <f t="shared" si="72"/>
        <v>0</v>
      </c>
      <c r="LX27" s="418">
        <f t="shared" si="72"/>
        <v>0</v>
      </c>
      <c r="LY27" s="418">
        <f t="shared" si="72"/>
        <v>0</v>
      </c>
      <c r="LZ27" s="418">
        <f t="shared" si="72"/>
        <v>0</v>
      </c>
      <c r="MA27" s="418">
        <f t="shared" si="72"/>
        <v>0</v>
      </c>
      <c r="MB27" s="418">
        <f t="shared" si="72"/>
        <v>0</v>
      </c>
      <c r="MC27" s="418">
        <f t="shared" ref="MC27:MR30" si="73">AND(MC$23&gt;=$KB27,MC$23&lt;=$KC27)*(IF($F27="Steady Growth",MC$23-$KB27,$KC27-MC$23)+1)/($KD27*($KD27+1)/2)*$KE27</f>
        <v>0</v>
      </c>
      <c r="MD27" s="418">
        <f t="shared" si="73"/>
        <v>0</v>
      </c>
      <c r="ME27" s="418">
        <f t="shared" si="73"/>
        <v>0</v>
      </c>
      <c r="MF27" s="418">
        <f t="shared" si="73"/>
        <v>0</v>
      </c>
      <c r="MG27" s="418">
        <f t="shared" si="73"/>
        <v>0</v>
      </c>
      <c r="MH27" s="418">
        <f t="shared" si="73"/>
        <v>0</v>
      </c>
      <c r="MI27" s="418">
        <f t="shared" si="73"/>
        <v>0</v>
      </c>
      <c r="MJ27" s="418">
        <f t="shared" si="73"/>
        <v>0</v>
      </c>
      <c r="MK27" s="418">
        <f t="shared" si="73"/>
        <v>0</v>
      </c>
      <c r="ML27" s="418">
        <f t="shared" si="73"/>
        <v>0</v>
      </c>
      <c r="MM27" s="418">
        <f t="shared" si="73"/>
        <v>0</v>
      </c>
      <c r="MN27" s="418">
        <f t="shared" si="73"/>
        <v>0</v>
      </c>
      <c r="MO27" s="418">
        <f t="shared" si="73"/>
        <v>0</v>
      </c>
      <c r="MP27" s="418">
        <f t="shared" si="73"/>
        <v>0</v>
      </c>
      <c r="MQ27" s="418">
        <f t="shared" si="73"/>
        <v>0</v>
      </c>
      <c r="MR27" s="418">
        <f t="shared" si="73"/>
        <v>0</v>
      </c>
      <c r="MS27" s="418">
        <f t="shared" ref="MS27:NH30" si="74">AND(MS$23&gt;=$KB27,MS$23&lt;=$KC27)*(IF($F27="Steady Growth",MS$23-$KB27,$KC27-MS$23)+1)/($KD27*($KD27+1)/2)*$KE27</f>
        <v>0</v>
      </c>
      <c r="MT27" s="418">
        <f t="shared" si="74"/>
        <v>0</v>
      </c>
      <c r="MU27" s="418">
        <f t="shared" si="74"/>
        <v>0</v>
      </c>
      <c r="MV27" s="418">
        <f t="shared" si="74"/>
        <v>0</v>
      </c>
      <c r="MW27" s="418">
        <f t="shared" si="74"/>
        <v>0</v>
      </c>
      <c r="MX27" s="418">
        <f t="shared" si="74"/>
        <v>0</v>
      </c>
      <c r="MY27" s="418">
        <f t="shared" si="74"/>
        <v>0</v>
      </c>
      <c r="MZ27" s="418">
        <f t="shared" si="74"/>
        <v>0</v>
      </c>
      <c r="NA27" s="418">
        <f t="shared" si="74"/>
        <v>0</v>
      </c>
      <c r="NB27" s="418">
        <f t="shared" si="74"/>
        <v>0</v>
      </c>
      <c r="NC27" s="418">
        <f t="shared" si="74"/>
        <v>0</v>
      </c>
      <c r="ND27" s="418">
        <f t="shared" si="74"/>
        <v>0</v>
      </c>
      <c r="NE27" s="418">
        <f t="shared" si="74"/>
        <v>0</v>
      </c>
      <c r="NF27" s="418">
        <f t="shared" si="74"/>
        <v>0</v>
      </c>
      <c r="NG27" s="418">
        <f t="shared" si="74"/>
        <v>0</v>
      </c>
      <c r="NH27" s="418">
        <f t="shared" si="74"/>
        <v>0</v>
      </c>
      <c r="NI27" s="418">
        <f t="shared" ref="NI27:NX30" si="75">AND(NI$23&gt;=$KB27,NI$23&lt;=$KC27)*(IF($F27="Steady Growth",NI$23-$KB27,$KC27-NI$23)+1)/($KD27*($KD27+1)/2)*$KE27</f>
        <v>0</v>
      </c>
      <c r="NJ27" s="418">
        <f t="shared" si="75"/>
        <v>0</v>
      </c>
      <c r="NK27" s="418">
        <f t="shared" si="75"/>
        <v>0</v>
      </c>
      <c r="NL27" s="418">
        <f t="shared" si="75"/>
        <v>0</v>
      </c>
      <c r="NM27" s="418">
        <f t="shared" si="75"/>
        <v>0</v>
      </c>
      <c r="NN27" s="418">
        <f t="shared" si="75"/>
        <v>0</v>
      </c>
      <c r="NO27" s="418">
        <f t="shared" si="75"/>
        <v>0</v>
      </c>
      <c r="NP27" s="418">
        <f t="shared" si="75"/>
        <v>0</v>
      </c>
      <c r="NQ27" s="418">
        <f t="shared" si="75"/>
        <v>0</v>
      </c>
      <c r="NR27" s="418">
        <f t="shared" si="75"/>
        <v>0</v>
      </c>
      <c r="NS27" s="418">
        <f t="shared" si="75"/>
        <v>0</v>
      </c>
      <c r="NT27" s="418">
        <f t="shared" si="75"/>
        <v>0</v>
      </c>
      <c r="NU27" s="418">
        <f t="shared" si="75"/>
        <v>0</v>
      </c>
      <c r="NV27" s="418">
        <f t="shared" si="75"/>
        <v>0</v>
      </c>
      <c r="NW27" s="418">
        <f t="shared" si="75"/>
        <v>0</v>
      </c>
      <c r="NX27" s="418">
        <f t="shared" si="75"/>
        <v>0</v>
      </c>
      <c r="NY27" s="418">
        <f t="shared" ref="NY27:ON30" si="76">AND(NY$23&gt;=$KB27,NY$23&lt;=$KC27)*(IF($F27="Steady Growth",NY$23-$KB27,$KC27-NY$23)+1)/($KD27*($KD27+1)/2)*$KE27</f>
        <v>0</v>
      </c>
      <c r="NZ27" s="418">
        <f t="shared" si="76"/>
        <v>0</v>
      </c>
      <c r="OA27" s="418">
        <f t="shared" si="76"/>
        <v>0</v>
      </c>
      <c r="OB27" s="418">
        <f t="shared" si="76"/>
        <v>0</v>
      </c>
      <c r="OC27" s="418">
        <f t="shared" si="76"/>
        <v>0</v>
      </c>
      <c r="OD27" s="418">
        <f t="shared" si="76"/>
        <v>0</v>
      </c>
      <c r="OE27" s="418">
        <f t="shared" si="76"/>
        <v>0</v>
      </c>
      <c r="OF27" s="418">
        <f t="shared" si="76"/>
        <v>0</v>
      </c>
      <c r="OG27" s="418">
        <f t="shared" si="76"/>
        <v>0</v>
      </c>
      <c r="OH27" s="418">
        <f t="shared" si="76"/>
        <v>0</v>
      </c>
      <c r="OI27" s="418">
        <f t="shared" si="76"/>
        <v>0</v>
      </c>
      <c r="OJ27" s="418">
        <f t="shared" si="76"/>
        <v>0</v>
      </c>
      <c r="OK27" s="418">
        <f t="shared" si="76"/>
        <v>0</v>
      </c>
      <c r="OL27" s="418">
        <f t="shared" si="76"/>
        <v>0</v>
      </c>
      <c r="OM27" s="418">
        <f t="shared" si="76"/>
        <v>0</v>
      </c>
      <c r="ON27" s="418">
        <f t="shared" si="76"/>
        <v>0</v>
      </c>
      <c r="OO27" s="418">
        <f t="shared" ref="OO27:PD30" si="77">AND(OO$23&gt;=$KB27,OO$23&lt;=$KC27)*(IF($F27="Steady Growth",OO$23-$KB27,$KC27-OO$23)+1)/($KD27*($KD27+1)/2)*$KE27</f>
        <v>0</v>
      </c>
      <c r="OP27" s="418">
        <f t="shared" si="77"/>
        <v>0</v>
      </c>
      <c r="OQ27" s="418">
        <f t="shared" si="77"/>
        <v>0</v>
      </c>
      <c r="OR27" s="418">
        <f t="shared" si="77"/>
        <v>0</v>
      </c>
      <c r="OS27" s="418">
        <f t="shared" si="77"/>
        <v>0</v>
      </c>
      <c r="OT27" s="418">
        <f t="shared" si="77"/>
        <v>0</v>
      </c>
      <c r="OU27" s="418">
        <f t="shared" si="77"/>
        <v>0</v>
      </c>
      <c r="OV27" s="418">
        <f t="shared" si="77"/>
        <v>0</v>
      </c>
      <c r="OW27" s="418">
        <f t="shared" si="77"/>
        <v>0</v>
      </c>
      <c r="OX27" s="418">
        <f t="shared" si="77"/>
        <v>0</v>
      </c>
      <c r="OY27" s="418">
        <f t="shared" si="77"/>
        <v>0</v>
      </c>
      <c r="OZ27" s="418">
        <f t="shared" si="77"/>
        <v>0</v>
      </c>
      <c r="PA27" s="418">
        <f t="shared" si="77"/>
        <v>0</v>
      </c>
      <c r="PB27" s="418">
        <f t="shared" si="77"/>
        <v>0</v>
      </c>
      <c r="PC27" s="418">
        <f t="shared" si="77"/>
        <v>0</v>
      </c>
      <c r="PD27" s="418">
        <f t="shared" si="77"/>
        <v>0</v>
      </c>
      <c r="PE27" s="418">
        <f t="shared" ref="PE27:PH30" si="78">AND(PE$23&gt;=$KB27,PE$23&lt;=$KC27)*(IF($F27="Steady Growth",PE$23-$KB27,$KC27-PE$23)+1)/($KD27*($KD27+1)/2)*$KE27</f>
        <v>0</v>
      </c>
      <c r="PF27" s="418">
        <f t="shared" si="78"/>
        <v>0</v>
      </c>
      <c r="PG27" s="418">
        <f t="shared" si="78"/>
        <v>0</v>
      </c>
      <c r="PH27" s="418">
        <f t="shared" si="78"/>
        <v>0</v>
      </c>
    </row>
    <row r="28" spans="1:424" x14ac:dyDescent="0.35">
      <c r="A28"/>
      <c r="B28" s="419" t="s">
        <v>143</v>
      </c>
      <c r="C28" s="400">
        <v>0</v>
      </c>
      <c r="D28" s="45"/>
      <c r="E28" s="45">
        <v>0</v>
      </c>
      <c r="F28" s="414" t="s">
        <v>142</v>
      </c>
      <c r="G28" s="134">
        <f>I28/Units_SF_M2</f>
        <v>9.5577465025656814</v>
      </c>
      <c r="H28" s="415"/>
      <c r="I28" s="837">
        <f>'URWLD COMPANY INPUTS'!$D$89*1000000</f>
        <v>750000</v>
      </c>
      <c r="J28"/>
      <c r="K28" s="22" t="str">
        <f>IF(ROUND(SUM(L28:EN28),0)=ROUND(I28,0),"","Incomplete")</f>
        <v/>
      </c>
      <c r="L28" s="417">
        <f t="shared" si="52"/>
        <v>750000</v>
      </c>
      <c r="M28" s="417">
        <f t="shared" si="52"/>
        <v>0</v>
      </c>
      <c r="N28" s="417">
        <f t="shared" si="52"/>
        <v>0</v>
      </c>
      <c r="O28" s="417">
        <f t="shared" si="52"/>
        <v>0</v>
      </c>
      <c r="P28" s="417">
        <f t="shared" si="52"/>
        <v>0</v>
      </c>
      <c r="Q28" s="417">
        <f t="shared" si="52"/>
        <v>0</v>
      </c>
      <c r="R28" s="417">
        <f t="shared" si="52"/>
        <v>0</v>
      </c>
      <c r="S28" s="417">
        <f t="shared" si="52"/>
        <v>0</v>
      </c>
      <c r="T28" s="417">
        <f t="shared" si="52"/>
        <v>0</v>
      </c>
      <c r="U28" s="417">
        <f t="shared" si="52"/>
        <v>0</v>
      </c>
      <c r="V28" s="417">
        <f t="shared" si="53"/>
        <v>0</v>
      </c>
      <c r="W28" s="417">
        <f t="shared" si="53"/>
        <v>0</v>
      </c>
      <c r="X28" s="417">
        <f t="shared" si="53"/>
        <v>0</v>
      </c>
      <c r="Y28" s="417">
        <f t="shared" si="53"/>
        <v>0</v>
      </c>
      <c r="Z28" s="417">
        <f t="shared" si="53"/>
        <v>0</v>
      </c>
      <c r="AA28" s="417">
        <f t="shared" si="53"/>
        <v>0</v>
      </c>
      <c r="AB28" s="417">
        <f t="shared" si="53"/>
        <v>0</v>
      </c>
      <c r="AC28" s="417">
        <f t="shared" si="53"/>
        <v>0</v>
      </c>
      <c r="AD28" s="417">
        <f t="shared" si="53"/>
        <v>0</v>
      </c>
      <c r="AE28" s="417">
        <f t="shared" si="53"/>
        <v>0</v>
      </c>
      <c r="AF28" s="417">
        <f t="shared" si="54"/>
        <v>0</v>
      </c>
      <c r="AG28" s="417">
        <f t="shared" si="54"/>
        <v>0</v>
      </c>
      <c r="AH28" s="417">
        <f t="shared" si="54"/>
        <v>0</v>
      </c>
      <c r="AI28" s="417">
        <f t="shared" si="54"/>
        <v>0</v>
      </c>
      <c r="AJ28" s="417">
        <f t="shared" si="54"/>
        <v>0</v>
      </c>
      <c r="AK28" s="417">
        <f t="shared" si="54"/>
        <v>0</v>
      </c>
      <c r="AL28" s="417">
        <f t="shared" si="54"/>
        <v>0</v>
      </c>
      <c r="AM28" s="417">
        <f t="shared" si="54"/>
        <v>0</v>
      </c>
      <c r="AN28" s="417">
        <f t="shared" si="54"/>
        <v>0</v>
      </c>
      <c r="AO28" s="417">
        <f t="shared" si="54"/>
        <v>0</v>
      </c>
      <c r="AP28" s="417">
        <f t="shared" si="55"/>
        <v>0</v>
      </c>
      <c r="AQ28" s="417">
        <f t="shared" si="55"/>
        <v>0</v>
      </c>
      <c r="AR28" s="417">
        <f t="shared" si="55"/>
        <v>0</v>
      </c>
      <c r="AS28" s="417">
        <f t="shared" si="55"/>
        <v>0</v>
      </c>
      <c r="AT28" s="417">
        <f t="shared" si="55"/>
        <v>0</v>
      </c>
      <c r="AU28" s="417">
        <f t="shared" si="55"/>
        <v>0</v>
      </c>
      <c r="AV28" s="417">
        <f t="shared" si="55"/>
        <v>0</v>
      </c>
      <c r="AW28" s="417">
        <f t="shared" si="55"/>
        <v>0</v>
      </c>
      <c r="AX28" s="417">
        <f t="shared" si="55"/>
        <v>0</v>
      </c>
      <c r="AY28" s="417">
        <f t="shared" si="55"/>
        <v>0</v>
      </c>
      <c r="AZ28" s="417">
        <f t="shared" si="56"/>
        <v>0</v>
      </c>
      <c r="BA28" s="417">
        <f t="shared" si="56"/>
        <v>0</v>
      </c>
      <c r="BB28" s="417">
        <f t="shared" si="56"/>
        <v>0</v>
      </c>
      <c r="BC28" s="417">
        <f t="shared" si="56"/>
        <v>0</v>
      </c>
      <c r="BD28" s="417">
        <f t="shared" si="56"/>
        <v>0</v>
      </c>
      <c r="BE28" s="417">
        <f t="shared" si="56"/>
        <v>0</v>
      </c>
      <c r="BF28" s="417">
        <f t="shared" si="56"/>
        <v>0</v>
      </c>
      <c r="BG28" s="417">
        <f t="shared" si="56"/>
        <v>0</v>
      </c>
      <c r="BH28" s="417">
        <f t="shared" si="56"/>
        <v>0</v>
      </c>
      <c r="BI28" s="417">
        <f t="shared" si="56"/>
        <v>0</v>
      </c>
      <c r="BJ28" s="417">
        <f t="shared" si="57"/>
        <v>0</v>
      </c>
      <c r="BK28" s="417">
        <f t="shared" si="57"/>
        <v>0</v>
      </c>
      <c r="BL28" s="417">
        <f t="shared" si="57"/>
        <v>0</v>
      </c>
      <c r="BM28" s="417">
        <f t="shared" si="57"/>
        <v>0</v>
      </c>
      <c r="BN28" s="417">
        <f t="shared" si="57"/>
        <v>0</v>
      </c>
      <c r="BO28" s="417">
        <f t="shared" si="57"/>
        <v>0</v>
      </c>
      <c r="BP28" s="417">
        <f t="shared" si="57"/>
        <v>0</v>
      </c>
      <c r="BQ28" s="417">
        <f t="shared" si="57"/>
        <v>0</v>
      </c>
      <c r="BR28" s="417">
        <f t="shared" si="57"/>
        <v>0</v>
      </c>
      <c r="BS28" s="417">
        <f t="shared" si="57"/>
        <v>0</v>
      </c>
      <c r="BT28" s="417">
        <f t="shared" si="58"/>
        <v>0</v>
      </c>
      <c r="BU28" s="417">
        <f t="shared" si="58"/>
        <v>0</v>
      </c>
      <c r="BV28" s="417">
        <f t="shared" si="58"/>
        <v>0</v>
      </c>
      <c r="BW28" s="417">
        <f t="shared" si="58"/>
        <v>0</v>
      </c>
      <c r="BX28" s="417">
        <f t="shared" si="58"/>
        <v>0</v>
      </c>
      <c r="BY28" s="417">
        <f t="shared" si="58"/>
        <v>0</v>
      </c>
      <c r="BZ28" s="417">
        <f t="shared" si="58"/>
        <v>0</v>
      </c>
      <c r="CA28" s="417">
        <f t="shared" si="58"/>
        <v>0</v>
      </c>
      <c r="CB28" s="417">
        <f t="shared" si="58"/>
        <v>0</v>
      </c>
      <c r="CC28" s="417">
        <f t="shared" si="58"/>
        <v>0</v>
      </c>
      <c r="CD28" s="417">
        <f t="shared" si="59"/>
        <v>0</v>
      </c>
      <c r="CE28" s="417">
        <f t="shared" si="59"/>
        <v>0</v>
      </c>
      <c r="CF28" s="417">
        <f t="shared" si="59"/>
        <v>0</v>
      </c>
      <c r="CG28" s="417">
        <f t="shared" si="59"/>
        <v>0</v>
      </c>
      <c r="CH28" s="417">
        <f t="shared" si="59"/>
        <v>0</v>
      </c>
      <c r="CI28" s="417">
        <f t="shared" si="59"/>
        <v>0</v>
      </c>
      <c r="CJ28" s="417">
        <f t="shared" si="59"/>
        <v>0</v>
      </c>
      <c r="CK28" s="417">
        <f t="shared" si="59"/>
        <v>0</v>
      </c>
      <c r="CL28" s="417">
        <f t="shared" si="59"/>
        <v>0</v>
      </c>
      <c r="CM28" s="417">
        <f t="shared" si="59"/>
        <v>0</v>
      </c>
      <c r="CN28" s="417">
        <f t="shared" si="60"/>
        <v>0</v>
      </c>
      <c r="CO28" s="417">
        <f t="shared" si="60"/>
        <v>0</v>
      </c>
      <c r="CP28" s="417">
        <f t="shared" si="60"/>
        <v>0</v>
      </c>
      <c r="CQ28" s="417">
        <f t="shared" si="60"/>
        <v>0</v>
      </c>
      <c r="CR28" s="417">
        <f t="shared" si="60"/>
        <v>0</v>
      </c>
      <c r="CS28" s="417">
        <f t="shared" si="60"/>
        <v>0</v>
      </c>
      <c r="CT28" s="417">
        <f t="shared" si="60"/>
        <v>0</v>
      </c>
      <c r="CU28" s="417">
        <f t="shared" si="60"/>
        <v>0</v>
      </c>
      <c r="CV28" s="417">
        <f t="shared" si="60"/>
        <v>0</v>
      </c>
      <c r="CW28" s="417">
        <f t="shared" si="60"/>
        <v>0</v>
      </c>
      <c r="CX28" s="417">
        <f t="shared" si="61"/>
        <v>0</v>
      </c>
      <c r="CY28" s="417">
        <f t="shared" si="61"/>
        <v>0</v>
      </c>
      <c r="CZ28" s="417">
        <f t="shared" si="61"/>
        <v>0</v>
      </c>
      <c r="DA28" s="417">
        <f t="shared" si="61"/>
        <v>0</v>
      </c>
      <c r="DB28" s="417">
        <f t="shared" si="61"/>
        <v>0</v>
      </c>
      <c r="DC28" s="417">
        <f t="shared" si="61"/>
        <v>0</v>
      </c>
      <c r="DD28" s="417">
        <f t="shared" si="61"/>
        <v>0</v>
      </c>
      <c r="DE28" s="417">
        <f t="shared" si="61"/>
        <v>0</v>
      </c>
      <c r="DF28" s="417">
        <f t="shared" si="61"/>
        <v>0</v>
      </c>
      <c r="DG28" s="417">
        <f t="shared" si="61"/>
        <v>0</v>
      </c>
      <c r="DH28" s="417">
        <f t="shared" si="62"/>
        <v>0</v>
      </c>
      <c r="DI28" s="417">
        <f t="shared" si="62"/>
        <v>0</v>
      </c>
      <c r="DJ28" s="417">
        <f t="shared" si="62"/>
        <v>0</v>
      </c>
      <c r="DK28" s="417">
        <f t="shared" si="62"/>
        <v>0</v>
      </c>
      <c r="DL28" s="417">
        <f t="shared" si="62"/>
        <v>0</v>
      </c>
      <c r="DM28" s="417">
        <f t="shared" si="62"/>
        <v>0</v>
      </c>
      <c r="DN28" s="417">
        <f t="shared" si="62"/>
        <v>0</v>
      </c>
      <c r="DO28" s="417">
        <f t="shared" si="62"/>
        <v>0</v>
      </c>
      <c r="DP28" s="417">
        <f t="shared" si="62"/>
        <v>0</v>
      </c>
      <c r="DQ28" s="417">
        <f t="shared" si="62"/>
        <v>0</v>
      </c>
      <c r="DR28" s="417">
        <f t="shared" si="63"/>
        <v>0</v>
      </c>
      <c r="DS28" s="417">
        <f t="shared" si="63"/>
        <v>0</v>
      </c>
      <c r="DT28" s="417">
        <f t="shared" si="63"/>
        <v>0</v>
      </c>
      <c r="DU28" s="417">
        <f t="shared" si="63"/>
        <v>0</v>
      </c>
      <c r="DV28" s="417">
        <f t="shared" si="63"/>
        <v>0</v>
      </c>
      <c r="DW28" s="417">
        <f t="shared" si="63"/>
        <v>0</v>
      </c>
      <c r="DX28" s="417">
        <f t="shared" si="63"/>
        <v>0</v>
      </c>
      <c r="DY28" s="417">
        <f t="shared" si="63"/>
        <v>0</v>
      </c>
      <c r="DZ28" s="417">
        <f t="shared" si="63"/>
        <v>0</v>
      </c>
      <c r="EA28" s="417">
        <f t="shared" si="63"/>
        <v>0</v>
      </c>
      <c r="EB28" s="417">
        <f t="shared" si="64"/>
        <v>0</v>
      </c>
      <c r="EC28" s="417">
        <f t="shared" si="64"/>
        <v>0</v>
      </c>
      <c r="ED28" s="417">
        <f t="shared" si="64"/>
        <v>0</v>
      </c>
      <c r="EE28" s="417">
        <f t="shared" si="64"/>
        <v>0</v>
      </c>
      <c r="EF28" s="417">
        <f t="shared" si="64"/>
        <v>0</v>
      </c>
      <c r="EG28" s="417">
        <f t="shared" si="64"/>
        <v>0</v>
      </c>
      <c r="EH28" s="417">
        <f t="shared" si="64"/>
        <v>0</v>
      </c>
      <c r="EI28" s="417">
        <f t="shared" si="64"/>
        <v>0</v>
      </c>
      <c r="EJ28" s="417">
        <f t="shared" si="64"/>
        <v>0</v>
      </c>
      <c r="EK28" s="417">
        <f t="shared" si="64"/>
        <v>0</v>
      </c>
      <c r="EL28" s="417">
        <f t="shared" si="65"/>
        <v>0</v>
      </c>
      <c r="EM28" s="417">
        <f t="shared" si="65"/>
        <v>0</v>
      </c>
      <c r="EN28" s="417">
        <f t="shared" si="65"/>
        <v>0</v>
      </c>
      <c r="EO28"/>
      <c r="EP28" s="220">
        <f>I28</f>
        <v>750000</v>
      </c>
      <c r="EQ28" s="201">
        <f>INDEX($L$24:$EN$24,1,$D28+1)</f>
        <v>46203</v>
      </c>
      <c r="ER28" s="201">
        <f>INDEX($L$24:$EN$24,1,$E28+1)</f>
        <v>46203</v>
      </c>
      <c r="ES28" s="20">
        <f>+E28-D28+1</f>
        <v>1</v>
      </c>
      <c r="ET28" s="18" t="str">
        <f>F28</f>
        <v>Straight-Line</v>
      </c>
      <c r="EU28" s="79">
        <f>ES28/Scurve_Dist</f>
        <v>0.16666666666666666</v>
      </c>
      <c r="EV28" s="20">
        <f>AND($ET28="S-Curve",EV$24&gt;=$EQ28,EV$24&lt;=$ER28)*(NORMDIST((YEAR(EV$24)-YEAR($EQ28))*12+MONTH(EV$24)-MONTH($EQ28)+1,$ES28/2,$EU28,TRUE)-NORMDIST((YEAR(EV$24)-YEAR($EQ28))*12+MONTH(EV$24)-MONTH($EQ28),$ES28/2,$EU28,TRUE))/(1-2*NORMDIST(0,$ES28/2,$EU28,TRUE))*$EP28</f>
        <v>0</v>
      </c>
      <c r="EW28" s="20">
        <f t="shared" ref="EW28:HH30" si="79">AND($ET28="S-Curve",EW$24&gt;=$EQ28,EW$24&lt;=$ER28)*(NORMDIST((YEAR(EW$24)-YEAR($EQ28))*12+MONTH(EW$24)-MONTH($EQ28)+1,$ES28/2,$EU28,TRUE)-NORMDIST((YEAR(EW$24)-YEAR($EQ28))*12+MONTH(EW$24)-MONTH($EQ28),$ES28/2,$EU28,TRUE))/(1-2*NORMDIST(0,$ES28/2,$EU28,TRUE))*$EP28</f>
        <v>0</v>
      </c>
      <c r="EX28" s="20">
        <f t="shared" si="79"/>
        <v>0</v>
      </c>
      <c r="EY28" s="20">
        <f t="shared" si="79"/>
        <v>0</v>
      </c>
      <c r="EZ28" s="20">
        <f t="shared" si="79"/>
        <v>0</v>
      </c>
      <c r="FA28" s="20">
        <f t="shared" si="79"/>
        <v>0</v>
      </c>
      <c r="FB28" s="20">
        <f t="shared" si="79"/>
        <v>0</v>
      </c>
      <c r="FC28" s="20">
        <f t="shared" si="79"/>
        <v>0</v>
      </c>
      <c r="FD28" s="20">
        <f t="shared" si="79"/>
        <v>0</v>
      </c>
      <c r="FE28" s="20">
        <f t="shared" si="79"/>
        <v>0</v>
      </c>
      <c r="FF28" s="20">
        <f t="shared" si="79"/>
        <v>0</v>
      </c>
      <c r="FG28" s="20">
        <f t="shared" si="79"/>
        <v>0</v>
      </c>
      <c r="FH28" s="20">
        <f t="shared" si="79"/>
        <v>0</v>
      </c>
      <c r="FI28" s="20">
        <f t="shared" si="79"/>
        <v>0</v>
      </c>
      <c r="FJ28" s="20">
        <f t="shared" si="79"/>
        <v>0</v>
      </c>
      <c r="FK28" s="20">
        <f t="shared" si="79"/>
        <v>0</v>
      </c>
      <c r="FL28" s="20">
        <f t="shared" si="79"/>
        <v>0</v>
      </c>
      <c r="FM28" s="20">
        <f t="shared" si="79"/>
        <v>0</v>
      </c>
      <c r="FN28" s="20">
        <f t="shared" si="79"/>
        <v>0</v>
      </c>
      <c r="FO28" s="20">
        <f t="shared" si="79"/>
        <v>0</v>
      </c>
      <c r="FP28" s="20">
        <f t="shared" si="79"/>
        <v>0</v>
      </c>
      <c r="FQ28" s="20">
        <f t="shared" si="79"/>
        <v>0</v>
      </c>
      <c r="FR28" s="20">
        <f t="shared" si="79"/>
        <v>0</v>
      </c>
      <c r="FS28" s="20">
        <f t="shared" si="79"/>
        <v>0</v>
      </c>
      <c r="FT28" s="20">
        <f t="shared" si="79"/>
        <v>0</v>
      </c>
      <c r="FU28" s="20">
        <f t="shared" si="79"/>
        <v>0</v>
      </c>
      <c r="FV28" s="20">
        <f t="shared" si="79"/>
        <v>0</v>
      </c>
      <c r="FW28" s="20">
        <f t="shared" si="79"/>
        <v>0</v>
      </c>
      <c r="FX28" s="20">
        <f t="shared" si="79"/>
        <v>0</v>
      </c>
      <c r="FY28" s="20">
        <f t="shared" si="79"/>
        <v>0</v>
      </c>
      <c r="FZ28" s="20">
        <f t="shared" si="79"/>
        <v>0</v>
      </c>
      <c r="GA28" s="20">
        <f t="shared" si="79"/>
        <v>0</v>
      </c>
      <c r="GB28" s="20">
        <f t="shared" si="79"/>
        <v>0</v>
      </c>
      <c r="GC28" s="20">
        <f t="shared" si="79"/>
        <v>0</v>
      </c>
      <c r="GD28" s="20">
        <f t="shared" si="79"/>
        <v>0</v>
      </c>
      <c r="GE28" s="20">
        <f t="shared" si="79"/>
        <v>0</v>
      </c>
      <c r="GF28" s="20">
        <f t="shared" si="79"/>
        <v>0</v>
      </c>
      <c r="GG28" s="20">
        <f t="shared" si="79"/>
        <v>0</v>
      </c>
      <c r="GH28" s="20">
        <f t="shared" si="79"/>
        <v>0</v>
      </c>
      <c r="GI28" s="20">
        <f t="shared" si="79"/>
        <v>0</v>
      </c>
      <c r="GJ28" s="20">
        <f t="shared" si="79"/>
        <v>0</v>
      </c>
      <c r="GK28" s="20">
        <f t="shared" si="79"/>
        <v>0</v>
      </c>
      <c r="GL28" s="20">
        <f t="shared" si="79"/>
        <v>0</v>
      </c>
      <c r="GM28" s="20">
        <f t="shared" si="79"/>
        <v>0</v>
      </c>
      <c r="GN28" s="20">
        <f t="shared" si="79"/>
        <v>0</v>
      </c>
      <c r="GO28" s="20">
        <f t="shared" si="79"/>
        <v>0</v>
      </c>
      <c r="GP28" s="20">
        <f t="shared" si="79"/>
        <v>0</v>
      </c>
      <c r="GQ28" s="20">
        <f t="shared" si="79"/>
        <v>0</v>
      </c>
      <c r="GR28" s="20">
        <f t="shared" si="79"/>
        <v>0</v>
      </c>
      <c r="GS28" s="20">
        <f t="shared" si="79"/>
        <v>0</v>
      </c>
      <c r="GT28" s="20">
        <f t="shared" si="79"/>
        <v>0</v>
      </c>
      <c r="GU28" s="20">
        <f t="shared" si="79"/>
        <v>0</v>
      </c>
      <c r="GV28" s="20">
        <f t="shared" si="79"/>
        <v>0</v>
      </c>
      <c r="GW28" s="20">
        <f t="shared" si="79"/>
        <v>0</v>
      </c>
      <c r="GX28" s="20">
        <f t="shared" si="79"/>
        <v>0</v>
      </c>
      <c r="GY28" s="20">
        <f t="shared" si="79"/>
        <v>0</v>
      </c>
      <c r="GZ28" s="20">
        <f t="shared" si="79"/>
        <v>0</v>
      </c>
      <c r="HA28" s="20">
        <f t="shared" si="79"/>
        <v>0</v>
      </c>
      <c r="HB28" s="20">
        <f t="shared" si="79"/>
        <v>0</v>
      </c>
      <c r="HC28" s="20">
        <f t="shared" si="79"/>
        <v>0</v>
      </c>
      <c r="HD28" s="20">
        <f t="shared" si="79"/>
        <v>0</v>
      </c>
      <c r="HE28" s="20">
        <f t="shared" si="79"/>
        <v>0</v>
      </c>
      <c r="HF28" s="20">
        <f t="shared" si="79"/>
        <v>0</v>
      </c>
      <c r="HG28" s="20">
        <f t="shared" si="79"/>
        <v>0</v>
      </c>
      <c r="HH28" s="20">
        <f t="shared" si="79"/>
        <v>0</v>
      </c>
      <c r="HI28" s="20">
        <f t="shared" ref="HI28:JT30" si="80">AND($ET28="S-Curve",HI$24&gt;=$EQ28,HI$24&lt;=$ER28)*(NORMDIST((YEAR(HI$24)-YEAR($EQ28))*12+MONTH(HI$24)-MONTH($EQ28)+1,$ES28/2,$EU28,TRUE)-NORMDIST((YEAR(HI$24)-YEAR($EQ28))*12+MONTH(HI$24)-MONTH($EQ28),$ES28/2,$EU28,TRUE))/(1-2*NORMDIST(0,$ES28/2,$EU28,TRUE))*$EP28</f>
        <v>0</v>
      </c>
      <c r="HJ28" s="20">
        <f t="shared" si="80"/>
        <v>0</v>
      </c>
      <c r="HK28" s="20">
        <f t="shared" si="80"/>
        <v>0</v>
      </c>
      <c r="HL28" s="20">
        <f t="shared" si="80"/>
        <v>0</v>
      </c>
      <c r="HM28" s="20">
        <f t="shared" si="80"/>
        <v>0</v>
      </c>
      <c r="HN28" s="20">
        <f t="shared" si="80"/>
        <v>0</v>
      </c>
      <c r="HO28" s="20">
        <f t="shared" si="80"/>
        <v>0</v>
      </c>
      <c r="HP28" s="20">
        <f t="shared" si="80"/>
        <v>0</v>
      </c>
      <c r="HQ28" s="20">
        <f t="shared" si="80"/>
        <v>0</v>
      </c>
      <c r="HR28" s="20">
        <f t="shared" si="80"/>
        <v>0</v>
      </c>
      <c r="HS28" s="20">
        <f t="shared" si="80"/>
        <v>0</v>
      </c>
      <c r="HT28" s="20">
        <f t="shared" si="80"/>
        <v>0</v>
      </c>
      <c r="HU28" s="20">
        <f t="shared" si="80"/>
        <v>0</v>
      </c>
      <c r="HV28" s="20">
        <f t="shared" si="80"/>
        <v>0</v>
      </c>
      <c r="HW28" s="20">
        <f t="shared" si="80"/>
        <v>0</v>
      </c>
      <c r="HX28" s="20">
        <f t="shared" si="80"/>
        <v>0</v>
      </c>
      <c r="HY28" s="20">
        <f t="shared" si="80"/>
        <v>0</v>
      </c>
      <c r="HZ28" s="20">
        <f t="shared" si="80"/>
        <v>0</v>
      </c>
      <c r="IA28" s="20">
        <f t="shared" si="80"/>
        <v>0</v>
      </c>
      <c r="IB28" s="20">
        <f t="shared" si="80"/>
        <v>0</v>
      </c>
      <c r="IC28" s="20">
        <f t="shared" si="80"/>
        <v>0</v>
      </c>
      <c r="ID28" s="20">
        <f t="shared" si="80"/>
        <v>0</v>
      </c>
      <c r="IE28" s="20">
        <f t="shared" si="80"/>
        <v>0</v>
      </c>
      <c r="IF28" s="20">
        <f t="shared" si="80"/>
        <v>0</v>
      </c>
      <c r="IG28" s="20">
        <f t="shared" si="80"/>
        <v>0</v>
      </c>
      <c r="IH28" s="20">
        <f t="shared" si="80"/>
        <v>0</v>
      </c>
      <c r="II28" s="20">
        <f t="shared" si="80"/>
        <v>0</v>
      </c>
      <c r="IJ28" s="20">
        <f t="shared" si="80"/>
        <v>0</v>
      </c>
      <c r="IK28" s="20">
        <f t="shared" si="80"/>
        <v>0</v>
      </c>
      <c r="IL28" s="20">
        <f t="shared" si="80"/>
        <v>0</v>
      </c>
      <c r="IM28" s="20">
        <f t="shared" si="80"/>
        <v>0</v>
      </c>
      <c r="IN28" s="20">
        <f t="shared" si="80"/>
        <v>0</v>
      </c>
      <c r="IO28" s="20">
        <f t="shared" si="80"/>
        <v>0</v>
      </c>
      <c r="IP28" s="20">
        <f t="shared" si="80"/>
        <v>0</v>
      </c>
      <c r="IQ28" s="20">
        <f t="shared" si="80"/>
        <v>0</v>
      </c>
      <c r="IR28" s="20">
        <f t="shared" si="80"/>
        <v>0</v>
      </c>
      <c r="IS28" s="20">
        <f t="shared" si="80"/>
        <v>0</v>
      </c>
      <c r="IT28" s="20">
        <f t="shared" si="80"/>
        <v>0</v>
      </c>
      <c r="IU28" s="20">
        <f t="shared" si="80"/>
        <v>0</v>
      </c>
      <c r="IV28" s="20">
        <f t="shared" si="80"/>
        <v>0</v>
      </c>
      <c r="IW28" s="20">
        <f t="shared" si="80"/>
        <v>0</v>
      </c>
      <c r="IX28" s="20">
        <f t="shared" si="80"/>
        <v>0</v>
      </c>
      <c r="IY28" s="20">
        <f t="shared" si="80"/>
        <v>0</v>
      </c>
      <c r="IZ28" s="20">
        <f t="shared" si="80"/>
        <v>0</v>
      </c>
      <c r="JA28" s="20">
        <f t="shared" si="80"/>
        <v>0</v>
      </c>
      <c r="JB28" s="20">
        <f t="shared" si="80"/>
        <v>0</v>
      </c>
      <c r="JC28" s="20">
        <f t="shared" si="80"/>
        <v>0</v>
      </c>
      <c r="JD28" s="20">
        <f t="shared" si="80"/>
        <v>0</v>
      </c>
      <c r="JE28" s="20">
        <f t="shared" si="80"/>
        <v>0</v>
      </c>
      <c r="JF28" s="20">
        <f t="shared" si="80"/>
        <v>0</v>
      </c>
      <c r="JG28" s="20">
        <f t="shared" si="80"/>
        <v>0</v>
      </c>
      <c r="JH28" s="20">
        <f t="shared" si="80"/>
        <v>0</v>
      </c>
      <c r="JI28" s="20">
        <f t="shared" si="80"/>
        <v>0</v>
      </c>
      <c r="JJ28" s="20">
        <f t="shared" si="80"/>
        <v>0</v>
      </c>
      <c r="JK28" s="20">
        <f t="shared" si="80"/>
        <v>0</v>
      </c>
      <c r="JL28" s="20">
        <f t="shared" si="80"/>
        <v>0</v>
      </c>
      <c r="JM28" s="20">
        <f t="shared" si="80"/>
        <v>0</v>
      </c>
      <c r="JN28" s="20">
        <f t="shared" si="80"/>
        <v>0</v>
      </c>
      <c r="JO28" s="20">
        <f t="shared" si="80"/>
        <v>0</v>
      </c>
      <c r="JP28" s="20">
        <f t="shared" si="80"/>
        <v>0</v>
      </c>
      <c r="JQ28" s="20">
        <f t="shared" si="80"/>
        <v>0</v>
      </c>
      <c r="JR28" s="20">
        <f t="shared" si="80"/>
        <v>0</v>
      </c>
      <c r="JS28" s="20">
        <f t="shared" si="80"/>
        <v>0</v>
      </c>
      <c r="JT28" s="20">
        <f t="shared" si="80"/>
        <v>0</v>
      </c>
      <c r="JU28" s="20">
        <f t="shared" si="68"/>
        <v>0</v>
      </c>
      <c r="JV28" s="20">
        <f t="shared" si="68"/>
        <v>0</v>
      </c>
      <c r="JW28" s="20">
        <f t="shared" si="68"/>
        <v>0</v>
      </c>
      <c r="JX28" s="20">
        <f t="shared" si="68"/>
        <v>0</v>
      </c>
      <c r="JY28"/>
      <c r="JZ28" s="220" t="str">
        <f>B28</f>
        <v>Interim site acquisition lease deposit</v>
      </c>
      <c r="KA28" s="201"/>
      <c r="KB28" s="20">
        <f t="shared" si="69"/>
        <v>0</v>
      </c>
      <c r="KC28" s="20">
        <f t="shared" si="69"/>
        <v>0</v>
      </c>
      <c r="KD28" s="20">
        <f>KC28-KB28+1</f>
        <v>1</v>
      </c>
      <c r="KE28" s="418">
        <f>I28</f>
        <v>750000</v>
      </c>
      <c r="KF28" s="418">
        <f>AND(KF$23&gt;=$KB28,KF$23&lt;=$KC28)*(IF($F28="Steady Growth",KF$23-$KB28,$KC28-KF$23)+1)/($KD28*($KD28+1)/2)*$KE28</f>
        <v>750000</v>
      </c>
      <c r="KG28" s="418">
        <f t="shared" si="70"/>
        <v>0</v>
      </c>
      <c r="KH28" s="418">
        <f t="shared" si="70"/>
        <v>0</v>
      </c>
      <c r="KI28" s="418">
        <f t="shared" si="70"/>
        <v>0</v>
      </c>
      <c r="KJ28" s="418">
        <f t="shared" si="70"/>
        <v>0</v>
      </c>
      <c r="KK28" s="418">
        <f t="shared" si="70"/>
        <v>0</v>
      </c>
      <c r="KL28" s="418">
        <f t="shared" si="70"/>
        <v>0</v>
      </c>
      <c r="KM28" s="418">
        <f t="shared" si="70"/>
        <v>0</v>
      </c>
      <c r="KN28" s="418">
        <f t="shared" si="70"/>
        <v>0</v>
      </c>
      <c r="KO28" s="418">
        <f t="shared" si="70"/>
        <v>0</v>
      </c>
      <c r="KP28" s="418">
        <f t="shared" si="70"/>
        <v>0</v>
      </c>
      <c r="KQ28" s="418">
        <f t="shared" si="70"/>
        <v>0</v>
      </c>
      <c r="KR28" s="418">
        <f t="shared" si="70"/>
        <v>0</v>
      </c>
      <c r="KS28" s="418">
        <f t="shared" si="70"/>
        <v>0</v>
      </c>
      <c r="KT28" s="418">
        <f t="shared" si="70"/>
        <v>0</v>
      </c>
      <c r="KU28" s="418">
        <f t="shared" si="70"/>
        <v>0</v>
      </c>
      <c r="KV28" s="418">
        <f t="shared" si="70"/>
        <v>0</v>
      </c>
      <c r="KW28" s="418">
        <f t="shared" si="71"/>
        <v>0</v>
      </c>
      <c r="KX28" s="418">
        <f t="shared" si="71"/>
        <v>0</v>
      </c>
      <c r="KY28" s="418">
        <f t="shared" si="71"/>
        <v>0</v>
      </c>
      <c r="KZ28" s="418">
        <f t="shared" si="71"/>
        <v>0</v>
      </c>
      <c r="LA28" s="418">
        <f t="shared" si="71"/>
        <v>0</v>
      </c>
      <c r="LB28" s="418">
        <f t="shared" si="71"/>
        <v>0</v>
      </c>
      <c r="LC28" s="418">
        <f t="shared" si="71"/>
        <v>0</v>
      </c>
      <c r="LD28" s="418">
        <f t="shared" si="71"/>
        <v>0</v>
      </c>
      <c r="LE28" s="418">
        <f t="shared" si="71"/>
        <v>0</v>
      </c>
      <c r="LF28" s="418">
        <f t="shared" si="71"/>
        <v>0</v>
      </c>
      <c r="LG28" s="418">
        <f t="shared" si="71"/>
        <v>0</v>
      </c>
      <c r="LH28" s="418">
        <f t="shared" si="71"/>
        <v>0</v>
      </c>
      <c r="LI28" s="418">
        <f t="shared" si="71"/>
        <v>0</v>
      </c>
      <c r="LJ28" s="418">
        <f t="shared" si="71"/>
        <v>0</v>
      </c>
      <c r="LK28" s="418">
        <f t="shared" si="71"/>
        <v>0</v>
      </c>
      <c r="LL28" s="418">
        <f t="shared" si="71"/>
        <v>0</v>
      </c>
      <c r="LM28" s="418">
        <f t="shared" si="72"/>
        <v>0</v>
      </c>
      <c r="LN28" s="418">
        <f t="shared" si="72"/>
        <v>0</v>
      </c>
      <c r="LO28" s="418">
        <f t="shared" si="72"/>
        <v>0</v>
      </c>
      <c r="LP28" s="418">
        <f t="shared" si="72"/>
        <v>0</v>
      </c>
      <c r="LQ28" s="418">
        <f t="shared" si="72"/>
        <v>0</v>
      </c>
      <c r="LR28" s="418">
        <f t="shared" si="72"/>
        <v>0</v>
      </c>
      <c r="LS28" s="418">
        <f t="shared" si="72"/>
        <v>0</v>
      </c>
      <c r="LT28" s="418">
        <f t="shared" si="72"/>
        <v>0</v>
      </c>
      <c r="LU28" s="418">
        <f t="shared" si="72"/>
        <v>0</v>
      </c>
      <c r="LV28" s="418">
        <f t="shared" si="72"/>
        <v>0</v>
      </c>
      <c r="LW28" s="418">
        <f t="shared" si="72"/>
        <v>0</v>
      </c>
      <c r="LX28" s="418">
        <f t="shared" si="72"/>
        <v>0</v>
      </c>
      <c r="LY28" s="418">
        <f t="shared" si="72"/>
        <v>0</v>
      </c>
      <c r="LZ28" s="418">
        <f t="shared" si="72"/>
        <v>0</v>
      </c>
      <c r="MA28" s="418">
        <f t="shared" si="72"/>
        <v>0</v>
      </c>
      <c r="MB28" s="418">
        <f t="shared" si="72"/>
        <v>0</v>
      </c>
      <c r="MC28" s="418">
        <f t="shared" si="73"/>
        <v>0</v>
      </c>
      <c r="MD28" s="418">
        <f t="shared" si="73"/>
        <v>0</v>
      </c>
      <c r="ME28" s="418">
        <f t="shared" si="73"/>
        <v>0</v>
      </c>
      <c r="MF28" s="418">
        <f t="shared" si="73"/>
        <v>0</v>
      </c>
      <c r="MG28" s="418">
        <f t="shared" si="73"/>
        <v>0</v>
      </c>
      <c r="MH28" s="418">
        <f t="shared" si="73"/>
        <v>0</v>
      </c>
      <c r="MI28" s="418">
        <f t="shared" si="73"/>
        <v>0</v>
      </c>
      <c r="MJ28" s="418">
        <f t="shared" si="73"/>
        <v>0</v>
      </c>
      <c r="MK28" s="418">
        <f t="shared" si="73"/>
        <v>0</v>
      </c>
      <c r="ML28" s="418">
        <f t="shared" si="73"/>
        <v>0</v>
      </c>
      <c r="MM28" s="418">
        <f t="shared" si="73"/>
        <v>0</v>
      </c>
      <c r="MN28" s="418">
        <f t="shared" si="73"/>
        <v>0</v>
      </c>
      <c r="MO28" s="418">
        <f t="shared" si="73"/>
        <v>0</v>
      </c>
      <c r="MP28" s="418">
        <f t="shared" si="73"/>
        <v>0</v>
      </c>
      <c r="MQ28" s="418">
        <f t="shared" si="73"/>
        <v>0</v>
      </c>
      <c r="MR28" s="418">
        <f t="shared" si="73"/>
        <v>0</v>
      </c>
      <c r="MS28" s="418">
        <f t="shared" si="74"/>
        <v>0</v>
      </c>
      <c r="MT28" s="418">
        <f t="shared" si="74"/>
        <v>0</v>
      </c>
      <c r="MU28" s="418">
        <f t="shared" si="74"/>
        <v>0</v>
      </c>
      <c r="MV28" s="418">
        <f t="shared" si="74"/>
        <v>0</v>
      </c>
      <c r="MW28" s="418">
        <f t="shared" si="74"/>
        <v>0</v>
      </c>
      <c r="MX28" s="418">
        <f t="shared" si="74"/>
        <v>0</v>
      </c>
      <c r="MY28" s="418">
        <f t="shared" si="74"/>
        <v>0</v>
      </c>
      <c r="MZ28" s="418">
        <f t="shared" si="74"/>
        <v>0</v>
      </c>
      <c r="NA28" s="418">
        <f t="shared" si="74"/>
        <v>0</v>
      </c>
      <c r="NB28" s="418">
        <f t="shared" si="74"/>
        <v>0</v>
      </c>
      <c r="NC28" s="418">
        <f t="shared" si="74"/>
        <v>0</v>
      </c>
      <c r="ND28" s="418">
        <f t="shared" si="74"/>
        <v>0</v>
      </c>
      <c r="NE28" s="418">
        <f t="shared" si="74"/>
        <v>0</v>
      </c>
      <c r="NF28" s="418">
        <f t="shared" si="74"/>
        <v>0</v>
      </c>
      <c r="NG28" s="418">
        <f t="shared" si="74"/>
        <v>0</v>
      </c>
      <c r="NH28" s="418">
        <f t="shared" si="74"/>
        <v>0</v>
      </c>
      <c r="NI28" s="418">
        <f t="shared" si="75"/>
        <v>0</v>
      </c>
      <c r="NJ28" s="418">
        <f t="shared" si="75"/>
        <v>0</v>
      </c>
      <c r="NK28" s="418">
        <f t="shared" si="75"/>
        <v>0</v>
      </c>
      <c r="NL28" s="418">
        <f t="shared" si="75"/>
        <v>0</v>
      </c>
      <c r="NM28" s="418">
        <f t="shared" si="75"/>
        <v>0</v>
      </c>
      <c r="NN28" s="418">
        <f t="shared" si="75"/>
        <v>0</v>
      </c>
      <c r="NO28" s="418">
        <f t="shared" si="75"/>
        <v>0</v>
      </c>
      <c r="NP28" s="418">
        <f t="shared" si="75"/>
        <v>0</v>
      </c>
      <c r="NQ28" s="418">
        <f t="shared" si="75"/>
        <v>0</v>
      </c>
      <c r="NR28" s="418">
        <f t="shared" si="75"/>
        <v>0</v>
      </c>
      <c r="NS28" s="418">
        <f t="shared" si="75"/>
        <v>0</v>
      </c>
      <c r="NT28" s="418">
        <f t="shared" si="75"/>
        <v>0</v>
      </c>
      <c r="NU28" s="418">
        <f t="shared" si="75"/>
        <v>0</v>
      </c>
      <c r="NV28" s="418">
        <f t="shared" si="75"/>
        <v>0</v>
      </c>
      <c r="NW28" s="418">
        <f t="shared" si="75"/>
        <v>0</v>
      </c>
      <c r="NX28" s="418">
        <f t="shared" si="75"/>
        <v>0</v>
      </c>
      <c r="NY28" s="418">
        <f t="shared" si="76"/>
        <v>0</v>
      </c>
      <c r="NZ28" s="418">
        <f t="shared" si="76"/>
        <v>0</v>
      </c>
      <c r="OA28" s="418">
        <f t="shared" si="76"/>
        <v>0</v>
      </c>
      <c r="OB28" s="418">
        <f t="shared" si="76"/>
        <v>0</v>
      </c>
      <c r="OC28" s="418">
        <f t="shared" si="76"/>
        <v>0</v>
      </c>
      <c r="OD28" s="418">
        <f t="shared" si="76"/>
        <v>0</v>
      </c>
      <c r="OE28" s="418">
        <f t="shared" si="76"/>
        <v>0</v>
      </c>
      <c r="OF28" s="418">
        <f t="shared" si="76"/>
        <v>0</v>
      </c>
      <c r="OG28" s="418">
        <f t="shared" si="76"/>
        <v>0</v>
      </c>
      <c r="OH28" s="418">
        <f t="shared" si="76"/>
        <v>0</v>
      </c>
      <c r="OI28" s="418">
        <f t="shared" si="76"/>
        <v>0</v>
      </c>
      <c r="OJ28" s="418">
        <f t="shared" si="76"/>
        <v>0</v>
      </c>
      <c r="OK28" s="418">
        <f t="shared" si="76"/>
        <v>0</v>
      </c>
      <c r="OL28" s="418">
        <f t="shared" si="76"/>
        <v>0</v>
      </c>
      <c r="OM28" s="418">
        <f t="shared" si="76"/>
        <v>0</v>
      </c>
      <c r="ON28" s="418">
        <f t="shared" si="76"/>
        <v>0</v>
      </c>
      <c r="OO28" s="418">
        <f t="shared" si="77"/>
        <v>0</v>
      </c>
      <c r="OP28" s="418">
        <f t="shared" si="77"/>
        <v>0</v>
      </c>
      <c r="OQ28" s="418">
        <f t="shared" si="77"/>
        <v>0</v>
      </c>
      <c r="OR28" s="418">
        <f t="shared" si="77"/>
        <v>0</v>
      </c>
      <c r="OS28" s="418">
        <f t="shared" si="77"/>
        <v>0</v>
      </c>
      <c r="OT28" s="418">
        <f t="shared" si="77"/>
        <v>0</v>
      </c>
      <c r="OU28" s="418">
        <f t="shared" si="77"/>
        <v>0</v>
      </c>
      <c r="OV28" s="418">
        <f t="shared" si="77"/>
        <v>0</v>
      </c>
      <c r="OW28" s="418">
        <f t="shared" si="77"/>
        <v>0</v>
      </c>
      <c r="OX28" s="418">
        <f t="shared" si="77"/>
        <v>0</v>
      </c>
      <c r="OY28" s="418">
        <f t="shared" si="77"/>
        <v>0</v>
      </c>
      <c r="OZ28" s="418">
        <f t="shared" si="77"/>
        <v>0</v>
      </c>
      <c r="PA28" s="418">
        <f t="shared" si="77"/>
        <v>0</v>
      </c>
      <c r="PB28" s="418">
        <f t="shared" si="77"/>
        <v>0</v>
      </c>
      <c r="PC28" s="418">
        <f t="shared" si="77"/>
        <v>0</v>
      </c>
      <c r="PD28" s="418">
        <f t="shared" si="77"/>
        <v>0</v>
      </c>
      <c r="PE28" s="418">
        <f t="shared" si="78"/>
        <v>0</v>
      </c>
      <c r="PF28" s="418">
        <f t="shared" si="78"/>
        <v>0</v>
      </c>
      <c r="PG28" s="418">
        <f t="shared" si="78"/>
        <v>0</v>
      </c>
      <c r="PH28" s="418">
        <f t="shared" si="78"/>
        <v>0</v>
      </c>
    </row>
    <row r="29" spans="1:424" x14ac:dyDescent="0.35">
      <c r="A29"/>
      <c r="B29" s="419" t="s">
        <v>144</v>
      </c>
      <c r="C29" s="400">
        <v>0</v>
      </c>
      <c r="D29" s="45"/>
      <c r="E29" s="45">
        <v>0</v>
      </c>
      <c r="F29" s="414" t="s">
        <v>142</v>
      </c>
      <c r="G29" s="134">
        <f>I29/Units_SF_M2</f>
        <v>0</v>
      </c>
      <c r="H29" s="415"/>
      <c r="I29" s="416">
        <v>0</v>
      </c>
      <c r="J29"/>
      <c r="K29" s="22" t="str">
        <f>IF(ROUND(SUM(L29:EN29),0)=ROUND(I29,0),"","Incomplete")</f>
        <v/>
      </c>
      <c r="L29" s="417">
        <f t="shared" si="52"/>
        <v>0</v>
      </c>
      <c r="M29" s="417">
        <f t="shared" si="52"/>
        <v>0</v>
      </c>
      <c r="N29" s="417">
        <f t="shared" si="52"/>
        <v>0</v>
      </c>
      <c r="O29" s="417">
        <f t="shared" si="52"/>
        <v>0</v>
      </c>
      <c r="P29" s="417">
        <f t="shared" si="52"/>
        <v>0</v>
      </c>
      <c r="Q29" s="417">
        <f t="shared" si="52"/>
        <v>0</v>
      </c>
      <c r="R29" s="417">
        <f t="shared" si="52"/>
        <v>0</v>
      </c>
      <c r="S29" s="417">
        <f t="shared" si="52"/>
        <v>0</v>
      </c>
      <c r="T29" s="417">
        <f t="shared" si="52"/>
        <v>0</v>
      </c>
      <c r="U29" s="417">
        <f t="shared" si="52"/>
        <v>0</v>
      </c>
      <c r="V29" s="417">
        <f t="shared" si="53"/>
        <v>0</v>
      </c>
      <c r="W29" s="417">
        <f t="shared" si="53"/>
        <v>0</v>
      </c>
      <c r="X29" s="417">
        <f t="shared" si="53"/>
        <v>0</v>
      </c>
      <c r="Y29" s="417">
        <f t="shared" si="53"/>
        <v>0</v>
      </c>
      <c r="Z29" s="417">
        <f t="shared" si="53"/>
        <v>0</v>
      </c>
      <c r="AA29" s="417">
        <f t="shared" si="53"/>
        <v>0</v>
      </c>
      <c r="AB29" s="417">
        <f t="shared" si="53"/>
        <v>0</v>
      </c>
      <c r="AC29" s="417">
        <f t="shared" si="53"/>
        <v>0</v>
      </c>
      <c r="AD29" s="417">
        <f t="shared" si="53"/>
        <v>0</v>
      </c>
      <c r="AE29" s="417">
        <f t="shared" si="53"/>
        <v>0</v>
      </c>
      <c r="AF29" s="417">
        <f t="shared" si="54"/>
        <v>0</v>
      </c>
      <c r="AG29" s="417">
        <f t="shared" si="54"/>
        <v>0</v>
      </c>
      <c r="AH29" s="417">
        <f t="shared" si="54"/>
        <v>0</v>
      </c>
      <c r="AI29" s="417">
        <f t="shared" si="54"/>
        <v>0</v>
      </c>
      <c r="AJ29" s="417">
        <f t="shared" si="54"/>
        <v>0</v>
      </c>
      <c r="AK29" s="417">
        <f t="shared" si="54"/>
        <v>0</v>
      </c>
      <c r="AL29" s="417">
        <f t="shared" si="54"/>
        <v>0</v>
      </c>
      <c r="AM29" s="417">
        <f t="shared" si="54"/>
        <v>0</v>
      </c>
      <c r="AN29" s="417">
        <f t="shared" si="54"/>
        <v>0</v>
      </c>
      <c r="AO29" s="417">
        <f t="shared" si="54"/>
        <v>0</v>
      </c>
      <c r="AP29" s="417">
        <f t="shared" si="55"/>
        <v>0</v>
      </c>
      <c r="AQ29" s="417">
        <f t="shared" si="55"/>
        <v>0</v>
      </c>
      <c r="AR29" s="417">
        <f t="shared" si="55"/>
        <v>0</v>
      </c>
      <c r="AS29" s="417">
        <f t="shared" si="55"/>
        <v>0</v>
      </c>
      <c r="AT29" s="417">
        <f t="shared" si="55"/>
        <v>0</v>
      </c>
      <c r="AU29" s="417">
        <f t="shared" si="55"/>
        <v>0</v>
      </c>
      <c r="AV29" s="417">
        <f t="shared" si="55"/>
        <v>0</v>
      </c>
      <c r="AW29" s="417">
        <f t="shared" si="55"/>
        <v>0</v>
      </c>
      <c r="AX29" s="417">
        <f t="shared" si="55"/>
        <v>0</v>
      </c>
      <c r="AY29" s="417">
        <f t="shared" si="55"/>
        <v>0</v>
      </c>
      <c r="AZ29" s="417">
        <f t="shared" si="56"/>
        <v>0</v>
      </c>
      <c r="BA29" s="417">
        <f t="shared" si="56"/>
        <v>0</v>
      </c>
      <c r="BB29" s="417">
        <f t="shared" si="56"/>
        <v>0</v>
      </c>
      <c r="BC29" s="417">
        <f t="shared" si="56"/>
        <v>0</v>
      </c>
      <c r="BD29" s="417">
        <f t="shared" si="56"/>
        <v>0</v>
      </c>
      <c r="BE29" s="417">
        <f t="shared" si="56"/>
        <v>0</v>
      </c>
      <c r="BF29" s="417">
        <f t="shared" si="56"/>
        <v>0</v>
      </c>
      <c r="BG29" s="417">
        <f t="shared" si="56"/>
        <v>0</v>
      </c>
      <c r="BH29" s="417">
        <f t="shared" si="56"/>
        <v>0</v>
      </c>
      <c r="BI29" s="417">
        <f t="shared" si="56"/>
        <v>0</v>
      </c>
      <c r="BJ29" s="417">
        <f t="shared" si="57"/>
        <v>0</v>
      </c>
      <c r="BK29" s="417">
        <f t="shared" si="57"/>
        <v>0</v>
      </c>
      <c r="BL29" s="417">
        <f t="shared" si="57"/>
        <v>0</v>
      </c>
      <c r="BM29" s="417">
        <f t="shared" si="57"/>
        <v>0</v>
      </c>
      <c r="BN29" s="417">
        <f t="shared" si="57"/>
        <v>0</v>
      </c>
      <c r="BO29" s="417">
        <f t="shared" si="57"/>
        <v>0</v>
      </c>
      <c r="BP29" s="417">
        <f t="shared" si="57"/>
        <v>0</v>
      </c>
      <c r="BQ29" s="417">
        <f t="shared" si="57"/>
        <v>0</v>
      </c>
      <c r="BR29" s="417">
        <f t="shared" si="57"/>
        <v>0</v>
      </c>
      <c r="BS29" s="417">
        <f t="shared" si="57"/>
        <v>0</v>
      </c>
      <c r="BT29" s="417">
        <f t="shared" si="58"/>
        <v>0</v>
      </c>
      <c r="BU29" s="417">
        <f t="shared" si="58"/>
        <v>0</v>
      </c>
      <c r="BV29" s="417">
        <f t="shared" si="58"/>
        <v>0</v>
      </c>
      <c r="BW29" s="417">
        <f t="shared" si="58"/>
        <v>0</v>
      </c>
      <c r="BX29" s="417">
        <f t="shared" si="58"/>
        <v>0</v>
      </c>
      <c r="BY29" s="417">
        <f t="shared" si="58"/>
        <v>0</v>
      </c>
      <c r="BZ29" s="417">
        <f t="shared" si="58"/>
        <v>0</v>
      </c>
      <c r="CA29" s="417">
        <f t="shared" si="58"/>
        <v>0</v>
      </c>
      <c r="CB29" s="417">
        <f t="shared" si="58"/>
        <v>0</v>
      </c>
      <c r="CC29" s="417">
        <f t="shared" si="58"/>
        <v>0</v>
      </c>
      <c r="CD29" s="417">
        <f t="shared" si="59"/>
        <v>0</v>
      </c>
      <c r="CE29" s="417">
        <f t="shared" si="59"/>
        <v>0</v>
      </c>
      <c r="CF29" s="417">
        <f t="shared" si="59"/>
        <v>0</v>
      </c>
      <c r="CG29" s="417">
        <f t="shared" si="59"/>
        <v>0</v>
      </c>
      <c r="CH29" s="417">
        <f t="shared" si="59"/>
        <v>0</v>
      </c>
      <c r="CI29" s="417">
        <f t="shared" si="59"/>
        <v>0</v>
      </c>
      <c r="CJ29" s="417">
        <f t="shared" si="59"/>
        <v>0</v>
      </c>
      <c r="CK29" s="417">
        <f t="shared" si="59"/>
        <v>0</v>
      </c>
      <c r="CL29" s="417">
        <f t="shared" si="59"/>
        <v>0</v>
      </c>
      <c r="CM29" s="417">
        <f t="shared" si="59"/>
        <v>0</v>
      </c>
      <c r="CN29" s="417">
        <f t="shared" si="60"/>
        <v>0</v>
      </c>
      <c r="CO29" s="417">
        <f t="shared" si="60"/>
        <v>0</v>
      </c>
      <c r="CP29" s="417">
        <f t="shared" si="60"/>
        <v>0</v>
      </c>
      <c r="CQ29" s="417">
        <f t="shared" si="60"/>
        <v>0</v>
      </c>
      <c r="CR29" s="417">
        <f t="shared" si="60"/>
        <v>0</v>
      </c>
      <c r="CS29" s="417">
        <f t="shared" si="60"/>
        <v>0</v>
      </c>
      <c r="CT29" s="417">
        <f t="shared" si="60"/>
        <v>0</v>
      </c>
      <c r="CU29" s="417">
        <f t="shared" si="60"/>
        <v>0</v>
      </c>
      <c r="CV29" s="417">
        <f t="shared" si="60"/>
        <v>0</v>
      </c>
      <c r="CW29" s="417">
        <f t="shared" si="60"/>
        <v>0</v>
      </c>
      <c r="CX29" s="417">
        <f t="shared" si="61"/>
        <v>0</v>
      </c>
      <c r="CY29" s="417">
        <f t="shared" si="61"/>
        <v>0</v>
      </c>
      <c r="CZ29" s="417">
        <f t="shared" si="61"/>
        <v>0</v>
      </c>
      <c r="DA29" s="417">
        <f t="shared" si="61"/>
        <v>0</v>
      </c>
      <c r="DB29" s="417">
        <f t="shared" si="61"/>
        <v>0</v>
      </c>
      <c r="DC29" s="417">
        <f t="shared" si="61"/>
        <v>0</v>
      </c>
      <c r="DD29" s="417">
        <f t="shared" si="61"/>
        <v>0</v>
      </c>
      <c r="DE29" s="417">
        <f t="shared" si="61"/>
        <v>0</v>
      </c>
      <c r="DF29" s="417">
        <f t="shared" si="61"/>
        <v>0</v>
      </c>
      <c r="DG29" s="417">
        <f t="shared" si="61"/>
        <v>0</v>
      </c>
      <c r="DH29" s="417">
        <f t="shared" si="62"/>
        <v>0</v>
      </c>
      <c r="DI29" s="417">
        <f t="shared" si="62"/>
        <v>0</v>
      </c>
      <c r="DJ29" s="417">
        <f t="shared" si="62"/>
        <v>0</v>
      </c>
      <c r="DK29" s="417">
        <f t="shared" si="62"/>
        <v>0</v>
      </c>
      <c r="DL29" s="417">
        <f t="shared" si="62"/>
        <v>0</v>
      </c>
      <c r="DM29" s="417">
        <f t="shared" si="62"/>
        <v>0</v>
      </c>
      <c r="DN29" s="417">
        <f t="shared" si="62"/>
        <v>0</v>
      </c>
      <c r="DO29" s="417">
        <f t="shared" si="62"/>
        <v>0</v>
      </c>
      <c r="DP29" s="417">
        <f t="shared" si="62"/>
        <v>0</v>
      </c>
      <c r="DQ29" s="417">
        <f t="shared" si="62"/>
        <v>0</v>
      </c>
      <c r="DR29" s="417">
        <f t="shared" si="63"/>
        <v>0</v>
      </c>
      <c r="DS29" s="417">
        <f t="shared" si="63"/>
        <v>0</v>
      </c>
      <c r="DT29" s="417">
        <f t="shared" si="63"/>
        <v>0</v>
      </c>
      <c r="DU29" s="417">
        <f t="shared" si="63"/>
        <v>0</v>
      </c>
      <c r="DV29" s="417">
        <f t="shared" si="63"/>
        <v>0</v>
      </c>
      <c r="DW29" s="417">
        <f t="shared" si="63"/>
        <v>0</v>
      </c>
      <c r="DX29" s="417">
        <f t="shared" si="63"/>
        <v>0</v>
      </c>
      <c r="DY29" s="417">
        <f t="shared" si="63"/>
        <v>0</v>
      </c>
      <c r="DZ29" s="417">
        <f t="shared" si="63"/>
        <v>0</v>
      </c>
      <c r="EA29" s="417">
        <f t="shared" si="63"/>
        <v>0</v>
      </c>
      <c r="EB29" s="417">
        <f t="shared" si="64"/>
        <v>0</v>
      </c>
      <c r="EC29" s="417">
        <f t="shared" si="64"/>
        <v>0</v>
      </c>
      <c r="ED29" s="417">
        <f t="shared" si="64"/>
        <v>0</v>
      </c>
      <c r="EE29" s="417">
        <f t="shared" si="64"/>
        <v>0</v>
      </c>
      <c r="EF29" s="417">
        <f t="shared" si="64"/>
        <v>0</v>
      </c>
      <c r="EG29" s="417">
        <f t="shared" si="64"/>
        <v>0</v>
      </c>
      <c r="EH29" s="417">
        <f t="shared" si="64"/>
        <v>0</v>
      </c>
      <c r="EI29" s="417">
        <f t="shared" si="64"/>
        <v>0</v>
      </c>
      <c r="EJ29" s="417">
        <f t="shared" si="64"/>
        <v>0</v>
      </c>
      <c r="EK29" s="417">
        <f t="shared" si="64"/>
        <v>0</v>
      </c>
      <c r="EL29" s="417">
        <f t="shared" si="65"/>
        <v>0</v>
      </c>
      <c r="EM29" s="417">
        <f t="shared" si="65"/>
        <v>0</v>
      </c>
      <c r="EN29" s="417">
        <f t="shared" si="65"/>
        <v>0</v>
      </c>
      <c r="EO29"/>
      <c r="EP29" s="220">
        <f>I29</f>
        <v>0</v>
      </c>
      <c r="EQ29" s="201">
        <f>INDEX($L$24:$EN$24,1,$D29+1)</f>
        <v>46203</v>
      </c>
      <c r="ER29" s="201">
        <f>INDEX($L$24:$EN$24,1,$E29+1)</f>
        <v>46203</v>
      </c>
      <c r="ES29" s="20">
        <f>+E29-D29+1</f>
        <v>1</v>
      </c>
      <c r="ET29" s="18" t="str">
        <f>F29</f>
        <v>Straight-Line</v>
      </c>
      <c r="EU29" s="79">
        <f>ES29/Scurve_Dist</f>
        <v>0.16666666666666666</v>
      </c>
      <c r="EV29" s="20">
        <f>AND($ET29="S-Curve",EV$24&gt;=$EQ29,EV$24&lt;=$ER29)*(NORMDIST((YEAR(EV$24)-YEAR($EQ29))*12+MONTH(EV$24)-MONTH($EQ29)+1,$ES29/2,$EU29,TRUE)-NORMDIST((YEAR(EV$24)-YEAR($EQ29))*12+MONTH(EV$24)-MONTH($EQ29),$ES29/2,$EU29,TRUE))/(1-2*NORMDIST(0,$ES29/2,$EU29,TRUE))*$EP29</f>
        <v>0</v>
      </c>
      <c r="EW29" s="20">
        <f t="shared" si="79"/>
        <v>0</v>
      </c>
      <c r="EX29" s="20">
        <f t="shared" si="79"/>
        <v>0</v>
      </c>
      <c r="EY29" s="20">
        <f t="shared" si="79"/>
        <v>0</v>
      </c>
      <c r="EZ29" s="20">
        <f t="shared" si="79"/>
        <v>0</v>
      </c>
      <c r="FA29" s="20">
        <f t="shared" si="79"/>
        <v>0</v>
      </c>
      <c r="FB29" s="20">
        <f t="shared" si="79"/>
        <v>0</v>
      </c>
      <c r="FC29" s="20">
        <f t="shared" si="79"/>
        <v>0</v>
      </c>
      <c r="FD29" s="20">
        <f t="shared" si="79"/>
        <v>0</v>
      </c>
      <c r="FE29" s="20">
        <f t="shared" si="79"/>
        <v>0</v>
      </c>
      <c r="FF29" s="20">
        <f t="shared" si="79"/>
        <v>0</v>
      </c>
      <c r="FG29" s="20">
        <f t="shared" si="79"/>
        <v>0</v>
      </c>
      <c r="FH29" s="20">
        <f t="shared" si="79"/>
        <v>0</v>
      </c>
      <c r="FI29" s="20">
        <f t="shared" si="79"/>
        <v>0</v>
      </c>
      <c r="FJ29" s="20">
        <f t="shared" si="79"/>
        <v>0</v>
      </c>
      <c r="FK29" s="20">
        <f t="shared" si="79"/>
        <v>0</v>
      </c>
      <c r="FL29" s="20">
        <f t="shared" si="79"/>
        <v>0</v>
      </c>
      <c r="FM29" s="20">
        <f t="shared" si="79"/>
        <v>0</v>
      </c>
      <c r="FN29" s="20">
        <f t="shared" si="79"/>
        <v>0</v>
      </c>
      <c r="FO29" s="20">
        <f t="shared" si="79"/>
        <v>0</v>
      </c>
      <c r="FP29" s="20">
        <f t="shared" si="79"/>
        <v>0</v>
      </c>
      <c r="FQ29" s="20">
        <f t="shared" si="79"/>
        <v>0</v>
      </c>
      <c r="FR29" s="20">
        <f t="shared" si="79"/>
        <v>0</v>
      </c>
      <c r="FS29" s="20">
        <f t="shared" si="79"/>
        <v>0</v>
      </c>
      <c r="FT29" s="20">
        <f t="shared" si="79"/>
        <v>0</v>
      </c>
      <c r="FU29" s="20">
        <f t="shared" si="79"/>
        <v>0</v>
      </c>
      <c r="FV29" s="20">
        <f t="shared" si="79"/>
        <v>0</v>
      </c>
      <c r="FW29" s="20">
        <f t="shared" si="79"/>
        <v>0</v>
      </c>
      <c r="FX29" s="20">
        <f t="shared" si="79"/>
        <v>0</v>
      </c>
      <c r="FY29" s="20">
        <f t="shared" si="79"/>
        <v>0</v>
      </c>
      <c r="FZ29" s="20">
        <f t="shared" si="79"/>
        <v>0</v>
      </c>
      <c r="GA29" s="20">
        <f t="shared" si="79"/>
        <v>0</v>
      </c>
      <c r="GB29" s="20">
        <f t="shared" si="79"/>
        <v>0</v>
      </c>
      <c r="GC29" s="20">
        <f t="shared" si="79"/>
        <v>0</v>
      </c>
      <c r="GD29" s="20">
        <f t="shared" si="79"/>
        <v>0</v>
      </c>
      <c r="GE29" s="20">
        <f t="shared" si="79"/>
        <v>0</v>
      </c>
      <c r="GF29" s="20">
        <f t="shared" si="79"/>
        <v>0</v>
      </c>
      <c r="GG29" s="20">
        <f t="shared" si="79"/>
        <v>0</v>
      </c>
      <c r="GH29" s="20">
        <f t="shared" si="79"/>
        <v>0</v>
      </c>
      <c r="GI29" s="20">
        <f t="shared" si="79"/>
        <v>0</v>
      </c>
      <c r="GJ29" s="20">
        <f t="shared" si="79"/>
        <v>0</v>
      </c>
      <c r="GK29" s="20">
        <f t="shared" si="79"/>
        <v>0</v>
      </c>
      <c r="GL29" s="20">
        <f t="shared" si="79"/>
        <v>0</v>
      </c>
      <c r="GM29" s="20">
        <f t="shared" si="79"/>
        <v>0</v>
      </c>
      <c r="GN29" s="20">
        <f t="shared" si="79"/>
        <v>0</v>
      </c>
      <c r="GO29" s="20">
        <f t="shared" si="79"/>
        <v>0</v>
      </c>
      <c r="GP29" s="20">
        <f t="shared" si="79"/>
        <v>0</v>
      </c>
      <c r="GQ29" s="20">
        <f t="shared" si="79"/>
        <v>0</v>
      </c>
      <c r="GR29" s="20">
        <f t="shared" si="79"/>
        <v>0</v>
      </c>
      <c r="GS29" s="20">
        <f t="shared" si="79"/>
        <v>0</v>
      </c>
      <c r="GT29" s="20">
        <f t="shared" si="79"/>
        <v>0</v>
      </c>
      <c r="GU29" s="20">
        <f t="shared" si="79"/>
        <v>0</v>
      </c>
      <c r="GV29" s="20">
        <f t="shared" si="79"/>
        <v>0</v>
      </c>
      <c r="GW29" s="20">
        <f t="shared" si="79"/>
        <v>0</v>
      </c>
      <c r="GX29" s="20">
        <f t="shared" si="79"/>
        <v>0</v>
      </c>
      <c r="GY29" s="20">
        <f t="shared" si="79"/>
        <v>0</v>
      </c>
      <c r="GZ29" s="20">
        <f t="shared" si="79"/>
        <v>0</v>
      </c>
      <c r="HA29" s="20">
        <f t="shared" si="79"/>
        <v>0</v>
      </c>
      <c r="HB29" s="20">
        <f t="shared" si="79"/>
        <v>0</v>
      </c>
      <c r="HC29" s="20">
        <f t="shared" si="79"/>
        <v>0</v>
      </c>
      <c r="HD29" s="20">
        <f t="shared" si="79"/>
        <v>0</v>
      </c>
      <c r="HE29" s="20">
        <f t="shared" si="79"/>
        <v>0</v>
      </c>
      <c r="HF29" s="20">
        <f t="shared" si="79"/>
        <v>0</v>
      </c>
      <c r="HG29" s="20">
        <f t="shared" si="79"/>
        <v>0</v>
      </c>
      <c r="HH29" s="20">
        <f t="shared" si="79"/>
        <v>0</v>
      </c>
      <c r="HI29" s="20">
        <f t="shared" si="80"/>
        <v>0</v>
      </c>
      <c r="HJ29" s="20">
        <f t="shared" si="80"/>
        <v>0</v>
      </c>
      <c r="HK29" s="20">
        <f t="shared" si="80"/>
        <v>0</v>
      </c>
      <c r="HL29" s="20">
        <f t="shared" si="80"/>
        <v>0</v>
      </c>
      <c r="HM29" s="20">
        <f t="shared" si="80"/>
        <v>0</v>
      </c>
      <c r="HN29" s="20">
        <f t="shared" si="80"/>
        <v>0</v>
      </c>
      <c r="HO29" s="20">
        <f t="shared" si="80"/>
        <v>0</v>
      </c>
      <c r="HP29" s="20">
        <f t="shared" si="80"/>
        <v>0</v>
      </c>
      <c r="HQ29" s="20">
        <f t="shared" si="80"/>
        <v>0</v>
      </c>
      <c r="HR29" s="20">
        <f t="shared" si="80"/>
        <v>0</v>
      </c>
      <c r="HS29" s="20">
        <f t="shared" si="80"/>
        <v>0</v>
      </c>
      <c r="HT29" s="20">
        <f t="shared" si="80"/>
        <v>0</v>
      </c>
      <c r="HU29" s="20">
        <f t="shared" si="80"/>
        <v>0</v>
      </c>
      <c r="HV29" s="20">
        <f t="shared" si="80"/>
        <v>0</v>
      </c>
      <c r="HW29" s="20">
        <f t="shared" si="80"/>
        <v>0</v>
      </c>
      <c r="HX29" s="20">
        <f t="shared" si="80"/>
        <v>0</v>
      </c>
      <c r="HY29" s="20">
        <f t="shared" si="80"/>
        <v>0</v>
      </c>
      <c r="HZ29" s="20">
        <f t="shared" si="80"/>
        <v>0</v>
      </c>
      <c r="IA29" s="20">
        <f t="shared" si="80"/>
        <v>0</v>
      </c>
      <c r="IB29" s="20">
        <f t="shared" si="80"/>
        <v>0</v>
      </c>
      <c r="IC29" s="20">
        <f t="shared" si="80"/>
        <v>0</v>
      </c>
      <c r="ID29" s="20">
        <f t="shared" si="80"/>
        <v>0</v>
      </c>
      <c r="IE29" s="20">
        <f t="shared" si="80"/>
        <v>0</v>
      </c>
      <c r="IF29" s="20">
        <f t="shared" si="80"/>
        <v>0</v>
      </c>
      <c r="IG29" s="20">
        <f t="shared" si="80"/>
        <v>0</v>
      </c>
      <c r="IH29" s="20">
        <f t="shared" si="80"/>
        <v>0</v>
      </c>
      <c r="II29" s="20">
        <f t="shared" si="80"/>
        <v>0</v>
      </c>
      <c r="IJ29" s="20">
        <f t="shared" si="80"/>
        <v>0</v>
      </c>
      <c r="IK29" s="20">
        <f t="shared" si="80"/>
        <v>0</v>
      </c>
      <c r="IL29" s="20">
        <f t="shared" si="80"/>
        <v>0</v>
      </c>
      <c r="IM29" s="20">
        <f t="shared" si="80"/>
        <v>0</v>
      </c>
      <c r="IN29" s="20">
        <f t="shared" si="80"/>
        <v>0</v>
      </c>
      <c r="IO29" s="20">
        <f t="shared" si="80"/>
        <v>0</v>
      </c>
      <c r="IP29" s="20">
        <f t="shared" si="80"/>
        <v>0</v>
      </c>
      <c r="IQ29" s="20">
        <f t="shared" si="80"/>
        <v>0</v>
      </c>
      <c r="IR29" s="20">
        <f t="shared" si="80"/>
        <v>0</v>
      </c>
      <c r="IS29" s="20">
        <f t="shared" si="80"/>
        <v>0</v>
      </c>
      <c r="IT29" s="20">
        <f t="shared" si="80"/>
        <v>0</v>
      </c>
      <c r="IU29" s="20">
        <f t="shared" si="80"/>
        <v>0</v>
      </c>
      <c r="IV29" s="20">
        <f t="shared" si="80"/>
        <v>0</v>
      </c>
      <c r="IW29" s="20">
        <f t="shared" si="80"/>
        <v>0</v>
      </c>
      <c r="IX29" s="20">
        <f t="shared" si="80"/>
        <v>0</v>
      </c>
      <c r="IY29" s="20">
        <f t="shared" si="80"/>
        <v>0</v>
      </c>
      <c r="IZ29" s="20">
        <f t="shared" si="80"/>
        <v>0</v>
      </c>
      <c r="JA29" s="20">
        <f t="shared" si="80"/>
        <v>0</v>
      </c>
      <c r="JB29" s="20">
        <f t="shared" si="80"/>
        <v>0</v>
      </c>
      <c r="JC29" s="20">
        <f t="shared" si="80"/>
        <v>0</v>
      </c>
      <c r="JD29" s="20">
        <f t="shared" si="80"/>
        <v>0</v>
      </c>
      <c r="JE29" s="20">
        <f t="shared" si="80"/>
        <v>0</v>
      </c>
      <c r="JF29" s="20">
        <f t="shared" si="80"/>
        <v>0</v>
      </c>
      <c r="JG29" s="20">
        <f t="shared" si="80"/>
        <v>0</v>
      </c>
      <c r="JH29" s="20">
        <f t="shared" si="80"/>
        <v>0</v>
      </c>
      <c r="JI29" s="20">
        <f t="shared" si="80"/>
        <v>0</v>
      </c>
      <c r="JJ29" s="20">
        <f t="shared" si="80"/>
        <v>0</v>
      </c>
      <c r="JK29" s="20">
        <f t="shared" si="80"/>
        <v>0</v>
      </c>
      <c r="JL29" s="20">
        <f t="shared" si="80"/>
        <v>0</v>
      </c>
      <c r="JM29" s="20">
        <f t="shared" si="80"/>
        <v>0</v>
      </c>
      <c r="JN29" s="20">
        <f t="shared" si="80"/>
        <v>0</v>
      </c>
      <c r="JO29" s="20">
        <f t="shared" si="80"/>
        <v>0</v>
      </c>
      <c r="JP29" s="20">
        <f t="shared" si="80"/>
        <v>0</v>
      </c>
      <c r="JQ29" s="20">
        <f t="shared" si="80"/>
        <v>0</v>
      </c>
      <c r="JR29" s="20">
        <f t="shared" si="80"/>
        <v>0</v>
      </c>
      <c r="JS29" s="20">
        <f t="shared" si="80"/>
        <v>0</v>
      </c>
      <c r="JT29" s="20">
        <f t="shared" si="80"/>
        <v>0</v>
      </c>
      <c r="JU29" s="20">
        <f t="shared" si="68"/>
        <v>0</v>
      </c>
      <c r="JV29" s="20">
        <f t="shared" si="68"/>
        <v>0</v>
      </c>
      <c r="JW29" s="20">
        <f t="shared" si="68"/>
        <v>0</v>
      </c>
      <c r="JX29" s="20">
        <f t="shared" si="68"/>
        <v>0</v>
      </c>
      <c r="JY29"/>
      <c r="JZ29" s="220" t="str">
        <f>B29</f>
        <v>Other acquisition costs</v>
      </c>
      <c r="KA29" s="201"/>
      <c r="KB29" s="20">
        <f t="shared" si="69"/>
        <v>0</v>
      </c>
      <c r="KC29" s="20">
        <f t="shared" si="69"/>
        <v>0</v>
      </c>
      <c r="KD29" s="20">
        <f>KC29-KB29+1</f>
        <v>1</v>
      </c>
      <c r="KE29" s="418">
        <f>I29</f>
        <v>0</v>
      </c>
      <c r="KF29" s="418">
        <f>AND(KF$23&gt;=$KB29,KF$23&lt;=$KC29)*(IF($F29="Steady Growth",KF$23-$KB29,$KC29-KF$23)+1)/($KD29*($KD29+1)/2)*$KE29</f>
        <v>0</v>
      </c>
      <c r="KG29" s="418">
        <f t="shared" si="70"/>
        <v>0</v>
      </c>
      <c r="KH29" s="418">
        <f t="shared" si="70"/>
        <v>0</v>
      </c>
      <c r="KI29" s="418">
        <f t="shared" si="70"/>
        <v>0</v>
      </c>
      <c r="KJ29" s="418">
        <f t="shared" si="70"/>
        <v>0</v>
      </c>
      <c r="KK29" s="418">
        <f t="shared" si="70"/>
        <v>0</v>
      </c>
      <c r="KL29" s="418">
        <f t="shared" si="70"/>
        <v>0</v>
      </c>
      <c r="KM29" s="418">
        <f t="shared" si="70"/>
        <v>0</v>
      </c>
      <c r="KN29" s="418">
        <f t="shared" si="70"/>
        <v>0</v>
      </c>
      <c r="KO29" s="418">
        <f t="shared" si="70"/>
        <v>0</v>
      </c>
      <c r="KP29" s="418">
        <f t="shared" si="70"/>
        <v>0</v>
      </c>
      <c r="KQ29" s="418">
        <f t="shared" si="70"/>
        <v>0</v>
      </c>
      <c r="KR29" s="418">
        <f t="shared" si="70"/>
        <v>0</v>
      </c>
      <c r="KS29" s="418">
        <f t="shared" si="70"/>
        <v>0</v>
      </c>
      <c r="KT29" s="418">
        <f t="shared" si="70"/>
        <v>0</v>
      </c>
      <c r="KU29" s="418">
        <f t="shared" si="70"/>
        <v>0</v>
      </c>
      <c r="KV29" s="418">
        <f t="shared" si="70"/>
        <v>0</v>
      </c>
      <c r="KW29" s="418">
        <f t="shared" si="71"/>
        <v>0</v>
      </c>
      <c r="KX29" s="418">
        <f t="shared" si="71"/>
        <v>0</v>
      </c>
      <c r="KY29" s="418">
        <f t="shared" si="71"/>
        <v>0</v>
      </c>
      <c r="KZ29" s="418">
        <f t="shared" si="71"/>
        <v>0</v>
      </c>
      <c r="LA29" s="418">
        <f t="shared" si="71"/>
        <v>0</v>
      </c>
      <c r="LB29" s="418">
        <f t="shared" si="71"/>
        <v>0</v>
      </c>
      <c r="LC29" s="418">
        <f t="shared" si="71"/>
        <v>0</v>
      </c>
      <c r="LD29" s="418">
        <f t="shared" si="71"/>
        <v>0</v>
      </c>
      <c r="LE29" s="418">
        <f t="shared" si="71"/>
        <v>0</v>
      </c>
      <c r="LF29" s="418">
        <f t="shared" si="71"/>
        <v>0</v>
      </c>
      <c r="LG29" s="418">
        <f t="shared" si="71"/>
        <v>0</v>
      </c>
      <c r="LH29" s="418">
        <f t="shared" si="71"/>
        <v>0</v>
      </c>
      <c r="LI29" s="418">
        <f t="shared" si="71"/>
        <v>0</v>
      </c>
      <c r="LJ29" s="418">
        <f t="shared" si="71"/>
        <v>0</v>
      </c>
      <c r="LK29" s="418">
        <f t="shared" si="71"/>
        <v>0</v>
      </c>
      <c r="LL29" s="418">
        <f t="shared" si="71"/>
        <v>0</v>
      </c>
      <c r="LM29" s="418">
        <f t="shared" si="72"/>
        <v>0</v>
      </c>
      <c r="LN29" s="418">
        <f t="shared" si="72"/>
        <v>0</v>
      </c>
      <c r="LO29" s="418">
        <f t="shared" si="72"/>
        <v>0</v>
      </c>
      <c r="LP29" s="418">
        <f t="shared" si="72"/>
        <v>0</v>
      </c>
      <c r="LQ29" s="418">
        <f t="shared" si="72"/>
        <v>0</v>
      </c>
      <c r="LR29" s="418">
        <f t="shared" si="72"/>
        <v>0</v>
      </c>
      <c r="LS29" s="418">
        <f t="shared" si="72"/>
        <v>0</v>
      </c>
      <c r="LT29" s="418">
        <f t="shared" si="72"/>
        <v>0</v>
      </c>
      <c r="LU29" s="418">
        <f t="shared" si="72"/>
        <v>0</v>
      </c>
      <c r="LV29" s="418">
        <f t="shared" si="72"/>
        <v>0</v>
      </c>
      <c r="LW29" s="418">
        <f t="shared" si="72"/>
        <v>0</v>
      </c>
      <c r="LX29" s="418">
        <f t="shared" si="72"/>
        <v>0</v>
      </c>
      <c r="LY29" s="418">
        <f t="shared" si="72"/>
        <v>0</v>
      </c>
      <c r="LZ29" s="418">
        <f t="shared" si="72"/>
        <v>0</v>
      </c>
      <c r="MA29" s="418">
        <f t="shared" si="72"/>
        <v>0</v>
      </c>
      <c r="MB29" s="418">
        <f t="shared" si="72"/>
        <v>0</v>
      </c>
      <c r="MC29" s="418">
        <f t="shared" si="73"/>
        <v>0</v>
      </c>
      <c r="MD29" s="418">
        <f t="shared" si="73"/>
        <v>0</v>
      </c>
      <c r="ME29" s="418">
        <f t="shared" si="73"/>
        <v>0</v>
      </c>
      <c r="MF29" s="418">
        <f t="shared" si="73"/>
        <v>0</v>
      </c>
      <c r="MG29" s="418">
        <f t="shared" si="73"/>
        <v>0</v>
      </c>
      <c r="MH29" s="418">
        <f t="shared" si="73"/>
        <v>0</v>
      </c>
      <c r="MI29" s="418">
        <f t="shared" si="73"/>
        <v>0</v>
      </c>
      <c r="MJ29" s="418">
        <f t="shared" si="73"/>
        <v>0</v>
      </c>
      <c r="MK29" s="418">
        <f t="shared" si="73"/>
        <v>0</v>
      </c>
      <c r="ML29" s="418">
        <f t="shared" si="73"/>
        <v>0</v>
      </c>
      <c r="MM29" s="418">
        <f t="shared" si="73"/>
        <v>0</v>
      </c>
      <c r="MN29" s="418">
        <f t="shared" si="73"/>
        <v>0</v>
      </c>
      <c r="MO29" s="418">
        <f t="shared" si="73"/>
        <v>0</v>
      </c>
      <c r="MP29" s="418">
        <f t="shared" si="73"/>
        <v>0</v>
      </c>
      <c r="MQ29" s="418">
        <f t="shared" si="73"/>
        <v>0</v>
      </c>
      <c r="MR29" s="418">
        <f t="shared" si="73"/>
        <v>0</v>
      </c>
      <c r="MS29" s="418">
        <f t="shared" si="74"/>
        <v>0</v>
      </c>
      <c r="MT29" s="418">
        <f t="shared" si="74"/>
        <v>0</v>
      </c>
      <c r="MU29" s="418">
        <f t="shared" si="74"/>
        <v>0</v>
      </c>
      <c r="MV29" s="418">
        <f t="shared" si="74"/>
        <v>0</v>
      </c>
      <c r="MW29" s="418">
        <f t="shared" si="74"/>
        <v>0</v>
      </c>
      <c r="MX29" s="418">
        <f t="shared" si="74"/>
        <v>0</v>
      </c>
      <c r="MY29" s="418">
        <f t="shared" si="74"/>
        <v>0</v>
      </c>
      <c r="MZ29" s="418">
        <f t="shared" si="74"/>
        <v>0</v>
      </c>
      <c r="NA29" s="418">
        <f t="shared" si="74"/>
        <v>0</v>
      </c>
      <c r="NB29" s="418">
        <f t="shared" si="74"/>
        <v>0</v>
      </c>
      <c r="NC29" s="418">
        <f t="shared" si="74"/>
        <v>0</v>
      </c>
      <c r="ND29" s="418">
        <f t="shared" si="74"/>
        <v>0</v>
      </c>
      <c r="NE29" s="418">
        <f t="shared" si="74"/>
        <v>0</v>
      </c>
      <c r="NF29" s="418">
        <f t="shared" si="74"/>
        <v>0</v>
      </c>
      <c r="NG29" s="418">
        <f t="shared" si="74"/>
        <v>0</v>
      </c>
      <c r="NH29" s="418">
        <f t="shared" si="74"/>
        <v>0</v>
      </c>
      <c r="NI29" s="418">
        <f t="shared" si="75"/>
        <v>0</v>
      </c>
      <c r="NJ29" s="418">
        <f t="shared" si="75"/>
        <v>0</v>
      </c>
      <c r="NK29" s="418">
        <f t="shared" si="75"/>
        <v>0</v>
      </c>
      <c r="NL29" s="418">
        <f t="shared" si="75"/>
        <v>0</v>
      </c>
      <c r="NM29" s="418">
        <f t="shared" si="75"/>
        <v>0</v>
      </c>
      <c r="NN29" s="418">
        <f t="shared" si="75"/>
        <v>0</v>
      </c>
      <c r="NO29" s="418">
        <f t="shared" si="75"/>
        <v>0</v>
      </c>
      <c r="NP29" s="418">
        <f t="shared" si="75"/>
        <v>0</v>
      </c>
      <c r="NQ29" s="418">
        <f t="shared" si="75"/>
        <v>0</v>
      </c>
      <c r="NR29" s="418">
        <f t="shared" si="75"/>
        <v>0</v>
      </c>
      <c r="NS29" s="418">
        <f t="shared" si="75"/>
        <v>0</v>
      </c>
      <c r="NT29" s="418">
        <f t="shared" si="75"/>
        <v>0</v>
      </c>
      <c r="NU29" s="418">
        <f t="shared" si="75"/>
        <v>0</v>
      </c>
      <c r="NV29" s="418">
        <f t="shared" si="75"/>
        <v>0</v>
      </c>
      <c r="NW29" s="418">
        <f t="shared" si="75"/>
        <v>0</v>
      </c>
      <c r="NX29" s="418">
        <f t="shared" si="75"/>
        <v>0</v>
      </c>
      <c r="NY29" s="418">
        <f t="shared" si="76"/>
        <v>0</v>
      </c>
      <c r="NZ29" s="418">
        <f t="shared" si="76"/>
        <v>0</v>
      </c>
      <c r="OA29" s="418">
        <f t="shared" si="76"/>
        <v>0</v>
      </c>
      <c r="OB29" s="418">
        <f t="shared" si="76"/>
        <v>0</v>
      </c>
      <c r="OC29" s="418">
        <f t="shared" si="76"/>
        <v>0</v>
      </c>
      <c r="OD29" s="418">
        <f t="shared" si="76"/>
        <v>0</v>
      </c>
      <c r="OE29" s="418">
        <f t="shared" si="76"/>
        <v>0</v>
      </c>
      <c r="OF29" s="418">
        <f t="shared" si="76"/>
        <v>0</v>
      </c>
      <c r="OG29" s="418">
        <f t="shared" si="76"/>
        <v>0</v>
      </c>
      <c r="OH29" s="418">
        <f t="shared" si="76"/>
        <v>0</v>
      </c>
      <c r="OI29" s="418">
        <f t="shared" si="76"/>
        <v>0</v>
      </c>
      <c r="OJ29" s="418">
        <f t="shared" si="76"/>
        <v>0</v>
      </c>
      <c r="OK29" s="418">
        <f t="shared" si="76"/>
        <v>0</v>
      </c>
      <c r="OL29" s="418">
        <f t="shared" si="76"/>
        <v>0</v>
      </c>
      <c r="OM29" s="418">
        <f t="shared" si="76"/>
        <v>0</v>
      </c>
      <c r="ON29" s="418">
        <f t="shared" si="76"/>
        <v>0</v>
      </c>
      <c r="OO29" s="418">
        <f t="shared" si="77"/>
        <v>0</v>
      </c>
      <c r="OP29" s="418">
        <f t="shared" si="77"/>
        <v>0</v>
      </c>
      <c r="OQ29" s="418">
        <f t="shared" si="77"/>
        <v>0</v>
      </c>
      <c r="OR29" s="418">
        <f t="shared" si="77"/>
        <v>0</v>
      </c>
      <c r="OS29" s="418">
        <f t="shared" si="77"/>
        <v>0</v>
      </c>
      <c r="OT29" s="418">
        <f t="shared" si="77"/>
        <v>0</v>
      </c>
      <c r="OU29" s="418">
        <f t="shared" si="77"/>
        <v>0</v>
      </c>
      <c r="OV29" s="418">
        <f t="shared" si="77"/>
        <v>0</v>
      </c>
      <c r="OW29" s="418">
        <f t="shared" si="77"/>
        <v>0</v>
      </c>
      <c r="OX29" s="418">
        <f t="shared" si="77"/>
        <v>0</v>
      </c>
      <c r="OY29" s="418">
        <f t="shared" si="77"/>
        <v>0</v>
      </c>
      <c r="OZ29" s="418">
        <f t="shared" si="77"/>
        <v>0</v>
      </c>
      <c r="PA29" s="418">
        <f t="shared" si="77"/>
        <v>0</v>
      </c>
      <c r="PB29" s="418">
        <f t="shared" si="77"/>
        <v>0</v>
      </c>
      <c r="PC29" s="418">
        <f t="shared" si="77"/>
        <v>0</v>
      </c>
      <c r="PD29" s="418">
        <f t="shared" si="77"/>
        <v>0</v>
      </c>
      <c r="PE29" s="418">
        <f t="shared" si="78"/>
        <v>0</v>
      </c>
      <c r="PF29" s="418">
        <f t="shared" si="78"/>
        <v>0</v>
      </c>
      <c r="PG29" s="418">
        <f t="shared" si="78"/>
        <v>0</v>
      </c>
      <c r="PH29" s="418">
        <f t="shared" si="78"/>
        <v>0</v>
      </c>
    </row>
    <row r="30" spans="1:424" x14ac:dyDescent="0.35">
      <c r="A30"/>
      <c r="B30" s="419" t="s">
        <v>145</v>
      </c>
      <c r="C30" s="400">
        <v>0</v>
      </c>
      <c r="D30" s="45"/>
      <c r="E30" s="45">
        <v>0</v>
      </c>
      <c r="F30" s="414" t="s">
        <v>142</v>
      </c>
      <c r="G30" s="42">
        <f>I30/Units_SF_M2</f>
        <v>0</v>
      </c>
      <c r="H30" s="420"/>
      <c r="I30" s="837">
        <f>MAX(0,'URWLD COMPANY INPUTS'!$D$750*1000000)</f>
        <v>0</v>
      </c>
      <c r="J30"/>
      <c r="K30" s="22" t="str">
        <f>IF(ROUND(SUM(L30:EN30),0)=ROUND(I30,0),"","Incomplete")</f>
        <v/>
      </c>
      <c r="L30" s="422">
        <f t="shared" si="52"/>
        <v>0</v>
      </c>
      <c r="M30" s="422">
        <f t="shared" si="52"/>
        <v>0</v>
      </c>
      <c r="N30" s="422">
        <f t="shared" si="52"/>
        <v>0</v>
      </c>
      <c r="O30" s="422">
        <f t="shared" si="52"/>
        <v>0</v>
      </c>
      <c r="P30" s="422">
        <f t="shared" si="52"/>
        <v>0</v>
      </c>
      <c r="Q30" s="422">
        <f t="shared" si="52"/>
        <v>0</v>
      </c>
      <c r="R30" s="422">
        <f t="shared" si="52"/>
        <v>0</v>
      </c>
      <c r="S30" s="422">
        <f t="shared" si="52"/>
        <v>0</v>
      </c>
      <c r="T30" s="422">
        <f t="shared" si="52"/>
        <v>0</v>
      </c>
      <c r="U30" s="422">
        <f t="shared" si="52"/>
        <v>0</v>
      </c>
      <c r="V30" s="422">
        <f t="shared" si="53"/>
        <v>0</v>
      </c>
      <c r="W30" s="422">
        <f t="shared" si="53"/>
        <v>0</v>
      </c>
      <c r="X30" s="422">
        <f t="shared" si="53"/>
        <v>0</v>
      </c>
      <c r="Y30" s="422">
        <f t="shared" si="53"/>
        <v>0</v>
      </c>
      <c r="Z30" s="422">
        <f t="shared" si="53"/>
        <v>0</v>
      </c>
      <c r="AA30" s="422">
        <f t="shared" si="53"/>
        <v>0</v>
      </c>
      <c r="AB30" s="422">
        <f t="shared" si="53"/>
        <v>0</v>
      </c>
      <c r="AC30" s="422">
        <f t="shared" si="53"/>
        <v>0</v>
      </c>
      <c r="AD30" s="422">
        <f t="shared" si="53"/>
        <v>0</v>
      </c>
      <c r="AE30" s="422">
        <f t="shared" si="53"/>
        <v>0</v>
      </c>
      <c r="AF30" s="422">
        <f t="shared" si="54"/>
        <v>0</v>
      </c>
      <c r="AG30" s="422">
        <f t="shared" si="54"/>
        <v>0</v>
      </c>
      <c r="AH30" s="422">
        <f t="shared" si="54"/>
        <v>0</v>
      </c>
      <c r="AI30" s="422">
        <f t="shared" si="54"/>
        <v>0</v>
      </c>
      <c r="AJ30" s="422">
        <f t="shared" si="54"/>
        <v>0</v>
      </c>
      <c r="AK30" s="422">
        <f t="shared" si="54"/>
        <v>0</v>
      </c>
      <c r="AL30" s="422">
        <f t="shared" si="54"/>
        <v>0</v>
      </c>
      <c r="AM30" s="422">
        <f t="shared" si="54"/>
        <v>0</v>
      </c>
      <c r="AN30" s="422">
        <f t="shared" si="54"/>
        <v>0</v>
      </c>
      <c r="AO30" s="422">
        <f t="shared" si="54"/>
        <v>0</v>
      </c>
      <c r="AP30" s="422">
        <f t="shared" si="55"/>
        <v>0</v>
      </c>
      <c r="AQ30" s="422">
        <f t="shared" si="55"/>
        <v>0</v>
      </c>
      <c r="AR30" s="422">
        <f t="shared" si="55"/>
        <v>0</v>
      </c>
      <c r="AS30" s="422">
        <f t="shared" si="55"/>
        <v>0</v>
      </c>
      <c r="AT30" s="422">
        <f t="shared" si="55"/>
        <v>0</v>
      </c>
      <c r="AU30" s="422">
        <f t="shared" si="55"/>
        <v>0</v>
      </c>
      <c r="AV30" s="422">
        <f t="shared" si="55"/>
        <v>0</v>
      </c>
      <c r="AW30" s="422">
        <f t="shared" si="55"/>
        <v>0</v>
      </c>
      <c r="AX30" s="422">
        <f t="shared" si="55"/>
        <v>0</v>
      </c>
      <c r="AY30" s="422">
        <f t="shared" si="55"/>
        <v>0</v>
      </c>
      <c r="AZ30" s="422">
        <f t="shared" si="56"/>
        <v>0</v>
      </c>
      <c r="BA30" s="422">
        <f t="shared" si="56"/>
        <v>0</v>
      </c>
      <c r="BB30" s="422">
        <f t="shared" si="56"/>
        <v>0</v>
      </c>
      <c r="BC30" s="422">
        <f t="shared" si="56"/>
        <v>0</v>
      </c>
      <c r="BD30" s="422">
        <f t="shared" si="56"/>
        <v>0</v>
      </c>
      <c r="BE30" s="422">
        <f t="shared" si="56"/>
        <v>0</v>
      </c>
      <c r="BF30" s="422">
        <f t="shared" si="56"/>
        <v>0</v>
      </c>
      <c r="BG30" s="422">
        <f t="shared" si="56"/>
        <v>0</v>
      </c>
      <c r="BH30" s="422">
        <f t="shared" si="56"/>
        <v>0</v>
      </c>
      <c r="BI30" s="422">
        <f t="shared" si="56"/>
        <v>0</v>
      </c>
      <c r="BJ30" s="422">
        <f t="shared" si="57"/>
        <v>0</v>
      </c>
      <c r="BK30" s="422">
        <f t="shared" si="57"/>
        <v>0</v>
      </c>
      <c r="BL30" s="422">
        <f t="shared" si="57"/>
        <v>0</v>
      </c>
      <c r="BM30" s="422">
        <f t="shared" si="57"/>
        <v>0</v>
      </c>
      <c r="BN30" s="422">
        <f t="shared" si="57"/>
        <v>0</v>
      </c>
      <c r="BO30" s="422">
        <f t="shared" si="57"/>
        <v>0</v>
      </c>
      <c r="BP30" s="422">
        <f t="shared" si="57"/>
        <v>0</v>
      </c>
      <c r="BQ30" s="422">
        <f t="shared" si="57"/>
        <v>0</v>
      </c>
      <c r="BR30" s="422">
        <f t="shared" si="57"/>
        <v>0</v>
      </c>
      <c r="BS30" s="422">
        <f t="shared" si="57"/>
        <v>0</v>
      </c>
      <c r="BT30" s="422">
        <f t="shared" si="58"/>
        <v>0</v>
      </c>
      <c r="BU30" s="422">
        <f t="shared" si="58"/>
        <v>0</v>
      </c>
      <c r="BV30" s="422">
        <f t="shared" si="58"/>
        <v>0</v>
      </c>
      <c r="BW30" s="422">
        <f t="shared" si="58"/>
        <v>0</v>
      </c>
      <c r="BX30" s="422">
        <f t="shared" si="58"/>
        <v>0</v>
      </c>
      <c r="BY30" s="422">
        <f t="shared" si="58"/>
        <v>0</v>
      </c>
      <c r="BZ30" s="422">
        <f t="shared" si="58"/>
        <v>0</v>
      </c>
      <c r="CA30" s="422">
        <f t="shared" si="58"/>
        <v>0</v>
      </c>
      <c r="CB30" s="422">
        <f t="shared" si="58"/>
        <v>0</v>
      </c>
      <c r="CC30" s="422">
        <f t="shared" si="58"/>
        <v>0</v>
      </c>
      <c r="CD30" s="422">
        <f t="shared" si="59"/>
        <v>0</v>
      </c>
      <c r="CE30" s="422">
        <f t="shared" si="59"/>
        <v>0</v>
      </c>
      <c r="CF30" s="422">
        <f t="shared" si="59"/>
        <v>0</v>
      </c>
      <c r="CG30" s="422">
        <f t="shared" si="59"/>
        <v>0</v>
      </c>
      <c r="CH30" s="422">
        <f t="shared" si="59"/>
        <v>0</v>
      </c>
      <c r="CI30" s="422">
        <f t="shared" si="59"/>
        <v>0</v>
      </c>
      <c r="CJ30" s="422">
        <f t="shared" si="59"/>
        <v>0</v>
      </c>
      <c r="CK30" s="422">
        <f t="shared" si="59"/>
        <v>0</v>
      </c>
      <c r="CL30" s="422">
        <f t="shared" si="59"/>
        <v>0</v>
      </c>
      <c r="CM30" s="422">
        <f t="shared" si="59"/>
        <v>0</v>
      </c>
      <c r="CN30" s="422">
        <f t="shared" si="60"/>
        <v>0</v>
      </c>
      <c r="CO30" s="422">
        <f t="shared" si="60"/>
        <v>0</v>
      </c>
      <c r="CP30" s="422">
        <f t="shared" si="60"/>
        <v>0</v>
      </c>
      <c r="CQ30" s="422">
        <f t="shared" si="60"/>
        <v>0</v>
      </c>
      <c r="CR30" s="422">
        <f t="shared" si="60"/>
        <v>0</v>
      </c>
      <c r="CS30" s="422">
        <f t="shared" si="60"/>
        <v>0</v>
      </c>
      <c r="CT30" s="422">
        <f t="shared" si="60"/>
        <v>0</v>
      </c>
      <c r="CU30" s="422">
        <f t="shared" si="60"/>
        <v>0</v>
      </c>
      <c r="CV30" s="422">
        <f t="shared" si="60"/>
        <v>0</v>
      </c>
      <c r="CW30" s="422">
        <f t="shared" si="60"/>
        <v>0</v>
      </c>
      <c r="CX30" s="422">
        <f t="shared" si="61"/>
        <v>0</v>
      </c>
      <c r="CY30" s="422">
        <f t="shared" si="61"/>
        <v>0</v>
      </c>
      <c r="CZ30" s="422">
        <f t="shared" si="61"/>
        <v>0</v>
      </c>
      <c r="DA30" s="422">
        <f t="shared" si="61"/>
        <v>0</v>
      </c>
      <c r="DB30" s="422">
        <f t="shared" si="61"/>
        <v>0</v>
      </c>
      <c r="DC30" s="422">
        <f t="shared" si="61"/>
        <v>0</v>
      </c>
      <c r="DD30" s="422">
        <f t="shared" si="61"/>
        <v>0</v>
      </c>
      <c r="DE30" s="422">
        <f t="shared" si="61"/>
        <v>0</v>
      </c>
      <c r="DF30" s="422">
        <f t="shared" si="61"/>
        <v>0</v>
      </c>
      <c r="DG30" s="422">
        <f t="shared" si="61"/>
        <v>0</v>
      </c>
      <c r="DH30" s="422">
        <f t="shared" si="62"/>
        <v>0</v>
      </c>
      <c r="DI30" s="422">
        <f t="shared" si="62"/>
        <v>0</v>
      </c>
      <c r="DJ30" s="422">
        <f t="shared" si="62"/>
        <v>0</v>
      </c>
      <c r="DK30" s="422">
        <f t="shared" si="62"/>
        <v>0</v>
      </c>
      <c r="DL30" s="422">
        <f t="shared" si="62"/>
        <v>0</v>
      </c>
      <c r="DM30" s="422">
        <f t="shared" si="62"/>
        <v>0</v>
      </c>
      <c r="DN30" s="422">
        <f t="shared" si="62"/>
        <v>0</v>
      </c>
      <c r="DO30" s="422">
        <f t="shared" si="62"/>
        <v>0</v>
      </c>
      <c r="DP30" s="422">
        <f t="shared" si="62"/>
        <v>0</v>
      </c>
      <c r="DQ30" s="422">
        <f t="shared" si="62"/>
        <v>0</v>
      </c>
      <c r="DR30" s="422">
        <f t="shared" si="63"/>
        <v>0</v>
      </c>
      <c r="DS30" s="422">
        <f t="shared" si="63"/>
        <v>0</v>
      </c>
      <c r="DT30" s="422">
        <f t="shared" si="63"/>
        <v>0</v>
      </c>
      <c r="DU30" s="422">
        <f t="shared" si="63"/>
        <v>0</v>
      </c>
      <c r="DV30" s="422">
        <f t="shared" si="63"/>
        <v>0</v>
      </c>
      <c r="DW30" s="422">
        <f t="shared" si="63"/>
        <v>0</v>
      </c>
      <c r="DX30" s="422">
        <f t="shared" si="63"/>
        <v>0</v>
      </c>
      <c r="DY30" s="422">
        <f t="shared" si="63"/>
        <v>0</v>
      </c>
      <c r="DZ30" s="422">
        <f t="shared" si="63"/>
        <v>0</v>
      </c>
      <c r="EA30" s="422">
        <f t="shared" si="63"/>
        <v>0</v>
      </c>
      <c r="EB30" s="422">
        <f t="shared" si="64"/>
        <v>0</v>
      </c>
      <c r="EC30" s="422">
        <f t="shared" si="64"/>
        <v>0</v>
      </c>
      <c r="ED30" s="422">
        <f t="shared" si="64"/>
        <v>0</v>
      </c>
      <c r="EE30" s="422">
        <f t="shared" si="64"/>
        <v>0</v>
      </c>
      <c r="EF30" s="422">
        <f t="shared" si="64"/>
        <v>0</v>
      </c>
      <c r="EG30" s="422">
        <f t="shared" si="64"/>
        <v>0</v>
      </c>
      <c r="EH30" s="422">
        <f t="shared" si="64"/>
        <v>0</v>
      </c>
      <c r="EI30" s="422">
        <f t="shared" si="64"/>
        <v>0</v>
      </c>
      <c r="EJ30" s="422">
        <f t="shared" si="64"/>
        <v>0</v>
      </c>
      <c r="EK30" s="422">
        <f t="shared" si="64"/>
        <v>0</v>
      </c>
      <c r="EL30" s="422">
        <f t="shared" si="65"/>
        <v>0</v>
      </c>
      <c r="EM30" s="422">
        <f t="shared" si="65"/>
        <v>0</v>
      </c>
      <c r="EN30" s="422">
        <f t="shared" si="65"/>
        <v>0</v>
      </c>
      <c r="EO30"/>
      <c r="EP30" s="220">
        <f>I30</f>
        <v>0</v>
      </c>
      <c r="EQ30" s="201">
        <f>INDEX($L$24:$EN$24,1,$D30+1)</f>
        <v>46203</v>
      </c>
      <c r="ER30" s="201">
        <f>INDEX($L$24:$EN$24,1,$E30+1)</f>
        <v>46203</v>
      </c>
      <c r="ES30" s="20">
        <f>+E30-D30+1</f>
        <v>1</v>
      </c>
      <c r="ET30" s="18" t="str">
        <f>F30</f>
        <v>Straight-Line</v>
      </c>
      <c r="EU30" s="79">
        <f>ES30/Scurve_Dist</f>
        <v>0.16666666666666666</v>
      </c>
      <c r="EV30" s="20">
        <f>AND($ET30="S-Curve",EV$24&gt;=$EQ30,EV$24&lt;=$ER30)*(NORMDIST((YEAR(EV$24)-YEAR($EQ30))*12+MONTH(EV$24)-MONTH($EQ30)+1,$ES30/2,$EU30,TRUE)-NORMDIST((YEAR(EV$24)-YEAR($EQ30))*12+MONTH(EV$24)-MONTH($EQ30),$ES30/2,$EU30,TRUE))/(1-2*NORMDIST(0,$ES30/2,$EU30,TRUE))*$EP30</f>
        <v>0</v>
      </c>
      <c r="EW30" s="20">
        <f t="shared" si="79"/>
        <v>0</v>
      </c>
      <c r="EX30" s="20">
        <f t="shared" si="79"/>
        <v>0</v>
      </c>
      <c r="EY30" s="20">
        <f t="shared" si="79"/>
        <v>0</v>
      </c>
      <c r="EZ30" s="20">
        <f t="shared" si="79"/>
        <v>0</v>
      </c>
      <c r="FA30" s="20">
        <f t="shared" si="79"/>
        <v>0</v>
      </c>
      <c r="FB30" s="20">
        <f t="shared" si="79"/>
        <v>0</v>
      </c>
      <c r="FC30" s="20">
        <f t="shared" si="79"/>
        <v>0</v>
      </c>
      <c r="FD30" s="20">
        <f t="shared" si="79"/>
        <v>0</v>
      </c>
      <c r="FE30" s="20">
        <f t="shared" si="79"/>
        <v>0</v>
      </c>
      <c r="FF30" s="20">
        <f t="shared" si="79"/>
        <v>0</v>
      </c>
      <c r="FG30" s="20">
        <f t="shared" si="79"/>
        <v>0</v>
      </c>
      <c r="FH30" s="20">
        <f t="shared" si="79"/>
        <v>0</v>
      </c>
      <c r="FI30" s="20">
        <f t="shared" si="79"/>
        <v>0</v>
      </c>
      <c r="FJ30" s="20">
        <f t="shared" si="79"/>
        <v>0</v>
      </c>
      <c r="FK30" s="20">
        <f t="shared" si="79"/>
        <v>0</v>
      </c>
      <c r="FL30" s="20">
        <f t="shared" si="79"/>
        <v>0</v>
      </c>
      <c r="FM30" s="20">
        <f t="shared" si="79"/>
        <v>0</v>
      </c>
      <c r="FN30" s="20">
        <f t="shared" si="79"/>
        <v>0</v>
      </c>
      <c r="FO30" s="20">
        <f t="shared" si="79"/>
        <v>0</v>
      </c>
      <c r="FP30" s="20">
        <f t="shared" si="79"/>
        <v>0</v>
      </c>
      <c r="FQ30" s="20">
        <f t="shared" si="79"/>
        <v>0</v>
      </c>
      <c r="FR30" s="20">
        <f t="shared" si="79"/>
        <v>0</v>
      </c>
      <c r="FS30" s="20">
        <f t="shared" si="79"/>
        <v>0</v>
      </c>
      <c r="FT30" s="20">
        <f t="shared" si="79"/>
        <v>0</v>
      </c>
      <c r="FU30" s="20">
        <f t="shared" si="79"/>
        <v>0</v>
      </c>
      <c r="FV30" s="20">
        <f t="shared" si="79"/>
        <v>0</v>
      </c>
      <c r="FW30" s="20">
        <f t="shared" si="79"/>
        <v>0</v>
      </c>
      <c r="FX30" s="20">
        <f t="shared" si="79"/>
        <v>0</v>
      </c>
      <c r="FY30" s="20">
        <f t="shared" si="79"/>
        <v>0</v>
      </c>
      <c r="FZ30" s="20">
        <f t="shared" si="79"/>
        <v>0</v>
      </c>
      <c r="GA30" s="20">
        <f t="shared" si="79"/>
        <v>0</v>
      </c>
      <c r="GB30" s="20">
        <f t="shared" si="79"/>
        <v>0</v>
      </c>
      <c r="GC30" s="20">
        <f t="shared" si="79"/>
        <v>0</v>
      </c>
      <c r="GD30" s="20">
        <f t="shared" si="79"/>
        <v>0</v>
      </c>
      <c r="GE30" s="20">
        <f t="shared" si="79"/>
        <v>0</v>
      </c>
      <c r="GF30" s="20">
        <f t="shared" si="79"/>
        <v>0</v>
      </c>
      <c r="GG30" s="20">
        <f t="shared" si="79"/>
        <v>0</v>
      </c>
      <c r="GH30" s="20">
        <f t="shared" si="79"/>
        <v>0</v>
      </c>
      <c r="GI30" s="20">
        <f t="shared" si="79"/>
        <v>0</v>
      </c>
      <c r="GJ30" s="20">
        <f t="shared" si="79"/>
        <v>0</v>
      </c>
      <c r="GK30" s="20">
        <f t="shared" si="79"/>
        <v>0</v>
      </c>
      <c r="GL30" s="20">
        <f t="shared" si="79"/>
        <v>0</v>
      </c>
      <c r="GM30" s="20">
        <f t="shared" si="79"/>
        <v>0</v>
      </c>
      <c r="GN30" s="20">
        <f t="shared" si="79"/>
        <v>0</v>
      </c>
      <c r="GO30" s="20">
        <f t="shared" si="79"/>
        <v>0</v>
      </c>
      <c r="GP30" s="20">
        <f t="shared" si="79"/>
        <v>0</v>
      </c>
      <c r="GQ30" s="20">
        <f t="shared" si="79"/>
        <v>0</v>
      </c>
      <c r="GR30" s="20">
        <f t="shared" si="79"/>
        <v>0</v>
      </c>
      <c r="GS30" s="20">
        <f t="shared" si="79"/>
        <v>0</v>
      </c>
      <c r="GT30" s="20">
        <f t="shared" si="79"/>
        <v>0</v>
      </c>
      <c r="GU30" s="20">
        <f t="shared" si="79"/>
        <v>0</v>
      </c>
      <c r="GV30" s="20">
        <f t="shared" si="79"/>
        <v>0</v>
      </c>
      <c r="GW30" s="20">
        <f t="shared" si="79"/>
        <v>0</v>
      </c>
      <c r="GX30" s="20">
        <f t="shared" si="79"/>
        <v>0</v>
      </c>
      <c r="GY30" s="20">
        <f t="shared" si="79"/>
        <v>0</v>
      </c>
      <c r="GZ30" s="20">
        <f t="shared" si="79"/>
        <v>0</v>
      </c>
      <c r="HA30" s="20">
        <f t="shared" si="79"/>
        <v>0</v>
      </c>
      <c r="HB30" s="20">
        <f t="shared" si="79"/>
        <v>0</v>
      </c>
      <c r="HC30" s="20">
        <f t="shared" si="79"/>
        <v>0</v>
      </c>
      <c r="HD30" s="20">
        <f t="shared" si="79"/>
        <v>0</v>
      </c>
      <c r="HE30" s="20">
        <f t="shared" si="79"/>
        <v>0</v>
      </c>
      <c r="HF30" s="20">
        <f t="shared" si="79"/>
        <v>0</v>
      </c>
      <c r="HG30" s="20">
        <f t="shared" si="79"/>
        <v>0</v>
      </c>
      <c r="HH30" s="20">
        <f t="shared" si="79"/>
        <v>0</v>
      </c>
      <c r="HI30" s="20">
        <f t="shared" si="80"/>
        <v>0</v>
      </c>
      <c r="HJ30" s="20">
        <f t="shared" si="80"/>
        <v>0</v>
      </c>
      <c r="HK30" s="20">
        <f t="shared" si="80"/>
        <v>0</v>
      </c>
      <c r="HL30" s="20">
        <f t="shared" si="80"/>
        <v>0</v>
      </c>
      <c r="HM30" s="20">
        <f t="shared" si="80"/>
        <v>0</v>
      </c>
      <c r="HN30" s="20">
        <f t="shared" si="80"/>
        <v>0</v>
      </c>
      <c r="HO30" s="20">
        <f t="shared" si="80"/>
        <v>0</v>
      </c>
      <c r="HP30" s="20">
        <f t="shared" si="80"/>
        <v>0</v>
      </c>
      <c r="HQ30" s="20">
        <f t="shared" si="80"/>
        <v>0</v>
      </c>
      <c r="HR30" s="20">
        <f t="shared" si="80"/>
        <v>0</v>
      </c>
      <c r="HS30" s="20">
        <f t="shared" si="80"/>
        <v>0</v>
      </c>
      <c r="HT30" s="20">
        <f t="shared" si="80"/>
        <v>0</v>
      </c>
      <c r="HU30" s="20">
        <f t="shared" si="80"/>
        <v>0</v>
      </c>
      <c r="HV30" s="20">
        <f t="shared" si="80"/>
        <v>0</v>
      </c>
      <c r="HW30" s="20">
        <f t="shared" si="80"/>
        <v>0</v>
      </c>
      <c r="HX30" s="20">
        <f t="shared" si="80"/>
        <v>0</v>
      </c>
      <c r="HY30" s="20">
        <f t="shared" si="80"/>
        <v>0</v>
      </c>
      <c r="HZ30" s="20">
        <f t="shared" si="80"/>
        <v>0</v>
      </c>
      <c r="IA30" s="20">
        <f t="shared" si="80"/>
        <v>0</v>
      </c>
      <c r="IB30" s="20">
        <f t="shared" si="80"/>
        <v>0</v>
      </c>
      <c r="IC30" s="20">
        <f t="shared" si="80"/>
        <v>0</v>
      </c>
      <c r="ID30" s="20">
        <f t="shared" si="80"/>
        <v>0</v>
      </c>
      <c r="IE30" s="20">
        <f t="shared" si="80"/>
        <v>0</v>
      </c>
      <c r="IF30" s="20">
        <f t="shared" si="80"/>
        <v>0</v>
      </c>
      <c r="IG30" s="20">
        <f t="shared" si="80"/>
        <v>0</v>
      </c>
      <c r="IH30" s="20">
        <f t="shared" si="80"/>
        <v>0</v>
      </c>
      <c r="II30" s="20">
        <f t="shared" si="80"/>
        <v>0</v>
      </c>
      <c r="IJ30" s="20">
        <f t="shared" si="80"/>
        <v>0</v>
      </c>
      <c r="IK30" s="20">
        <f t="shared" si="80"/>
        <v>0</v>
      </c>
      <c r="IL30" s="20">
        <f t="shared" si="80"/>
        <v>0</v>
      </c>
      <c r="IM30" s="20">
        <f t="shared" si="80"/>
        <v>0</v>
      </c>
      <c r="IN30" s="20">
        <f t="shared" si="80"/>
        <v>0</v>
      </c>
      <c r="IO30" s="20">
        <f t="shared" si="80"/>
        <v>0</v>
      </c>
      <c r="IP30" s="20">
        <f t="shared" si="80"/>
        <v>0</v>
      </c>
      <c r="IQ30" s="20">
        <f t="shared" si="80"/>
        <v>0</v>
      </c>
      <c r="IR30" s="20">
        <f t="shared" si="80"/>
        <v>0</v>
      </c>
      <c r="IS30" s="20">
        <f t="shared" si="80"/>
        <v>0</v>
      </c>
      <c r="IT30" s="20">
        <f t="shared" si="80"/>
        <v>0</v>
      </c>
      <c r="IU30" s="20">
        <f t="shared" si="80"/>
        <v>0</v>
      </c>
      <c r="IV30" s="20">
        <f t="shared" si="80"/>
        <v>0</v>
      </c>
      <c r="IW30" s="20">
        <f t="shared" si="80"/>
        <v>0</v>
      </c>
      <c r="IX30" s="20">
        <f t="shared" si="80"/>
        <v>0</v>
      </c>
      <c r="IY30" s="20">
        <f t="shared" si="80"/>
        <v>0</v>
      </c>
      <c r="IZ30" s="20">
        <f t="shared" si="80"/>
        <v>0</v>
      </c>
      <c r="JA30" s="20">
        <f t="shared" si="80"/>
        <v>0</v>
      </c>
      <c r="JB30" s="20">
        <f t="shared" si="80"/>
        <v>0</v>
      </c>
      <c r="JC30" s="20">
        <f t="shared" si="80"/>
        <v>0</v>
      </c>
      <c r="JD30" s="20">
        <f t="shared" si="80"/>
        <v>0</v>
      </c>
      <c r="JE30" s="20">
        <f t="shared" si="80"/>
        <v>0</v>
      </c>
      <c r="JF30" s="20">
        <f t="shared" si="80"/>
        <v>0</v>
      </c>
      <c r="JG30" s="20">
        <f t="shared" si="80"/>
        <v>0</v>
      </c>
      <c r="JH30" s="20">
        <f t="shared" si="80"/>
        <v>0</v>
      </c>
      <c r="JI30" s="20">
        <f t="shared" si="80"/>
        <v>0</v>
      </c>
      <c r="JJ30" s="20">
        <f t="shared" si="80"/>
        <v>0</v>
      </c>
      <c r="JK30" s="20">
        <f t="shared" si="80"/>
        <v>0</v>
      </c>
      <c r="JL30" s="20">
        <f t="shared" si="80"/>
        <v>0</v>
      </c>
      <c r="JM30" s="20">
        <f t="shared" si="80"/>
        <v>0</v>
      </c>
      <c r="JN30" s="20">
        <f t="shared" si="80"/>
        <v>0</v>
      </c>
      <c r="JO30" s="20">
        <f t="shared" si="80"/>
        <v>0</v>
      </c>
      <c r="JP30" s="20">
        <f t="shared" si="80"/>
        <v>0</v>
      </c>
      <c r="JQ30" s="20">
        <f t="shared" si="80"/>
        <v>0</v>
      </c>
      <c r="JR30" s="20">
        <f t="shared" si="80"/>
        <v>0</v>
      </c>
      <c r="JS30" s="20">
        <f t="shared" si="80"/>
        <v>0</v>
      </c>
      <c r="JT30" s="20">
        <f t="shared" si="80"/>
        <v>0</v>
      </c>
      <c r="JU30" s="20">
        <f t="shared" si="68"/>
        <v>0</v>
      </c>
      <c r="JV30" s="20">
        <f t="shared" si="68"/>
        <v>0</v>
      </c>
      <c r="JW30" s="20">
        <f t="shared" si="68"/>
        <v>0</v>
      </c>
      <c r="JX30" s="20">
        <f t="shared" si="68"/>
        <v>0</v>
      </c>
      <c r="JY30"/>
      <c r="JZ30" s="220" t="str">
        <f t="shared" si="51"/>
        <v>ARENA grant / development incentive (funding source; excluded from gross cost)</v>
      </c>
      <c r="KA30" s="201"/>
      <c r="KB30" s="20">
        <f t="shared" si="69"/>
        <v>0</v>
      </c>
      <c r="KC30" s="20">
        <f t="shared" si="69"/>
        <v>0</v>
      </c>
      <c r="KD30" s="20">
        <f>KC30-KB30+1</f>
        <v>1</v>
      </c>
      <c r="KE30" s="418">
        <f>I30</f>
        <v>0</v>
      </c>
      <c r="KF30" s="418">
        <f>AND(KF$23&gt;=$KB30,KF$23&lt;=$KC30)*(IF($F30="Steady Growth",KF$23-$KB30,$KC30-KF$23)+1)/($KD30*($KD30+1)/2)*$KE30</f>
        <v>0</v>
      </c>
      <c r="KG30" s="418">
        <f t="shared" si="70"/>
        <v>0</v>
      </c>
      <c r="KH30" s="418">
        <f t="shared" si="70"/>
        <v>0</v>
      </c>
      <c r="KI30" s="418">
        <f t="shared" si="70"/>
        <v>0</v>
      </c>
      <c r="KJ30" s="418">
        <f t="shared" si="70"/>
        <v>0</v>
      </c>
      <c r="KK30" s="418">
        <f t="shared" si="70"/>
        <v>0</v>
      </c>
      <c r="KL30" s="418">
        <f t="shared" si="70"/>
        <v>0</v>
      </c>
      <c r="KM30" s="418">
        <f t="shared" si="70"/>
        <v>0</v>
      </c>
      <c r="KN30" s="418">
        <f t="shared" si="70"/>
        <v>0</v>
      </c>
      <c r="KO30" s="418">
        <f t="shared" si="70"/>
        <v>0</v>
      </c>
      <c r="KP30" s="418">
        <f t="shared" si="70"/>
        <v>0</v>
      </c>
      <c r="KQ30" s="418">
        <f t="shared" si="70"/>
        <v>0</v>
      </c>
      <c r="KR30" s="418">
        <f t="shared" si="70"/>
        <v>0</v>
      </c>
      <c r="KS30" s="418">
        <f t="shared" si="70"/>
        <v>0</v>
      </c>
      <c r="KT30" s="418">
        <f t="shared" si="70"/>
        <v>0</v>
      </c>
      <c r="KU30" s="418">
        <f t="shared" si="70"/>
        <v>0</v>
      </c>
      <c r="KV30" s="418">
        <f t="shared" si="70"/>
        <v>0</v>
      </c>
      <c r="KW30" s="418">
        <f t="shared" si="71"/>
        <v>0</v>
      </c>
      <c r="KX30" s="418">
        <f t="shared" si="71"/>
        <v>0</v>
      </c>
      <c r="KY30" s="418">
        <f t="shared" si="71"/>
        <v>0</v>
      </c>
      <c r="KZ30" s="418">
        <f t="shared" si="71"/>
        <v>0</v>
      </c>
      <c r="LA30" s="418">
        <f t="shared" si="71"/>
        <v>0</v>
      </c>
      <c r="LB30" s="418">
        <f t="shared" si="71"/>
        <v>0</v>
      </c>
      <c r="LC30" s="418">
        <f t="shared" si="71"/>
        <v>0</v>
      </c>
      <c r="LD30" s="418">
        <f t="shared" si="71"/>
        <v>0</v>
      </c>
      <c r="LE30" s="418">
        <f t="shared" si="71"/>
        <v>0</v>
      </c>
      <c r="LF30" s="418">
        <f t="shared" si="71"/>
        <v>0</v>
      </c>
      <c r="LG30" s="418">
        <f t="shared" si="71"/>
        <v>0</v>
      </c>
      <c r="LH30" s="418">
        <f t="shared" si="71"/>
        <v>0</v>
      </c>
      <c r="LI30" s="418">
        <f t="shared" si="71"/>
        <v>0</v>
      </c>
      <c r="LJ30" s="418">
        <f t="shared" si="71"/>
        <v>0</v>
      </c>
      <c r="LK30" s="418">
        <f t="shared" si="71"/>
        <v>0</v>
      </c>
      <c r="LL30" s="418">
        <f t="shared" si="71"/>
        <v>0</v>
      </c>
      <c r="LM30" s="418">
        <f t="shared" si="72"/>
        <v>0</v>
      </c>
      <c r="LN30" s="418">
        <f t="shared" si="72"/>
        <v>0</v>
      </c>
      <c r="LO30" s="418">
        <f t="shared" si="72"/>
        <v>0</v>
      </c>
      <c r="LP30" s="418">
        <f t="shared" si="72"/>
        <v>0</v>
      </c>
      <c r="LQ30" s="418">
        <f t="shared" si="72"/>
        <v>0</v>
      </c>
      <c r="LR30" s="418">
        <f t="shared" si="72"/>
        <v>0</v>
      </c>
      <c r="LS30" s="418">
        <f t="shared" si="72"/>
        <v>0</v>
      </c>
      <c r="LT30" s="418">
        <f t="shared" si="72"/>
        <v>0</v>
      </c>
      <c r="LU30" s="418">
        <f t="shared" si="72"/>
        <v>0</v>
      </c>
      <c r="LV30" s="418">
        <f t="shared" si="72"/>
        <v>0</v>
      </c>
      <c r="LW30" s="418">
        <f t="shared" si="72"/>
        <v>0</v>
      </c>
      <c r="LX30" s="418">
        <f t="shared" si="72"/>
        <v>0</v>
      </c>
      <c r="LY30" s="418">
        <f t="shared" si="72"/>
        <v>0</v>
      </c>
      <c r="LZ30" s="418">
        <f t="shared" si="72"/>
        <v>0</v>
      </c>
      <c r="MA30" s="418">
        <f t="shared" si="72"/>
        <v>0</v>
      </c>
      <c r="MB30" s="418">
        <f t="shared" si="72"/>
        <v>0</v>
      </c>
      <c r="MC30" s="418">
        <f t="shared" si="73"/>
        <v>0</v>
      </c>
      <c r="MD30" s="418">
        <f t="shared" si="73"/>
        <v>0</v>
      </c>
      <c r="ME30" s="418">
        <f t="shared" si="73"/>
        <v>0</v>
      </c>
      <c r="MF30" s="418">
        <f t="shared" si="73"/>
        <v>0</v>
      </c>
      <c r="MG30" s="418">
        <f t="shared" si="73"/>
        <v>0</v>
      </c>
      <c r="MH30" s="418">
        <f t="shared" si="73"/>
        <v>0</v>
      </c>
      <c r="MI30" s="418">
        <f t="shared" si="73"/>
        <v>0</v>
      </c>
      <c r="MJ30" s="418">
        <f t="shared" si="73"/>
        <v>0</v>
      </c>
      <c r="MK30" s="418">
        <f t="shared" si="73"/>
        <v>0</v>
      </c>
      <c r="ML30" s="418">
        <f t="shared" si="73"/>
        <v>0</v>
      </c>
      <c r="MM30" s="418">
        <f t="shared" si="73"/>
        <v>0</v>
      </c>
      <c r="MN30" s="418">
        <f t="shared" si="73"/>
        <v>0</v>
      </c>
      <c r="MO30" s="418">
        <f t="shared" si="73"/>
        <v>0</v>
      </c>
      <c r="MP30" s="418">
        <f t="shared" si="73"/>
        <v>0</v>
      </c>
      <c r="MQ30" s="418">
        <f t="shared" si="73"/>
        <v>0</v>
      </c>
      <c r="MR30" s="418">
        <f t="shared" si="73"/>
        <v>0</v>
      </c>
      <c r="MS30" s="418">
        <f t="shared" si="74"/>
        <v>0</v>
      </c>
      <c r="MT30" s="418">
        <f t="shared" si="74"/>
        <v>0</v>
      </c>
      <c r="MU30" s="418">
        <f t="shared" si="74"/>
        <v>0</v>
      </c>
      <c r="MV30" s="418">
        <f t="shared" si="74"/>
        <v>0</v>
      </c>
      <c r="MW30" s="418">
        <f t="shared" si="74"/>
        <v>0</v>
      </c>
      <c r="MX30" s="418">
        <f t="shared" si="74"/>
        <v>0</v>
      </c>
      <c r="MY30" s="418">
        <f t="shared" si="74"/>
        <v>0</v>
      </c>
      <c r="MZ30" s="418">
        <f t="shared" si="74"/>
        <v>0</v>
      </c>
      <c r="NA30" s="418">
        <f t="shared" si="74"/>
        <v>0</v>
      </c>
      <c r="NB30" s="418">
        <f t="shared" si="74"/>
        <v>0</v>
      </c>
      <c r="NC30" s="418">
        <f t="shared" si="74"/>
        <v>0</v>
      </c>
      <c r="ND30" s="418">
        <f t="shared" si="74"/>
        <v>0</v>
      </c>
      <c r="NE30" s="418">
        <f t="shared" si="74"/>
        <v>0</v>
      </c>
      <c r="NF30" s="418">
        <f t="shared" si="74"/>
        <v>0</v>
      </c>
      <c r="NG30" s="418">
        <f t="shared" si="74"/>
        <v>0</v>
      </c>
      <c r="NH30" s="418">
        <f t="shared" si="74"/>
        <v>0</v>
      </c>
      <c r="NI30" s="418">
        <f t="shared" si="75"/>
        <v>0</v>
      </c>
      <c r="NJ30" s="418">
        <f t="shared" si="75"/>
        <v>0</v>
      </c>
      <c r="NK30" s="418">
        <f t="shared" si="75"/>
        <v>0</v>
      </c>
      <c r="NL30" s="418">
        <f t="shared" si="75"/>
        <v>0</v>
      </c>
      <c r="NM30" s="418">
        <f t="shared" si="75"/>
        <v>0</v>
      </c>
      <c r="NN30" s="418">
        <f t="shared" si="75"/>
        <v>0</v>
      </c>
      <c r="NO30" s="418">
        <f t="shared" si="75"/>
        <v>0</v>
      </c>
      <c r="NP30" s="418">
        <f t="shared" si="75"/>
        <v>0</v>
      </c>
      <c r="NQ30" s="418">
        <f t="shared" si="75"/>
        <v>0</v>
      </c>
      <c r="NR30" s="418">
        <f t="shared" si="75"/>
        <v>0</v>
      </c>
      <c r="NS30" s="418">
        <f t="shared" si="75"/>
        <v>0</v>
      </c>
      <c r="NT30" s="418">
        <f t="shared" si="75"/>
        <v>0</v>
      </c>
      <c r="NU30" s="418">
        <f t="shared" si="75"/>
        <v>0</v>
      </c>
      <c r="NV30" s="418">
        <f t="shared" si="75"/>
        <v>0</v>
      </c>
      <c r="NW30" s="418">
        <f t="shared" si="75"/>
        <v>0</v>
      </c>
      <c r="NX30" s="418">
        <f t="shared" si="75"/>
        <v>0</v>
      </c>
      <c r="NY30" s="418">
        <f t="shared" si="76"/>
        <v>0</v>
      </c>
      <c r="NZ30" s="418">
        <f t="shared" si="76"/>
        <v>0</v>
      </c>
      <c r="OA30" s="418">
        <f t="shared" si="76"/>
        <v>0</v>
      </c>
      <c r="OB30" s="418">
        <f t="shared" si="76"/>
        <v>0</v>
      </c>
      <c r="OC30" s="418">
        <f t="shared" si="76"/>
        <v>0</v>
      </c>
      <c r="OD30" s="418">
        <f t="shared" si="76"/>
        <v>0</v>
      </c>
      <c r="OE30" s="418">
        <f t="shared" si="76"/>
        <v>0</v>
      </c>
      <c r="OF30" s="418">
        <f t="shared" si="76"/>
        <v>0</v>
      </c>
      <c r="OG30" s="418">
        <f t="shared" si="76"/>
        <v>0</v>
      </c>
      <c r="OH30" s="418">
        <f t="shared" si="76"/>
        <v>0</v>
      </c>
      <c r="OI30" s="418">
        <f t="shared" si="76"/>
        <v>0</v>
      </c>
      <c r="OJ30" s="418">
        <f t="shared" si="76"/>
        <v>0</v>
      </c>
      <c r="OK30" s="418">
        <f t="shared" si="76"/>
        <v>0</v>
      </c>
      <c r="OL30" s="418">
        <f t="shared" si="76"/>
        <v>0</v>
      </c>
      <c r="OM30" s="418">
        <f t="shared" si="76"/>
        <v>0</v>
      </c>
      <c r="ON30" s="418">
        <f t="shared" si="76"/>
        <v>0</v>
      </c>
      <c r="OO30" s="418">
        <f t="shared" si="77"/>
        <v>0</v>
      </c>
      <c r="OP30" s="418">
        <f t="shared" si="77"/>
        <v>0</v>
      </c>
      <c r="OQ30" s="418">
        <f t="shared" si="77"/>
        <v>0</v>
      </c>
      <c r="OR30" s="418">
        <f t="shared" si="77"/>
        <v>0</v>
      </c>
      <c r="OS30" s="418">
        <f t="shared" si="77"/>
        <v>0</v>
      </c>
      <c r="OT30" s="418">
        <f t="shared" si="77"/>
        <v>0</v>
      </c>
      <c r="OU30" s="418">
        <f t="shared" si="77"/>
        <v>0</v>
      </c>
      <c r="OV30" s="418">
        <f t="shared" si="77"/>
        <v>0</v>
      </c>
      <c r="OW30" s="418">
        <f t="shared" si="77"/>
        <v>0</v>
      </c>
      <c r="OX30" s="418">
        <f t="shared" si="77"/>
        <v>0</v>
      </c>
      <c r="OY30" s="418">
        <f t="shared" si="77"/>
        <v>0</v>
      </c>
      <c r="OZ30" s="418">
        <f t="shared" si="77"/>
        <v>0</v>
      </c>
      <c r="PA30" s="418">
        <f t="shared" si="77"/>
        <v>0</v>
      </c>
      <c r="PB30" s="418">
        <f t="shared" si="77"/>
        <v>0</v>
      </c>
      <c r="PC30" s="418">
        <f t="shared" si="77"/>
        <v>0</v>
      </c>
      <c r="PD30" s="418">
        <f t="shared" si="77"/>
        <v>0</v>
      </c>
      <c r="PE30" s="418">
        <f t="shared" si="78"/>
        <v>0</v>
      </c>
      <c r="PF30" s="418">
        <f t="shared" si="78"/>
        <v>0</v>
      </c>
      <c r="PG30" s="418">
        <f t="shared" si="78"/>
        <v>0</v>
      </c>
      <c r="PH30" s="418">
        <f t="shared" si="78"/>
        <v>0</v>
      </c>
    </row>
    <row r="31" spans="1:424" x14ac:dyDescent="0.35">
      <c r="A31"/>
      <c r="B31" s="423" t="s">
        <v>146</v>
      </c>
      <c r="C31" s="596">
        <f>MIN(D27:D30)</f>
        <v>0</v>
      </c>
      <c r="D31" s="46"/>
      <c r="E31" s="46">
        <f>MAX(E27:E30)</f>
        <v>0</v>
      </c>
      <c r="F31" s="597">
        <f>SUM(H27:H30)</f>
        <v>0</v>
      </c>
      <c r="G31" s="134"/>
      <c r="H31" s="415"/>
      <c r="I31" s="424">
        <f>SUM(I27:I30)</f>
        <v>92320000</v>
      </c>
      <c r="J31"/>
      <c r="K31" s="22" t="str">
        <f>IF(ROUND(SUM(L31:EN31),0)=ROUND(I31,0),"","Incomplete")</f>
        <v/>
      </c>
      <c r="L31" s="417">
        <f t="shared" ref="L31:AQ31" si="81">SUM(L27:L30)</f>
        <v>92320000</v>
      </c>
      <c r="M31" s="417">
        <f t="shared" si="81"/>
        <v>0</v>
      </c>
      <c r="N31" s="417">
        <f t="shared" si="81"/>
        <v>0</v>
      </c>
      <c r="O31" s="417">
        <f t="shared" si="81"/>
        <v>0</v>
      </c>
      <c r="P31" s="417">
        <f t="shared" si="81"/>
        <v>0</v>
      </c>
      <c r="Q31" s="417">
        <f t="shared" si="81"/>
        <v>0</v>
      </c>
      <c r="R31" s="417">
        <f t="shared" si="81"/>
        <v>0</v>
      </c>
      <c r="S31" s="417">
        <f t="shared" si="81"/>
        <v>0</v>
      </c>
      <c r="T31" s="417">
        <f t="shared" si="81"/>
        <v>0</v>
      </c>
      <c r="U31" s="417">
        <f t="shared" si="81"/>
        <v>0</v>
      </c>
      <c r="V31" s="417">
        <f t="shared" si="81"/>
        <v>0</v>
      </c>
      <c r="W31" s="417">
        <f t="shared" si="81"/>
        <v>0</v>
      </c>
      <c r="X31" s="417">
        <f t="shared" si="81"/>
        <v>0</v>
      </c>
      <c r="Y31" s="417">
        <f t="shared" si="81"/>
        <v>0</v>
      </c>
      <c r="Z31" s="417">
        <f t="shared" si="81"/>
        <v>0</v>
      </c>
      <c r="AA31" s="417">
        <f t="shared" si="81"/>
        <v>0</v>
      </c>
      <c r="AB31" s="417">
        <f t="shared" si="81"/>
        <v>0</v>
      </c>
      <c r="AC31" s="417">
        <f t="shared" si="81"/>
        <v>0</v>
      </c>
      <c r="AD31" s="417">
        <f t="shared" si="81"/>
        <v>0</v>
      </c>
      <c r="AE31" s="417">
        <f t="shared" si="81"/>
        <v>0</v>
      </c>
      <c r="AF31" s="417">
        <f t="shared" si="81"/>
        <v>0</v>
      </c>
      <c r="AG31" s="417">
        <f t="shared" si="81"/>
        <v>0</v>
      </c>
      <c r="AH31" s="417">
        <f t="shared" si="81"/>
        <v>0</v>
      </c>
      <c r="AI31" s="417">
        <f t="shared" si="81"/>
        <v>0</v>
      </c>
      <c r="AJ31" s="417">
        <f t="shared" si="81"/>
        <v>0</v>
      </c>
      <c r="AK31" s="417">
        <f t="shared" si="81"/>
        <v>0</v>
      </c>
      <c r="AL31" s="417">
        <f t="shared" si="81"/>
        <v>0</v>
      </c>
      <c r="AM31" s="417">
        <f t="shared" si="81"/>
        <v>0</v>
      </c>
      <c r="AN31" s="417">
        <f t="shared" si="81"/>
        <v>0</v>
      </c>
      <c r="AO31" s="417">
        <f t="shared" si="81"/>
        <v>0</v>
      </c>
      <c r="AP31" s="417">
        <f t="shared" si="81"/>
        <v>0</v>
      </c>
      <c r="AQ31" s="417">
        <f t="shared" si="81"/>
        <v>0</v>
      </c>
      <c r="AR31" s="417">
        <f t="shared" ref="AR31:BW31" si="82">SUM(AR27:AR30)</f>
        <v>0</v>
      </c>
      <c r="AS31" s="417">
        <f t="shared" si="82"/>
        <v>0</v>
      </c>
      <c r="AT31" s="417">
        <f t="shared" si="82"/>
        <v>0</v>
      </c>
      <c r="AU31" s="417">
        <f t="shared" si="82"/>
        <v>0</v>
      </c>
      <c r="AV31" s="417">
        <f t="shared" si="82"/>
        <v>0</v>
      </c>
      <c r="AW31" s="417">
        <f t="shared" si="82"/>
        <v>0</v>
      </c>
      <c r="AX31" s="417">
        <f t="shared" si="82"/>
        <v>0</v>
      </c>
      <c r="AY31" s="417">
        <f t="shared" si="82"/>
        <v>0</v>
      </c>
      <c r="AZ31" s="417">
        <f t="shared" si="82"/>
        <v>0</v>
      </c>
      <c r="BA31" s="417">
        <f t="shared" si="82"/>
        <v>0</v>
      </c>
      <c r="BB31" s="417">
        <f t="shared" si="82"/>
        <v>0</v>
      </c>
      <c r="BC31" s="417">
        <f t="shared" si="82"/>
        <v>0</v>
      </c>
      <c r="BD31" s="417">
        <f t="shared" si="82"/>
        <v>0</v>
      </c>
      <c r="BE31" s="417">
        <f t="shared" si="82"/>
        <v>0</v>
      </c>
      <c r="BF31" s="417">
        <f t="shared" si="82"/>
        <v>0</v>
      </c>
      <c r="BG31" s="417">
        <f t="shared" si="82"/>
        <v>0</v>
      </c>
      <c r="BH31" s="417">
        <f t="shared" si="82"/>
        <v>0</v>
      </c>
      <c r="BI31" s="417">
        <f t="shared" si="82"/>
        <v>0</v>
      </c>
      <c r="BJ31" s="417">
        <f t="shared" si="82"/>
        <v>0</v>
      </c>
      <c r="BK31" s="417">
        <f t="shared" si="82"/>
        <v>0</v>
      </c>
      <c r="BL31" s="417">
        <f t="shared" si="82"/>
        <v>0</v>
      </c>
      <c r="BM31" s="417">
        <f t="shared" si="82"/>
        <v>0</v>
      </c>
      <c r="BN31" s="417">
        <f t="shared" si="82"/>
        <v>0</v>
      </c>
      <c r="BO31" s="417">
        <f t="shared" si="82"/>
        <v>0</v>
      </c>
      <c r="BP31" s="417">
        <f t="shared" si="82"/>
        <v>0</v>
      </c>
      <c r="BQ31" s="417">
        <f t="shared" si="82"/>
        <v>0</v>
      </c>
      <c r="BR31" s="417">
        <f t="shared" si="82"/>
        <v>0</v>
      </c>
      <c r="BS31" s="417">
        <f t="shared" si="82"/>
        <v>0</v>
      </c>
      <c r="BT31" s="417">
        <f t="shared" si="82"/>
        <v>0</v>
      </c>
      <c r="BU31" s="417">
        <f t="shared" si="82"/>
        <v>0</v>
      </c>
      <c r="BV31" s="417">
        <f t="shared" si="82"/>
        <v>0</v>
      </c>
      <c r="BW31" s="417">
        <f t="shared" si="82"/>
        <v>0</v>
      </c>
      <c r="BX31" s="417">
        <f t="shared" ref="BX31:DC31" si="83">SUM(BX27:BX30)</f>
        <v>0</v>
      </c>
      <c r="BY31" s="417">
        <f t="shared" si="83"/>
        <v>0</v>
      </c>
      <c r="BZ31" s="417">
        <f t="shared" si="83"/>
        <v>0</v>
      </c>
      <c r="CA31" s="417">
        <f t="shared" si="83"/>
        <v>0</v>
      </c>
      <c r="CB31" s="417">
        <f t="shared" si="83"/>
        <v>0</v>
      </c>
      <c r="CC31" s="417">
        <f t="shared" si="83"/>
        <v>0</v>
      </c>
      <c r="CD31" s="417">
        <f t="shared" si="83"/>
        <v>0</v>
      </c>
      <c r="CE31" s="417">
        <f t="shared" si="83"/>
        <v>0</v>
      </c>
      <c r="CF31" s="417">
        <f t="shared" si="83"/>
        <v>0</v>
      </c>
      <c r="CG31" s="417">
        <f t="shared" si="83"/>
        <v>0</v>
      </c>
      <c r="CH31" s="417">
        <f t="shared" si="83"/>
        <v>0</v>
      </c>
      <c r="CI31" s="417">
        <f t="shared" si="83"/>
        <v>0</v>
      </c>
      <c r="CJ31" s="417">
        <f t="shared" si="83"/>
        <v>0</v>
      </c>
      <c r="CK31" s="417">
        <f t="shared" si="83"/>
        <v>0</v>
      </c>
      <c r="CL31" s="417">
        <f t="shared" si="83"/>
        <v>0</v>
      </c>
      <c r="CM31" s="417">
        <f t="shared" si="83"/>
        <v>0</v>
      </c>
      <c r="CN31" s="417">
        <f t="shared" si="83"/>
        <v>0</v>
      </c>
      <c r="CO31" s="417">
        <f t="shared" si="83"/>
        <v>0</v>
      </c>
      <c r="CP31" s="417">
        <f t="shared" si="83"/>
        <v>0</v>
      </c>
      <c r="CQ31" s="417">
        <f t="shared" si="83"/>
        <v>0</v>
      </c>
      <c r="CR31" s="417">
        <f t="shared" si="83"/>
        <v>0</v>
      </c>
      <c r="CS31" s="417">
        <f t="shared" si="83"/>
        <v>0</v>
      </c>
      <c r="CT31" s="417">
        <f t="shared" si="83"/>
        <v>0</v>
      </c>
      <c r="CU31" s="417">
        <f t="shared" si="83"/>
        <v>0</v>
      </c>
      <c r="CV31" s="417">
        <f t="shared" si="83"/>
        <v>0</v>
      </c>
      <c r="CW31" s="417">
        <f t="shared" si="83"/>
        <v>0</v>
      </c>
      <c r="CX31" s="417">
        <f t="shared" si="83"/>
        <v>0</v>
      </c>
      <c r="CY31" s="417">
        <f t="shared" si="83"/>
        <v>0</v>
      </c>
      <c r="CZ31" s="417">
        <f t="shared" si="83"/>
        <v>0</v>
      </c>
      <c r="DA31" s="417">
        <f t="shared" si="83"/>
        <v>0</v>
      </c>
      <c r="DB31" s="417">
        <f t="shared" si="83"/>
        <v>0</v>
      </c>
      <c r="DC31" s="417">
        <f t="shared" si="83"/>
        <v>0</v>
      </c>
      <c r="DD31" s="417">
        <f t="shared" ref="DD31:EI31" si="84">SUM(DD27:DD30)</f>
        <v>0</v>
      </c>
      <c r="DE31" s="417">
        <f t="shared" si="84"/>
        <v>0</v>
      </c>
      <c r="DF31" s="417">
        <f t="shared" si="84"/>
        <v>0</v>
      </c>
      <c r="DG31" s="417">
        <f t="shared" si="84"/>
        <v>0</v>
      </c>
      <c r="DH31" s="417">
        <f t="shared" si="84"/>
        <v>0</v>
      </c>
      <c r="DI31" s="417">
        <f t="shared" si="84"/>
        <v>0</v>
      </c>
      <c r="DJ31" s="417">
        <f t="shared" si="84"/>
        <v>0</v>
      </c>
      <c r="DK31" s="417">
        <f t="shared" si="84"/>
        <v>0</v>
      </c>
      <c r="DL31" s="417">
        <f t="shared" si="84"/>
        <v>0</v>
      </c>
      <c r="DM31" s="417">
        <f t="shared" si="84"/>
        <v>0</v>
      </c>
      <c r="DN31" s="417">
        <f t="shared" si="84"/>
        <v>0</v>
      </c>
      <c r="DO31" s="417">
        <f t="shared" si="84"/>
        <v>0</v>
      </c>
      <c r="DP31" s="417">
        <f t="shared" si="84"/>
        <v>0</v>
      </c>
      <c r="DQ31" s="417">
        <f t="shared" si="84"/>
        <v>0</v>
      </c>
      <c r="DR31" s="417">
        <f t="shared" si="84"/>
        <v>0</v>
      </c>
      <c r="DS31" s="417">
        <f t="shared" si="84"/>
        <v>0</v>
      </c>
      <c r="DT31" s="417">
        <f t="shared" si="84"/>
        <v>0</v>
      </c>
      <c r="DU31" s="417">
        <f t="shared" si="84"/>
        <v>0</v>
      </c>
      <c r="DV31" s="417">
        <f t="shared" si="84"/>
        <v>0</v>
      </c>
      <c r="DW31" s="417">
        <f t="shared" si="84"/>
        <v>0</v>
      </c>
      <c r="DX31" s="417">
        <f t="shared" si="84"/>
        <v>0</v>
      </c>
      <c r="DY31" s="417">
        <f t="shared" si="84"/>
        <v>0</v>
      </c>
      <c r="DZ31" s="417">
        <f t="shared" si="84"/>
        <v>0</v>
      </c>
      <c r="EA31" s="417">
        <f t="shared" si="84"/>
        <v>0</v>
      </c>
      <c r="EB31" s="417">
        <f t="shared" si="84"/>
        <v>0</v>
      </c>
      <c r="EC31" s="417">
        <f t="shared" si="84"/>
        <v>0</v>
      </c>
      <c r="ED31" s="417">
        <f t="shared" si="84"/>
        <v>0</v>
      </c>
      <c r="EE31" s="417">
        <f t="shared" si="84"/>
        <v>0</v>
      </c>
      <c r="EF31" s="417">
        <f t="shared" si="84"/>
        <v>0</v>
      </c>
      <c r="EG31" s="417">
        <f t="shared" si="84"/>
        <v>0</v>
      </c>
      <c r="EH31" s="417">
        <f t="shared" si="84"/>
        <v>0</v>
      </c>
      <c r="EI31" s="417">
        <f t="shared" si="84"/>
        <v>0</v>
      </c>
      <c r="EJ31" s="417">
        <f>SUM(EJ27:EJ30)</f>
        <v>0</v>
      </c>
      <c r="EK31" s="417">
        <f>SUM(EK27:EK30)</f>
        <v>0</v>
      </c>
      <c r="EL31" s="417">
        <f>SUM(EL27:EL30)</f>
        <v>0</v>
      </c>
      <c r="EM31" s="417">
        <f>SUM(EM27:EM30)</f>
        <v>0</v>
      </c>
      <c r="EN31" s="417">
        <f>SUM(EN27:EN30)</f>
        <v>0</v>
      </c>
      <c r="EO31"/>
      <c r="EP31" s="219"/>
      <c r="EQ31" s="18" t="s">
        <v>147</v>
      </c>
      <c r="ER31" s="20">
        <f>COUNTA($B$27:$B$30)</f>
        <v>3</v>
      </c>
      <c r="ES31" s="18"/>
      <c r="ET31" s="18"/>
      <c r="EU31" s="79"/>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c r="JZ31" s="219" t="str">
        <f t="shared" si="51"/>
        <v>Total Land Costs</v>
      </c>
      <c r="KA31" s="18"/>
      <c r="KB31" s="20"/>
      <c r="KC31" s="20"/>
      <c r="KD31" s="20"/>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c r="NN31" s="81"/>
      <c r="NO31" s="81"/>
      <c r="NP31" s="81"/>
      <c r="NQ31" s="81"/>
      <c r="NR31" s="81"/>
      <c r="NS31" s="81"/>
      <c r="NT31" s="81"/>
      <c r="NU31" s="81"/>
      <c r="NV31" s="81"/>
      <c r="NW31" s="81"/>
      <c r="NX31" s="81"/>
      <c r="NY31" s="81"/>
      <c r="NZ31" s="81"/>
      <c r="OA31" s="81"/>
      <c r="OB31" s="81"/>
      <c r="OC31" s="81"/>
      <c r="OD31" s="81"/>
      <c r="OE31" s="81"/>
      <c r="OF31" s="81"/>
      <c r="OG31" s="81"/>
      <c r="OH31" s="81"/>
      <c r="OI31" s="81"/>
      <c r="OJ31" s="81"/>
      <c r="OK31" s="81"/>
      <c r="OL31" s="81"/>
      <c r="OM31" s="81"/>
      <c r="ON31" s="81"/>
      <c r="OO31" s="81"/>
      <c r="OP31" s="81"/>
      <c r="OQ31" s="81"/>
      <c r="OR31" s="81"/>
      <c r="OS31" s="81"/>
      <c r="OT31" s="81"/>
      <c r="OU31" s="81"/>
      <c r="OV31" s="81"/>
      <c r="OW31" s="81"/>
      <c r="OX31" s="81"/>
      <c r="OY31" s="81"/>
      <c r="OZ31" s="81"/>
      <c r="PA31" s="81"/>
      <c r="PB31" s="81"/>
      <c r="PC31" s="81"/>
      <c r="PD31" s="81"/>
      <c r="PE31" s="81"/>
      <c r="PF31" s="81"/>
      <c r="PG31" s="81"/>
      <c r="PH31" s="81"/>
    </row>
    <row r="32" spans="1:424" x14ac:dyDescent="0.35">
      <c r="A32"/>
      <c r="B32" s="425"/>
      <c r="C32" s="400"/>
      <c r="D32" s="45"/>
      <c r="E32" s="45"/>
      <c r="F32" s="414"/>
      <c r="G32" s="134"/>
      <c r="H32" s="134"/>
      <c r="I32" s="47"/>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s="219"/>
      <c r="EQ32" s="18"/>
      <c r="ER32" s="18"/>
      <c r="ES32" s="18"/>
      <c r="ET32" s="18"/>
      <c r="EU32" s="79"/>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c r="JZ32" s="219"/>
      <c r="KA32" s="18"/>
      <c r="KB32" s="20"/>
      <c r="KC32" s="20"/>
      <c r="KD32" s="20"/>
      <c r="KE32" s="81"/>
      <c r="KF32" s="81"/>
      <c r="KG32" s="81"/>
      <c r="KH32" s="81"/>
      <c r="KI32" s="81"/>
      <c r="KJ32" s="81"/>
      <c r="KK32" s="81"/>
      <c r="KL32" s="81"/>
      <c r="KM32" s="81"/>
      <c r="KN32" s="81"/>
      <c r="KO32" s="81"/>
      <c r="KP32" s="81"/>
      <c r="KQ32" s="81"/>
      <c r="KR32" s="81"/>
      <c r="KS32" s="81"/>
      <c r="KT32" s="81"/>
      <c r="KU32" s="81"/>
      <c r="KV32" s="81"/>
      <c r="KW32" s="81"/>
      <c r="KX32" s="81"/>
      <c r="KY32" s="81"/>
      <c r="KZ32" s="81"/>
      <c r="LA32" s="81"/>
      <c r="LB32" s="81"/>
      <c r="LC32" s="81"/>
      <c r="LD32" s="81"/>
      <c r="LE32" s="81"/>
      <c r="LF32" s="81"/>
      <c r="LG32" s="81"/>
      <c r="LH32" s="81"/>
      <c r="LI32" s="81"/>
      <c r="LJ32" s="81"/>
      <c r="LK32" s="81"/>
      <c r="LL32" s="81"/>
      <c r="LM32" s="81"/>
      <c r="LN32" s="81"/>
      <c r="LO32" s="81"/>
      <c r="LP32" s="81"/>
      <c r="LQ32" s="81"/>
      <c r="LR32" s="81"/>
      <c r="LS32" s="81"/>
      <c r="LT32" s="81"/>
      <c r="LU32" s="81"/>
      <c r="LV32" s="81"/>
      <c r="LW32" s="81"/>
      <c r="LX32" s="81"/>
      <c r="LY32" s="81"/>
      <c r="LZ32" s="81"/>
      <c r="MA32" s="81"/>
      <c r="MB32" s="81"/>
      <c r="MC32" s="81"/>
      <c r="MD32" s="81"/>
      <c r="ME32" s="81"/>
      <c r="MF32" s="81"/>
      <c r="MG32" s="81"/>
      <c r="MH32" s="81"/>
      <c r="MI32" s="81"/>
      <c r="MJ32" s="81"/>
      <c r="MK32" s="81"/>
      <c r="ML32" s="81"/>
      <c r="MM32" s="81"/>
      <c r="MN32" s="81"/>
      <c r="MO32" s="81"/>
      <c r="MP32" s="81"/>
      <c r="MQ32" s="81"/>
      <c r="MR32" s="81"/>
      <c r="MS32" s="81"/>
      <c r="MT32" s="81"/>
      <c r="MU32" s="81"/>
      <c r="MV32" s="81"/>
      <c r="MW32" s="81"/>
      <c r="MX32" s="81"/>
      <c r="MY32" s="81"/>
      <c r="MZ32" s="81"/>
      <c r="NA32" s="81"/>
      <c r="NB32" s="81"/>
      <c r="NC32" s="81"/>
      <c r="ND32" s="81"/>
      <c r="NE32" s="81"/>
      <c r="NF32" s="81"/>
      <c r="NG32" s="81"/>
      <c r="NH32" s="81"/>
      <c r="NI32" s="81"/>
      <c r="NJ32" s="81"/>
      <c r="NK32" s="81"/>
      <c r="NL32" s="81"/>
      <c r="NM32" s="81"/>
      <c r="NN32" s="81"/>
      <c r="NO32" s="81"/>
      <c r="NP32" s="81"/>
      <c r="NQ32" s="81"/>
      <c r="NR32" s="81"/>
      <c r="NS32" s="81"/>
      <c r="NT32" s="81"/>
      <c r="NU32" s="81"/>
      <c r="NV32" s="81"/>
      <c r="NW32" s="81"/>
      <c r="NX32" s="81"/>
      <c r="NY32" s="81"/>
      <c r="NZ32" s="81"/>
      <c r="OA32" s="81"/>
      <c r="OB32" s="81"/>
      <c r="OC32" s="81"/>
      <c r="OD32" s="81"/>
      <c r="OE32" s="81"/>
      <c r="OF32" s="81"/>
      <c r="OG32" s="81"/>
      <c r="OH32" s="81"/>
      <c r="OI32" s="81"/>
      <c r="OJ32" s="81"/>
      <c r="OK32" s="81"/>
      <c r="OL32" s="81"/>
      <c r="OM32" s="81"/>
      <c r="ON32" s="81"/>
      <c r="OO32" s="81"/>
      <c r="OP32" s="81"/>
      <c r="OQ32" s="81"/>
      <c r="OR32" s="81"/>
      <c r="OS32" s="81"/>
      <c r="OT32" s="81"/>
      <c r="OU32" s="81"/>
      <c r="OV32" s="81"/>
      <c r="OW32" s="81"/>
      <c r="OX32" s="81"/>
      <c r="OY32" s="81"/>
      <c r="OZ32" s="81"/>
      <c r="PA32" s="81"/>
      <c r="PB32" s="81"/>
      <c r="PC32" s="81"/>
      <c r="PD32" s="81"/>
      <c r="PE32" s="81"/>
      <c r="PF32" s="81"/>
      <c r="PG32" s="81"/>
      <c r="PH32" s="81"/>
    </row>
    <row r="33" spans="1:424" x14ac:dyDescent="0.35">
      <c r="A33"/>
      <c r="B33" s="423"/>
      <c r="C33" s="400"/>
      <c r="D33" s="45"/>
      <c r="E33" s="45"/>
      <c r="F33" s="414"/>
      <c r="G33" s="134"/>
      <c r="H33" s="134"/>
      <c r="I33" s="47"/>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s="219"/>
      <c r="EQ33" s="18"/>
      <c r="ER33" s="18"/>
      <c r="ES33" s="18"/>
      <c r="ET33" s="18"/>
      <c r="EU33" s="79"/>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c r="JZ33" s="219">
        <f t="shared" si="51"/>
        <v>0</v>
      </c>
      <c r="KA33" s="18"/>
      <c r="KB33" s="20"/>
      <c r="KC33" s="20"/>
      <c r="KD33" s="20"/>
      <c r="KE33" s="81"/>
      <c r="KF33" s="81"/>
      <c r="KG33" s="81"/>
      <c r="KH33" s="81"/>
      <c r="KI33" s="81"/>
      <c r="KJ33" s="81"/>
      <c r="KK33" s="81"/>
      <c r="KL33" s="81"/>
      <c r="KM33" s="81"/>
      <c r="KN33" s="81"/>
      <c r="KO33" s="81"/>
      <c r="KP33" s="81"/>
      <c r="KQ33" s="81"/>
      <c r="KR33" s="81"/>
      <c r="KS33" s="81"/>
      <c r="KT33" s="81"/>
      <c r="KU33" s="81"/>
      <c r="KV33" s="81"/>
      <c r="KW33" s="81"/>
      <c r="KX33" s="81"/>
      <c r="KY33" s="81"/>
      <c r="KZ33" s="81"/>
      <c r="LA33" s="81"/>
      <c r="LB33" s="81"/>
      <c r="LC33" s="81"/>
      <c r="LD33" s="81"/>
      <c r="LE33" s="81"/>
      <c r="LF33" s="81"/>
      <c r="LG33" s="81"/>
      <c r="LH33" s="81"/>
      <c r="LI33" s="81"/>
      <c r="LJ33" s="81"/>
      <c r="LK33" s="81"/>
      <c r="LL33" s="81"/>
      <c r="LM33" s="81"/>
      <c r="LN33" s="81"/>
      <c r="LO33" s="81"/>
      <c r="LP33" s="81"/>
      <c r="LQ33" s="81"/>
      <c r="LR33" s="81"/>
      <c r="LS33" s="81"/>
      <c r="LT33" s="81"/>
      <c r="LU33" s="81"/>
      <c r="LV33" s="81"/>
      <c r="LW33" s="81"/>
      <c r="LX33" s="81"/>
      <c r="LY33" s="81"/>
      <c r="LZ33" s="81"/>
      <c r="MA33" s="81"/>
      <c r="MB33" s="81"/>
      <c r="MC33" s="81"/>
      <c r="MD33" s="81"/>
      <c r="ME33" s="81"/>
      <c r="MF33" s="81"/>
      <c r="MG33" s="81"/>
      <c r="MH33" s="81"/>
      <c r="MI33" s="81"/>
      <c r="MJ33" s="81"/>
      <c r="MK33" s="81"/>
      <c r="ML33" s="81"/>
      <c r="MM33" s="81"/>
      <c r="MN33" s="81"/>
      <c r="MO33" s="81"/>
      <c r="MP33" s="81"/>
      <c r="MQ33" s="81"/>
      <c r="MR33" s="81"/>
      <c r="MS33" s="81"/>
      <c r="MT33" s="81"/>
      <c r="MU33" s="81"/>
      <c r="MV33" s="81"/>
      <c r="MW33" s="81"/>
      <c r="MX33" s="81"/>
      <c r="MY33" s="81"/>
      <c r="MZ33" s="81"/>
      <c r="NA33" s="81"/>
      <c r="NB33" s="81"/>
      <c r="NC33" s="81"/>
      <c r="ND33" s="81"/>
      <c r="NE33" s="81"/>
      <c r="NF33" s="81"/>
      <c r="NG33" s="81"/>
      <c r="NH33" s="81"/>
      <c r="NI33" s="81"/>
      <c r="NJ33" s="81"/>
      <c r="NK33" s="81"/>
      <c r="NL33" s="81"/>
      <c r="NM33" s="81"/>
      <c r="NN33" s="81"/>
      <c r="NO33" s="81"/>
      <c r="NP33" s="81"/>
      <c r="NQ33" s="81"/>
      <c r="NR33" s="81"/>
      <c r="NS33" s="81"/>
      <c r="NT33" s="81"/>
      <c r="NU33" s="81"/>
      <c r="NV33" s="81"/>
      <c r="NW33" s="81"/>
      <c r="NX33" s="81"/>
      <c r="NY33" s="81"/>
      <c r="NZ33" s="81"/>
      <c r="OA33" s="81"/>
      <c r="OB33" s="81"/>
      <c r="OC33" s="81"/>
      <c r="OD33" s="81"/>
      <c r="OE33" s="81"/>
      <c r="OF33" s="81"/>
      <c r="OG33" s="81"/>
      <c r="OH33" s="81"/>
      <c r="OI33" s="81"/>
      <c r="OJ33" s="81"/>
      <c r="OK33" s="81"/>
      <c r="OL33" s="81"/>
      <c r="OM33" s="81"/>
      <c r="ON33" s="81"/>
      <c r="OO33" s="81"/>
      <c r="OP33" s="81"/>
      <c r="OQ33" s="81"/>
      <c r="OR33" s="81"/>
      <c r="OS33" s="81"/>
      <c r="OT33" s="81"/>
      <c r="OU33" s="81"/>
      <c r="OV33" s="81"/>
      <c r="OW33" s="81"/>
      <c r="OX33" s="81"/>
      <c r="OY33" s="81"/>
      <c r="OZ33" s="81"/>
      <c r="PA33" s="81"/>
      <c r="PB33" s="81"/>
      <c r="PC33" s="81"/>
      <c r="PD33" s="81"/>
      <c r="PE33" s="81"/>
      <c r="PF33" s="81"/>
      <c r="PG33" s="81"/>
      <c r="PH33" s="81"/>
    </row>
    <row r="34" spans="1:424" x14ac:dyDescent="0.35">
      <c r="A34"/>
      <c r="B34" s="426"/>
      <c r="C34" s="400">
        <v>1</v>
      </c>
      <c r="D34" s="45"/>
      <c r="E34" s="840">
        <f>(VALUE(RIGHT('URWLD COMPANY INPUTS'!$F$46,4))-VALUE(RIGHT('URWLD COMPANY INPUTS'!$F$45,4)))*12+(VALUE(MID('URWLD COMPANY INPUTS'!$F$46,2,1))-VALUE(MID('URWLD COMPANY INPUTS'!$F$45,2,1)))*3+3</f>
        <v>36</v>
      </c>
      <c r="F34" s="414" t="s">
        <v>148</v>
      </c>
      <c r="G34" s="134">
        <f>I34/Units_SF_M2</f>
        <v>4363.7230567952074</v>
      </c>
      <c r="H34" s="415"/>
      <c r="I34" s="837">
        <f>('URWLD COMPANY INPUTS'!$E$192/'URWLD COMPANY INPUTS'!$E$53+'URWLD COMPANY INPUTS'!$F$194*'URWLD COMPANY INPUTS'!$E$52/'URWLD COMPANY INPUTS'!$E$53+'URWLD COMPANY INPUTS'!$F$197*'URWLD COMPANY INPUTS'!$E$52/'URWLD COMPANY INPUTS'!$E$53+'URWLD COMPANY INPUTS'!$F$198*'URWLD COMPANY INPUTS'!$E$52/'URWLD COMPANY INPUTS'!$E$53*25%+'URWLD COMPANY INPUTS'!$F$205*'URWLD COMPANY INPUTS'!$E$52/'URWLD COMPANY INPUTS'!$E$53)+SUM('URWLD COMPANY INPUTS'!$D$411:$D$414)+'URWLD COMPANY INPUTS'!$D$597+'URWLD COMPANY INPUTS'!$D$628*50%+'URWLD COMPANY INPUTS'!$D$404*1000000+1200000+SUM('URWLD COMPANY INPUTS'!$D$423:$D$425)+'URWLD COMPANY INPUTS'!$D$604*1000000+'URWLD COMPANY INPUTS'!$D$613*1000000+SUM('URWLD COMPANY INPUTS'!$D$657:$D$665)+SUM('URWLD COMPANY INPUTS'!$D$620:$D$621)*1000000+264000+'URWLD COMPANY INPUTS'!$D$636+'URWLD COMPANY INPUTS'!$D$638+SUM('URWLD COMPANY INPUTS'!$D$703:$D$706)*1000000+SUM('URWLD COMPANY INPUTS'!$D$709,'URWLD COMPANY INPUTS'!$D$712,'URWLD COMPANY INPUTS'!$D$714,'URWLD COMPANY INPUTS'!$D$715,'URWLD COMPANY INPUTS'!$D$718,'URWLD COMPANY INPUTS'!$D$720,'URWLD COMPANY INPUTS'!$D$722,'URWLD COMPANY INPUTS'!$D$724,'URWLD COMPANY INPUTS'!$D$727,'URWLD COMPANY INPUTS'!$D$729,'URWLD COMPANY INPUTS'!$D$731,'URWLD COMPANY INPUTS'!$D$733,'URWLD COMPANY INPUTS'!$D$628,'URWLD COMPANY INPUTS'!$D$736)+850000+1920000-'URWLD COMPANY INPUTS'!$D$703*1000000+18000000+N("Source schedule constants: Genesis C19 residual A$1.2m; convenience E21 A$0.264m; common N159 A$0.85m; common N166 A$1.92m; project management H25 A$18.0m.")</f>
        <v>342423006.48148149</v>
      </c>
      <c r="J34"/>
      <c r="K34" s="22" t="str">
        <f>IF(ROUND(SUM(L34:EN34),0)=ROUND(I34,0),"","Incomplete")</f>
        <v/>
      </c>
      <c r="L34" s="417">
        <f t="shared" ref="L34:U37" si="85">AND(L$23&gt;=$D34,L$23&lt;=$E34)*(OR($F34="Straight-Line",$F34="Detail")*($I34/$ES34)+($F34="S-Curve")*EV34+OR($F34="Steady Growth",$F34="Steady Decline")*KF34)</f>
        <v>316264.6672520896</v>
      </c>
      <c r="M34" s="417">
        <f t="shared" si="85"/>
        <v>500578.93834205926</v>
      </c>
      <c r="N34" s="417">
        <f t="shared" si="85"/>
        <v>771789.33543003432</v>
      </c>
      <c r="O34" s="417">
        <f t="shared" si="85"/>
        <v>1159122.4162277963</v>
      </c>
      <c r="P34" s="417">
        <f t="shared" si="85"/>
        <v>1695759.2465205514</v>
      </c>
      <c r="Q34" s="417">
        <f t="shared" si="85"/>
        <v>2416592.7337272735</v>
      </c>
      <c r="R34" s="417">
        <f t="shared" si="85"/>
        <v>3354649.4321072679</v>
      </c>
      <c r="S34" s="417">
        <f t="shared" si="85"/>
        <v>4536231.8745576469</v>
      </c>
      <c r="T34" s="417">
        <f t="shared" si="85"/>
        <v>5975136.0196234602</v>
      </c>
      <c r="U34" s="417">
        <f t="shared" si="85"/>
        <v>7666635.4136616895</v>
      </c>
      <c r="V34" s="417">
        <f t="shared" ref="V34:AE37" si="86">AND(V$23&gt;=$D34,V$23&lt;=$E34)*(OR($F34="Straight-Line",$F34="Detail")*($I34/$ES34)+($F34="S-Curve")*FF34+OR($F34="Steady Growth",$F34="Steady Decline")*KP34)</f>
        <v>9582223.7254095823</v>
      </c>
      <c r="W34" s="417">
        <f t="shared" si="86"/>
        <v>11666277.367567711</v>
      </c>
      <c r="X34" s="417">
        <f t="shared" si="86"/>
        <v>13835752.900073176</v>
      </c>
      <c r="Y34" s="417">
        <f t="shared" si="86"/>
        <v>15983718.27480286</v>
      </c>
      <c r="Z34" s="417">
        <f t="shared" si="86"/>
        <v>17986943.244136378</v>
      </c>
      <c r="AA34" s="417">
        <f t="shared" si="86"/>
        <v>19717027.820090942</v>
      </c>
      <c r="AB34" s="417">
        <f t="shared" si="86"/>
        <v>21053779.830149196</v>
      </c>
      <c r="AC34" s="417">
        <f t="shared" si="86"/>
        <v>21898947.979261931</v>
      </c>
      <c r="AD34" s="417">
        <f t="shared" si="86"/>
        <v>22188144.043598212</v>
      </c>
      <c r="AE34" s="417">
        <f t="shared" si="86"/>
        <v>21898947.97926195</v>
      </c>
      <c r="AF34" s="417">
        <f t="shared" ref="AF34:AO37" si="87">AND(AF$23&gt;=$D34,AF$23&lt;=$E34)*(OR($F34="Straight-Line",$F34="Detail")*($I34/$ES34)+($F34="S-Curve")*FP34+OR($F34="Steady Growth",$F34="Steady Decline")*KZ34)</f>
        <v>21053779.830149159</v>
      </c>
      <c r="AG34" s="417">
        <f t="shared" si="87"/>
        <v>19717027.820090979</v>
      </c>
      <c r="AH34" s="417">
        <f t="shared" si="87"/>
        <v>17986943.244136352</v>
      </c>
      <c r="AI34" s="417">
        <f t="shared" si="87"/>
        <v>15983718.27480286</v>
      </c>
      <c r="AJ34" s="417">
        <f t="shared" si="87"/>
        <v>13835752.900073204</v>
      </c>
      <c r="AK34" s="417">
        <f t="shared" si="87"/>
        <v>11666277.367567681</v>
      </c>
      <c r="AL34" s="417">
        <f t="shared" si="87"/>
        <v>9582223.7254095823</v>
      </c>
      <c r="AM34" s="417">
        <f t="shared" si="87"/>
        <v>7666635.4136617137</v>
      </c>
      <c r="AN34" s="417">
        <f t="shared" si="87"/>
        <v>5975136.0196234435</v>
      </c>
      <c r="AO34" s="417">
        <f t="shared" si="87"/>
        <v>4536231.8745576479</v>
      </c>
      <c r="AP34" s="417">
        <f t="shared" ref="AP34:AY37" si="88">AND(AP$23&gt;=$D34,AP$23&lt;=$E34)*(OR($F34="Straight-Line",$F34="Detail")*($I34/$ES34)+($F34="S-Curve")*FZ34+OR($F34="Steady Growth",$F34="Steady Decline")*LJ34)</f>
        <v>3354649.4321072819</v>
      </c>
      <c r="AQ34" s="417">
        <f t="shared" si="88"/>
        <v>2416592.7337272582</v>
      </c>
      <c r="AR34" s="417">
        <f t="shared" si="88"/>
        <v>1695759.2465205572</v>
      </c>
      <c r="AS34" s="417">
        <f t="shared" si="88"/>
        <v>1159122.4162277773</v>
      </c>
      <c r="AT34" s="417">
        <f t="shared" si="88"/>
        <v>771789.33543005667</v>
      </c>
      <c r="AU34" s="417">
        <f t="shared" si="88"/>
        <v>500578.93834204343</v>
      </c>
      <c r="AV34" s="417">
        <f t="shared" si="88"/>
        <v>316264.6672520946</v>
      </c>
      <c r="AW34" s="417">
        <f t="shared" si="88"/>
        <v>0</v>
      </c>
      <c r="AX34" s="417">
        <f t="shared" si="88"/>
        <v>0</v>
      </c>
      <c r="AY34" s="417">
        <f t="shared" si="88"/>
        <v>0</v>
      </c>
      <c r="AZ34" s="417">
        <f t="shared" ref="AZ34:BI37" si="89">AND(AZ$23&gt;=$D34,AZ$23&lt;=$E34)*(OR($F34="Straight-Line",$F34="Detail")*($I34/$ES34)+($F34="S-Curve")*GJ34+OR($F34="Steady Growth",$F34="Steady Decline")*LT34)</f>
        <v>0</v>
      </c>
      <c r="BA34" s="417">
        <f t="shared" si="89"/>
        <v>0</v>
      </c>
      <c r="BB34" s="417">
        <f t="shared" si="89"/>
        <v>0</v>
      </c>
      <c r="BC34" s="417">
        <f t="shared" si="89"/>
        <v>0</v>
      </c>
      <c r="BD34" s="417">
        <f t="shared" si="89"/>
        <v>0</v>
      </c>
      <c r="BE34" s="417">
        <f t="shared" si="89"/>
        <v>0</v>
      </c>
      <c r="BF34" s="417">
        <f t="shared" si="89"/>
        <v>0</v>
      </c>
      <c r="BG34" s="417">
        <f t="shared" si="89"/>
        <v>0</v>
      </c>
      <c r="BH34" s="417">
        <f t="shared" si="89"/>
        <v>0</v>
      </c>
      <c r="BI34" s="417">
        <f t="shared" si="89"/>
        <v>0</v>
      </c>
      <c r="BJ34" s="417">
        <f t="shared" ref="BJ34:BS37" si="90">AND(BJ$23&gt;=$D34,BJ$23&lt;=$E34)*(OR($F34="Straight-Line",$F34="Detail")*($I34/$ES34)+($F34="S-Curve")*GT34+OR($F34="Steady Growth",$F34="Steady Decline")*MD34)</f>
        <v>0</v>
      </c>
      <c r="BK34" s="417">
        <f t="shared" si="90"/>
        <v>0</v>
      </c>
      <c r="BL34" s="417">
        <f t="shared" si="90"/>
        <v>0</v>
      </c>
      <c r="BM34" s="417">
        <f t="shared" si="90"/>
        <v>0</v>
      </c>
      <c r="BN34" s="417">
        <f t="shared" si="90"/>
        <v>0</v>
      </c>
      <c r="BO34" s="417">
        <f t="shared" si="90"/>
        <v>0</v>
      </c>
      <c r="BP34" s="417">
        <f t="shared" si="90"/>
        <v>0</v>
      </c>
      <c r="BQ34" s="417">
        <f t="shared" si="90"/>
        <v>0</v>
      </c>
      <c r="BR34" s="417">
        <f t="shared" si="90"/>
        <v>0</v>
      </c>
      <c r="BS34" s="417">
        <f t="shared" si="90"/>
        <v>0</v>
      </c>
      <c r="BT34" s="417">
        <f t="shared" ref="BT34:CC37" si="91">AND(BT$23&gt;=$D34,BT$23&lt;=$E34)*(OR($F34="Straight-Line",$F34="Detail")*($I34/$ES34)+($F34="S-Curve")*HD34+OR($F34="Steady Growth",$F34="Steady Decline")*MN34)</f>
        <v>0</v>
      </c>
      <c r="BU34" s="417">
        <f t="shared" si="91"/>
        <v>0</v>
      </c>
      <c r="BV34" s="417">
        <f t="shared" si="91"/>
        <v>0</v>
      </c>
      <c r="BW34" s="417">
        <f t="shared" si="91"/>
        <v>0</v>
      </c>
      <c r="BX34" s="417">
        <f t="shared" si="91"/>
        <v>0</v>
      </c>
      <c r="BY34" s="417">
        <f t="shared" si="91"/>
        <v>0</v>
      </c>
      <c r="BZ34" s="417">
        <f t="shared" si="91"/>
        <v>0</v>
      </c>
      <c r="CA34" s="417">
        <f t="shared" si="91"/>
        <v>0</v>
      </c>
      <c r="CB34" s="417">
        <f t="shared" si="91"/>
        <v>0</v>
      </c>
      <c r="CC34" s="417">
        <f t="shared" si="91"/>
        <v>0</v>
      </c>
      <c r="CD34" s="417">
        <f t="shared" ref="CD34:CM37" si="92">AND(CD$23&gt;=$D34,CD$23&lt;=$E34)*(OR($F34="Straight-Line",$F34="Detail")*($I34/$ES34)+($F34="S-Curve")*HN34+OR($F34="Steady Growth",$F34="Steady Decline")*MX34)</f>
        <v>0</v>
      </c>
      <c r="CE34" s="417">
        <f t="shared" si="92"/>
        <v>0</v>
      </c>
      <c r="CF34" s="417">
        <f t="shared" si="92"/>
        <v>0</v>
      </c>
      <c r="CG34" s="417">
        <f t="shared" si="92"/>
        <v>0</v>
      </c>
      <c r="CH34" s="417">
        <f t="shared" si="92"/>
        <v>0</v>
      </c>
      <c r="CI34" s="417">
        <f t="shared" si="92"/>
        <v>0</v>
      </c>
      <c r="CJ34" s="417">
        <f t="shared" si="92"/>
        <v>0</v>
      </c>
      <c r="CK34" s="417">
        <f t="shared" si="92"/>
        <v>0</v>
      </c>
      <c r="CL34" s="417">
        <f t="shared" si="92"/>
        <v>0</v>
      </c>
      <c r="CM34" s="417">
        <f t="shared" si="92"/>
        <v>0</v>
      </c>
      <c r="CN34" s="417">
        <f t="shared" ref="CN34:CW37" si="93">AND(CN$23&gt;=$D34,CN$23&lt;=$E34)*(OR($F34="Straight-Line",$F34="Detail")*($I34/$ES34)+($F34="S-Curve")*HX34+OR($F34="Steady Growth",$F34="Steady Decline")*NH34)</f>
        <v>0</v>
      </c>
      <c r="CO34" s="417">
        <f t="shared" si="93"/>
        <v>0</v>
      </c>
      <c r="CP34" s="417">
        <f t="shared" si="93"/>
        <v>0</v>
      </c>
      <c r="CQ34" s="417">
        <f t="shared" si="93"/>
        <v>0</v>
      </c>
      <c r="CR34" s="417">
        <f t="shared" si="93"/>
        <v>0</v>
      </c>
      <c r="CS34" s="417">
        <f t="shared" si="93"/>
        <v>0</v>
      </c>
      <c r="CT34" s="417">
        <f t="shared" si="93"/>
        <v>0</v>
      </c>
      <c r="CU34" s="417">
        <f t="shared" si="93"/>
        <v>0</v>
      </c>
      <c r="CV34" s="417">
        <f t="shared" si="93"/>
        <v>0</v>
      </c>
      <c r="CW34" s="417">
        <f t="shared" si="93"/>
        <v>0</v>
      </c>
      <c r="CX34" s="417">
        <f t="shared" ref="CX34:DG37" si="94">AND(CX$23&gt;=$D34,CX$23&lt;=$E34)*(OR($F34="Straight-Line",$F34="Detail")*($I34/$ES34)+($F34="S-Curve")*IH34+OR($F34="Steady Growth",$F34="Steady Decline")*NR34)</f>
        <v>0</v>
      </c>
      <c r="CY34" s="417">
        <f t="shared" si="94"/>
        <v>0</v>
      </c>
      <c r="CZ34" s="417">
        <f t="shared" si="94"/>
        <v>0</v>
      </c>
      <c r="DA34" s="417">
        <f t="shared" si="94"/>
        <v>0</v>
      </c>
      <c r="DB34" s="417">
        <f t="shared" si="94"/>
        <v>0</v>
      </c>
      <c r="DC34" s="417">
        <f t="shared" si="94"/>
        <v>0</v>
      </c>
      <c r="DD34" s="417">
        <f t="shared" si="94"/>
        <v>0</v>
      </c>
      <c r="DE34" s="417">
        <f t="shared" si="94"/>
        <v>0</v>
      </c>
      <c r="DF34" s="417">
        <f t="shared" si="94"/>
        <v>0</v>
      </c>
      <c r="DG34" s="417">
        <f t="shared" si="94"/>
        <v>0</v>
      </c>
      <c r="DH34" s="417">
        <f t="shared" ref="DH34:DQ37" si="95">AND(DH$23&gt;=$D34,DH$23&lt;=$E34)*(OR($F34="Straight-Line",$F34="Detail")*($I34/$ES34)+($F34="S-Curve")*IR34+OR($F34="Steady Growth",$F34="Steady Decline")*OB34)</f>
        <v>0</v>
      </c>
      <c r="DI34" s="417">
        <f t="shared" si="95"/>
        <v>0</v>
      </c>
      <c r="DJ34" s="417">
        <f t="shared" si="95"/>
        <v>0</v>
      </c>
      <c r="DK34" s="417">
        <f t="shared" si="95"/>
        <v>0</v>
      </c>
      <c r="DL34" s="417">
        <f t="shared" si="95"/>
        <v>0</v>
      </c>
      <c r="DM34" s="417">
        <f t="shared" si="95"/>
        <v>0</v>
      </c>
      <c r="DN34" s="417">
        <f t="shared" si="95"/>
        <v>0</v>
      </c>
      <c r="DO34" s="417">
        <f t="shared" si="95"/>
        <v>0</v>
      </c>
      <c r="DP34" s="417">
        <f t="shared" si="95"/>
        <v>0</v>
      </c>
      <c r="DQ34" s="417">
        <f t="shared" si="95"/>
        <v>0</v>
      </c>
      <c r="DR34" s="417">
        <f t="shared" ref="DR34:EA37" si="96">AND(DR$23&gt;=$D34,DR$23&lt;=$E34)*(OR($F34="Straight-Line",$F34="Detail")*($I34/$ES34)+($F34="S-Curve")*JB34+OR($F34="Steady Growth",$F34="Steady Decline")*OL34)</f>
        <v>0</v>
      </c>
      <c r="DS34" s="417">
        <f t="shared" si="96"/>
        <v>0</v>
      </c>
      <c r="DT34" s="417">
        <f t="shared" si="96"/>
        <v>0</v>
      </c>
      <c r="DU34" s="417">
        <f t="shared" si="96"/>
        <v>0</v>
      </c>
      <c r="DV34" s="417">
        <f t="shared" si="96"/>
        <v>0</v>
      </c>
      <c r="DW34" s="417">
        <f t="shared" si="96"/>
        <v>0</v>
      </c>
      <c r="DX34" s="417">
        <f t="shared" si="96"/>
        <v>0</v>
      </c>
      <c r="DY34" s="417">
        <f t="shared" si="96"/>
        <v>0</v>
      </c>
      <c r="DZ34" s="417">
        <f t="shared" si="96"/>
        <v>0</v>
      </c>
      <c r="EA34" s="417">
        <f t="shared" si="96"/>
        <v>0</v>
      </c>
      <c r="EB34" s="417">
        <f t="shared" ref="EB34:EK37" si="97">AND(EB$23&gt;=$D34,EB$23&lt;=$E34)*(OR($F34="Straight-Line",$F34="Detail")*($I34/$ES34)+($F34="S-Curve")*JL34+OR($F34="Steady Growth",$F34="Steady Decline")*OV34)</f>
        <v>0</v>
      </c>
      <c r="EC34" s="417">
        <f t="shared" si="97"/>
        <v>0</v>
      </c>
      <c r="ED34" s="417">
        <f t="shared" si="97"/>
        <v>0</v>
      </c>
      <c r="EE34" s="417">
        <f t="shared" si="97"/>
        <v>0</v>
      </c>
      <c r="EF34" s="417">
        <f t="shared" si="97"/>
        <v>0</v>
      </c>
      <c r="EG34" s="417">
        <f t="shared" si="97"/>
        <v>0</v>
      </c>
      <c r="EH34" s="417">
        <f t="shared" si="97"/>
        <v>0</v>
      </c>
      <c r="EI34" s="417">
        <f t="shared" si="97"/>
        <v>0</v>
      </c>
      <c r="EJ34" s="417">
        <f t="shared" si="97"/>
        <v>0</v>
      </c>
      <c r="EK34" s="417">
        <f t="shared" si="97"/>
        <v>0</v>
      </c>
      <c r="EL34" s="417">
        <f t="shared" ref="EL34:EN37" si="98">AND(EL$23&gt;=$D34,EL$23&lt;=$E34)*(OR($F34="Straight-Line",$F34="Detail")*($I34/$ES34)+($F34="S-Curve")*JV34+OR($F34="Steady Growth",$F34="Steady Decline")*PF34)</f>
        <v>0</v>
      </c>
      <c r="EM34" s="417">
        <f t="shared" si="98"/>
        <v>0</v>
      </c>
      <c r="EN34" s="417">
        <f t="shared" si="98"/>
        <v>0</v>
      </c>
      <c r="EO34"/>
      <c r="EP34" s="220">
        <f>I34</f>
        <v>342423006.48148149</v>
      </c>
      <c r="EQ34" s="201">
        <f>INDEX($L$24:$EN$24,1,$D34+1)</f>
        <v>46203</v>
      </c>
      <c r="ER34" s="201">
        <f>INDEX($L$24:$EN$24,1,$E34+1)</f>
        <v>47299</v>
      </c>
      <c r="ES34" s="20">
        <f>+E34-D34+1</f>
        <v>37</v>
      </c>
      <c r="ET34" s="18" t="str">
        <f>F34</f>
        <v>S-Curve</v>
      </c>
      <c r="EU34" s="79">
        <f>ES34/Scurve_Dist</f>
        <v>6.166666666666667</v>
      </c>
      <c r="EV34" s="20">
        <f t="shared" ref="EV34:FK37" si="99">AND($ET34="S-Curve",EV$24&gt;=$EQ34,EV$24&lt;=$ER34)*(NORMDIST((YEAR(EV$24)-YEAR($EQ34))*12+MONTH(EV$24)-MONTH($EQ34)+1,$ES34/2,$EU34,TRUE)-NORMDIST((YEAR(EV$24)-YEAR($EQ34))*12+MONTH(EV$24)-MONTH($EQ34),$ES34/2,$EU34,TRUE))/(1-2*NORMDIST(0,$ES34/2,$EU34,TRUE))*$EP34</f>
        <v>316264.6672520896</v>
      </c>
      <c r="EW34" s="20">
        <f t="shared" si="99"/>
        <v>500578.93834205926</v>
      </c>
      <c r="EX34" s="20">
        <f t="shared" si="99"/>
        <v>771789.33543003432</v>
      </c>
      <c r="EY34" s="20">
        <f t="shared" si="99"/>
        <v>1159122.4162277963</v>
      </c>
      <c r="EZ34" s="20">
        <f t="shared" si="99"/>
        <v>1695759.2465205514</v>
      </c>
      <c r="FA34" s="20">
        <f t="shared" si="99"/>
        <v>2416592.7337272735</v>
      </c>
      <c r="FB34" s="20">
        <f t="shared" si="99"/>
        <v>3354649.4321072679</v>
      </c>
      <c r="FC34" s="20">
        <f t="shared" si="99"/>
        <v>4536231.8745576469</v>
      </c>
      <c r="FD34" s="20">
        <f t="shared" si="99"/>
        <v>5975136.0196234602</v>
      </c>
      <c r="FE34" s="20">
        <f t="shared" si="99"/>
        <v>7666635.4136616895</v>
      </c>
      <c r="FF34" s="20">
        <f t="shared" si="99"/>
        <v>9582223.7254095823</v>
      </c>
      <c r="FG34" s="20">
        <f t="shared" si="99"/>
        <v>11666277.367567711</v>
      </c>
      <c r="FH34" s="20">
        <f t="shared" si="99"/>
        <v>13835752.900073176</v>
      </c>
      <c r="FI34" s="20">
        <f t="shared" si="99"/>
        <v>15983718.27480286</v>
      </c>
      <c r="FJ34" s="20">
        <f t="shared" si="99"/>
        <v>17986943.244136378</v>
      </c>
      <c r="FK34" s="20">
        <f t="shared" si="99"/>
        <v>19717027.820090942</v>
      </c>
      <c r="FL34" s="20">
        <f t="shared" ref="FL34:GA37" si="100">AND($ET34="S-Curve",FL$24&gt;=$EQ34,FL$24&lt;=$ER34)*(NORMDIST((YEAR(FL$24)-YEAR($EQ34))*12+MONTH(FL$24)-MONTH($EQ34)+1,$ES34/2,$EU34,TRUE)-NORMDIST((YEAR(FL$24)-YEAR($EQ34))*12+MONTH(FL$24)-MONTH($EQ34),$ES34/2,$EU34,TRUE))/(1-2*NORMDIST(0,$ES34/2,$EU34,TRUE))*$EP34</f>
        <v>21053779.830149196</v>
      </c>
      <c r="FM34" s="20">
        <f t="shared" si="100"/>
        <v>21898947.979261931</v>
      </c>
      <c r="FN34" s="20">
        <f t="shared" si="100"/>
        <v>22188144.043598212</v>
      </c>
      <c r="FO34" s="20">
        <f t="shared" si="100"/>
        <v>21898947.97926195</v>
      </c>
      <c r="FP34" s="20">
        <f t="shared" si="100"/>
        <v>21053779.830149159</v>
      </c>
      <c r="FQ34" s="20">
        <f t="shared" si="100"/>
        <v>19717027.820090979</v>
      </c>
      <c r="FR34" s="20">
        <f t="shared" si="100"/>
        <v>17986943.244136352</v>
      </c>
      <c r="FS34" s="20">
        <f t="shared" si="100"/>
        <v>15983718.27480286</v>
      </c>
      <c r="FT34" s="20">
        <f t="shared" si="100"/>
        <v>13835752.900073204</v>
      </c>
      <c r="FU34" s="20">
        <f t="shared" si="100"/>
        <v>11666277.367567681</v>
      </c>
      <c r="FV34" s="20">
        <f t="shared" si="100"/>
        <v>9582223.7254095823</v>
      </c>
      <c r="FW34" s="20">
        <f t="shared" si="100"/>
        <v>7666635.4136617137</v>
      </c>
      <c r="FX34" s="20">
        <f t="shared" si="100"/>
        <v>5975136.0196234435</v>
      </c>
      <c r="FY34" s="20">
        <f t="shared" si="100"/>
        <v>4536231.8745576479</v>
      </c>
      <c r="FZ34" s="20">
        <f t="shared" si="100"/>
        <v>3354649.4321072819</v>
      </c>
      <c r="GA34" s="20">
        <f t="shared" si="100"/>
        <v>2416592.7337272582</v>
      </c>
      <c r="GB34" s="20">
        <f t="shared" ref="GB34:GQ37" si="101">AND($ET34="S-Curve",GB$24&gt;=$EQ34,GB$24&lt;=$ER34)*(NORMDIST((YEAR(GB$24)-YEAR($EQ34))*12+MONTH(GB$24)-MONTH($EQ34)+1,$ES34/2,$EU34,TRUE)-NORMDIST((YEAR(GB$24)-YEAR($EQ34))*12+MONTH(GB$24)-MONTH($EQ34),$ES34/2,$EU34,TRUE))/(1-2*NORMDIST(0,$ES34/2,$EU34,TRUE))*$EP34</f>
        <v>1695759.2465205572</v>
      </c>
      <c r="GC34" s="20">
        <f t="shared" si="101"/>
        <v>1159122.4162277773</v>
      </c>
      <c r="GD34" s="20">
        <f t="shared" si="101"/>
        <v>771789.33543005667</v>
      </c>
      <c r="GE34" s="20">
        <f t="shared" si="101"/>
        <v>500578.93834204343</v>
      </c>
      <c r="GF34" s="20">
        <f t="shared" si="101"/>
        <v>316264.6672520946</v>
      </c>
      <c r="GG34" s="20">
        <f t="shared" si="101"/>
        <v>0</v>
      </c>
      <c r="GH34" s="20">
        <f t="shared" si="101"/>
        <v>0</v>
      </c>
      <c r="GI34" s="20">
        <f t="shared" si="101"/>
        <v>0</v>
      </c>
      <c r="GJ34" s="20">
        <f t="shared" si="101"/>
        <v>0</v>
      </c>
      <c r="GK34" s="20">
        <f t="shared" si="101"/>
        <v>0</v>
      </c>
      <c r="GL34" s="20">
        <f t="shared" si="101"/>
        <v>0</v>
      </c>
      <c r="GM34" s="20">
        <f t="shared" si="101"/>
        <v>0</v>
      </c>
      <c r="GN34" s="20">
        <f t="shared" si="101"/>
        <v>0</v>
      </c>
      <c r="GO34" s="20">
        <f t="shared" si="101"/>
        <v>0</v>
      </c>
      <c r="GP34" s="20">
        <f t="shared" si="101"/>
        <v>0</v>
      </c>
      <c r="GQ34" s="20">
        <f t="shared" si="101"/>
        <v>0</v>
      </c>
      <c r="GR34" s="20">
        <f t="shared" ref="GR34:HG37" si="102">AND($ET34="S-Curve",GR$24&gt;=$EQ34,GR$24&lt;=$ER34)*(NORMDIST((YEAR(GR$24)-YEAR($EQ34))*12+MONTH(GR$24)-MONTH($EQ34)+1,$ES34/2,$EU34,TRUE)-NORMDIST((YEAR(GR$24)-YEAR($EQ34))*12+MONTH(GR$24)-MONTH($EQ34),$ES34/2,$EU34,TRUE))/(1-2*NORMDIST(0,$ES34/2,$EU34,TRUE))*$EP34</f>
        <v>0</v>
      </c>
      <c r="GS34" s="20">
        <f t="shared" si="102"/>
        <v>0</v>
      </c>
      <c r="GT34" s="20">
        <f t="shared" si="102"/>
        <v>0</v>
      </c>
      <c r="GU34" s="20">
        <f t="shared" si="102"/>
        <v>0</v>
      </c>
      <c r="GV34" s="20">
        <f t="shared" si="102"/>
        <v>0</v>
      </c>
      <c r="GW34" s="20">
        <f t="shared" si="102"/>
        <v>0</v>
      </c>
      <c r="GX34" s="20">
        <f t="shared" si="102"/>
        <v>0</v>
      </c>
      <c r="GY34" s="20">
        <f t="shared" si="102"/>
        <v>0</v>
      </c>
      <c r="GZ34" s="20">
        <f t="shared" si="102"/>
        <v>0</v>
      </c>
      <c r="HA34" s="20">
        <f t="shared" si="102"/>
        <v>0</v>
      </c>
      <c r="HB34" s="20">
        <f t="shared" si="102"/>
        <v>0</v>
      </c>
      <c r="HC34" s="20">
        <f t="shared" si="102"/>
        <v>0</v>
      </c>
      <c r="HD34" s="20">
        <f t="shared" si="102"/>
        <v>0</v>
      </c>
      <c r="HE34" s="20">
        <f t="shared" si="102"/>
        <v>0</v>
      </c>
      <c r="HF34" s="20">
        <f t="shared" si="102"/>
        <v>0</v>
      </c>
      <c r="HG34" s="20">
        <f t="shared" si="102"/>
        <v>0</v>
      </c>
      <c r="HH34" s="20">
        <f t="shared" ref="HH34:HW37" si="103">AND($ET34="S-Curve",HH$24&gt;=$EQ34,HH$24&lt;=$ER34)*(NORMDIST((YEAR(HH$24)-YEAR($EQ34))*12+MONTH(HH$24)-MONTH($EQ34)+1,$ES34/2,$EU34,TRUE)-NORMDIST((YEAR(HH$24)-YEAR($EQ34))*12+MONTH(HH$24)-MONTH($EQ34),$ES34/2,$EU34,TRUE))/(1-2*NORMDIST(0,$ES34/2,$EU34,TRUE))*$EP34</f>
        <v>0</v>
      </c>
      <c r="HI34" s="20">
        <f t="shared" si="103"/>
        <v>0</v>
      </c>
      <c r="HJ34" s="20">
        <f t="shared" si="103"/>
        <v>0</v>
      </c>
      <c r="HK34" s="20">
        <f t="shared" si="103"/>
        <v>0</v>
      </c>
      <c r="HL34" s="20">
        <f t="shared" si="103"/>
        <v>0</v>
      </c>
      <c r="HM34" s="20">
        <f t="shared" si="103"/>
        <v>0</v>
      </c>
      <c r="HN34" s="20">
        <f t="shared" si="103"/>
        <v>0</v>
      </c>
      <c r="HO34" s="20">
        <f t="shared" si="103"/>
        <v>0</v>
      </c>
      <c r="HP34" s="20">
        <f t="shared" si="103"/>
        <v>0</v>
      </c>
      <c r="HQ34" s="20">
        <f t="shared" si="103"/>
        <v>0</v>
      </c>
      <c r="HR34" s="20">
        <f t="shared" si="103"/>
        <v>0</v>
      </c>
      <c r="HS34" s="20">
        <f t="shared" si="103"/>
        <v>0</v>
      </c>
      <c r="HT34" s="20">
        <f t="shared" si="103"/>
        <v>0</v>
      </c>
      <c r="HU34" s="20">
        <f t="shared" si="103"/>
        <v>0</v>
      </c>
      <c r="HV34" s="20">
        <f t="shared" si="103"/>
        <v>0</v>
      </c>
      <c r="HW34" s="20">
        <f t="shared" si="103"/>
        <v>0</v>
      </c>
      <c r="HX34" s="20">
        <f t="shared" ref="HX34:IM37" si="104">AND($ET34="S-Curve",HX$24&gt;=$EQ34,HX$24&lt;=$ER34)*(NORMDIST((YEAR(HX$24)-YEAR($EQ34))*12+MONTH(HX$24)-MONTH($EQ34)+1,$ES34/2,$EU34,TRUE)-NORMDIST((YEAR(HX$24)-YEAR($EQ34))*12+MONTH(HX$24)-MONTH($EQ34),$ES34/2,$EU34,TRUE))/(1-2*NORMDIST(0,$ES34/2,$EU34,TRUE))*$EP34</f>
        <v>0</v>
      </c>
      <c r="HY34" s="20">
        <f t="shared" si="104"/>
        <v>0</v>
      </c>
      <c r="HZ34" s="20">
        <f t="shared" si="104"/>
        <v>0</v>
      </c>
      <c r="IA34" s="20">
        <f t="shared" si="104"/>
        <v>0</v>
      </c>
      <c r="IB34" s="20">
        <f t="shared" si="104"/>
        <v>0</v>
      </c>
      <c r="IC34" s="20">
        <f t="shared" si="104"/>
        <v>0</v>
      </c>
      <c r="ID34" s="20">
        <f t="shared" si="104"/>
        <v>0</v>
      </c>
      <c r="IE34" s="20">
        <f t="shared" si="104"/>
        <v>0</v>
      </c>
      <c r="IF34" s="20">
        <f t="shared" si="104"/>
        <v>0</v>
      </c>
      <c r="IG34" s="20">
        <f t="shared" si="104"/>
        <v>0</v>
      </c>
      <c r="IH34" s="20">
        <f t="shared" si="104"/>
        <v>0</v>
      </c>
      <c r="II34" s="20">
        <f t="shared" si="104"/>
        <v>0</v>
      </c>
      <c r="IJ34" s="20">
        <f t="shared" si="104"/>
        <v>0</v>
      </c>
      <c r="IK34" s="20">
        <f t="shared" si="104"/>
        <v>0</v>
      </c>
      <c r="IL34" s="20">
        <f t="shared" si="104"/>
        <v>0</v>
      </c>
      <c r="IM34" s="20">
        <f t="shared" si="104"/>
        <v>0</v>
      </c>
      <c r="IN34" s="20">
        <f t="shared" ref="IN34:JC37" si="105">AND($ET34="S-Curve",IN$24&gt;=$EQ34,IN$24&lt;=$ER34)*(NORMDIST((YEAR(IN$24)-YEAR($EQ34))*12+MONTH(IN$24)-MONTH($EQ34)+1,$ES34/2,$EU34,TRUE)-NORMDIST((YEAR(IN$24)-YEAR($EQ34))*12+MONTH(IN$24)-MONTH($EQ34),$ES34/2,$EU34,TRUE))/(1-2*NORMDIST(0,$ES34/2,$EU34,TRUE))*$EP34</f>
        <v>0</v>
      </c>
      <c r="IO34" s="20">
        <f t="shared" si="105"/>
        <v>0</v>
      </c>
      <c r="IP34" s="20">
        <f t="shared" si="105"/>
        <v>0</v>
      </c>
      <c r="IQ34" s="20">
        <f t="shared" si="105"/>
        <v>0</v>
      </c>
      <c r="IR34" s="20">
        <f t="shared" si="105"/>
        <v>0</v>
      </c>
      <c r="IS34" s="20">
        <f t="shared" si="105"/>
        <v>0</v>
      </c>
      <c r="IT34" s="20">
        <f t="shared" si="105"/>
        <v>0</v>
      </c>
      <c r="IU34" s="20">
        <f t="shared" si="105"/>
        <v>0</v>
      </c>
      <c r="IV34" s="20">
        <f t="shared" si="105"/>
        <v>0</v>
      </c>
      <c r="IW34" s="20">
        <f t="shared" si="105"/>
        <v>0</v>
      </c>
      <c r="IX34" s="20">
        <f t="shared" si="105"/>
        <v>0</v>
      </c>
      <c r="IY34" s="20">
        <f t="shared" si="105"/>
        <v>0</v>
      </c>
      <c r="IZ34" s="20">
        <f t="shared" si="105"/>
        <v>0</v>
      </c>
      <c r="JA34" s="20">
        <f t="shared" si="105"/>
        <v>0</v>
      </c>
      <c r="JB34" s="20">
        <f t="shared" si="105"/>
        <v>0</v>
      </c>
      <c r="JC34" s="20">
        <f t="shared" si="105"/>
        <v>0</v>
      </c>
      <c r="JD34" s="20">
        <f t="shared" ref="JD34:JS37" si="106">AND($ET34="S-Curve",JD$24&gt;=$EQ34,JD$24&lt;=$ER34)*(NORMDIST((YEAR(JD$24)-YEAR($EQ34))*12+MONTH(JD$24)-MONTH($EQ34)+1,$ES34/2,$EU34,TRUE)-NORMDIST((YEAR(JD$24)-YEAR($EQ34))*12+MONTH(JD$24)-MONTH($EQ34),$ES34/2,$EU34,TRUE))/(1-2*NORMDIST(0,$ES34/2,$EU34,TRUE))*$EP34</f>
        <v>0</v>
      </c>
      <c r="JE34" s="20">
        <f t="shared" si="106"/>
        <v>0</v>
      </c>
      <c r="JF34" s="20">
        <f t="shared" si="106"/>
        <v>0</v>
      </c>
      <c r="JG34" s="20">
        <f t="shared" si="106"/>
        <v>0</v>
      </c>
      <c r="JH34" s="20">
        <f t="shared" si="106"/>
        <v>0</v>
      </c>
      <c r="JI34" s="20">
        <f t="shared" si="106"/>
        <v>0</v>
      </c>
      <c r="JJ34" s="20">
        <f t="shared" si="106"/>
        <v>0</v>
      </c>
      <c r="JK34" s="20">
        <f t="shared" si="106"/>
        <v>0</v>
      </c>
      <c r="JL34" s="20">
        <f t="shared" si="106"/>
        <v>0</v>
      </c>
      <c r="JM34" s="20">
        <f t="shared" si="106"/>
        <v>0</v>
      </c>
      <c r="JN34" s="20">
        <f t="shared" si="106"/>
        <v>0</v>
      </c>
      <c r="JO34" s="20">
        <f t="shared" si="106"/>
        <v>0</v>
      </c>
      <c r="JP34" s="20">
        <f t="shared" si="106"/>
        <v>0</v>
      </c>
      <c r="JQ34" s="20">
        <f t="shared" si="106"/>
        <v>0</v>
      </c>
      <c r="JR34" s="20">
        <f t="shared" si="106"/>
        <v>0</v>
      </c>
      <c r="JS34" s="20">
        <f t="shared" si="106"/>
        <v>0</v>
      </c>
      <c r="JT34" s="20">
        <f t="shared" ref="JT34:JX37" si="107">AND($ET34="S-Curve",JT$24&gt;=$EQ34,JT$24&lt;=$ER34)*(NORMDIST((YEAR(JT$24)-YEAR($EQ34))*12+MONTH(JT$24)-MONTH($EQ34)+1,$ES34/2,$EU34,TRUE)-NORMDIST((YEAR(JT$24)-YEAR($EQ34))*12+MONTH(JT$24)-MONTH($EQ34),$ES34/2,$EU34,TRUE))/(1-2*NORMDIST(0,$ES34/2,$EU34,TRUE))*$EP34</f>
        <v>0</v>
      </c>
      <c r="JU34" s="20">
        <f t="shared" si="107"/>
        <v>0</v>
      </c>
      <c r="JV34" s="20">
        <f t="shared" si="107"/>
        <v>0</v>
      </c>
      <c r="JW34" s="20">
        <f t="shared" si="107"/>
        <v>0</v>
      </c>
      <c r="JX34" s="20">
        <f t="shared" si="107"/>
        <v>0</v>
      </c>
      <c r="JY34"/>
      <c r="JZ34" s="220">
        <f t="shared" si="51"/>
        <v>0</v>
      </c>
      <c r="KA34" s="201"/>
      <c r="KB34" s="20">
        <f t="shared" ref="KB34:KC37" si="108">D34</f>
        <v>0</v>
      </c>
      <c r="KC34" s="20">
        <f t="shared" si="108"/>
        <v>36</v>
      </c>
      <c r="KD34" s="20">
        <f>KC34-KB34+1</f>
        <v>37</v>
      </c>
      <c r="KE34" s="418">
        <f>I34</f>
        <v>342423006.48148149</v>
      </c>
      <c r="KF34" s="418">
        <f>AND(KF$23&gt;=$KB34,KF$23&lt;=$KC34)*(IF($F34="Steady Growth",KF$23-$KB34,$KC34-KF$23)+1)/($KD34*($KD34+1)/2)*$KE34</f>
        <v>18022263.499025341</v>
      </c>
      <c r="KG34" s="418">
        <f t="shared" ref="KG34:MR37" si="109">AND(KG$23&gt;=$KB34,KG$23&lt;=$KC34)*(IF($F34="Steady Growth",KG$23-$KB34,$KC34-KG$23)+1)/($KD34*($KD34+1)/2)*$KE34</f>
        <v>17535175.296348982</v>
      </c>
      <c r="KH34" s="418">
        <f t="shared" si="109"/>
        <v>17048087.093672622</v>
      </c>
      <c r="KI34" s="418">
        <f t="shared" si="109"/>
        <v>16560998.890996261</v>
      </c>
      <c r="KJ34" s="418">
        <f t="shared" si="109"/>
        <v>16073910.688319899</v>
      </c>
      <c r="KK34" s="418">
        <f t="shared" si="109"/>
        <v>15586822.48564354</v>
      </c>
      <c r="KL34" s="418">
        <f t="shared" si="109"/>
        <v>15099734.28296718</v>
      </c>
      <c r="KM34" s="418">
        <f t="shared" si="109"/>
        <v>14612646.080290817</v>
      </c>
      <c r="KN34" s="418">
        <f t="shared" si="109"/>
        <v>14125557.877614457</v>
      </c>
      <c r="KO34" s="418">
        <f t="shared" si="109"/>
        <v>13638469.674938096</v>
      </c>
      <c r="KP34" s="418">
        <f t="shared" si="109"/>
        <v>13151381.472261736</v>
      </c>
      <c r="KQ34" s="418">
        <f t="shared" si="109"/>
        <v>12664293.269585377</v>
      </c>
      <c r="KR34" s="418">
        <f t="shared" si="109"/>
        <v>12177205.066909015</v>
      </c>
      <c r="KS34" s="418">
        <f t="shared" si="109"/>
        <v>11690116.864232656</v>
      </c>
      <c r="KT34" s="418">
        <f t="shared" si="109"/>
        <v>11203028.661556292</v>
      </c>
      <c r="KU34" s="418">
        <f t="shared" si="109"/>
        <v>10715940.458879933</v>
      </c>
      <c r="KV34" s="418">
        <f t="shared" si="109"/>
        <v>10228852.256203571</v>
      </c>
      <c r="KW34" s="418">
        <f t="shared" si="109"/>
        <v>9741764.0535272118</v>
      </c>
      <c r="KX34" s="418">
        <f t="shared" si="109"/>
        <v>9254675.8508508522</v>
      </c>
      <c r="KY34" s="418">
        <f t="shared" si="109"/>
        <v>8767587.6481744908</v>
      </c>
      <c r="KZ34" s="418">
        <f t="shared" si="109"/>
        <v>8280499.4454981303</v>
      </c>
      <c r="LA34" s="418">
        <f t="shared" si="109"/>
        <v>7793411.2428217698</v>
      </c>
      <c r="LB34" s="418">
        <f t="shared" si="109"/>
        <v>7306323.0401454084</v>
      </c>
      <c r="LC34" s="418">
        <f t="shared" si="109"/>
        <v>6819234.8374690479</v>
      </c>
      <c r="LD34" s="418">
        <f t="shared" si="109"/>
        <v>6332146.6347926883</v>
      </c>
      <c r="LE34" s="418">
        <f t="shared" si="109"/>
        <v>5845058.4321163278</v>
      </c>
      <c r="LF34" s="418">
        <f t="shared" si="109"/>
        <v>5357970.2294399664</v>
      </c>
      <c r="LG34" s="418">
        <f t="shared" si="109"/>
        <v>4870882.0267636059</v>
      </c>
      <c r="LH34" s="418">
        <f t="shared" si="109"/>
        <v>4383793.8240872454</v>
      </c>
      <c r="LI34" s="418">
        <f t="shared" si="109"/>
        <v>3896705.6214108849</v>
      </c>
      <c r="LJ34" s="418">
        <f t="shared" si="109"/>
        <v>3409617.4187345239</v>
      </c>
      <c r="LK34" s="418">
        <f t="shared" si="109"/>
        <v>2922529.2160581639</v>
      </c>
      <c r="LL34" s="418">
        <f t="shared" si="109"/>
        <v>2435441.0133818029</v>
      </c>
      <c r="LM34" s="418">
        <f t="shared" si="109"/>
        <v>1948352.8107054424</v>
      </c>
      <c r="LN34" s="418">
        <f t="shared" si="109"/>
        <v>1461264.608029082</v>
      </c>
      <c r="LO34" s="418">
        <f t="shared" si="109"/>
        <v>974176.40535272122</v>
      </c>
      <c r="LP34" s="418">
        <f t="shared" si="109"/>
        <v>487088.20267636061</v>
      </c>
      <c r="LQ34" s="418">
        <f t="shared" si="109"/>
        <v>0</v>
      </c>
      <c r="LR34" s="418">
        <f t="shared" si="109"/>
        <v>0</v>
      </c>
      <c r="LS34" s="418">
        <f t="shared" si="109"/>
        <v>0</v>
      </c>
      <c r="LT34" s="418">
        <f t="shared" si="109"/>
        <v>0</v>
      </c>
      <c r="LU34" s="418">
        <f t="shared" si="109"/>
        <v>0</v>
      </c>
      <c r="LV34" s="418">
        <f t="shared" si="109"/>
        <v>0</v>
      </c>
      <c r="LW34" s="418">
        <f t="shared" si="109"/>
        <v>0</v>
      </c>
      <c r="LX34" s="418">
        <f t="shared" si="109"/>
        <v>0</v>
      </c>
      <c r="LY34" s="418">
        <f t="shared" si="109"/>
        <v>0</v>
      </c>
      <c r="LZ34" s="418">
        <f t="shared" si="109"/>
        <v>0</v>
      </c>
      <c r="MA34" s="418">
        <f t="shared" si="109"/>
        <v>0</v>
      </c>
      <c r="MB34" s="418">
        <f t="shared" si="109"/>
        <v>0</v>
      </c>
      <c r="MC34" s="418">
        <f t="shared" si="109"/>
        <v>0</v>
      </c>
      <c r="MD34" s="418">
        <f t="shared" si="109"/>
        <v>0</v>
      </c>
      <c r="ME34" s="418">
        <f t="shared" si="109"/>
        <v>0</v>
      </c>
      <c r="MF34" s="418">
        <f t="shared" si="109"/>
        <v>0</v>
      </c>
      <c r="MG34" s="418">
        <f t="shared" si="109"/>
        <v>0</v>
      </c>
      <c r="MH34" s="418">
        <f t="shared" si="109"/>
        <v>0</v>
      </c>
      <c r="MI34" s="418">
        <f t="shared" si="109"/>
        <v>0</v>
      </c>
      <c r="MJ34" s="418">
        <f t="shared" si="109"/>
        <v>0</v>
      </c>
      <c r="MK34" s="418">
        <f t="shared" si="109"/>
        <v>0</v>
      </c>
      <c r="ML34" s="418">
        <f t="shared" si="109"/>
        <v>0</v>
      </c>
      <c r="MM34" s="418">
        <f t="shared" si="109"/>
        <v>0</v>
      </c>
      <c r="MN34" s="418">
        <f t="shared" si="109"/>
        <v>0</v>
      </c>
      <c r="MO34" s="418">
        <f t="shared" si="109"/>
        <v>0</v>
      </c>
      <c r="MP34" s="418">
        <f t="shared" si="109"/>
        <v>0</v>
      </c>
      <c r="MQ34" s="418">
        <f t="shared" si="109"/>
        <v>0</v>
      </c>
      <c r="MR34" s="418">
        <f t="shared" si="109"/>
        <v>0</v>
      </c>
      <c r="MS34" s="418">
        <f t="shared" ref="MS34:PD37" si="110">AND(MS$23&gt;=$KB34,MS$23&lt;=$KC34)*(IF($F34="Steady Growth",MS$23-$KB34,$KC34-MS$23)+1)/($KD34*($KD34+1)/2)*$KE34</f>
        <v>0</v>
      </c>
      <c r="MT34" s="418">
        <f t="shared" si="110"/>
        <v>0</v>
      </c>
      <c r="MU34" s="418">
        <f t="shared" si="110"/>
        <v>0</v>
      </c>
      <c r="MV34" s="418">
        <f t="shared" si="110"/>
        <v>0</v>
      </c>
      <c r="MW34" s="418">
        <f t="shared" si="110"/>
        <v>0</v>
      </c>
      <c r="MX34" s="418">
        <f t="shared" si="110"/>
        <v>0</v>
      </c>
      <c r="MY34" s="418">
        <f t="shared" si="110"/>
        <v>0</v>
      </c>
      <c r="MZ34" s="418">
        <f t="shared" si="110"/>
        <v>0</v>
      </c>
      <c r="NA34" s="418">
        <f t="shared" si="110"/>
        <v>0</v>
      </c>
      <c r="NB34" s="418">
        <f t="shared" si="110"/>
        <v>0</v>
      </c>
      <c r="NC34" s="418">
        <f t="shared" si="110"/>
        <v>0</v>
      </c>
      <c r="ND34" s="418">
        <f t="shared" si="110"/>
        <v>0</v>
      </c>
      <c r="NE34" s="418">
        <f t="shared" si="110"/>
        <v>0</v>
      </c>
      <c r="NF34" s="418">
        <f t="shared" si="110"/>
        <v>0</v>
      </c>
      <c r="NG34" s="418">
        <f t="shared" si="110"/>
        <v>0</v>
      </c>
      <c r="NH34" s="418">
        <f t="shared" si="110"/>
        <v>0</v>
      </c>
      <c r="NI34" s="418">
        <f t="shared" si="110"/>
        <v>0</v>
      </c>
      <c r="NJ34" s="418">
        <f t="shared" si="110"/>
        <v>0</v>
      </c>
      <c r="NK34" s="418">
        <f t="shared" si="110"/>
        <v>0</v>
      </c>
      <c r="NL34" s="418">
        <f t="shared" si="110"/>
        <v>0</v>
      </c>
      <c r="NM34" s="418">
        <f t="shared" si="110"/>
        <v>0</v>
      </c>
      <c r="NN34" s="418">
        <f t="shared" si="110"/>
        <v>0</v>
      </c>
      <c r="NO34" s="418">
        <f t="shared" si="110"/>
        <v>0</v>
      </c>
      <c r="NP34" s="418">
        <f t="shared" si="110"/>
        <v>0</v>
      </c>
      <c r="NQ34" s="418">
        <f t="shared" si="110"/>
        <v>0</v>
      </c>
      <c r="NR34" s="418">
        <f t="shared" si="110"/>
        <v>0</v>
      </c>
      <c r="NS34" s="418">
        <f t="shared" si="110"/>
        <v>0</v>
      </c>
      <c r="NT34" s="418">
        <f t="shared" si="110"/>
        <v>0</v>
      </c>
      <c r="NU34" s="418">
        <f t="shared" si="110"/>
        <v>0</v>
      </c>
      <c r="NV34" s="418">
        <f t="shared" si="110"/>
        <v>0</v>
      </c>
      <c r="NW34" s="418">
        <f t="shared" si="110"/>
        <v>0</v>
      </c>
      <c r="NX34" s="418">
        <f t="shared" si="110"/>
        <v>0</v>
      </c>
      <c r="NY34" s="418">
        <f t="shared" si="110"/>
        <v>0</v>
      </c>
      <c r="NZ34" s="418">
        <f t="shared" si="110"/>
        <v>0</v>
      </c>
      <c r="OA34" s="418">
        <f t="shared" si="110"/>
        <v>0</v>
      </c>
      <c r="OB34" s="418">
        <f t="shared" si="110"/>
        <v>0</v>
      </c>
      <c r="OC34" s="418">
        <f t="shared" si="110"/>
        <v>0</v>
      </c>
      <c r="OD34" s="418">
        <f t="shared" si="110"/>
        <v>0</v>
      </c>
      <c r="OE34" s="418">
        <f t="shared" si="110"/>
        <v>0</v>
      </c>
      <c r="OF34" s="418">
        <f t="shared" si="110"/>
        <v>0</v>
      </c>
      <c r="OG34" s="418">
        <f t="shared" si="110"/>
        <v>0</v>
      </c>
      <c r="OH34" s="418">
        <f t="shared" si="110"/>
        <v>0</v>
      </c>
      <c r="OI34" s="418">
        <f t="shared" si="110"/>
        <v>0</v>
      </c>
      <c r="OJ34" s="418">
        <f t="shared" si="110"/>
        <v>0</v>
      </c>
      <c r="OK34" s="418">
        <f t="shared" si="110"/>
        <v>0</v>
      </c>
      <c r="OL34" s="418">
        <f t="shared" si="110"/>
        <v>0</v>
      </c>
      <c r="OM34" s="418">
        <f t="shared" si="110"/>
        <v>0</v>
      </c>
      <c r="ON34" s="418">
        <f t="shared" si="110"/>
        <v>0</v>
      </c>
      <c r="OO34" s="418">
        <f t="shared" si="110"/>
        <v>0</v>
      </c>
      <c r="OP34" s="418">
        <f t="shared" si="110"/>
        <v>0</v>
      </c>
      <c r="OQ34" s="418">
        <f t="shared" si="110"/>
        <v>0</v>
      </c>
      <c r="OR34" s="418">
        <f t="shared" si="110"/>
        <v>0</v>
      </c>
      <c r="OS34" s="418">
        <f t="shared" si="110"/>
        <v>0</v>
      </c>
      <c r="OT34" s="418">
        <f t="shared" si="110"/>
        <v>0</v>
      </c>
      <c r="OU34" s="418">
        <f t="shared" si="110"/>
        <v>0</v>
      </c>
      <c r="OV34" s="418">
        <f t="shared" si="110"/>
        <v>0</v>
      </c>
      <c r="OW34" s="418">
        <f t="shared" si="110"/>
        <v>0</v>
      </c>
      <c r="OX34" s="418">
        <f t="shared" si="110"/>
        <v>0</v>
      </c>
      <c r="OY34" s="418">
        <f t="shared" si="110"/>
        <v>0</v>
      </c>
      <c r="OZ34" s="418">
        <f t="shared" si="110"/>
        <v>0</v>
      </c>
      <c r="PA34" s="418">
        <f t="shared" si="110"/>
        <v>0</v>
      </c>
      <c r="PB34" s="418">
        <f t="shared" si="110"/>
        <v>0</v>
      </c>
      <c r="PC34" s="418">
        <f t="shared" si="110"/>
        <v>0</v>
      </c>
      <c r="PD34" s="418">
        <f t="shared" si="110"/>
        <v>0</v>
      </c>
      <c r="PE34" s="418">
        <f t="shared" ref="PE34:PH37" si="111">AND(PE$23&gt;=$KB34,PE$23&lt;=$KC34)*(IF($F34="Steady Growth",PE$23-$KB34,$KC34-PE$23)+1)/($KD34*($KD34+1)/2)*$KE34</f>
        <v>0</v>
      </c>
      <c r="PF34" s="418">
        <f t="shared" si="111"/>
        <v>0</v>
      </c>
      <c r="PG34" s="418">
        <f t="shared" si="111"/>
        <v>0</v>
      </c>
      <c r="PH34" s="418">
        <f t="shared" si="111"/>
        <v>0</v>
      </c>
    </row>
    <row r="35" spans="1:424" x14ac:dyDescent="0.35">
      <c r="A35"/>
      <c r="B35" s="426" t="s">
        <v>149</v>
      </c>
      <c r="C35" s="400">
        <v>1</v>
      </c>
      <c r="D35" s="45"/>
      <c r="E35" s="257">
        <f>$E$34</f>
        <v>36</v>
      </c>
      <c r="F35" s="414" t="s">
        <v>142</v>
      </c>
      <c r="G35" s="134">
        <f>I35/Units_SF_M2</f>
        <v>179.85931353970761</v>
      </c>
      <c r="H35" s="415"/>
      <c r="I35" s="837">
        <f>SUM('URWLD COMPANY INPUTS'!$D$125:$D$126)*1000000</f>
        <v>14113628.680000002</v>
      </c>
      <c r="J35"/>
      <c r="K35" s="22" t="str">
        <f>IF(ROUND(SUM(L35:EN35),0)=ROUND(I35,0),"","Incomplete")</f>
        <v/>
      </c>
      <c r="L35" s="417">
        <f t="shared" si="85"/>
        <v>381449.4237837838</v>
      </c>
      <c r="M35" s="417">
        <f t="shared" si="85"/>
        <v>381449.4237837838</v>
      </c>
      <c r="N35" s="417">
        <f t="shared" si="85"/>
        <v>381449.4237837838</v>
      </c>
      <c r="O35" s="417">
        <f t="shared" si="85"/>
        <v>381449.4237837838</v>
      </c>
      <c r="P35" s="417">
        <f t="shared" si="85"/>
        <v>381449.4237837838</v>
      </c>
      <c r="Q35" s="417">
        <f t="shared" si="85"/>
        <v>381449.4237837838</v>
      </c>
      <c r="R35" s="417">
        <f t="shared" si="85"/>
        <v>381449.4237837838</v>
      </c>
      <c r="S35" s="417">
        <f t="shared" si="85"/>
        <v>381449.4237837838</v>
      </c>
      <c r="T35" s="417">
        <f t="shared" si="85"/>
        <v>381449.4237837838</v>
      </c>
      <c r="U35" s="417">
        <f t="shared" si="85"/>
        <v>381449.4237837838</v>
      </c>
      <c r="V35" s="417">
        <f t="shared" si="86"/>
        <v>381449.4237837838</v>
      </c>
      <c r="W35" s="417">
        <f t="shared" si="86"/>
        <v>381449.4237837838</v>
      </c>
      <c r="X35" s="417">
        <f t="shared" si="86"/>
        <v>381449.4237837838</v>
      </c>
      <c r="Y35" s="417">
        <f t="shared" si="86"/>
        <v>381449.4237837838</v>
      </c>
      <c r="Z35" s="417">
        <f t="shared" si="86"/>
        <v>381449.4237837838</v>
      </c>
      <c r="AA35" s="417">
        <f t="shared" si="86"/>
        <v>381449.4237837838</v>
      </c>
      <c r="AB35" s="417">
        <f t="shared" si="86"/>
        <v>381449.4237837838</v>
      </c>
      <c r="AC35" s="417">
        <f t="shared" si="86"/>
        <v>381449.4237837838</v>
      </c>
      <c r="AD35" s="417">
        <f t="shared" si="86"/>
        <v>381449.4237837838</v>
      </c>
      <c r="AE35" s="417">
        <f t="shared" si="86"/>
        <v>381449.4237837838</v>
      </c>
      <c r="AF35" s="417">
        <f t="shared" si="87"/>
        <v>381449.4237837838</v>
      </c>
      <c r="AG35" s="417">
        <f t="shared" si="87"/>
        <v>381449.4237837838</v>
      </c>
      <c r="AH35" s="417">
        <f t="shared" si="87"/>
        <v>381449.4237837838</v>
      </c>
      <c r="AI35" s="417">
        <f t="shared" si="87"/>
        <v>381449.4237837838</v>
      </c>
      <c r="AJ35" s="417">
        <f t="shared" si="87"/>
        <v>381449.4237837838</v>
      </c>
      <c r="AK35" s="417">
        <f t="shared" si="87"/>
        <v>381449.4237837838</v>
      </c>
      <c r="AL35" s="417">
        <f t="shared" si="87"/>
        <v>381449.4237837838</v>
      </c>
      <c r="AM35" s="417">
        <f t="shared" si="87"/>
        <v>381449.4237837838</v>
      </c>
      <c r="AN35" s="417">
        <f t="shared" si="87"/>
        <v>381449.4237837838</v>
      </c>
      <c r="AO35" s="417">
        <f t="shared" si="87"/>
        <v>381449.4237837838</v>
      </c>
      <c r="AP35" s="417">
        <f t="shared" si="88"/>
        <v>381449.4237837838</v>
      </c>
      <c r="AQ35" s="417">
        <f t="shared" si="88"/>
        <v>381449.4237837838</v>
      </c>
      <c r="AR35" s="417">
        <f t="shared" si="88"/>
        <v>381449.4237837838</v>
      </c>
      <c r="AS35" s="417">
        <f t="shared" si="88"/>
        <v>381449.4237837838</v>
      </c>
      <c r="AT35" s="417">
        <f t="shared" si="88"/>
        <v>381449.4237837838</v>
      </c>
      <c r="AU35" s="417">
        <f t="shared" si="88"/>
        <v>381449.4237837838</v>
      </c>
      <c r="AV35" s="417">
        <f t="shared" si="88"/>
        <v>381449.4237837838</v>
      </c>
      <c r="AW35" s="417">
        <f t="shared" si="88"/>
        <v>0</v>
      </c>
      <c r="AX35" s="417">
        <f t="shared" si="88"/>
        <v>0</v>
      </c>
      <c r="AY35" s="417">
        <f t="shared" si="88"/>
        <v>0</v>
      </c>
      <c r="AZ35" s="417">
        <f t="shared" si="89"/>
        <v>0</v>
      </c>
      <c r="BA35" s="417">
        <f t="shared" si="89"/>
        <v>0</v>
      </c>
      <c r="BB35" s="417">
        <f t="shared" si="89"/>
        <v>0</v>
      </c>
      <c r="BC35" s="417">
        <f t="shared" si="89"/>
        <v>0</v>
      </c>
      <c r="BD35" s="417">
        <f t="shared" si="89"/>
        <v>0</v>
      </c>
      <c r="BE35" s="417">
        <f t="shared" si="89"/>
        <v>0</v>
      </c>
      <c r="BF35" s="417">
        <f t="shared" si="89"/>
        <v>0</v>
      </c>
      <c r="BG35" s="417">
        <f t="shared" si="89"/>
        <v>0</v>
      </c>
      <c r="BH35" s="417">
        <f t="shared" si="89"/>
        <v>0</v>
      </c>
      <c r="BI35" s="417">
        <f t="shared" si="89"/>
        <v>0</v>
      </c>
      <c r="BJ35" s="417">
        <f t="shared" si="90"/>
        <v>0</v>
      </c>
      <c r="BK35" s="417">
        <f t="shared" si="90"/>
        <v>0</v>
      </c>
      <c r="BL35" s="417">
        <f t="shared" si="90"/>
        <v>0</v>
      </c>
      <c r="BM35" s="417">
        <f t="shared" si="90"/>
        <v>0</v>
      </c>
      <c r="BN35" s="417">
        <f t="shared" si="90"/>
        <v>0</v>
      </c>
      <c r="BO35" s="417">
        <f t="shared" si="90"/>
        <v>0</v>
      </c>
      <c r="BP35" s="417">
        <f t="shared" si="90"/>
        <v>0</v>
      </c>
      <c r="BQ35" s="417">
        <f t="shared" si="90"/>
        <v>0</v>
      </c>
      <c r="BR35" s="417">
        <f t="shared" si="90"/>
        <v>0</v>
      </c>
      <c r="BS35" s="417">
        <f t="shared" si="90"/>
        <v>0</v>
      </c>
      <c r="BT35" s="417">
        <f t="shared" si="91"/>
        <v>0</v>
      </c>
      <c r="BU35" s="417">
        <f t="shared" si="91"/>
        <v>0</v>
      </c>
      <c r="BV35" s="417">
        <f t="shared" si="91"/>
        <v>0</v>
      </c>
      <c r="BW35" s="417">
        <f t="shared" si="91"/>
        <v>0</v>
      </c>
      <c r="BX35" s="417">
        <f t="shared" si="91"/>
        <v>0</v>
      </c>
      <c r="BY35" s="417">
        <f t="shared" si="91"/>
        <v>0</v>
      </c>
      <c r="BZ35" s="417">
        <f t="shared" si="91"/>
        <v>0</v>
      </c>
      <c r="CA35" s="417">
        <f t="shared" si="91"/>
        <v>0</v>
      </c>
      <c r="CB35" s="417">
        <f t="shared" si="91"/>
        <v>0</v>
      </c>
      <c r="CC35" s="417">
        <f t="shared" si="91"/>
        <v>0</v>
      </c>
      <c r="CD35" s="417">
        <f t="shared" si="92"/>
        <v>0</v>
      </c>
      <c r="CE35" s="417">
        <f t="shared" si="92"/>
        <v>0</v>
      </c>
      <c r="CF35" s="417">
        <f t="shared" si="92"/>
        <v>0</v>
      </c>
      <c r="CG35" s="417">
        <f t="shared" si="92"/>
        <v>0</v>
      </c>
      <c r="CH35" s="417">
        <f t="shared" si="92"/>
        <v>0</v>
      </c>
      <c r="CI35" s="417">
        <f t="shared" si="92"/>
        <v>0</v>
      </c>
      <c r="CJ35" s="417">
        <f t="shared" si="92"/>
        <v>0</v>
      </c>
      <c r="CK35" s="417">
        <f t="shared" si="92"/>
        <v>0</v>
      </c>
      <c r="CL35" s="417">
        <f t="shared" si="92"/>
        <v>0</v>
      </c>
      <c r="CM35" s="417">
        <f t="shared" si="92"/>
        <v>0</v>
      </c>
      <c r="CN35" s="417">
        <f t="shared" si="93"/>
        <v>0</v>
      </c>
      <c r="CO35" s="417">
        <f t="shared" si="93"/>
        <v>0</v>
      </c>
      <c r="CP35" s="417">
        <f t="shared" si="93"/>
        <v>0</v>
      </c>
      <c r="CQ35" s="417">
        <f t="shared" si="93"/>
        <v>0</v>
      </c>
      <c r="CR35" s="417">
        <f t="shared" si="93"/>
        <v>0</v>
      </c>
      <c r="CS35" s="417">
        <f t="shared" si="93"/>
        <v>0</v>
      </c>
      <c r="CT35" s="417">
        <f t="shared" si="93"/>
        <v>0</v>
      </c>
      <c r="CU35" s="417">
        <f t="shared" si="93"/>
        <v>0</v>
      </c>
      <c r="CV35" s="417">
        <f t="shared" si="93"/>
        <v>0</v>
      </c>
      <c r="CW35" s="417">
        <f t="shared" si="93"/>
        <v>0</v>
      </c>
      <c r="CX35" s="417">
        <f t="shared" si="94"/>
        <v>0</v>
      </c>
      <c r="CY35" s="417">
        <f t="shared" si="94"/>
        <v>0</v>
      </c>
      <c r="CZ35" s="417">
        <f t="shared" si="94"/>
        <v>0</v>
      </c>
      <c r="DA35" s="417">
        <f t="shared" si="94"/>
        <v>0</v>
      </c>
      <c r="DB35" s="417">
        <f t="shared" si="94"/>
        <v>0</v>
      </c>
      <c r="DC35" s="417">
        <f t="shared" si="94"/>
        <v>0</v>
      </c>
      <c r="DD35" s="417">
        <f t="shared" si="94"/>
        <v>0</v>
      </c>
      <c r="DE35" s="417">
        <f t="shared" si="94"/>
        <v>0</v>
      </c>
      <c r="DF35" s="417">
        <f t="shared" si="94"/>
        <v>0</v>
      </c>
      <c r="DG35" s="417">
        <f t="shared" si="94"/>
        <v>0</v>
      </c>
      <c r="DH35" s="417">
        <f t="shared" si="95"/>
        <v>0</v>
      </c>
      <c r="DI35" s="417">
        <f t="shared" si="95"/>
        <v>0</v>
      </c>
      <c r="DJ35" s="417">
        <f t="shared" si="95"/>
        <v>0</v>
      </c>
      <c r="DK35" s="417">
        <f t="shared" si="95"/>
        <v>0</v>
      </c>
      <c r="DL35" s="417">
        <f t="shared" si="95"/>
        <v>0</v>
      </c>
      <c r="DM35" s="417">
        <f t="shared" si="95"/>
        <v>0</v>
      </c>
      <c r="DN35" s="417">
        <f t="shared" si="95"/>
        <v>0</v>
      </c>
      <c r="DO35" s="417">
        <f t="shared" si="95"/>
        <v>0</v>
      </c>
      <c r="DP35" s="417">
        <f t="shared" si="95"/>
        <v>0</v>
      </c>
      <c r="DQ35" s="417">
        <f t="shared" si="95"/>
        <v>0</v>
      </c>
      <c r="DR35" s="417">
        <f t="shared" si="96"/>
        <v>0</v>
      </c>
      <c r="DS35" s="417">
        <f t="shared" si="96"/>
        <v>0</v>
      </c>
      <c r="DT35" s="417">
        <f t="shared" si="96"/>
        <v>0</v>
      </c>
      <c r="DU35" s="417">
        <f t="shared" si="96"/>
        <v>0</v>
      </c>
      <c r="DV35" s="417">
        <f t="shared" si="96"/>
        <v>0</v>
      </c>
      <c r="DW35" s="417">
        <f t="shared" si="96"/>
        <v>0</v>
      </c>
      <c r="DX35" s="417">
        <f t="shared" si="96"/>
        <v>0</v>
      </c>
      <c r="DY35" s="417">
        <f t="shared" si="96"/>
        <v>0</v>
      </c>
      <c r="DZ35" s="417">
        <f t="shared" si="96"/>
        <v>0</v>
      </c>
      <c r="EA35" s="417">
        <f t="shared" si="96"/>
        <v>0</v>
      </c>
      <c r="EB35" s="417">
        <f t="shared" si="97"/>
        <v>0</v>
      </c>
      <c r="EC35" s="417">
        <f t="shared" si="97"/>
        <v>0</v>
      </c>
      <c r="ED35" s="417">
        <f t="shared" si="97"/>
        <v>0</v>
      </c>
      <c r="EE35" s="417">
        <f t="shared" si="97"/>
        <v>0</v>
      </c>
      <c r="EF35" s="417">
        <f t="shared" si="97"/>
        <v>0</v>
      </c>
      <c r="EG35" s="417">
        <f t="shared" si="97"/>
        <v>0</v>
      </c>
      <c r="EH35" s="417">
        <f t="shared" si="97"/>
        <v>0</v>
      </c>
      <c r="EI35" s="417">
        <f t="shared" si="97"/>
        <v>0</v>
      </c>
      <c r="EJ35" s="417">
        <f t="shared" si="97"/>
        <v>0</v>
      </c>
      <c r="EK35" s="417">
        <f t="shared" si="97"/>
        <v>0</v>
      </c>
      <c r="EL35" s="417">
        <f t="shared" si="98"/>
        <v>0</v>
      </c>
      <c r="EM35" s="417">
        <f t="shared" si="98"/>
        <v>0</v>
      </c>
      <c r="EN35" s="417">
        <f t="shared" si="98"/>
        <v>0</v>
      </c>
      <c r="EO35"/>
      <c r="EP35" s="220">
        <f>I35</f>
        <v>14113628.680000002</v>
      </c>
      <c r="EQ35" s="201">
        <f>INDEX($L$24:$EN$24,1,$D35+1)</f>
        <v>46203</v>
      </c>
      <c r="ER35" s="201">
        <f>INDEX($L$24:$EN$24,1,$E35+1)</f>
        <v>47299</v>
      </c>
      <c r="ES35" s="20">
        <f>+E35-D35+1</f>
        <v>37</v>
      </c>
      <c r="ET35" s="18" t="str">
        <f>F35</f>
        <v>Straight-Line</v>
      </c>
      <c r="EU35" s="79">
        <f>ES35/Scurve_Dist</f>
        <v>6.166666666666667</v>
      </c>
      <c r="EV35" s="20">
        <f t="shared" si="99"/>
        <v>0</v>
      </c>
      <c r="EW35" s="20">
        <f t="shared" si="99"/>
        <v>0</v>
      </c>
      <c r="EX35" s="20">
        <f t="shared" si="99"/>
        <v>0</v>
      </c>
      <c r="EY35" s="20">
        <f t="shared" si="99"/>
        <v>0</v>
      </c>
      <c r="EZ35" s="20">
        <f t="shared" si="99"/>
        <v>0</v>
      </c>
      <c r="FA35" s="20">
        <f t="shared" si="99"/>
        <v>0</v>
      </c>
      <c r="FB35" s="20">
        <f t="shared" si="99"/>
        <v>0</v>
      </c>
      <c r="FC35" s="20">
        <f t="shared" si="99"/>
        <v>0</v>
      </c>
      <c r="FD35" s="20">
        <f t="shared" si="99"/>
        <v>0</v>
      </c>
      <c r="FE35" s="20">
        <f t="shared" si="99"/>
        <v>0</v>
      </c>
      <c r="FF35" s="20">
        <f t="shared" si="99"/>
        <v>0</v>
      </c>
      <c r="FG35" s="20">
        <f t="shared" si="99"/>
        <v>0</v>
      </c>
      <c r="FH35" s="20">
        <f t="shared" si="99"/>
        <v>0</v>
      </c>
      <c r="FI35" s="20">
        <f t="shared" si="99"/>
        <v>0</v>
      </c>
      <c r="FJ35" s="20">
        <f t="shared" si="99"/>
        <v>0</v>
      </c>
      <c r="FK35" s="20">
        <f t="shared" si="99"/>
        <v>0</v>
      </c>
      <c r="FL35" s="20">
        <f t="shared" si="100"/>
        <v>0</v>
      </c>
      <c r="FM35" s="20">
        <f t="shared" si="100"/>
        <v>0</v>
      </c>
      <c r="FN35" s="20">
        <f t="shared" si="100"/>
        <v>0</v>
      </c>
      <c r="FO35" s="20">
        <f t="shared" si="100"/>
        <v>0</v>
      </c>
      <c r="FP35" s="20">
        <f t="shared" si="100"/>
        <v>0</v>
      </c>
      <c r="FQ35" s="20">
        <f t="shared" si="100"/>
        <v>0</v>
      </c>
      <c r="FR35" s="20">
        <f t="shared" si="100"/>
        <v>0</v>
      </c>
      <c r="FS35" s="20">
        <f t="shared" si="100"/>
        <v>0</v>
      </c>
      <c r="FT35" s="20">
        <f t="shared" si="100"/>
        <v>0</v>
      </c>
      <c r="FU35" s="20">
        <f t="shared" si="100"/>
        <v>0</v>
      </c>
      <c r="FV35" s="20">
        <f t="shared" si="100"/>
        <v>0</v>
      </c>
      <c r="FW35" s="20">
        <f t="shared" si="100"/>
        <v>0</v>
      </c>
      <c r="FX35" s="20">
        <f t="shared" si="100"/>
        <v>0</v>
      </c>
      <c r="FY35" s="20">
        <f t="shared" si="100"/>
        <v>0</v>
      </c>
      <c r="FZ35" s="20">
        <f t="shared" si="100"/>
        <v>0</v>
      </c>
      <c r="GA35" s="20">
        <f t="shared" si="100"/>
        <v>0</v>
      </c>
      <c r="GB35" s="20">
        <f t="shared" si="101"/>
        <v>0</v>
      </c>
      <c r="GC35" s="20">
        <f t="shared" si="101"/>
        <v>0</v>
      </c>
      <c r="GD35" s="20">
        <f t="shared" si="101"/>
        <v>0</v>
      </c>
      <c r="GE35" s="20">
        <f t="shared" si="101"/>
        <v>0</v>
      </c>
      <c r="GF35" s="20">
        <f t="shared" si="101"/>
        <v>0</v>
      </c>
      <c r="GG35" s="20">
        <f t="shared" si="101"/>
        <v>0</v>
      </c>
      <c r="GH35" s="20">
        <f t="shared" si="101"/>
        <v>0</v>
      </c>
      <c r="GI35" s="20">
        <f t="shared" si="101"/>
        <v>0</v>
      </c>
      <c r="GJ35" s="20">
        <f t="shared" si="101"/>
        <v>0</v>
      </c>
      <c r="GK35" s="20">
        <f t="shared" si="101"/>
        <v>0</v>
      </c>
      <c r="GL35" s="20">
        <f t="shared" si="101"/>
        <v>0</v>
      </c>
      <c r="GM35" s="20">
        <f t="shared" si="101"/>
        <v>0</v>
      </c>
      <c r="GN35" s="20">
        <f t="shared" si="101"/>
        <v>0</v>
      </c>
      <c r="GO35" s="20">
        <f t="shared" si="101"/>
        <v>0</v>
      </c>
      <c r="GP35" s="20">
        <f t="shared" si="101"/>
        <v>0</v>
      </c>
      <c r="GQ35" s="20">
        <f t="shared" si="101"/>
        <v>0</v>
      </c>
      <c r="GR35" s="20">
        <f t="shared" si="102"/>
        <v>0</v>
      </c>
      <c r="GS35" s="20">
        <f t="shared" si="102"/>
        <v>0</v>
      </c>
      <c r="GT35" s="20">
        <f t="shared" si="102"/>
        <v>0</v>
      </c>
      <c r="GU35" s="20">
        <f t="shared" si="102"/>
        <v>0</v>
      </c>
      <c r="GV35" s="20">
        <f t="shared" si="102"/>
        <v>0</v>
      </c>
      <c r="GW35" s="20">
        <f t="shared" si="102"/>
        <v>0</v>
      </c>
      <c r="GX35" s="20">
        <f t="shared" si="102"/>
        <v>0</v>
      </c>
      <c r="GY35" s="20">
        <f t="shared" si="102"/>
        <v>0</v>
      </c>
      <c r="GZ35" s="20">
        <f t="shared" si="102"/>
        <v>0</v>
      </c>
      <c r="HA35" s="20">
        <f t="shared" si="102"/>
        <v>0</v>
      </c>
      <c r="HB35" s="20">
        <f t="shared" si="102"/>
        <v>0</v>
      </c>
      <c r="HC35" s="20">
        <f t="shared" si="102"/>
        <v>0</v>
      </c>
      <c r="HD35" s="20">
        <f t="shared" si="102"/>
        <v>0</v>
      </c>
      <c r="HE35" s="20">
        <f t="shared" si="102"/>
        <v>0</v>
      </c>
      <c r="HF35" s="20">
        <f t="shared" si="102"/>
        <v>0</v>
      </c>
      <c r="HG35" s="20">
        <f t="shared" si="102"/>
        <v>0</v>
      </c>
      <c r="HH35" s="20">
        <f t="shared" si="103"/>
        <v>0</v>
      </c>
      <c r="HI35" s="20">
        <f t="shared" si="103"/>
        <v>0</v>
      </c>
      <c r="HJ35" s="20">
        <f t="shared" si="103"/>
        <v>0</v>
      </c>
      <c r="HK35" s="20">
        <f t="shared" si="103"/>
        <v>0</v>
      </c>
      <c r="HL35" s="20">
        <f t="shared" si="103"/>
        <v>0</v>
      </c>
      <c r="HM35" s="20">
        <f t="shared" si="103"/>
        <v>0</v>
      </c>
      <c r="HN35" s="20">
        <f t="shared" si="103"/>
        <v>0</v>
      </c>
      <c r="HO35" s="20">
        <f t="shared" si="103"/>
        <v>0</v>
      </c>
      <c r="HP35" s="20">
        <f t="shared" si="103"/>
        <v>0</v>
      </c>
      <c r="HQ35" s="20">
        <f t="shared" si="103"/>
        <v>0</v>
      </c>
      <c r="HR35" s="20">
        <f t="shared" si="103"/>
        <v>0</v>
      </c>
      <c r="HS35" s="20">
        <f t="shared" si="103"/>
        <v>0</v>
      </c>
      <c r="HT35" s="20">
        <f t="shared" si="103"/>
        <v>0</v>
      </c>
      <c r="HU35" s="20">
        <f t="shared" si="103"/>
        <v>0</v>
      </c>
      <c r="HV35" s="20">
        <f t="shared" si="103"/>
        <v>0</v>
      </c>
      <c r="HW35" s="20">
        <f t="shared" si="103"/>
        <v>0</v>
      </c>
      <c r="HX35" s="20">
        <f t="shared" si="104"/>
        <v>0</v>
      </c>
      <c r="HY35" s="20">
        <f t="shared" si="104"/>
        <v>0</v>
      </c>
      <c r="HZ35" s="20">
        <f t="shared" si="104"/>
        <v>0</v>
      </c>
      <c r="IA35" s="20">
        <f t="shared" si="104"/>
        <v>0</v>
      </c>
      <c r="IB35" s="20">
        <f t="shared" si="104"/>
        <v>0</v>
      </c>
      <c r="IC35" s="20">
        <f t="shared" si="104"/>
        <v>0</v>
      </c>
      <c r="ID35" s="20">
        <f t="shared" si="104"/>
        <v>0</v>
      </c>
      <c r="IE35" s="20">
        <f t="shared" si="104"/>
        <v>0</v>
      </c>
      <c r="IF35" s="20">
        <f t="shared" si="104"/>
        <v>0</v>
      </c>
      <c r="IG35" s="20">
        <f t="shared" si="104"/>
        <v>0</v>
      </c>
      <c r="IH35" s="20">
        <f t="shared" si="104"/>
        <v>0</v>
      </c>
      <c r="II35" s="20">
        <f t="shared" si="104"/>
        <v>0</v>
      </c>
      <c r="IJ35" s="20">
        <f t="shared" si="104"/>
        <v>0</v>
      </c>
      <c r="IK35" s="20">
        <f t="shared" si="104"/>
        <v>0</v>
      </c>
      <c r="IL35" s="20">
        <f t="shared" si="104"/>
        <v>0</v>
      </c>
      <c r="IM35" s="20">
        <f t="shared" si="104"/>
        <v>0</v>
      </c>
      <c r="IN35" s="20">
        <f t="shared" si="105"/>
        <v>0</v>
      </c>
      <c r="IO35" s="20">
        <f t="shared" si="105"/>
        <v>0</v>
      </c>
      <c r="IP35" s="20">
        <f t="shared" si="105"/>
        <v>0</v>
      </c>
      <c r="IQ35" s="20">
        <f t="shared" si="105"/>
        <v>0</v>
      </c>
      <c r="IR35" s="20">
        <f t="shared" si="105"/>
        <v>0</v>
      </c>
      <c r="IS35" s="20">
        <f t="shared" si="105"/>
        <v>0</v>
      </c>
      <c r="IT35" s="20">
        <f t="shared" si="105"/>
        <v>0</v>
      </c>
      <c r="IU35" s="20">
        <f t="shared" si="105"/>
        <v>0</v>
      </c>
      <c r="IV35" s="20">
        <f t="shared" si="105"/>
        <v>0</v>
      </c>
      <c r="IW35" s="20">
        <f t="shared" si="105"/>
        <v>0</v>
      </c>
      <c r="IX35" s="20">
        <f t="shared" si="105"/>
        <v>0</v>
      </c>
      <c r="IY35" s="20">
        <f t="shared" si="105"/>
        <v>0</v>
      </c>
      <c r="IZ35" s="20">
        <f t="shared" si="105"/>
        <v>0</v>
      </c>
      <c r="JA35" s="20">
        <f t="shared" si="105"/>
        <v>0</v>
      </c>
      <c r="JB35" s="20">
        <f t="shared" si="105"/>
        <v>0</v>
      </c>
      <c r="JC35" s="20">
        <f t="shared" si="105"/>
        <v>0</v>
      </c>
      <c r="JD35" s="20">
        <f t="shared" si="106"/>
        <v>0</v>
      </c>
      <c r="JE35" s="20">
        <f t="shared" si="106"/>
        <v>0</v>
      </c>
      <c r="JF35" s="20">
        <f t="shared" si="106"/>
        <v>0</v>
      </c>
      <c r="JG35" s="20">
        <f t="shared" si="106"/>
        <v>0</v>
      </c>
      <c r="JH35" s="20">
        <f t="shared" si="106"/>
        <v>0</v>
      </c>
      <c r="JI35" s="20">
        <f t="shared" si="106"/>
        <v>0</v>
      </c>
      <c r="JJ35" s="20">
        <f t="shared" si="106"/>
        <v>0</v>
      </c>
      <c r="JK35" s="20">
        <f t="shared" si="106"/>
        <v>0</v>
      </c>
      <c r="JL35" s="20">
        <f t="shared" si="106"/>
        <v>0</v>
      </c>
      <c r="JM35" s="20">
        <f t="shared" si="106"/>
        <v>0</v>
      </c>
      <c r="JN35" s="20">
        <f t="shared" si="106"/>
        <v>0</v>
      </c>
      <c r="JO35" s="20">
        <f t="shared" si="106"/>
        <v>0</v>
      </c>
      <c r="JP35" s="20">
        <f t="shared" si="106"/>
        <v>0</v>
      </c>
      <c r="JQ35" s="20">
        <f t="shared" si="106"/>
        <v>0</v>
      </c>
      <c r="JR35" s="20">
        <f t="shared" si="106"/>
        <v>0</v>
      </c>
      <c r="JS35" s="20">
        <f t="shared" si="106"/>
        <v>0</v>
      </c>
      <c r="JT35" s="20">
        <f t="shared" si="107"/>
        <v>0</v>
      </c>
      <c r="JU35" s="20">
        <f t="shared" si="107"/>
        <v>0</v>
      </c>
      <c r="JV35" s="20">
        <f t="shared" si="107"/>
        <v>0</v>
      </c>
      <c r="JW35" s="20">
        <f t="shared" si="107"/>
        <v>0</v>
      </c>
      <c r="JX35" s="20">
        <f t="shared" si="107"/>
        <v>0</v>
      </c>
      <c r="JY35"/>
      <c r="JZ35" s="220" t="str">
        <f t="shared" si="51"/>
        <v>Net infrastructure fund</v>
      </c>
      <c r="KA35" s="201"/>
      <c r="KB35" s="20">
        <f t="shared" si="108"/>
        <v>0</v>
      </c>
      <c r="KC35" s="20">
        <f t="shared" si="108"/>
        <v>36</v>
      </c>
      <c r="KD35" s="20">
        <f>KC35-KB35+1</f>
        <v>37</v>
      </c>
      <c r="KE35" s="418">
        <f>I35</f>
        <v>14113628.680000002</v>
      </c>
      <c r="KF35" s="418">
        <f>AND(KF$23&gt;=$KB35,KF$23&lt;=$KC35)*(IF($F35="Steady Growth",KF$23-$KB35,$KC35-KF$23)+1)/($KD35*($KD35+1)/2)*$KE35</f>
        <v>742822.56210526323</v>
      </c>
      <c r="KG35" s="418">
        <f t="shared" si="109"/>
        <v>722746.27664295875</v>
      </c>
      <c r="KH35" s="418">
        <f t="shared" si="109"/>
        <v>702669.99118065438</v>
      </c>
      <c r="KI35" s="418">
        <f t="shared" si="109"/>
        <v>682593.70571835001</v>
      </c>
      <c r="KJ35" s="418">
        <f t="shared" si="109"/>
        <v>662517.42025604565</v>
      </c>
      <c r="KK35" s="418">
        <f t="shared" si="109"/>
        <v>642441.13479374116</v>
      </c>
      <c r="KL35" s="418">
        <f t="shared" si="109"/>
        <v>622364.8493314368</v>
      </c>
      <c r="KM35" s="418">
        <f t="shared" si="109"/>
        <v>602288.56386913231</v>
      </c>
      <c r="KN35" s="418">
        <f t="shared" si="109"/>
        <v>582212.27840682794</v>
      </c>
      <c r="KO35" s="418">
        <f t="shared" si="109"/>
        <v>562135.99294452358</v>
      </c>
      <c r="KP35" s="418">
        <f t="shared" si="109"/>
        <v>542059.70748221909</v>
      </c>
      <c r="KQ35" s="418">
        <f t="shared" si="109"/>
        <v>521983.42201991472</v>
      </c>
      <c r="KR35" s="418">
        <f t="shared" si="109"/>
        <v>501907.13655761036</v>
      </c>
      <c r="KS35" s="418">
        <f t="shared" si="109"/>
        <v>481830.85109530593</v>
      </c>
      <c r="KT35" s="418">
        <f t="shared" si="109"/>
        <v>461754.56563300145</v>
      </c>
      <c r="KU35" s="418">
        <f t="shared" si="109"/>
        <v>441678.28017069702</v>
      </c>
      <c r="KV35" s="418">
        <f t="shared" si="109"/>
        <v>421601.99470839265</v>
      </c>
      <c r="KW35" s="418">
        <f t="shared" si="109"/>
        <v>401525.70924608823</v>
      </c>
      <c r="KX35" s="418">
        <f t="shared" si="109"/>
        <v>381449.42378378386</v>
      </c>
      <c r="KY35" s="418">
        <f t="shared" si="109"/>
        <v>361373.13832147938</v>
      </c>
      <c r="KZ35" s="418">
        <f t="shared" si="109"/>
        <v>341296.85285917501</v>
      </c>
      <c r="LA35" s="418">
        <f t="shared" si="109"/>
        <v>321220.56739687058</v>
      </c>
      <c r="LB35" s="418">
        <f t="shared" si="109"/>
        <v>301144.28193456616</v>
      </c>
      <c r="LC35" s="418">
        <f t="shared" si="109"/>
        <v>281067.99647226179</v>
      </c>
      <c r="LD35" s="418">
        <f t="shared" si="109"/>
        <v>260991.71100995736</v>
      </c>
      <c r="LE35" s="418">
        <f t="shared" si="109"/>
        <v>240915.42554765297</v>
      </c>
      <c r="LF35" s="418">
        <f t="shared" si="109"/>
        <v>220839.14008534851</v>
      </c>
      <c r="LG35" s="418">
        <f t="shared" si="109"/>
        <v>200762.85462304411</v>
      </c>
      <c r="LH35" s="418">
        <f t="shared" si="109"/>
        <v>180686.56916073969</v>
      </c>
      <c r="LI35" s="418">
        <f t="shared" si="109"/>
        <v>160610.28369843529</v>
      </c>
      <c r="LJ35" s="418">
        <f t="shared" si="109"/>
        <v>140533.99823613089</v>
      </c>
      <c r="LK35" s="418">
        <f t="shared" si="109"/>
        <v>120457.71277382648</v>
      </c>
      <c r="LL35" s="418">
        <f t="shared" si="109"/>
        <v>100381.42731152206</v>
      </c>
      <c r="LM35" s="418">
        <f t="shared" si="109"/>
        <v>80305.141849217645</v>
      </c>
      <c r="LN35" s="418">
        <f t="shared" si="109"/>
        <v>60228.856386913241</v>
      </c>
      <c r="LO35" s="418">
        <f t="shared" si="109"/>
        <v>40152.570924608823</v>
      </c>
      <c r="LP35" s="418">
        <f t="shared" si="109"/>
        <v>20076.285462304411</v>
      </c>
      <c r="LQ35" s="418">
        <f t="shared" si="109"/>
        <v>0</v>
      </c>
      <c r="LR35" s="418">
        <f t="shared" si="109"/>
        <v>0</v>
      </c>
      <c r="LS35" s="418">
        <f t="shared" si="109"/>
        <v>0</v>
      </c>
      <c r="LT35" s="418">
        <f t="shared" si="109"/>
        <v>0</v>
      </c>
      <c r="LU35" s="418">
        <f t="shared" si="109"/>
        <v>0</v>
      </c>
      <c r="LV35" s="418">
        <f t="shared" si="109"/>
        <v>0</v>
      </c>
      <c r="LW35" s="418">
        <f t="shared" si="109"/>
        <v>0</v>
      </c>
      <c r="LX35" s="418">
        <f t="shared" si="109"/>
        <v>0</v>
      </c>
      <c r="LY35" s="418">
        <f t="shared" si="109"/>
        <v>0</v>
      </c>
      <c r="LZ35" s="418">
        <f t="shared" si="109"/>
        <v>0</v>
      </c>
      <c r="MA35" s="418">
        <f t="shared" si="109"/>
        <v>0</v>
      </c>
      <c r="MB35" s="418">
        <f t="shared" si="109"/>
        <v>0</v>
      </c>
      <c r="MC35" s="418">
        <f t="shared" si="109"/>
        <v>0</v>
      </c>
      <c r="MD35" s="418">
        <f t="shared" si="109"/>
        <v>0</v>
      </c>
      <c r="ME35" s="418">
        <f t="shared" si="109"/>
        <v>0</v>
      </c>
      <c r="MF35" s="418">
        <f t="shared" si="109"/>
        <v>0</v>
      </c>
      <c r="MG35" s="418">
        <f t="shared" si="109"/>
        <v>0</v>
      </c>
      <c r="MH35" s="418">
        <f t="shared" si="109"/>
        <v>0</v>
      </c>
      <c r="MI35" s="418">
        <f t="shared" si="109"/>
        <v>0</v>
      </c>
      <c r="MJ35" s="418">
        <f t="shared" si="109"/>
        <v>0</v>
      </c>
      <c r="MK35" s="418">
        <f t="shared" si="109"/>
        <v>0</v>
      </c>
      <c r="ML35" s="418">
        <f t="shared" si="109"/>
        <v>0</v>
      </c>
      <c r="MM35" s="418">
        <f t="shared" si="109"/>
        <v>0</v>
      </c>
      <c r="MN35" s="418">
        <f t="shared" si="109"/>
        <v>0</v>
      </c>
      <c r="MO35" s="418">
        <f t="shared" si="109"/>
        <v>0</v>
      </c>
      <c r="MP35" s="418">
        <f t="shared" si="109"/>
        <v>0</v>
      </c>
      <c r="MQ35" s="418">
        <f t="shared" si="109"/>
        <v>0</v>
      </c>
      <c r="MR35" s="418">
        <f t="shared" si="109"/>
        <v>0</v>
      </c>
      <c r="MS35" s="418">
        <f t="shared" si="110"/>
        <v>0</v>
      </c>
      <c r="MT35" s="418">
        <f t="shared" si="110"/>
        <v>0</v>
      </c>
      <c r="MU35" s="418">
        <f t="shared" si="110"/>
        <v>0</v>
      </c>
      <c r="MV35" s="418">
        <f t="shared" si="110"/>
        <v>0</v>
      </c>
      <c r="MW35" s="418">
        <f t="shared" si="110"/>
        <v>0</v>
      </c>
      <c r="MX35" s="418">
        <f t="shared" si="110"/>
        <v>0</v>
      </c>
      <c r="MY35" s="418">
        <f t="shared" si="110"/>
        <v>0</v>
      </c>
      <c r="MZ35" s="418">
        <f t="shared" si="110"/>
        <v>0</v>
      </c>
      <c r="NA35" s="418">
        <f t="shared" si="110"/>
        <v>0</v>
      </c>
      <c r="NB35" s="418">
        <f t="shared" si="110"/>
        <v>0</v>
      </c>
      <c r="NC35" s="418">
        <f t="shared" si="110"/>
        <v>0</v>
      </c>
      <c r="ND35" s="418">
        <f t="shared" si="110"/>
        <v>0</v>
      </c>
      <c r="NE35" s="418">
        <f t="shared" si="110"/>
        <v>0</v>
      </c>
      <c r="NF35" s="418">
        <f t="shared" si="110"/>
        <v>0</v>
      </c>
      <c r="NG35" s="418">
        <f t="shared" si="110"/>
        <v>0</v>
      </c>
      <c r="NH35" s="418">
        <f t="shared" si="110"/>
        <v>0</v>
      </c>
      <c r="NI35" s="418">
        <f t="shared" si="110"/>
        <v>0</v>
      </c>
      <c r="NJ35" s="418">
        <f t="shared" si="110"/>
        <v>0</v>
      </c>
      <c r="NK35" s="418">
        <f t="shared" si="110"/>
        <v>0</v>
      </c>
      <c r="NL35" s="418">
        <f t="shared" si="110"/>
        <v>0</v>
      </c>
      <c r="NM35" s="418">
        <f t="shared" si="110"/>
        <v>0</v>
      </c>
      <c r="NN35" s="418">
        <f t="shared" si="110"/>
        <v>0</v>
      </c>
      <c r="NO35" s="418">
        <f t="shared" si="110"/>
        <v>0</v>
      </c>
      <c r="NP35" s="418">
        <f t="shared" si="110"/>
        <v>0</v>
      </c>
      <c r="NQ35" s="418">
        <f t="shared" si="110"/>
        <v>0</v>
      </c>
      <c r="NR35" s="418">
        <f t="shared" si="110"/>
        <v>0</v>
      </c>
      <c r="NS35" s="418">
        <f t="shared" si="110"/>
        <v>0</v>
      </c>
      <c r="NT35" s="418">
        <f t="shared" si="110"/>
        <v>0</v>
      </c>
      <c r="NU35" s="418">
        <f t="shared" si="110"/>
        <v>0</v>
      </c>
      <c r="NV35" s="418">
        <f t="shared" si="110"/>
        <v>0</v>
      </c>
      <c r="NW35" s="418">
        <f t="shared" si="110"/>
        <v>0</v>
      </c>
      <c r="NX35" s="418">
        <f t="shared" si="110"/>
        <v>0</v>
      </c>
      <c r="NY35" s="418">
        <f t="shared" si="110"/>
        <v>0</v>
      </c>
      <c r="NZ35" s="418">
        <f t="shared" si="110"/>
        <v>0</v>
      </c>
      <c r="OA35" s="418">
        <f t="shared" si="110"/>
        <v>0</v>
      </c>
      <c r="OB35" s="418">
        <f t="shared" si="110"/>
        <v>0</v>
      </c>
      <c r="OC35" s="418">
        <f t="shared" si="110"/>
        <v>0</v>
      </c>
      <c r="OD35" s="418">
        <f t="shared" si="110"/>
        <v>0</v>
      </c>
      <c r="OE35" s="418">
        <f t="shared" si="110"/>
        <v>0</v>
      </c>
      <c r="OF35" s="418">
        <f t="shared" si="110"/>
        <v>0</v>
      </c>
      <c r="OG35" s="418">
        <f t="shared" si="110"/>
        <v>0</v>
      </c>
      <c r="OH35" s="418">
        <f t="shared" si="110"/>
        <v>0</v>
      </c>
      <c r="OI35" s="418">
        <f t="shared" si="110"/>
        <v>0</v>
      </c>
      <c r="OJ35" s="418">
        <f t="shared" si="110"/>
        <v>0</v>
      </c>
      <c r="OK35" s="418">
        <f t="shared" si="110"/>
        <v>0</v>
      </c>
      <c r="OL35" s="418">
        <f t="shared" si="110"/>
        <v>0</v>
      </c>
      <c r="OM35" s="418">
        <f t="shared" si="110"/>
        <v>0</v>
      </c>
      <c r="ON35" s="418">
        <f t="shared" si="110"/>
        <v>0</v>
      </c>
      <c r="OO35" s="418">
        <f t="shared" si="110"/>
        <v>0</v>
      </c>
      <c r="OP35" s="418">
        <f t="shared" si="110"/>
        <v>0</v>
      </c>
      <c r="OQ35" s="418">
        <f t="shared" si="110"/>
        <v>0</v>
      </c>
      <c r="OR35" s="418">
        <f t="shared" si="110"/>
        <v>0</v>
      </c>
      <c r="OS35" s="418">
        <f t="shared" si="110"/>
        <v>0</v>
      </c>
      <c r="OT35" s="418">
        <f t="shared" si="110"/>
        <v>0</v>
      </c>
      <c r="OU35" s="418">
        <f t="shared" si="110"/>
        <v>0</v>
      </c>
      <c r="OV35" s="418">
        <f t="shared" si="110"/>
        <v>0</v>
      </c>
      <c r="OW35" s="418">
        <f t="shared" si="110"/>
        <v>0</v>
      </c>
      <c r="OX35" s="418">
        <f t="shared" si="110"/>
        <v>0</v>
      </c>
      <c r="OY35" s="418">
        <f t="shared" si="110"/>
        <v>0</v>
      </c>
      <c r="OZ35" s="418">
        <f t="shared" si="110"/>
        <v>0</v>
      </c>
      <c r="PA35" s="418">
        <f t="shared" si="110"/>
        <v>0</v>
      </c>
      <c r="PB35" s="418">
        <f t="shared" si="110"/>
        <v>0</v>
      </c>
      <c r="PC35" s="418">
        <f t="shared" si="110"/>
        <v>0</v>
      </c>
      <c r="PD35" s="418">
        <f t="shared" si="110"/>
        <v>0</v>
      </c>
      <c r="PE35" s="418">
        <f t="shared" si="111"/>
        <v>0</v>
      </c>
      <c r="PF35" s="418">
        <f t="shared" si="111"/>
        <v>0</v>
      </c>
      <c r="PG35" s="418">
        <f t="shared" si="111"/>
        <v>0</v>
      </c>
      <c r="PH35" s="418">
        <f t="shared" si="111"/>
        <v>0</v>
      </c>
    </row>
    <row r="36" spans="1:424" x14ac:dyDescent="0.35">
      <c r="A36"/>
      <c r="B36" s="426" t="s">
        <v>150</v>
      </c>
      <c r="C36" s="400">
        <v>1</v>
      </c>
      <c r="D36" s="45"/>
      <c r="E36" s="257">
        <f>$E$34</f>
        <v>36</v>
      </c>
      <c r="F36" s="414" t="s">
        <v>142</v>
      </c>
      <c r="G36" s="134">
        <f>I36/Units_SF_M2</f>
        <v>0</v>
      </c>
      <c r="H36" s="415"/>
      <c r="I36" s="883">
        <f>0</f>
        <v>0</v>
      </c>
      <c r="J36"/>
      <c r="K36" s="22" t="str">
        <f>IF(ROUND(SUM(L36:EN36),0)=ROUND(I36,0),"","Incomplete")</f>
        <v/>
      </c>
      <c r="L36" s="417">
        <f t="shared" si="85"/>
        <v>0</v>
      </c>
      <c r="M36" s="417">
        <f t="shared" si="85"/>
        <v>0</v>
      </c>
      <c r="N36" s="417">
        <f t="shared" si="85"/>
        <v>0</v>
      </c>
      <c r="O36" s="417">
        <f t="shared" si="85"/>
        <v>0</v>
      </c>
      <c r="P36" s="417">
        <f t="shared" si="85"/>
        <v>0</v>
      </c>
      <c r="Q36" s="417">
        <f t="shared" si="85"/>
        <v>0</v>
      </c>
      <c r="R36" s="417">
        <f t="shared" si="85"/>
        <v>0</v>
      </c>
      <c r="S36" s="417">
        <f t="shared" si="85"/>
        <v>0</v>
      </c>
      <c r="T36" s="417">
        <f t="shared" si="85"/>
        <v>0</v>
      </c>
      <c r="U36" s="417">
        <f t="shared" si="85"/>
        <v>0</v>
      </c>
      <c r="V36" s="417">
        <f t="shared" si="86"/>
        <v>0</v>
      </c>
      <c r="W36" s="417">
        <f t="shared" si="86"/>
        <v>0</v>
      </c>
      <c r="X36" s="417">
        <f t="shared" si="86"/>
        <v>0</v>
      </c>
      <c r="Y36" s="417">
        <f t="shared" si="86"/>
        <v>0</v>
      </c>
      <c r="Z36" s="417">
        <f t="shared" si="86"/>
        <v>0</v>
      </c>
      <c r="AA36" s="417">
        <f t="shared" si="86"/>
        <v>0</v>
      </c>
      <c r="AB36" s="417">
        <f t="shared" si="86"/>
        <v>0</v>
      </c>
      <c r="AC36" s="417">
        <f t="shared" si="86"/>
        <v>0</v>
      </c>
      <c r="AD36" s="417">
        <f t="shared" si="86"/>
        <v>0</v>
      </c>
      <c r="AE36" s="417">
        <f t="shared" si="86"/>
        <v>0</v>
      </c>
      <c r="AF36" s="417">
        <f t="shared" si="87"/>
        <v>0</v>
      </c>
      <c r="AG36" s="417">
        <f t="shared" si="87"/>
        <v>0</v>
      </c>
      <c r="AH36" s="417">
        <f t="shared" si="87"/>
        <v>0</v>
      </c>
      <c r="AI36" s="417">
        <f t="shared" si="87"/>
        <v>0</v>
      </c>
      <c r="AJ36" s="417">
        <f t="shared" si="87"/>
        <v>0</v>
      </c>
      <c r="AK36" s="417">
        <f t="shared" si="87"/>
        <v>0</v>
      </c>
      <c r="AL36" s="417">
        <f t="shared" si="87"/>
        <v>0</v>
      </c>
      <c r="AM36" s="417">
        <f t="shared" si="87"/>
        <v>0</v>
      </c>
      <c r="AN36" s="417">
        <f t="shared" si="87"/>
        <v>0</v>
      </c>
      <c r="AO36" s="417">
        <f t="shared" si="87"/>
        <v>0</v>
      </c>
      <c r="AP36" s="417">
        <f t="shared" si="88"/>
        <v>0</v>
      </c>
      <c r="AQ36" s="417">
        <f t="shared" si="88"/>
        <v>0</v>
      </c>
      <c r="AR36" s="417">
        <f t="shared" si="88"/>
        <v>0</v>
      </c>
      <c r="AS36" s="417">
        <f t="shared" si="88"/>
        <v>0</v>
      </c>
      <c r="AT36" s="417">
        <f t="shared" si="88"/>
        <v>0</v>
      </c>
      <c r="AU36" s="417">
        <f t="shared" si="88"/>
        <v>0</v>
      </c>
      <c r="AV36" s="417">
        <f t="shared" si="88"/>
        <v>0</v>
      </c>
      <c r="AW36" s="417">
        <f t="shared" si="88"/>
        <v>0</v>
      </c>
      <c r="AX36" s="417">
        <f t="shared" si="88"/>
        <v>0</v>
      </c>
      <c r="AY36" s="417">
        <f t="shared" si="88"/>
        <v>0</v>
      </c>
      <c r="AZ36" s="417">
        <f t="shared" si="89"/>
        <v>0</v>
      </c>
      <c r="BA36" s="417">
        <f t="shared" si="89"/>
        <v>0</v>
      </c>
      <c r="BB36" s="417">
        <f t="shared" si="89"/>
        <v>0</v>
      </c>
      <c r="BC36" s="417">
        <f t="shared" si="89"/>
        <v>0</v>
      </c>
      <c r="BD36" s="417">
        <f t="shared" si="89"/>
        <v>0</v>
      </c>
      <c r="BE36" s="417">
        <f t="shared" si="89"/>
        <v>0</v>
      </c>
      <c r="BF36" s="417">
        <f t="shared" si="89"/>
        <v>0</v>
      </c>
      <c r="BG36" s="417">
        <f t="shared" si="89"/>
        <v>0</v>
      </c>
      <c r="BH36" s="417">
        <f t="shared" si="89"/>
        <v>0</v>
      </c>
      <c r="BI36" s="417">
        <f t="shared" si="89"/>
        <v>0</v>
      </c>
      <c r="BJ36" s="417">
        <f t="shared" si="90"/>
        <v>0</v>
      </c>
      <c r="BK36" s="417">
        <f t="shared" si="90"/>
        <v>0</v>
      </c>
      <c r="BL36" s="417">
        <f t="shared" si="90"/>
        <v>0</v>
      </c>
      <c r="BM36" s="417">
        <f t="shared" si="90"/>
        <v>0</v>
      </c>
      <c r="BN36" s="417">
        <f t="shared" si="90"/>
        <v>0</v>
      </c>
      <c r="BO36" s="417">
        <f t="shared" si="90"/>
        <v>0</v>
      </c>
      <c r="BP36" s="417">
        <f t="shared" si="90"/>
        <v>0</v>
      </c>
      <c r="BQ36" s="417">
        <f t="shared" si="90"/>
        <v>0</v>
      </c>
      <c r="BR36" s="417">
        <f t="shared" si="90"/>
        <v>0</v>
      </c>
      <c r="BS36" s="417">
        <f t="shared" si="90"/>
        <v>0</v>
      </c>
      <c r="BT36" s="417">
        <f t="shared" si="91"/>
        <v>0</v>
      </c>
      <c r="BU36" s="417">
        <f t="shared" si="91"/>
        <v>0</v>
      </c>
      <c r="BV36" s="417">
        <f t="shared" si="91"/>
        <v>0</v>
      </c>
      <c r="BW36" s="417">
        <f t="shared" si="91"/>
        <v>0</v>
      </c>
      <c r="BX36" s="417">
        <f t="shared" si="91"/>
        <v>0</v>
      </c>
      <c r="BY36" s="417">
        <f t="shared" si="91"/>
        <v>0</v>
      </c>
      <c r="BZ36" s="417">
        <f t="shared" si="91"/>
        <v>0</v>
      </c>
      <c r="CA36" s="417">
        <f t="shared" si="91"/>
        <v>0</v>
      </c>
      <c r="CB36" s="417">
        <f t="shared" si="91"/>
        <v>0</v>
      </c>
      <c r="CC36" s="417">
        <f t="shared" si="91"/>
        <v>0</v>
      </c>
      <c r="CD36" s="417">
        <f t="shared" si="92"/>
        <v>0</v>
      </c>
      <c r="CE36" s="417">
        <f t="shared" si="92"/>
        <v>0</v>
      </c>
      <c r="CF36" s="417">
        <f t="shared" si="92"/>
        <v>0</v>
      </c>
      <c r="CG36" s="417">
        <f t="shared" si="92"/>
        <v>0</v>
      </c>
      <c r="CH36" s="417">
        <f t="shared" si="92"/>
        <v>0</v>
      </c>
      <c r="CI36" s="417">
        <f t="shared" si="92"/>
        <v>0</v>
      </c>
      <c r="CJ36" s="417">
        <f t="shared" si="92"/>
        <v>0</v>
      </c>
      <c r="CK36" s="417">
        <f t="shared" si="92"/>
        <v>0</v>
      </c>
      <c r="CL36" s="417">
        <f t="shared" si="92"/>
        <v>0</v>
      </c>
      <c r="CM36" s="417">
        <f t="shared" si="92"/>
        <v>0</v>
      </c>
      <c r="CN36" s="417">
        <f t="shared" si="93"/>
        <v>0</v>
      </c>
      <c r="CO36" s="417">
        <f t="shared" si="93"/>
        <v>0</v>
      </c>
      <c r="CP36" s="417">
        <f t="shared" si="93"/>
        <v>0</v>
      </c>
      <c r="CQ36" s="417">
        <f t="shared" si="93"/>
        <v>0</v>
      </c>
      <c r="CR36" s="417">
        <f t="shared" si="93"/>
        <v>0</v>
      </c>
      <c r="CS36" s="417">
        <f t="shared" si="93"/>
        <v>0</v>
      </c>
      <c r="CT36" s="417">
        <f t="shared" si="93"/>
        <v>0</v>
      </c>
      <c r="CU36" s="417">
        <f t="shared" si="93"/>
        <v>0</v>
      </c>
      <c r="CV36" s="417">
        <f t="shared" si="93"/>
        <v>0</v>
      </c>
      <c r="CW36" s="417">
        <f t="shared" si="93"/>
        <v>0</v>
      </c>
      <c r="CX36" s="417">
        <f t="shared" si="94"/>
        <v>0</v>
      </c>
      <c r="CY36" s="417">
        <f t="shared" si="94"/>
        <v>0</v>
      </c>
      <c r="CZ36" s="417">
        <f t="shared" si="94"/>
        <v>0</v>
      </c>
      <c r="DA36" s="417">
        <f t="shared" si="94"/>
        <v>0</v>
      </c>
      <c r="DB36" s="417">
        <f t="shared" si="94"/>
        <v>0</v>
      </c>
      <c r="DC36" s="417">
        <f t="shared" si="94"/>
        <v>0</v>
      </c>
      <c r="DD36" s="417">
        <f t="shared" si="94"/>
        <v>0</v>
      </c>
      <c r="DE36" s="417">
        <f t="shared" si="94"/>
        <v>0</v>
      </c>
      <c r="DF36" s="417">
        <f t="shared" si="94"/>
        <v>0</v>
      </c>
      <c r="DG36" s="417">
        <f t="shared" si="94"/>
        <v>0</v>
      </c>
      <c r="DH36" s="417">
        <f t="shared" si="95"/>
        <v>0</v>
      </c>
      <c r="DI36" s="417">
        <f t="shared" si="95"/>
        <v>0</v>
      </c>
      <c r="DJ36" s="417">
        <f t="shared" si="95"/>
        <v>0</v>
      </c>
      <c r="DK36" s="417">
        <f t="shared" si="95"/>
        <v>0</v>
      </c>
      <c r="DL36" s="417">
        <f t="shared" si="95"/>
        <v>0</v>
      </c>
      <c r="DM36" s="417">
        <f t="shared" si="95"/>
        <v>0</v>
      </c>
      <c r="DN36" s="417">
        <f t="shared" si="95"/>
        <v>0</v>
      </c>
      <c r="DO36" s="417">
        <f t="shared" si="95"/>
        <v>0</v>
      </c>
      <c r="DP36" s="417">
        <f t="shared" si="95"/>
        <v>0</v>
      </c>
      <c r="DQ36" s="417">
        <f t="shared" si="95"/>
        <v>0</v>
      </c>
      <c r="DR36" s="417">
        <f t="shared" si="96"/>
        <v>0</v>
      </c>
      <c r="DS36" s="417">
        <f t="shared" si="96"/>
        <v>0</v>
      </c>
      <c r="DT36" s="417">
        <f t="shared" si="96"/>
        <v>0</v>
      </c>
      <c r="DU36" s="417">
        <f t="shared" si="96"/>
        <v>0</v>
      </c>
      <c r="DV36" s="417">
        <f t="shared" si="96"/>
        <v>0</v>
      </c>
      <c r="DW36" s="417">
        <f t="shared" si="96"/>
        <v>0</v>
      </c>
      <c r="DX36" s="417">
        <f t="shared" si="96"/>
        <v>0</v>
      </c>
      <c r="DY36" s="417">
        <f t="shared" si="96"/>
        <v>0</v>
      </c>
      <c r="DZ36" s="417">
        <f t="shared" si="96"/>
        <v>0</v>
      </c>
      <c r="EA36" s="417">
        <f t="shared" si="96"/>
        <v>0</v>
      </c>
      <c r="EB36" s="417">
        <f t="shared" si="97"/>
        <v>0</v>
      </c>
      <c r="EC36" s="417">
        <f t="shared" si="97"/>
        <v>0</v>
      </c>
      <c r="ED36" s="417">
        <f t="shared" si="97"/>
        <v>0</v>
      </c>
      <c r="EE36" s="417">
        <f t="shared" si="97"/>
        <v>0</v>
      </c>
      <c r="EF36" s="417">
        <f t="shared" si="97"/>
        <v>0</v>
      </c>
      <c r="EG36" s="417">
        <f t="shared" si="97"/>
        <v>0</v>
      </c>
      <c r="EH36" s="417">
        <f t="shared" si="97"/>
        <v>0</v>
      </c>
      <c r="EI36" s="417">
        <f t="shared" si="97"/>
        <v>0</v>
      </c>
      <c r="EJ36" s="417">
        <f t="shared" si="97"/>
        <v>0</v>
      </c>
      <c r="EK36" s="417">
        <f t="shared" si="97"/>
        <v>0</v>
      </c>
      <c r="EL36" s="417">
        <f t="shared" si="98"/>
        <v>0</v>
      </c>
      <c r="EM36" s="417">
        <f t="shared" si="98"/>
        <v>0</v>
      </c>
      <c r="EN36" s="417">
        <f t="shared" si="98"/>
        <v>0</v>
      </c>
      <c r="EO36"/>
      <c r="EP36" s="220">
        <f>I36</f>
        <v>0</v>
      </c>
      <c r="EQ36" s="201">
        <f>INDEX($L$24:$EN$24,1,$D36+1)</f>
        <v>46203</v>
      </c>
      <c r="ER36" s="201">
        <f>INDEX($L$24:$EN$24,1,$E36+1)</f>
        <v>47299</v>
      </c>
      <c r="ES36" s="20">
        <f>+E36-D36+1</f>
        <v>37</v>
      </c>
      <c r="ET36" s="18" t="str">
        <f>F36</f>
        <v>Straight-Line</v>
      </c>
      <c r="EU36" s="79">
        <f>ES36/Scurve_Dist</f>
        <v>6.166666666666667</v>
      </c>
      <c r="EV36" s="20">
        <f t="shared" si="99"/>
        <v>0</v>
      </c>
      <c r="EW36" s="20">
        <f t="shared" si="99"/>
        <v>0</v>
      </c>
      <c r="EX36" s="20">
        <f t="shared" si="99"/>
        <v>0</v>
      </c>
      <c r="EY36" s="20">
        <f t="shared" si="99"/>
        <v>0</v>
      </c>
      <c r="EZ36" s="20">
        <f t="shared" si="99"/>
        <v>0</v>
      </c>
      <c r="FA36" s="20">
        <f t="shared" si="99"/>
        <v>0</v>
      </c>
      <c r="FB36" s="20">
        <f t="shared" si="99"/>
        <v>0</v>
      </c>
      <c r="FC36" s="20">
        <f t="shared" si="99"/>
        <v>0</v>
      </c>
      <c r="FD36" s="20">
        <f t="shared" si="99"/>
        <v>0</v>
      </c>
      <c r="FE36" s="20">
        <f t="shared" si="99"/>
        <v>0</v>
      </c>
      <c r="FF36" s="20">
        <f t="shared" si="99"/>
        <v>0</v>
      </c>
      <c r="FG36" s="20">
        <f t="shared" si="99"/>
        <v>0</v>
      </c>
      <c r="FH36" s="20">
        <f t="shared" si="99"/>
        <v>0</v>
      </c>
      <c r="FI36" s="20">
        <f t="shared" si="99"/>
        <v>0</v>
      </c>
      <c r="FJ36" s="20">
        <f t="shared" si="99"/>
        <v>0</v>
      </c>
      <c r="FK36" s="20">
        <f t="shared" si="99"/>
        <v>0</v>
      </c>
      <c r="FL36" s="20">
        <f t="shared" si="100"/>
        <v>0</v>
      </c>
      <c r="FM36" s="20">
        <f t="shared" si="100"/>
        <v>0</v>
      </c>
      <c r="FN36" s="20">
        <f t="shared" si="100"/>
        <v>0</v>
      </c>
      <c r="FO36" s="20">
        <f t="shared" si="100"/>
        <v>0</v>
      </c>
      <c r="FP36" s="20">
        <f t="shared" si="100"/>
        <v>0</v>
      </c>
      <c r="FQ36" s="20">
        <f t="shared" si="100"/>
        <v>0</v>
      </c>
      <c r="FR36" s="20">
        <f t="shared" si="100"/>
        <v>0</v>
      </c>
      <c r="FS36" s="20">
        <f t="shared" si="100"/>
        <v>0</v>
      </c>
      <c r="FT36" s="20">
        <f t="shared" si="100"/>
        <v>0</v>
      </c>
      <c r="FU36" s="20">
        <f t="shared" si="100"/>
        <v>0</v>
      </c>
      <c r="FV36" s="20">
        <f t="shared" si="100"/>
        <v>0</v>
      </c>
      <c r="FW36" s="20">
        <f t="shared" si="100"/>
        <v>0</v>
      </c>
      <c r="FX36" s="20">
        <f t="shared" si="100"/>
        <v>0</v>
      </c>
      <c r="FY36" s="20">
        <f t="shared" si="100"/>
        <v>0</v>
      </c>
      <c r="FZ36" s="20">
        <f t="shared" si="100"/>
        <v>0</v>
      </c>
      <c r="GA36" s="20">
        <f t="shared" si="100"/>
        <v>0</v>
      </c>
      <c r="GB36" s="20">
        <f t="shared" si="101"/>
        <v>0</v>
      </c>
      <c r="GC36" s="20">
        <f t="shared" si="101"/>
        <v>0</v>
      </c>
      <c r="GD36" s="20">
        <f t="shared" si="101"/>
        <v>0</v>
      </c>
      <c r="GE36" s="20">
        <f t="shared" si="101"/>
        <v>0</v>
      </c>
      <c r="GF36" s="20">
        <f t="shared" si="101"/>
        <v>0</v>
      </c>
      <c r="GG36" s="20">
        <f t="shared" si="101"/>
        <v>0</v>
      </c>
      <c r="GH36" s="20">
        <f t="shared" si="101"/>
        <v>0</v>
      </c>
      <c r="GI36" s="20">
        <f t="shared" si="101"/>
        <v>0</v>
      </c>
      <c r="GJ36" s="20">
        <f t="shared" si="101"/>
        <v>0</v>
      </c>
      <c r="GK36" s="20">
        <f t="shared" si="101"/>
        <v>0</v>
      </c>
      <c r="GL36" s="20">
        <f t="shared" si="101"/>
        <v>0</v>
      </c>
      <c r="GM36" s="20">
        <f t="shared" si="101"/>
        <v>0</v>
      </c>
      <c r="GN36" s="20">
        <f t="shared" si="101"/>
        <v>0</v>
      </c>
      <c r="GO36" s="20">
        <f t="shared" si="101"/>
        <v>0</v>
      </c>
      <c r="GP36" s="20">
        <f t="shared" si="101"/>
        <v>0</v>
      </c>
      <c r="GQ36" s="20">
        <f t="shared" si="101"/>
        <v>0</v>
      </c>
      <c r="GR36" s="20">
        <f t="shared" si="102"/>
        <v>0</v>
      </c>
      <c r="GS36" s="20">
        <f t="shared" si="102"/>
        <v>0</v>
      </c>
      <c r="GT36" s="20">
        <f t="shared" si="102"/>
        <v>0</v>
      </c>
      <c r="GU36" s="20">
        <f t="shared" si="102"/>
        <v>0</v>
      </c>
      <c r="GV36" s="20">
        <f t="shared" si="102"/>
        <v>0</v>
      </c>
      <c r="GW36" s="20">
        <f t="shared" si="102"/>
        <v>0</v>
      </c>
      <c r="GX36" s="20">
        <f t="shared" si="102"/>
        <v>0</v>
      </c>
      <c r="GY36" s="20">
        <f t="shared" si="102"/>
        <v>0</v>
      </c>
      <c r="GZ36" s="20">
        <f t="shared" si="102"/>
        <v>0</v>
      </c>
      <c r="HA36" s="20">
        <f t="shared" si="102"/>
        <v>0</v>
      </c>
      <c r="HB36" s="20">
        <f t="shared" si="102"/>
        <v>0</v>
      </c>
      <c r="HC36" s="20">
        <f t="shared" si="102"/>
        <v>0</v>
      </c>
      <c r="HD36" s="20">
        <f t="shared" si="102"/>
        <v>0</v>
      </c>
      <c r="HE36" s="20">
        <f t="shared" si="102"/>
        <v>0</v>
      </c>
      <c r="HF36" s="20">
        <f t="shared" si="102"/>
        <v>0</v>
      </c>
      <c r="HG36" s="20">
        <f t="shared" si="102"/>
        <v>0</v>
      </c>
      <c r="HH36" s="20">
        <f t="shared" si="103"/>
        <v>0</v>
      </c>
      <c r="HI36" s="20">
        <f t="shared" si="103"/>
        <v>0</v>
      </c>
      <c r="HJ36" s="20">
        <f t="shared" si="103"/>
        <v>0</v>
      </c>
      <c r="HK36" s="20">
        <f t="shared" si="103"/>
        <v>0</v>
      </c>
      <c r="HL36" s="20">
        <f t="shared" si="103"/>
        <v>0</v>
      </c>
      <c r="HM36" s="20">
        <f t="shared" si="103"/>
        <v>0</v>
      </c>
      <c r="HN36" s="20">
        <f t="shared" si="103"/>
        <v>0</v>
      </c>
      <c r="HO36" s="20">
        <f t="shared" si="103"/>
        <v>0</v>
      </c>
      <c r="HP36" s="20">
        <f t="shared" si="103"/>
        <v>0</v>
      </c>
      <c r="HQ36" s="20">
        <f t="shared" si="103"/>
        <v>0</v>
      </c>
      <c r="HR36" s="20">
        <f t="shared" si="103"/>
        <v>0</v>
      </c>
      <c r="HS36" s="20">
        <f t="shared" si="103"/>
        <v>0</v>
      </c>
      <c r="HT36" s="20">
        <f t="shared" si="103"/>
        <v>0</v>
      </c>
      <c r="HU36" s="20">
        <f t="shared" si="103"/>
        <v>0</v>
      </c>
      <c r="HV36" s="20">
        <f t="shared" si="103"/>
        <v>0</v>
      </c>
      <c r="HW36" s="20">
        <f t="shared" si="103"/>
        <v>0</v>
      </c>
      <c r="HX36" s="20">
        <f t="shared" si="104"/>
        <v>0</v>
      </c>
      <c r="HY36" s="20">
        <f t="shared" si="104"/>
        <v>0</v>
      </c>
      <c r="HZ36" s="20">
        <f t="shared" si="104"/>
        <v>0</v>
      </c>
      <c r="IA36" s="20">
        <f t="shared" si="104"/>
        <v>0</v>
      </c>
      <c r="IB36" s="20">
        <f t="shared" si="104"/>
        <v>0</v>
      </c>
      <c r="IC36" s="20">
        <f t="shared" si="104"/>
        <v>0</v>
      </c>
      <c r="ID36" s="20">
        <f t="shared" si="104"/>
        <v>0</v>
      </c>
      <c r="IE36" s="20">
        <f t="shared" si="104"/>
        <v>0</v>
      </c>
      <c r="IF36" s="20">
        <f t="shared" si="104"/>
        <v>0</v>
      </c>
      <c r="IG36" s="20">
        <f t="shared" si="104"/>
        <v>0</v>
      </c>
      <c r="IH36" s="20">
        <f t="shared" si="104"/>
        <v>0</v>
      </c>
      <c r="II36" s="20">
        <f t="shared" si="104"/>
        <v>0</v>
      </c>
      <c r="IJ36" s="20">
        <f t="shared" si="104"/>
        <v>0</v>
      </c>
      <c r="IK36" s="20">
        <f t="shared" si="104"/>
        <v>0</v>
      </c>
      <c r="IL36" s="20">
        <f t="shared" si="104"/>
        <v>0</v>
      </c>
      <c r="IM36" s="20">
        <f t="shared" si="104"/>
        <v>0</v>
      </c>
      <c r="IN36" s="20">
        <f t="shared" si="105"/>
        <v>0</v>
      </c>
      <c r="IO36" s="20">
        <f t="shared" si="105"/>
        <v>0</v>
      </c>
      <c r="IP36" s="20">
        <f t="shared" si="105"/>
        <v>0</v>
      </c>
      <c r="IQ36" s="20">
        <f t="shared" si="105"/>
        <v>0</v>
      </c>
      <c r="IR36" s="20">
        <f t="shared" si="105"/>
        <v>0</v>
      </c>
      <c r="IS36" s="20">
        <f t="shared" si="105"/>
        <v>0</v>
      </c>
      <c r="IT36" s="20">
        <f t="shared" si="105"/>
        <v>0</v>
      </c>
      <c r="IU36" s="20">
        <f t="shared" si="105"/>
        <v>0</v>
      </c>
      <c r="IV36" s="20">
        <f t="shared" si="105"/>
        <v>0</v>
      </c>
      <c r="IW36" s="20">
        <f t="shared" si="105"/>
        <v>0</v>
      </c>
      <c r="IX36" s="20">
        <f t="shared" si="105"/>
        <v>0</v>
      </c>
      <c r="IY36" s="20">
        <f t="shared" si="105"/>
        <v>0</v>
      </c>
      <c r="IZ36" s="20">
        <f t="shared" si="105"/>
        <v>0</v>
      </c>
      <c r="JA36" s="20">
        <f t="shared" si="105"/>
        <v>0</v>
      </c>
      <c r="JB36" s="20">
        <f t="shared" si="105"/>
        <v>0</v>
      </c>
      <c r="JC36" s="20">
        <f t="shared" si="105"/>
        <v>0</v>
      </c>
      <c r="JD36" s="20">
        <f t="shared" si="106"/>
        <v>0</v>
      </c>
      <c r="JE36" s="20">
        <f t="shared" si="106"/>
        <v>0</v>
      </c>
      <c r="JF36" s="20">
        <f t="shared" si="106"/>
        <v>0</v>
      </c>
      <c r="JG36" s="20">
        <f t="shared" si="106"/>
        <v>0</v>
      </c>
      <c r="JH36" s="20">
        <f t="shared" si="106"/>
        <v>0</v>
      </c>
      <c r="JI36" s="20">
        <f t="shared" si="106"/>
        <v>0</v>
      </c>
      <c r="JJ36" s="20">
        <f t="shared" si="106"/>
        <v>0</v>
      </c>
      <c r="JK36" s="20">
        <f t="shared" si="106"/>
        <v>0</v>
      </c>
      <c r="JL36" s="20">
        <f t="shared" si="106"/>
        <v>0</v>
      </c>
      <c r="JM36" s="20">
        <f t="shared" si="106"/>
        <v>0</v>
      </c>
      <c r="JN36" s="20">
        <f t="shared" si="106"/>
        <v>0</v>
      </c>
      <c r="JO36" s="20">
        <f t="shared" si="106"/>
        <v>0</v>
      </c>
      <c r="JP36" s="20">
        <f t="shared" si="106"/>
        <v>0</v>
      </c>
      <c r="JQ36" s="20">
        <f t="shared" si="106"/>
        <v>0</v>
      </c>
      <c r="JR36" s="20">
        <f t="shared" si="106"/>
        <v>0</v>
      </c>
      <c r="JS36" s="20">
        <f t="shared" si="106"/>
        <v>0</v>
      </c>
      <c r="JT36" s="20">
        <f t="shared" si="107"/>
        <v>0</v>
      </c>
      <c r="JU36" s="20">
        <f t="shared" si="107"/>
        <v>0</v>
      </c>
      <c r="JV36" s="20">
        <f t="shared" si="107"/>
        <v>0</v>
      </c>
      <c r="JW36" s="20">
        <f t="shared" si="107"/>
        <v>0</v>
      </c>
      <c r="JX36" s="20">
        <f t="shared" si="107"/>
        <v>0</v>
      </c>
      <c r="JY36"/>
      <c r="JZ36" s="220" t="str">
        <f t="shared" si="51"/>
        <v>Development-period operating adjustments (funding bridge only)</v>
      </c>
      <c r="KA36" s="201"/>
      <c r="KB36" s="20">
        <f t="shared" si="108"/>
        <v>0</v>
      </c>
      <c r="KC36" s="20">
        <f t="shared" si="108"/>
        <v>36</v>
      </c>
      <c r="KD36" s="20">
        <f>KC36-KB36+1</f>
        <v>37</v>
      </c>
      <c r="KE36" s="418">
        <f>I36</f>
        <v>0</v>
      </c>
      <c r="KF36" s="418">
        <f>AND(KF$23&gt;=$KB36,KF$23&lt;=$KC36)*(IF($F36="Steady Growth",KF$23-$KB36,$KC36-KF$23)+1)/($KD36*($KD36+1)/2)*$KE36</f>
        <v>0</v>
      </c>
      <c r="KG36" s="418">
        <f t="shared" si="109"/>
        <v>0</v>
      </c>
      <c r="KH36" s="418">
        <f t="shared" si="109"/>
        <v>0</v>
      </c>
      <c r="KI36" s="418">
        <f t="shared" si="109"/>
        <v>0</v>
      </c>
      <c r="KJ36" s="418">
        <f t="shared" si="109"/>
        <v>0</v>
      </c>
      <c r="KK36" s="418">
        <f t="shared" si="109"/>
        <v>0</v>
      </c>
      <c r="KL36" s="418">
        <f t="shared" si="109"/>
        <v>0</v>
      </c>
      <c r="KM36" s="418">
        <f t="shared" si="109"/>
        <v>0</v>
      </c>
      <c r="KN36" s="418">
        <f t="shared" si="109"/>
        <v>0</v>
      </c>
      <c r="KO36" s="418">
        <f t="shared" si="109"/>
        <v>0</v>
      </c>
      <c r="KP36" s="418">
        <f t="shared" si="109"/>
        <v>0</v>
      </c>
      <c r="KQ36" s="418">
        <f t="shared" si="109"/>
        <v>0</v>
      </c>
      <c r="KR36" s="418">
        <f t="shared" si="109"/>
        <v>0</v>
      </c>
      <c r="KS36" s="418">
        <f t="shared" si="109"/>
        <v>0</v>
      </c>
      <c r="KT36" s="418">
        <f t="shared" si="109"/>
        <v>0</v>
      </c>
      <c r="KU36" s="418">
        <f t="shared" si="109"/>
        <v>0</v>
      </c>
      <c r="KV36" s="418">
        <f t="shared" si="109"/>
        <v>0</v>
      </c>
      <c r="KW36" s="418">
        <f t="shared" si="109"/>
        <v>0</v>
      </c>
      <c r="KX36" s="418">
        <f t="shared" si="109"/>
        <v>0</v>
      </c>
      <c r="KY36" s="418">
        <f t="shared" si="109"/>
        <v>0</v>
      </c>
      <c r="KZ36" s="418">
        <f t="shared" si="109"/>
        <v>0</v>
      </c>
      <c r="LA36" s="418">
        <f t="shared" si="109"/>
        <v>0</v>
      </c>
      <c r="LB36" s="418">
        <f t="shared" si="109"/>
        <v>0</v>
      </c>
      <c r="LC36" s="418">
        <f t="shared" si="109"/>
        <v>0</v>
      </c>
      <c r="LD36" s="418">
        <f t="shared" si="109"/>
        <v>0</v>
      </c>
      <c r="LE36" s="418">
        <f t="shared" si="109"/>
        <v>0</v>
      </c>
      <c r="LF36" s="418">
        <f t="shared" si="109"/>
        <v>0</v>
      </c>
      <c r="LG36" s="418">
        <f t="shared" si="109"/>
        <v>0</v>
      </c>
      <c r="LH36" s="418">
        <f t="shared" si="109"/>
        <v>0</v>
      </c>
      <c r="LI36" s="418">
        <f t="shared" si="109"/>
        <v>0</v>
      </c>
      <c r="LJ36" s="418">
        <f t="shared" si="109"/>
        <v>0</v>
      </c>
      <c r="LK36" s="418">
        <f t="shared" si="109"/>
        <v>0</v>
      </c>
      <c r="LL36" s="418">
        <f t="shared" si="109"/>
        <v>0</v>
      </c>
      <c r="LM36" s="418">
        <f t="shared" si="109"/>
        <v>0</v>
      </c>
      <c r="LN36" s="418">
        <f t="shared" si="109"/>
        <v>0</v>
      </c>
      <c r="LO36" s="418">
        <f t="shared" si="109"/>
        <v>0</v>
      </c>
      <c r="LP36" s="418">
        <f t="shared" si="109"/>
        <v>0</v>
      </c>
      <c r="LQ36" s="418">
        <f t="shared" si="109"/>
        <v>0</v>
      </c>
      <c r="LR36" s="418">
        <f t="shared" si="109"/>
        <v>0</v>
      </c>
      <c r="LS36" s="418">
        <f t="shared" si="109"/>
        <v>0</v>
      </c>
      <c r="LT36" s="418">
        <f t="shared" si="109"/>
        <v>0</v>
      </c>
      <c r="LU36" s="418">
        <f t="shared" si="109"/>
        <v>0</v>
      </c>
      <c r="LV36" s="418">
        <f t="shared" si="109"/>
        <v>0</v>
      </c>
      <c r="LW36" s="418">
        <f t="shared" si="109"/>
        <v>0</v>
      </c>
      <c r="LX36" s="418">
        <f t="shared" si="109"/>
        <v>0</v>
      </c>
      <c r="LY36" s="418">
        <f t="shared" si="109"/>
        <v>0</v>
      </c>
      <c r="LZ36" s="418">
        <f t="shared" si="109"/>
        <v>0</v>
      </c>
      <c r="MA36" s="418">
        <f t="shared" si="109"/>
        <v>0</v>
      </c>
      <c r="MB36" s="418">
        <f t="shared" si="109"/>
        <v>0</v>
      </c>
      <c r="MC36" s="418">
        <f t="shared" si="109"/>
        <v>0</v>
      </c>
      <c r="MD36" s="418">
        <f t="shared" si="109"/>
        <v>0</v>
      </c>
      <c r="ME36" s="418">
        <f t="shared" si="109"/>
        <v>0</v>
      </c>
      <c r="MF36" s="418">
        <f t="shared" si="109"/>
        <v>0</v>
      </c>
      <c r="MG36" s="418">
        <f t="shared" si="109"/>
        <v>0</v>
      </c>
      <c r="MH36" s="418">
        <f t="shared" si="109"/>
        <v>0</v>
      </c>
      <c r="MI36" s="418">
        <f t="shared" si="109"/>
        <v>0</v>
      </c>
      <c r="MJ36" s="418">
        <f t="shared" si="109"/>
        <v>0</v>
      </c>
      <c r="MK36" s="418">
        <f t="shared" si="109"/>
        <v>0</v>
      </c>
      <c r="ML36" s="418">
        <f t="shared" si="109"/>
        <v>0</v>
      </c>
      <c r="MM36" s="418">
        <f t="shared" si="109"/>
        <v>0</v>
      </c>
      <c r="MN36" s="418">
        <f t="shared" si="109"/>
        <v>0</v>
      </c>
      <c r="MO36" s="418">
        <f t="shared" si="109"/>
        <v>0</v>
      </c>
      <c r="MP36" s="418">
        <f t="shared" si="109"/>
        <v>0</v>
      </c>
      <c r="MQ36" s="418">
        <f t="shared" si="109"/>
        <v>0</v>
      </c>
      <c r="MR36" s="418">
        <f t="shared" si="109"/>
        <v>0</v>
      </c>
      <c r="MS36" s="418">
        <f t="shared" si="110"/>
        <v>0</v>
      </c>
      <c r="MT36" s="418">
        <f t="shared" si="110"/>
        <v>0</v>
      </c>
      <c r="MU36" s="418">
        <f t="shared" si="110"/>
        <v>0</v>
      </c>
      <c r="MV36" s="418">
        <f t="shared" si="110"/>
        <v>0</v>
      </c>
      <c r="MW36" s="418">
        <f t="shared" si="110"/>
        <v>0</v>
      </c>
      <c r="MX36" s="418">
        <f t="shared" si="110"/>
        <v>0</v>
      </c>
      <c r="MY36" s="418">
        <f t="shared" si="110"/>
        <v>0</v>
      </c>
      <c r="MZ36" s="418">
        <f t="shared" si="110"/>
        <v>0</v>
      </c>
      <c r="NA36" s="418">
        <f t="shared" si="110"/>
        <v>0</v>
      </c>
      <c r="NB36" s="418">
        <f t="shared" si="110"/>
        <v>0</v>
      </c>
      <c r="NC36" s="418">
        <f t="shared" si="110"/>
        <v>0</v>
      </c>
      <c r="ND36" s="418">
        <f t="shared" si="110"/>
        <v>0</v>
      </c>
      <c r="NE36" s="418">
        <f t="shared" si="110"/>
        <v>0</v>
      </c>
      <c r="NF36" s="418">
        <f t="shared" si="110"/>
        <v>0</v>
      </c>
      <c r="NG36" s="418">
        <f t="shared" si="110"/>
        <v>0</v>
      </c>
      <c r="NH36" s="418">
        <f t="shared" si="110"/>
        <v>0</v>
      </c>
      <c r="NI36" s="418">
        <f t="shared" si="110"/>
        <v>0</v>
      </c>
      <c r="NJ36" s="418">
        <f t="shared" si="110"/>
        <v>0</v>
      </c>
      <c r="NK36" s="418">
        <f t="shared" si="110"/>
        <v>0</v>
      </c>
      <c r="NL36" s="418">
        <f t="shared" si="110"/>
        <v>0</v>
      </c>
      <c r="NM36" s="418">
        <f t="shared" si="110"/>
        <v>0</v>
      </c>
      <c r="NN36" s="418">
        <f t="shared" si="110"/>
        <v>0</v>
      </c>
      <c r="NO36" s="418">
        <f t="shared" si="110"/>
        <v>0</v>
      </c>
      <c r="NP36" s="418">
        <f t="shared" si="110"/>
        <v>0</v>
      </c>
      <c r="NQ36" s="418">
        <f t="shared" si="110"/>
        <v>0</v>
      </c>
      <c r="NR36" s="418">
        <f t="shared" si="110"/>
        <v>0</v>
      </c>
      <c r="NS36" s="418">
        <f t="shared" si="110"/>
        <v>0</v>
      </c>
      <c r="NT36" s="418">
        <f t="shared" si="110"/>
        <v>0</v>
      </c>
      <c r="NU36" s="418">
        <f t="shared" si="110"/>
        <v>0</v>
      </c>
      <c r="NV36" s="418">
        <f t="shared" si="110"/>
        <v>0</v>
      </c>
      <c r="NW36" s="418">
        <f t="shared" si="110"/>
        <v>0</v>
      </c>
      <c r="NX36" s="418">
        <f t="shared" si="110"/>
        <v>0</v>
      </c>
      <c r="NY36" s="418">
        <f t="shared" si="110"/>
        <v>0</v>
      </c>
      <c r="NZ36" s="418">
        <f t="shared" si="110"/>
        <v>0</v>
      </c>
      <c r="OA36" s="418">
        <f t="shared" si="110"/>
        <v>0</v>
      </c>
      <c r="OB36" s="418">
        <f t="shared" si="110"/>
        <v>0</v>
      </c>
      <c r="OC36" s="418">
        <f t="shared" si="110"/>
        <v>0</v>
      </c>
      <c r="OD36" s="418">
        <f t="shared" si="110"/>
        <v>0</v>
      </c>
      <c r="OE36" s="418">
        <f t="shared" si="110"/>
        <v>0</v>
      </c>
      <c r="OF36" s="418">
        <f t="shared" si="110"/>
        <v>0</v>
      </c>
      <c r="OG36" s="418">
        <f t="shared" si="110"/>
        <v>0</v>
      </c>
      <c r="OH36" s="418">
        <f t="shared" si="110"/>
        <v>0</v>
      </c>
      <c r="OI36" s="418">
        <f t="shared" si="110"/>
        <v>0</v>
      </c>
      <c r="OJ36" s="418">
        <f t="shared" si="110"/>
        <v>0</v>
      </c>
      <c r="OK36" s="418">
        <f t="shared" si="110"/>
        <v>0</v>
      </c>
      <c r="OL36" s="418">
        <f t="shared" si="110"/>
        <v>0</v>
      </c>
      <c r="OM36" s="418">
        <f t="shared" si="110"/>
        <v>0</v>
      </c>
      <c r="ON36" s="418">
        <f t="shared" si="110"/>
        <v>0</v>
      </c>
      <c r="OO36" s="418">
        <f t="shared" si="110"/>
        <v>0</v>
      </c>
      <c r="OP36" s="418">
        <f t="shared" si="110"/>
        <v>0</v>
      </c>
      <c r="OQ36" s="418">
        <f t="shared" si="110"/>
        <v>0</v>
      </c>
      <c r="OR36" s="418">
        <f t="shared" si="110"/>
        <v>0</v>
      </c>
      <c r="OS36" s="418">
        <f t="shared" si="110"/>
        <v>0</v>
      </c>
      <c r="OT36" s="418">
        <f t="shared" si="110"/>
        <v>0</v>
      </c>
      <c r="OU36" s="418">
        <f t="shared" si="110"/>
        <v>0</v>
      </c>
      <c r="OV36" s="418">
        <f t="shared" si="110"/>
        <v>0</v>
      </c>
      <c r="OW36" s="418">
        <f t="shared" si="110"/>
        <v>0</v>
      </c>
      <c r="OX36" s="418">
        <f t="shared" si="110"/>
        <v>0</v>
      </c>
      <c r="OY36" s="418">
        <f t="shared" si="110"/>
        <v>0</v>
      </c>
      <c r="OZ36" s="418">
        <f t="shared" si="110"/>
        <v>0</v>
      </c>
      <c r="PA36" s="418">
        <f t="shared" si="110"/>
        <v>0</v>
      </c>
      <c r="PB36" s="418">
        <f t="shared" si="110"/>
        <v>0</v>
      </c>
      <c r="PC36" s="418">
        <f t="shared" si="110"/>
        <v>0</v>
      </c>
      <c r="PD36" s="418">
        <f t="shared" si="110"/>
        <v>0</v>
      </c>
      <c r="PE36" s="418">
        <f t="shared" si="111"/>
        <v>0</v>
      </c>
      <c r="PF36" s="418">
        <f t="shared" si="111"/>
        <v>0</v>
      </c>
      <c r="PG36" s="418">
        <f t="shared" si="111"/>
        <v>0</v>
      </c>
      <c r="PH36" s="418">
        <f t="shared" si="111"/>
        <v>0</v>
      </c>
    </row>
    <row r="37" spans="1:424" x14ac:dyDescent="0.35">
      <c r="A37"/>
      <c r="B37" s="426" t="s">
        <v>151</v>
      </c>
      <c r="C37" s="450">
        <f>$E$34</f>
        <v>36</v>
      </c>
      <c r="D37" s="45"/>
      <c r="E37" s="257">
        <f>$E$34</f>
        <v>36</v>
      </c>
      <c r="F37" s="414" t="s">
        <v>142</v>
      </c>
      <c r="G37" s="42">
        <f>I37/Units_SF_M2</f>
        <v>0</v>
      </c>
      <c r="H37" s="420"/>
      <c r="I37" s="883">
        <f>0</f>
        <v>0</v>
      </c>
      <c r="J37"/>
      <c r="K37" s="22" t="str">
        <f>IF(ROUND(SUM(L37:EN37),0)=ROUND(I37,0),"","Incomplete")</f>
        <v/>
      </c>
      <c r="L37" s="422">
        <f t="shared" si="85"/>
        <v>0</v>
      </c>
      <c r="M37" s="422">
        <f t="shared" si="85"/>
        <v>0</v>
      </c>
      <c r="N37" s="422">
        <f t="shared" si="85"/>
        <v>0</v>
      </c>
      <c r="O37" s="422">
        <f t="shared" si="85"/>
        <v>0</v>
      </c>
      <c r="P37" s="422">
        <f t="shared" si="85"/>
        <v>0</v>
      </c>
      <c r="Q37" s="422">
        <f t="shared" si="85"/>
        <v>0</v>
      </c>
      <c r="R37" s="422">
        <f t="shared" si="85"/>
        <v>0</v>
      </c>
      <c r="S37" s="422">
        <f t="shared" si="85"/>
        <v>0</v>
      </c>
      <c r="T37" s="422">
        <f t="shared" si="85"/>
        <v>0</v>
      </c>
      <c r="U37" s="422">
        <f t="shared" si="85"/>
        <v>0</v>
      </c>
      <c r="V37" s="422">
        <f t="shared" si="86"/>
        <v>0</v>
      </c>
      <c r="W37" s="422">
        <f t="shared" si="86"/>
        <v>0</v>
      </c>
      <c r="X37" s="422">
        <f t="shared" si="86"/>
        <v>0</v>
      </c>
      <c r="Y37" s="422">
        <f t="shared" si="86"/>
        <v>0</v>
      </c>
      <c r="Z37" s="422">
        <f t="shared" si="86"/>
        <v>0</v>
      </c>
      <c r="AA37" s="422">
        <f t="shared" si="86"/>
        <v>0</v>
      </c>
      <c r="AB37" s="422">
        <f t="shared" si="86"/>
        <v>0</v>
      </c>
      <c r="AC37" s="422">
        <f t="shared" si="86"/>
        <v>0</v>
      </c>
      <c r="AD37" s="422">
        <f t="shared" si="86"/>
        <v>0</v>
      </c>
      <c r="AE37" s="422">
        <f t="shared" si="86"/>
        <v>0</v>
      </c>
      <c r="AF37" s="422">
        <f t="shared" si="87"/>
        <v>0</v>
      </c>
      <c r="AG37" s="422">
        <f t="shared" si="87"/>
        <v>0</v>
      </c>
      <c r="AH37" s="422">
        <f t="shared" si="87"/>
        <v>0</v>
      </c>
      <c r="AI37" s="422">
        <f t="shared" si="87"/>
        <v>0</v>
      </c>
      <c r="AJ37" s="422">
        <f t="shared" si="87"/>
        <v>0</v>
      </c>
      <c r="AK37" s="422">
        <f t="shared" si="87"/>
        <v>0</v>
      </c>
      <c r="AL37" s="422">
        <f t="shared" si="87"/>
        <v>0</v>
      </c>
      <c r="AM37" s="422">
        <f t="shared" si="87"/>
        <v>0</v>
      </c>
      <c r="AN37" s="422">
        <f t="shared" si="87"/>
        <v>0</v>
      </c>
      <c r="AO37" s="422">
        <f t="shared" si="87"/>
        <v>0</v>
      </c>
      <c r="AP37" s="422">
        <f t="shared" si="88"/>
        <v>0</v>
      </c>
      <c r="AQ37" s="422">
        <f t="shared" si="88"/>
        <v>0</v>
      </c>
      <c r="AR37" s="422">
        <f t="shared" si="88"/>
        <v>0</v>
      </c>
      <c r="AS37" s="422">
        <f t="shared" si="88"/>
        <v>0</v>
      </c>
      <c r="AT37" s="422">
        <f t="shared" si="88"/>
        <v>0</v>
      </c>
      <c r="AU37" s="422">
        <f t="shared" si="88"/>
        <v>0</v>
      </c>
      <c r="AV37" s="422">
        <f t="shared" si="88"/>
        <v>0</v>
      </c>
      <c r="AW37" s="422">
        <f t="shared" si="88"/>
        <v>0</v>
      </c>
      <c r="AX37" s="422">
        <f t="shared" si="88"/>
        <v>0</v>
      </c>
      <c r="AY37" s="422">
        <f t="shared" si="88"/>
        <v>0</v>
      </c>
      <c r="AZ37" s="422">
        <f t="shared" si="89"/>
        <v>0</v>
      </c>
      <c r="BA37" s="422">
        <f t="shared" si="89"/>
        <v>0</v>
      </c>
      <c r="BB37" s="422">
        <f t="shared" si="89"/>
        <v>0</v>
      </c>
      <c r="BC37" s="422">
        <f t="shared" si="89"/>
        <v>0</v>
      </c>
      <c r="BD37" s="422">
        <f t="shared" si="89"/>
        <v>0</v>
      </c>
      <c r="BE37" s="422">
        <f t="shared" si="89"/>
        <v>0</v>
      </c>
      <c r="BF37" s="422">
        <f t="shared" si="89"/>
        <v>0</v>
      </c>
      <c r="BG37" s="422">
        <f t="shared" si="89"/>
        <v>0</v>
      </c>
      <c r="BH37" s="422">
        <f t="shared" si="89"/>
        <v>0</v>
      </c>
      <c r="BI37" s="422">
        <f t="shared" si="89"/>
        <v>0</v>
      </c>
      <c r="BJ37" s="422">
        <f t="shared" si="90"/>
        <v>0</v>
      </c>
      <c r="BK37" s="422">
        <f t="shared" si="90"/>
        <v>0</v>
      </c>
      <c r="BL37" s="422">
        <f t="shared" si="90"/>
        <v>0</v>
      </c>
      <c r="BM37" s="422">
        <f t="shared" si="90"/>
        <v>0</v>
      </c>
      <c r="BN37" s="422">
        <f t="shared" si="90"/>
        <v>0</v>
      </c>
      <c r="BO37" s="422">
        <f t="shared" si="90"/>
        <v>0</v>
      </c>
      <c r="BP37" s="422">
        <f t="shared" si="90"/>
        <v>0</v>
      </c>
      <c r="BQ37" s="422">
        <f t="shared" si="90"/>
        <v>0</v>
      </c>
      <c r="BR37" s="422">
        <f t="shared" si="90"/>
        <v>0</v>
      </c>
      <c r="BS37" s="422">
        <f t="shared" si="90"/>
        <v>0</v>
      </c>
      <c r="BT37" s="422">
        <f t="shared" si="91"/>
        <v>0</v>
      </c>
      <c r="BU37" s="422">
        <f t="shared" si="91"/>
        <v>0</v>
      </c>
      <c r="BV37" s="422">
        <f t="shared" si="91"/>
        <v>0</v>
      </c>
      <c r="BW37" s="422">
        <f t="shared" si="91"/>
        <v>0</v>
      </c>
      <c r="BX37" s="422">
        <f t="shared" si="91"/>
        <v>0</v>
      </c>
      <c r="BY37" s="422">
        <f t="shared" si="91"/>
        <v>0</v>
      </c>
      <c r="BZ37" s="422">
        <f t="shared" si="91"/>
        <v>0</v>
      </c>
      <c r="CA37" s="422">
        <f t="shared" si="91"/>
        <v>0</v>
      </c>
      <c r="CB37" s="422">
        <f t="shared" si="91"/>
        <v>0</v>
      </c>
      <c r="CC37" s="422">
        <f t="shared" si="91"/>
        <v>0</v>
      </c>
      <c r="CD37" s="422">
        <f t="shared" si="92"/>
        <v>0</v>
      </c>
      <c r="CE37" s="422">
        <f t="shared" si="92"/>
        <v>0</v>
      </c>
      <c r="CF37" s="422">
        <f t="shared" si="92"/>
        <v>0</v>
      </c>
      <c r="CG37" s="422">
        <f t="shared" si="92"/>
        <v>0</v>
      </c>
      <c r="CH37" s="422">
        <f t="shared" si="92"/>
        <v>0</v>
      </c>
      <c r="CI37" s="422">
        <f t="shared" si="92"/>
        <v>0</v>
      </c>
      <c r="CJ37" s="422">
        <f t="shared" si="92"/>
        <v>0</v>
      </c>
      <c r="CK37" s="422">
        <f t="shared" si="92"/>
        <v>0</v>
      </c>
      <c r="CL37" s="422">
        <f t="shared" si="92"/>
        <v>0</v>
      </c>
      <c r="CM37" s="422">
        <f t="shared" si="92"/>
        <v>0</v>
      </c>
      <c r="CN37" s="422">
        <f t="shared" si="93"/>
        <v>0</v>
      </c>
      <c r="CO37" s="422">
        <f t="shared" si="93"/>
        <v>0</v>
      </c>
      <c r="CP37" s="422">
        <f t="shared" si="93"/>
        <v>0</v>
      </c>
      <c r="CQ37" s="422">
        <f t="shared" si="93"/>
        <v>0</v>
      </c>
      <c r="CR37" s="422">
        <f t="shared" si="93"/>
        <v>0</v>
      </c>
      <c r="CS37" s="422">
        <f t="shared" si="93"/>
        <v>0</v>
      </c>
      <c r="CT37" s="422">
        <f t="shared" si="93"/>
        <v>0</v>
      </c>
      <c r="CU37" s="422">
        <f t="shared" si="93"/>
        <v>0</v>
      </c>
      <c r="CV37" s="422">
        <f t="shared" si="93"/>
        <v>0</v>
      </c>
      <c r="CW37" s="422">
        <f t="shared" si="93"/>
        <v>0</v>
      </c>
      <c r="CX37" s="422">
        <f t="shared" si="94"/>
        <v>0</v>
      </c>
      <c r="CY37" s="422">
        <f t="shared" si="94"/>
        <v>0</v>
      </c>
      <c r="CZ37" s="422">
        <f t="shared" si="94"/>
        <v>0</v>
      </c>
      <c r="DA37" s="422">
        <f t="shared" si="94"/>
        <v>0</v>
      </c>
      <c r="DB37" s="422">
        <f t="shared" si="94"/>
        <v>0</v>
      </c>
      <c r="DC37" s="422">
        <f t="shared" si="94"/>
        <v>0</v>
      </c>
      <c r="DD37" s="422">
        <f t="shared" si="94"/>
        <v>0</v>
      </c>
      <c r="DE37" s="422">
        <f t="shared" si="94"/>
        <v>0</v>
      </c>
      <c r="DF37" s="422">
        <f t="shared" si="94"/>
        <v>0</v>
      </c>
      <c r="DG37" s="422">
        <f t="shared" si="94"/>
        <v>0</v>
      </c>
      <c r="DH37" s="422">
        <f t="shared" si="95"/>
        <v>0</v>
      </c>
      <c r="DI37" s="422">
        <f t="shared" si="95"/>
        <v>0</v>
      </c>
      <c r="DJ37" s="422">
        <f t="shared" si="95"/>
        <v>0</v>
      </c>
      <c r="DK37" s="422">
        <f t="shared" si="95"/>
        <v>0</v>
      </c>
      <c r="DL37" s="422">
        <f t="shared" si="95"/>
        <v>0</v>
      </c>
      <c r="DM37" s="422">
        <f t="shared" si="95"/>
        <v>0</v>
      </c>
      <c r="DN37" s="422">
        <f t="shared" si="95"/>
        <v>0</v>
      </c>
      <c r="DO37" s="422">
        <f t="shared" si="95"/>
        <v>0</v>
      </c>
      <c r="DP37" s="422">
        <f t="shared" si="95"/>
        <v>0</v>
      </c>
      <c r="DQ37" s="422">
        <f t="shared" si="95"/>
        <v>0</v>
      </c>
      <c r="DR37" s="422">
        <f t="shared" si="96"/>
        <v>0</v>
      </c>
      <c r="DS37" s="422">
        <f t="shared" si="96"/>
        <v>0</v>
      </c>
      <c r="DT37" s="422">
        <f t="shared" si="96"/>
        <v>0</v>
      </c>
      <c r="DU37" s="422">
        <f t="shared" si="96"/>
        <v>0</v>
      </c>
      <c r="DV37" s="422">
        <f t="shared" si="96"/>
        <v>0</v>
      </c>
      <c r="DW37" s="422">
        <f t="shared" si="96"/>
        <v>0</v>
      </c>
      <c r="DX37" s="422">
        <f t="shared" si="96"/>
        <v>0</v>
      </c>
      <c r="DY37" s="422">
        <f t="shared" si="96"/>
        <v>0</v>
      </c>
      <c r="DZ37" s="422">
        <f t="shared" si="96"/>
        <v>0</v>
      </c>
      <c r="EA37" s="422">
        <f t="shared" si="96"/>
        <v>0</v>
      </c>
      <c r="EB37" s="422">
        <f t="shared" si="97"/>
        <v>0</v>
      </c>
      <c r="EC37" s="422">
        <f t="shared" si="97"/>
        <v>0</v>
      </c>
      <c r="ED37" s="422">
        <f t="shared" si="97"/>
        <v>0</v>
      </c>
      <c r="EE37" s="422">
        <f t="shared" si="97"/>
        <v>0</v>
      </c>
      <c r="EF37" s="422">
        <f t="shared" si="97"/>
        <v>0</v>
      </c>
      <c r="EG37" s="422">
        <f t="shared" si="97"/>
        <v>0</v>
      </c>
      <c r="EH37" s="422">
        <f t="shared" si="97"/>
        <v>0</v>
      </c>
      <c r="EI37" s="422">
        <f t="shared" si="97"/>
        <v>0</v>
      </c>
      <c r="EJ37" s="422">
        <f t="shared" si="97"/>
        <v>0</v>
      </c>
      <c r="EK37" s="422">
        <f t="shared" si="97"/>
        <v>0</v>
      </c>
      <c r="EL37" s="422">
        <f t="shared" si="98"/>
        <v>0</v>
      </c>
      <c r="EM37" s="422">
        <f t="shared" si="98"/>
        <v>0</v>
      </c>
      <c r="EN37" s="422">
        <f t="shared" si="98"/>
        <v>0</v>
      </c>
      <c r="EO37"/>
      <c r="EP37" s="220">
        <f>I37</f>
        <v>0</v>
      </c>
      <c r="EQ37" s="201">
        <f>INDEX($L$24:$EN$24,1,$D37+1)</f>
        <v>46203</v>
      </c>
      <c r="ER37" s="201">
        <f>INDEX($L$24:$EN$24,1,$E37+1)</f>
        <v>47299</v>
      </c>
      <c r="ES37" s="20">
        <f>+E37-D37+1</f>
        <v>37</v>
      </c>
      <c r="ET37" s="18" t="str">
        <f>F37</f>
        <v>Straight-Line</v>
      </c>
      <c r="EU37" s="79">
        <f>ES37/Scurve_Dist</f>
        <v>6.166666666666667</v>
      </c>
      <c r="EV37" s="20">
        <f t="shared" si="99"/>
        <v>0</v>
      </c>
      <c r="EW37" s="20">
        <f t="shared" si="99"/>
        <v>0</v>
      </c>
      <c r="EX37" s="20">
        <f t="shared" si="99"/>
        <v>0</v>
      </c>
      <c r="EY37" s="20">
        <f t="shared" si="99"/>
        <v>0</v>
      </c>
      <c r="EZ37" s="20">
        <f t="shared" si="99"/>
        <v>0</v>
      </c>
      <c r="FA37" s="20">
        <f t="shared" si="99"/>
        <v>0</v>
      </c>
      <c r="FB37" s="20">
        <f t="shared" si="99"/>
        <v>0</v>
      </c>
      <c r="FC37" s="20">
        <f t="shared" si="99"/>
        <v>0</v>
      </c>
      <c r="FD37" s="20">
        <f t="shared" si="99"/>
        <v>0</v>
      </c>
      <c r="FE37" s="20">
        <f t="shared" si="99"/>
        <v>0</v>
      </c>
      <c r="FF37" s="20">
        <f t="shared" si="99"/>
        <v>0</v>
      </c>
      <c r="FG37" s="20">
        <f t="shared" si="99"/>
        <v>0</v>
      </c>
      <c r="FH37" s="20">
        <f t="shared" si="99"/>
        <v>0</v>
      </c>
      <c r="FI37" s="20">
        <f t="shared" si="99"/>
        <v>0</v>
      </c>
      <c r="FJ37" s="20">
        <f t="shared" si="99"/>
        <v>0</v>
      </c>
      <c r="FK37" s="20">
        <f t="shared" si="99"/>
        <v>0</v>
      </c>
      <c r="FL37" s="20">
        <f t="shared" si="100"/>
        <v>0</v>
      </c>
      <c r="FM37" s="20">
        <f t="shared" si="100"/>
        <v>0</v>
      </c>
      <c r="FN37" s="20">
        <f t="shared" si="100"/>
        <v>0</v>
      </c>
      <c r="FO37" s="20">
        <f t="shared" si="100"/>
        <v>0</v>
      </c>
      <c r="FP37" s="20">
        <f t="shared" si="100"/>
        <v>0</v>
      </c>
      <c r="FQ37" s="20">
        <f t="shared" si="100"/>
        <v>0</v>
      </c>
      <c r="FR37" s="20">
        <f t="shared" si="100"/>
        <v>0</v>
      </c>
      <c r="FS37" s="20">
        <f t="shared" si="100"/>
        <v>0</v>
      </c>
      <c r="FT37" s="20">
        <f t="shared" si="100"/>
        <v>0</v>
      </c>
      <c r="FU37" s="20">
        <f t="shared" si="100"/>
        <v>0</v>
      </c>
      <c r="FV37" s="20">
        <f t="shared" si="100"/>
        <v>0</v>
      </c>
      <c r="FW37" s="20">
        <f t="shared" si="100"/>
        <v>0</v>
      </c>
      <c r="FX37" s="20">
        <f t="shared" si="100"/>
        <v>0</v>
      </c>
      <c r="FY37" s="20">
        <f t="shared" si="100"/>
        <v>0</v>
      </c>
      <c r="FZ37" s="20">
        <f t="shared" si="100"/>
        <v>0</v>
      </c>
      <c r="GA37" s="20">
        <f t="shared" si="100"/>
        <v>0</v>
      </c>
      <c r="GB37" s="20">
        <f t="shared" si="101"/>
        <v>0</v>
      </c>
      <c r="GC37" s="20">
        <f t="shared" si="101"/>
        <v>0</v>
      </c>
      <c r="GD37" s="20">
        <f t="shared" si="101"/>
        <v>0</v>
      </c>
      <c r="GE37" s="20">
        <f t="shared" si="101"/>
        <v>0</v>
      </c>
      <c r="GF37" s="20">
        <f t="shared" si="101"/>
        <v>0</v>
      </c>
      <c r="GG37" s="20">
        <f t="shared" si="101"/>
        <v>0</v>
      </c>
      <c r="GH37" s="20">
        <f t="shared" si="101"/>
        <v>0</v>
      </c>
      <c r="GI37" s="20">
        <f t="shared" si="101"/>
        <v>0</v>
      </c>
      <c r="GJ37" s="20">
        <f t="shared" si="101"/>
        <v>0</v>
      </c>
      <c r="GK37" s="20">
        <f t="shared" si="101"/>
        <v>0</v>
      </c>
      <c r="GL37" s="20">
        <f t="shared" si="101"/>
        <v>0</v>
      </c>
      <c r="GM37" s="20">
        <f t="shared" si="101"/>
        <v>0</v>
      </c>
      <c r="GN37" s="20">
        <f t="shared" si="101"/>
        <v>0</v>
      </c>
      <c r="GO37" s="20">
        <f t="shared" si="101"/>
        <v>0</v>
      </c>
      <c r="GP37" s="20">
        <f t="shared" si="101"/>
        <v>0</v>
      </c>
      <c r="GQ37" s="20">
        <f t="shared" si="101"/>
        <v>0</v>
      </c>
      <c r="GR37" s="20">
        <f t="shared" si="102"/>
        <v>0</v>
      </c>
      <c r="GS37" s="20">
        <f t="shared" si="102"/>
        <v>0</v>
      </c>
      <c r="GT37" s="20">
        <f t="shared" si="102"/>
        <v>0</v>
      </c>
      <c r="GU37" s="20">
        <f t="shared" si="102"/>
        <v>0</v>
      </c>
      <c r="GV37" s="20">
        <f t="shared" si="102"/>
        <v>0</v>
      </c>
      <c r="GW37" s="20">
        <f t="shared" si="102"/>
        <v>0</v>
      </c>
      <c r="GX37" s="20">
        <f t="shared" si="102"/>
        <v>0</v>
      </c>
      <c r="GY37" s="20">
        <f t="shared" si="102"/>
        <v>0</v>
      </c>
      <c r="GZ37" s="20">
        <f t="shared" si="102"/>
        <v>0</v>
      </c>
      <c r="HA37" s="20">
        <f t="shared" si="102"/>
        <v>0</v>
      </c>
      <c r="HB37" s="20">
        <f t="shared" si="102"/>
        <v>0</v>
      </c>
      <c r="HC37" s="20">
        <f t="shared" si="102"/>
        <v>0</v>
      </c>
      <c r="HD37" s="20">
        <f t="shared" si="102"/>
        <v>0</v>
      </c>
      <c r="HE37" s="20">
        <f t="shared" si="102"/>
        <v>0</v>
      </c>
      <c r="HF37" s="20">
        <f t="shared" si="102"/>
        <v>0</v>
      </c>
      <c r="HG37" s="20">
        <f t="shared" si="102"/>
        <v>0</v>
      </c>
      <c r="HH37" s="20">
        <f t="shared" si="103"/>
        <v>0</v>
      </c>
      <c r="HI37" s="20">
        <f t="shared" si="103"/>
        <v>0</v>
      </c>
      <c r="HJ37" s="20">
        <f t="shared" si="103"/>
        <v>0</v>
      </c>
      <c r="HK37" s="20">
        <f t="shared" si="103"/>
        <v>0</v>
      </c>
      <c r="HL37" s="20">
        <f t="shared" si="103"/>
        <v>0</v>
      </c>
      <c r="HM37" s="20">
        <f t="shared" si="103"/>
        <v>0</v>
      </c>
      <c r="HN37" s="20">
        <f t="shared" si="103"/>
        <v>0</v>
      </c>
      <c r="HO37" s="20">
        <f t="shared" si="103"/>
        <v>0</v>
      </c>
      <c r="HP37" s="20">
        <f t="shared" si="103"/>
        <v>0</v>
      </c>
      <c r="HQ37" s="20">
        <f t="shared" si="103"/>
        <v>0</v>
      </c>
      <c r="HR37" s="20">
        <f t="shared" si="103"/>
        <v>0</v>
      </c>
      <c r="HS37" s="20">
        <f t="shared" si="103"/>
        <v>0</v>
      </c>
      <c r="HT37" s="20">
        <f t="shared" si="103"/>
        <v>0</v>
      </c>
      <c r="HU37" s="20">
        <f t="shared" si="103"/>
        <v>0</v>
      </c>
      <c r="HV37" s="20">
        <f t="shared" si="103"/>
        <v>0</v>
      </c>
      <c r="HW37" s="20">
        <f t="shared" si="103"/>
        <v>0</v>
      </c>
      <c r="HX37" s="20">
        <f t="shared" si="104"/>
        <v>0</v>
      </c>
      <c r="HY37" s="20">
        <f t="shared" si="104"/>
        <v>0</v>
      </c>
      <c r="HZ37" s="20">
        <f t="shared" si="104"/>
        <v>0</v>
      </c>
      <c r="IA37" s="20">
        <f t="shared" si="104"/>
        <v>0</v>
      </c>
      <c r="IB37" s="20">
        <f t="shared" si="104"/>
        <v>0</v>
      </c>
      <c r="IC37" s="20">
        <f t="shared" si="104"/>
        <v>0</v>
      </c>
      <c r="ID37" s="20">
        <f t="shared" si="104"/>
        <v>0</v>
      </c>
      <c r="IE37" s="20">
        <f t="shared" si="104"/>
        <v>0</v>
      </c>
      <c r="IF37" s="20">
        <f t="shared" si="104"/>
        <v>0</v>
      </c>
      <c r="IG37" s="20">
        <f t="shared" si="104"/>
        <v>0</v>
      </c>
      <c r="IH37" s="20">
        <f t="shared" si="104"/>
        <v>0</v>
      </c>
      <c r="II37" s="20">
        <f t="shared" si="104"/>
        <v>0</v>
      </c>
      <c r="IJ37" s="20">
        <f t="shared" si="104"/>
        <v>0</v>
      </c>
      <c r="IK37" s="20">
        <f t="shared" si="104"/>
        <v>0</v>
      </c>
      <c r="IL37" s="20">
        <f t="shared" si="104"/>
        <v>0</v>
      </c>
      <c r="IM37" s="20">
        <f t="shared" si="104"/>
        <v>0</v>
      </c>
      <c r="IN37" s="20">
        <f t="shared" si="105"/>
        <v>0</v>
      </c>
      <c r="IO37" s="20">
        <f t="shared" si="105"/>
        <v>0</v>
      </c>
      <c r="IP37" s="20">
        <f t="shared" si="105"/>
        <v>0</v>
      </c>
      <c r="IQ37" s="20">
        <f t="shared" si="105"/>
        <v>0</v>
      </c>
      <c r="IR37" s="20">
        <f t="shared" si="105"/>
        <v>0</v>
      </c>
      <c r="IS37" s="20">
        <f t="shared" si="105"/>
        <v>0</v>
      </c>
      <c r="IT37" s="20">
        <f t="shared" si="105"/>
        <v>0</v>
      </c>
      <c r="IU37" s="20">
        <f t="shared" si="105"/>
        <v>0</v>
      </c>
      <c r="IV37" s="20">
        <f t="shared" si="105"/>
        <v>0</v>
      </c>
      <c r="IW37" s="20">
        <f t="shared" si="105"/>
        <v>0</v>
      </c>
      <c r="IX37" s="20">
        <f t="shared" si="105"/>
        <v>0</v>
      </c>
      <c r="IY37" s="20">
        <f t="shared" si="105"/>
        <v>0</v>
      </c>
      <c r="IZ37" s="20">
        <f t="shared" si="105"/>
        <v>0</v>
      </c>
      <c r="JA37" s="20">
        <f t="shared" si="105"/>
        <v>0</v>
      </c>
      <c r="JB37" s="20">
        <f t="shared" si="105"/>
        <v>0</v>
      </c>
      <c r="JC37" s="20">
        <f t="shared" si="105"/>
        <v>0</v>
      </c>
      <c r="JD37" s="20">
        <f t="shared" si="106"/>
        <v>0</v>
      </c>
      <c r="JE37" s="20">
        <f t="shared" si="106"/>
        <v>0</v>
      </c>
      <c r="JF37" s="20">
        <f t="shared" si="106"/>
        <v>0</v>
      </c>
      <c r="JG37" s="20">
        <f t="shared" si="106"/>
        <v>0</v>
      </c>
      <c r="JH37" s="20">
        <f t="shared" si="106"/>
        <v>0</v>
      </c>
      <c r="JI37" s="20">
        <f t="shared" si="106"/>
        <v>0</v>
      </c>
      <c r="JJ37" s="20">
        <f t="shared" si="106"/>
        <v>0</v>
      </c>
      <c r="JK37" s="20">
        <f t="shared" si="106"/>
        <v>0</v>
      </c>
      <c r="JL37" s="20">
        <f t="shared" si="106"/>
        <v>0</v>
      </c>
      <c r="JM37" s="20">
        <f t="shared" si="106"/>
        <v>0</v>
      </c>
      <c r="JN37" s="20">
        <f t="shared" si="106"/>
        <v>0</v>
      </c>
      <c r="JO37" s="20">
        <f t="shared" si="106"/>
        <v>0</v>
      </c>
      <c r="JP37" s="20">
        <f t="shared" si="106"/>
        <v>0</v>
      </c>
      <c r="JQ37" s="20">
        <f t="shared" si="106"/>
        <v>0</v>
      </c>
      <c r="JR37" s="20">
        <f t="shared" si="106"/>
        <v>0</v>
      </c>
      <c r="JS37" s="20">
        <f t="shared" si="106"/>
        <v>0</v>
      </c>
      <c r="JT37" s="20">
        <f t="shared" si="107"/>
        <v>0</v>
      </c>
      <c r="JU37" s="20">
        <f t="shared" si="107"/>
        <v>0</v>
      </c>
      <c r="JV37" s="20">
        <f t="shared" si="107"/>
        <v>0</v>
      </c>
      <c r="JW37" s="20">
        <f t="shared" si="107"/>
        <v>0</v>
      </c>
      <c r="JX37" s="20">
        <f t="shared" si="107"/>
        <v>0</v>
      </c>
      <c r="JY37"/>
      <c r="JZ37" s="220" t="str">
        <f t="shared" si="51"/>
        <v>Staged operating funding sources (funding bridge only)</v>
      </c>
      <c r="KA37" s="201"/>
      <c r="KB37" s="20">
        <f t="shared" si="108"/>
        <v>0</v>
      </c>
      <c r="KC37" s="20">
        <f t="shared" si="108"/>
        <v>36</v>
      </c>
      <c r="KD37" s="20">
        <f>KC37-KB37+1</f>
        <v>37</v>
      </c>
      <c r="KE37" s="418">
        <f>I37</f>
        <v>0</v>
      </c>
      <c r="KF37" s="418">
        <f>AND(KF$23&gt;=$KB37,KF$23&lt;=$KC37)*(IF($F37="Steady Growth",KF$23-$KB37,$KC37-KF$23)+1)/($KD37*($KD37+1)/2)*$KE37</f>
        <v>0</v>
      </c>
      <c r="KG37" s="418">
        <f t="shared" si="109"/>
        <v>0</v>
      </c>
      <c r="KH37" s="418">
        <f t="shared" si="109"/>
        <v>0</v>
      </c>
      <c r="KI37" s="418">
        <f t="shared" si="109"/>
        <v>0</v>
      </c>
      <c r="KJ37" s="418">
        <f t="shared" si="109"/>
        <v>0</v>
      </c>
      <c r="KK37" s="418">
        <f t="shared" si="109"/>
        <v>0</v>
      </c>
      <c r="KL37" s="418">
        <f t="shared" si="109"/>
        <v>0</v>
      </c>
      <c r="KM37" s="418">
        <f t="shared" si="109"/>
        <v>0</v>
      </c>
      <c r="KN37" s="418">
        <f t="shared" si="109"/>
        <v>0</v>
      </c>
      <c r="KO37" s="418">
        <f t="shared" si="109"/>
        <v>0</v>
      </c>
      <c r="KP37" s="418">
        <f t="shared" si="109"/>
        <v>0</v>
      </c>
      <c r="KQ37" s="418">
        <f t="shared" si="109"/>
        <v>0</v>
      </c>
      <c r="KR37" s="418">
        <f t="shared" si="109"/>
        <v>0</v>
      </c>
      <c r="KS37" s="418">
        <f t="shared" si="109"/>
        <v>0</v>
      </c>
      <c r="KT37" s="418">
        <f t="shared" si="109"/>
        <v>0</v>
      </c>
      <c r="KU37" s="418">
        <f t="shared" si="109"/>
        <v>0</v>
      </c>
      <c r="KV37" s="418">
        <f t="shared" si="109"/>
        <v>0</v>
      </c>
      <c r="KW37" s="418">
        <f t="shared" si="109"/>
        <v>0</v>
      </c>
      <c r="KX37" s="418">
        <f t="shared" si="109"/>
        <v>0</v>
      </c>
      <c r="KY37" s="418">
        <f t="shared" si="109"/>
        <v>0</v>
      </c>
      <c r="KZ37" s="418">
        <f t="shared" si="109"/>
        <v>0</v>
      </c>
      <c r="LA37" s="418">
        <f t="shared" si="109"/>
        <v>0</v>
      </c>
      <c r="LB37" s="418">
        <f t="shared" si="109"/>
        <v>0</v>
      </c>
      <c r="LC37" s="418">
        <f t="shared" si="109"/>
        <v>0</v>
      </c>
      <c r="LD37" s="418">
        <f t="shared" si="109"/>
        <v>0</v>
      </c>
      <c r="LE37" s="418">
        <f t="shared" si="109"/>
        <v>0</v>
      </c>
      <c r="LF37" s="418">
        <f t="shared" si="109"/>
        <v>0</v>
      </c>
      <c r="LG37" s="418">
        <f t="shared" si="109"/>
        <v>0</v>
      </c>
      <c r="LH37" s="418">
        <f t="shared" si="109"/>
        <v>0</v>
      </c>
      <c r="LI37" s="418">
        <f t="shared" si="109"/>
        <v>0</v>
      </c>
      <c r="LJ37" s="418">
        <f t="shared" si="109"/>
        <v>0</v>
      </c>
      <c r="LK37" s="418">
        <f t="shared" si="109"/>
        <v>0</v>
      </c>
      <c r="LL37" s="418">
        <f t="shared" si="109"/>
        <v>0</v>
      </c>
      <c r="LM37" s="418">
        <f t="shared" si="109"/>
        <v>0</v>
      </c>
      <c r="LN37" s="418">
        <f t="shared" si="109"/>
        <v>0</v>
      </c>
      <c r="LO37" s="418">
        <f t="shared" si="109"/>
        <v>0</v>
      </c>
      <c r="LP37" s="418">
        <f t="shared" si="109"/>
        <v>0</v>
      </c>
      <c r="LQ37" s="418">
        <f t="shared" si="109"/>
        <v>0</v>
      </c>
      <c r="LR37" s="418">
        <f t="shared" si="109"/>
        <v>0</v>
      </c>
      <c r="LS37" s="418">
        <f t="shared" si="109"/>
        <v>0</v>
      </c>
      <c r="LT37" s="418">
        <f t="shared" si="109"/>
        <v>0</v>
      </c>
      <c r="LU37" s="418">
        <f t="shared" si="109"/>
        <v>0</v>
      </c>
      <c r="LV37" s="418">
        <f t="shared" si="109"/>
        <v>0</v>
      </c>
      <c r="LW37" s="418">
        <f t="shared" si="109"/>
        <v>0</v>
      </c>
      <c r="LX37" s="418">
        <f t="shared" si="109"/>
        <v>0</v>
      </c>
      <c r="LY37" s="418">
        <f t="shared" si="109"/>
        <v>0</v>
      </c>
      <c r="LZ37" s="418">
        <f t="shared" si="109"/>
        <v>0</v>
      </c>
      <c r="MA37" s="418">
        <f t="shared" si="109"/>
        <v>0</v>
      </c>
      <c r="MB37" s="418">
        <f t="shared" si="109"/>
        <v>0</v>
      </c>
      <c r="MC37" s="418">
        <f t="shared" si="109"/>
        <v>0</v>
      </c>
      <c r="MD37" s="418">
        <f t="shared" si="109"/>
        <v>0</v>
      </c>
      <c r="ME37" s="418">
        <f t="shared" si="109"/>
        <v>0</v>
      </c>
      <c r="MF37" s="418">
        <f t="shared" si="109"/>
        <v>0</v>
      </c>
      <c r="MG37" s="418">
        <f t="shared" si="109"/>
        <v>0</v>
      </c>
      <c r="MH37" s="418">
        <f t="shared" si="109"/>
        <v>0</v>
      </c>
      <c r="MI37" s="418">
        <f t="shared" si="109"/>
        <v>0</v>
      </c>
      <c r="MJ37" s="418">
        <f t="shared" si="109"/>
        <v>0</v>
      </c>
      <c r="MK37" s="418">
        <f t="shared" si="109"/>
        <v>0</v>
      </c>
      <c r="ML37" s="418">
        <f t="shared" si="109"/>
        <v>0</v>
      </c>
      <c r="MM37" s="418">
        <f t="shared" si="109"/>
        <v>0</v>
      </c>
      <c r="MN37" s="418">
        <f t="shared" si="109"/>
        <v>0</v>
      </c>
      <c r="MO37" s="418">
        <f t="shared" si="109"/>
        <v>0</v>
      </c>
      <c r="MP37" s="418">
        <f t="shared" si="109"/>
        <v>0</v>
      </c>
      <c r="MQ37" s="418">
        <f t="shared" si="109"/>
        <v>0</v>
      </c>
      <c r="MR37" s="418">
        <f>AND(MR$23&gt;=$KB37,MR$23&lt;=$KC37)*(IF($F37="Steady Growth",MR$23-$KB37,$KC37-MR$23)+1)/($KD37*($KD37+1)/2)*$KE37</f>
        <v>0</v>
      </c>
      <c r="MS37" s="418">
        <f t="shared" si="110"/>
        <v>0</v>
      </c>
      <c r="MT37" s="418">
        <f t="shared" si="110"/>
        <v>0</v>
      </c>
      <c r="MU37" s="418">
        <f t="shared" si="110"/>
        <v>0</v>
      </c>
      <c r="MV37" s="418">
        <f t="shared" si="110"/>
        <v>0</v>
      </c>
      <c r="MW37" s="418">
        <f t="shared" si="110"/>
        <v>0</v>
      </c>
      <c r="MX37" s="418">
        <f t="shared" si="110"/>
        <v>0</v>
      </c>
      <c r="MY37" s="418">
        <f t="shared" si="110"/>
        <v>0</v>
      </c>
      <c r="MZ37" s="418">
        <f t="shared" si="110"/>
        <v>0</v>
      </c>
      <c r="NA37" s="418">
        <f t="shared" si="110"/>
        <v>0</v>
      </c>
      <c r="NB37" s="418">
        <f t="shared" si="110"/>
        <v>0</v>
      </c>
      <c r="NC37" s="418">
        <f t="shared" si="110"/>
        <v>0</v>
      </c>
      <c r="ND37" s="418">
        <f t="shared" si="110"/>
        <v>0</v>
      </c>
      <c r="NE37" s="418">
        <f t="shared" si="110"/>
        <v>0</v>
      </c>
      <c r="NF37" s="418">
        <f t="shared" si="110"/>
        <v>0</v>
      </c>
      <c r="NG37" s="418">
        <f t="shared" si="110"/>
        <v>0</v>
      </c>
      <c r="NH37" s="418">
        <f t="shared" si="110"/>
        <v>0</v>
      </c>
      <c r="NI37" s="418">
        <f t="shared" si="110"/>
        <v>0</v>
      </c>
      <c r="NJ37" s="418">
        <f t="shared" si="110"/>
        <v>0</v>
      </c>
      <c r="NK37" s="418">
        <f t="shared" si="110"/>
        <v>0</v>
      </c>
      <c r="NL37" s="418">
        <f t="shared" si="110"/>
        <v>0</v>
      </c>
      <c r="NM37" s="418">
        <f t="shared" si="110"/>
        <v>0</v>
      </c>
      <c r="NN37" s="418">
        <f t="shared" si="110"/>
        <v>0</v>
      </c>
      <c r="NO37" s="418">
        <f t="shared" si="110"/>
        <v>0</v>
      </c>
      <c r="NP37" s="418">
        <f t="shared" si="110"/>
        <v>0</v>
      </c>
      <c r="NQ37" s="418">
        <f t="shared" si="110"/>
        <v>0</v>
      </c>
      <c r="NR37" s="418">
        <f t="shared" si="110"/>
        <v>0</v>
      </c>
      <c r="NS37" s="418">
        <f t="shared" si="110"/>
        <v>0</v>
      </c>
      <c r="NT37" s="418">
        <f t="shared" si="110"/>
        <v>0</v>
      </c>
      <c r="NU37" s="418">
        <f t="shared" si="110"/>
        <v>0</v>
      </c>
      <c r="NV37" s="418">
        <f t="shared" si="110"/>
        <v>0</v>
      </c>
      <c r="NW37" s="418">
        <f t="shared" si="110"/>
        <v>0</v>
      </c>
      <c r="NX37" s="418">
        <f t="shared" si="110"/>
        <v>0</v>
      </c>
      <c r="NY37" s="418">
        <f t="shared" si="110"/>
        <v>0</v>
      </c>
      <c r="NZ37" s="418">
        <f t="shared" si="110"/>
        <v>0</v>
      </c>
      <c r="OA37" s="418">
        <f t="shared" si="110"/>
        <v>0</v>
      </c>
      <c r="OB37" s="418">
        <f t="shared" si="110"/>
        <v>0</v>
      </c>
      <c r="OC37" s="418">
        <f t="shared" si="110"/>
        <v>0</v>
      </c>
      <c r="OD37" s="418">
        <f t="shared" si="110"/>
        <v>0</v>
      </c>
      <c r="OE37" s="418">
        <f t="shared" si="110"/>
        <v>0</v>
      </c>
      <c r="OF37" s="418">
        <f t="shared" si="110"/>
        <v>0</v>
      </c>
      <c r="OG37" s="418">
        <f t="shared" si="110"/>
        <v>0</v>
      </c>
      <c r="OH37" s="418">
        <f t="shared" si="110"/>
        <v>0</v>
      </c>
      <c r="OI37" s="418">
        <f t="shared" si="110"/>
        <v>0</v>
      </c>
      <c r="OJ37" s="418">
        <f t="shared" si="110"/>
        <v>0</v>
      </c>
      <c r="OK37" s="418">
        <f t="shared" si="110"/>
        <v>0</v>
      </c>
      <c r="OL37" s="418">
        <f t="shared" si="110"/>
        <v>0</v>
      </c>
      <c r="OM37" s="418">
        <f t="shared" si="110"/>
        <v>0</v>
      </c>
      <c r="ON37" s="418">
        <f t="shared" si="110"/>
        <v>0</v>
      </c>
      <c r="OO37" s="418">
        <f t="shared" si="110"/>
        <v>0</v>
      </c>
      <c r="OP37" s="418">
        <f t="shared" si="110"/>
        <v>0</v>
      </c>
      <c r="OQ37" s="418">
        <f t="shared" si="110"/>
        <v>0</v>
      </c>
      <c r="OR37" s="418">
        <f t="shared" si="110"/>
        <v>0</v>
      </c>
      <c r="OS37" s="418">
        <f t="shared" si="110"/>
        <v>0</v>
      </c>
      <c r="OT37" s="418">
        <f t="shared" si="110"/>
        <v>0</v>
      </c>
      <c r="OU37" s="418">
        <f t="shared" si="110"/>
        <v>0</v>
      </c>
      <c r="OV37" s="418">
        <f t="shared" si="110"/>
        <v>0</v>
      </c>
      <c r="OW37" s="418">
        <f t="shared" si="110"/>
        <v>0</v>
      </c>
      <c r="OX37" s="418">
        <f t="shared" si="110"/>
        <v>0</v>
      </c>
      <c r="OY37" s="418">
        <f t="shared" si="110"/>
        <v>0</v>
      </c>
      <c r="OZ37" s="418">
        <f t="shared" si="110"/>
        <v>0</v>
      </c>
      <c r="PA37" s="418">
        <f t="shared" si="110"/>
        <v>0</v>
      </c>
      <c r="PB37" s="418">
        <f t="shared" si="110"/>
        <v>0</v>
      </c>
      <c r="PC37" s="418">
        <f t="shared" si="110"/>
        <v>0</v>
      </c>
      <c r="PD37" s="418">
        <f>AND(PD$23&gt;=$KB37,PD$23&lt;=$KC37)*(IF($F37="Steady Growth",PD$23-$KB37,$KC37-PD$23)+1)/($KD37*($KD37+1)/2)*$KE37</f>
        <v>0</v>
      </c>
      <c r="PE37" s="418">
        <f t="shared" si="111"/>
        <v>0</v>
      </c>
      <c r="PF37" s="418">
        <f t="shared" si="111"/>
        <v>0</v>
      </c>
      <c r="PG37" s="418">
        <f t="shared" si="111"/>
        <v>0</v>
      </c>
      <c r="PH37" s="418">
        <f t="shared" si="111"/>
        <v>0</v>
      </c>
    </row>
    <row r="38" spans="1:424" x14ac:dyDescent="0.35">
      <c r="A38"/>
      <c r="B38" s="423" t="s">
        <v>152</v>
      </c>
      <c r="C38" s="596">
        <f>MIN(D34:D37)</f>
        <v>0</v>
      </c>
      <c r="D38" s="46"/>
      <c r="E38" s="46">
        <f>MAX(E34:E37)</f>
        <v>36</v>
      </c>
      <c r="F38" s="597">
        <f>SUM(H34:H37)</f>
        <v>0</v>
      </c>
      <c r="G38" s="134"/>
      <c r="H38" s="415"/>
      <c r="I38" s="424">
        <f>SUM(I34:I37)</f>
        <v>356536635.1614815</v>
      </c>
      <c r="J38"/>
      <c r="K38" s="22" t="str">
        <f>IF(ROUND(SUM(L38:EN38),0)=ROUND(I38,0),"","Incomplete")</f>
        <v/>
      </c>
      <c r="L38" s="417">
        <f t="shared" ref="L38:AQ38" si="112">SUM(L34:L37)</f>
        <v>697714.0910358734</v>
      </c>
      <c r="M38" s="417">
        <f t="shared" si="112"/>
        <v>882028.36212584306</v>
      </c>
      <c r="N38" s="417">
        <f t="shared" si="112"/>
        <v>1153238.7592138182</v>
      </c>
      <c r="O38" s="417">
        <f t="shared" si="112"/>
        <v>1540571.8400115801</v>
      </c>
      <c r="P38" s="417">
        <f t="shared" si="112"/>
        <v>2077208.6703043352</v>
      </c>
      <c r="Q38" s="417">
        <f t="shared" si="112"/>
        <v>2798042.1575110573</v>
      </c>
      <c r="R38" s="417">
        <f t="shared" si="112"/>
        <v>3736098.8558910517</v>
      </c>
      <c r="S38" s="417">
        <f t="shared" si="112"/>
        <v>4917681.2983414307</v>
      </c>
      <c r="T38" s="417">
        <f t="shared" si="112"/>
        <v>6356585.443407244</v>
      </c>
      <c r="U38" s="417">
        <f t="shared" si="112"/>
        <v>8048084.8374454733</v>
      </c>
      <c r="V38" s="417">
        <f t="shared" si="112"/>
        <v>9963673.1491933651</v>
      </c>
      <c r="W38" s="417">
        <f t="shared" si="112"/>
        <v>12047726.791351493</v>
      </c>
      <c r="X38" s="417">
        <f t="shared" si="112"/>
        <v>14217202.323856961</v>
      </c>
      <c r="Y38" s="417">
        <f t="shared" si="112"/>
        <v>16365167.698586643</v>
      </c>
      <c r="Z38" s="417">
        <f t="shared" si="112"/>
        <v>18368392.667920161</v>
      </c>
      <c r="AA38" s="417">
        <f t="shared" si="112"/>
        <v>20098477.243874725</v>
      </c>
      <c r="AB38" s="417">
        <f t="shared" si="112"/>
        <v>21435229.253932979</v>
      </c>
      <c r="AC38" s="417">
        <f t="shared" si="112"/>
        <v>22280397.403045714</v>
      </c>
      <c r="AD38" s="417">
        <f t="shared" si="112"/>
        <v>22569593.467381995</v>
      </c>
      <c r="AE38" s="417">
        <f t="shared" si="112"/>
        <v>22280397.403045733</v>
      </c>
      <c r="AF38" s="417">
        <f t="shared" si="112"/>
        <v>21435229.253932942</v>
      </c>
      <c r="AG38" s="417">
        <f t="shared" si="112"/>
        <v>20098477.243874762</v>
      </c>
      <c r="AH38" s="417">
        <f t="shared" si="112"/>
        <v>18368392.667920135</v>
      </c>
      <c r="AI38" s="417">
        <f t="shared" si="112"/>
        <v>16365167.698586643</v>
      </c>
      <c r="AJ38" s="417">
        <f t="shared" si="112"/>
        <v>14217202.323856987</v>
      </c>
      <c r="AK38" s="417">
        <f t="shared" si="112"/>
        <v>12047726.791351464</v>
      </c>
      <c r="AL38" s="417">
        <f t="shared" si="112"/>
        <v>9963673.1491933651</v>
      </c>
      <c r="AM38" s="417">
        <f t="shared" si="112"/>
        <v>8048084.8374454975</v>
      </c>
      <c r="AN38" s="417">
        <f t="shared" si="112"/>
        <v>6356585.4434072273</v>
      </c>
      <c r="AO38" s="417">
        <f t="shared" si="112"/>
        <v>4917681.2983414317</v>
      </c>
      <c r="AP38" s="417">
        <f t="shared" si="112"/>
        <v>3736098.8558910657</v>
      </c>
      <c r="AQ38" s="417">
        <f t="shared" si="112"/>
        <v>2798042.157511042</v>
      </c>
      <c r="AR38" s="417">
        <f t="shared" ref="AR38:BW38" si="113">SUM(AR34:AR37)</f>
        <v>2077208.670304341</v>
      </c>
      <c r="AS38" s="417">
        <f t="shared" si="113"/>
        <v>1540571.8400115611</v>
      </c>
      <c r="AT38" s="417">
        <f t="shared" si="113"/>
        <v>1153238.7592138406</v>
      </c>
      <c r="AU38" s="417">
        <f t="shared" si="113"/>
        <v>882028.36212582723</v>
      </c>
      <c r="AV38" s="417">
        <f t="shared" si="113"/>
        <v>697714.0910358784</v>
      </c>
      <c r="AW38" s="417">
        <f t="shared" si="113"/>
        <v>0</v>
      </c>
      <c r="AX38" s="417">
        <f t="shared" si="113"/>
        <v>0</v>
      </c>
      <c r="AY38" s="417">
        <f t="shared" si="113"/>
        <v>0</v>
      </c>
      <c r="AZ38" s="417">
        <f t="shared" si="113"/>
        <v>0</v>
      </c>
      <c r="BA38" s="417">
        <f t="shared" si="113"/>
        <v>0</v>
      </c>
      <c r="BB38" s="417">
        <f t="shared" si="113"/>
        <v>0</v>
      </c>
      <c r="BC38" s="417">
        <f t="shared" si="113"/>
        <v>0</v>
      </c>
      <c r="BD38" s="417">
        <f t="shared" si="113"/>
        <v>0</v>
      </c>
      <c r="BE38" s="417">
        <f t="shared" si="113"/>
        <v>0</v>
      </c>
      <c r="BF38" s="417">
        <f t="shared" si="113"/>
        <v>0</v>
      </c>
      <c r="BG38" s="417">
        <f t="shared" si="113"/>
        <v>0</v>
      </c>
      <c r="BH38" s="417">
        <f t="shared" si="113"/>
        <v>0</v>
      </c>
      <c r="BI38" s="417">
        <f t="shared" si="113"/>
        <v>0</v>
      </c>
      <c r="BJ38" s="417">
        <f t="shared" si="113"/>
        <v>0</v>
      </c>
      <c r="BK38" s="417">
        <f t="shared" si="113"/>
        <v>0</v>
      </c>
      <c r="BL38" s="417">
        <f t="shared" si="113"/>
        <v>0</v>
      </c>
      <c r="BM38" s="417">
        <f t="shared" si="113"/>
        <v>0</v>
      </c>
      <c r="BN38" s="417">
        <f t="shared" si="113"/>
        <v>0</v>
      </c>
      <c r="BO38" s="417">
        <f t="shared" si="113"/>
        <v>0</v>
      </c>
      <c r="BP38" s="417">
        <f t="shared" si="113"/>
        <v>0</v>
      </c>
      <c r="BQ38" s="417">
        <f t="shared" si="113"/>
        <v>0</v>
      </c>
      <c r="BR38" s="417">
        <f t="shared" si="113"/>
        <v>0</v>
      </c>
      <c r="BS38" s="417">
        <f t="shared" si="113"/>
        <v>0</v>
      </c>
      <c r="BT38" s="417">
        <f t="shared" si="113"/>
        <v>0</v>
      </c>
      <c r="BU38" s="417">
        <f t="shared" si="113"/>
        <v>0</v>
      </c>
      <c r="BV38" s="417">
        <f t="shared" si="113"/>
        <v>0</v>
      </c>
      <c r="BW38" s="417">
        <f t="shared" si="113"/>
        <v>0</v>
      </c>
      <c r="BX38" s="417">
        <f t="shared" ref="BX38:DC38" si="114">SUM(BX34:BX37)</f>
        <v>0</v>
      </c>
      <c r="BY38" s="417">
        <f t="shared" si="114"/>
        <v>0</v>
      </c>
      <c r="BZ38" s="417">
        <f t="shared" si="114"/>
        <v>0</v>
      </c>
      <c r="CA38" s="417">
        <f t="shared" si="114"/>
        <v>0</v>
      </c>
      <c r="CB38" s="417">
        <f t="shared" si="114"/>
        <v>0</v>
      </c>
      <c r="CC38" s="417">
        <f t="shared" si="114"/>
        <v>0</v>
      </c>
      <c r="CD38" s="417">
        <f t="shared" si="114"/>
        <v>0</v>
      </c>
      <c r="CE38" s="417">
        <f t="shared" si="114"/>
        <v>0</v>
      </c>
      <c r="CF38" s="417">
        <f t="shared" si="114"/>
        <v>0</v>
      </c>
      <c r="CG38" s="417">
        <f t="shared" si="114"/>
        <v>0</v>
      </c>
      <c r="CH38" s="417">
        <f t="shared" si="114"/>
        <v>0</v>
      </c>
      <c r="CI38" s="417">
        <f t="shared" si="114"/>
        <v>0</v>
      </c>
      <c r="CJ38" s="417">
        <f t="shared" si="114"/>
        <v>0</v>
      </c>
      <c r="CK38" s="417">
        <f t="shared" si="114"/>
        <v>0</v>
      </c>
      <c r="CL38" s="417">
        <f t="shared" si="114"/>
        <v>0</v>
      </c>
      <c r="CM38" s="417">
        <f t="shared" si="114"/>
        <v>0</v>
      </c>
      <c r="CN38" s="417">
        <f t="shared" si="114"/>
        <v>0</v>
      </c>
      <c r="CO38" s="417">
        <f t="shared" si="114"/>
        <v>0</v>
      </c>
      <c r="CP38" s="417">
        <f t="shared" si="114"/>
        <v>0</v>
      </c>
      <c r="CQ38" s="417">
        <f t="shared" si="114"/>
        <v>0</v>
      </c>
      <c r="CR38" s="417">
        <f t="shared" si="114"/>
        <v>0</v>
      </c>
      <c r="CS38" s="417">
        <f t="shared" si="114"/>
        <v>0</v>
      </c>
      <c r="CT38" s="417">
        <f t="shared" si="114"/>
        <v>0</v>
      </c>
      <c r="CU38" s="417">
        <f t="shared" si="114"/>
        <v>0</v>
      </c>
      <c r="CV38" s="417">
        <f t="shared" si="114"/>
        <v>0</v>
      </c>
      <c r="CW38" s="417">
        <f t="shared" si="114"/>
        <v>0</v>
      </c>
      <c r="CX38" s="417">
        <f t="shared" si="114"/>
        <v>0</v>
      </c>
      <c r="CY38" s="417">
        <f t="shared" si="114"/>
        <v>0</v>
      </c>
      <c r="CZ38" s="417">
        <f t="shared" si="114"/>
        <v>0</v>
      </c>
      <c r="DA38" s="417">
        <f t="shared" si="114"/>
        <v>0</v>
      </c>
      <c r="DB38" s="417">
        <f t="shared" si="114"/>
        <v>0</v>
      </c>
      <c r="DC38" s="417">
        <f t="shared" si="114"/>
        <v>0</v>
      </c>
      <c r="DD38" s="417">
        <f t="shared" ref="DD38:EI38" si="115">SUM(DD34:DD37)</f>
        <v>0</v>
      </c>
      <c r="DE38" s="417">
        <f t="shared" si="115"/>
        <v>0</v>
      </c>
      <c r="DF38" s="417">
        <f t="shared" si="115"/>
        <v>0</v>
      </c>
      <c r="DG38" s="417">
        <f t="shared" si="115"/>
        <v>0</v>
      </c>
      <c r="DH38" s="417">
        <f t="shared" si="115"/>
        <v>0</v>
      </c>
      <c r="DI38" s="417">
        <f t="shared" si="115"/>
        <v>0</v>
      </c>
      <c r="DJ38" s="417">
        <f t="shared" si="115"/>
        <v>0</v>
      </c>
      <c r="DK38" s="417">
        <f t="shared" si="115"/>
        <v>0</v>
      </c>
      <c r="DL38" s="417">
        <f t="shared" si="115"/>
        <v>0</v>
      </c>
      <c r="DM38" s="417">
        <f t="shared" si="115"/>
        <v>0</v>
      </c>
      <c r="DN38" s="417">
        <f t="shared" si="115"/>
        <v>0</v>
      </c>
      <c r="DO38" s="417">
        <f t="shared" si="115"/>
        <v>0</v>
      </c>
      <c r="DP38" s="417">
        <f t="shared" si="115"/>
        <v>0</v>
      </c>
      <c r="DQ38" s="417">
        <f t="shared" si="115"/>
        <v>0</v>
      </c>
      <c r="DR38" s="417">
        <f t="shared" si="115"/>
        <v>0</v>
      </c>
      <c r="DS38" s="417">
        <f t="shared" si="115"/>
        <v>0</v>
      </c>
      <c r="DT38" s="417">
        <f t="shared" si="115"/>
        <v>0</v>
      </c>
      <c r="DU38" s="417">
        <f t="shared" si="115"/>
        <v>0</v>
      </c>
      <c r="DV38" s="417">
        <f t="shared" si="115"/>
        <v>0</v>
      </c>
      <c r="DW38" s="417">
        <f t="shared" si="115"/>
        <v>0</v>
      </c>
      <c r="DX38" s="417">
        <f t="shared" si="115"/>
        <v>0</v>
      </c>
      <c r="DY38" s="417">
        <f t="shared" si="115"/>
        <v>0</v>
      </c>
      <c r="DZ38" s="417">
        <f t="shared" si="115"/>
        <v>0</v>
      </c>
      <c r="EA38" s="417">
        <f t="shared" si="115"/>
        <v>0</v>
      </c>
      <c r="EB38" s="417">
        <f t="shared" si="115"/>
        <v>0</v>
      </c>
      <c r="EC38" s="417">
        <f t="shared" si="115"/>
        <v>0</v>
      </c>
      <c r="ED38" s="417">
        <f t="shared" si="115"/>
        <v>0</v>
      </c>
      <c r="EE38" s="417">
        <f t="shared" si="115"/>
        <v>0</v>
      </c>
      <c r="EF38" s="417">
        <f t="shared" si="115"/>
        <v>0</v>
      </c>
      <c r="EG38" s="417">
        <f t="shared" si="115"/>
        <v>0</v>
      </c>
      <c r="EH38" s="417">
        <f t="shared" si="115"/>
        <v>0</v>
      </c>
      <c r="EI38" s="417">
        <f t="shared" si="115"/>
        <v>0</v>
      </c>
      <c r="EJ38" s="417">
        <f>SUM(EJ34:EJ37)</f>
        <v>0</v>
      </c>
      <c r="EK38" s="417">
        <f>SUM(EK34:EK37)</f>
        <v>0</v>
      </c>
      <c r="EL38" s="417">
        <f>SUM(EL34:EL37)</f>
        <v>0</v>
      </c>
      <c r="EM38" s="417">
        <f>SUM(EM34:EM37)</f>
        <v>0</v>
      </c>
      <c r="EN38" s="417">
        <f>SUM(EN34:EN37)</f>
        <v>0</v>
      </c>
      <c r="EO38"/>
      <c r="EP38" s="219"/>
      <c r="EQ38" s="18" t="s">
        <v>153</v>
      </c>
      <c r="ER38" s="20">
        <f>COUNTA($B$34:$B$37)</f>
        <v>3</v>
      </c>
      <c r="ES38" s="18"/>
      <c r="ET38" s="18"/>
      <c r="EU38" s="79"/>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c r="JF38" s="18"/>
      <c r="JG38" s="18"/>
      <c r="JH38" s="18"/>
      <c r="JI38" s="18"/>
      <c r="JJ38" s="18"/>
      <c r="JK38" s="18"/>
      <c r="JL38" s="18"/>
      <c r="JM38" s="18"/>
      <c r="JN38" s="18"/>
      <c r="JO38" s="18"/>
      <c r="JP38" s="18"/>
      <c r="JQ38" s="18"/>
      <c r="JR38" s="18"/>
      <c r="JS38" s="18"/>
      <c r="JT38" s="18"/>
      <c r="JU38" s="18"/>
      <c r="JV38" s="18"/>
      <c r="JW38" s="18"/>
      <c r="JX38" s="18"/>
      <c r="JY38"/>
      <c r="JZ38" s="219" t="str">
        <f t="shared" si="51"/>
        <v>Total Hard Costs</v>
      </c>
      <c r="KA38" s="18"/>
      <c r="KB38" s="20"/>
      <c r="KC38" s="20"/>
      <c r="KD38" s="20"/>
      <c r="KE38" s="81"/>
      <c r="KF38" s="81"/>
      <c r="KG38" s="81"/>
      <c r="KH38" s="81"/>
      <c r="KI38" s="81"/>
      <c r="KJ38" s="81"/>
      <c r="KK38" s="81"/>
      <c r="KL38" s="81"/>
      <c r="KM38" s="81"/>
      <c r="KN38" s="81"/>
      <c r="KO38" s="81"/>
      <c r="KP38" s="81"/>
      <c r="KQ38" s="81"/>
      <c r="KR38" s="81"/>
      <c r="KS38" s="81"/>
      <c r="KT38" s="81"/>
      <c r="KU38" s="81"/>
      <c r="KV38" s="81"/>
      <c r="KW38" s="81"/>
      <c r="KX38" s="81"/>
      <c r="KY38" s="81"/>
      <c r="KZ38" s="81"/>
      <c r="LA38" s="81"/>
      <c r="LB38" s="81"/>
      <c r="LC38" s="81"/>
      <c r="LD38" s="81"/>
      <c r="LE38" s="81"/>
      <c r="LF38" s="81"/>
      <c r="LG38" s="81"/>
      <c r="LH38" s="81"/>
      <c r="LI38" s="81"/>
      <c r="LJ38" s="81"/>
      <c r="LK38" s="81"/>
      <c r="LL38" s="81"/>
      <c r="LM38" s="81"/>
      <c r="LN38" s="81"/>
      <c r="LO38" s="81"/>
      <c r="LP38" s="81"/>
      <c r="LQ38" s="81"/>
      <c r="LR38" s="81"/>
      <c r="LS38" s="81"/>
      <c r="LT38" s="81"/>
      <c r="LU38" s="81"/>
      <c r="LV38" s="81"/>
      <c r="LW38" s="81"/>
      <c r="LX38" s="81"/>
      <c r="LY38" s="81"/>
      <c r="LZ38" s="81"/>
      <c r="MA38" s="81"/>
      <c r="MB38" s="81"/>
      <c r="MC38" s="81"/>
      <c r="MD38" s="81"/>
      <c r="ME38" s="81"/>
      <c r="MF38" s="81"/>
      <c r="MG38" s="81"/>
      <c r="MH38" s="81"/>
      <c r="MI38" s="81"/>
      <c r="MJ38" s="81"/>
      <c r="MK38" s="81"/>
      <c r="ML38" s="81"/>
      <c r="MM38" s="81"/>
      <c r="MN38" s="81"/>
      <c r="MO38" s="81"/>
      <c r="MP38" s="81"/>
      <c r="MQ38" s="81"/>
      <c r="MR38" s="81"/>
      <c r="MS38" s="81"/>
      <c r="MT38" s="81"/>
      <c r="MU38" s="81"/>
      <c r="MV38" s="81"/>
      <c r="MW38" s="81"/>
      <c r="MX38" s="81"/>
      <c r="MY38" s="81"/>
      <c r="MZ38" s="81"/>
      <c r="NA38" s="81"/>
      <c r="NB38" s="81"/>
      <c r="NC38" s="81"/>
      <c r="ND38" s="81"/>
      <c r="NE38" s="81"/>
      <c r="NF38" s="81"/>
      <c r="NG38" s="81"/>
      <c r="NH38" s="81"/>
      <c r="NI38" s="81"/>
      <c r="NJ38" s="81"/>
      <c r="NK38" s="81"/>
      <c r="NL38" s="81"/>
      <c r="NM38" s="81"/>
      <c r="NN38" s="81"/>
      <c r="NO38" s="81"/>
      <c r="NP38" s="81"/>
      <c r="NQ38" s="81"/>
      <c r="NR38" s="81"/>
      <c r="NS38" s="81"/>
      <c r="NT38" s="81"/>
      <c r="NU38" s="81"/>
      <c r="NV38" s="81"/>
      <c r="NW38" s="81"/>
      <c r="NX38" s="81"/>
      <c r="NY38" s="81"/>
      <c r="NZ38" s="81"/>
      <c r="OA38" s="81"/>
      <c r="OB38" s="81"/>
      <c r="OC38" s="81"/>
      <c r="OD38" s="81"/>
      <c r="OE38" s="81"/>
      <c r="OF38" s="81"/>
      <c r="OG38" s="81"/>
      <c r="OH38" s="81"/>
      <c r="OI38" s="81"/>
      <c r="OJ38" s="81"/>
      <c r="OK38" s="81"/>
      <c r="OL38" s="81"/>
      <c r="OM38" s="81"/>
      <c r="ON38" s="81"/>
      <c r="OO38" s="81"/>
      <c r="OP38" s="81"/>
      <c r="OQ38" s="81"/>
      <c r="OR38" s="81"/>
      <c r="OS38" s="81"/>
      <c r="OT38" s="81"/>
      <c r="OU38" s="81"/>
      <c r="OV38" s="81"/>
      <c r="OW38" s="81"/>
      <c r="OX38" s="81"/>
      <c r="OY38" s="81"/>
      <c r="OZ38" s="81"/>
      <c r="PA38" s="81"/>
      <c r="PB38" s="81"/>
      <c r="PC38" s="81"/>
      <c r="PD38" s="81"/>
      <c r="PE38" s="81"/>
      <c r="PF38" s="81"/>
      <c r="PG38" s="81"/>
      <c r="PH38" s="81"/>
    </row>
    <row r="39" spans="1:424" x14ac:dyDescent="0.35">
      <c r="A39"/>
      <c r="B39" s="425"/>
      <c r="C39" s="400"/>
      <c r="D39" s="45"/>
      <c r="E39" s="45"/>
      <c r="F39" s="414"/>
      <c r="G39" s="134"/>
      <c r="H39" s="134"/>
      <c r="I39" s="47"/>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s="219"/>
      <c r="EQ39" s="18"/>
      <c r="ER39" s="18"/>
      <c r="ES39" s="18"/>
      <c r="ET39" s="18"/>
      <c r="EU39" s="79"/>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c r="IX39" s="18"/>
      <c r="IY39" s="18"/>
      <c r="IZ39" s="18"/>
      <c r="JA39" s="18"/>
      <c r="JB39" s="18"/>
      <c r="JC39" s="18"/>
      <c r="JD39" s="18"/>
      <c r="JE39" s="18"/>
      <c r="JF39" s="18"/>
      <c r="JG39" s="18"/>
      <c r="JH39" s="18"/>
      <c r="JI39" s="18"/>
      <c r="JJ39" s="18"/>
      <c r="JK39" s="18"/>
      <c r="JL39" s="18"/>
      <c r="JM39" s="18"/>
      <c r="JN39" s="18"/>
      <c r="JO39" s="18"/>
      <c r="JP39" s="18"/>
      <c r="JQ39" s="18"/>
      <c r="JR39" s="18"/>
      <c r="JS39" s="18"/>
      <c r="JT39" s="18"/>
      <c r="JU39" s="18"/>
      <c r="JV39" s="18"/>
      <c r="JW39" s="18"/>
      <c r="JX39" s="18"/>
      <c r="JY39"/>
      <c r="JZ39" s="219"/>
      <c r="KA39" s="18"/>
      <c r="KB39" s="20"/>
      <c r="KC39" s="20"/>
      <c r="KD39" s="20"/>
      <c r="KE39" s="81"/>
      <c r="KF39" s="81"/>
      <c r="KG39" s="81"/>
      <c r="KH39" s="81"/>
      <c r="KI39" s="81"/>
      <c r="KJ39" s="81"/>
      <c r="KK39" s="81"/>
      <c r="KL39" s="81"/>
      <c r="KM39" s="81"/>
      <c r="KN39" s="81"/>
      <c r="KO39" s="81"/>
      <c r="KP39" s="81"/>
      <c r="KQ39" s="81"/>
      <c r="KR39" s="81"/>
      <c r="KS39" s="81"/>
      <c r="KT39" s="81"/>
      <c r="KU39" s="81"/>
      <c r="KV39" s="81"/>
      <c r="KW39" s="81"/>
      <c r="KX39" s="81"/>
      <c r="KY39" s="81"/>
      <c r="KZ39" s="81"/>
      <c r="LA39" s="81"/>
      <c r="LB39" s="81"/>
      <c r="LC39" s="81"/>
      <c r="LD39" s="81"/>
      <c r="LE39" s="81"/>
      <c r="LF39" s="81"/>
      <c r="LG39" s="81"/>
      <c r="LH39" s="81"/>
      <c r="LI39" s="81"/>
      <c r="LJ39" s="81"/>
      <c r="LK39" s="81"/>
      <c r="LL39" s="81"/>
      <c r="LM39" s="81"/>
      <c r="LN39" s="81"/>
      <c r="LO39" s="81"/>
      <c r="LP39" s="81"/>
      <c r="LQ39" s="81"/>
      <c r="LR39" s="81"/>
      <c r="LS39" s="81"/>
      <c r="LT39" s="81"/>
      <c r="LU39" s="81"/>
      <c r="LV39" s="81"/>
      <c r="LW39" s="81"/>
      <c r="LX39" s="81"/>
      <c r="LY39" s="81"/>
      <c r="LZ39" s="81"/>
      <c r="MA39" s="81"/>
      <c r="MB39" s="81"/>
      <c r="MC39" s="81"/>
      <c r="MD39" s="81"/>
      <c r="ME39" s="81"/>
      <c r="MF39" s="81"/>
      <c r="MG39" s="81"/>
      <c r="MH39" s="81"/>
      <c r="MI39" s="81"/>
      <c r="MJ39" s="81"/>
      <c r="MK39" s="81"/>
      <c r="ML39" s="81"/>
      <c r="MM39" s="81"/>
      <c r="MN39" s="81"/>
      <c r="MO39" s="81"/>
      <c r="MP39" s="81"/>
      <c r="MQ39" s="81"/>
      <c r="MR39" s="81"/>
      <c r="MS39" s="81"/>
      <c r="MT39" s="81"/>
      <c r="MU39" s="81"/>
      <c r="MV39" s="81"/>
      <c r="MW39" s="81"/>
      <c r="MX39" s="81"/>
      <c r="MY39" s="81"/>
      <c r="MZ39" s="81"/>
      <c r="NA39" s="81"/>
      <c r="NB39" s="81"/>
      <c r="NC39" s="81"/>
      <c r="ND39" s="81"/>
      <c r="NE39" s="81"/>
      <c r="NF39" s="81"/>
      <c r="NG39" s="81"/>
      <c r="NH39" s="81"/>
      <c r="NI39" s="81"/>
      <c r="NJ39" s="81"/>
      <c r="NK39" s="81"/>
      <c r="NL39" s="81"/>
      <c r="NM39" s="81"/>
      <c r="NN39" s="81"/>
      <c r="NO39" s="81"/>
      <c r="NP39" s="81"/>
      <c r="NQ39" s="81"/>
      <c r="NR39" s="81"/>
      <c r="NS39" s="81"/>
      <c r="NT39" s="81"/>
      <c r="NU39" s="81"/>
      <c r="NV39" s="81"/>
      <c r="NW39" s="81"/>
      <c r="NX39" s="81"/>
      <c r="NY39" s="81"/>
      <c r="NZ39" s="81"/>
      <c r="OA39" s="81"/>
      <c r="OB39" s="81"/>
      <c r="OC39" s="81"/>
      <c r="OD39" s="81"/>
      <c r="OE39" s="81"/>
      <c r="OF39" s="81"/>
      <c r="OG39" s="81"/>
      <c r="OH39" s="81"/>
      <c r="OI39" s="81"/>
      <c r="OJ39" s="81"/>
      <c r="OK39" s="81"/>
      <c r="OL39" s="81"/>
      <c r="OM39" s="81"/>
      <c r="ON39" s="81"/>
      <c r="OO39" s="81"/>
      <c r="OP39" s="81"/>
      <c r="OQ39" s="81"/>
      <c r="OR39" s="81"/>
      <c r="OS39" s="81"/>
      <c r="OT39" s="81"/>
      <c r="OU39" s="81"/>
      <c r="OV39" s="81"/>
      <c r="OW39" s="81"/>
      <c r="OX39" s="81"/>
      <c r="OY39" s="81"/>
      <c r="OZ39" s="81"/>
      <c r="PA39" s="81"/>
      <c r="PB39" s="81"/>
      <c r="PC39" s="81"/>
      <c r="PD39" s="81"/>
      <c r="PE39" s="81"/>
      <c r="PF39" s="81"/>
      <c r="PG39" s="81"/>
      <c r="PH39" s="81"/>
    </row>
    <row r="40" spans="1:424" x14ac:dyDescent="0.35">
      <c r="A40"/>
      <c r="B40" s="423"/>
      <c r="C40" s="400"/>
      <c r="D40" s="45"/>
      <c r="E40" s="45"/>
      <c r="F40" s="414"/>
      <c r="G40" s="134"/>
      <c r="H40" s="134"/>
      <c r="I40" s="47"/>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s="219"/>
      <c r="EQ40" s="18"/>
      <c r="ER40" s="18"/>
      <c r="ES40" s="18"/>
      <c r="ET40" s="18"/>
      <c r="EU40" s="79"/>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c r="JF40" s="18"/>
      <c r="JG40" s="18"/>
      <c r="JH40" s="18"/>
      <c r="JI40" s="18"/>
      <c r="JJ40" s="18"/>
      <c r="JK40" s="18"/>
      <c r="JL40" s="18"/>
      <c r="JM40" s="18"/>
      <c r="JN40" s="18"/>
      <c r="JO40" s="18"/>
      <c r="JP40" s="18"/>
      <c r="JQ40" s="18"/>
      <c r="JR40" s="18"/>
      <c r="JS40" s="18"/>
      <c r="JT40" s="18"/>
      <c r="JU40" s="18"/>
      <c r="JV40" s="18"/>
      <c r="JW40" s="18"/>
      <c r="JX40" s="18"/>
      <c r="JY40"/>
      <c r="JZ40" s="219">
        <f t="shared" si="51"/>
        <v>0</v>
      </c>
      <c r="KA40" s="18"/>
      <c r="KB40" s="20"/>
      <c r="KC40" s="20"/>
      <c r="KD40" s="20"/>
      <c r="KE40" s="81"/>
      <c r="KF40" s="81"/>
      <c r="KG40" s="81"/>
      <c r="KH40" s="81"/>
      <c r="KI40" s="81"/>
      <c r="KJ40" s="81"/>
      <c r="KK40" s="81"/>
      <c r="KL40" s="81"/>
      <c r="KM40" s="81"/>
      <c r="KN40" s="81"/>
      <c r="KO40" s="81"/>
      <c r="KP40" s="81"/>
      <c r="KQ40" s="81"/>
      <c r="KR40" s="81"/>
      <c r="KS40" s="81"/>
      <c r="KT40" s="81"/>
      <c r="KU40" s="81"/>
      <c r="KV40" s="81"/>
      <c r="KW40" s="81"/>
      <c r="KX40" s="81"/>
      <c r="KY40" s="81"/>
      <c r="KZ40" s="81"/>
      <c r="LA40" s="81"/>
      <c r="LB40" s="81"/>
      <c r="LC40" s="81"/>
      <c r="LD40" s="81"/>
      <c r="LE40" s="81"/>
      <c r="LF40" s="81"/>
      <c r="LG40" s="81"/>
      <c r="LH40" s="81"/>
      <c r="LI40" s="81"/>
      <c r="LJ40" s="81"/>
      <c r="LK40" s="81"/>
      <c r="LL40" s="81"/>
      <c r="LM40" s="81"/>
      <c r="LN40" s="81"/>
      <c r="LO40" s="81"/>
      <c r="LP40" s="81"/>
      <c r="LQ40" s="81"/>
      <c r="LR40" s="81"/>
      <c r="LS40" s="81"/>
      <c r="LT40" s="81"/>
      <c r="LU40" s="81"/>
      <c r="LV40" s="81"/>
      <c r="LW40" s="81"/>
      <c r="LX40" s="81"/>
      <c r="LY40" s="81"/>
      <c r="LZ40" s="81"/>
      <c r="MA40" s="81"/>
      <c r="MB40" s="81"/>
      <c r="MC40" s="81"/>
      <c r="MD40" s="81"/>
      <c r="ME40" s="81"/>
      <c r="MF40" s="81"/>
      <c r="MG40" s="81"/>
      <c r="MH40" s="81"/>
      <c r="MI40" s="81"/>
      <c r="MJ40" s="81"/>
      <c r="MK40" s="81"/>
      <c r="ML40" s="81"/>
      <c r="MM40" s="81"/>
      <c r="MN40" s="81"/>
      <c r="MO40" s="81"/>
      <c r="MP40" s="81"/>
      <c r="MQ40" s="81"/>
      <c r="MR40" s="81"/>
      <c r="MS40" s="81"/>
      <c r="MT40" s="81"/>
      <c r="MU40" s="81"/>
      <c r="MV40" s="81"/>
      <c r="MW40" s="81"/>
      <c r="MX40" s="81"/>
      <c r="MY40" s="81"/>
      <c r="MZ40" s="81"/>
      <c r="NA40" s="81"/>
      <c r="NB40" s="81"/>
      <c r="NC40" s="81"/>
      <c r="ND40" s="81"/>
      <c r="NE40" s="81"/>
      <c r="NF40" s="81"/>
      <c r="NG40" s="81"/>
      <c r="NH40" s="81"/>
      <c r="NI40" s="81"/>
      <c r="NJ40" s="81"/>
      <c r="NK40" s="81"/>
      <c r="NL40" s="81"/>
      <c r="NM40" s="81"/>
      <c r="NN40" s="81"/>
      <c r="NO40" s="81"/>
      <c r="NP40" s="81"/>
      <c r="NQ40" s="81"/>
      <c r="NR40" s="81"/>
      <c r="NS40" s="81"/>
      <c r="NT40" s="81"/>
      <c r="NU40" s="81"/>
      <c r="NV40" s="81"/>
      <c r="NW40" s="81"/>
      <c r="NX40" s="81"/>
      <c r="NY40" s="81"/>
      <c r="NZ40" s="81"/>
      <c r="OA40" s="81"/>
      <c r="OB40" s="81"/>
      <c r="OC40" s="81"/>
      <c r="OD40" s="81"/>
      <c r="OE40" s="81"/>
      <c r="OF40" s="81"/>
      <c r="OG40" s="81"/>
      <c r="OH40" s="81"/>
      <c r="OI40" s="81"/>
      <c r="OJ40" s="81"/>
      <c r="OK40" s="81"/>
      <c r="OL40" s="81"/>
      <c r="OM40" s="81"/>
      <c r="ON40" s="81"/>
      <c r="OO40" s="81"/>
      <c r="OP40" s="81"/>
      <c r="OQ40" s="81"/>
      <c r="OR40" s="81"/>
      <c r="OS40" s="81"/>
      <c r="OT40" s="81"/>
      <c r="OU40" s="81"/>
      <c r="OV40" s="81"/>
      <c r="OW40" s="81"/>
      <c r="OX40" s="81"/>
      <c r="OY40" s="81"/>
      <c r="OZ40" s="81"/>
      <c r="PA40" s="81"/>
      <c r="PB40" s="81"/>
      <c r="PC40" s="81"/>
      <c r="PD40" s="81"/>
      <c r="PE40" s="81"/>
      <c r="PF40" s="81"/>
      <c r="PG40" s="81"/>
      <c r="PH40" s="81"/>
    </row>
    <row r="41" spans="1:424" x14ac:dyDescent="0.35">
      <c r="A41"/>
      <c r="B41" s="426"/>
      <c r="C41" s="400">
        <v>1</v>
      </c>
      <c r="D41" s="45"/>
      <c r="E41" s="257">
        <f t="shared" ref="E41:E46" si="116">$E$34</f>
        <v>36</v>
      </c>
      <c r="F41" s="414" t="s">
        <v>142</v>
      </c>
      <c r="G41" s="134">
        <f t="shared" ref="G41:G46" si="117">I41/Units_SF_M2</f>
        <v>0</v>
      </c>
      <c r="H41" s="415"/>
      <c r="I41" s="416">
        <v>0</v>
      </c>
      <c r="J41"/>
      <c r="K41" s="22" t="str">
        <f t="shared" ref="K41:K47" si="118">IF(ROUND(SUM(L41:EN41),0)=ROUND(I41,0),"","Incomplete")</f>
        <v/>
      </c>
      <c r="L41" s="417">
        <f t="shared" ref="L41:U46" si="119">AND(L$23&gt;=$D41,L$23&lt;=$E41)*(OR($F41="Straight-Line",$F41="Detail")*($I41/$ES41)+($F41="S-Curve")*EV41+OR($F41="Steady Growth",$F41="Steady Decline")*KF41)</f>
        <v>0</v>
      </c>
      <c r="M41" s="417">
        <f t="shared" si="119"/>
        <v>0</v>
      </c>
      <c r="N41" s="417">
        <f t="shared" si="119"/>
        <v>0</v>
      </c>
      <c r="O41" s="417">
        <f t="shared" si="119"/>
        <v>0</v>
      </c>
      <c r="P41" s="417">
        <f t="shared" si="119"/>
        <v>0</v>
      </c>
      <c r="Q41" s="417">
        <f t="shared" si="119"/>
        <v>0</v>
      </c>
      <c r="R41" s="417">
        <f t="shared" si="119"/>
        <v>0</v>
      </c>
      <c r="S41" s="417">
        <f t="shared" si="119"/>
        <v>0</v>
      </c>
      <c r="T41" s="417">
        <f t="shared" si="119"/>
        <v>0</v>
      </c>
      <c r="U41" s="417">
        <f t="shared" si="119"/>
        <v>0</v>
      </c>
      <c r="V41" s="417">
        <f t="shared" ref="V41:AE46" si="120">AND(V$23&gt;=$D41,V$23&lt;=$E41)*(OR($F41="Straight-Line",$F41="Detail")*($I41/$ES41)+($F41="S-Curve")*FF41+OR($F41="Steady Growth",$F41="Steady Decline")*KP41)</f>
        <v>0</v>
      </c>
      <c r="W41" s="417">
        <f t="shared" si="120"/>
        <v>0</v>
      </c>
      <c r="X41" s="417">
        <f t="shared" si="120"/>
        <v>0</v>
      </c>
      <c r="Y41" s="417">
        <f t="shared" si="120"/>
        <v>0</v>
      </c>
      <c r="Z41" s="417">
        <f t="shared" si="120"/>
        <v>0</v>
      </c>
      <c r="AA41" s="417">
        <f t="shared" si="120"/>
        <v>0</v>
      </c>
      <c r="AB41" s="417">
        <f t="shared" si="120"/>
        <v>0</v>
      </c>
      <c r="AC41" s="417">
        <f t="shared" si="120"/>
        <v>0</v>
      </c>
      <c r="AD41" s="417">
        <f t="shared" si="120"/>
        <v>0</v>
      </c>
      <c r="AE41" s="417">
        <f t="shared" si="120"/>
        <v>0</v>
      </c>
      <c r="AF41" s="417">
        <f t="shared" ref="AF41:AO46" si="121">AND(AF$23&gt;=$D41,AF$23&lt;=$E41)*(OR($F41="Straight-Line",$F41="Detail")*($I41/$ES41)+($F41="S-Curve")*FP41+OR($F41="Steady Growth",$F41="Steady Decline")*KZ41)</f>
        <v>0</v>
      </c>
      <c r="AG41" s="417">
        <f t="shared" si="121"/>
        <v>0</v>
      </c>
      <c r="AH41" s="417">
        <f t="shared" si="121"/>
        <v>0</v>
      </c>
      <c r="AI41" s="417">
        <f t="shared" si="121"/>
        <v>0</v>
      </c>
      <c r="AJ41" s="417">
        <f t="shared" si="121"/>
        <v>0</v>
      </c>
      <c r="AK41" s="417">
        <f t="shared" si="121"/>
        <v>0</v>
      </c>
      <c r="AL41" s="417">
        <f t="shared" si="121"/>
        <v>0</v>
      </c>
      <c r="AM41" s="417">
        <f t="shared" si="121"/>
        <v>0</v>
      </c>
      <c r="AN41" s="417">
        <f t="shared" si="121"/>
        <v>0</v>
      </c>
      <c r="AO41" s="417">
        <f t="shared" si="121"/>
        <v>0</v>
      </c>
      <c r="AP41" s="417">
        <f t="shared" ref="AP41:AY46" si="122">AND(AP$23&gt;=$D41,AP$23&lt;=$E41)*(OR($F41="Straight-Line",$F41="Detail")*($I41/$ES41)+($F41="S-Curve")*FZ41+OR($F41="Steady Growth",$F41="Steady Decline")*LJ41)</f>
        <v>0</v>
      </c>
      <c r="AQ41" s="417">
        <f t="shared" si="122"/>
        <v>0</v>
      </c>
      <c r="AR41" s="417">
        <f t="shared" si="122"/>
        <v>0</v>
      </c>
      <c r="AS41" s="417">
        <f t="shared" si="122"/>
        <v>0</v>
      </c>
      <c r="AT41" s="417">
        <f t="shared" si="122"/>
        <v>0</v>
      </c>
      <c r="AU41" s="417">
        <f t="shared" si="122"/>
        <v>0</v>
      </c>
      <c r="AV41" s="417">
        <f t="shared" si="122"/>
        <v>0</v>
      </c>
      <c r="AW41" s="417">
        <f t="shared" si="122"/>
        <v>0</v>
      </c>
      <c r="AX41" s="417">
        <f t="shared" si="122"/>
        <v>0</v>
      </c>
      <c r="AY41" s="417">
        <f t="shared" si="122"/>
        <v>0</v>
      </c>
      <c r="AZ41" s="417">
        <f t="shared" ref="AZ41:BI46" si="123">AND(AZ$23&gt;=$D41,AZ$23&lt;=$E41)*(OR($F41="Straight-Line",$F41="Detail")*($I41/$ES41)+($F41="S-Curve")*GJ41+OR($F41="Steady Growth",$F41="Steady Decline")*LT41)</f>
        <v>0</v>
      </c>
      <c r="BA41" s="417">
        <f t="shared" si="123"/>
        <v>0</v>
      </c>
      <c r="BB41" s="417">
        <f t="shared" si="123"/>
        <v>0</v>
      </c>
      <c r="BC41" s="417">
        <f t="shared" si="123"/>
        <v>0</v>
      </c>
      <c r="BD41" s="417">
        <f t="shared" si="123"/>
        <v>0</v>
      </c>
      <c r="BE41" s="417">
        <f t="shared" si="123"/>
        <v>0</v>
      </c>
      <c r="BF41" s="417">
        <f t="shared" si="123"/>
        <v>0</v>
      </c>
      <c r="BG41" s="417">
        <f t="shared" si="123"/>
        <v>0</v>
      </c>
      <c r="BH41" s="417">
        <f t="shared" si="123"/>
        <v>0</v>
      </c>
      <c r="BI41" s="417">
        <f t="shared" si="123"/>
        <v>0</v>
      </c>
      <c r="BJ41" s="417">
        <f t="shared" ref="BJ41:BS46" si="124">AND(BJ$23&gt;=$D41,BJ$23&lt;=$E41)*(OR($F41="Straight-Line",$F41="Detail")*($I41/$ES41)+($F41="S-Curve")*GT41+OR($F41="Steady Growth",$F41="Steady Decline")*MD41)</f>
        <v>0</v>
      </c>
      <c r="BK41" s="417">
        <f t="shared" si="124"/>
        <v>0</v>
      </c>
      <c r="BL41" s="417">
        <f t="shared" si="124"/>
        <v>0</v>
      </c>
      <c r="BM41" s="417">
        <f t="shared" si="124"/>
        <v>0</v>
      </c>
      <c r="BN41" s="417">
        <f t="shared" si="124"/>
        <v>0</v>
      </c>
      <c r="BO41" s="417">
        <f t="shared" si="124"/>
        <v>0</v>
      </c>
      <c r="BP41" s="417">
        <f t="shared" si="124"/>
        <v>0</v>
      </c>
      <c r="BQ41" s="417">
        <f t="shared" si="124"/>
        <v>0</v>
      </c>
      <c r="BR41" s="417">
        <f t="shared" si="124"/>
        <v>0</v>
      </c>
      <c r="BS41" s="417">
        <f t="shared" si="124"/>
        <v>0</v>
      </c>
      <c r="BT41" s="417">
        <f t="shared" ref="BT41:CC46" si="125">AND(BT$23&gt;=$D41,BT$23&lt;=$E41)*(OR($F41="Straight-Line",$F41="Detail")*($I41/$ES41)+($F41="S-Curve")*HD41+OR($F41="Steady Growth",$F41="Steady Decline")*MN41)</f>
        <v>0</v>
      </c>
      <c r="BU41" s="417">
        <f t="shared" si="125"/>
        <v>0</v>
      </c>
      <c r="BV41" s="417">
        <f t="shared" si="125"/>
        <v>0</v>
      </c>
      <c r="BW41" s="417">
        <f t="shared" si="125"/>
        <v>0</v>
      </c>
      <c r="BX41" s="417">
        <f t="shared" si="125"/>
        <v>0</v>
      </c>
      <c r="BY41" s="417">
        <f t="shared" si="125"/>
        <v>0</v>
      </c>
      <c r="BZ41" s="417">
        <f t="shared" si="125"/>
        <v>0</v>
      </c>
      <c r="CA41" s="417">
        <f t="shared" si="125"/>
        <v>0</v>
      </c>
      <c r="CB41" s="417">
        <f t="shared" si="125"/>
        <v>0</v>
      </c>
      <c r="CC41" s="417">
        <f t="shared" si="125"/>
        <v>0</v>
      </c>
      <c r="CD41" s="417">
        <f t="shared" ref="CD41:CM46" si="126">AND(CD$23&gt;=$D41,CD$23&lt;=$E41)*(OR($F41="Straight-Line",$F41="Detail")*($I41/$ES41)+($F41="S-Curve")*HN41+OR($F41="Steady Growth",$F41="Steady Decline")*MX41)</f>
        <v>0</v>
      </c>
      <c r="CE41" s="417">
        <f t="shared" si="126"/>
        <v>0</v>
      </c>
      <c r="CF41" s="417">
        <f t="shared" si="126"/>
        <v>0</v>
      </c>
      <c r="CG41" s="417">
        <f t="shared" si="126"/>
        <v>0</v>
      </c>
      <c r="CH41" s="417">
        <f t="shared" si="126"/>
        <v>0</v>
      </c>
      <c r="CI41" s="417">
        <f t="shared" si="126"/>
        <v>0</v>
      </c>
      <c r="CJ41" s="417">
        <f t="shared" si="126"/>
        <v>0</v>
      </c>
      <c r="CK41" s="417">
        <f t="shared" si="126"/>
        <v>0</v>
      </c>
      <c r="CL41" s="417">
        <f t="shared" si="126"/>
        <v>0</v>
      </c>
      <c r="CM41" s="417">
        <f t="shared" si="126"/>
        <v>0</v>
      </c>
      <c r="CN41" s="417">
        <f t="shared" ref="CN41:CW46" si="127">AND(CN$23&gt;=$D41,CN$23&lt;=$E41)*(OR($F41="Straight-Line",$F41="Detail")*($I41/$ES41)+($F41="S-Curve")*HX41+OR($F41="Steady Growth",$F41="Steady Decline")*NH41)</f>
        <v>0</v>
      </c>
      <c r="CO41" s="417">
        <f t="shared" si="127"/>
        <v>0</v>
      </c>
      <c r="CP41" s="417">
        <f t="shared" si="127"/>
        <v>0</v>
      </c>
      <c r="CQ41" s="417">
        <f t="shared" si="127"/>
        <v>0</v>
      </c>
      <c r="CR41" s="417">
        <f t="shared" si="127"/>
        <v>0</v>
      </c>
      <c r="CS41" s="417">
        <f t="shared" si="127"/>
        <v>0</v>
      </c>
      <c r="CT41" s="417">
        <f t="shared" si="127"/>
        <v>0</v>
      </c>
      <c r="CU41" s="417">
        <f t="shared" si="127"/>
        <v>0</v>
      </c>
      <c r="CV41" s="417">
        <f t="shared" si="127"/>
        <v>0</v>
      </c>
      <c r="CW41" s="417">
        <f t="shared" si="127"/>
        <v>0</v>
      </c>
      <c r="CX41" s="417">
        <f t="shared" ref="CX41:DG46" si="128">AND(CX$23&gt;=$D41,CX$23&lt;=$E41)*(OR($F41="Straight-Line",$F41="Detail")*($I41/$ES41)+($F41="S-Curve")*IH41+OR($F41="Steady Growth",$F41="Steady Decline")*NR41)</f>
        <v>0</v>
      </c>
      <c r="CY41" s="417">
        <f t="shared" si="128"/>
        <v>0</v>
      </c>
      <c r="CZ41" s="417">
        <f t="shared" si="128"/>
        <v>0</v>
      </c>
      <c r="DA41" s="417">
        <f t="shared" si="128"/>
        <v>0</v>
      </c>
      <c r="DB41" s="417">
        <f t="shared" si="128"/>
        <v>0</v>
      </c>
      <c r="DC41" s="417">
        <f t="shared" si="128"/>
        <v>0</v>
      </c>
      <c r="DD41" s="417">
        <f t="shared" si="128"/>
        <v>0</v>
      </c>
      <c r="DE41" s="417">
        <f t="shared" si="128"/>
        <v>0</v>
      </c>
      <c r="DF41" s="417">
        <f t="shared" si="128"/>
        <v>0</v>
      </c>
      <c r="DG41" s="417">
        <f t="shared" si="128"/>
        <v>0</v>
      </c>
      <c r="DH41" s="417">
        <f t="shared" ref="DH41:DQ46" si="129">AND(DH$23&gt;=$D41,DH$23&lt;=$E41)*(OR($F41="Straight-Line",$F41="Detail")*($I41/$ES41)+($F41="S-Curve")*IR41+OR($F41="Steady Growth",$F41="Steady Decline")*OB41)</f>
        <v>0</v>
      </c>
      <c r="DI41" s="417">
        <f t="shared" si="129"/>
        <v>0</v>
      </c>
      <c r="DJ41" s="417">
        <f t="shared" si="129"/>
        <v>0</v>
      </c>
      <c r="DK41" s="417">
        <f t="shared" si="129"/>
        <v>0</v>
      </c>
      <c r="DL41" s="417">
        <f t="shared" si="129"/>
        <v>0</v>
      </c>
      <c r="DM41" s="417">
        <f t="shared" si="129"/>
        <v>0</v>
      </c>
      <c r="DN41" s="417">
        <f t="shared" si="129"/>
        <v>0</v>
      </c>
      <c r="DO41" s="417">
        <f t="shared" si="129"/>
        <v>0</v>
      </c>
      <c r="DP41" s="417">
        <f t="shared" si="129"/>
        <v>0</v>
      </c>
      <c r="DQ41" s="417">
        <f t="shared" si="129"/>
        <v>0</v>
      </c>
      <c r="DR41" s="417">
        <f t="shared" ref="DR41:EA46" si="130">AND(DR$23&gt;=$D41,DR$23&lt;=$E41)*(OR($F41="Straight-Line",$F41="Detail")*($I41/$ES41)+($F41="S-Curve")*JB41+OR($F41="Steady Growth",$F41="Steady Decline")*OL41)</f>
        <v>0</v>
      </c>
      <c r="DS41" s="417">
        <f t="shared" si="130"/>
        <v>0</v>
      </c>
      <c r="DT41" s="417">
        <f t="shared" si="130"/>
        <v>0</v>
      </c>
      <c r="DU41" s="417">
        <f t="shared" si="130"/>
        <v>0</v>
      </c>
      <c r="DV41" s="417">
        <f t="shared" si="130"/>
        <v>0</v>
      </c>
      <c r="DW41" s="417">
        <f t="shared" si="130"/>
        <v>0</v>
      </c>
      <c r="DX41" s="417">
        <f t="shared" si="130"/>
        <v>0</v>
      </c>
      <c r="DY41" s="417">
        <f t="shared" si="130"/>
        <v>0</v>
      </c>
      <c r="DZ41" s="417">
        <f t="shared" si="130"/>
        <v>0</v>
      </c>
      <c r="EA41" s="417">
        <f t="shared" si="130"/>
        <v>0</v>
      </c>
      <c r="EB41" s="417">
        <f t="shared" ref="EB41:EK46" si="131">AND(EB$23&gt;=$D41,EB$23&lt;=$E41)*(OR($F41="Straight-Line",$F41="Detail")*($I41/$ES41)+($F41="S-Curve")*JL41+OR($F41="Steady Growth",$F41="Steady Decline")*OV41)</f>
        <v>0</v>
      </c>
      <c r="EC41" s="417">
        <f t="shared" si="131"/>
        <v>0</v>
      </c>
      <c r="ED41" s="417">
        <f t="shared" si="131"/>
        <v>0</v>
      </c>
      <c r="EE41" s="417">
        <f t="shared" si="131"/>
        <v>0</v>
      </c>
      <c r="EF41" s="417">
        <f t="shared" si="131"/>
        <v>0</v>
      </c>
      <c r="EG41" s="417">
        <f t="shared" si="131"/>
        <v>0</v>
      </c>
      <c r="EH41" s="417">
        <f t="shared" si="131"/>
        <v>0</v>
      </c>
      <c r="EI41" s="417">
        <f t="shared" si="131"/>
        <v>0</v>
      </c>
      <c r="EJ41" s="417">
        <f t="shared" si="131"/>
        <v>0</v>
      </c>
      <c r="EK41" s="417">
        <f t="shared" si="131"/>
        <v>0</v>
      </c>
      <c r="EL41" s="417">
        <f t="shared" ref="EL41:EN46" si="132">AND(EL$23&gt;=$D41,EL$23&lt;=$E41)*(OR($F41="Straight-Line",$F41="Detail")*($I41/$ES41)+($F41="S-Curve")*JV41+OR($F41="Steady Growth",$F41="Steady Decline")*PF41)</f>
        <v>0</v>
      </c>
      <c r="EM41" s="417">
        <f t="shared" si="132"/>
        <v>0</v>
      </c>
      <c r="EN41" s="417">
        <f t="shared" si="132"/>
        <v>0</v>
      </c>
      <c r="EO41"/>
      <c r="EP41" s="220">
        <f t="shared" ref="EP41:EP46" si="133">I41</f>
        <v>0</v>
      </c>
      <c r="EQ41" s="201">
        <f t="shared" ref="EQ41:EQ46" si="134">INDEX($L$24:$EN$24,1,$D41+1)</f>
        <v>46203</v>
      </c>
      <c r="ER41" s="201">
        <f t="shared" ref="ER41:ER46" si="135">INDEX($L$24:$EN$24,1,$E41+1)</f>
        <v>47299</v>
      </c>
      <c r="ES41" s="20">
        <f t="shared" ref="ES41:ES46" si="136">+E41-D41+1</f>
        <v>37</v>
      </c>
      <c r="ET41" s="18" t="str">
        <f t="shared" ref="ET41:ET46" si="137">F41</f>
        <v>Straight-Line</v>
      </c>
      <c r="EU41" s="79">
        <f t="shared" ref="EU41:EU46" si="138">ES41/Scurve_Dist</f>
        <v>6.166666666666667</v>
      </c>
      <c r="EV41" s="20">
        <f t="shared" ref="EV41:FK46" si="139">AND($ET41="S-Curve",EV$24&gt;=$EQ41,EV$24&lt;=$ER41)*(NORMDIST((YEAR(EV$24)-YEAR($EQ41))*12+MONTH(EV$24)-MONTH($EQ41)+1,$ES41/2,$EU41,TRUE)-NORMDIST((YEAR(EV$24)-YEAR($EQ41))*12+MONTH(EV$24)-MONTH($EQ41),$ES41/2,$EU41,TRUE))/(1-2*NORMDIST(0,$ES41/2,$EU41,TRUE))*$EP41</f>
        <v>0</v>
      </c>
      <c r="EW41" s="20">
        <f t="shared" si="139"/>
        <v>0</v>
      </c>
      <c r="EX41" s="20">
        <f t="shared" si="139"/>
        <v>0</v>
      </c>
      <c r="EY41" s="20">
        <f t="shared" si="139"/>
        <v>0</v>
      </c>
      <c r="EZ41" s="20">
        <f t="shared" si="139"/>
        <v>0</v>
      </c>
      <c r="FA41" s="20">
        <f t="shared" si="139"/>
        <v>0</v>
      </c>
      <c r="FB41" s="20">
        <f t="shared" si="139"/>
        <v>0</v>
      </c>
      <c r="FC41" s="20">
        <f t="shared" si="139"/>
        <v>0</v>
      </c>
      <c r="FD41" s="20">
        <f t="shared" si="139"/>
        <v>0</v>
      </c>
      <c r="FE41" s="20">
        <f t="shared" si="139"/>
        <v>0</v>
      </c>
      <c r="FF41" s="20">
        <f t="shared" si="139"/>
        <v>0</v>
      </c>
      <c r="FG41" s="20">
        <f t="shared" si="139"/>
        <v>0</v>
      </c>
      <c r="FH41" s="20">
        <f t="shared" si="139"/>
        <v>0</v>
      </c>
      <c r="FI41" s="20">
        <f t="shared" si="139"/>
        <v>0</v>
      </c>
      <c r="FJ41" s="20">
        <f t="shared" si="139"/>
        <v>0</v>
      </c>
      <c r="FK41" s="20">
        <f t="shared" si="139"/>
        <v>0</v>
      </c>
      <c r="FL41" s="20">
        <f t="shared" ref="FL41:GA46" si="140">AND($ET41="S-Curve",FL$24&gt;=$EQ41,FL$24&lt;=$ER41)*(NORMDIST((YEAR(FL$24)-YEAR($EQ41))*12+MONTH(FL$24)-MONTH($EQ41)+1,$ES41/2,$EU41,TRUE)-NORMDIST((YEAR(FL$24)-YEAR($EQ41))*12+MONTH(FL$24)-MONTH($EQ41),$ES41/2,$EU41,TRUE))/(1-2*NORMDIST(0,$ES41/2,$EU41,TRUE))*$EP41</f>
        <v>0</v>
      </c>
      <c r="FM41" s="20">
        <f t="shared" si="140"/>
        <v>0</v>
      </c>
      <c r="FN41" s="20">
        <f t="shared" si="140"/>
        <v>0</v>
      </c>
      <c r="FO41" s="20">
        <f t="shared" si="140"/>
        <v>0</v>
      </c>
      <c r="FP41" s="20">
        <f t="shared" si="140"/>
        <v>0</v>
      </c>
      <c r="FQ41" s="20">
        <f t="shared" si="140"/>
        <v>0</v>
      </c>
      <c r="FR41" s="20">
        <f t="shared" si="140"/>
        <v>0</v>
      </c>
      <c r="FS41" s="20">
        <f t="shared" si="140"/>
        <v>0</v>
      </c>
      <c r="FT41" s="20">
        <f t="shared" si="140"/>
        <v>0</v>
      </c>
      <c r="FU41" s="20">
        <f t="shared" si="140"/>
        <v>0</v>
      </c>
      <c r="FV41" s="20">
        <f t="shared" si="140"/>
        <v>0</v>
      </c>
      <c r="FW41" s="20">
        <f t="shared" si="140"/>
        <v>0</v>
      </c>
      <c r="FX41" s="20">
        <f t="shared" si="140"/>
        <v>0</v>
      </c>
      <c r="FY41" s="20">
        <f t="shared" si="140"/>
        <v>0</v>
      </c>
      <c r="FZ41" s="20">
        <f t="shared" si="140"/>
        <v>0</v>
      </c>
      <c r="GA41" s="20">
        <f t="shared" si="140"/>
        <v>0</v>
      </c>
      <c r="GB41" s="20">
        <f t="shared" ref="GB41:GQ46" si="141">AND($ET41="S-Curve",GB$24&gt;=$EQ41,GB$24&lt;=$ER41)*(NORMDIST((YEAR(GB$24)-YEAR($EQ41))*12+MONTH(GB$24)-MONTH($EQ41)+1,$ES41/2,$EU41,TRUE)-NORMDIST((YEAR(GB$24)-YEAR($EQ41))*12+MONTH(GB$24)-MONTH($EQ41),$ES41/2,$EU41,TRUE))/(1-2*NORMDIST(0,$ES41/2,$EU41,TRUE))*$EP41</f>
        <v>0</v>
      </c>
      <c r="GC41" s="20">
        <f t="shared" si="141"/>
        <v>0</v>
      </c>
      <c r="GD41" s="20">
        <f t="shared" si="141"/>
        <v>0</v>
      </c>
      <c r="GE41" s="20">
        <f t="shared" si="141"/>
        <v>0</v>
      </c>
      <c r="GF41" s="20">
        <f t="shared" si="141"/>
        <v>0</v>
      </c>
      <c r="GG41" s="20">
        <f t="shared" si="141"/>
        <v>0</v>
      </c>
      <c r="GH41" s="20">
        <f t="shared" si="141"/>
        <v>0</v>
      </c>
      <c r="GI41" s="20">
        <f t="shared" si="141"/>
        <v>0</v>
      </c>
      <c r="GJ41" s="20">
        <f t="shared" si="141"/>
        <v>0</v>
      </c>
      <c r="GK41" s="20">
        <f t="shared" si="141"/>
        <v>0</v>
      </c>
      <c r="GL41" s="20">
        <f t="shared" si="141"/>
        <v>0</v>
      </c>
      <c r="GM41" s="20">
        <f t="shared" si="141"/>
        <v>0</v>
      </c>
      <c r="GN41" s="20">
        <f t="shared" si="141"/>
        <v>0</v>
      </c>
      <c r="GO41" s="20">
        <f t="shared" si="141"/>
        <v>0</v>
      </c>
      <c r="GP41" s="20">
        <f t="shared" si="141"/>
        <v>0</v>
      </c>
      <c r="GQ41" s="20">
        <f t="shared" si="141"/>
        <v>0</v>
      </c>
      <c r="GR41" s="20">
        <f t="shared" ref="GR41:HG46" si="142">AND($ET41="S-Curve",GR$24&gt;=$EQ41,GR$24&lt;=$ER41)*(NORMDIST((YEAR(GR$24)-YEAR($EQ41))*12+MONTH(GR$24)-MONTH($EQ41)+1,$ES41/2,$EU41,TRUE)-NORMDIST((YEAR(GR$24)-YEAR($EQ41))*12+MONTH(GR$24)-MONTH($EQ41),$ES41/2,$EU41,TRUE))/(1-2*NORMDIST(0,$ES41/2,$EU41,TRUE))*$EP41</f>
        <v>0</v>
      </c>
      <c r="GS41" s="20">
        <f t="shared" si="142"/>
        <v>0</v>
      </c>
      <c r="GT41" s="20">
        <f t="shared" si="142"/>
        <v>0</v>
      </c>
      <c r="GU41" s="20">
        <f t="shared" si="142"/>
        <v>0</v>
      </c>
      <c r="GV41" s="20">
        <f t="shared" si="142"/>
        <v>0</v>
      </c>
      <c r="GW41" s="20">
        <f t="shared" si="142"/>
        <v>0</v>
      </c>
      <c r="GX41" s="20">
        <f t="shared" si="142"/>
        <v>0</v>
      </c>
      <c r="GY41" s="20">
        <f t="shared" si="142"/>
        <v>0</v>
      </c>
      <c r="GZ41" s="20">
        <f t="shared" si="142"/>
        <v>0</v>
      </c>
      <c r="HA41" s="20">
        <f t="shared" si="142"/>
        <v>0</v>
      </c>
      <c r="HB41" s="20">
        <f t="shared" si="142"/>
        <v>0</v>
      </c>
      <c r="HC41" s="20">
        <f t="shared" si="142"/>
        <v>0</v>
      </c>
      <c r="HD41" s="20">
        <f t="shared" si="142"/>
        <v>0</v>
      </c>
      <c r="HE41" s="20">
        <f t="shared" si="142"/>
        <v>0</v>
      </c>
      <c r="HF41" s="20">
        <f t="shared" si="142"/>
        <v>0</v>
      </c>
      <c r="HG41" s="20">
        <f t="shared" si="142"/>
        <v>0</v>
      </c>
      <c r="HH41" s="20">
        <f t="shared" ref="HH41:HW46" si="143">AND($ET41="S-Curve",HH$24&gt;=$EQ41,HH$24&lt;=$ER41)*(NORMDIST((YEAR(HH$24)-YEAR($EQ41))*12+MONTH(HH$24)-MONTH($EQ41)+1,$ES41/2,$EU41,TRUE)-NORMDIST((YEAR(HH$24)-YEAR($EQ41))*12+MONTH(HH$24)-MONTH($EQ41),$ES41/2,$EU41,TRUE))/(1-2*NORMDIST(0,$ES41/2,$EU41,TRUE))*$EP41</f>
        <v>0</v>
      </c>
      <c r="HI41" s="20">
        <f t="shared" si="143"/>
        <v>0</v>
      </c>
      <c r="HJ41" s="20">
        <f t="shared" si="143"/>
        <v>0</v>
      </c>
      <c r="HK41" s="20">
        <f t="shared" si="143"/>
        <v>0</v>
      </c>
      <c r="HL41" s="20">
        <f t="shared" si="143"/>
        <v>0</v>
      </c>
      <c r="HM41" s="20">
        <f t="shared" si="143"/>
        <v>0</v>
      </c>
      <c r="HN41" s="20">
        <f t="shared" si="143"/>
        <v>0</v>
      </c>
      <c r="HO41" s="20">
        <f t="shared" si="143"/>
        <v>0</v>
      </c>
      <c r="HP41" s="20">
        <f t="shared" si="143"/>
        <v>0</v>
      </c>
      <c r="HQ41" s="20">
        <f t="shared" si="143"/>
        <v>0</v>
      </c>
      <c r="HR41" s="20">
        <f t="shared" si="143"/>
        <v>0</v>
      </c>
      <c r="HS41" s="20">
        <f t="shared" si="143"/>
        <v>0</v>
      </c>
      <c r="HT41" s="20">
        <f t="shared" si="143"/>
        <v>0</v>
      </c>
      <c r="HU41" s="20">
        <f t="shared" si="143"/>
        <v>0</v>
      </c>
      <c r="HV41" s="20">
        <f t="shared" si="143"/>
        <v>0</v>
      </c>
      <c r="HW41" s="20">
        <f t="shared" si="143"/>
        <v>0</v>
      </c>
      <c r="HX41" s="20">
        <f t="shared" ref="HX41:IM46" si="144">AND($ET41="S-Curve",HX$24&gt;=$EQ41,HX$24&lt;=$ER41)*(NORMDIST((YEAR(HX$24)-YEAR($EQ41))*12+MONTH(HX$24)-MONTH($EQ41)+1,$ES41/2,$EU41,TRUE)-NORMDIST((YEAR(HX$24)-YEAR($EQ41))*12+MONTH(HX$24)-MONTH($EQ41),$ES41/2,$EU41,TRUE))/(1-2*NORMDIST(0,$ES41/2,$EU41,TRUE))*$EP41</f>
        <v>0</v>
      </c>
      <c r="HY41" s="20">
        <f t="shared" si="144"/>
        <v>0</v>
      </c>
      <c r="HZ41" s="20">
        <f t="shared" si="144"/>
        <v>0</v>
      </c>
      <c r="IA41" s="20">
        <f t="shared" si="144"/>
        <v>0</v>
      </c>
      <c r="IB41" s="20">
        <f t="shared" si="144"/>
        <v>0</v>
      </c>
      <c r="IC41" s="20">
        <f t="shared" si="144"/>
        <v>0</v>
      </c>
      <c r="ID41" s="20">
        <f t="shared" si="144"/>
        <v>0</v>
      </c>
      <c r="IE41" s="20">
        <f t="shared" si="144"/>
        <v>0</v>
      </c>
      <c r="IF41" s="20">
        <f t="shared" si="144"/>
        <v>0</v>
      </c>
      <c r="IG41" s="20">
        <f t="shared" si="144"/>
        <v>0</v>
      </c>
      <c r="IH41" s="20">
        <f t="shared" si="144"/>
        <v>0</v>
      </c>
      <c r="II41" s="20">
        <f t="shared" si="144"/>
        <v>0</v>
      </c>
      <c r="IJ41" s="20">
        <f t="shared" si="144"/>
        <v>0</v>
      </c>
      <c r="IK41" s="20">
        <f t="shared" si="144"/>
        <v>0</v>
      </c>
      <c r="IL41" s="20">
        <f t="shared" si="144"/>
        <v>0</v>
      </c>
      <c r="IM41" s="20">
        <f t="shared" si="144"/>
        <v>0</v>
      </c>
      <c r="IN41" s="20">
        <f t="shared" ref="IN41:JC46" si="145">AND($ET41="S-Curve",IN$24&gt;=$EQ41,IN$24&lt;=$ER41)*(NORMDIST((YEAR(IN$24)-YEAR($EQ41))*12+MONTH(IN$24)-MONTH($EQ41)+1,$ES41/2,$EU41,TRUE)-NORMDIST((YEAR(IN$24)-YEAR($EQ41))*12+MONTH(IN$24)-MONTH($EQ41),$ES41/2,$EU41,TRUE))/(1-2*NORMDIST(0,$ES41/2,$EU41,TRUE))*$EP41</f>
        <v>0</v>
      </c>
      <c r="IO41" s="20">
        <f t="shared" si="145"/>
        <v>0</v>
      </c>
      <c r="IP41" s="20">
        <f t="shared" si="145"/>
        <v>0</v>
      </c>
      <c r="IQ41" s="20">
        <f t="shared" si="145"/>
        <v>0</v>
      </c>
      <c r="IR41" s="20">
        <f t="shared" si="145"/>
        <v>0</v>
      </c>
      <c r="IS41" s="20">
        <f t="shared" si="145"/>
        <v>0</v>
      </c>
      <c r="IT41" s="20">
        <f t="shared" si="145"/>
        <v>0</v>
      </c>
      <c r="IU41" s="20">
        <f t="shared" si="145"/>
        <v>0</v>
      </c>
      <c r="IV41" s="20">
        <f t="shared" si="145"/>
        <v>0</v>
      </c>
      <c r="IW41" s="20">
        <f t="shared" si="145"/>
        <v>0</v>
      </c>
      <c r="IX41" s="20">
        <f t="shared" si="145"/>
        <v>0</v>
      </c>
      <c r="IY41" s="20">
        <f t="shared" si="145"/>
        <v>0</v>
      </c>
      <c r="IZ41" s="20">
        <f t="shared" si="145"/>
        <v>0</v>
      </c>
      <c r="JA41" s="20">
        <f t="shared" si="145"/>
        <v>0</v>
      </c>
      <c r="JB41" s="20">
        <f t="shared" si="145"/>
        <v>0</v>
      </c>
      <c r="JC41" s="20">
        <f t="shared" si="145"/>
        <v>0</v>
      </c>
      <c r="JD41" s="20">
        <f t="shared" ref="JD41:JS46" si="146">AND($ET41="S-Curve",JD$24&gt;=$EQ41,JD$24&lt;=$ER41)*(NORMDIST((YEAR(JD$24)-YEAR($EQ41))*12+MONTH(JD$24)-MONTH($EQ41)+1,$ES41/2,$EU41,TRUE)-NORMDIST((YEAR(JD$24)-YEAR($EQ41))*12+MONTH(JD$24)-MONTH($EQ41),$ES41/2,$EU41,TRUE))/(1-2*NORMDIST(0,$ES41/2,$EU41,TRUE))*$EP41</f>
        <v>0</v>
      </c>
      <c r="JE41" s="20">
        <f t="shared" si="146"/>
        <v>0</v>
      </c>
      <c r="JF41" s="20">
        <f t="shared" si="146"/>
        <v>0</v>
      </c>
      <c r="JG41" s="20">
        <f t="shared" si="146"/>
        <v>0</v>
      </c>
      <c r="JH41" s="20">
        <f t="shared" si="146"/>
        <v>0</v>
      </c>
      <c r="JI41" s="20">
        <f t="shared" si="146"/>
        <v>0</v>
      </c>
      <c r="JJ41" s="20">
        <f t="shared" si="146"/>
        <v>0</v>
      </c>
      <c r="JK41" s="20">
        <f t="shared" si="146"/>
        <v>0</v>
      </c>
      <c r="JL41" s="20">
        <f t="shared" si="146"/>
        <v>0</v>
      </c>
      <c r="JM41" s="20">
        <f t="shared" si="146"/>
        <v>0</v>
      </c>
      <c r="JN41" s="20">
        <f t="shared" si="146"/>
        <v>0</v>
      </c>
      <c r="JO41" s="20">
        <f t="shared" si="146"/>
        <v>0</v>
      </c>
      <c r="JP41" s="20">
        <f t="shared" si="146"/>
        <v>0</v>
      </c>
      <c r="JQ41" s="20">
        <f t="shared" si="146"/>
        <v>0</v>
      </c>
      <c r="JR41" s="20">
        <f t="shared" si="146"/>
        <v>0</v>
      </c>
      <c r="JS41" s="20">
        <f t="shared" si="146"/>
        <v>0</v>
      </c>
      <c r="JT41" s="20">
        <f t="shared" ref="JT41:JX46" si="147">AND($ET41="S-Curve",JT$24&gt;=$EQ41,JT$24&lt;=$ER41)*(NORMDIST((YEAR(JT$24)-YEAR($EQ41))*12+MONTH(JT$24)-MONTH($EQ41)+1,$ES41/2,$EU41,TRUE)-NORMDIST((YEAR(JT$24)-YEAR($EQ41))*12+MONTH(JT$24)-MONTH($EQ41),$ES41/2,$EU41,TRUE))/(1-2*NORMDIST(0,$ES41/2,$EU41,TRUE))*$EP41</f>
        <v>0</v>
      </c>
      <c r="JU41" s="20">
        <f t="shared" si="147"/>
        <v>0</v>
      </c>
      <c r="JV41" s="20">
        <f t="shared" si="147"/>
        <v>0</v>
      </c>
      <c r="JW41" s="20">
        <f t="shared" si="147"/>
        <v>0</v>
      </c>
      <c r="JX41" s="20">
        <f t="shared" si="147"/>
        <v>0</v>
      </c>
      <c r="JY41"/>
      <c r="JZ41" s="220">
        <f t="shared" si="51"/>
        <v>0</v>
      </c>
      <c r="KA41" s="201"/>
      <c r="KB41" s="20">
        <f t="shared" ref="KB41:KB46" si="148">D41</f>
        <v>0</v>
      </c>
      <c r="KC41" s="20">
        <f t="shared" ref="KC41:KC46" si="149">E41</f>
        <v>36</v>
      </c>
      <c r="KD41" s="20">
        <f t="shared" ref="KD41:KD46" si="150">KC41-KB41+1</f>
        <v>37</v>
      </c>
      <c r="KE41" s="418">
        <f t="shared" ref="KE41:KE46" si="151">I41</f>
        <v>0</v>
      </c>
      <c r="KF41" s="418">
        <f t="shared" ref="KF41:KU46" si="152">AND(KF$23&gt;=$KB41,KF$23&lt;=$KC41)*(IF($F41="Steady Growth",KF$23-$KB41,$KC41-KF$23)+1)/($KD41*($KD41+1)/2)*$KE41</f>
        <v>0</v>
      </c>
      <c r="KG41" s="418">
        <f t="shared" si="152"/>
        <v>0</v>
      </c>
      <c r="KH41" s="418">
        <f t="shared" si="152"/>
        <v>0</v>
      </c>
      <c r="KI41" s="418">
        <f t="shared" si="152"/>
        <v>0</v>
      </c>
      <c r="KJ41" s="418">
        <f t="shared" si="152"/>
        <v>0</v>
      </c>
      <c r="KK41" s="418">
        <f t="shared" si="152"/>
        <v>0</v>
      </c>
      <c r="KL41" s="418">
        <f t="shared" si="152"/>
        <v>0</v>
      </c>
      <c r="KM41" s="418">
        <f t="shared" si="152"/>
        <v>0</v>
      </c>
      <c r="KN41" s="418">
        <f t="shared" si="152"/>
        <v>0</v>
      </c>
      <c r="KO41" s="418">
        <f t="shared" si="152"/>
        <v>0</v>
      </c>
      <c r="KP41" s="418">
        <f t="shared" si="152"/>
        <v>0</v>
      </c>
      <c r="KQ41" s="418">
        <f t="shared" si="152"/>
        <v>0</v>
      </c>
      <c r="KR41" s="418">
        <f t="shared" si="152"/>
        <v>0</v>
      </c>
      <c r="KS41" s="418">
        <f t="shared" si="152"/>
        <v>0</v>
      </c>
      <c r="KT41" s="418">
        <f t="shared" si="152"/>
        <v>0</v>
      </c>
      <c r="KU41" s="418">
        <f t="shared" si="152"/>
        <v>0</v>
      </c>
      <c r="KV41" s="418">
        <f t="shared" ref="KV41:LK46" si="153">AND(KV$23&gt;=$KB41,KV$23&lt;=$KC41)*(IF($F41="Steady Growth",KV$23-$KB41,$KC41-KV$23)+1)/($KD41*($KD41+1)/2)*$KE41</f>
        <v>0</v>
      </c>
      <c r="KW41" s="418">
        <f t="shared" si="153"/>
        <v>0</v>
      </c>
      <c r="KX41" s="418">
        <f t="shared" si="153"/>
        <v>0</v>
      </c>
      <c r="KY41" s="418">
        <f t="shared" si="153"/>
        <v>0</v>
      </c>
      <c r="KZ41" s="418">
        <f t="shared" si="153"/>
        <v>0</v>
      </c>
      <c r="LA41" s="418">
        <f t="shared" si="153"/>
        <v>0</v>
      </c>
      <c r="LB41" s="418">
        <f t="shared" si="153"/>
        <v>0</v>
      </c>
      <c r="LC41" s="418">
        <f t="shared" si="153"/>
        <v>0</v>
      </c>
      <c r="LD41" s="418">
        <f t="shared" si="153"/>
        <v>0</v>
      </c>
      <c r="LE41" s="418">
        <f t="shared" si="153"/>
        <v>0</v>
      </c>
      <c r="LF41" s="418">
        <f t="shared" si="153"/>
        <v>0</v>
      </c>
      <c r="LG41" s="418">
        <f t="shared" si="153"/>
        <v>0</v>
      </c>
      <c r="LH41" s="418">
        <f t="shared" si="153"/>
        <v>0</v>
      </c>
      <c r="LI41" s="418">
        <f t="shared" si="153"/>
        <v>0</v>
      </c>
      <c r="LJ41" s="418">
        <f t="shared" si="153"/>
        <v>0</v>
      </c>
      <c r="LK41" s="418">
        <f t="shared" si="153"/>
        <v>0</v>
      </c>
      <c r="LL41" s="418">
        <f t="shared" ref="LL41:MA46" si="154">AND(LL$23&gt;=$KB41,LL$23&lt;=$KC41)*(IF($F41="Steady Growth",LL$23-$KB41,$KC41-LL$23)+1)/($KD41*($KD41+1)/2)*$KE41</f>
        <v>0</v>
      </c>
      <c r="LM41" s="418">
        <f t="shared" si="154"/>
        <v>0</v>
      </c>
      <c r="LN41" s="418">
        <f t="shared" si="154"/>
        <v>0</v>
      </c>
      <c r="LO41" s="418">
        <f t="shared" si="154"/>
        <v>0</v>
      </c>
      <c r="LP41" s="418">
        <f t="shared" si="154"/>
        <v>0</v>
      </c>
      <c r="LQ41" s="418">
        <f t="shared" si="154"/>
        <v>0</v>
      </c>
      <c r="LR41" s="418">
        <f t="shared" si="154"/>
        <v>0</v>
      </c>
      <c r="LS41" s="418">
        <f t="shared" si="154"/>
        <v>0</v>
      </c>
      <c r="LT41" s="418">
        <f t="shared" si="154"/>
        <v>0</v>
      </c>
      <c r="LU41" s="418">
        <f t="shared" si="154"/>
        <v>0</v>
      </c>
      <c r="LV41" s="418">
        <f t="shared" si="154"/>
        <v>0</v>
      </c>
      <c r="LW41" s="418">
        <f t="shared" si="154"/>
        <v>0</v>
      </c>
      <c r="LX41" s="418">
        <f t="shared" si="154"/>
        <v>0</v>
      </c>
      <c r="LY41" s="418">
        <f t="shared" si="154"/>
        <v>0</v>
      </c>
      <c r="LZ41" s="418">
        <f t="shared" si="154"/>
        <v>0</v>
      </c>
      <c r="MA41" s="418">
        <f t="shared" si="154"/>
        <v>0</v>
      </c>
      <c r="MB41" s="418">
        <f t="shared" ref="MB41:MQ46" si="155">AND(MB$23&gt;=$KB41,MB$23&lt;=$KC41)*(IF($F41="Steady Growth",MB$23-$KB41,$KC41-MB$23)+1)/($KD41*($KD41+1)/2)*$KE41</f>
        <v>0</v>
      </c>
      <c r="MC41" s="418">
        <f t="shared" si="155"/>
        <v>0</v>
      </c>
      <c r="MD41" s="418">
        <f t="shared" si="155"/>
        <v>0</v>
      </c>
      <c r="ME41" s="418">
        <f t="shared" si="155"/>
        <v>0</v>
      </c>
      <c r="MF41" s="418">
        <f t="shared" si="155"/>
        <v>0</v>
      </c>
      <c r="MG41" s="418">
        <f t="shared" si="155"/>
        <v>0</v>
      </c>
      <c r="MH41" s="418">
        <f t="shared" si="155"/>
        <v>0</v>
      </c>
      <c r="MI41" s="418">
        <f t="shared" si="155"/>
        <v>0</v>
      </c>
      <c r="MJ41" s="418">
        <f t="shared" si="155"/>
        <v>0</v>
      </c>
      <c r="MK41" s="418">
        <f t="shared" si="155"/>
        <v>0</v>
      </c>
      <c r="ML41" s="418">
        <f t="shared" si="155"/>
        <v>0</v>
      </c>
      <c r="MM41" s="418">
        <f t="shared" si="155"/>
        <v>0</v>
      </c>
      <c r="MN41" s="418">
        <f t="shared" si="155"/>
        <v>0</v>
      </c>
      <c r="MO41" s="418">
        <f t="shared" si="155"/>
        <v>0</v>
      </c>
      <c r="MP41" s="418">
        <f t="shared" si="155"/>
        <v>0</v>
      </c>
      <c r="MQ41" s="418">
        <f t="shared" si="155"/>
        <v>0</v>
      </c>
      <c r="MR41" s="418">
        <f t="shared" ref="MR41:NG46" si="156">AND(MR$23&gt;=$KB41,MR$23&lt;=$KC41)*(IF($F41="Steady Growth",MR$23-$KB41,$KC41-MR$23)+1)/($KD41*($KD41+1)/2)*$KE41</f>
        <v>0</v>
      </c>
      <c r="MS41" s="418">
        <f t="shared" si="156"/>
        <v>0</v>
      </c>
      <c r="MT41" s="418">
        <f t="shared" si="156"/>
        <v>0</v>
      </c>
      <c r="MU41" s="418">
        <f t="shared" si="156"/>
        <v>0</v>
      </c>
      <c r="MV41" s="418">
        <f t="shared" si="156"/>
        <v>0</v>
      </c>
      <c r="MW41" s="418">
        <f t="shared" si="156"/>
        <v>0</v>
      </c>
      <c r="MX41" s="418">
        <f t="shared" si="156"/>
        <v>0</v>
      </c>
      <c r="MY41" s="418">
        <f t="shared" si="156"/>
        <v>0</v>
      </c>
      <c r="MZ41" s="418">
        <f t="shared" si="156"/>
        <v>0</v>
      </c>
      <c r="NA41" s="418">
        <f t="shared" si="156"/>
        <v>0</v>
      </c>
      <c r="NB41" s="418">
        <f t="shared" si="156"/>
        <v>0</v>
      </c>
      <c r="NC41" s="418">
        <f t="shared" si="156"/>
        <v>0</v>
      </c>
      <c r="ND41" s="418">
        <f t="shared" si="156"/>
        <v>0</v>
      </c>
      <c r="NE41" s="418">
        <f t="shared" si="156"/>
        <v>0</v>
      </c>
      <c r="NF41" s="418">
        <f t="shared" si="156"/>
        <v>0</v>
      </c>
      <c r="NG41" s="418">
        <f t="shared" si="156"/>
        <v>0</v>
      </c>
      <c r="NH41" s="418">
        <f t="shared" ref="NH41:NW46" si="157">AND(NH$23&gt;=$KB41,NH$23&lt;=$KC41)*(IF($F41="Steady Growth",NH$23-$KB41,$KC41-NH$23)+1)/($KD41*($KD41+1)/2)*$KE41</f>
        <v>0</v>
      </c>
      <c r="NI41" s="418">
        <f t="shared" si="157"/>
        <v>0</v>
      </c>
      <c r="NJ41" s="418">
        <f t="shared" si="157"/>
        <v>0</v>
      </c>
      <c r="NK41" s="418">
        <f t="shared" si="157"/>
        <v>0</v>
      </c>
      <c r="NL41" s="418">
        <f t="shared" si="157"/>
        <v>0</v>
      </c>
      <c r="NM41" s="418">
        <f t="shared" si="157"/>
        <v>0</v>
      </c>
      <c r="NN41" s="418">
        <f t="shared" si="157"/>
        <v>0</v>
      </c>
      <c r="NO41" s="418">
        <f t="shared" si="157"/>
        <v>0</v>
      </c>
      <c r="NP41" s="418">
        <f t="shared" si="157"/>
        <v>0</v>
      </c>
      <c r="NQ41" s="418">
        <f t="shared" si="157"/>
        <v>0</v>
      </c>
      <c r="NR41" s="418">
        <f t="shared" si="157"/>
        <v>0</v>
      </c>
      <c r="NS41" s="418">
        <f t="shared" si="157"/>
        <v>0</v>
      </c>
      <c r="NT41" s="418">
        <f t="shared" si="157"/>
        <v>0</v>
      </c>
      <c r="NU41" s="418">
        <f t="shared" si="157"/>
        <v>0</v>
      </c>
      <c r="NV41" s="418">
        <f t="shared" si="157"/>
        <v>0</v>
      </c>
      <c r="NW41" s="418">
        <f t="shared" si="157"/>
        <v>0</v>
      </c>
      <c r="NX41" s="418">
        <f t="shared" ref="NX41:OM46" si="158">AND(NX$23&gt;=$KB41,NX$23&lt;=$KC41)*(IF($F41="Steady Growth",NX$23-$KB41,$KC41-NX$23)+1)/($KD41*($KD41+1)/2)*$KE41</f>
        <v>0</v>
      </c>
      <c r="NY41" s="418">
        <f t="shared" si="158"/>
        <v>0</v>
      </c>
      <c r="NZ41" s="418">
        <f t="shared" si="158"/>
        <v>0</v>
      </c>
      <c r="OA41" s="418">
        <f t="shared" si="158"/>
        <v>0</v>
      </c>
      <c r="OB41" s="418">
        <f t="shared" si="158"/>
        <v>0</v>
      </c>
      <c r="OC41" s="418">
        <f t="shared" si="158"/>
        <v>0</v>
      </c>
      <c r="OD41" s="418">
        <f t="shared" si="158"/>
        <v>0</v>
      </c>
      <c r="OE41" s="418">
        <f t="shared" si="158"/>
        <v>0</v>
      </c>
      <c r="OF41" s="418">
        <f t="shared" si="158"/>
        <v>0</v>
      </c>
      <c r="OG41" s="418">
        <f t="shared" si="158"/>
        <v>0</v>
      </c>
      <c r="OH41" s="418">
        <f t="shared" si="158"/>
        <v>0</v>
      </c>
      <c r="OI41" s="418">
        <f t="shared" si="158"/>
        <v>0</v>
      </c>
      <c r="OJ41" s="418">
        <f t="shared" si="158"/>
        <v>0</v>
      </c>
      <c r="OK41" s="418">
        <f t="shared" si="158"/>
        <v>0</v>
      </c>
      <c r="OL41" s="418">
        <f t="shared" si="158"/>
        <v>0</v>
      </c>
      <c r="OM41" s="418">
        <f t="shared" si="158"/>
        <v>0</v>
      </c>
      <c r="ON41" s="418">
        <f t="shared" ref="ON41:PC46" si="159">AND(ON$23&gt;=$KB41,ON$23&lt;=$KC41)*(IF($F41="Steady Growth",ON$23-$KB41,$KC41-ON$23)+1)/($KD41*($KD41+1)/2)*$KE41</f>
        <v>0</v>
      </c>
      <c r="OO41" s="418">
        <f t="shared" si="159"/>
        <v>0</v>
      </c>
      <c r="OP41" s="418">
        <f t="shared" si="159"/>
        <v>0</v>
      </c>
      <c r="OQ41" s="418">
        <f t="shared" si="159"/>
        <v>0</v>
      </c>
      <c r="OR41" s="418">
        <f t="shared" si="159"/>
        <v>0</v>
      </c>
      <c r="OS41" s="418">
        <f t="shared" si="159"/>
        <v>0</v>
      </c>
      <c r="OT41" s="418">
        <f t="shared" si="159"/>
        <v>0</v>
      </c>
      <c r="OU41" s="418">
        <f t="shared" si="159"/>
        <v>0</v>
      </c>
      <c r="OV41" s="418">
        <f t="shared" si="159"/>
        <v>0</v>
      </c>
      <c r="OW41" s="418">
        <f t="shared" si="159"/>
        <v>0</v>
      </c>
      <c r="OX41" s="418">
        <f t="shared" si="159"/>
        <v>0</v>
      </c>
      <c r="OY41" s="418">
        <f t="shared" si="159"/>
        <v>0</v>
      </c>
      <c r="OZ41" s="418">
        <f t="shared" si="159"/>
        <v>0</v>
      </c>
      <c r="PA41" s="418">
        <f t="shared" si="159"/>
        <v>0</v>
      </c>
      <c r="PB41" s="418">
        <f t="shared" si="159"/>
        <v>0</v>
      </c>
      <c r="PC41" s="418">
        <f t="shared" si="159"/>
        <v>0</v>
      </c>
      <c r="PD41" s="418">
        <f t="shared" ref="PD41:PH46" si="160">AND(PD$23&gt;=$KB41,PD$23&lt;=$KC41)*(IF($F41="Steady Growth",PD$23-$KB41,$KC41-PD$23)+1)/($KD41*($KD41+1)/2)*$KE41</f>
        <v>0</v>
      </c>
      <c r="PE41" s="418">
        <f t="shared" si="160"/>
        <v>0</v>
      </c>
      <c r="PF41" s="418">
        <f t="shared" si="160"/>
        <v>0</v>
      </c>
      <c r="PG41" s="418">
        <f t="shared" si="160"/>
        <v>0</v>
      </c>
      <c r="PH41" s="418">
        <f t="shared" si="160"/>
        <v>0</v>
      </c>
    </row>
    <row r="42" spans="1:424" x14ac:dyDescent="0.35">
      <c r="A42"/>
      <c r="B42" s="426" t="s">
        <v>154</v>
      </c>
      <c r="C42" s="400">
        <v>1</v>
      </c>
      <c r="D42" s="45"/>
      <c r="E42" s="257">
        <f t="shared" si="116"/>
        <v>36</v>
      </c>
      <c r="F42" s="414" t="s">
        <v>142</v>
      </c>
      <c r="G42" s="134">
        <f t="shared" si="117"/>
        <v>0</v>
      </c>
      <c r="H42" s="415"/>
      <c r="I42" s="416">
        <v>0</v>
      </c>
      <c r="J42"/>
      <c r="K42" s="22" t="str">
        <f t="shared" si="118"/>
        <v/>
      </c>
      <c r="L42" s="417">
        <f t="shared" si="119"/>
        <v>0</v>
      </c>
      <c r="M42" s="417">
        <f t="shared" si="119"/>
        <v>0</v>
      </c>
      <c r="N42" s="417">
        <f t="shared" si="119"/>
        <v>0</v>
      </c>
      <c r="O42" s="417">
        <f t="shared" si="119"/>
        <v>0</v>
      </c>
      <c r="P42" s="417">
        <f t="shared" si="119"/>
        <v>0</v>
      </c>
      <c r="Q42" s="417">
        <f t="shared" si="119"/>
        <v>0</v>
      </c>
      <c r="R42" s="417">
        <f t="shared" si="119"/>
        <v>0</v>
      </c>
      <c r="S42" s="417">
        <f t="shared" si="119"/>
        <v>0</v>
      </c>
      <c r="T42" s="417">
        <f t="shared" si="119"/>
        <v>0</v>
      </c>
      <c r="U42" s="417">
        <f t="shared" si="119"/>
        <v>0</v>
      </c>
      <c r="V42" s="417">
        <f t="shared" si="120"/>
        <v>0</v>
      </c>
      <c r="W42" s="417">
        <f t="shared" si="120"/>
        <v>0</v>
      </c>
      <c r="X42" s="417">
        <f t="shared" si="120"/>
        <v>0</v>
      </c>
      <c r="Y42" s="417">
        <f t="shared" si="120"/>
        <v>0</v>
      </c>
      <c r="Z42" s="417">
        <f t="shared" si="120"/>
        <v>0</v>
      </c>
      <c r="AA42" s="417">
        <f t="shared" si="120"/>
        <v>0</v>
      </c>
      <c r="AB42" s="417">
        <f t="shared" si="120"/>
        <v>0</v>
      </c>
      <c r="AC42" s="417">
        <f t="shared" si="120"/>
        <v>0</v>
      </c>
      <c r="AD42" s="417">
        <f t="shared" si="120"/>
        <v>0</v>
      </c>
      <c r="AE42" s="417">
        <f t="shared" si="120"/>
        <v>0</v>
      </c>
      <c r="AF42" s="417">
        <f t="shared" si="121"/>
        <v>0</v>
      </c>
      <c r="AG42" s="417">
        <f t="shared" si="121"/>
        <v>0</v>
      </c>
      <c r="AH42" s="417">
        <f t="shared" si="121"/>
        <v>0</v>
      </c>
      <c r="AI42" s="417">
        <f t="shared" si="121"/>
        <v>0</v>
      </c>
      <c r="AJ42" s="417">
        <f t="shared" si="121"/>
        <v>0</v>
      </c>
      <c r="AK42" s="417">
        <f t="shared" si="121"/>
        <v>0</v>
      </c>
      <c r="AL42" s="417">
        <f t="shared" si="121"/>
        <v>0</v>
      </c>
      <c r="AM42" s="417">
        <f t="shared" si="121"/>
        <v>0</v>
      </c>
      <c r="AN42" s="417">
        <f t="shared" si="121"/>
        <v>0</v>
      </c>
      <c r="AO42" s="417">
        <f t="shared" si="121"/>
        <v>0</v>
      </c>
      <c r="AP42" s="417">
        <f t="shared" si="122"/>
        <v>0</v>
      </c>
      <c r="AQ42" s="417">
        <f t="shared" si="122"/>
        <v>0</v>
      </c>
      <c r="AR42" s="417">
        <f t="shared" si="122"/>
        <v>0</v>
      </c>
      <c r="AS42" s="417">
        <f t="shared" si="122"/>
        <v>0</v>
      </c>
      <c r="AT42" s="417">
        <f t="shared" si="122"/>
        <v>0</v>
      </c>
      <c r="AU42" s="417">
        <f t="shared" si="122"/>
        <v>0</v>
      </c>
      <c r="AV42" s="417">
        <f t="shared" si="122"/>
        <v>0</v>
      </c>
      <c r="AW42" s="417">
        <f t="shared" si="122"/>
        <v>0</v>
      </c>
      <c r="AX42" s="417">
        <f t="shared" si="122"/>
        <v>0</v>
      </c>
      <c r="AY42" s="417">
        <f t="shared" si="122"/>
        <v>0</v>
      </c>
      <c r="AZ42" s="417">
        <f t="shared" si="123"/>
        <v>0</v>
      </c>
      <c r="BA42" s="417">
        <f t="shared" si="123"/>
        <v>0</v>
      </c>
      <c r="BB42" s="417">
        <f t="shared" si="123"/>
        <v>0</v>
      </c>
      <c r="BC42" s="417">
        <f t="shared" si="123"/>
        <v>0</v>
      </c>
      <c r="BD42" s="417">
        <f t="shared" si="123"/>
        <v>0</v>
      </c>
      <c r="BE42" s="417">
        <f t="shared" si="123"/>
        <v>0</v>
      </c>
      <c r="BF42" s="417">
        <f t="shared" si="123"/>
        <v>0</v>
      </c>
      <c r="BG42" s="417">
        <f t="shared" si="123"/>
        <v>0</v>
      </c>
      <c r="BH42" s="417">
        <f t="shared" si="123"/>
        <v>0</v>
      </c>
      <c r="BI42" s="417">
        <f t="shared" si="123"/>
        <v>0</v>
      </c>
      <c r="BJ42" s="417">
        <f t="shared" si="124"/>
        <v>0</v>
      </c>
      <c r="BK42" s="417">
        <f t="shared" si="124"/>
        <v>0</v>
      </c>
      <c r="BL42" s="417">
        <f t="shared" si="124"/>
        <v>0</v>
      </c>
      <c r="BM42" s="417">
        <f t="shared" si="124"/>
        <v>0</v>
      </c>
      <c r="BN42" s="417">
        <f t="shared" si="124"/>
        <v>0</v>
      </c>
      <c r="BO42" s="417">
        <f t="shared" si="124"/>
        <v>0</v>
      </c>
      <c r="BP42" s="417">
        <f t="shared" si="124"/>
        <v>0</v>
      </c>
      <c r="BQ42" s="417">
        <f t="shared" si="124"/>
        <v>0</v>
      </c>
      <c r="BR42" s="417">
        <f t="shared" si="124"/>
        <v>0</v>
      </c>
      <c r="BS42" s="417">
        <f t="shared" si="124"/>
        <v>0</v>
      </c>
      <c r="BT42" s="417">
        <f t="shared" si="125"/>
        <v>0</v>
      </c>
      <c r="BU42" s="417">
        <f t="shared" si="125"/>
        <v>0</v>
      </c>
      <c r="BV42" s="417">
        <f t="shared" si="125"/>
        <v>0</v>
      </c>
      <c r="BW42" s="417">
        <f t="shared" si="125"/>
        <v>0</v>
      </c>
      <c r="BX42" s="417">
        <f t="shared" si="125"/>
        <v>0</v>
      </c>
      <c r="BY42" s="417">
        <f t="shared" si="125"/>
        <v>0</v>
      </c>
      <c r="BZ42" s="417">
        <f t="shared" si="125"/>
        <v>0</v>
      </c>
      <c r="CA42" s="417">
        <f t="shared" si="125"/>
        <v>0</v>
      </c>
      <c r="CB42" s="417">
        <f t="shared" si="125"/>
        <v>0</v>
      </c>
      <c r="CC42" s="417">
        <f t="shared" si="125"/>
        <v>0</v>
      </c>
      <c r="CD42" s="417">
        <f t="shared" si="126"/>
        <v>0</v>
      </c>
      <c r="CE42" s="417">
        <f t="shared" si="126"/>
        <v>0</v>
      </c>
      <c r="CF42" s="417">
        <f t="shared" si="126"/>
        <v>0</v>
      </c>
      <c r="CG42" s="417">
        <f t="shared" si="126"/>
        <v>0</v>
      </c>
      <c r="CH42" s="417">
        <f t="shared" si="126"/>
        <v>0</v>
      </c>
      <c r="CI42" s="417">
        <f t="shared" si="126"/>
        <v>0</v>
      </c>
      <c r="CJ42" s="417">
        <f t="shared" si="126"/>
        <v>0</v>
      </c>
      <c r="CK42" s="417">
        <f t="shared" si="126"/>
        <v>0</v>
      </c>
      <c r="CL42" s="417">
        <f t="shared" si="126"/>
        <v>0</v>
      </c>
      <c r="CM42" s="417">
        <f t="shared" si="126"/>
        <v>0</v>
      </c>
      <c r="CN42" s="417">
        <f t="shared" si="127"/>
        <v>0</v>
      </c>
      <c r="CO42" s="417">
        <f t="shared" si="127"/>
        <v>0</v>
      </c>
      <c r="CP42" s="417">
        <f t="shared" si="127"/>
        <v>0</v>
      </c>
      <c r="CQ42" s="417">
        <f t="shared" si="127"/>
        <v>0</v>
      </c>
      <c r="CR42" s="417">
        <f t="shared" si="127"/>
        <v>0</v>
      </c>
      <c r="CS42" s="417">
        <f t="shared" si="127"/>
        <v>0</v>
      </c>
      <c r="CT42" s="417">
        <f t="shared" si="127"/>
        <v>0</v>
      </c>
      <c r="CU42" s="417">
        <f t="shared" si="127"/>
        <v>0</v>
      </c>
      <c r="CV42" s="417">
        <f t="shared" si="127"/>
        <v>0</v>
      </c>
      <c r="CW42" s="417">
        <f t="shared" si="127"/>
        <v>0</v>
      </c>
      <c r="CX42" s="417">
        <f t="shared" si="128"/>
        <v>0</v>
      </c>
      <c r="CY42" s="417">
        <f t="shared" si="128"/>
        <v>0</v>
      </c>
      <c r="CZ42" s="417">
        <f t="shared" si="128"/>
        <v>0</v>
      </c>
      <c r="DA42" s="417">
        <f t="shared" si="128"/>
        <v>0</v>
      </c>
      <c r="DB42" s="417">
        <f t="shared" si="128"/>
        <v>0</v>
      </c>
      <c r="DC42" s="417">
        <f t="shared" si="128"/>
        <v>0</v>
      </c>
      <c r="DD42" s="417">
        <f t="shared" si="128"/>
        <v>0</v>
      </c>
      <c r="DE42" s="417">
        <f t="shared" si="128"/>
        <v>0</v>
      </c>
      <c r="DF42" s="417">
        <f t="shared" si="128"/>
        <v>0</v>
      </c>
      <c r="DG42" s="417">
        <f t="shared" si="128"/>
        <v>0</v>
      </c>
      <c r="DH42" s="417">
        <f t="shared" si="129"/>
        <v>0</v>
      </c>
      <c r="DI42" s="417">
        <f t="shared" si="129"/>
        <v>0</v>
      </c>
      <c r="DJ42" s="417">
        <f t="shared" si="129"/>
        <v>0</v>
      </c>
      <c r="DK42" s="417">
        <f t="shared" si="129"/>
        <v>0</v>
      </c>
      <c r="DL42" s="417">
        <f t="shared" si="129"/>
        <v>0</v>
      </c>
      <c r="DM42" s="417">
        <f t="shared" si="129"/>
        <v>0</v>
      </c>
      <c r="DN42" s="417">
        <f t="shared" si="129"/>
        <v>0</v>
      </c>
      <c r="DO42" s="417">
        <f t="shared" si="129"/>
        <v>0</v>
      </c>
      <c r="DP42" s="417">
        <f t="shared" si="129"/>
        <v>0</v>
      </c>
      <c r="DQ42" s="417">
        <f t="shared" si="129"/>
        <v>0</v>
      </c>
      <c r="DR42" s="417">
        <f t="shared" si="130"/>
        <v>0</v>
      </c>
      <c r="DS42" s="417">
        <f t="shared" si="130"/>
        <v>0</v>
      </c>
      <c r="DT42" s="417">
        <f t="shared" si="130"/>
        <v>0</v>
      </c>
      <c r="DU42" s="417">
        <f t="shared" si="130"/>
        <v>0</v>
      </c>
      <c r="DV42" s="417">
        <f t="shared" si="130"/>
        <v>0</v>
      </c>
      <c r="DW42" s="417">
        <f t="shared" si="130"/>
        <v>0</v>
      </c>
      <c r="DX42" s="417">
        <f t="shared" si="130"/>
        <v>0</v>
      </c>
      <c r="DY42" s="417">
        <f t="shared" si="130"/>
        <v>0</v>
      </c>
      <c r="DZ42" s="417">
        <f t="shared" si="130"/>
        <v>0</v>
      </c>
      <c r="EA42" s="417">
        <f t="shared" si="130"/>
        <v>0</v>
      </c>
      <c r="EB42" s="417">
        <f t="shared" si="131"/>
        <v>0</v>
      </c>
      <c r="EC42" s="417">
        <f t="shared" si="131"/>
        <v>0</v>
      </c>
      <c r="ED42" s="417">
        <f t="shared" si="131"/>
        <v>0</v>
      </c>
      <c r="EE42" s="417">
        <f t="shared" si="131"/>
        <v>0</v>
      </c>
      <c r="EF42" s="417">
        <f t="shared" si="131"/>
        <v>0</v>
      </c>
      <c r="EG42" s="417">
        <f t="shared" si="131"/>
        <v>0</v>
      </c>
      <c r="EH42" s="417">
        <f t="shared" si="131"/>
        <v>0</v>
      </c>
      <c r="EI42" s="417">
        <f t="shared" si="131"/>
        <v>0</v>
      </c>
      <c r="EJ42" s="417">
        <f t="shared" si="131"/>
        <v>0</v>
      </c>
      <c r="EK42" s="417">
        <f t="shared" si="131"/>
        <v>0</v>
      </c>
      <c r="EL42" s="417">
        <f t="shared" si="132"/>
        <v>0</v>
      </c>
      <c r="EM42" s="417">
        <f t="shared" si="132"/>
        <v>0</v>
      </c>
      <c r="EN42" s="417">
        <f t="shared" si="132"/>
        <v>0</v>
      </c>
      <c r="EO42"/>
      <c r="EP42" s="220">
        <f t="shared" si="133"/>
        <v>0</v>
      </c>
      <c r="EQ42" s="201">
        <f t="shared" si="134"/>
        <v>46203</v>
      </c>
      <c r="ER42" s="201">
        <f t="shared" si="135"/>
        <v>47299</v>
      </c>
      <c r="ES42" s="20">
        <f t="shared" si="136"/>
        <v>37</v>
      </c>
      <c r="ET42" s="18" t="str">
        <f t="shared" si="137"/>
        <v>Straight-Line</v>
      </c>
      <c r="EU42" s="79">
        <f t="shared" si="138"/>
        <v>6.166666666666667</v>
      </c>
      <c r="EV42" s="20">
        <f t="shared" si="139"/>
        <v>0</v>
      </c>
      <c r="EW42" s="20">
        <f t="shared" si="139"/>
        <v>0</v>
      </c>
      <c r="EX42" s="20">
        <f t="shared" si="139"/>
        <v>0</v>
      </c>
      <c r="EY42" s="20">
        <f t="shared" si="139"/>
        <v>0</v>
      </c>
      <c r="EZ42" s="20">
        <f t="shared" si="139"/>
        <v>0</v>
      </c>
      <c r="FA42" s="20">
        <f t="shared" si="139"/>
        <v>0</v>
      </c>
      <c r="FB42" s="20">
        <f t="shared" si="139"/>
        <v>0</v>
      </c>
      <c r="FC42" s="20">
        <f t="shared" si="139"/>
        <v>0</v>
      </c>
      <c r="FD42" s="20">
        <f t="shared" si="139"/>
        <v>0</v>
      </c>
      <c r="FE42" s="20">
        <f t="shared" si="139"/>
        <v>0</v>
      </c>
      <c r="FF42" s="20">
        <f t="shared" si="139"/>
        <v>0</v>
      </c>
      <c r="FG42" s="20">
        <f t="shared" si="139"/>
        <v>0</v>
      </c>
      <c r="FH42" s="20">
        <f t="shared" si="139"/>
        <v>0</v>
      </c>
      <c r="FI42" s="20">
        <f t="shared" si="139"/>
        <v>0</v>
      </c>
      <c r="FJ42" s="20">
        <f t="shared" si="139"/>
        <v>0</v>
      </c>
      <c r="FK42" s="20">
        <f t="shared" si="139"/>
        <v>0</v>
      </c>
      <c r="FL42" s="20">
        <f t="shared" si="140"/>
        <v>0</v>
      </c>
      <c r="FM42" s="20">
        <f t="shared" si="140"/>
        <v>0</v>
      </c>
      <c r="FN42" s="20">
        <f t="shared" si="140"/>
        <v>0</v>
      </c>
      <c r="FO42" s="20">
        <f t="shared" si="140"/>
        <v>0</v>
      </c>
      <c r="FP42" s="20">
        <f t="shared" si="140"/>
        <v>0</v>
      </c>
      <c r="FQ42" s="20">
        <f t="shared" si="140"/>
        <v>0</v>
      </c>
      <c r="FR42" s="20">
        <f t="shared" si="140"/>
        <v>0</v>
      </c>
      <c r="FS42" s="20">
        <f t="shared" si="140"/>
        <v>0</v>
      </c>
      <c r="FT42" s="20">
        <f t="shared" si="140"/>
        <v>0</v>
      </c>
      <c r="FU42" s="20">
        <f t="shared" si="140"/>
        <v>0</v>
      </c>
      <c r="FV42" s="20">
        <f t="shared" si="140"/>
        <v>0</v>
      </c>
      <c r="FW42" s="20">
        <f t="shared" si="140"/>
        <v>0</v>
      </c>
      <c r="FX42" s="20">
        <f t="shared" si="140"/>
        <v>0</v>
      </c>
      <c r="FY42" s="20">
        <f t="shared" si="140"/>
        <v>0</v>
      </c>
      <c r="FZ42" s="20">
        <f t="shared" si="140"/>
        <v>0</v>
      </c>
      <c r="GA42" s="20">
        <f t="shared" si="140"/>
        <v>0</v>
      </c>
      <c r="GB42" s="20">
        <f t="shared" si="141"/>
        <v>0</v>
      </c>
      <c r="GC42" s="20">
        <f t="shared" si="141"/>
        <v>0</v>
      </c>
      <c r="GD42" s="20">
        <f t="shared" si="141"/>
        <v>0</v>
      </c>
      <c r="GE42" s="20">
        <f t="shared" si="141"/>
        <v>0</v>
      </c>
      <c r="GF42" s="20">
        <f t="shared" si="141"/>
        <v>0</v>
      </c>
      <c r="GG42" s="20">
        <f t="shared" si="141"/>
        <v>0</v>
      </c>
      <c r="GH42" s="20">
        <f t="shared" si="141"/>
        <v>0</v>
      </c>
      <c r="GI42" s="20">
        <f t="shared" si="141"/>
        <v>0</v>
      </c>
      <c r="GJ42" s="20">
        <f t="shared" si="141"/>
        <v>0</v>
      </c>
      <c r="GK42" s="20">
        <f t="shared" si="141"/>
        <v>0</v>
      </c>
      <c r="GL42" s="20">
        <f t="shared" si="141"/>
        <v>0</v>
      </c>
      <c r="GM42" s="20">
        <f t="shared" si="141"/>
        <v>0</v>
      </c>
      <c r="GN42" s="20">
        <f t="shared" si="141"/>
        <v>0</v>
      </c>
      <c r="GO42" s="20">
        <f t="shared" si="141"/>
        <v>0</v>
      </c>
      <c r="GP42" s="20">
        <f t="shared" si="141"/>
        <v>0</v>
      </c>
      <c r="GQ42" s="20">
        <f t="shared" si="141"/>
        <v>0</v>
      </c>
      <c r="GR42" s="20">
        <f t="shared" si="142"/>
        <v>0</v>
      </c>
      <c r="GS42" s="20">
        <f t="shared" si="142"/>
        <v>0</v>
      </c>
      <c r="GT42" s="20">
        <f t="shared" si="142"/>
        <v>0</v>
      </c>
      <c r="GU42" s="20">
        <f t="shared" si="142"/>
        <v>0</v>
      </c>
      <c r="GV42" s="20">
        <f t="shared" si="142"/>
        <v>0</v>
      </c>
      <c r="GW42" s="20">
        <f t="shared" si="142"/>
        <v>0</v>
      </c>
      <c r="GX42" s="20">
        <f t="shared" si="142"/>
        <v>0</v>
      </c>
      <c r="GY42" s="20">
        <f t="shared" si="142"/>
        <v>0</v>
      </c>
      <c r="GZ42" s="20">
        <f t="shared" si="142"/>
        <v>0</v>
      </c>
      <c r="HA42" s="20">
        <f t="shared" si="142"/>
        <v>0</v>
      </c>
      <c r="HB42" s="20">
        <f t="shared" si="142"/>
        <v>0</v>
      </c>
      <c r="HC42" s="20">
        <f t="shared" si="142"/>
        <v>0</v>
      </c>
      <c r="HD42" s="20">
        <f t="shared" si="142"/>
        <v>0</v>
      </c>
      <c r="HE42" s="20">
        <f t="shared" si="142"/>
        <v>0</v>
      </c>
      <c r="HF42" s="20">
        <f t="shared" si="142"/>
        <v>0</v>
      </c>
      <c r="HG42" s="20">
        <f t="shared" si="142"/>
        <v>0</v>
      </c>
      <c r="HH42" s="20">
        <f t="shared" si="143"/>
        <v>0</v>
      </c>
      <c r="HI42" s="20">
        <f t="shared" si="143"/>
        <v>0</v>
      </c>
      <c r="HJ42" s="20">
        <f t="shared" si="143"/>
        <v>0</v>
      </c>
      <c r="HK42" s="20">
        <f t="shared" si="143"/>
        <v>0</v>
      </c>
      <c r="HL42" s="20">
        <f t="shared" si="143"/>
        <v>0</v>
      </c>
      <c r="HM42" s="20">
        <f t="shared" si="143"/>
        <v>0</v>
      </c>
      <c r="HN42" s="20">
        <f t="shared" si="143"/>
        <v>0</v>
      </c>
      <c r="HO42" s="20">
        <f t="shared" si="143"/>
        <v>0</v>
      </c>
      <c r="HP42" s="20">
        <f t="shared" si="143"/>
        <v>0</v>
      </c>
      <c r="HQ42" s="20">
        <f t="shared" si="143"/>
        <v>0</v>
      </c>
      <c r="HR42" s="20">
        <f t="shared" si="143"/>
        <v>0</v>
      </c>
      <c r="HS42" s="20">
        <f t="shared" si="143"/>
        <v>0</v>
      </c>
      <c r="HT42" s="20">
        <f t="shared" si="143"/>
        <v>0</v>
      </c>
      <c r="HU42" s="20">
        <f t="shared" si="143"/>
        <v>0</v>
      </c>
      <c r="HV42" s="20">
        <f t="shared" si="143"/>
        <v>0</v>
      </c>
      <c r="HW42" s="20">
        <f t="shared" si="143"/>
        <v>0</v>
      </c>
      <c r="HX42" s="20">
        <f t="shared" si="144"/>
        <v>0</v>
      </c>
      <c r="HY42" s="20">
        <f t="shared" si="144"/>
        <v>0</v>
      </c>
      <c r="HZ42" s="20">
        <f t="shared" si="144"/>
        <v>0</v>
      </c>
      <c r="IA42" s="20">
        <f t="shared" si="144"/>
        <v>0</v>
      </c>
      <c r="IB42" s="20">
        <f t="shared" si="144"/>
        <v>0</v>
      </c>
      <c r="IC42" s="20">
        <f t="shared" si="144"/>
        <v>0</v>
      </c>
      <c r="ID42" s="20">
        <f t="shared" si="144"/>
        <v>0</v>
      </c>
      <c r="IE42" s="20">
        <f t="shared" si="144"/>
        <v>0</v>
      </c>
      <c r="IF42" s="20">
        <f t="shared" si="144"/>
        <v>0</v>
      </c>
      <c r="IG42" s="20">
        <f t="shared" si="144"/>
        <v>0</v>
      </c>
      <c r="IH42" s="20">
        <f t="shared" si="144"/>
        <v>0</v>
      </c>
      <c r="II42" s="20">
        <f t="shared" si="144"/>
        <v>0</v>
      </c>
      <c r="IJ42" s="20">
        <f t="shared" si="144"/>
        <v>0</v>
      </c>
      <c r="IK42" s="20">
        <f t="shared" si="144"/>
        <v>0</v>
      </c>
      <c r="IL42" s="20">
        <f t="shared" si="144"/>
        <v>0</v>
      </c>
      <c r="IM42" s="20">
        <f t="shared" si="144"/>
        <v>0</v>
      </c>
      <c r="IN42" s="20">
        <f t="shared" si="145"/>
        <v>0</v>
      </c>
      <c r="IO42" s="20">
        <f t="shared" si="145"/>
        <v>0</v>
      </c>
      <c r="IP42" s="20">
        <f t="shared" si="145"/>
        <v>0</v>
      </c>
      <c r="IQ42" s="20">
        <f t="shared" si="145"/>
        <v>0</v>
      </c>
      <c r="IR42" s="20">
        <f t="shared" si="145"/>
        <v>0</v>
      </c>
      <c r="IS42" s="20">
        <f t="shared" si="145"/>
        <v>0</v>
      </c>
      <c r="IT42" s="20">
        <f t="shared" si="145"/>
        <v>0</v>
      </c>
      <c r="IU42" s="20">
        <f t="shared" si="145"/>
        <v>0</v>
      </c>
      <c r="IV42" s="20">
        <f t="shared" si="145"/>
        <v>0</v>
      </c>
      <c r="IW42" s="20">
        <f t="shared" si="145"/>
        <v>0</v>
      </c>
      <c r="IX42" s="20">
        <f t="shared" si="145"/>
        <v>0</v>
      </c>
      <c r="IY42" s="20">
        <f t="shared" si="145"/>
        <v>0</v>
      </c>
      <c r="IZ42" s="20">
        <f t="shared" si="145"/>
        <v>0</v>
      </c>
      <c r="JA42" s="20">
        <f t="shared" si="145"/>
        <v>0</v>
      </c>
      <c r="JB42" s="20">
        <f t="shared" si="145"/>
        <v>0</v>
      </c>
      <c r="JC42" s="20">
        <f t="shared" si="145"/>
        <v>0</v>
      </c>
      <c r="JD42" s="20">
        <f t="shared" si="146"/>
        <v>0</v>
      </c>
      <c r="JE42" s="20">
        <f t="shared" si="146"/>
        <v>0</v>
      </c>
      <c r="JF42" s="20">
        <f t="shared" si="146"/>
        <v>0</v>
      </c>
      <c r="JG42" s="20">
        <f t="shared" si="146"/>
        <v>0</v>
      </c>
      <c r="JH42" s="20">
        <f t="shared" si="146"/>
        <v>0</v>
      </c>
      <c r="JI42" s="20">
        <f t="shared" si="146"/>
        <v>0</v>
      </c>
      <c r="JJ42" s="20">
        <f t="shared" si="146"/>
        <v>0</v>
      </c>
      <c r="JK42" s="20">
        <f t="shared" si="146"/>
        <v>0</v>
      </c>
      <c r="JL42" s="20">
        <f t="shared" si="146"/>
        <v>0</v>
      </c>
      <c r="JM42" s="20">
        <f t="shared" si="146"/>
        <v>0</v>
      </c>
      <c r="JN42" s="20">
        <f t="shared" si="146"/>
        <v>0</v>
      </c>
      <c r="JO42" s="20">
        <f t="shared" si="146"/>
        <v>0</v>
      </c>
      <c r="JP42" s="20">
        <f t="shared" si="146"/>
        <v>0</v>
      </c>
      <c r="JQ42" s="20">
        <f t="shared" si="146"/>
        <v>0</v>
      </c>
      <c r="JR42" s="20">
        <f t="shared" si="146"/>
        <v>0</v>
      </c>
      <c r="JS42" s="20">
        <f t="shared" si="146"/>
        <v>0</v>
      </c>
      <c r="JT42" s="20">
        <f t="shared" si="147"/>
        <v>0</v>
      </c>
      <c r="JU42" s="20">
        <f t="shared" si="147"/>
        <v>0</v>
      </c>
      <c r="JV42" s="20">
        <f t="shared" si="147"/>
        <v>0</v>
      </c>
      <c r="JW42" s="20">
        <f t="shared" si="147"/>
        <v>0</v>
      </c>
      <c r="JX42" s="20">
        <f t="shared" si="147"/>
        <v>0</v>
      </c>
      <c r="JY42"/>
      <c r="JZ42" s="220" t="str">
        <f t="shared" si="51"/>
        <v>Included in detailed component CAPEX</v>
      </c>
      <c r="KA42" s="201"/>
      <c r="KB42" s="20">
        <f t="shared" si="148"/>
        <v>0</v>
      </c>
      <c r="KC42" s="20">
        <f t="shared" si="149"/>
        <v>36</v>
      </c>
      <c r="KD42" s="20">
        <f t="shared" si="150"/>
        <v>37</v>
      </c>
      <c r="KE42" s="418">
        <f t="shared" si="151"/>
        <v>0</v>
      </c>
      <c r="KF42" s="418">
        <f t="shared" si="152"/>
        <v>0</v>
      </c>
      <c r="KG42" s="418">
        <f t="shared" si="152"/>
        <v>0</v>
      </c>
      <c r="KH42" s="418">
        <f t="shared" si="152"/>
        <v>0</v>
      </c>
      <c r="KI42" s="418">
        <f t="shared" si="152"/>
        <v>0</v>
      </c>
      <c r="KJ42" s="418">
        <f t="shared" si="152"/>
        <v>0</v>
      </c>
      <c r="KK42" s="418">
        <f t="shared" si="152"/>
        <v>0</v>
      </c>
      <c r="KL42" s="418">
        <f t="shared" si="152"/>
        <v>0</v>
      </c>
      <c r="KM42" s="418">
        <f t="shared" si="152"/>
        <v>0</v>
      </c>
      <c r="KN42" s="418">
        <f t="shared" si="152"/>
        <v>0</v>
      </c>
      <c r="KO42" s="418">
        <f t="shared" si="152"/>
        <v>0</v>
      </c>
      <c r="KP42" s="418">
        <f t="shared" si="152"/>
        <v>0</v>
      </c>
      <c r="KQ42" s="418">
        <f t="shared" si="152"/>
        <v>0</v>
      </c>
      <c r="KR42" s="418">
        <f t="shared" si="152"/>
        <v>0</v>
      </c>
      <c r="KS42" s="418">
        <f t="shared" si="152"/>
        <v>0</v>
      </c>
      <c r="KT42" s="418">
        <f t="shared" si="152"/>
        <v>0</v>
      </c>
      <c r="KU42" s="418">
        <f t="shared" si="152"/>
        <v>0</v>
      </c>
      <c r="KV42" s="418">
        <f t="shared" si="153"/>
        <v>0</v>
      </c>
      <c r="KW42" s="418">
        <f t="shared" si="153"/>
        <v>0</v>
      </c>
      <c r="KX42" s="418">
        <f t="shared" si="153"/>
        <v>0</v>
      </c>
      <c r="KY42" s="418">
        <f t="shared" si="153"/>
        <v>0</v>
      </c>
      <c r="KZ42" s="418">
        <f t="shared" si="153"/>
        <v>0</v>
      </c>
      <c r="LA42" s="418">
        <f t="shared" si="153"/>
        <v>0</v>
      </c>
      <c r="LB42" s="418">
        <f t="shared" si="153"/>
        <v>0</v>
      </c>
      <c r="LC42" s="418">
        <f t="shared" si="153"/>
        <v>0</v>
      </c>
      <c r="LD42" s="418">
        <f t="shared" si="153"/>
        <v>0</v>
      </c>
      <c r="LE42" s="418">
        <f t="shared" si="153"/>
        <v>0</v>
      </c>
      <c r="LF42" s="418">
        <f t="shared" si="153"/>
        <v>0</v>
      </c>
      <c r="LG42" s="418">
        <f t="shared" si="153"/>
        <v>0</v>
      </c>
      <c r="LH42" s="418">
        <f t="shared" si="153"/>
        <v>0</v>
      </c>
      <c r="LI42" s="418">
        <f t="shared" si="153"/>
        <v>0</v>
      </c>
      <c r="LJ42" s="418">
        <f t="shared" si="153"/>
        <v>0</v>
      </c>
      <c r="LK42" s="418">
        <f t="shared" si="153"/>
        <v>0</v>
      </c>
      <c r="LL42" s="418">
        <f t="shared" si="154"/>
        <v>0</v>
      </c>
      <c r="LM42" s="418">
        <f t="shared" si="154"/>
        <v>0</v>
      </c>
      <c r="LN42" s="418">
        <f t="shared" si="154"/>
        <v>0</v>
      </c>
      <c r="LO42" s="418">
        <f t="shared" si="154"/>
        <v>0</v>
      </c>
      <c r="LP42" s="418">
        <f t="shared" si="154"/>
        <v>0</v>
      </c>
      <c r="LQ42" s="418">
        <f t="shared" si="154"/>
        <v>0</v>
      </c>
      <c r="LR42" s="418">
        <f t="shared" si="154"/>
        <v>0</v>
      </c>
      <c r="LS42" s="418">
        <f t="shared" si="154"/>
        <v>0</v>
      </c>
      <c r="LT42" s="418">
        <f t="shared" si="154"/>
        <v>0</v>
      </c>
      <c r="LU42" s="418">
        <f t="shared" si="154"/>
        <v>0</v>
      </c>
      <c r="LV42" s="418">
        <f t="shared" si="154"/>
        <v>0</v>
      </c>
      <c r="LW42" s="418">
        <f t="shared" si="154"/>
        <v>0</v>
      </c>
      <c r="LX42" s="418">
        <f t="shared" si="154"/>
        <v>0</v>
      </c>
      <c r="LY42" s="418">
        <f t="shared" si="154"/>
        <v>0</v>
      </c>
      <c r="LZ42" s="418">
        <f t="shared" si="154"/>
        <v>0</v>
      </c>
      <c r="MA42" s="418">
        <f t="shared" si="154"/>
        <v>0</v>
      </c>
      <c r="MB42" s="418">
        <f t="shared" si="155"/>
        <v>0</v>
      </c>
      <c r="MC42" s="418">
        <f t="shared" si="155"/>
        <v>0</v>
      </c>
      <c r="MD42" s="418">
        <f t="shared" si="155"/>
        <v>0</v>
      </c>
      <c r="ME42" s="418">
        <f t="shared" si="155"/>
        <v>0</v>
      </c>
      <c r="MF42" s="418">
        <f t="shared" si="155"/>
        <v>0</v>
      </c>
      <c r="MG42" s="418">
        <f t="shared" si="155"/>
        <v>0</v>
      </c>
      <c r="MH42" s="418">
        <f t="shared" si="155"/>
        <v>0</v>
      </c>
      <c r="MI42" s="418">
        <f t="shared" si="155"/>
        <v>0</v>
      </c>
      <c r="MJ42" s="418">
        <f t="shared" si="155"/>
        <v>0</v>
      </c>
      <c r="MK42" s="418">
        <f t="shared" si="155"/>
        <v>0</v>
      </c>
      <c r="ML42" s="418">
        <f t="shared" si="155"/>
        <v>0</v>
      </c>
      <c r="MM42" s="418">
        <f t="shared" si="155"/>
        <v>0</v>
      </c>
      <c r="MN42" s="418">
        <f t="shared" si="155"/>
        <v>0</v>
      </c>
      <c r="MO42" s="418">
        <f t="shared" si="155"/>
        <v>0</v>
      </c>
      <c r="MP42" s="418">
        <f t="shared" si="155"/>
        <v>0</v>
      </c>
      <c r="MQ42" s="418">
        <f t="shared" si="155"/>
        <v>0</v>
      </c>
      <c r="MR42" s="418">
        <f t="shared" si="156"/>
        <v>0</v>
      </c>
      <c r="MS42" s="418">
        <f t="shared" si="156"/>
        <v>0</v>
      </c>
      <c r="MT42" s="418">
        <f t="shared" si="156"/>
        <v>0</v>
      </c>
      <c r="MU42" s="418">
        <f t="shared" si="156"/>
        <v>0</v>
      </c>
      <c r="MV42" s="418">
        <f t="shared" si="156"/>
        <v>0</v>
      </c>
      <c r="MW42" s="418">
        <f t="shared" si="156"/>
        <v>0</v>
      </c>
      <c r="MX42" s="418">
        <f t="shared" si="156"/>
        <v>0</v>
      </c>
      <c r="MY42" s="418">
        <f t="shared" si="156"/>
        <v>0</v>
      </c>
      <c r="MZ42" s="418">
        <f t="shared" si="156"/>
        <v>0</v>
      </c>
      <c r="NA42" s="418">
        <f t="shared" si="156"/>
        <v>0</v>
      </c>
      <c r="NB42" s="418">
        <f t="shared" si="156"/>
        <v>0</v>
      </c>
      <c r="NC42" s="418">
        <f t="shared" si="156"/>
        <v>0</v>
      </c>
      <c r="ND42" s="418">
        <f t="shared" si="156"/>
        <v>0</v>
      </c>
      <c r="NE42" s="418">
        <f t="shared" si="156"/>
        <v>0</v>
      </c>
      <c r="NF42" s="418">
        <f t="shared" si="156"/>
        <v>0</v>
      </c>
      <c r="NG42" s="418">
        <f t="shared" si="156"/>
        <v>0</v>
      </c>
      <c r="NH42" s="418">
        <f t="shared" si="157"/>
        <v>0</v>
      </c>
      <c r="NI42" s="418">
        <f t="shared" si="157"/>
        <v>0</v>
      </c>
      <c r="NJ42" s="418">
        <f t="shared" si="157"/>
        <v>0</v>
      </c>
      <c r="NK42" s="418">
        <f t="shared" si="157"/>
        <v>0</v>
      </c>
      <c r="NL42" s="418">
        <f t="shared" si="157"/>
        <v>0</v>
      </c>
      <c r="NM42" s="418">
        <f t="shared" si="157"/>
        <v>0</v>
      </c>
      <c r="NN42" s="418">
        <f t="shared" si="157"/>
        <v>0</v>
      </c>
      <c r="NO42" s="418">
        <f t="shared" si="157"/>
        <v>0</v>
      </c>
      <c r="NP42" s="418">
        <f t="shared" si="157"/>
        <v>0</v>
      </c>
      <c r="NQ42" s="418">
        <f t="shared" si="157"/>
        <v>0</v>
      </c>
      <c r="NR42" s="418">
        <f t="shared" si="157"/>
        <v>0</v>
      </c>
      <c r="NS42" s="418">
        <f t="shared" si="157"/>
        <v>0</v>
      </c>
      <c r="NT42" s="418">
        <f t="shared" si="157"/>
        <v>0</v>
      </c>
      <c r="NU42" s="418">
        <f t="shared" si="157"/>
        <v>0</v>
      </c>
      <c r="NV42" s="418">
        <f t="shared" si="157"/>
        <v>0</v>
      </c>
      <c r="NW42" s="418">
        <f t="shared" si="157"/>
        <v>0</v>
      </c>
      <c r="NX42" s="418">
        <f t="shared" si="158"/>
        <v>0</v>
      </c>
      <c r="NY42" s="418">
        <f t="shared" si="158"/>
        <v>0</v>
      </c>
      <c r="NZ42" s="418">
        <f t="shared" si="158"/>
        <v>0</v>
      </c>
      <c r="OA42" s="418">
        <f t="shared" si="158"/>
        <v>0</v>
      </c>
      <c r="OB42" s="418">
        <f t="shared" si="158"/>
        <v>0</v>
      </c>
      <c r="OC42" s="418">
        <f t="shared" si="158"/>
        <v>0</v>
      </c>
      <c r="OD42" s="418">
        <f t="shared" si="158"/>
        <v>0</v>
      </c>
      <c r="OE42" s="418">
        <f t="shared" si="158"/>
        <v>0</v>
      </c>
      <c r="OF42" s="418">
        <f t="shared" si="158"/>
        <v>0</v>
      </c>
      <c r="OG42" s="418">
        <f t="shared" si="158"/>
        <v>0</v>
      </c>
      <c r="OH42" s="418">
        <f t="shared" si="158"/>
        <v>0</v>
      </c>
      <c r="OI42" s="418">
        <f t="shared" si="158"/>
        <v>0</v>
      </c>
      <c r="OJ42" s="418">
        <f t="shared" si="158"/>
        <v>0</v>
      </c>
      <c r="OK42" s="418">
        <f t="shared" si="158"/>
        <v>0</v>
      </c>
      <c r="OL42" s="418">
        <f t="shared" si="158"/>
        <v>0</v>
      </c>
      <c r="OM42" s="418">
        <f t="shared" si="158"/>
        <v>0</v>
      </c>
      <c r="ON42" s="418">
        <f t="shared" si="159"/>
        <v>0</v>
      </c>
      <c r="OO42" s="418">
        <f t="shared" si="159"/>
        <v>0</v>
      </c>
      <c r="OP42" s="418">
        <f t="shared" si="159"/>
        <v>0</v>
      </c>
      <c r="OQ42" s="418">
        <f t="shared" si="159"/>
        <v>0</v>
      </c>
      <c r="OR42" s="418">
        <f t="shared" si="159"/>
        <v>0</v>
      </c>
      <c r="OS42" s="418">
        <f t="shared" si="159"/>
        <v>0</v>
      </c>
      <c r="OT42" s="418">
        <f t="shared" si="159"/>
        <v>0</v>
      </c>
      <c r="OU42" s="418">
        <f t="shared" si="159"/>
        <v>0</v>
      </c>
      <c r="OV42" s="418">
        <f t="shared" si="159"/>
        <v>0</v>
      </c>
      <c r="OW42" s="418">
        <f t="shared" si="159"/>
        <v>0</v>
      </c>
      <c r="OX42" s="418">
        <f t="shared" si="159"/>
        <v>0</v>
      </c>
      <c r="OY42" s="418">
        <f t="shared" si="159"/>
        <v>0</v>
      </c>
      <c r="OZ42" s="418">
        <f t="shared" si="159"/>
        <v>0</v>
      </c>
      <c r="PA42" s="418">
        <f t="shared" si="159"/>
        <v>0</v>
      </c>
      <c r="PB42" s="418">
        <f t="shared" si="159"/>
        <v>0</v>
      </c>
      <c r="PC42" s="418">
        <f t="shared" si="159"/>
        <v>0</v>
      </c>
      <c r="PD42" s="418">
        <f t="shared" si="160"/>
        <v>0</v>
      </c>
      <c r="PE42" s="418">
        <f t="shared" si="160"/>
        <v>0</v>
      </c>
      <c r="PF42" s="418">
        <f t="shared" si="160"/>
        <v>0</v>
      </c>
      <c r="PG42" s="418">
        <f t="shared" si="160"/>
        <v>0</v>
      </c>
      <c r="PH42" s="418">
        <f t="shared" si="160"/>
        <v>0</v>
      </c>
    </row>
    <row r="43" spans="1:424" x14ac:dyDescent="0.35">
      <c r="A43"/>
      <c r="B43" s="426" t="s">
        <v>154</v>
      </c>
      <c r="C43" s="400">
        <v>1</v>
      </c>
      <c r="D43" s="45"/>
      <c r="E43" s="257">
        <f t="shared" si="116"/>
        <v>36</v>
      </c>
      <c r="F43" s="414" t="s">
        <v>142</v>
      </c>
      <c r="G43" s="134">
        <f t="shared" si="117"/>
        <v>0</v>
      </c>
      <c r="H43" s="415"/>
      <c r="I43" s="416">
        <v>0</v>
      </c>
      <c r="J43"/>
      <c r="K43" s="22" t="str">
        <f t="shared" si="118"/>
        <v/>
      </c>
      <c r="L43" s="417">
        <f t="shared" si="119"/>
        <v>0</v>
      </c>
      <c r="M43" s="417">
        <f t="shared" si="119"/>
        <v>0</v>
      </c>
      <c r="N43" s="417">
        <f t="shared" si="119"/>
        <v>0</v>
      </c>
      <c r="O43" s="417">
        <f t="shared" si="119"/>
        <v>0</v>
      </c>
      <c r="P43" s="417">
        <f t="shared" si="119"/>
        <v>0</v>
      </c>
      <c r="Q43" s="417">
        <f t="shared" si="119"/>
        <v>0</v>
      </c>
      <c r="R43" s="417">
        <f t="shared" si="119"/>
        <v>0</v>
      </c>
      <c r="S43" s="417">
        <f t="shared" si="119"/>
        <v>0</v>
      </c>
      <c r="T43" s="417">
        <f t="shared" si="119"/>
        <v>0</v>
      </c>
      <c r="U43" s="417">
        <f t="shared" si="119"/>
        <v>0</v>
      </c>
      <c r="V43" s="417">
        <f t="shared" si="120"/>
        <v>0</v>
      </c>
      <c r="W43" s="417">
        <f t="shared" si="120"/>
        <v>0</v>
      </c>
      <c r="X43" s="417">
        <f t="shared" si="120"/>
        <v>0</v>
      </c>
      <c r="Y43" s="417">
        <f t="shared" si="120"/>
        <v>0</v>
      </c>
      <c r="Z43" s="417">
        <f t="shared" si="120"/>
        <v>0</v>
      </c>
      <c r="AA43" s="417">
        <f t="shared" si="120"/>
        <v>0</v>
      </c>
      <c r="AB43" s="417">
        <f t="shared" si="120"/>
        <v>0</v>
      </c>
      <c r="AC43" s="417">
        <f t="shared" si="120"/>
        <v>0</v>
      </c>
      <c r="AD43" s="417">
        <f t="shared" si="120"/>
        <v>0</v>
      </c>
      <c r="AE43" s="417">
        <f t="shared" si="120"/>
        <v>0</v>
      </c>
      <c r="AF43" s="417">
        <f t="shared" si="121"/>
        <v>0</v>
      </c>
      <c r="AG43" s="417">
        <f t="shared" si="121"/>
        <v>0</v>
      </c>
      <c r="AH43" s="417">
        <f t="shared" si="121"/>
        <v>0</v>
      </c>
      <c r="AI43" s="417">
        <f t="shared" si="121"/>
        <v>0</v>
      </c>
      <c r="AJ43" s="417">
        <f t="shared" si="121"/>
        <v>0</v>
      </c>
      <c r="AK43" s="417">
        <f t="shared" si="121"/>
        <v>0</v>
      </c>
      <c r="AL43" s="417">
        <f t="shared" si="121"/>
        <v>0</v>
      </c>
      <c r="AM43" s="417">
        <f t="shared" si="121"/>
        <v>0</v>
      </c>
      <c r="AN43" s="417">
        <f t="shared" si="121"/>
        <v>0</v>
      </c>
      <c r="AO43" s="417">
        <f t="shared" si="121"/>
        <v>0</v>
      </c>
      <c r="AP43" s="417">
        <f t="shared" si="122"/>
        <v>0</v>
      </c>
      <c r="AQ43" s="417">
        <f t="shared" si="122"/>
        <v>0</v>
      </c>
      <c r="AR43" s="417">
        <f t="shared" si="122"/>
        <v>0</v>
      </c>
      <c r="AS43" s="417">
        <f t="shared" si="122"/>
        <v>0</v>
      </c>
      <c r="AT43" s="417">
        <f t="shared" si="122"/>
        <v>0</v>
      </c>
      <c r="AU43" s="417">
        <f t="shared" si="122"/>
        <v>0</v>
      </c>
      <c r="AV43" s="417">
        <f t="shared" si="122"/>
        <v>0</v>
      </c>
      <c r="AW43" s="417">
        <f t="shared" si="122"/>
        <v>0</v>
      </c>
      <c r="AX43" s="417">
        <f t="shared" si="122"/>
        <v>0</v>
      </c>
      <c r="AY43" s="417">
        <f t="shared" si="122"/>
        <v>0</v>
      </c>
      <c r="AZ43" s="417">
        <f t="shared" si="123"/>
        <v>0</v>
      </c>
      <c r="BA43" s="417">
        <f t="shared" si="123"/>
        <v>0</v>
      </c>
      <c r="BB43" s="417">
        <f t="shared" si="123"/>
        <v>0</v>
      </c>
      <c r="BC43" s="417">
        <f t="shared" si="123"/>
        <v>0</v>
      </c>
      <c r="BD43" s="417">
        <f t="shared" si="123"/>
        <v>0</v>
      </c>
      <c r="BE43" s="417">
        <f t="shared" si="123"/>
        <v>0</v>
      </c>
      <c r="BF43" s="417">
        <f t="shared" si="123"/>
        <v>0</v>
      </c>
      <c r="BG43" s="417">
        <f t="shared" si="123"/>
        <v>0</v>
      </c>
      <c r="BH43" s="417">
        <f t="shared" si="123"/>
        <v>0</v>
      </c>
      <c r="BI43" s="417">
        <f t="shared" si="123"/>
        <v>0</v>
      </c>
      <c r="BJ43" s="417">
        <f t="shared" si="124"/>
        <v>0</v>
      </c>
      <c r="BK43" s="417">
        <f t="shared" si="124"/>
        <v>0</v>
      </c>
      <c r="BL43" s="417">
        <f t="shared" si="124"/>
        <v>0</v>
      </c>
      <c r="BM43" s="417">
        <f t="shared" si="124"/>
        <v>0</v>
      </c>
      <c r="BN43" s="417">
        <f t="shared" si="124"/>
        <v>0</v>
      </c>
      <c r="BO43" s="417">
        <f t="shared" si="124"/>
        <v>0</v>
      </c>
      <c r="BP43" s="417">
        <f t="shared" si="124"/>
        <v>0</v>
      </c>
      <c r="BQ43" s="417">
        <f t="shared" si="124"/>
        <v>0</v>
      </c>
      <c r="BR43" s="417">
        <f t="shared" si="124"/>
        <v>0</v>
      </c>
      <c r="BS43" s="417">
        <f t="shared" si="124"/>
        <v>0</v>
      </c>
      <c r="BT43" s="417">
        <f t="shared" si="125"/>
        <v>0</v>
      </c>
      <c r="BU43" s="417">
        <f t="shared" si="125"/>
        <v>0</v>
      </c>
      <c r="BV43" s="417">
        <f t="shared" si="125"/>
        <v>0</v>
      </c>
      <c r="BW43" s="417">
        <f t="shared" si="125"/>
        <v>0</v>
      </c>
      <c r="BX43" s="417">
        <f t="shared" si="125"/>
        <v>0</v>
      </c>
      <c r="BY43" s="417">
        <f t="shared" si="125"/>
        <v>0</v>
      </c>
      <c r="BZ43" s="417">
        <f t="shared" si="125"/>
        <v>0</v>
      </c>
      <c r="CA43" s="417">
        <f t="shared" si="125"/>
        <v>0</v>
      </c>
      <c r="CB43" s="417">
        <f t="shared" si="125"/>
        <v>0</v>
      </c>
      <c r="CC43" s="417">
        <f t="shared" si="125"/>
        <v>0</v>
      </c>
      <c r="CD43" s="417">
        <f t="shared" si="126"/>
        <v>0</v>
      </c>
      <c r="CE43" s="417">
        <f t="shared" si="126"/>
        <v>0</v>
      </c>
      <c r="CF43" s="417">
        <f t="shared" si="126"/>
        <v>0</v>
      </c>
      <c r="CG43" s="417">
        <f t="shared" si="126"/>
        <v>0</v>
      </c>
      <c r="CH43" s="417">
        <f t="shared" si="126"/>
        <v>0</v>
      </c>
      <c r="CI43" s="417">
        <f t="shared" si="126"/>
        <v>0</v>
      </c>
      <c r="CJ43" s="417">
        <f t="shared" si="126"/>
        <v>0</v>
      </c>
      <c r="CK43" s="417">
        <f t="shared" si="126"/>
        <v>0</v>
      </c>
      <c r="CL43" s="417">
        <f t="shared" si="126"/>
        <v>0</v>
      </c>
      <c r="CM43" s="417">
        <f t="shared" si="126"/>
        <v>0</v>
      </c>
      <c r="CN43" s="417">
        <f t="shared" si="127"/>
        <v>0</v>
      </c>
      <c r="CO43" s="417">
        <f t="shared" si="127"/>
        <v>0</v>
      </c>
      <c r="CP43" s="417">
        <f t="shared" si="127"/>
        <v>0</v>
      </c>
      <c r="CQ43" s="417">
        <f t="shared" si="127"/>
        <v>0</v>
      </c>
      <c r="CR43" s="417">
        <f t="shared" si="127"/>
        <v>0</v>
      </c>
      <c r="CS43" s="417">
        <f t="shared" si="127"/>
        <v>0</v>
      </c>
      <c r="CT43" s="417">
        <f t="shared" si="127"/>
        <v>0</v>
      </c>
      <c r="CU43" s="417">
        <f t="shared" si="127"/>
        <v>0</v>
      </c>
      <c r="CV43" s="417">
        <f t="shared" si="127"/>
        <v>0</v>
      </c>
      <c r="CW43" s="417">
        <f t="shared" si="127"/>
        <v>0</v>
      </c>
      <c r="CX43" s="417">
        <f t="shared" si="128"/>
        <v>0</v>
      </c>
      <c r="CY43" s="417">
        <f t="shared" si="128"/>
        <v>0</v>
      </c>
      <c r="CZ43" s="417">
        <f t="shared" si="128"/>
        <v>0</v>
      </c>
      <c r="DA43" s="417">
        <f t="shared" si="128"/>
        <v>0</v>
      </c>
      <c r="DB43" s="417">
        <f t="shared" si="128"/>
        <v>0</v>
      </c>
      <c r="DC43" s="417">
        <f t="shared" si="128"/>
        <v>0</v>
      </c>
      <c r="DD43" s="417">
        <f t="shared" si="128"/>
        <v>0</v>
      </c>
      <c r="DE43" s="417">
        <f t="shared" si="128"/>
        <v>0</v>
      </c>
      <c r="DF43" s="417">
        <f t="shared" si="128"/>
        <v>0</v>
      </c>
      <c r="DG43" s="417">
        <f t="shared" si="128"/>
        <v>0</v>
      </c>
      <c r="DH43" s="417">
        <f t="shared" si="129"/>
        <v>0</v>
      </c>
      <c r="DI43" s="417">
        <f t="shared" si="129"/>
        <v>0</v>
      </c>
      <c r="DJ43" s="417">
        <f t="shared" si="129"/>
        <v>0</v>
      </c>
      <c r="DK43" s="417">
        <f t="shared" si="129"/>
        <v>0</v>
      </c>
      <c r="DL43" s="417">
        <f t="shared" si="129"/>
        <v>0</v>
      </c>
      <c r="DM43" s="417">
        <f t="shared" si="129"/>
        <v>0</v>
      </c>
      <c r="DN43" s="417">
        <f t="shared" si="129"/>
        <v>0</v>
      </c>
      <c r="DO43" s="417">
        <f t="shared" si="129"/>
        <v>0</v>
      </c>
      <c r="DP43" s="417">
        <f t="shared" si="129"/>
        <v>0</v>
      </c>
      <c r="DQ43" s="417">
        <f t="shared" si="129"/>
        <v>0</v>
      </c>
      <c r="DR43" s="417">
        <f t="shared" si="130"/>
        <v>0</v>
      </c>
      <c r="DS43" s="417">
        <f t="shared" si="130"/>
        <v>0</v>
      </c>
      <c r="DT43" s="417">
        <f t="shared" si="130"/>
        <v>0</v>
      </c>
      <c r="DU43" s="417">
        <f t="shared" si="130"/>
        <v>0</v>
      </c>
      <c r="DV43" s="417">
        <f t="shared" si="130"/>
        <v>0</v>
      </c>
      <c r="DW43" s="417">
        <f t="shared" si="130"/>
        <v>0</v>
      </c>
      <c r="DX43" s="417">
        <f t="shared" si="130"/>
        <v>0</v>
      </c>
      <c r="DY43" s="417">
        <f t="shared" si="130"/>
        <v>0</v>
      </c>
      <c r="DZ43" s="417">
        <f t="shared" si="130"/>
        <v>0</v>
      </c>
      <c r="EA43" s="417">
        <f t="shared" si="130"/>
        <v>0</v>
      </c>
      <c r="EB43" s="417">
        <f t="shared" si="131"/>
        <v>0</v>
      </c>
      <c r="EC43" s="417">
        <f t="shared" si="131"/>
        <v>0</v>
      </c>
      <c r="ED43" s="417">
        <f t="shared" si="131"/>
        <v>0</v>
      </c>
      <c r="EE43" s="417">
        <f t="shared" si="131"/>
        <v>0</v>
      </c>
      <c r="EF43" s="417">
        <f t="shared" si="131"/>
        <v>0</v>
      </c>
      <c r="EG43" s="417">
        <f t="shared" si="131"/>
        <v>0</v>
      </c>
      <c r="EH43" s="417">
        <f t="shared" si="131"/>
        <v>0</v>
      </c>
      <c r="EI43" s="417">
        <f t="shared" si="131"/>
        <v>0</v>
      </c>
      <c r="EJ43" s="417">
        <f t="shared" si="131"/>
        <v>0</v>
      </c>
      <c r="EK43" s="417">
        <f t="shared" si="131"/>
        <v>0</v>
      </c>
      <c r="EL43" s="417">
        <f t="shared" si="132"/>
        <v>0</v>
      </c>
      <c r="EM43" s="417">
        <f t="shared" si="132"/>
        <v>0</v>
      </c>
      <c r="EN43" s="417">
        <f t="shared" si="132"/>
        <v>0</v>
      </c>
      <c r="EO43"/>
      <c r="EP43" s="220">
        <f t="shared" si="133"/>
        <v>0</v>
      </c>
      <c r="EQ43" s="201">
        <f t="shared" si="134"/>
        <v>46203</v>
      </c>
      <c r="ER43" s="201">
        <f t="shared" si="135"/>
        <v>47299</v>
      </c>
      <c r="ES43" s="20">
        <f t="shared" si="136"/>
        <v>37</v>
      </c>
      <c r="ET43" s="18" t="str">
        <f t="shared" si="137"/>
        <v>Straight-Line</v>
      </c>
      <c r="EU43" s="79">
        <f t="shared" si="138"/>
        <v>6.166666666666667</v>
      </c>
      <c r="EV43" s="20">
        <f t="shared" si="139"/>
        <v>0</v>
      </c>
      <c r="EW43" s="20">
        <f t="shared" si="139"/>
        <v>0</v>
      </c>
      <c r="EX43" s="20">
        <f t="shared" si="139"/>
        <v>0</v>
      </c>
      <c r="EY43" s="20">
        <f t="shared" si="139"/>
        <v>0</v>
      </c>
      <c r="EZ43" s="20">
        <f t="shared" si="139"/>
        <v>0</v>
      </c>
      <c r="FA43" s="20">
        <f t="shared" si="139"/>
        <v>0</v>
      </c>
      <c r="FB43" s="20">
        <f t="shared" si="139"/>
        <v>0</v>
      </c>
      <c r="FC43" s="20">
        <f t="shared" si="139"/>
        <v>0</v>
      </c>
      <c r="FD43" s="20">
        <f t="shared" si="139"/>
        <v>0</v>
      </c>
      <c r="FE43" s="20">
        <f t="shared" si="139"/>
        <v>0</v>
      </c>
      <c r="FF43" s="20">
        <f t="shared" si="139"/>
        <v>0</v>
      </c>
      <c r="FG43" s="20">
        <f t="shared" si="139"/>
        <v>0</v>
      </c>
      <c r="FH43" s="20">
        <f t="shared" si="139"/>
        <v>0</v>
      </c>
      <c r="FI43" s="20">
        <f t="shared" si="139"/>
        <v>0</v>
      </c>
      <c r="FJ43" s="20">
        <f t="shared" si="139"/>
        <v>0</v>
      </c>
      <c r="FK43" s="20">
        <f t="shared" si="139"/>
        <v>0</v>
      </c>
      <c r="FL43" s="20">
        <f t="shared" si="140"/>
        <v>0</v>
      </c>
      <c r="FM43" s="20">
        <f t="shared" si="140"/>
        <v>0</v>
      </c>
      <c r="FN43" s="20">
        <f t="shared" si="140"/>
        <v>0</v>
      </c>
      <c r="FO43" s="20">
        <f t="shared" si="140"/>
        <v>0</v>
      </c>
      <c r="FP43" s="20">
        <f t="shared" si="140"/>
        <v>0</v>
      </c>
      <c r="FQ43" s="20">
        <f t="shared" si="140"/>
        <v>0</v>
      </c>
      <c r="FR43" s="20">
        <f t="shared" si="140"/>
        <v>0</v>
      </c>
      <c r="FS43" s="20">
        <f t="shared" si="140"/>
        <v>0</v>
      </c>
      <c r="FT43" s="20">
        <f t="shared" si="140"/>
        <v>0</v>
      </c>
      <c r="FU43" s="20">
        <f t="shared" si="140"/>
        <v>0</v>
      </c>
      <c r="FV43" s="20">
        <f t="shared" si="140"/>
        <v>0</v>
      </c>
      <c r="FW43" s="20">
        <f t="shared" si="140"/>
        <v>0</v>
      </c>
      <c r="FX43" s="20">
        <f t="shared" si="140"/>
        <v>0</v>
      </c>
      <c r="FY43" s="20">
        <f t="shared" si="140"/>
        <v>0</v>
      </c>
      <c r="FZ43" s="20">
        <f t="shared" si="140"/>
        <v>0</v>
      </c>
      <c r="GA43" s="20">
        <f t="shared" si="140"/>
        <v>0</v>
      </c>
      <c r="GB43" s="20">
        <f t="shared" si="141"/>
        <v>0</v>
      </c>
      <c r="GC43" s="20">
        <f t="shared" si="141"/>
        <v>0</v>
      </c>
      <c r="GD43" s="20">
        <f t="shared" si="141"/>
        <v>0</v>
      </c>
      <c r="GE43" s="20">
        <f t="shared" si="141"/>
        <v>0</v>
      </c>
      <c r="GF43" s="20">
        <f t="shared" si="141"/>
        <v>0</v>
      </c>
      <c r="GG43" s="20">
        <f t="shared" si="141"/>
        <v>0</v>
      </c>
      <c r="GH43" s="20">
        <f t="shared" si="141"/>
        <v>0</v>
      </c>
      <c r="GI43" s="20">
        <f t="shared" si="141"/>
        <v>0</v>
      </c>
      <c r="GJ43" s="20">
        <f t="shared" si="141"/>
        <v>0</v>
      </c>
      <c r="GK43" s="20">
        <f t="shared" si="141"/>
        <v>0</v>
      </c>
      <c r="GL43" s="20">
        <f t="shared" si="141"/>
        <v>0</v>
      </c>
      <c r="GM43" s="20">
        <f t="shared" si="141"/>
        <v>0</v>
      </c>
      <c r="GN43" s="20">
        <f t="shared" si="141"/>
        <v>0</v>
      </c>
      <c r="GO43" s="20">
        <f t="shared" si="141"/>
        <v>0</v>
      </c>
      <c r="GP43" s="20">
        <f t="shared" si="141"/>
        <v>0</v>
      </c>
      <c r="GQ43" s="20">
        <f t="shared" si="141"/>
        <v>0</v>
      </c>
      <c r="GR43" s="20">
        <f t="shared" si="142"/>
        <v>0</v>
      </c>
      <c r="GS43" s="20">
        <f t="shared" si="142"/>
        <v>0</v>
      </c>
      <c r="GT43" s="20">
        <f t="shared" si="142"/>
        <v>0</v>
      </c>
      <c r="GU43" s="20">
        <f t="shared" si="142"/>
        <v>0</v>
      </c>
      <c r="GV43" s="20">
        <f t="shared" si="142"/>
        <v>0</v>
      </c>
      <c r="GW43" s="20">
        <f t="shared" si="142"/>
        <v>0</v>
      </c>
      <c r="GX43" s="20">
        <f t="shared" si="142"/>
        <v>0</v>
      </c>
      <c r="GY43" s="20">
        <f t="shared" si="142"/>
        <v>0</v>
      </c>
      <c r="GZ43" s="20">
        <f t="shared" si="142"/>
        <v>0</v>
      </c>
      <c r="HA43" s="20">
        <f t="shared" si="142"/>
        <v>0</v>
      </c>
      <c r="HB43" s="20">
        <f t="shared" si="142"/>
        <v>0</v>
      </c>
      <c r="HC43" s="20">
        <f t="shared" si="142"/>
        <v>0</v>
      </c>
      <c r="HD43" s="20">
        <f t="shared" si="142"/>
        <v>0</v>
      </c>
      <c r="HE43" s="20">
        <f t="shared" si="142"/>
        <v>0</v>
      </c>
      <c r="HF43" s="20">
        <f t="shared" si="142"/>
        <v>0</v>
      </c>
      <c r="HG43" s="20">
        <f t="shared" si="142"/>
        <v>0</v>
      </c>
      <c r="HH43" s="20">
        <f t="shared" si="143"/>
        <v>0</v>
      </c>
      <c r="HI43" s="20">
        <f t="shared" si="143"/>
        <v>0</v>
      </c>
      <c r="HJ43" s="20">
        <f t="shared" si="143"/>
        <v>0</v>
      </c>
      <c r="HK43" s="20">
        <f t="shared" si="143"/>
        <v>0</v>
      </c>
      <c r="HL43" s="20">
        <f t="shared" si="143"/>
        <v>0</v>
      </c>
      <c r="HM43" s="20">
        <f t="shared" si="143"/>
        <v>0</v>
      </c>
      <c r="HN43" s="20">
        <f t="shared" si="143"/>
        <v>0</v>
      </c>
      <c r="HO43" s="20">
        <f t="shared" si="143"/>
        <v>0</v>
      </c>
      <c r="HP43" s="20">
        <f t="shared" si="143"/>
        <v>0</v>
      </c>
      <c r="HQ43" s="20">
        <f t="shared" si="143"/>
        <v>0</v>
      </c>
      <c r="HR43" s="20">
        <f t="shared" si="143"/>
        <v>0</v>
      </c>
      <c r="HS43" s="20">
        <f t="shared" si="143"/>
        <v>0</v>
      </c>
      <c r="HT43" s="20">
        <f t="shared" si="143"/>
        <v>0</v>
      </c>
      <c r="HU43" s="20">
        <f t="shared" si="143"/>
        <v>0</v>
      </c>
      <c r="HV43" s="20">
        <f t="shared" si="143"/>
        <v>0</v>
      </c>
      <c r="HW43" s="20">
        <f t="shared" si="143"/>
        <v>0</v>
      </c>
      <c r="HX43" s="20">
        <f t="shared" si="144"/>
        <v>0</v>
      </c>
      <c r="HY43" s="20">
        <f t="shared" si="144"/>
        <v>0</v>
      </c>
      <c r="HZ43" s="20">
        <f t="shared" si="144"/>
        <v>0</v>
      </c>
      <c r="IA43" s="20">
        <f t="shared" si="144"/>
        <v>0</v>
      </c>
      <c r="IB43" s="20">
        <f t="shared" si="144"/>
        <v>0</v>
      </c>
      <c r="IC43" s="20">
        <f t="shared" si="144"/>
        <v>0</v>
      </c>
      <c r="ID43" s="20">
        <f t="shared" si="144"/>
        <v>0</v>
      </c>
      <c r="IE43" s="20">
        <f t="shared" si="144"/>
        <v>0</v>
      </c>
      <c r="IF43" s="20">
        <f t="shared" si="144"/>
        <v>0</v>
      </c>
      <c r="IG43" s="20">
        <f t="shared" si="144"/>
        <v>0</v>
      </c>
      <c r="IH43" s="20">
        <f t="shared" si="144"/>
        <v>0</v>
      </c>
      <c r="II43" s="20">
        <f t="shared" si="144"/>
        <v>0</v>
      </c>
      <c r="IJ43" s="20">
        <f t="shared" si="144"/>
        <v>0</v>
      </c>
      <c r="IK43" s="20">
        <f t="shared" si="144"/>
        <v>0</v>
      </c>
      <c r="IL43" s="20">
        <f t="shared" si="144"/>
        <v>0</v>
      </c>
      <c r="IM43" s="20">
        <f t="shared" si="144"/>
        <v>0</v>
      </c>
      <c r="IN43" s="20">
        <f t="shared" si="145"/>
        <v>0</v>
      </c>
      <c r="IO43" s="20">
        <f t="shared" si="145"/>
        <v>0</v>
      </c>
      <c r="IP43" s="20">
        <f t="shared" si="145"/>
        <v>0</v>
      </c>
      <c r="IQ43" s="20">
        <f t="shared" si="145"/>
        <v>0</v>
      </c>
      <c r="IR43" s="20">
        <f t="shared" si="145"/>
        <v>0</v>
      </c>
      <c r="IS43" s="20">
        <f t="shared" si="145"/>
        <v>0</v>
      </c>
      <c r="IT43" s="20">
        <f t="shared" si="145"/>
        <v>0</v>
      </c>
      <c r="IU43" s="20">
        <f t="shared" si="145"/>
        <v>0</v>
      </c>
      <c r="IV43" s="20">
        <f t="shared" si="145"/>
        <v>0</v>
      </c>
      <c r="IW43" s="20">
        <f t="shared" si="145"/>
        <v>0</v>
      </c>
      <c r="IX43" s="20">
        <f t="shared" si="145"/>
        <v>0</v>
      </c>
      <c r="IY43" s="20">
        <f t="shared" si="145"/>
        <v>0</v>
      </c>
      <c r="IZ43" s="20">
        <f t="shared" si="145"/>
        <v>0</v>
      </c>
      <c r="JA43" s="20">
        <f t="shared" si="145"/>
        <v>0</v>
      </c>
      <c r="JB43" s="20">
        <f t="shared" si="145"/>
        <v>0</v>
      </c>
      <c r="JC43" s="20">
        <f t="shared" si="145"/>
        <v>0</v>
      </c>
      <c r="JD43" s="20">
        <f t="shared" si="146"/>
        <v>0</v>
      </c>
      <c r="JE43" s="20">
        <f t="shared" si="146"/>
        <v>0</v>
      </c>
      <c r="JF43" s="20">
        <f t="shared" si="146"/>
        <v>0</v>
      </c>
      <c r="JG43" s="20">
        <f t="shared" si="146"/>
        <v>0</v>
      </c>
      <c r="JH43" s="20">
        <f t="shared" si="146"/>
        <v>0</v>
      </c>
      <c r="JI43" s="20">
        <f t="shared" si="146"/>
        <v>0</v>
      </c>
      <c r="JJ43" s="20">
        <f t="shared" si="146"/>
        <v>0</v>
      </c>
      <c r="JK43" s="20">
        <f t="shared" si="146"/>
        <v>0</v>
      </c>
      <c r="JL43" s="20">
        <f t="shared" si="146"/>
        <v>0</v>
      </c>
      <c r="JM43" s="20">
        <f t="shared" si="146"/>
        <v>0</v>
      </c>
      <c r="JN43" s="20">
        <f t="shared" si="146"/>
        <v>0</v>
      </c>
      <c r="JO43" s="20">
        <f t="shared" si="146"/>
        <v>0</v>
      </c>
      <c r="JP43" s="20">
        <f t="shared" si="146"/>
        <v>0</v>
      </c>
      <c r="JQ43" s="20">
        <f t="shared" si="146"/>
        <v>0</v>
      </c>
      <c r="JR43" s="20">
        <f t="shared" si="146"/>
        <v>0</v>
      </c>
      <c r="JS43" s="20">
        <f t="shared" si="146"/>
        <v>0</v>
      </c>
      <c r="JT43" s="20">
        <f t="shared" si="147"/>
        <v>0</v>
      </c>
      <c r="JU43" s="20">
        <f t="shared" si="147"/>
        <v>0</v>
      </c>
      <c r="JV43" s="20">
        <f t="shared" si="147"/>
        <v>0</v>
      </c>
      <c r="JW43" s="20">
        <f t="shared" si="147"/>
        <v>0</v>
      </c>
      <c r="JX43" s="20">
        <f t="shared" si="147"/>
        <v>0</v>
      </c>
      <c r="JY43"/>
      <c r="JZ43" s="220" t="str">
        <f t="shared" si="51"/>
        <v>Included in detailed component CAPEX</v>
      </c>
      <c r="KA43" s="201"/>
      <c r="KB43" s="20">
        <f t="shared" si="148"/>
        <v>0</v>
      </c>
      <c r="KC43" s="20">
        <f t="shared" si="149"/>
        <v>36</v>
      </c>
      <c r="KD43" s="20">
        <f t="shared" si="150"/>
        <v>37</v>
      </c>
      <c r="KE43" s="418">
        <f t="shared" si="151"/>
        <v>0</v>
      </c>
      <c r="KF43" s="418">
        <f t="shared" si="152"/>
        <v>0</v>
      </c>
      <c r="KG43" s="418">
        <f t="shared" si="152"/>
        <v>0</v>
      </c>
      <c r="KH43" s="418">
        <f t="shared" si="152"/>
        <v>0</v>
      </c>
      <c r="KI43" s="418">
        <f t="shared" si="152"/>
        <v>0</v>
      </c>
      <c r="KJ43" s="418">
        <f t="shared" si="152"/>
        <v>0</v>
      </c>
      <c r="KK43" s="418">
        <f t="shared" si="152"/>
        <v>0</v>
      </c>
      <c r="KL43" s="418">
        <f t="shared" si="152"/>
        <v>0</v>
      </c>
      <c r="KM43" s="418">
        <f t="shared" si="152"/>
        <v>0</v>
      </c>
      <c r="KN43" s="418">
        <f t="shared" si="152"/>
        <v>0</v>
      </c>
      <c r="KO43" s="418">
        <f t="shared" si="152"/>
        <v>0</v>
      </c>
      <c r="KP43" s="418">
        <f t="shared" si="152"/>
        <v>0</v>
      </c>
      <c r="KQ43" s="418">
        <f t="shared" si="152"/>
        <v>0</v>
      </c>
      <c r="KR43" s="418">
        <f t="shared" si="152"/>
        <v>0</v>
      </c>
      <c r="KS43" s="418">
        <f t="shared" si="152"/>
        <v>0</v>
      </c>
      <c r="KT43" s="418">
        <f t="shared" si="152"/>
        <v>0</v>
      </c>
      <c r="KU43" s="418">
        <f t="shared" si="152"/>
        <v>0</v>
      </c>
      <c r="KV43" s="418">
        <f t="shared" si="153"/>
        <v>0</v>
      </c>
      <c r="KW43" s="418">
        <f t="shared" si="153"/>
        <v>0</v>
      </c>
      <c r="KX43" s="418">
        <f t="shared" si="153"/>
        <v>0</v>
      </c>
      <c r="KY43" s="418">
        <f t="shared" si="153"/>
        <v>0</v>
      </c>
      <c r="KZ43" s="418">
        <f t="shared" si="153"/>
        <v>0</v>
      </c>
      <c r="LA43" s="418">
        <f t="shared" si="153"/>
        <v>0</v>
      </c>
      <c r="LB43" s="418">
        <f t="shared" si="153"/>
        <v>0</v>
      </c>
      <c r="LC43" s="418">
        <f t="shared" si="153"/>
        <v>0</v>
      </c>
      <c r="LD43" s="418">
        <f t="shared" si="153"/>
        <v>0</v>
      </c>
      <c r="LE43" s="418">
        <f t="shared" si="153"/>
        <v>0</v>
      </c>
      <c r="LF43" s="418">
        <f t="shared" si="153"/>
        <v>0</v>
      </c>
      <c r="LG43" s="418">
        <f t="shared" si="153"/>
        <v>0</v>
      </c>
      <c r="LH43" s="418">
        <f t="shared" si="153"/>
        <v>0</v>
      </c>
      <c r="LI43" s="418">
        <f t="shared" si="153"/>
        <v>0</v>
      </c>
      <c r="LJ43" s="418">
        <f t="shared" si="153"/>
        <v>0</v>
      </c>
      <c r="LK43" s="418">
        <f t="shared" si="153"/>
        <v>0</v>
      </c>
      <c r="LL43" s="418">
        <f t="shared" si="154"/>
        <v>0</v>
      </c>
      <c r="LM43" s="418">
        <f t="shared" si="154"/>
        <v>0</v>
      </c>
      <c r="LN43" s="418">
        <f t="shared" si="154"/>
        <v>0</v>
      </c>
      <c r="LO43" s="418">
        <f t="shared" si="154"/>
        <v>0</v>
      </c>
      <c r="LP43" s="418">
        <f t="shared" si="154"/>
        <v>0</v>
      </c>
      <c r="LQ43" s="418">
        <f t="shared" si="154"/>
        <v>0</v>
      </c>
      <c r="LR43" s="418">
        <f t="shared" si="154"/>
        <v>0</v>
      </c>
      <c r="LS43" s="418">
        <f t="shared" si="154"/>
        <v>0</v>
      </c>
      <c r="LT43" s="418">
        <f t="shared" si="154"/>
        <v>0</v>
      </c>
      <c r="LU43" s="418">
        <f t="shared" si="154"/>
        <v>0</v>
      </c>
      <c r="LV43" s="418">
        <f t="shared" si="154"/>
        <v>0</v>
      </c>
      <c r="LW43" s="418">
        <f t="shared" si="154"/>
        <v>0</v>
      </c>
      <c r="LX43" s="418">
        <f t="shared" si="154"/>
        <v>0</v>
      </c>
      <c r="LY43" s="418">
        <f t="shared" si="154"/>
        <v>0</v>
      </c>
      <c r="LZ43" s="418">
        <f t="shared" si="154"/>
        <v>0</v>
      </c>
      <c r="MA43" s="418">
        <f t="shared" si="154"/>
        <v>0</v>
      </c>
      <c r="MB43" s="418">
        <f t="shared" si="155"/>
        <v>0</v>
      </c>
      <c r="MC43" s="418">
        <f t="shared" si="155"/>
        <v>0</v>
      </c>
      <c r="MD43" s="418">
        <f t="shared" si="155"/>
        <v>0</v>
      </c>
      <c r="ME43" s="418">
        <f t="shared" si="155"/>
        <v>0</v>
      </c>
      <c r="MF43" s="418">
        <f t="shared" si="155"/>
        <v>0</v>
      </c>
      <c r="MG43" s="418">
        <f t="shared" si="155"/>
        <v>0</v>
      </c>
      <c r="MH43" s="418">
        <f t="shared" si="155"/>
        <v>0</v>
      </c>
      <c r="MI43" s="418">
        <f t="shared" si="155"/>
        <v>0</v>
      </c>
      <c r="MJ43" s="418">
        <f t="shared" si="155"/>
        <v>0</v>
      </c>
      <c r="MK43" s="418">
        <f t="shared" si="155"/>
        <v>0</v>
      </c>
      <c r="ML43" s="418">
        <f t="shared" si="155"/>
        <v>0</v>
      </c>
      <c r="MM43" s="418">
        <f t="shared" si="155"/>
        <v>0</v>
      </c>
      <c r="MN43" s="418">
        <f t="shared" si="155"/>
        <v>0</v>
      </c>
      <c r="MO43" s="418">
        <f t="shared" si="155"/>
        <v>0</v>
      </c>
      <c r="MP43" s="418">
        <f t="shared" si="155"/>
        <v>0</v>
      </c>
      <c r="MQ43" s="418">
        <f t="shared" si="155"/>
        <v>0</v>
      </c>
      <c r="MR43" s="418">
        <f t="shared" si="156"/>
        <v>0</v>
      </c>
      <c r="MS43" s="418">
        <f t="shared" si="156"/>
        <v>0</v>
      </c>
      <c r="MT43" s="418">
        <f t="shared" si="156"/>
        <v>0</v>
      </c>
      <c r="MU43" s="418">
        <f t="shared" si="156"/>
        <v>0</v>
      </c>
      <c r="MV43" s="418">
        <f t="shared" si="156"/>
        <v>0</v>
      </c>
      <c r="MW43" s="418">
        <f t="shared" si="156"/>
        <v>0</v>
      </c>
      <c r="MX43" s="418">
        <f t="shared" si="156"/>
        <v>0</v>
      </c>
      <c r="MY43" s="418">
        <f t="shared" si="156"/>
        <v>0</v>
      </c>
      <c r="MZ43" s="418">
        <f t="shared" si="156"/>
        <v>0</v>
      </c>
      <c r="NA43" s="418">
        <f t="shared" si="156"/>
        <v>0</v>
      </c>
      <c r="NB43" s="418">
        <f t="shared" si="156"/>
        <v>0</v>
      </c>
      <c r="NC43" s="418">
        <f t="shared" si="156"/>
        <v>0</v>
      </c>
      <c r="ND43" s="418">
        <f t="shared" si="156"/>
        <v>0</v>
      </c>
      <c r="NE43" s="418">
        <f t="shared" si="156"/>
        <v>0</v>
      </c>
      <c r="NF43" s="418">
        <f t="shared" si="156"/>
        <v>0</v>
      </c>
      <c r="NG43" s="418">
        <f t="shared" si="156"/>
        <v>0</v>
      </c>
      <c r="NH43" s="418">
        <f t="shared" si="157"/>
        <v>0</v>
      </c>
      <c r="NI43" s="418">
        <f t="shared" si="157"/>
        <v>0</v>
      </c>
      <c r="NJ43" s="418">
        <f t="shared" si="157"/>
        <v>0</v>
      </c>
      <c r="NK43" s="418">
        <f t="shared" si="157"/>
        <v>0</v>
      </c>
      <c r="NL43" s="418">
        <f t="shared" si="157"/>
        <v>0</v>
      </c>
      <c r="NM43" s="418">
        <f t="shared" si="157"/>
        <v>0</v>
      </c>
      <c r="NN43" s="418">
        <f t="shared" si="157"/>
        <v>0</v>
      </c>
      <c r="NO43" s="418">
        <f t="shared" si="157"/>
        <v>0</v>
      </c>
      <c r="NP43" s="418">
        <f t="shared" si="157"/>
        <v>0</v>
      </c>
      <c r="NQ43" s="418">
        <f t="shared" si="157"/>
        <v>0</v>
      </c>
      <c r="NR43" s="418">
        <f t="shared" si="157"/>
        <v>0</v>
      </c>
      <c r="NS43" s="418">
        <f t="shared" si="157"/>
        <v>0</v>
      </c>
      <c r="NT43" s="418">
        <f t="shared" si="157"/>
        <v>0</v>
      </c>
      <c r="NU43" s="418">
        <f t="shared" si="157"/>
        <v>0</v>
      </c>
      <c r="NV43" s="418">
        <f t="shared" si="157"/>
        <v>0</v>
      </c>
      <c r="NW43" s="418">
        <f t="shared" si="157"/>
        <v>0</v>
      </c>
      <c r="NX43" s="418">
        <f t="shared" si="158"/>
        <v>0</v>
      </c>
      <c r="NY43" s="418">
        <f t="shared" si="158"/>
        <v>0</v>
      </c>
      <c r="NZ43" s="418">
        <f t="shared" si="158"/>
        <v>0</v>
      </c>
      <c r="OA43" s="418">
        <f t="shared" si="158"/>
        <v>0</v>
      </c>
      <c r="OB43" s="418">
        <f t="shared" si="158"/>
        <v>0</v>
      </c>
      <c r="OC43" s="418">
        <f t="shared" si="158"/>
        <v>0</v>
      </c>
      <c r="OD43" s="418">
        <f t="shared" si="158"/>
        <v>0</v>
      </c>
      <c r="OE43" s="418">
        <f t="shared" si="158"/>
        <v>0</v>
      </c>
      <c r="OF43" s="418">
        <f t="shared" si="158"/>
        <v>0</v>
      </c>
      <c r="OG43" s="418">
        <f t="shared" si="158"/>
        <v>0</v>
      </c>
      <c r="OH43" s="418">
        <f t="shared" si="158"/>
        <v>0</v>
      </c>
      <c r="OI43" s="418">
        <f t="shared" si="158"/>
        <v>0</v>
      </c>
      <c r="OJ43" s="418">
        <f t="shared" si="158"/>
        <v>0</v>
      </c>
      <c r="OK43" s="418">
        <f t="shared" si="158"/>
        <v>0</v>
      </c>
      <c r="OL43" s="418">
        <f t="shared" si="158"/>
        <v>0</v>
      </c>
      <c r="OM43" s="418">
        <f t="shared" si="158"/>
        <v>0</v>
      </c>
      <c r="ON43" s="418">
        <f t="shared" si="159"/>
        <v>0</v>
      </c>
      <c r="OO43" s="418">
        <f t="shared" si="159"/>
        <v>0</v>
      </c>
      <c r="OP43" s="418">
        <f t="shared" si="159"/>
        <v>0</v>
      </c>
      <c r="OQ43" s="418">
        <f t="shared" si="159"/>
        <v>0</v>
      </c>
      <c r="OR43" s="418">
        <f t="shared" si="159"/>
        <v>0</v>
      </c>
      <c r="OS43" s="418">
        <f t="shared" si="159"/>
        <v>0</v>
      </c>
      <c r="OT43" s="418">
        <f t="shared" si="159"/>
        <v>0</v>
      </c>
      <c r="OU43" s="418">
        <f t="shared" si="159"/>
        <v>0</v>
      </c>
      <c r="OV43" s="418">
        <f t="shared" si="159"/>
        <v>0</v>
      </c>
      <c r="OW43" s="418">
        <f t="shared" si="159"/>
        <v>0</v>
      </c>
      <c r="OX43" s="418">
        <f t="shared" si="159"/>
        <v>0</v>
      </c>
      <c r="OY43" s="418">
        <f t="shared" si="159"/>
        <v>0</v>
      </c>
      <c r="OZ43" s="418">
        <f t="shared" si="159"/>
        <v>0</v>
      </c>
      <c r="PA43" s="418">
        <f t="shared" si="159"/>
        <v>0</v>
      </c>
      <c r="PB43" s="418">
        <f t="shared" si="159"/>
        <v>0</v>
      </c>
      <c r="PC43" s="418">
        <f t="shared" si="159"/>
        <v>0</v>
      </c>
      <c r="PD43" s="418">
        <f t="shared" si="160"/>
        <v>0</v>
      </c>
      <c r="PE43" s="418">
        <f t="shared" si="160"/>
        <v>0</v>
      </c>
      <c r="PF43" s="418">
        <f t="shared" si="160"/>
        <v>0</v>
      </c>
      <c r="PG43" s="418">
        <f t="shared" si="160"/>
        <v>0</v>
      </c>
      <c r="PH43" s="418">
        <f t="shared" si="160"/>
        <v>0</v>
      </c>
    </row>
    <row r="44" spans="1:424" x14ac:dyDescent="0.35">
      <c r="A44"/>
      <c r="B44" s="426" t="s">
        <v>154</v>
      </c>
      <c r="C44" s="400">
        <v>1</v>
      </c>
      <c r="D44" s="45"/>
      <c r="E44" s="257">
        <f t="shared" si="116"/>
        <v>36</v>
      </c>
      <c r="F44" s="414" t="s">
        <v>142</v>
      </c>
      <c r="G44" s="40">
        <f t="shared" si="117"/>
        <v>0</v>
      </c>
      <c r="H44" s="415"/>
      <c r="I44" s="416">
        <v>0</v>
      </c>
      <c r="J44"/>
      <c r="K44" s="22" t="str">
        <f>IF(ROUND(SUM(L44:EN44),0)=ROUND(I44,0),"","Incomplete")</f>
        <v/>
      </c>
      <c r="L44" s="417">
        <f t="shared" si="119"/>
        <v>0</v>
      </c>
      <c r="M44" s="417">
        <f t="shared" si="119"/>
        <v>0</v>
      </c>
      <c r="N44" s="417">
        <f t="shared" si="119"/>
        <v>0</v>
      </c>
      <c r="O44" s="417">
        <f t="shared" si="119"/>
        <v>0</v>
      </c>
      <c r="P44" s="417">
        <f t="shared" si="119"/>
        <v>0</v>
      </c>
      <c r="Q44" s="417">
        <f t="shared" si="119"/>
        <v>0</v>
      </c>
      <c r="R44" s="417">
        <f t="shared" si="119"/>
        <v>0</v>
      </c>
      <c r="S44" s="417">
        <f t="shared" si="119"/>
        <v>0</v>
      </c>
      <c r="T44" s="417">
        <f t="shared" si="119"/>
        <v>0</v>
      </c>
      <c r="U44" s="417">
        <f t="shared" si="119"/>
        <v>0</v>
      </c>
      <c r="V44" s="417">
        <f t="shared" si="120"/>
        <v>0</v>
      </c>
      <c r="W44" s="417">
        <f t="shared" si="120"/>
        <v>0</v>
      </c>
      <c r="X44" s="417">
        <f t="shared" si="120"/>
        <v>0</v>
      </c>
      <c r="Y44" s="417">
        <f t="shared" si="120"/>
        <v>0</v>
      </c>
      <c r="Z44" s="417">
        <f t="shared" si="120"/>
        <v>0</v>
      </c>
      <c r="AA44" s="417">
        <f t="shared" si="120"/>
        <v>0</v>
      </c>
      <c r="AB44" s="417">
        <f t="shared" si="120"/>
        <v>0</v>
      </c>
      <c r="AC44" s="417">
        <f t="shared" si="120"/>
        <v>0</v>
      </c>
      <c r="AD44" s="417">
        <f t="shared" si="120"/>
        <v>0</v>
      </c>
      <c r="AE44" s="417">
        <f t="shared" si="120"/>
        <v>0</v>
      </c>
      <c r="AF44" s="417">
        <f t="shared" si="121"/>
        <v>0</v>
      </c>
      <c r="AG44" s="417">
        <f t="shared" si="121"/>
        <v>0</v>
      </c>
      <c r="AH44" s="417">
        <f t="shared" si="121"/>
        <v>0</v>
      </c>
      <c r="AI44" s="417">
        <f t="shared" si="121"/>
        <v>0</v>
      </c>
      <c r="AJ44" s="417">
        <f t="shared" si="121"/>
        <v>0</v>
      </c>
      <c r="AK44" s="417">
        <f t="shared" si="121"/>
        <v>0</v>
      </c>
      <c r="AL44" s="417">
        <f t="shared" si="121"/>
        <v>0</v>
      </c>
      <c r="AM44" s="417">
        <f t="shared" si="121"/>
        <v>0</v>
      </c>
      <c r="AN44" s="417">
        <f t="shared" si="121"/>
        <v>0</v>
      </c>
      <c r="AO44" s="417">
        <f t="shared" si="121"/>
        <v>0</v>
      </c>
      <c r="AP44" s="417">
        <f t="shared" si="122"/>
        <v>0</v>
      </c>
      <c r="AQ44" s="417">
        <f t="shared" si="122"/>
        <v>0</v>
      </c>
      <c r="AR44" s="417">
        <f t="shared" si="122"/>
        <v>0</v>
      </c>
      <c r="AS44" s="417">
        <f t="shared" si="122"/>
        <v>0</v>
      </c>
      <c r="AT44" s="417">
        <f t="shared" si="122"/>
        <v>0</v>
      </c>
      <c r="AU44" s="417">
        <f t="shared" si="122"/>
        <v>0</v>
      </c>
      <c r="AV44" s="417">
        <f t="shared" si="122"/>
        <v>0</v>
      </c>
      <c r="AW44" s="417">
        <f t="shared" si="122"/>
        <v>0</v>
      </c>
      <c r="AX44" s="417">
        <f t="shared" si="122"/>
        <v>0</v>
      </c>
      <c r="AY44" s="417">
        <f t="shared" si="122"/>
        <v>0</v>
      </c>
      <c r="AZ44" s="417">
        <f t="shared" si="123"/>
        <v>0</v>
      </c>
      <c r="BA44" s="417">
        <f t="shared" si="123"/>
        <v>0</v>
      </c>
      <c r="BB44" s="417">
        <f t="shared" si="123"/>
        <v>0</v>
      </c>
      <c r="BC44" s="417">
        <f t="shared" si="123"/>
        <v>0</v>
      </c>
      <c r="BD44" s="417">
        <f t="shared" si="123"/>
        <v>0</v>
      </c>
      <c r="BE44" s="417">
        <f t="shared" si="123"/>
        <v>0</v>
      </c>
      <c r="BF44" s="417">
        <f t="shared" si="123"/>
        <v>0</v>
      </c>
      <c r="BG44" s="417">
        <f t="shared" si="123"/>
        <v>0</v>
      </c>
      <c r="BH44" s="417">
        <f t="shared" si="123"/>
        <v>0</v>
      </c>
      <c r="BI44" s="417">
        <f t="shared" si="123"/>
        <v>0</v>
      </c>
      <c r="BJ44" s="417">
        <f t="shared" si="124"/>
        <v>0</v>
      </c>
      <c r="BK44" s="417">
        <f t="shared" si="124"/>
        <v>0</v>
      </c>
      <c r="BL44" s="417">
        <f t="shared" si="124"/>
        <v>0</v>
      </c>
      <c r="BM44" s="417">
        <f t="shared" si="124"/>
        <v>0</v>
      </c>
      <c r="BN44" s="417">
        <f t="shared" si="124"/>
        <v>0</v>
      </c>
      <c r="BO44" s="417">
        <f t="shared" si="124"/>
        <v>0</v>
      </c>
      <c r="BP44" s="417">
        <f t="shared" si="124"/>
        <v>0</v>
      </c>
      <c r="BQ44" s="417">
        <f t="shared" si="124"/>
        <v>0</v>
      </c>
      <c r="BR44" s="417">
        <f t="shared" si="124"/>
        <v>0</v>
      </c>
      <c r="BS44" s="417">
        <f t="shared" si="124"/>
        <v>0</v>
      </c>
      <c r="BT44" s="417">
        <f t="shared" si="125"/>
        <v>0</v>
      </c>
      <c r="BU44" s="417">
        <f t="shared" si="125"/>
        <v>0</v>
      </c>
      <c r="BV44" s="417">
        <f t="shared" si="125"/>
        <v>0</v>
      </c>
      <c r="BW44" s="417">
        <f t="shared" si="125"/>
        <v>0</v>
      </c>
      <c r="BX44" s="417">
        <f t="shared" si="125"/>
        <v>0</v>
      </c>
      <c r="BY44" s="417">
        <f t="shared" si="125"/>
        <v>0</v>
      </c>
      <c r="BZ44" s="417">
        <f t="shared" si="125"/>
        <v>0</v>
      </c>
      <c r="CA44" s="417">
        <f t="shared" si="125"/>
        <v>0</v>
      </c>
      <c r="CB44" s="417">
        <f t="shared" si="125"/>
        <v>0</v>
      </c>
      <c r="CC44" s="417">
        <f t="shared" si="125"/>
        <v>0</v>
      </c>
      <c r="CD44" s="417">
        <f t="shared" si="126"/>
        <v>0</v>
      </c>
      <c r="CE44" s="417">
        <f t="shared" si="126"/>
        <v>0</v>
      </c>
      <c r="CF44" s="417">
        <f t="shared" si="126"/>
        <v>0</v>
      </c>
      <c r="CG44" s="417">
        <f t="shared" si="126"/>
        <v>0</v>
      </c>
      <c r="CH44" s="417">
        <f t="shared" si="126"/>
        <v>0</v>
      </c>
      <c r="CI44" s="417">
        <f t="shared" si="126"/>
        <v>0</v>
      </c>
      <c r="CJ44" s="417">
        <f t="shared" si="126"/>
        <v>0</v>
      </c>
      <c r="CK44" s="417">
        <f t="shared" si="126"/>
        <v>0</v>
      </c>
      <c r="CL44" s="417">
        <f t="shared" si="126"/>
        <v>0</v>
      </c>
      <c r="CM44" s="417">
        <f t="shared" si="126"/>
        <v>0</v>
      </c>
      <c r="CN44" s="417">
        <f t="shared" si="127"/>
        <v>0</v>
      </c>
      <c r="CO44" s="417">
        <f t="shared" si="127"/>
        <v>0</v>
      </c>
      <c r="CP44" s="417">
        <f t="shared" si="127"/>
        <v>0</v>
      </c>
      <c r="CQ44" s="417">
        <f t="shared" si="127"/>
        <v>0</v>
      </c>
      <c r="CR44" s="417">
        <f t="shared" si="127"/>
        <v>0</v>
      </c>
      <c r="CS44" s="417">
        <f t="shared" si="127"/>
        <v>0</v>
      </c>
      <c r="CT44" s="417">
        <f t="shared" si="127"/>
        <v>0</v>
      </c>
      <c r="CU44" s="417">
        <f t="shared" si="127"/>
        <v>0</v>
      </c>
      <c r="CV44" s="417">
        <f t="shared" si="127"/>
        <v>0</v>
      </c>
      <c r="CW44" s="417">
        <f t="shared" si="127"/>
        <v>0</v>
      </c>
      <c r="CX44" s="417">
        <f t="shared" si="128"/>
        <v>0</v>
      </c>
      <c r="CY44" s="417">
        <f t="shared" si="128"/>
        <v>0</v>
      </c>
      <c r="CZ44" s="417">
        <f t="shared" si="128"/>
        <v>0</v>
      </c>
      <c r="DA44" s="417">
        <f t="shared" si="128"/>
        <v>0</v>
      </c>
      <c r="DB44" s="417">
        <f t="shared" si="128"/>
        <v>0</v>
      </c>
      <c r="DC44" s="417">
        <f t="shared" si="128"/>
        <v>0</v>
      </c>
      <c r="DD44" s="417">
        <f t="shared" si="128"/>
        <v>0</v>
      </c>
      <c r="DE44" s="417">
        <f t="shared" si="128"/>
        <v>0</v>
      </c>
      <c r="DF44" s="417">
        <f t="shared" si="128"/>
        <v>0</v>
      </c>
      <c r="DG44" s="417">
        <f t="shared" si="128"/>
        <v>0</v>
      </c>
      <c r="DH44" s="417">
        <f t="shared" si="129"/>
        <v>0</v>
      </c>
      <c r="DI44" s="417">
        <f t="shared" si="129"/>
        <v>0</v>
      </c>
      <c r="DJ44" s="417">
        <f t="shared" si="129"/>
        <v>0</v>
      </c>
      <c r="DK44" s="417">
        <f t="shared" si="129"/>
        <v>0</v>
      </c>
      <c r="DL44" s="417">
        <f t="shared" si="129"/>
        <v>0</v>
      </c>
      <c r="DM44" s="417">
        <f t="shared" si="129"/>
        <v>0</v>
      </c>
      <c r="DN44" s="417">
        <f t="shared" si="129"/>
        <v>0</v>
      </c>
      <c r="DO44" s="417">
        <f t="shared" si="129"/>
        <v>0</v>
      </c>
      <c r="DP44" s="417">
        <f t="shared" si="129"/>
        <v>0</v>
      </c>
      <c r="DQ44" s="417">
        <f t="shared" si="129"/>
        <v>0</v>
      </c>
      <c r="DR44" s="417">
        <f t="shared" si="130"/>
        <v>0</v>
      </c>
      <c r="DS44" s="417">
        <f t="shared" si="130"/>
        <v>0</v>
      </c>
      <c r="DT44" s="417">
        <f t="shared" si="130"/>
        <v>0</v>
      </c>
      <c r="DU44" s="417">
        <f t="shared" si="130"/>
        <v>0</v>
      </c>
      <c r="DV44" s="417">
        <f t="shared" si="130"/>
        <v>0</v>
      </c>
      <c r="DW44" s="417">
        <f t="shared" si="130"/>
        <v>0</v>
      </c>
      <c r="DX44" s="417">
        <f t="shared" si="130"/>
        <v>0</v>
      </c>
      <c r="DY44" s="417">
        <f t="shared" si="130"/>
        <v>0</v>
      </c>
      <c r="DZ44" s="417">
        <f t="shared" si="130"/>
        <v>0</v>
      </c>
      <c r="EA44" s="417">
        <f t="shared" si="130"/>
        <v>0</v>
      </c>
      <c r="EB44" s="417">
        <f t="shared" si="131"/>
        <v>0</v>
      </c>
      <c r="EC44" s="417">
        <f t="shared" si="131"/>
        <v>0</v>
      </c>
      <c r="ED44" s="417">
        <f t="shared" si="131"/>
        <v>0</v>
      </c>
      <c r="EE44" s="417">
        <f t="shared" si="131"/>
        <v>0</v>
      </c>
      <c r="EF44" s="417">
        <f t="shared" si="131"/>
        <v>0</v>
      </c>
      <c r="EG44" s="417">
        <f t="shared" si="131"/>
        <v>0</v>
      </c>
      <c r="EH44" s="417">
        <f t="shared" si="131"/>
        <v>0</v>
      </c>
      <c r="EI44" s="417">
        <f t="shared" si="131"/>
        <v>0</v>
      </c>
      <c r="EJ44" s="417">
        <f t="shared" si="131"/>
        <v>0</v>
      </c>
      <c r="EK44" s="417">
        <f t="shared" si="131"/>
        <v>0</v>
      </c>
      <c r="EL44" s="417">
        <f t="shared" si="132"/>
        <v>0</v>
      </c>
      <c r="EM44" s="417">
        <f t="shared" si="132"/>
        <v>0</v>
      </c>
      <c r="EN44" s="417">
        <f t="shared" si="132"/>
        <v>0</v>
      </c>
      <c r="EO44"/>
      <c r="EP44" s="220">
        <f t="shared" si="133"/>
        <v>0</v>
      </c>
      <c r="EQ44" s="201">
        <f t="shared" si="134"/>
        <v>46203</v>
      </c>
      <c r="ER44" s="201">
        <f t="shared" si="135"/>
        <v>47299</v>
      </c>
      <c r="ES44" s="20">
        <f t="shared" si="136"/>
        <v>37</v>
      </c>
      <c r="ET44" s="18" t="str">
        <f t="shared" si="137"/>
        <v>Straight-Line</v>
      </c>
      <c r="EU44" s="79">
        <f t="shared" si="138"/>
        <v>6.166666666666667</v>
      </c>
      <c r="EV44" s="20">
        <f t="shared" si="139"/>
        <v>0</v>
      </c>
      <c r="EW44" s="20">
        <f t="shared" si="139"/>
        <v>0</v>
      </c>
      <c r="EX44" s="20">
        <f t="shared" si="139"/>
        <v>0</v>
      </c>
      <c r="EY44" s="20">
        <f t="shared" si="139"/>
        <v>0</v>
      </c>
      <c r="EZ44" s="20">
        <f t="shared" si="139"/>
        <v>0</v>
      </c>
      <c r="FA44" s="20">
        <f t="shared" si="139"/>
        <v>0</v>
      </c>
      <c r="FB44" s="20">
        <f t="shared" si="139"/>
        <v>0</v>
      </c>
      <c r="FC44" s="20">
        <f t="shared" si="139"/>
        <v>0</v>
      </c>
      <c r="FD44" s="20">
        <f t="shared" si="139"/>
        <v>0</v>
      </c>
      <c r="FE44" s="20">
        <f t="shared" si="139"/>
        <v>0</v>
      </c>
      <c r="FF44" s="20">
        <f t="shared" si="139"/>
        <v>0</v>
      </c>
      <c r="FG44" s="20">
        <f t="shared" si="139"/>
        <v>0</v>
      </c>
      <c r="FH44" s="20">
        <f t="shared" si="139"/>
        <v>0</v>
      </c>
      <c r="FI44" s="20">
        <f t="shared" si="139"/>
        <v>0</v>
      </c>
      <c r="FJ44" s="20">
        <f t="shared" si="139"/>
        <v>0</v>
      </c>
      <c r="FK44" s="20">
        <f t="shared" si="139"/>
        <v>0</v>
      </c>
      <c r="FL44" s="20">
        <f t="shared" si="140"/>
        <v>0</v>
      </c>
      <c r="FM44" s="20">
        <f t="shared" si="140"/>
        <v>0</v>
      </c>
      <c r="FN44" s="20">
        <f t="shared" si="140"/>
        <v>0</v>
      </c>
      <c r="FO44" s="20">
        <f t="shared" si="140"/>
        <v>0</v>
      </c>
      <c r="FP44" s="20">
        <f t="shared" si="140"/>
        <v>0</v>
      </c>
      <c r="FQ44" s="20">
        <f t="shared" si="140"/>
        <v>0</v>
      </c>
      <c r="FR44" s="20">
        <f t="shared" si="140"/>
        <v>0</v>
      </c>
      <c r="FS44" s="20">
        <f t="shared" si="140"/>
        <v>0</v>
      </c>
      <c r="FT44" s="20">
        <f t="shared" si="140"/>
        <v>0</v>
      </c>
      <c r="FU44" s="20">
        <f t="shared" si="140"/>
        <v>0</v>
      </c>
      <c r="FV44" s="20">
        <f t="shared" si="140"/>
        <v>0</v>
      </c>
      <c r="FW44" s="20">
        <f t="shared" si="140"/>
        <v>0</v>
      </c>
      <c r="FX44" s="20">
        <f t="shared" si="140"/>
        <v>0</v>
      </c>
      <c r="FY44" s="20">
        <f t="shared" si="140"/>
        <v>0</v>
      </c>
      <c r="FZ44" s="20">
        <f t="shared" si="140"/>
        <v>0</v>
      </c>
      <c r="GA44" s="20">
        <f t="shared" si="140"/>
        <v>0</v>
      </c>
      <c r="GB44" s="20">
        <f t="shared" si="141"/>
        <v>0</v>
      </c>
      <c r="GC44" s="20">
        <f t="shared" si="141"/>
        <v>0</v>
      </c>
      <c r="GD44" s="20">
        <f t="shared" si="141"/>
        <v>0</v>
      </c>
      <c r="GE44" s="20">
        <f t="shared" si="141"/>
        <v>0</v>
      </c>
      <c r="GF44" s="20">
        <f t="shared" si="141"/>
        <v>0</v>
      </c>
      <c r="GG44" s="20">
        <f t="shared" si="141"/>
        <v>0</v>
      </c>
      <c r="GH44" s="20">
        <f t="shared" si="141"/>
        <v>0</v>
      </c>
      <c r="GI44" s="20">
        <f t="shared" si="141"/>
        <v>0</v>
      </c>
      <c r="GJ44" s="20">
        <f t="shared" si="141"/>
        <v>0</v>
      </c>
      <c r="GK44" s="20">
        <f t="shared" si="141"/>
        <v>0</v>
      </c>
      <c r="GL44" s="20">
        <f t="shared" si="141"/>
        <v>0</v>
      </c>
      <c r="GM44" s="20">
        <f t="shared" si="141"/>
        <v>0</v>
      </c>
      <c r="GN44" s="20">
        <f t="shared" si="141"/>
        <v>0</v>
      </c>
      <c r="GO44" s="20">
        <f t="shared" si="141"/>
        <v>0</v>
      </c>
      <c r="GP44" s="20">
        <f t="shared" si="141"/>
        <v>0</v>
      </c>
      <c r="GQ44" s="20">
        <f t="shared" si="141"/>
        <v>0</v>
      </c>
      <c r="GR44" s="20">
        <f t="shared" si="142"/>
        <v>0</v>
      </c>
      <c r="GS44" s="20">
        <f t="shared" si="142"/>
        <v>0</v>
      </c>
      <c r="GT44" s="20">
        <f t="shared" si="142"/>
        <v>0</v>
      </c>
      <c r="GU44" s="20">
        <f t="shared" si="142"/>
        <v>0</v>
      </c>
      <c r="GV44" s="20">
        <f t="shared" si="142"/>
        <v>0</v>
      </c>
      <c r="GW44" s="20">
        <f t="shared" si="142"/>
        <v>0</v>
      </c>
      <c r="GX44" s="20">
        <f t="shared" si="142"/>
        <v>0</v>
      </c>
      <c r="GY44" s="20">
        <f t="shared" si="142"/>
        <v>0</v>
      </c>
      <c r="GZ44" s="20">
        <f t="shared" si="142"/>
        <v>0</v>
      </c>
      <c r="HA44" s="20">
        <f t="shared" si="142"/>
        <v>0</v>
      </c>
      <c r="HB44" s="20">
        <f t="shared" si="142"/>
        <v>0</v>
      </c>
      <c r="HC44" s="20">
        <f t="shared" si="142"/>
        <v>0</v>
      </c>
      <c r="HD44" s="20">
        <f t="shared" si="142"/>
        <v>0</v>
      </c>
      <c r="HE44" s="20">
        <f t="shared" si="142"/>
        <v>0</v>
      </c>
      <c r="HF44" s="20">
        <f t="shared" si="142"/>
        <v>0</v>
      </c>
      <c r="HG44" s="20">
        <f t="shared" si="142"/>
        <v>0</v>
      </c>
      <c r="HH44" s="20">
        <f t="shared" si="143"/>
        <v>0</v>
      </c>
      <c r="HI44" s="20">
        <f t="shared" si="143"/>
        <v>0</v>
      </c>
      <c r="HJ44" s="20">
        <f t="shared" si="143"/>
        <v>0</v>
      </c>
      <c r="HK44" s="20">
        <f t="shared" si="143"/>
        <v>0</v>
      </c>
      <c r="HL44" s="20">
        <f t="shared" si="143"/>
        <v>0</v>
      </c>
      <c r="HM44" s="20">
        <f t="shared" si="143"/>
        <v>0</v>
      </c>
      <c r="HN44" s="20">
        <f t="shared" si="143"/>
        <v>0</v>
      </c>
      <c r="HO44" s="20">
        <f t="shared" si="143"/>
        <v>0</v>
      </c>
      <c r="HP44" s="20">
        <f t="shared" si="143"/>
        <v>0</v>
      </c>
      <c r="HQ44" s="20">
        <f t="shared" si="143"/>
        <v>0</v>
      </c>
      <c r="HR44" s="20">
        <f t="shared" si="143"/>
        <v>0</v>
      </c>
      <c r="HS44" s="20">
        <f t="shared" si="143"/>
        <v>0</v>
      </c>
      <c r="HT44" s="20">
        <f t="shared" si="143"/>
        <v>0</v>
      </c>
      <c r="HU44" s="20">
        <f t="shared" si="143"/>
        <v>0</v>
      </c>
      <c r="HV44" s="20">
        <f t="shared" si="143"/>
        <v>0</v>
      </c>
      <c r="HW44" s="20">
        <f t="shared" si="143"/>
        <v>0</v>
      </c>
      <c r="HX44" s="20">
        <f t="shared" si="144"/>
        <v>0</v>
      </c>
      <c r="HY44" s="20">
        <f t="shared" si="144"/>
        <v>0</v>
      </c>
      <c r="HZ44" s="20">
        <f t="shared" si="144"/>
        <v>0</v>
      </c>
      <c r="IA44" s="20">
        <f t="shared" si="144"/>
        <v>0</v>
      </c>
      <c r="IB44" s="20">
        <f t="shared" si="144"/>
        <v>0</v>
      </c>
      <c r="IC44" s="20">
        <f t="shared" si="144"/>
        <v>0</v>
      </c>
      <c r="ID44" s="20">
        <f t="shared" si="144"/>
        <v>0</v>
      </c>
      <c r="IE44" s="20">
        <f t="shared" si="144"/>
        <v>0</v>
      </c>
      <c r="IF44" s="20">
        <f t="shared" si="144"/>
        <v>0</v>
      </c>
      <c r="IG44" s="20">
        <f t="shared" si="144"/>
        <v>0</v>
      </c>
      <c r="IH44" s="20">
        <f t="shared" si="144"/>
        <v>0</v>
      </c>
      <c r="II44" s="20">
        <f t="shared" si="144"/>
        <v>0</v>
      </c>
      <c r="IJ44" s="20">
        <f t="shared" si="144"/>
        <v>0</v>
      </c>
      <c r="IK44" s="20">
        <f t="shared" si="144"/>
        <v>0</v>
      </c>
      <c r="IL44" s="20">
        <f t="shared" si="144"/>
        <v>0</v>
      </c>
      <c r="IM44" s="20">
        <f t="shared" si="144"/>
        <v>0</v>
      </c>
      <c r="IN44" s="20">
        <f t="shared" si="145"/>
        <v>0</v>
      </c>
      <c r="IO44" s="20">
        <f t="shared" si="145"/>
        <v>0</v>
      </c>
      <c r="IP44" s="20">
        <f t="shared" si="145"/>
        <v>0</v>
      </c>
      <c r="IQ44" s="20">
        <f t="shared" si="145"/>
        <v>0</v>
      </c>
      <c r="IR44" s="20">
        <f t="shared" si="145"/>
        <v>0</v>
      </c>
      <c r="IS44" s="20">
        <f t="shared" si="145"/>
        <v>0</v>
      </c>
      <c r="IT44" s="20">
        <f t="shared" si="145"/>
        <v>0</v>
      </c>
      <c r="IU44" s="20">
        <f t="shared" si="145"/>
        <v>0</v>
      </c>
      <c r="IV44" s="20">
        <f t="shared" si="145"/>
        <v>0</v>
      </c>
      <c r="IW44" s="20">
        <f t="shared" si="145"/>
        <v>0</v>
      </c>
      <c r="IX44" s="20">
        <f t="shared" si="145"/>
        <v>0</v>
      </c>
      <c r="IY44" s="20">
        <f t="shared" si="145"/>
        <v>0</v>
      </c>
      <c r="IZ44" s="20">
        <f t="shared" si="145"/>
        <v>0</v>
      </c>
      <c r="JA44" s="20">
        <f t="shared" si="145"/>
        <v>0</v>
      </c>
      <c r="JB44" s="20">
        <f t="shared" si="145"/>
        <v>0</v>
      </c>
      <c r="JC44" s="20">
        <f t="shared" si="145"/>
        <v>0</v>
      </c>
      <c r="JD44" s="20">
        <f t="shared" si="146"/>
        <v>0</v>
      </c>
      <c r="JE44" s="20">
        <f t="shared" si="146"/>
        <v>0</v>
      </c>
      <c r="JF44" s="20">
        <f t="shared" si="146"/>
        <v>0</v>
      </c>
      <c r="JG44" s="20">
        <f t="shared" si="146"/>
        <v>0</v>
      </c>
      <c r="JH44" s="20">
        <f t="shared" si="146"/>
        <v>0</v>
      </c>
      <c r="JI44" s="20">
        <f t="shared" si="146"/>
        <v>0</v>
      </c>
      <c r="JJ44" s="20">
        <f t="shared" si="146"/>
        <v>0</v>
      </c>
      <c r="JK44" s="20">
        <f t="shared" si="146"/>
        <v>0</v>
      </c>
      <c r="JL44" s="20">
        <f t="shared" si="146"/>
        <v>0</v>
      </c>
      <c r="JM44" s="20">
        <f t="shared" si="146"/>
        <v>0</v>
      </c>
      <c r="JN44" s="20">
        <f t="shared" si="146"/>
        <v>0</v>
      </c>
      <c r="JO44" s="20">
        <f t="shared" si="146"/>
        <v>0</v>
      </c>
      <c r="JP44" s="20">
        <f t="shared" si="146"/>
        <v>0</v>
      </c>
      <c r="JQ44" s="20">
        <f t="shared" si="146"/>
        <v>0</v>
      </c>
      <c r="JR44" s="20">
        <f t="shared" si="146"/>
        <v>0</v>
      </c>
      <c r="JS44" s="20">
        <f t="shared" si="146"/>
        <v>0</v>
      </c>
      <c r="JT44" s="20">
        <f t="shared" si="147"/>
        <v>0</v>
      </c>
      <c r="JU44" s="20">
        <f t="shared" si="147"/>
        <v>0</v>
      </c>
      <c r="JV44" s="20">
        <f t="shared" si="147"/>
        <v>0</v>
      </c>
      <c r="JW44" s="20">
        <f t="shared" si="147"/>
        <v>0</v>
      </c>
      <c r="JX44" s="20">
        <f t="shared" si="147"/>
        <v>0</v>
      </c>
      <c r="JY44"/>
      <c r="JZ44" s="220" t="str">
        <f t="shared" si="51"/>
        <v>Included in detailed component CAPEX</v>
      </c>
      <c r="KA44" s="201"/>
      <c r="KB44" s="20">
        <f t="shared" si="148"/>
        <v>0</v>
      </c>
      <c r="KC44" s="20">
        <f t="shared" si="149"/>
        <v>36</v>
      </c>
      <c r="KD44" s="20">
        <f t="shared" si="150"/>
        <v>37</v>
      </c>
      <c r="KE44" s="418">
        <f t="shared" si="151"/>
        <v>0</v>
      </c>
      <c r="KF44" s="418">
        <f t="shared" si="152"/>
        <v>0</v>
      </c>
      <c r="KG44" s="418">
        <f t="shared" si="152"/>
        <v>0</v>
      </c>
      <c r="KH44" s="418">
        <f t="shared" si="152"/>
        <v>0</v>
      </c>
      <c r="KI44" s="418">
        <f t="shared" si="152"/>
        <v>0</v>
      </c>
      <c r="KJ44" s="418">
        <f t="shared" si="152"/>
        <v>0</v>
      </c>
      <c r="KK44" s="418">
        <f t="shared" si="152"/>
        <v>0</v>
      </c>
      <c r="KL44" s="418">
        <f t="shared" si="152"/>
        <v>0</v>
      </c>
      <c r="KM44" s="418">
        <f t="shared" si="152"/>
        <v>0</v>
      </c>
      <c r="KN44" s="418">
        <f t="shared" si="152"/>
        <v>0</v>
      </c>
      <c r="KO44" s="418">
        <f t="shared" si="152"/>
        <v>0</v>
      </c>
      <c r="KP44" s="418">
        <f t="shared" si="152"/>
        <v>0</v>
      </c>
      <c r="KQ44" s="418">
        <f t="shared" si="152"/>
        <v>0</v>
      </c>
      <c r="KR44" s="418">
        <f t="shared" si="152"/>
        <v>0</v>
      </c>
      <c r="KS44" s="418">
        <f t="shared" si="152"/>
        <v>0</v>
      </c>
      <c r="KT44" s="418">
        <f t="shared" si="152"/>
        <v>0</v>
      </c>
      <c r="KU44" s="418">
        <f t="shared" si="152"/>
        <v>0</v>
      </c>
      <c r="KV44" s="418">
        <f t="shared" si="153"/>
        <v>0</v>
      </c>
      <c r="KW44" s="418">
        <f t="shared" si="153"/>
        <v>0</v>
      </c>
      <c r="KX44" s="418">
        <f t="shared" si="153"/>
        <v>0</v>
      </c>
      <c r="KY44" s="418">
        <f t="shared" si="153"/>
        <v>0</v>
      </c>
      <c r="KZ44" s="418">
        <f t="shared" si="153"/>
        <v>0</v>
      </c>
      <c r="LA44" s="418">
        <f t="shared" si="153"/>
        <v>0</v>
      </c>
      <c r="LB44" s="418">
        <f t="shared" si="153"/>
        <v>0</v>
      </c>
      <c r="LC44" s="418">
        <f t="shared" si="153"/>
        <v>0</v>
      </c>
      <c r="LD44" s="418">
        <f t="shared" si="153"/>
        <v>0</v>
      </c>
      <c r="LE44" s="418">
        <f t="shared" si="153"/>
        <v>0</v>
      </c>
      <c r="LF44" s="418">
        <f t="shared" si="153"/>
        <v>0</v>
      </c>
      <c r="LG44" s="418">
        <f t="shared" si="153"/>
        <v>0</v>
      </c>
      <c r="LH44" s="418">
        <f t="shared" si="153"/>
        <v>0</v>
      </c>
      <c r="LI44" s="418">
        <f t="shared" si="153"/>
        <v>0</v>
      </c>
      <c r="LJ44" s="418">
        <f t="shared" si="153"/>
        <v>0</v>
      </c>
      <c r="LK44" s="418">
        <f t="shared" si="153"/>
        <v>0</v>
      </c>
      <c r="LL44" s="418">
        <f t="shared" si="154"/>
        <v>0</v>
      </c>
      <c r="LM44" s="418">
        <f t="shared" si="154"/>
        <v>0</v>
      </c>
      <c r="LN44" s="418">
        <f t="shared" si="154"/>
        <v>0</v>
      </c>
      <c r="LO44" s="418">
        <f t="shared" si="154"/>
        <v>0</v>
      </c>
      <c r="LP44" s="418">
        <f t="shared" si="154"/>
        <v>0</v>
      </c>
      <c r="LQ44" s="418">
        <f t="shared" si="154"/>
        <v>0</v>
      </c>
      <c r="LR44" s="418">
        <f t="shared" si="154"/>
        <v>0</v>
      </c>
      <c r="LS44" s="418">
        <f t="shared" si="154"/>
        <v>0</v>
      </c>
      <c r="LT44" s="418">
        <f t="shared" si="154"/>
        <v>0</v>
      </c>
      <c r="LU44" s="418">
        <f t="shared" si="154"/>
        <v>0</v>
      </c>
      <c r="LV44" s="418">
        <f t="shared" si="154"/>
        <v>0</v>
      </c>
      <c r="LW44" s="418">
        <f t="shared" si="154"/>
        <v>0</v>
      </c>
      <c r="LX44" s="418">
        <f t="shared" si="154"/>
        <v>0</v>
      </c>
      <c r="LY44" s="418">
        <f t="shared" si="154"/>
        <v>0</v>
      </c>
      <c r="LZ44" s="418">
        <f t="shared" si="154"/>
        <v>0</v>
      </c>
      <c r="MA44" s="418">
        <f t="shared" si="154"/>
        <v>0</v>
      </c>
      <c r="MB44" s="418">
        <f t="shared" si="155"/>
        <v>0</v>
      </c>
      <c r="MC44" s="418">
        <f t="shared" si="155"/>
        <v>0</v>
      </c>
      <c r="MD44" s="418">
        <f t="shared" si="155"/>
        <v>0</v>
      </c>
      <c r="ME44" s="418">
        <f t="shared" si="155"/>
        <v>0</v>
      </c>
      <c r="MF44" s="418">
        <f t="shared" si="155"/>
        <v>0</v>
      </c>
      <c r="MG44" s="418">
        <f t="shared" si="155"/>
        <v>0</v>
      </c>
      <c r="MH44" s="418">
        <f t="shared" si="155"/>
        <v>0</v>
      </c>
      <c r="MI44" s="418">
        <f t="shared" si="155"/>
        <v>0</v>
      </c>
      <c r="MJ44" s="418">
        <f t="shared" si="155"/>
        <v>0</v>
      </c>
      <c r="MK44" s="418">
        <f t="shared" si="155"/>
        <v>0</v>
      </c>
      <c r="ML44" s="418">
        <f t="shared" si="155"/>
        <v>0</v>
      </c>
      <c r="MM44" s="418">
        <f t="shared" si="155"/>
        <v>0</v>
      </c>
      <c r="MN44" s="418">
        <f t="shared" si="155"/>
        <v>0</v>
      </c>
      <c r="MO44" s="418">
        <f t="shared" si="155"/>
        <v>0</v>
      </c>
      <c r="MP44" s="418">
        <f t="shared" si="155"/>
        <v>0</v>
      </c>
      <c r="MQ44" s="418">
        <f t="shared" si="155"/>
        <v>0</v>
      </c>
      <c r="MR44" s="418">
        <f t="shared" si="156"/>
        <v>0</v>
      </c>
      <c r="MS44" s="418">
        <f t="shared" si="156"/>
        <v>0</v>
      </c>
      <c r="MT44" s="418">
        <f t="shared" si="156"/>
        <v>0</v>
      </c>
      <c r="MU44" s="418">
        <f t="shared" si="156"/>
        <v>0</v>
      </c>
      <c r="MV44" s="418">
        <f t="shared" si="156"/>
        <v>0</v>
      </c>
      <c r="MW44" s="418">
        <f t="shared" si="156"/>
        <v>0</v>
      </c>
      <c r="MX44" s="418">
        <f t="shared" si="156"/>
        <v>0</v>
      </c>
      <c r="MY44" s="418">
        <f t="shared" si="156"/>
        <v>0</v>
      </c>
      <c r="MZ44" s="418">
        <f t="shared" si="156"/>
        <v>0</v>
      </c>
      <c r="NA44" s="418">
        <f t="shared" si="156"/>
        <v>0</v>
      </c>
      <c r="NB44" s="418">
        <f t="shared" si="156"/>
        <v>0</v>
      </c>
      <c r="NC44" s="418">
        <f t="shared" si="156"/>
        <v>0</v>
      </c>
      <c r="ND44" s="418">
        <f t="shared" si="156"/>
        <v>0</v>
      </c>
      <c r="NE44" s="418">
        <f t="shared" si="156"/>
        <v>0</v>
      </c>
      <c r="NF44" s="418">
        <f t="shared" si="156"/>
        <v>0</v>
      </c>
      <c r="NG44" s="418">
        <f t="shared" si="156"/>
        <v>0</v>
      </c>
      <c r="NH44" s="418">
        <f t="shared" si="157"/>
        <v>0</v>
      </c>
      <c r="NI44" s="418">
        <f t="shared" si="157"/>
        <v>0</v>
      </c>
      <c r="NJ44" s="418">
        <f t="shared" si="157"/>
        <v>0</v>
      </c>
      <c r="NK44" s="418">
        <f t="shared" si="157"/>
        <v>0</v>
      </c>
      <c r="NL44" s="418">
        <f t="shared" si="157"/>
        <v>0</v>
      </c>
      <c r="NM44" s="418">
        <f t="shared" si="157"/>
        <v>0</v>
      </c>
      <c r="NN44" s="418">
        <f t="shared" si="157"/>
        <v>0</v>
      </c>
      <c r="NO44" s="418">
        <f t="shared" si="157"/>
        <v>0</v>
      </c>
      <c r="NP44" s="418">
        <f t="shared" si="157"/>
        <v>0</v>
      </c>
      <c r="NQ44" s="418">
        <f t="shared" si="157"/>
        <v>0</v>
      </c>
      <c r="NR44" s="418">
        <f t="shared" si="157"/>
        <v>0</v>
      </c>
      <c r="NS44" s="418">
        <f t="shared" si="157"/>
        <v>0</v>
      </c>
      <c r="NT44" s="418">
        <f t="shared" si="157"/>
        <v>0</v>
      </c>
      <c r="NU44" s="418">
        <f t="shared" si="157"/>
        <v>0</v>
      </c>
      <c r="NV44" s="418">
        <f t="shared" si="157"/>
        <v>0</v>
      </c>
      <c r="NW44" s="418">
        <f t="shared" si="157"/>
        <v>0</v>
      </c>
      <c r="NX44" s="418">
        <f t="shared" si="158"/>
        <v>0</v>
      </c>
      <c r="NY44" s="418">
        <f t="shared" si="158"/>
        <v>0</v>
      </c>
      <c r="NZ44" s="418">
        <f t="shared" si="158"/>
        <v>0</v>
      </c>
      <c r="OA44" s="418">
        <f t="shared" si="158"/>
        <v>0</v>
      </c>
      <c r="OB44" s="418">
        <f t="shared" si="158"/>
        <v>0</v>
      </c>
      <c r="OC44" s="418">
        <f t="shared" si="158"/>
        <v>0</v>
      </c>
      <c r="OD44" s="418">
        <f t="shared" si="158"/>
        <v>0</v>
      </c>
      <c r="OE44" s="418">
        <f t="shared" si="158"/>
        <v>0</v>
      </c>
      <c r="OF44" s="418">
        <f t="shared" si="158"/>
        <v>0</v>
      </c>
      <c r="OG44" s="418">
        <f t="shared" si="158"/>
        <v>0</v>
      </c>
      <c r="OH44" s="418">
        <f t="shared" si="158"/>
        <v>0</v>
      </c>
      <c r="OI44" s="418">
        <f t="shared" si="158"/>
        <v>0</v>
      </c>
      <c r="OJ44" s="418">
        <f t="shared" si="158"/>
        <v>0</v>
      </c>
      <c r="OK44" s="418">
        <f t="shared" si="158"/>
        <v>0</v>
      </c>
      <c r="OL44" s="418">
        <f t="shared" si="158"/>
        <v>0</v>
      </c>
      <c r="OM44" s="418">
        <f t="shared" si="158"/>
        <v>0</v>
      </c>
      <c r="ON44" s="418">
        <f t="shared" si="159"/>
        <v>0</v>
      </c>
      <c r="OO44" s="418">
        <f t="shared" si="159"/>
        <v>0</v>
      </c>
      <c r="OP44" s="418">
        <f t="shared" si="159"/>
        <v>0</v>
      </c>
      <c r="OQ44" s="418">
        <f t="shared" si="159"/>
        <v>0</v>
      </c>
      <c r="OR44" s="418">
        <f t="shared" si="159"/>
        <v>0</v>
      </c>
      <c r="OS44" s="418">
        <f t="shared" si="159"/>
        <v>0</v>
      </c>
      <c r="OT44" s="418">
        <f t="shared" si="159"/>
        <v>0</v>
      </c>
      <c r="OU44" s="418">
        <f t="shared" si="159"/>
        <v>0</v>
      </c>
      <c r="OV44" s="418">
        <f t="shared" si="159"/>
        <v>0</v>
      </c>
      <c r="OW44" s="418">
        <f t="shared" si="159"/>
        <v>0</v>
      </c>
      <c r="OX44" s="418">
        <f t="shared" si="159"/>
        <v>0</v>
      </c>
      <c r="OY44" s="418">
        <f t="shared" si="159"/>
        <v>0</v>
      </c>
      <c r="OZ44" s="418">
        <f t="shared" si="159"/>
        <v>0</v>
      </c>
      <c r="PA44" s="418">
        <f t="shared" si="159"/>
        <v>0</v>
      </c>
      <c r="PB44" s="418">
        <f t="shared" si="159"/>
        <v>0</v>
      </c>
      <c r="PC44" s="418">
        <f t="shared" si="159"/>
        <v>0</v>
      </c>
      <c r="PD44" s="418">
        <f t="shared" si="160"/>
        <v>0</v>
      </c>
      <c r="PE44" s="418">
        <f t="shared" si="160"/>
        <v>0</v>
      </c>
      <c r="PF44" s="418">
        <f t="shared" si="160"/>
        <v>0</v>
      </c>
      <c r="PG44" s="418">
        <f t="shared" si="160"/>
        <v>0</v>
      </c>
      <c r="PH44" s="418">
        <f t="shared" si="160"/>
        <v>0</v>
      </c>
    </row>
    <row r="45" spans="1:424" x14ac:dyDescent="0.35">
      <c r="A45"/>
      <c r="B45" s="426" t="s">
        <v>154</v>
      </c>
      <c r="C45" s="400">
        <v>1</v>
      </c>
      <c r="D45" s="45"/>
      <c r="E45" s="257">
        <f t="shared" si="116"/>
        <v>36</v>
      </c>
      <c r="F45" s="414" t="s">
        <v>142</v>
      </c>
      <c r="G45" s="40">
        <f t="shared" si="117"/>
        <v>0</v>
      </c>
      <c r="H45" s="415"/>
      <c r="I45" s="416">
        <v>0</v>
      </c>
      <c r="J45"/>
      <c r="K45" s="22" t="str">
        <f>IF(ROUND(SUM(L45:EN45),0)=ROUND(I45,0),"","Incomplete")</f>
        <v/>
      </c>
      <c r="L45" s="417">
        <f t="shared" si="119"/>
        <v>0</v>
      </c>
      <c r="M45" s="417">
        <f t="shared" si="119"/>
        <v>0</v>
      </c>
      <c r="N45" s="417">
        <f t="shared" si="119"/>
        <v>0</v>
      </c>
      <c r="O45" s="417">
        <f t="shared" si="119"/>
        <v>0</v>
      </c>
      <c r="P45" s="417">
        <f t="shared" si="119"/>
        <v>0</v>
      </c>
      <c r="Q45" s="417">
        <f t="shared" si="119"/>
        <v>0</v>
      </c>
      <c r="R45" s="417">
        <f t="shared" si="119"/>
        <v>0</v>
      </c>
      <c r="S45" s="417">
        <f t="shared" si="119"/>
        <v>0</v>
      </c>
      <c r="T45" s="417">
        <f t="shared" si="119"/>
        <v>0</v>
      </c>
      <c r="U45" s="417">
        <f t="shared" si="119"/>
        <v>0</v>
      </c>
      <c r="V45" s="417">
        <f t="shared" si="120"/>
        <v>0</v>
      </c>
      <c r="W45" s="417">
        <f t="shared" si="120"/>
        <v>0</v>
      </c>
      <c r="X45" s="417">
        <f t="shared" si="120"/>
        <v>0</v>
      </c>
      <c r="Y45" s="417">
        <f t="shared" si="120"/>
        <v>0</v>
      </c>
      <c r="Z45" s="417">
        <f t="shared" si="120"/>
        <v>0</v>
      </c>
      <c r="AA45" s="417">
        <f t="shared" si="120"/>
        <v>0</v>
      </c>
      <c r="AB45" s="417">
        <f t="shared" si="120"/>
        <v>0</v>
      </c>
      <c r="AC45" s="417">
        <f t="shared" si="120"/>
        <v>0</v>
      </c>
      <c r="AD45" s="417">
        <f t="shared" si="120"/>
        <v>0</v>
      </c>
      <c r="AE45" s="417">
        <f t="shared" si="120"/>
        <v>0</v>
      </c>
      <c r="AF45" s="417">
        <f t="shared" si="121"/>
        <v>0</v>
      </c>
      <c r="AG45" s="417">
        <f t="shared" si="121"/>
        <v>0</v>
      </c>
      <c r="AH45" s="417">
        <f t="shared" si="121"/>
        <v>0</v>
      </c>
      <c r="AI45" s="417">
        <f t="shared" si="121"/>
        <v>0</v>
      </c>
      <c r="AJ45" s="417">
        <f t="shared" si="121"/>
        <v>0</v>
      </c>
      <c r="AK45" s="417">
        <f t="shared" si="121"/>
        <v>0</v>
      </c>
      <c r="AL45" s="417">
        <f t="shared" si="121"/>
        <v>0</v>
      </c>
      <c r="AM45" s="417">
        <f t="shared" si="121"/>
        <v>0</v>
      </c>
      <c r="AN45" s="417">
        <f t="shared" si="121"/>
        <v>0</v>
      </c>
      <c r="AO45" s="417">
        <f t="shared" si="121"/>
        <v>0</v>
      </c>
      <c r="AP45" s="417">
        <f t="shared" si="122"/>
        <v>0</v>
      </c>
      <c r="AQ45" s="417">
        <f t="shared" si="122"/>
        <v>0</v>
      </c>
      <c r="AR45" s="417">
        <f t="shared" si="122"/>
        <v>0</v>
      </c>
      <c r="AS45" s="417">
        <f t="shared" si="122"/>
        <v>0</v>
      </c>
      <c r="AT45" s="417">
        <f t="shared" si="122"/>
        <v>0</v>
      </c>
      <c r="AU45" s="417">
        <f t="shared" si="122"/>
        <v>0</v>
      </c>
      <c r="AV45" s="417">
        <f t="shared" si="122"/>
        <v>0</v>
      </c>
      <c r="AW45" s="417">
        <f t="shared" si="122"/>
        <v>0</v>
      </c>
      <c r="AX45" s="417">
        <f t="shared" si="122"/>
        <v>0</v>
      </c>
      <c r="AY45" s="417">
        <f t="shared" si="122"/>
        <v>0</v>
      </c>
      <c r="AZ45" s="417">
        <f t="shared" si="123"/>
        <v>0</v>
      </c>
      <c r="BA45" s="417">
        <f t="shared" si="123"/>
        <v>0</v>
      </c>
      <c r="BB45" s="417">
        <f t="shared" si="123"/>
        <v>0</v>
      </c>
      <c r="BC45" s="417">
        <f t="shared" si="123"/>
        <v>0</v>
      </c>
      <c r="BD45" s="417">
        <f t="shared" si="123"/>
        <v>0</v>
      </c>
      <c r="BE45" s="417">
        <f t="shared" si="123"/>
        <v>0</v>
      </c>
      <c r="BF45" s="417">
        <f t="shared" si="123"/>
        <v>0</v>
      </c>
      <c r="BG45" s="417">
        <f t="shared" si="123"/>
        <v>0</v>
      </c>
      <c r="BH45" s="417">
        <f t="shared" si="123"/>
        <v>0</v>
      </c>
      <c r="BI45" s="417">
        <f t="shared" si="123"/>
        <v>0</v>
      </c>
      <c r="BJ45" s="417">
        <f t="shared" si="124"/>
        <v>0</v>
      </c>
      <c r="BK45" s="417">
        <f t="shared" si="124"/>
        <v>0</v>
      </c>
      <c r="BL45" s="417">
        <f t="shared" si="124"/>
        <v>0</v>
      </c>
      <c r="BM45" s="417">
        <f t="shared" si="124"/>
        <v>0</v>
      </c>
      <c r="BN45" s="417">
        <f t="shared" si="124"/>
        <v>0</v>
      </c>
      <c r="BO45" s="417">
        <f t="shared" si="124"/>
        <v>0</v>
      </c>
      <c r="BP45" s="417">
        <f t="shared" si="124"/>
        <v>0</v>
      </c>
      <c r="BQ45" s="417">
        <f t="shared" si="124"/>
        <v>0</v>
      </c>
      <c r="BR45" s="417">
        <f t="shared" si="124"/>
        <v>0</v>
      </c>
      <c r="BS45" s="417">
        <f t="shared" si="124"/>
        <v>0</v>
      </c>
      <c r="BT45" s="417">
        <f t="shared" si="125"/>
        <v>0</v>
      </c>
      <c r="BU45" s="417">
        <f t="shared" si="125"/>
        <v>0</v>
      </c>
      <c r="BV45" s="417">
        <f t="shared" si="125"/>
        <v>0</v>
      </c>
      <c r="BW45" s="417">
        <f t="shared" si="125"/>
        <v>0</v>
      </c>
      <c r="BX45" s="417">
        <f t="shared" si="125"/>
        <v>0</v>
      </c>
      <c r="BY45" s="417">
        <f t="shared" si="125"/>
        <v>0</v>
      </c>
      <c r="BZ45" s="417">
        <f t="shared" si="125"/>
        <v>0</v>
      </c>
      <c r="CA45" s="417">
        <f t="shared" si="125"/>
        <v>0</v>
      </c>
      <c r="CB45" s="417">
        <f t="shared" si="125"/>
        <v>0</v>
      </c>
      <c r="CC45" s="417">
        <f t="shared" si="125"/>
        <v>0</v>
      </c>
      <c r="CD45" s="417">
        <f t="shared" si="126"/>
        <v>0</v>
      </c>
      <c r="CE45" s="417">
        <f t="shared" si="126"/>
        <v>0</v>
      </c>
      <c r="CF45" s="417">
        <f t="shared" si="126"/>
        <v>0</v>
      </c>
      <c r="CG45" s="417">
        <f t="shared" si="126"/>
        <v>0</v>
      </c>
      <c r="CH45" s="417">
        <f t="shared" si="126"/>
        <v>0</v>
      </c>
      <c r="CI45" s="417">
        <f t="shared" si="126"/>
        <v>0</v>
      </c>
      <c r="CJ45" s="417">
        <f t="shared" si="126"/>
        <v>0</v>
      </c>
      <c r="CK45" s="417">
        <f t="shared" si="126"/>
        <v>0</v>
      </c>
      <c r="CL45" s="417">
        <f t="shared" si="126"/>
        <v>0</v>
      </c>
      <c r="CM45" s="417">
        <f t="shared" si="126"/>
        <v>0</v>
      </c>
      <c r="CN45" s="417">
        <f t="shared" si="127"/>
        <v>0</v>
      </c>
      <c r="CO45" s="417">
        <f t="shared" si="127"/>
        <v>0</v>
      </c>
      <c r="CP45" s="417">
        <f t="shared" si="127"/>
        <v>0</v>
      </c>
      <c r="CQ45" s="417">
        <f t="shared" si="127"/>
        <v>0</v>
      </c>
      <c r="CR45" s="417">
        <f t="shared" si="127"/>
        <v>0</v>
      </c>
      <c r="CS45" s="417">
        <f t="shared" si="127"/>
        <v>0</v>
      </c>
      <c r="CT45" s="417">
        <f t="shared" si="127"/>
        <v>0</v>
      </c>
      <c r="CU45" s="417">
        <f t="shared" si="127"/>
        <v>0</v>
      </c>
      <c r="CV45" s="417">
        <f t="shared" si="127"/>
        <v>0</v>
      </c>
      <c r="CW45" s="417">
        <f t="shared" si="127"/>
        <v>0</v>
      </c>
      <c r="CX45" s="417">
        <f t="shared" si="128"/>
        <v>0</v>
      </c>
      <c r="CY45" s="417">
        <f t="shared" si="128"/>
        <v>0</v>
      </c>
      <c r="CZ45" s="417">
        <f t="shared" si="128"/>
        <v>0</v>
      </c>
      <c r="DA45" s="417">
        <f t="shared" si="128"/>
        <v>0</v>
      </c>
      <c r="DB45" s="417">
        <f t="shared" si="128"/>
        <v>0</v>
      </c>
      <c r="DC45" s="417">
        <f t="shared" si="128"/>
        <v>0</v>
      </c>
      <c r="DD45" s="417">
        <f t="shared" si="128"/>
        <v>0</v>
      </c>
      <c r="DE45" s="417">
        <f t="shared" si="128"/>
        <v>0</v>
      </c>
      <c r="DF45" s="417">
        <f t="shared" si="128"/>
        <v>0</v>
      </c>
      <c r="DG45" s="417">
        <f t="shared" si="128"/>
        <v>0</v>
      </c>
      <c r="DH45" s="417">
        <f t="shared" si="129"/>
        <v>0</v>
      </c>
      <c r="DI45" s="417">
        <f t="shared" si="129"/>
        <v>0</v>
      </c>
      <c r="DJ45" s="417">
        <f t="shared" si="129"/>
        <v>0</v>
      </c>
      <c r="DK45" s="417">
        <f t="shared" si="129"/>
        <v>0</v>
      </c>
      <c r="DL45" s="417">
        <f t="shared" si="129"/>
        <v>0</v>
      </c>
      <c r="DM45" s="417">
        <f t="shared" si="129"/>
        <v>0</v>
      </c>
      <c r="DN45" s="417">
        <f t="shared" si="129"/>
        <v>0</v>
      </c>
      <c r="DO45" s="417">
        <f t="shared" si="129"/>
        <v>0</v>
      </c>
      <c r="DP45" s="417">
        <f t="shared" si="129"/>
        <v>0</v>
      </c>
      <c r="DQ45" s="417">
        <f t="shared" si="129"/>
        <v>0</v>
      </c>
      <c r="DR45" s="417">
        <f t="shared" si="130"/>
        <v>0</v>
      </c>
      <c r="DS45" s="417">
        <f t="shared" si="130"/>
        <v>0</v>
      </c>
      <c r="DT45" s="417">
        <f t="shared" si="130"/>
        <v>0</v>
      </c>
      <c r="DU45" s="417">
        <f t="shared" si="130"/>
        <v>0</v>
      </c>
      <c r="DV45" s="417">
        <f t="shared" si="130"/>
        <v>0</v>
      </c>
      <c r="DW45" s="417">
        <f t="shared" si="130"/>
        <v>0</v>
      </c>
      <c r="DX45" s="417">
        <f t="shared" si="130"/>
        <v>0</v>
      </c>
      <c r="DY45" s="417">
        <f t="shared" si="130"/>
        <v>0</v>
      </c>
      <c r="DZ45" s="417">
        <f t="shared" si="130"/>
        <v>0</v>
      </c>
      <c r="EA45" s="417">
        <f t="shared" si="130"/>
        <v>0</v>
      </c>
      <c r="EB45" s="417">
        <f t="shared" si="131"/>
        <v>0</v>
      </c>
      <c r="EC45" s="417">
        <f t="shared" si="131"/>
        <v>0</v>
      </c>
      <c r="ED45" s="417">
        <f t="shared" si="131"/>
        <v>0</v>
      </c>
      <c r="EE45" s="417">
        <f t="shared" si="131"/>
        <v>0</v>
      </c>
      <c r="EF45" s="417">
        <f t="shared" si="131"/>
        <v>0</v>
      </c>
      <c r="EG45" s="417">
        <f t="shared" si="131"/>
        <v>0</v>
      </c>
      <c r="EH45" s="417">
        <f t="shared" si="131"/>
        <v>0</v>
      </c>
      <c r="EI45" s="417">
        <f t="shared" si="131"/>
        <v>0</v>
      </c>
      <c r="EJ45" s="417">
        <f t="shared" si="131"/>
        <v>0</v>
      </c>
      <c r="EK45" s="417">
        <f t="shared" si="131"/>
        <v>0</v>
      </c>
      <c r="EL45" s="417">
        <f t="shared" si="132"/>
        <v>0</v>
      </c>
      <c r="EM45" s="417">
        <f t="shared" si="132"/>
        <v>0</v>
      </c>
      <c r="EN45" s="417">
        <f t="shared" si="132"/>
        <v>0</v>
      </c>
      <c r="EO45"/>
      <c r="EP45" s="220">
        <f>I45</f>
        <v>0</v>
      </c>
      <c r="EQ45" s="201">
        <f t="shared" si="134"/>
        <v>46203</v>
      </c>
      <c r="ER45" s="201">
        <f t="shared" si="135"/>
        <v>47299</v>
      </c>
      <c r="ES45" s="20">
        <f>+E45-D45+1</f>
        <v>37</v>
      </c>
      <c r="ET45" s="18" t="str">
        <f>F45</f>
        <v>Straight-Line</v>
      </c>
      <c r="EU45" s="79">
        <f>ES45/Scurve_Dist</f>
        <v>6.166666666666667</v>
      </c>
      <c r="EV45" s="20">
        <f t="shared" si="139"/>
        <v>0</v>
      </c>
      <c r="EW45" s="20">
        <f t="shared" si="139"/>
        <v>0</v>
      </c>
      <c r="EX45" s="20">
        <f t="shared" si="139"/>
        <v>0</v>
      </c>
      <c r="EY45" s="20">
        <f t="shared" si="139"/>
        <v>0</v>
      </c>
      <c r="EZ45" s="20">
        <f t="shared" si="139"/>
        <v>0</v>
      </c>
      <c r="FA45" s="20">
        <f t="shared" si="139"/>
        <v>0</v>
      </c>
      <c r="FB45" s="20">
        <f t="shared" si="139"/>
        <v>0</v>
      </c>
      <c r="FC45" s="20">
        <f t="shared" si="139"/>
        <v>0</v>
      </c>
      <c r="FD45" s="20">
        <f t="shared" si="139"/>
        <v>0</v>
      </c>
      <c r="FE45" s="20">
        <f t="shared" si="139"/>
        <v>0</v>
      </c>
      <c r="FF45" s="20">
        <f t="shared" si="139"/>
        <v>0</v>
      </c>
      <c r="FG45" s="20">
        <f t="shared" si="139"/>
        <v>0</v>
      </c>
      <c r="FH45" s="20">
        <f t="shared" si="139"/>
        <v>0</v>
      </c>
      <c r="FI45" s="20">
        <f t="shared" si="139"/>
        <v>0</v>
      </c>
      <c r="FJ45" s="20">
        <f t="shared" si="139"/>
        <v>0</v>
      </c>
      <c r="FK45" s="20">
        <f t="shared" si="139"/>
        <v>0</v>
      </c>
      <c r="FL45" s="20">
        <f t="shared" si="140"/>
        <v>0</v>
      </c>
      <c r="FM45" s="20">
        <f t="shared" si="140"/>
        <v>0</v>
      </c>
      <c r="FN45" s="20">
        <f t="shared" si="140"/>
        <v>0</v>
      </c>
      <c r="FO45" s="20">
        <f t="shared" si="140"/>
        <v>0</v>
      </c>
      <c r="FP45" s="20">
        <f t="shared" si="140"/>
        <v>0</v>
      </c>
      <c r="FQ45" s="20">
        <f t="shared" si="140"/>
        <v>0</v>
      </c>
      <c r="FR45" s="20">
        <f t="shared" si="140"/>
        <v>0</v>
      </c>
      <c r="FS45" s="20">
        <f t="shared" si="140"/>
        <v>0</v>
      </c>
      <c r="FT45" s="20">
        <f t="shared" si="140"/>
        <v>0</v>
      </c>
      <c r="FU45" s="20">
        <f t="shared" si="140"/>
        <v>0</v>
      </c>
      <c r="FV45" s="20">
        <f t="shared" si="140"/>
        <v>0</v>
      </c>
      <c r="FW45" s="20">
        <f t="shared" si="140"/>
        <v>0</v>
      </c>
      <c r="FX45" s="20">
        <f t="shared" si="140"/>
        <v>0</v>
      </c>
      <c r="FY45" s="20">
        <f t="shared" si="140"/>
        <v>0</v>
      </c>
      <c r="FZ45" s="20">
        <f t="shared" si="140"/>
        <v>0</v>
      </c>
      <c r="GA45" s="20">
        <f t="shared" si="140"/>
        <v>0</v>
      </c>
      <c r="GB45" s="20">
        <f t="shared" si="141"/>
        <v>0</v>
      </c>
      <c r="GC45" s="20">
        <f t="shared" si="141"/>
        <v>0</v>
      </c>
      <c r="GD45" s="20">
        <f t="shared" si="141"/>
        <v>0</v>
      </c>
      <c r="GE45" s="20">
        <f t="shared" si="141"/>
        <v>0</v>
      </c>
      <c r="GF45" s="20">
        <f t="shared" si="141"/>
        <v>0</v>
      </c>
      <c r="GG45" s="20">
        <f t="shared" si="141"/>
        <v>0</v>
      </c>
      <c r="GH45" s="20">
        <f t="shared" si="141"/>
        <v>0</v>
      </c>
      <c r="GI45" s="20">
        <f t="shared" si="141"/>
        <v>0</v>
      </c>
      <c r="GJ45" s="20">
        <f t="shared" si="141"/>
        <v>0</v>
      </c>
      <c r="GK45" s="20">
        <f t="shared" si="141"/>
        <v>0</v>
      </c>
      <c r="GL45" s="20">
        <f t="shared" si="141"/>
        <v>0</v>
      </c>
      <c r="GM45" s="20">
        <f t="shared" si="141"/>
        <v>0</v>
      </c>
      <c r="GN45" s="20">
        <f t="shared" si="141"/>
        <v>0</v>
      </c>
      <c r="GO45" s="20">
        <f t="shared" si="141"/>
        <v>0</v>
      </c>
      <c r="GP45" s="20">
        <f t="shared" si="141"/>
        <v>0</v>
      </c>
      <c r="GQ45" s="20">
        <f t="shared" si="141"/>
        <v>0</v>
      </c>
      <c r="GR45" s="20">
        <f t="shared" si="142"/>
        <v>0</v>
      </c>
      <c r="GS45" s="20">
        <f t="shared" si="142"/>
        <v>0</v>
      </c>
      <c r="GT45" s="20">
        <f t="shared" si="142"/>
        <v>0</v>
      </c>
      <c r="GU45" s="20">
        <f t="shared" si="142"/>
        <v>0</v>
      </c>
      <c r="GV45" s="20">
        <f t="shared" si="142"/>
        <v>0</v>
      </c>
      <c r="GW45" s="20">
        <f t="shared" si="142"/>
        <v>0</v>
      </c>
      <c r="GX45" s="20">
        <f t="shared" si="142"/>
        <v>0</v>
      </c>
      <c r="GY45" s="20">
        <f t="shared" si="142"/>
        <v>0</v>
      </c>
      <c r="GZ45" s="20">
        <f t="shared" si="142"/>
        <v>0</v>
      </c>
      <c r="HA45" s="20">
        <f t="shared" si="142"/>
        <v>0</v>
      </c>
      <c r="HB45" s="20">
        <f t="shared" si="142"/>
        <v>0</v>
      </c>
      <c r="HC45" s="20">
        <f t="shared" si="142"/>
        <v>0</v>
      </c>
      <c r="HD45" s="20">
        <f t="shared" si="142"/>
        <v>0</v>
      </c>
      <c r="HE45" s="20">
        <f t="shared" si="142"/>
        <v>0</v>
      </c>
      <c r="HF45" s="20">
        <f t="shared" si="142"/>
        <v>0</v>
      </c>
      <c r="HG45" s="20">
        <f t="shared" si="142"/>
        <v>0</v>
      </c>
      <c r="HH45" s="20">
        <f t="shared" si="143"/>
        <v>0</v>
      </c>
      <c r="HI45" s="20">
        <f t="shared" si="143"/>
        <v>0</v>
      </c>
      <c r="HJ45" s="20">
        <f t="shared" si="143"/>
        <v>0</v>
      </c>
      <c r="HK45" s="20">
        <f t="shared" si="143"/>
        <v>0</v>
      </c>
      <c r="HL45" s="20">
        <f t="shared" si="143"/>
        <v>0</v>
      </c>
      <c r="HM45" s="20">
        <f t="shared" si="143"/>
        <v>0</v>
      </c>
      <c r="HN45" s="20">
        <f t="shared" si="143"/>
        <v>0</v>
      </c>
      <c r="HO45" s="20">
        <f t="shared" si="143"/>
        <v>0</v>
      </c>
      <c r="HP45" s="20">
        <f t="shared" si="143"/>
        <v>0</v>
      </c>
      <c r="HQ45" s="20">
        <f t="shared" si="143"/>
        <v>0</v>
      </c>
      <c r="HR45" s="20">
        <f t="shared" si="143"/>
        <v>0</v>
      </c>
      <c r="HS45" s="20">
        <f t="shared" si="143"/>
        <v>0</v>
      </c>
      <c r="HT45" s="20">
        <f t="shared" si="143"/>
        <v>0</v>
      </c>
      <c r="HU45" s="20">
        <f t="shared" si="143"/>
        <v>0</v>
      </c>
      <c r="HV45" s="20">
        <f t="shared" si="143"/>
        <v>0</v>
      </c>
      <c r="HW45" s="20">
        <f t="shared" si="143"/>
        <v>0</v>
      </c>
      <c r="HX45" s="20">
        <f t="shared" si="144"/>
        <v>0</v>
      </c>
      <c r="HY45" s="20">
        <f t="shared" si="144"/>
        <v>0</v>
      </c>
      <c r="HZ45" s="20">
        <f t="shared" si="144"/>
        <v>0</v>
      </c>
      <c r="IA45" s="20">
        <f t="shared" si="144"/>
        <v>0</v>
      </c>
      <c r="IB45" s="20">
        <f t="shared" si="144"/>
        <v>0</v>
      </c>
      <c r="IC45" s="20">
        <f t="shared" si="144"/>
        <v>0</v>
      </c>
      <c r="ID45" s="20">
        <f t="shared" si="144"/>
        <v>0</v>
      </c>
      <c r="IE45" s="20">
        <f t="shared" si="144"/>
        <v>0</v>
      </c>
      <c r="IF45" s="20">
        <f t="shared" si="144"/>
        <v>0</v>
      </c>
      <c r="IG45" s="20">
        <f t="shared" si="144"/>
        <v>0</v>
      </c>
      <c r="IH45" s="20">
        <f t="shared" si="144"/>
        <v>0</v>
      </c>
      <c r="II45" s="20">
        <f t="shared" si="144"/>
        <v>0</v>
      </c>
      <c r="IJ45" s="20">
        <f t="shared" si="144"/>
        <v>0</v>
      </c>
      <c r="IK45" s="20">
        <f t="shared" si="144"/>
        <v>0</v>
      </c>
      <c r="IL45" s="20">
        <f t="shared" si="144"/>
        <v>0</v>
      </c>
      <c r="IM45" s="20">
        <f t="shared" si="144"/>
        <v>0</v>
      </c>
      <c r="IN45" s="20">
        <f t="shared" si="145"/>
        <v>0</v>
      </c>
      <c r="IO45" s="20">
        <f t="shared" si="145"/>
        <v>0</v>
      </c>
      <c r="IP45" s="20">
        <f t="shared" si="145"/>
        <v>0</v>
      </c>
      <c r="IQ45" s="20">
        <f t="shared" si="145"/>
        <v>0</v>
      </c>
      <c r="IR45" s="20">
        <f t="shared" si="145"/>
        <v>0</v>
      </c>
      <c r="IS45" s="20">
        <f t="shared" si="145"/>
        <v>0</v>
      </c>
      <c r="IT45" s="20">
        <f t="shared" si="145"/>
        <v>0</v>
      </c>
      <c r="IU45" s="20">
        <f t="shared" si="145"/>
        <v>0</v>
      </c>
      <c r="IV45" s="20">
        <f t="shared" si="145"/>
        <v>0</v>
      </c>
      <c r="IW45" s="20">
        <f t="shared" si="145"/>
        <v>0</v>
      </c>
      <c r="IX45" s="20">
        <f t="shared" si="145"/>
        <v>0</v>
      </c>
      <c r="IY45" s="20">
        <f t="shared" si="145"/>
        <v>0</v>
      </c>
      <c r="IZ45" s="20">
        <f t="shared" si="145"/>
        <v>0</v>
      </c>
      <c r="JA45" s="20">
        <f t="shared" si="145"/>
        <v>0</v>
      </c>
      <c r="JB45" s="20">
        <f t="shared" si="145"/>
        <v>0</v>
      </c>
      <c r="JC45" s="20">
        <f t="shared" si="145"/>
        <v>0</v>
      </c>
      <c r="JD45" s="20">
        <f t="shared" si="146"/>
        <v>0</v>
      </c>
      <c r="JE45" s="20">
        <f t="shared" si="146"/>
        <v>0</v>
      </c>
      <c r="JF45" s="20">
        <f t="shared" si="146"/>
        <v>0</v>
      </c>
      <c r="JG45" s="20">
        <f t="shared" si="146"/>
        <v>0</v>
      </c>
      <c r="JH45" s="20">
        <f t="shared" si="146"/>
        <v>0</v>
      </c>
      <c r="JI45" s="20">
        <f t="shared" si="146"/>
        <v>0</v>
      </c>
      <c r="JJ45" s="20">
        <f t="shared" si="146"/>
        <v>0</v>
      </c>
      <c r="JK45" s="20">
        <f t="shared" si="146"/>
        <v>0</v>
      </c>
      <c r="JL45" s="20">
        <f t="shared" si="146"/>
        <v>0</v>
      </c>
      <c r="JM45" s="20">
        <f t="shared" si="146"/>
        <v>0</v>
      </c>
      <c r="JN45" s="20">
        <f t="shared" si="146"/>
        <v>0</v>
      </c>
      <c r="JO45" s="20">
        <f t="shared" si="146"/>
        <v>0</v>
      </c>
      <c r="JP45" s="20">
        <f t="shared" si="146"/>
        <v>0</v>
      </c>
      <c r="JQ45" s="20">
        <f t="shared" si="146"/>
        <v>0</v>
      </c>
      <c r="JR45" s="20">
        <f t="shared" si="146"/>
        <v>0</v>
      </c>
      <c r="JS45" s="20">
        <f t="shared" si="146"/>
        <v>0</v>
      </c>
      <c r="JT45" s="20">
        <f t="shared" si="147"/>
        <v>0</v>
      </c>
      <c r="JU45" s="20">
        <f t="shared" si="147"/>
        <v>0</v>
      </c>
      <c r="JV45" s="20">
        <f t="shared" si="147"/>
        <v>0</v>
      </c>
      <c r="JW45" s="20">
        <f t="shared" si="147"/>
        <v>0</v>
      </c>
      <c r="JX45" s="20">
        <f t="shared" si="147"/>
        <v>0</v>
      </c>
      <c r="JY45"/>
      <c r="JZ45" s="220" t="str">
        <f>B45</f>
        <v>Included in detailed component CAPEX</v>
      </c>
      <c r="KA45" s="201"/>
      <c r="KB45" s="20">
        <f>D45</f>
        <v>0</v>
      </c>
      <c r="KC45" s="20">
        <f>E45</f>
        <v>36</v>
      </c>
      <c r="KD45" s="20">
        <f>KC45-KB45+1</f>
        <v>37</v>
      </c>
      <c r="KE45" s="418">
        <f>I45</f>
        <v>0</v>
      </c>
      <c r="KF45" s="418">
        <f t="shared" si="152"/>
        <v>0</v>
      </c>
      <c r="KG45" s="418">
        <f t="shared" si="152"/>
        <v>0</v>
      </c>
      <c r="KH45" s="418">
        <f t="shared" si="152"/>
        <v>0</v>
      </c>
      <c r="KI45" s="418">
        <f t="shared" si="152"/>
        <v>0</v>
      </c>
      <c r="KJ45" s="418">
        <f t="shared" si="152"/>
        <v>0</v>
      </c>
      <c r="KK45" s="418">
        <f t="shared" si="152"/>
        <v>0</v>
      </c>
      <c r="KL45" s="418">
        <f t="shared" si="152"/>
        <v>0</v>
      </c>
      <c r="KM45" s="418">
        <f t="shared" si="152"/>
        <v>0</v>
      </c>
      <c r="KN45" s="418">
        <f t="shared" si="152"/>
        <v>0</v>
      </c>
      <c r="KO45" s="418">
        <f t="shared" si="152"/>
        <v>0</v>
      </c>
      <c r="KP45" s="418">
        <f t="shared" si="152"/>
        <v>0</v>
      </c>
      <c r="KQ45" s="418">
        <f t="shared" si="152"/>
        <v>0</v>
      </c>
      <c r="KR45" s="418">
        <f t="shared" si="152"/>
        <v>0</v>
      </c>
      <c r="KS45" s="418">
        <f t="shared" si="152"/>
        <v>0</v>
      </c>
      <c r="KT45" s="418">
        <f t="shared" si="152"/>
        <v>0</v>
      </c>
      <c r="KU45" s="418">
        <f t="shared" si="152"/>
        <v>0</v>
      </c>
      <c r="KV45" s="418">
        <f t="shared" si="153"/>
        <v>0</v>
      </c>
      <c r="KW45" s="418">
        <f t="shared" si="153"/>
        <v>0</v>
      </c>
      <c r="KX45" s="418">
        <f t="shared" si="153"/>
        <v>0</v>
      </c>
      <c r="KY45" s="418">
        <f t="shared" si="153"/>
        <v>0</v>
      </c>
      <c r="KZ45" s="418">
        <f t="shared" si="153"/>
        <v>0</v>
      </c>
      <c r="LA45" s="418">
        <f t="shared" si="153"/>
        <v>0</v>
      </c>
      <c r="LB45" s="418">
        <f t="shared" si="153"/>
        <v>0</v>
      </c>
      <c r="LC45" s="418">
        <f t="shared" si="153"/>
        <v>0</v>
      </c>
      <c r="LD45" s="418">
        <f t="shared" si="153"/>
        <v>0</v>
      </c>
      <c r="LE45" s="418">
        <f t="shared" si="153"/>
        <v>0</v>
      </c>
      <c r="LF45" s="418">
        <f t="shared" si="153"/>
        <v>0</v>
      </c>
      <c r="LG45" s="418">
        <f t="shared" si="153"/>
        <v>0</v>
      </c>
      <c r="LH45" s="418">
        <f t="shared" si="153"/>
        <v>0</v>
      </c>
      <c r="LI45" s="418">
        <f t="shared" si="153"/>
        <v>0</v>
      </c>
      <c r="LJ45" s="418">
        <f t="shared" si="153"/>
        <v>0</v>
      </c>
      <c r="LK45" s="418">
        <f t="shared" si="153"/>
        <v>0</v>
      </c>
      <c r="LL45" s="418">
        <f t="shared" si="154"/>
        <v>0</v>
      </c>
      <c r="LM45" s="418">
        <f t="shared" si="154"/>
        <v>0</v>
      </c>
      <c r="LN45" s="418">
        <f t="shared" si="154"/>
        <v>0</v>
      </c>
      <c r="LO45" s="418">
        <f t="shared" si="154"/>
        <v>0</v>
      </c>
      <c r="LP45" s="418">
        <f t="shared" si="154"/>
        <v>0</v>
      </c>
      <c r="LQ45" s="418">
        <f t="shared" si="154"/>
        <v>0</v>
      </c>
      <c r="LR45" s="418">
        <f t="shared" si="154"/>
        <v>0</v>
      </c>
      <c r="LS45" s="418">
        <f t="shared" si="154"/>
        <v>0</v>
      </c>
      <c r="LT45" s="418">
        <f t="shared" si="154"/>
        <v>0</v>
      </c>
      <c r="LU45" s="418">
        <f t="shared" si="154"/>
        <v>0</v>
      </c>
      <c r="LV45" s="418">
        <f t="shared" si="154"/>
        <v>0</v>
      </c>
      <c r="LW45" s="418">
        <f t="shared" si="154"/>
        <v>0</v>
      </c>
      <c r="LX45" s="418">
        <f t="shared" si="154"/>
        <v>0</v>
      </c>
      <c r="LY45" s="418">
        <f t="shared" si="154"/>
        <v>0</v>
      </c>
      <c r="LZ45" s="418">
        <f t="shared" si="154"/>
        <v>0</v>
      </c>
      <c r="MA45" s="418">
        <f t="shared" si="154"/>
        <v>0</v>
      </c>
      <c r="MB45" s="418">
        <f t="shared" si="155"/>
        <v>0</v>
      </c>
      <c r="MC45" s="418">
        <f t="shared" si="155"/>
        <v>0</v>
      </c>
      <c r="MD45" s="418">
        <f t="shared" si="155"/>
        <v>0</v>
      </c>
      <c r="ME45" s="418">
        <f t="shared" si="155"/>
        <v>0</v>
      </c>
      <c r="MF45" s="418">
        <f t="shared" si="155"/>
        <v>0</v>
      </c>
      <c r="MG45" s="418">
        <f t="shared" si="155"/>
        <v>0</v>
      </c>
      <c r="MH45" s="418">
        <f t="shared" si="155"/>
        <v>0</v>
      </c>
      <c r="MI45" s="418">
        <f t="shared" si="155"/>
        <v>0</v>
      </c>
      <c r="MJ45" s="418">
        <f t="shared" si="155"/>
        <v>0</v>
      </c>
      <c r="MK45" s="418">
        <f t="shared" si="155"/>
        <v>0</v>
      </c>
      <c r="ML45" s="418">
        <f t="shared" si="155"/>
        <v>0</v>
      </c>
      <c r="MM45" s="418">
        <f t="shared" si="155"/>
        <v>0</v>
      </c>
      <c r="MN45" s="418">
        <f t="shared" si="155"/>
        <v>0</v>
      </c>
      <c r="MO45" s="418">
        <f t="shared" si="155"/>
        <v>0</v>
      </c>
      <c r="MP45" s="418">
        <f t="shared" si="155"/>
        <v>0</v>
      </c>
      <c r="MQ45" s="418">
        <f t="shared" si="155"/>
        <v>0</v>
      </c>
      <c r="MR45" s="418">
        <f t="shared" si="156"/>
        <v>0</v>
      </c>
      <c r="MS45" s="418">
        <f t="shared" si="156"/>
        <v>0</v>
      </c>
      <c r="MT45" s="418">
        <f t="shared" si="156"/>
        <v>0</v>
      </c>
      <c r="MU45" s="418">
        <f t="shared" si="156"/>
        <v>0</v>
      </c>
      <c r="MV45" s="418">
        <f t="shared" si="156"/>
        <v>0</v>
      </c>
      <c r="MW45" s="418">
        <f t="shared" si="156"/>
        <v>0</v>
      </c>
      <c r="MX45" s="418">
        <f t="shared" si="156"/>
        <v>0</v>
      </c>
      <c r="MY45" s="418">
        <f t="shared" si="156"/>
        <v>0</v>
      </c>
      <c r="MZ45" s="418">
        <f t="shared" si="156"/>
        <v>0</v>
      </c>
      <c r="NA45" s="418">
        <f t="shared" si="156"/>
        <v>0</v>
      </c>
      <c r="NB45" s="418">
        <f t="shared" si="156"/>
        <v>0</v>
      </c>
      <c r="NC45" s="418">
        <f t="shared" si="156"/>
        <v>0</v>
      </c>
      <c r="ND45" s="418">
        <f t="shared" si="156"/>
        <v>0</v>
      </c>
      <c r="NE45" s="418">
        <f t="shared" si="156"/>
        <v>0</v>
      </c>
      <c r="NF45" s="418">
        <f t="shared" si="156"/>
        <v>0</v>
      </c>
      <c r="NG45" s="418">
        <f t="shared" si="156"/>
        <v>0</v>
      </c>
      <c r="NH45" s="418">
        <f t="shared" si="157"/>
        <v>0</v>
      </c>
      <c r="NI45" s="418">
        <f t="shared" si="157"/>
        <v>0</v>
      </c>
      <c r="NJ45" s="418">
        <f t="shared" si="157"/>
        <v>0</v>
      </c>
      <c r="NK45" s="418">
        <f t="shared" si="157"/>
        <v>0</v>
      </c>
      <c r="NL45" s="418">
        <f t="shared" si="157"/>
        <v>0</v>
      </c>
      <c r="NM45" s="418">
        <f t="shared" si="157"/>
        <v>0</v>
      </c>
      <c r="NN45" s="418">
        <f t="shared" si="157"/>
        <v>0</v>
      </c>
      <c r="NO45" s="418">
        <f t="shared" si="157"/>
        <v>0</v>
      </c>
      <c r="NP45" s="418">
        <f t="shared" si="157"/>
        <v>0</v>
      </c>
      <c r="NQ45" s="418">
        <f t="shared" si="157"/>
        <v>0</v>
      </c>
      <c r="NR45" s="418">
        <f t="shared" si="157"/>
        <v>0</v>
      </c>
      <c r="NS45" s="418">
        <f t="shared" si="157"/>
        <v>0</v>
      </c>
      <c r="NT45" s="418">
        <f t="shared" si="157"/>
        <v>0</v>
      </c>
      <c r="NU45" s="418">
        <f t="shared" si="157"/>
        <v>0</v>
      </c>
      <c r="NV45" s="418">
        <f t="shared" si="157"/>
        <v>0</v>
      </c>
      <c r="NW45" s="418">
        <f t="shared" si="157"/>
        <v>0</v>
      </c>
      <c r="NX45" s="418">
        <f t="shared" si="158"/>
        <v>0</v>
      </c>
      <c r="NY45" s="418">
        <f t="shared" si="158"/>
        <v>0</v>
      </c>
      <c r="NZ45" s="418">
        <f t="shared" si="158"/>
        <v>0</v>
      </c>
      <c r="OA45" s="418">
        <f t="shared" si="158"/>
        <v>0</v>
      </c>
      <c r="OB45" s="418">
        <f t="shared" si="158"/>
        <v>0</v>
      </c>
      <c r="OC45" s="418">
        <f t="shared" si="158"/>
        <v>0</v>
      </c>
      <c r="OD45" s="418">
        <f t="shared" si="158"/>
        <v>0</v>
      </c>
      <c r="OE45" s="418">
        <f t="shared" si="158"/>
        <v>0</v>
      </c>
      <c r="OF45" s="418">
        <f t="shared" si="158"/>
        <v>0</v>
      </c>
      <c r="OG45" s="418">
        <f t="shared" si="158"/>
        <v>0</v>
      </c>
      <c r="OH45" s="418">
        <f t="shared" si="158"/>
        <v>0</v>
      </c>
      <c r="OI45" s="418">
        <f t="shared" si="158"/>
        <v>0</v>
      </c>
      <c r="OJ45" s="418">
        <f t="shared" si="158"/>
        <v>0</v>
      </c>
      <c r="OK45" s="418">
        <f t="shared" si="158"/>
        <v>0</v>
      </c>
      <c r="OL45" s="418">
        <f t="shared" si="158"/>
        <v>0</v>
      </c>
      <c r="OM45" s="418">
        <f t="shared" si="158"/>
        <v>0</v>
      </c>
      <c r="ON45" s="418">
        <f t="shared" si="159"/>
        <v>0</v>
      </c>
      <c r="OO45" s="418">
        <f t="shared" si="159"/>
        <v>0</v>
      </c>
      <c r="OP45" s="418">
        <f t="shared" si="159"/>
        <v>0</v>
      </c>
      <c r="OQ45" s="418">
        <f t="shared" si="159"/>
        <v>0</v>
      </c>
      <c r="OR45" s="418">
        <f t="shared" si="159"/>
        <v>0</v>
      </c>
      <c r="OS45" s="418">
        <f t="shared" si="159"/>
        <v>0</v>
      </c>
      <c r="OT45" s="418">
        <f t="shared" si="159"/>
        <v>0</v>
      </c>
      <c r="OU45" s="418">
        <f t="shared" si="159"/>
        <v>0</v>
      </c>
      <c r="OV45" s="418">
        <f t="shared" si="159"/>
        <v>0</v>
      </c>
      <c r="OW45" s="418">
        <f t="shared" si="159"/>
        <v>0</v>
      </c>
      <c r="OX45" s="418">
        <f t="shared" si="159"/>
        <v>0</v>
      </c>
      <c r="OY45" s="418">
        <f t="shared" si="159"/>
        <v>0</v>
      </c>
      <c r="OZ45" s="418">
        <f t="shared" si="159"/>
        <v>0</v>
      </c>
      <c r="PA45" s="418">
        <f t="shared" si="159"/>
        <v>0</v>
      </c>
      <c r="PB45" s="418">
        <f t="shared" si="159"/>
        <v>0</v>
      </c>
      <c r="PC45" s="418">
        <f t="shared" si="159"/>
        <v>0</v>
      </c>
      <c r="PD45" s="418">
        <f t="shared" si="160"/>
        <v>0</v>
      </c>
      <c r="PE45" s="418">
        <f t="shared" si="160"/>
        <v>0</v>
      </c>
      <c r="PF45" s="418">
        <f t="shared" si="160"/>
        <v>0</v>
      </c>
      <c r="PG45" s="418">
        <f t="shared" si="160"/>
        <v>0</v>
      </c>
      <c r="PH45" s="418">
        <f t="shared" si="160"/>
        <v>0</v>
      </c>
    </row>
    <row r="46" spans="1:424" x14ac:dyDescent="0.35">
      <c r="A46"/>
      <c r="B46" s="427" t="s">
        <v>154</v>
      </c>
      <c r="C46" s="39">
        <f>I46/SUM(I41:I44,I38,I31)</f>
        <v>0</v>
      </c>
      <c r="D46" s="45">
        <v>1</v>
      </c>
      <c r="E46" s="257">
        <f t="shared" si="116"/>
        <v>36</v>
      </c>
      <c r="F46" s="414" t="s">
        <v>142</v>
      </c>
      <c r="G46" s="42">
        <f t="shared" si="117"/>
        <v>0</v>
      </c>
      <c r="H46" s="428"/>
      <c r="I46" s="421">
        <v>0</v>
      </c>
      <c r="J46"/>
      <c r="K46" s="22" t="str">
        <f t="shared" si="118"/>
        <v/>
      </c>
      <c r="L46" s="422">
        <f t="shared" si="119"/>
        <v>0</v>
      </c>
      <c r="M46" s="422">
        <f t="shared" si="119"/>
        <v>0</v>
      </c>
      <c r="N46" s="422">
        <f t="shared" si="119"/>
        <v>0</v>
      </c>
      <c r="O46" s="422">
        <f t="shared" si="119"/>
        <v>0</v>
      </c>
      <c r="P46" s="422">
        <f t="shared" si="119"/>
        <v>0</v>
      </c>
      <c r="Q46" s="422">
        <f t="shared" si="119"/>
        <v>0</v>
      </c>
      <c r="R46" s="422">
        <f t="shared" si="119"/>
        <v>0</v>
      </c>
      <c r="S46" s="422">
        <f t="shared" si="119"/>
        <v>0</v>
      </c>
      <c r="T46" s="422">
        <f t="shared" si="119"/>
        <v>0</v>
      </c>
      <c r="U46" s="422">
        <f t="shared" si="119"/>
        <v>0</v>
      </c>
      <c r="V46" s="422">
        <f t="shared" si="120"/>
        <v>0</v>
      </c>
      <c r="W46" s="422">
        <f t="shared" si="120"/>
        <v>0</v>
      </c>
      <c r="X46" s="422">
        <f t="shared" si="120"/>
        <v>0</v>
      </c>
      <c r="Y46" s="422">
        <f t="shared" si="120"/>
        <v>0</v>
      </c>
      <c r="Z46" s="422">
        <f t="shared" si="120"/>
        <v>0</v>
      </c>
      <c r="AA46" s="422">
        <f t="shared" si="120"/>
        <v>0</v>
      </c>
      <c r="AB46" s="422">
        <f t="shared" si="120"/>
        <v>0</v>
      </c>
      <c r="AC46" s="422">
        <f t="shared" si="120"/>
        <v>0</v>
      </c>
      <c r="AD46" s="422">
        <f t="shared" si="120"/>
        <v>0</v>
      </c>
      <c r="AE46" s="422">
        <f t="shared" si="120"/>
        <v>0</v>
      </c>
      <c r="AF46" s="422">
        <f t="shared" si="121"/>
        <v>0</v>
      </c>
      <c r="AG46" s="422">
        <f t="shared" si="121"/>
        <v>0</v>
      </c>
      <c r="AH46" s="422">
        <f t="shared" si="121"/>
        <v>0</v>
      </c>
      <c r="AI46" s="422">
        <f t="shared" si="121"/>
        <v>0</v>
      </c>
      <c r="AJ46" s="422">
        <f t="shared" si="121"/>
        <v>0</v>
      </c>
      <c r="AK46" s="422">
        <f t="shared" si="121"/>
        <v>0</v>
      </c>
      <c r="AL46" s="422">
        <f t="shared" si="121"/>
        <v>0</v>
      </c>
      <c r="AM46" s="422">
        <f t="shared" si="121"/>
        <v>0</v>
      </c>
      <c r="AN46" s="422">
        <f t="shared" si="121"/>
        <v>0</v>
      </c>
      <c r="AO46" s="422">
        <f t="shared" si="121"/>
        <v>0</v>
      </c>
      <c r="AP46" s="422">
        <f t="shared" si="122"/>
        <v>0</v>
      </c>
      <c r="AQ46" s="422">
        <f t="shared" si="122"/>
        <v>0</v>
      </c>
      <c r="AR46" s="422">
        <f t="shared" si="122"/>
        <v>0</v>
      </c>
      <c r="AS46" s="422">
        <f t="shared" si="122"/>
        <v>0</v>
      </c>
      <c r="AT46" s="422">
        <f t="shared" si="122"/>
        <v>0</v>
      </c>
      <c r="AU46" s="422">
        <f t="shared" si="122"/>
        <v>0</v>
      </c>
      <c r="AV46" s="422">
        <f t="shared" si="122"/>
        <v>0</v>
      </c>
      <c r="AW46" s="422">
        <f t="shared" si="122"/>
        <v>0</v>
      </c>
      <c r="AX46" s="422">
        <f t="shared" si="122"/>
        <v>0</v>
      </c>
      <c r="AY46" s="422">
        <f t="shared" si="122"/>
        <v>0</v>
      </c>
      <c r="AZ46" s="422">
        <f t="shared" si="123"/>
        <v>0</v>
      </c>
      <c r="BA46" s="422">
        <f t="shared" si="123"/>
        <v>0</v>
      </c>
      <c r="BB46" s="422">
        <f t="shared" si="123"/>
        <v>0</v>
      </c>
      <c r="BC46" s="422">
        <f t="shared" si="123"/>
        <v>0</v>
      </c>
      <c r="BD46" s="422">
        <f t="shared" si="123"/>
        <v>0</v>
      </c>
      <c r="BE46" s="422">
        <f t="shared" si="123"/>
        <v>0</v>
      </c>
      <c r="BF46" s="422">
        <f t="shared" si="123"/>
        <v>0</v>
      </c>
      <c r="BG46" s="422">
        <f t="shared" si="123"/>
        <v>0</v>
      </c>
      <c r="BH46" s="422">
        <f t="shared" si="123"/>
        <v>0</v>
      </c>
      <c r="BI46" s="422">
        <f t="shared" si="123"/>
        <v>0</v>
      </c>
      <c r="BJ46" s="422">
        <f t="shared" si="124"/>
        <v>0</v>
      </c>
      <c r="BK46" s="422">
        <f t="shared" si="124"/>
        <v>0</v>
      </c>
      <c r="BL46" s="422">
        <f t="shared" si="124"/>
        <v>0</v>
      </c>
      <c r="BM46" s="422">
        <f t="shared" si="124"/>
        <v>0</v>
      </c>
      <c r="BN46" s="422">
        <f t="shared" si="124"/>
        <v>0</v>
      </c>
      <c r="BO46" s="422">
        <f t="shared" si="124"/>
        <v>0</v>
      </c>
      <c r="BP46" s="422">
        <f t="shared" si="124"/>
        <v>0</v>
      </c>
      <c r="BQ46" s="422">
        <f t="shared" si="124"/>
        <v>0</v>
      </c>
      <c r="BR46" s="422">
        <f t="shared" si="124"/>
        <v>0</v>
      </c>
      <c r="BS46" s="422">
        <f t="shared" si="124"/>
        <v>0</v>
      </c>
      <c r="BT46" s="422">
        <f t="shared" si="125"/>
        <v>0</v>
      </c>
      <c r="BU46" s="422">
        <f t="shared" si="125"/>
        <v>0</v>
      </c>
      <c r="BV46" s="422">
        <f t="shared" si="125"/>
        <v>0</v>
      </c>
      <c r="BW46" s="422">
        <f t="shared" si="125"/>
        <v>0</v>
      </c>
      <c r="BX46" s="422">
        <f t="shared" si="125"/>
        <v>0</v>
      </c>
      <c r="BY46" s="422">
        <f t="shared" si="125"/>
        <v>0</v>
      </c>
      <c r="BZ46" s="422">
        <f t="shared" si="125"/>
        <v>0</v>
      </c>
      <c r="CA46" s="422">
        <f t="shared" si="125"/>
        <v>0</v>
      </c>
      <c r="CB46" s="422">
        <f t="shared" si="125"/>
        <v>0</v>
      </c>
      <c r="CC46" s="422">
        <f t="shared" si="125"/>
        <v>0</v>
      </c>
      <c r="CD46" s="422">
        <f t="shared" si="126"/>
        <v>0</v>
      </c>
      <c r="CE46" s="422">
        <f t="shared" si="126"/>
        <v>0</v>
      </c>
      <c r="CF46" s="422">
        <f t="shared" si="126"/>
        <v>0</v>
      </c>
      <c r="CG46" s="422">
        <f t="shared" si="126"/>
        <v>0</v>
      </c>
      <c r="CH46" s="422">
        <f t="shared" si="126"/>
        <v>0</v>
      </c>
      <c r="CI46" s="422">
        <f t="shared" si="126"/>
        <v>0</v>
      </c>
      <c r="CJ46" s="422">
        <f t="shared" si="126"/>
        <v>0</v>
      </c>
      <c r="CK46" s="422">
        <f t="shared" si="126"/>
        <v>0</v>
      </c>
      <c r="CL46" s="422">
        <f t="shared" si="126"/>
        <v>0</v>
      </c>
      <c r="CM46" s="422">
        <f t="shared" si="126"/>
        <v>0</v>
      </c>
      <c r="CN46" s="422">
        <f t="shared" si="127"/>
        <v>0</v>
      </c>
      <c r="CO46" s="422">
        <f t="shared" si="127"/>
        <v>0</v>
      </c>
      <c r="CP46" s="422">
        <f t="shared" si="127"/>
        <v>0</v>
      </c>
      <c r="CQ46" s="422">
        <f t="shared" si="127"/>
        <v>0</v>
      </c>
      <c r="CR46" s="422">
        <f t="shared" si="127"/>
        <v>0</v>
      </c>
      <c r="CS46" s="422">
        <f t="shared" si="127"/>
        <v>0</v>
      </c>
      <c r="CT46" s="422">
        <f t="shared" si="127"/>
        <v>0</v>
      </c>
      <c r="CU46" s="422">
        <f t="shared" si="127"/>
        <v>0</v>
      </c>
      <c r="CV46" s="422">
        <f t="shared" si="127"/>
        <v>0</v>
      </c>
      <c r="CW46" s="422">
        <f t="shared" si="127"/>
        <v>0</v>
      </c>
      <c r="CX46" s="422">
        <f t="shared" si="128"/>
        <v>0</v>
      </c>
      <c r="CY46" s="422">
        <f t="shared" si="128"/>
        <v>0</v>
      </c>
      <c r="CZ46" s="422">
        <f t="shared" si="128"/>
        <v>0</v>
      </c>
      <c r="DA46" s="422">
        <f t="shared" si="128"/>
        <v>0</v>
      </c>
      <c r="DB46" s="422">
        <f t="shared" si="128"/>
        <v>0</v>
      </c>
      <c r="DC46" s="422">
        <f t="shared" si="128"/>
        <v>0</v>
      </c>
      <c r="DD46" s="422">
        <f t="shared" si="128"/>
        <v>0</v>
      </c>
      <c r="DE46" s="422">
        <f t="shared" si="128"/>
        <v>0</v>
      </c>
      <c r="DF46" s="422">
        <f t="shared" si="128"/>
        <v>0</v>
      </c>
      <c r="DG46" s="422">
        <f t="shared" si="128"/>
        <v>0</v>
      </c>
      <c r="DH46" s="422">
        <f t="shared" si="129"/>
        <v>0</v>
      </c>
      <c r="DI46" s="422">
        <f t="shared" si="129"/>
        <v>0</v>
      </c>
      <c r="DJ46" s="422">
        <f t="shared" si="129"/>
        <v>0</v>
      </c>
      <c r="DK46" s="422">
        <f t="shared" si="129"/>
        <v>0</v>
      </c>
      <c r="DL46" s="422">
        <f t="shared" si="129"/>
        <v>0</v>
      </c>
      <c r="DM46" s="422">
        <f t="shared" si="129"/>
        <v>0</v>
      </c>
      <c r="DN46" s="422">
        <f t="shared" si="129"/>
        <v>0</v>
      </c>
      <c r="DO46" s="422">
        <f t="shared" si="129"/>
        <v>0</v>
      </c>
      <c r="DP46" s="422">
        <f t="shared" si="129"/>
        <v>0</v>
      </c>
      <c r="DQ46" s="422">
        <f t="shared" si="129"/>
        <v>0</v>
      </c>
      <c r="DR46" s="422">
        <f t="shared" si="130"/>
        <v>0</v>
      </c>
      <c r="DS46" s="422">
        <f t="shared" si="130"/>
        <v>0</v>
      </c>
      <c r="DT46" s="422">
        <f t="shared" si="130"/>
        <v>0</v>
      </c>
      <c r="DU46" s="422">
        <f t="shared" si="130"/>
        <v>0</v>
      </c>
      <c r="DV46" s="422">
        <f t="shared" si="130"/>
        <v>0</v>
      </c>
      <c r="DW46" s="422">
        <f t="shared" si="130"/>
        <v>0</v>
      </c>
      <c r="DX46" s="422">
        <f t="shared" si="130"/>
        <v>0</v>
      </c>
      <c r="DY46" s="422">
        <f t="shared" si="130"/>
        <v>0</v>
      </c>
      <c r="DZ46" s="422">
        <f t="shared" si="130"/>
        <v>0</v>
      </c>
      <c r="EA46" s="422">
        <f t="shared" si="130"/>
        <v>0</v>
      </c>
      <c r="EB46" s="422">
        <f t="shared" si="131"/>
        <v>0</v>
      </c>
      <c r="EC46" s="422">
        <f t="shared" si="131"/>
        <v>0</v>
      </c>
      <c r="ED46" s="422">
        <f t="shared" si="131"/>
        <v>0</v>
      </c>
      <c r="EE46" s="422">
        <f t="shared" si="131"/>
        <v>0</v>
      </c>
      <c r="EF46" s="422">
        <f t="shared" si="131"/>
        <v>0</v>
      </c>
      <c r="EG46" s="422">
        <f t="shared" si="131"/>
        <v>0</v>
      </c>
      <c r="EH46" s="422">
        <f t="shared" si="131"/>
        <v>0</v>
      </c>
      <c r="EI46" s="422">
        <f t="shared" si="131"/>
        <v>0</v>
      </c>
      <c r="EJ46" s="422">
        <f t="shared" si="131"/>
        <v>0</v>
      </c>
      <c r="EK46" s="422">
        <f t="shared" si="131"/>
        <v>0</v>
      </c>
      <c r="EL46" s="422">
        <f t="shared" si="132"/>
        <v>0</v>
      </c>
      <c r="EM46" s="422">
        <f t="shared" si="132"/>
        <v>0</v>
      </c>
      <c r="EN46" s="422">
        <f t="shared" si="132"/>
        <v>0</v>
      </c>
      <c r="EO46"/>
      <c r="EP46" s="220">
        <f t="shared" si="133"/>
        <v>0</v>
      </c>
      <c r="EQ46" s="201">
        <f t="shared" si="134"/>
        <v>46234</v>
      </c>
      <c r="ER46" s="201">
        <f t="shared" si="135"/>
        <v>47299</v>
      </c>
      <c r="ES46" s="20">
        <f t="shared" si="136"/>
        <v>36</v>
      </c>
      <c r="ET46" s="18" t="str">
        <f t="shared" si="137"/>
        <v>Straight-Line</v>
      </c>
      <c r="EU46" s="79">
        <f t="shared" si="138"/>
        <v>6</v>
      </c>
      <c r="EV46" s="20">
        <f t="shared" si="139"/>
        <v>0</v>
      </c>
      <c r="EW46" s="20">
        <f t="shared" si="139"/>
        <v>0</v>
      </c>
      <c r="EX46" s="20">
        <f t="shared" si="139"/>
        <v>0</v>
      </c>
      <c r="EY46" s="20">
        <f t="shared" si="139"/>
        <v>0</v>
      </c>
      <c r="EZ46" s="20">
        <f t="shared" si="139"/>
        <v>0</v>
      </c>
      <c r="FA46" s="20">
        <f t="shared" si="139"/>
        <v>0</v>
      </c>
      <c r="FB46" s="20">
        <f t="shared" si="139"/>
        <v>0</v>
      </c>
      <c r="FC46" s="20">
        <f t="shared" si="139"/>
        <v>0</v>
      </c>
      <c r="FD46" s="20">
        <f t="shared" si="139"/>
        <v>0</v>
      </c>
      <c r="FE46" s="20">
        <f t="shared" si="139"/>
        <v>0</v>
      </c>
      <c r="FF46" s="20">
        <f t="shared" si="139"/>
        <v>0</v>
      </c>
      <c r="FG46" s="20">
        <f t="shared" si="139"/>
        <v>0</v>
      </c>
      <c r="FH46" s="20">
        <f t="shared" si="139"/>
        <v>0</v>
      </c>
      <c r="FI46" s="20">
        <f t="shared" si="139"/>
        <v>0</v>
      </c>
      <c r="FJ46" s="20">
        <f t="shared" si="139"/>
        <v>0</v>
      </c>
      <c r="FK46" s="20">
        <f t="shared" si="139"/>
        <v>0</v>
      </c>
      <c r="FL46" s="20">
        <f t="shared" si="140"/>
        <v>0</v>
      </c>
      <c r="FM46" s="20">
        <f t="shared" si="140"/>
        <v>0</v>
      </c>
      <c r="FN46" s="20">
        <f t="shared" si="140"/>
        <v>0</v>
      </c>
      <c r="FO46" s="20">
        <f t="shared" si="140"/>
        <v>0</v>
      </c>
      <c r="FP46" s="20">
        <f t="shared" si="140"/>
        <v>0</v>
      </c>
      <c r="FQ46" s="20">
        <f t="shared" si="140"/>
        <v>0</v>
      </c>
      <c r="FR46" s="20">
        <f t="shared" si="140"/>
        <v>0</v>
      </c>
      <c r="FS46" s="20">
        <f t="shared" si="140"/>
        <v>0</v>
      </c>
      <c r="FT46" s="20">
        <f t="shared" si="140"/>
        <v>0</v>
      </c>
      <c r="FU46" s="20">
        <f t="shared" si="140"/>
        <v>0</v>
      </c>
      <c r="FV46" s="20">
        <f t="shared" si="140"/>
        <v>0</v>
      </c>
      <c r="FW46" s="20">
        <f t="shared" si="140"/>
        <v>0</v>
      </c>
      <c r="FX46" s="20">
        <f t="shared" si="140"/>
        <v>0</v>
      </c>
      <c r="FY46" s="20">
        <f t="shared" si="140"/>
        <v>0</v>
      </c>
      <c r="FZ46" s="20">
        <f t="shared" si="140"/>
        <v>0</v>
      </c>
      <c r="GA46" s="20">
        <f t="shared" si="140"/>
        <v>0</v>
      </c>
      <c r="GB46" s="20">
        <f t="shared" si="141"/>
        <v>0</v>
      </c>
      <c r="GC46" s="20">
        <f t="shared" si="141"/>
        <v>0</v>
      </c>
      <c r="GD46" s="20">
        <f t="shared" si="141"/>
        <v>0</v>
      </c>
      <c r="GE46" s="20">
        <f t="shared" si="141"/>
        <v>0</v>
      </c>
      <c r="GF46" s="20">
        <f t="shared" si="141"/>
        <v>0</v>
      </c>
      <c r="GG46" s="20">
        <f t="shared" si="141"/>
        <v>0</v>
      </c>
      <c r="GH46" s="20">
        <f t="shared" si="141"/>
        <v>0</v>
      </c>
      <c r="GI46" s="20">
        <f t="shared" si="141"/>
        <v>0</v>
      </c>
      <c r="GJ46" s="20">
        <f t="shared" si="141"/>
        <v>0</v>
      </c>
      <c r="GK46" s="20">
        <f t="shared" si="141"/>
        <v>0</v>
      </c>
      <c r="GL46" s="20">
        <f t="shared" si="141"/>
        <v>0</v>
      </c>
      <c r="GM46" s="20">
        <f t="shared" si="141"/>
        <v>0</v>
      </c>
      <c r="GN46" s="20">
        <f t="shared" si="141"/>
        <v>0</v>
      </c>
      <c r="GO46" s="20">
        <f t="shared" si="141"/>
        <v>0</v>
      </c>
      <c r="GP46" s="20">
        <f t="shared" si="141"/>
        <v>0</v>
      </c>
      <c r="GQ46" s="20">
        <f t="shared" si="141"/>
        <v>0</v>
      </c>
      <c r="GR46" s="20">
        <f t="shared" si="142"/>
        <v>0</v>
      </c>
      <c r="GS46" s="20">
        <f t="shared" si="142"/>
        <v>0</v>
      </c>
      <c r="GT46" s="20">
        <f t="shared" si="142"/>
        <v>0</v>
      </c>
      <c r="GU46" s="20">
        <f t="shared" si="142"/>
        <v>0</v>
      </c>
      <c r="GV46" s="20">
        <f t="shared" si="142"/>
        <v>0</v>
      </c>
      <c r="GW46" s="20">
        <f t="shared" si="142"/>
        <v>0</v>
      </c>
      <c r="GX46" s="20">
        <f t="shared" si="142"/>
        <v>0</v>
      </c>
      <c r="GY46" s="20">
        <f t="shared" si="142"/>
        <v>0</v>
      </c>
      <c r="GZ46" s="20">
        <f t="shared" si="142"/>
        <v>0</v>
      </c>
      <c r="HA46" s="20">
        <f t="shared" si="142"/>
        <v>0</v>
      </c>
      <c r="HB46" s="20">
        <f t="shared" si="142"/>
        <v>0</v>
      </c>
      <c r="HC46" s="20">
        <f t="shared" si="142"/>
        <v>0</v>
      </c>
      <c r="HD46" s="20">
        <f t="shared" si="142"/>
        <v>0</v>
      </c>
      <c r="HE46" s="20">
        <f t="shared" si="142"/>
        <v>0</v>
      </c>
      <c r="HF46" s="20">
        <f t="shared" si="142"/>
        <v>0</v>
      </c>
      <c r="HG46" s="20">
        <f t="shared" si="142"/>
        <v>0</v>
      </c>
      <c r="HH46" s="20">
        <f t="shared" si="143"/>
        <v>0</v>
      </c>
      <c r="HI46" s="20">
        <f t="shared" si="143"/>
        <v>0</v>
      </c>
      <c r="HJ46" s="20">
        <f t="shared" si="143"/>
        <v>0</v>
      </c>
      <c r="HK46" s="20">
        <f t="shared" si="143"/>
        <v>0</v>
      </c>
      <c r="HL46" s="20">
        <f t="shared" si="143"/>
        <v>0</v>
      </c>
      <c r="HM46" s="20">
        <f t="shared" si="143"/>
        <v>0</v>
      </c>
      <c r="HN46" s="20">
        <f t="shared" si="143"/>
        <v>0</v>
      </c>
      <c r="HO46" s="20">
        <f t="shared" si="143"/>
        <v>0</v>
      </c>
      <c r="HP46" s="20">
        <f t="shared" si="143"/>
        <v>0</v>
      </c>
      <c r="HQ46" s="20">
        <f t="shared" si="143"/>
        <v>0</v>
      </c>
      <c r="HR46" s="20">
        <f t="shared" si="143"/>
        <v>0</v>
      </c>
      <c r="HS46" s="20">
        <f t="shared" si="143"/>
        <v>0</v>
      </c>
      <c r="HT46" s="20">
        <f t="shared" si="143"/>
        <v>0</v>
      </c>
      <c r="HU46" s="20">
        <f t="shared" si="143"/>
        <v>0</v>
      </c>
      <c r="HV46" s="20">
        <f t="shared" si="143"/>
        <v>0</v>
      </c>
      <c r="HW46" s="20">
        <f t="shared" si="143"/>
        <v>0</v>
      </c>
      <c r="HX46" s="20">
        <f t="shared" si="144"/>
        <v>0</v>
      </c>
      <c r="HY46" s="20">
        <f t="shared" si="144"/>
        <v>0</v>
      </c>
      <c r="HZ46" s="20">
        <f t="shared" si="144"/>
        <v>0</v>
      </c>
      <c r="IA46" s="20">
        <f t="shared" si="144"/>
        <v>0</v>
      </c>
      <c r="IB46" s="20">
        <f t="shared" si="144"/>
        <v>0</v>
      </c>
      <c r="IC46" s="20">
        <f t="shared" si="144"/>
        <v>0</v>
      </c>
      <c r="ID46" s="20">
        <f t="shared" si="144"/>
        <v>0</v>
      </c>
      <c r="IE46" s="20">
        <f t="shared" si="144"/>
        <v>0</v>
      </c>
      <c r="IF46" s="20">
        <f t="shared" si="144"/>
        <v>0</v>
      </c>
      <c r="IG46" s="20">
        <f t="shared" si="144"/>
        <v>0</v>
      </c>
      <c r="IH46" s="20">
        <f t="shared" si="144"/>
        <v>0</v>
      </c>
      <c r="II46" s="20">
        <f t="shared" si="144"/>
        <v>0</v>
      </c>
      <c r="IJ46" s="20">
        <f t="shared" si="144"/>
        <v>0</v>
      </c>
      <c r="IK46" s="20">
        <f t="shared" si="144"/>
        <v>0</v>
      </c>
      <c r="IL46" s="20">
        <f t="shared" si="144"/>
        <v>0</v>
      </c>
      <c r="IM46" s="20">
        <f t="shared" si="144"/>
        <v>0</v>
      </c>
      <c r="IN46" s="20">
        <f t="shared" si="145"/>
        <v>0</v>
      </c>
      <c r="IO46" s="20">
        <f t="shared" si="145"/>
        <v>0</v>
      </c>
      <c r="IP46" s="20">
        <f t="shared" si="145"/>
        <v>0</v>
      </c>
      <c r="IQ46" s="20">
        <f t="shared" si="145"/>
        <v>0</v>
      </c>
      <c r="IR46" s="20">
        <f t="shared" si="145"/>
        <v>0</v>
      </c>
      <c r="IS46" s="20">
        <f t="shared" si="145"/>
        <v>0</v>
      </c>
      <c r="IT46" s="20">
        <f t="shared" si="145"/>
        <v>0</v>
      </c>
      <c r="IU46" s="20">
        <f t="shared" si="145"/>
        <v>0</v>
      </c>
      <c r="IV46" s="20">
        <f t="shared" si="145"/>
        <v>0</v>
      </c>
      <c r="IW46" s="20">
        <f t="shared" si="145"/>
        <v>0</v>
      </c>
      <c r="IX46" s="20">
        <f t="shared" si="145"/>
        <v>0</v>
      </c>
      <c r="IY46" s="20">
        <f t="shared" si="145"/>
        <v>0</v>
      </c>
      <c r="IZ46" s="20">
        <f t="shared" si="145"/>
        <v>0</v>
      </c>
      <c r="JA46" s="20">
        <f t="shared" si="145"/>
        <v>0</v>
      </c>
      <c r="JB46" s="20">
        <f t="shared" si="145"/>
        <v>0</v>
      </c>
      <c r="JC46" s="20">
        <f t="shared" si="145"/>
        <v>0</v>
      </c>
      <c r="JD46" s="20">
        <f t="shared" si="146"/>
        <v>0</v>
      </c>
      <c r="JE46" s="20">
        <f t="shared" si="146"/>
        <v>0</v>
      </c>
      <c r="JF46" s="20">
        <f t="shared" si="146"/>
        <v>0</v>
      </c>
      <c r="JG46" s="20">
        <f t="shared" si="146"/>
        <v>0</v>
      </c>
      <c r="JH46" s="20">
        <f t="shared" si="146"/>
        <v>0</v>
      </c>
      <c r="JI46" s="20">
        <f t="shared" si="146"/>
        <v>0</v>
      </c>
      <c r="JJ46" s="20">
        <f t="shared" si="146"/>
        <v>0</v>
      </c>
      <c r="JK46" s="20">
        <f t="shared" si="146"/>
        <v>0</v>
      </c>
      <c r="JL46" s="20">
        <f t="shared" si="146"/>
        <v>0</v>
      </c>
      <c r="JM46" s="20">
        <f t="shared" si="146"/>
        <v>0</v>
      </c>
      <c r="JN46" s="20">
        <f t="shared" si="146"/>
        <v>0</v>
      </c>
      <c r="JO46" s="20">
        <f t="shared" si="146"/>
        <v>0</v>
      </c>
      <c r="JP46" s="20">
        <f t="shared" si="146"/>
        <v>0</v>
      </c>
      <c r="JQ46" s="20">
        <f t="shared" si="146"/>
        <v>0</v>
      </c>
      <c r="JR46" s="20">
        <f t="shared" si="146"/>
        <v>0</v>
      </c>
      <c r="JS46" s="20">
        <f t="shared" si="146"/>
        <v>0</v>
      </c>
      <c r="JT46" s="20">
        <f t="shared" si="147"/>
        <v>0</v>
      </c>
      <c r="JU46" s="20">
        <f t="shared" si="147"/>
        <v>0</v>
      </c>
      <c r="JV46" s="20">
        <f t="shared" si="147"/>
        <v>0</v>
      </c>
      <c r="JW46" s="20">
        <f t="shared" si="147"/>
        <v>0</v>
      </c>
      <c r="JX46" s="20">
        <f t="shared" si="147"/>
        <v>0</v>
      </c>
      <c r="JY46"/>
      <c r="JZ46" s="220" t="str">
        <f t="shared" si="51"/>
        <v>Included in detailed component CAPEX</v>
      </c>
      <c r="KA46" s="201"/>
      <c r="KB46" s="20">
        <f t="shared" si="148"/>
        <v>1</v>
      </c>
      <c r="KC46" s="20">
        <f t="shared" si="149"/>
        <v>36</v>
      </c>
      <c r="KD46" s="20">
        <f t="shared" si="150"/>
        <v>36</v>
      </c>
      <c r="KE46" s="418">
        <f t="shared" si="151"/>
        <v>0</v>
      </c>
      <c r="KF46" s="418">
        <f t="shared" si="152"/>
        <v>0</v>
      </c>
      <c r="KG46" s="418">
        <f t="shared" si="152"/>
        <v>0</v>
      </c>
      <c r="KH46" s="418">
        <f t="shared" si="152"/>
        <v>0</v>
      </c>
      <c r="KI46" s="418">
        <f t="shared" si="152"/>
        <v>0</v>
      </c>
      <c r="KJ46" s="418">
        <f t="shared" si="152"/>
        <v>0</v>
      </c>
      <c r="KK46" s="418">
        <f t="shared" si="152"/>
        <v>0</v>
      </c>
      <c r="KL46" s="418">
        <f t="shared" si="152"/>
        <v>0</v>
      </c>
      <c r="KM46" s="418">
        <f t="shared" si="152"/>
        <v>0</v>
      </c>
      <c r="KN46" s="418">
        <f t="shared" si="152"/>
        <v>0</v>
      </c>
      <c r="KO46" s="418">
        <f t="shared" si="152"/>
        <v>0</v>
      </c>
      <c r="KP46" s="418">
        <f t="shared" si="152"/>
        <v>0</v>
      </c>
      <c r="KQ46" s="418">
        <f t="shared" si="152"/>
        <v>0</v>
      </c>
      <c r="KR46" s="418">
        <f t="shared" si="152"/>
        <v>0</v>
      </c>
      <c r="KS46" s="418">
        <f t="shared" si="152"/>
        <v>0</v>
      </c>
      <c r="KT46" s="418">
        <f t="shared" si="152"/>
        <v>0</v>
      </c>
      <c r="KU46" s="418">
        <f t="shared" si="152"/>
        <v>0</v>
      </c>
      <c r="KV46" s="418">
        <f t="shared" si="153"/>
        <v>0</v>
      </c>
      <c r="KW46" s="418">
        <f t="shared" si="153"/>
        <v>0</v>
      </c>
      <c r="KX46" s="418">
        <f t="shared" si="153"/>
        <v>0</v>
      </c>
      <c r="KY46" s="418">
        <f t="shared" si="153"/>
        <v>0</v>
      </c>
      <c r="KZ46" s="418">
        <f t="shared" si="153"/>
        <v>0</v>
      </c>
      <c r="LA46" s="418">
        <f t="shared" si="153"/>
        <v>0</v>
      </c>
      <c r="LB46" s="418">
        <f t="shared" si="153"/>
        <v>0</v>
      </c>
      <c r="LC46" s="418">
        <f t="shared" si="153"/>
        <v>0</v>
      </c>
      <c r="LD46" s="418">
        <f t="shared" si="153"/>
        <v>0</v>
      </c>
      <c r="LE46" s="418">
        <f t="shared" si="153"/>
        <v>0</v>
      </c>
      <c r="LF46" s="418">
        <f t="shared" si="153"/>
        <v>0</v>
      </c>
      <c r="LG46" s="418">
        <f t="shared" si="153"/>
        <v>0</v>
      </c>
      <c r="LH46" s="418">
        <f t="shared" si="153"/>
        <v>0</v>
      </c>
      <c r="LI46" s="418">
        <f t="shared" si="153"/>
        <v>0</v>
      </c>
      <c r="LJ46" s="418">
        <f t="shared" si="153"/>
        <v>0</v>
      </c>
      <c r="LK46" s="418">
        <f t="shared" si="153"/>
        <v>0</v>
      </c>
      <c r="LL46" s="418">
        <f t="shared" si="154"/>
        <v>0</v>
      </c>
      <c r="LM46" s="418">
        <f t="shared" si="154"/>
        <v>0</v>
      </c>
      <c r="LN46" s="418">
        <f t="shared" si="154"/>
        <v>0</v>
      </c>
      <c r="LO46" s="418">
        <f t="shared" si="154"/>
        <v>0</v>
      </c>
      <c r="LP46" s="418">
        <f t="shared" si="154"/>
        <v>0</v>
      </c>
      <c r="LQ46" s="418">
        <f t="shared" si="154"/>
        <v>0</v>
      </c>
      <c r="LR46" s="418">
        <f t="shared" si="154"/>
        <v>0</v>
      </c>
      <c r="LS46" s="418">
        <f t="shared" si="154"/>
        <v>0</v>
      </c>
      <c r="LT46" s="418">
        <f t="shared" si="154"/>
        <v>0</v>
      </c>
      <c r="LU46" s="418">
        <f t="shared" si="154"/>
        <v>0</v>
      </c>
      <c r="LV46" s="418">
        <f t="shared" si="154"/>
        <v>0</v>
      </c>
      <c r="LW46" s="418">
        <f t="shared" si="154"/>
        <v>0</v>
      </c>
      <c r="LX46" s="418">
        <f t="shared" si="154"/>
        <v>0</v>
      </c>
      <c r="LY46" s="418">
        <f t="shared" si="154"/>
        <v>0</v>
      </c>
      <c r="LZ46" s="418">
        <f t="shared" si="154"/>
        <v>0</v>
      </c>
      <c r="MA46" s="418">
        <f t="shared" si="154"/>
        <v>0</v>
      </c>
      <c r="MB46" s="418">
        <f t="shared" si="155"/>
        <v>0</v>
      </c>
      <c r="MC46" s="418">
        <f t="shared" si="155"/>
        <v>0</v>
      </c>
      <c r="MD46" s="418">
        <f t="shared" si="155"/>
        <v>0</v>
      </c>
      <c r="ME46" s="418">
        <f t="shared" si="155"/>
        <v>0</v>
      </c>
      <c r="MF46" s="418">
        <f t="shared" si="155"/>
        <v>0</v>
      </c>
      <c r="MG46" s="418">
        <f t="shared" si="155"/>
        <v>0</v>
      </c>
      <c r="MH46" s="418">
        <f t="shared" si="155"/>
        <v>0</v>
      </c>
      <c r="MI46" s="418">
        <f t="shared" si="155"/>
        <v>0</v>
      </c>
      <c r="MJ46" s="418">
        <f t="shared" si="155"/>
        <v>0</v>
      </c>
      <c r="MK46" s="418">
        <f t="shared" si="155"/>
        <v>0</v>
      </c>
      <c r="ML46" s="418">
        <f t="shared" si="155"/>
        <v>0</v>
      </c>
      <c r="MM46" s="418">
        <f t="shared" si="155"/>
        <v>0</v>
      </c>
      <c r="MN46" s="418">
        <f t="shared" si="155"/>
        <v>0</v>
      </c>
      <c r="MO46" s="418">
        <f t="shared" si="155"/>
        <v>0</v>
      </c>
      <c r="MP46" s="418">
        <f t="shared" si="155"/>
        <v>0</v>
      </c>
      <c r="MQ46" s="418">
        <f t="shared" si="155"/>
        <v>0</v>
      </c>
      <c r="MR46" s="418">
        <f t="shared" si="156"/>
        <v>0</v>
      </c>
      <c r="MS46" s="418">
        <f t="shared" si="156"/>
        <v>0</v>
      </c>
      <c r="MT46" s="418">
        <f t="shared" si="156"/>
        <v>0</v>
      </c>
      <c r="MU46" s="418">
        <f t="shared" si="156"/>
        <v>0</v>
      </c>
      <c r="MV46" s="418">
        <f t="shared" si="156"/>
        <v>0</v>
      </c>
      <c r="MW46" s="418">
        <f t="shared" si="156"/>
        <v>0</v>
      </c>
      <c r="MX46" s="418">
        <f t="shared" si="156"/>
        <v>0</v>
      </c>
      <c r="MY46" s="418">
        <f t="shared" si="156"/>
        <v>0</v>
      </c>
      <c r="MZ46" s="418">
        <f t="shared" si="156"/>
        <v>0</v>
      </c>
      <c r="NA46" s="418">
        <f t="shared" si="156"/>
        <v>0</v>
      </c>
      <c r="NB46" s="418">
        <f t="shared" si="156"/>
        <v>0</v>
      </c>
      <c r="NC46" s="418">
        <f t="shared" si="156"/>
        <v>0</v>
      </c>
      <c r="ND46" s="418">
        <f t="shared" si="156"/>
        <v>0</v>
      </c>
      <c r="NE46" s="418">
        <f t="shared" si="156"/>
        <v>0</v>
      </c>
      <c r="NF46" s="418">
        <f t="shared" si="156"/>
        <v>0</v>
      </c>
      <c r="NG46" s="418">
        <f t="shared" si="156"/>
        <v>0</v>
      </c>
      <c r="NH46" s="418">
        <f t="shared" si="157"/>
        <v>0</v>
      </c>
      <c r="NI46" s="418">
        <f t="shared" si="157"/>
        <v>0</v>
      </c>
      <c r="NJ46" s="418">
        <f t="shared" si="157"/>
        <v>0</v>
      </c>
      <c r="NK46" s="418">
        <f t="shared" si="157"/>
        <v>0</v>
      </c>
      <c r="NL46" s="418">
        <f t="shared" si="157"/>
        <v>0</v>
      </c>
      <c r="NM46" s="418">
        <f t="shared" si="157"/>
        <v>0</v>
      </c>
      <c r="NN46" s="418">
        <f t="shared" si="157"/>
        <v>0</v>
      </c>
      <c r="NO46" s="418">
        <f t="shared" si="157"/>
        <v>0</v>
      </c>
      <c r="NP46" s="418">
        <f t="shared" si="157"/>
        <v>0</v>
      </c>
      <c r="NQ46" s="418">
        <f t="shared" si="157"/>
        <v>0</v>
      </c>
      <c r="NR46" s="418">
        <f t="shared" si="157"/>
        <v>0</v>
      </c>
      <c r="NS46" s="418">
        <f t="shared" si="157"/>
        <v>0</v>
      </c>
      <c r="NT46" s="418">
        <f t="shared" si="157"/>
        <v>0</v>
      </c>
      <c r="NU46" s="418">
        <f t="shared" si="157"/>
        <v>0</v>
      </c>
      <c r="NV46" s="418">
        <f t="shared" si="157"/>
        <v>0</v>
      </c>
      <c r="NW46" s="418">
        <f t="shared" si="157"/>
        <v>0</v>
      </c>
      <c r="NX46" s="418">
        <f t="shared" si="158"/>
        <v>0</v>
      </c>
      <c r="NY46" s="418">
        <f t="shared" si="158"/>
        <v>0</v>
      </c>
      <c r="NZ46" s="418">
        <f t="shared" si="158"/>
        <v>0</v>
      </c>
      <c r="OA46" s="418">
        <f t="shared" si="158"/>
        <v>0</v>
      </c>
      <c r="OB46" s="418">
        <f t="shared" si="158"/>
        <v>0</v>
      </c>
      <c r="OC46" s="418">
        <f t="shared" si="158"/>
        <v>0</v>
      </c>
      <c r="OD46" s="418">
        <f t="shared" si="158"/>
        <v>0</v>
      </c>
      <c r="OE46" s="418">
        <f t="shared" si="158"/>
        <v>0</v>
      </c>
      <c r="OF46" s="418">
        <f t="shared" si="158"/>
        <v>0</v>
      </c>
      <c r="OG46" s="418">
        <f t="shared" si="158"/>
        <v>0</v>
      </c>
      <c r="OH46" s="418">
        <f t="shared" si="158"/>
        <v>0</v>
      </c>
      <c r="OI46" s="418">
        <f t="shared" si="158"/>
        <v>0</v>
      </c>
      <c r="OJ46" s="418">
        <f t="shared" si="158"/>
        <v>0</v>
      </c>
      <c r="OK46" s="418">
        <f t="shared" si="158"/>
        <v>0</v>
      </c>
      <c r="OL46" s="418">
        <f t="shared" si="158"/>
        <v>0</v>
      </c>
      <c r="OM46" s="418">
        <f t="shared" si="158"/>
        <v>0</v>
      </c>
      <c r="ON46" s="418">
        <f t="shared" si="159"/>
        <v>0</v>
      </c>
      <c r="OO46" s="418">
        <f t="shared" si="159"/>
        <v>0</v>
      </c>
      <c r="OP46" s="418">
        <f t="shared" si="159"/>
        <v>0</v>
      </c>
      <c r="OQ46" s="418">
        <f t="shared" si="159"/>
        <v>0</v>
      </c>
      <c r="OR46" s="418">
        <f t="shared" si="159"/>
        <v>0</v>
      </c>
      <c r="OS46" s="418">
        <f t="shared" si="159"/>
        <v>0</v>
      </c>
      <c r="OT46" s="418">
        <f t="shared" si="159"/>
        <v>0</v>
      </c>
      <c r="OU46" s="418">
        <f t="shared" si="159"/>
        <v>0</v>
      </c>
      <c r="OV46" s="418">
        <f t="shared" si="159"/>
        <v>0</v>
      </c>
      <c r="OW46" s="418">
        <f t="shared" si="159"/>
        <v>0</v>
      </c>
      <c r="OX46" s="418">
        <f t="shared" si="159"/>
        <v>0</v>
      </c>
      <c r="OY46" s="418">
        <f t="shared" si="159"/>
        <v>0</v>
      </c>
      <c r="OZ46" s="418">
        <f t="shared" si="159"/>
        <v>0</v>
      </c>
      <c r="PA46" s="418">
        <f t="shared" si="159"/>
        <v>0</v>
      </c>
      <c r="PB46" s="418">
        <f t="shared" si="159"/>
        <v>0</v>
      </c>
      <c r="PC46" s="418">
        <f t="shared" si="159"/>
        <v>0</v>
      </c>
      <c r="PD46" s="418">
        <f t="shared" si="160"/>
        <v>0</v>
      </c>
      <c r="PE46" s="418">
        <f t="shared" si="160"/>
        <v>0</v>
      </c>
      <c r="PF46" s="418">
        <f t="shared" si="160"/>
        <v>0</v>
      </c>
      <c r="PG46" s="418">
        <f t="shared" si="160"/>
        <v>0</v>
      </c>
      <c r="PH46" s="418">
        <f t="shared" si="160"/>
        <v>0</v>
      </c>
    </row>
    <row r="47" spans="1:424" x14ac:dyDescent="0.35">
      <c r="A47"/>
      <c r="B47" s="423" t="s">
        <v>155</v>
      </c>
      <c r="C47" s="596">
        <f>MIN(D41:D46)</f>
        <v>1</v>
      </c>
      <c r="D47" s="46"/>
      <c r="E47" s="46">
        <f>MAX(E41:E46)</f>
        <v>36</v>
      </c>
      <c r="F47" s="597">
        <f>SUM(H41:H46)</f>
        <v>0</v>
      </c>
      <c r="G47" s="134"/>
      <c r="H47" s="415"/>
      <c r="I47" s="424">
        <f>SUM(I41:I46)</f>
        <v>0</v>
      </c>
      <c r="J47"/>
      <c r="K47" s="22" t="str">
        <f t="shared" si="118"/>
        <v/>
      </c>
      <c r="L47" s="417">
        <f t="shared" ref="L47:AQ47" si="161">SUM(L41:L46)</f>
        <v>0</v>
      </c>
      <c r="M47" s="417">
        <f t="shared" si="161"/>
        <v>0</v>
      </c>
      <c r="N47" s="417">
        <f t="shared" si="161"/>
        <v>0</v>
      </c>
      <c r="O47" s="417">
        <f t="shared" si="161"/>
        <v>0</v>
      </c>
      <c r="P47" s="417">
        <f t="shared" si="161"/>
        <v>0</v>
      </c>
      <c r="Q47" s="417">
        <f t="shared" si="161"/>
        <v>0</v>
      </c>
      <c r="R47" s="417">
        <f t="shared" si="161"/>
        <v>0</v>
      </c>
      <c r="S47" s="417">
        <f t="shared" si="161"/>
        <v>0</v>
      </c>
      <c r="T47" s="417">
        <f t="shared" si="161"/>
        <v>0</v>
      </c>
      <c r="U47" s="417">
        <f t="shared" si="161"/>
        <v>0</v>
      </c>
      <c r="V47" s="417">
        <f t="shared" si="161"/>
        <v>0</v>
      </c>
      <c r="W47" s="417">
        <f t="shared" si="161"/>
        <v>0</v>
      </c>
      <c r="X47" s="417">
        <f t="shared" si="161"/>
        <v>0</v>
      </c>
      <c r="Y47" s="417">
        <f t="shared" si="161"/>
        <v>0</v>
      </c>
      <c r="Z47" s="417">
        <f t="shared" si="161"/>
        <v>0</v>
      </c>
      <c r="AA47" s="417">
        <f t="shared" si="161"/>
        <v>0</v>
      </c>
      <c r="AB47" s="417">
        <f t="shared" si="161"/>
        <v>0</v>
      </c>
      <c r="AC47" s="417">
        <f t="shared" si="161"/>
        <v>0</v>
      </c>
      <c r="AD47" s="417">
        <f t="shared" si="161"/>
        <v>0</v>
      </c>
      <c r="AE47" s="417">
        <f t="shared" si="161"/>
        <v>0</v>
      </c>
      <c r="AF47" s="417">
        <f t="shared" si="161"/>
        <v>0</v>
      </c>
      <c r="AG47" s="417">
        <f t="shared" si="161"/>
        <v>0</v>
      </c>
      <c r="AH47" s="417">
        <f t="shared" si="161"/>
        <v>0</v>
      </c>
      <c r="AI47" s="417">
        <f t="shared" si="161"/>
        <v>0</v>
      </c>
      <c r="AJ47" s="417">
        <f t="shared" si="161"/>
        <v>0</v>
      </c>
      <c r="AK47" s="417">
        <f t="shared" si="161"/>
        <v>0</v>
      </c>
      <c r="AL47" s="417">
        <f t="shared" si="161"/>
        <v>0</v>
      </c>
      <c r="AM47" s="417">
        <f t="shared" si="161"/>
        <v>0</v>
      </c>
      <c r="AN47" s="417">
        <f t="shared" si="161"/>
        <v>0</v>
      </c>
      <c r="AO47" s="417">
        <f t="shared" si="161"/>
        <v>0</v>
      </c>
      <c r="AP47" s="417">
        <f t="shared" si="161"/>
        <v>0</v>
      </c>
      <c r="AQ47" s="417">
        <f t="shared" si="161"/>
        <v>0</v>
      </c>
      <c r="AR47" s="417">
        <f t="shared" ref="AR47:BW47" si="162">SUM(AR41:AR46)</f>
        <v>0</v>
      </c>
      <c r="AS47" s="417">
        <f t="shared" si="162"/>
        <v>0</v>
      </c>
      <c r="AT47" s="417">
        <f t="shared" si="162"/>
        <v>0</v>
      </c>
      <c r="AU47" s="417">
        <f t="shared" si="162"/>
        <v>0</v>
      </c>
      <c r="AV47" s="417">
        <f t="shared" si="162"/>
        <v>0</v>
      </c>
      <c r="AW47" s="417">
        <f t="shared" si="162"/>
        <v>0</v>
      </c>
      <c r="AX47" s="417">
        <f t="shared" si="162"/>
        <v>0</v>
      </c>
      <c r="AY47" s="417">
        <f t="shared" si="162"/>
        <v>0</v>
      </c>
      <c r="AZ47" s="417">
        <f t="shared" si="162"/>
        <v>0</v>
      </c>
      <c r="BA47" s="417">
        <f t="shared" si="162"/>
        <v>0</v>
      </c>
      <c r="BB47" s="417">
        <f t="shared" si="162"/>
        <v>0</v>
      </c>
      <c r="BC47" s="417">
        <f t="shared" si="162"/>
        <v>0</v>
      </c>
      <c r="BD47" s="417">
        <f t="shared" si="162"/>
        <v>0</v>
      </c>
      <c r="BE47" s="417">
        <f t="shared" si="162"/>
        <v>0</v>
      </c>
      <c r="BF47" s="417">
        <f t="shared" si="162"/>
        <v>0</v>
      </c>
      <c r="BG47" s="417">
        <f t="shared" si="162"/>
        <v>0</v>
      </c>
      <c r="BH47" s="417">
        <f t="shared" si="162"/>
        <v>0</v>
      </c>
      <c r="BI47" s="417">
        <f t="shared" si="162"/>
        <v>0</v>
      </c>
      <c r="BJ47" s="417">
        <f t="shared" si="162"/>
        <v>0</v>
      </c>
      <c r="BK47" s="417">
        <f t="shared" si="162"/>
        <v>0</v>
      </c>
      <c r="BL47" s="417">
        <f t="shared" si="162"/>
        <v>0</v>
      </c>
      <c r="BM47" s="417">
        <f t="shared" si="162"/>
        <v>0</v>
      </c>
      <c r="BN47" s="417">
        <f t="shared" si="162"/>
        <v>0</v>
      </c>
      <c r="BO47" s="417">
        <f t="shared" si="162"/>
        <v>0</v>
      </c>
      <c r="BP47" s="417">
        <f t="shared" si="162"/>
        <v>0</v>
      </c>
      <c r="BQ47" s="417">
        <f t="shared" si="162"/>
        <v>0</v>
      </c>
      <c r="BR47" s="417">
        <f t="shared" si="162"/>
        <v>0</v>
      </c>
      <c r="BS47" s="417">
        <f t="shared" si="162"/>
        <v>0</v>
      </c>
      <c r="BT47" s="417">
        <f t="shared" si="162"/>
        <v>0</v>
      </c>
      <c r="BU47" s="417">
        <f t="shared" si="162"/>
        <v>0</v>
      </c>
      <c r="BV47" s="417">
        <f t="shared" si="162"/>
        <v>0</v>
      </c>
      <c r="BW47" s="417">
        <f t="shared" si="162"/>
        <v>0</v>
      </c>
      <c r="BX47" s="417">
        <f t="shared" ref="BX47:DC47" si="163">SUM(BX41:BX46)</f>
        <v>0</v>
      </c>
      <c r="BY47" s="417">
        <f t="shared" si="163"/>
        <v>0</v>
      </c>
      <c r="BZ47" s="417">
        <f t="shared" si="163"/>
        <v>0</v>
      </c>
      <c r="CA47" s="417">
        <f t="shared" si="163"/>
        <v>0</v>
      </c>
      <c r="CB47" s="417">
        <f t="shared" si="163"/>
        <v>0</v>
      </c>
      <c r="CC47" s="417">
        <f t="shared" si="163"/>
        <v>0</v>
      </c>
      <c r="CD47" s="417">
        <f t="shared" si="163"/>
        <v>0</v>
      </c>
      <c r="CE47" s="417">
        <f t="shared" si="163"/>
        <v>0</v>
      </c>
      <c r="CF47" s="417">
        <f t="shared" si="163"/>
        <v>0</v>
      </c>
      <c r="CG47" s="417">
        <f t="shared" si="163"/>
        <v>0</v>
      </c>
      <c r="CH47" s="417">
        <f t="shared" si="163"/>
        <v>0</v>
      </c>
      <c r="CI47" s="417">
        <f t="shared" si="163"/>
        <v>0</v>
      </c>
      <c r="CJ47" s="417">
        <f t="shared" si="163"/>
        <v>0</v>
      </c>
      <c r="CK47" s="417">
        <f t="shared" si="163"/>
        <v>0</v>
      </c>
      <c r="CL47" s="417">
        <f t="shared" si="163"/>
        <v>0</v>
      </c>
      <c r="CM47" s="417">
        <f t="shared" si="163"/>
        <v>0</v>
      </c>
      <c r="CN47" s="417">
        <f t="shared" si="163"/>
        <v>0</v>
      </c>
      <c r="CO47" s="417">
        <f t="shared" si="163"/>
        <v>0</v>
      </c>
      <c r="CP47" s="417">
        <f t="shared" si="163"/>
        <v>0</v>
      </c>
      <c r="CQ47" s="417">
        <f t="shared" si="163"/>
        <v>0</v>
      </c>
      <c r="CR47" s="417">
        <f t="shared" si="163"/>
        <v>0</v>
      </c>
      <c r="CS47" s="417">
        <f t="shared" si="163"/>
        <v>0</v>
      </c>
      <c r="CT47" s="417">
        <f t="shared" si="163"/>
        <v>0</v>
      </c>
      <c r="CU47" s="417">
        <f t="shared" si="163"/>
        <v>0</v>
      </c>
      <c r="CV47" s="417">
        <f t="shared" si="163"/>
        <v>0</v>
      </c>
      <c r="CW47" s="417">
        <f t="shared" si="163"/>
        <v>0</v>
      </c>
      <c r="CX47" s="417">
        <f t="shared" si="163"/>
        <v>0</v>
      </c>
      <c r="CY47" s="417">
        <f t="shared" si="163"/>
        <v>0</v>
      </c>
      <c r="CZ47" s="417">
        <f t="shared" si="163"/>
        <v>0</v>
      </c>
      <c r="DA47" s="417">
        <f t="shared" si="163"/>
        <v>0</v>
      </c>
      <c r="DB47" s="417">
        <f t="shared" si="163"/>
        <v>0</v>
      </c>
      <c r="DC47" s="417">
        <f t="shared" si="163"/>
        <v>0</v>
      </c>
      <c r="DD47" s="417">
        <f t="shared" ref="DD47:EI47" si="164">SUM(DD41:DD46)</f>
        <v>0</v>
      </c>
      <c r="DE47" s="417">
        <f t="shared" si="164"/>
        <v>0</v>
      </c>
      <c r="DF47" s="417">
        <f t="shared" si="164"/>
        <v>0</v>
      </c>
      <c r="DG47" s="417">
        <f t="shared" si="164"/>
        <v>0</v>
      </c>
      <c r="DH47" s="417">
        <f t="shared" si="164"/>
        <v>0</v>
      </c>
      <c r="DI47" s="417">
        <f t="shared" si="164"/>
        <v>0</v>
      </c>
      <c r="DJ47" s="417">
        <f t="shared" si="164"/>
        <v>0</v>
      </c>
      <c r="DK47" s="417">
        <f t="shared" si="164"/>
        <v>0</v>
      </c>
      <c r="DL47" s="417">
        <f t="shared" si="164"/>
        <v>0</v>
      </c>
      <c r="DM47" s="417">
        <f t="shared" si="164"/>
        <v>0</v>
      </c>
      <c r="DN47" s="417">
        <f t="shared" si="164"/>
        <v>0</v>
      </c>
      <c r="DO47" s="417">
        <f t="shared" si="164"/>
        <v>0</v>
      </c>
      <c r="DP47" s="417">
        <f t="shared" si="164"/>
        <v>0</v>
      </c>
      <c r="DQ47" s="417">
        <f t="shared" si="164"/>
        <v>0</v>
      </c>
      <c r="DR47" s="417">
        <f t="shared" si="164"/>
        <v>0</v>
      </c>
      <c r="DS47" s="417">
        <f t="shared" si="164"/>
        <v>0</v>
      </c>
      <c r="DT47" s="417">
        <f t="shared" si="164"/>
        <v>0</v>
      </c>
      <c r="DU47" s="417">
        <f t="shared" si="164"/>
        <v>0</v>
      </c>
      <c r="DV47" s="417">
        <f t="shared" si="164"/>
        <v>0</v>
      </c>
      <c r="DW47" s="417">
        <f t="shared" si="164"/>
        <v>0</v>
      </c>
      <c r="DX47" s="417">
        <f t="shared" si="164"/>
        <v>0</v>
      </c>
      <c r="DY47" s="417">
        <f t="shared" si="164"/>
        <v>0</v>
      </c>
      <c r="DZ47" s="417">
        <f t="shared" si="164"/>
        <v>0</v>
      </c>
      <c r="EA47" s="417">
        <f t="shared" si="164"/>
        <v>0</v>
      </c>
      <c r="EB47" s="417">
        <f t="shared" si="164"/>
        <v>0</v>
      </c>
      <c r="EC47" s="417">
        <f t="shared" si="164"/>
        <v>0</v>
      </c>
      <c r="ED47" s="417">
        <f t="shared" si="164"/>
        <v>0</v>
      </c>
      <c r="EE47" s="417">
        <f t="shared" si="164"/>
        <v>0</v>
      </c>
      <c r="EF47" s="417">
        <f t="shared" si="164"/>
        <v>0</v>
      </c>
      <c r="EG47" s="417">
        <f t="shared" si="164"/>
        <v>0</v>
      </c>
      <c r="EH47" s="417">
        <f t="shared" si="164"/>
        <v>0</v>
      </c>
      <c r="EI47" s="417">
        <f t="shared" si="164"/>
        <v>0</v>
      </c>
      <c r="EJ47" s="417">
        <f>SUM(EJ41:EJ46)</f>
        <v>0</v>
      </c>
      <c r="EK47" s="417">
        <f>SUM(EK41:EK46)</f>
        <v>0</v>
      </c>
      <c r="EL47" s="417">
        <f>SUM(EL41:EL46)</f>
        <v>0</v>
      </c>
      <c r="EM47" s="417">
        <f>SUM(EM41:EM46)</f>
        <v>0</v>
      </c>
      <c r="EN47" s="417">
        <f>SUM(EN41:EN46)</f>
        <v>0</v>
      </c>
      <c r="EO47"/>
      <c r="EP47" s="219"/>
      <c r="EQ47" s="18" t="s">
        <v>156</v>
      </c>
      <c r="ER47" s="20">
        <f>COUNTA($B$41:$B$46)</f>
        <v>5</v>
      </c>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c r="JZ47" s="220"/>
      <c r="KA47" s="201"/>
      <c r="KB47" s="20"/>
      <c r="KC47" s="20"/>
      <c r="KD47" s="20"/>
      <c r="KE47" s="81"/>
      <c r="KF47" s="81"/>
      <c r="KG47" s="81"/>
      <c r="KH47" s="81"/>
      <c r="KI47" s="81"/>
      <c r="KJ47" s="81"/>
      <c r="KK47" s="81"/>
      <c r="KL47" s="81"/>
      <c r="KM47" s="81"/>
      <c r="KN47" s="81"/>
      <c r="KO47" s="81"/>
      <c r="KP47" s="81"/>
      <c r="KQ47" s="81"/>
      <c r="KR47" s="81"/>
      <c r="KS47" s="81"/>
      <c r="KT47" s="81"/>
      <c r="KU47" s="81"/>
      <c r="KV47" s="81"/>
      <c r="KW47" s="81"/>
      <c r="KX47" s="81"/>
      <c r="KY47" s="81"/>
      <c r="KZ47" s="81"/>
      <c r="LA47" s="81"/>
      <c r="LB47" s="81"/>
      <c r="LC47" s="81"/>
      <c r="LD47" s="81"/>
      <c r="LE47" s="81"/>
      <c r="LF47" s="81"/>
      <c r="LG47" s="81"/>
      <c r="LH47" s="81"/>
      <c r="LI47" s="81"/>
      <c r="LJ47" s="81"/>
      <c r="LK47" s="81"/>
      <c r="LL47" s="81"/>
      <c r="LM47" s="81"/>
      <c r="LN47" s="81"/>
      <c r="LO47" s="81"/>
      <c r="LP47" s="81"/>
      <c r="LQ47" s="81"/>
      <c r="LR47" s="81"/>
      <c r="LS47" s="81"/>
      <c r="LT47" s="81"/>
      <c r="LU47" s="81"/>
      <c r="LV47" s="81"/>
      <c r="LW47" s="81"/>
      <c r="LX47" s="81"/>
      <c r="LY47" s="81"/>
      <c r="LZ47" s="81"/>
      <c r="MA47" s="81"/>
      <c r="MB47" s="81"/>
      <c r="MC47" s="81"/>
      <c r="MD47" s="81"/>
      <c r="ME47" s="81"/>
      <c r="MF47" s="81"/>
      <c r="MG47" s="81"/>
      <c r="MH47" s="81"/>
      <c r="MI47" s="81"/>
      <c r="MJ47" s="81"/>
      <c r="MK47" s="81"/>
      <c r="ML47" s="81"/>
      <c r="MM47" s="81"/>
      <c r="MN47" s="81"/>
      <c r="MO47" s="81"/>
      <c r="MP47" s="81"/>
      <c r="MQ47" s="81"/>
      <c r="MR47" s="81"/>
      <c r="MS47" s="81"/>
      <c r="MT47" s="81"/>
      <c r="MU47" s="81"/>
      <c r="MV47" s="81"/>
      <c r="MW47" s="81"/>
      <c r="MX47" s="81"/>
      <c r="MY47" s="81"/>
      <c r="MZ47" s="81"/>
      <c r="NA47" s="81"/>
      <c r="NB47" s="81"/>
      <c r="NC47" s="81"/>
      <c r="ND47" s="81"/>
      <c r="NE47" s="81"/>
      <c r="NF47" s="81"/>
      <c r="NG47" s="81"/>
      <c r="NH47" s="81"/>
      <c r="NI47" s="81"/>
      <c r="NJ47" s="81"/>
      <c r="NK47" s="81"/>
      <c r="NL47" s="81"/>
      <c r="NM47" s="81"/>
      <c r="NN47" s="81"/>
      <c r="NO47" s="81"/>
      <c r="NP47" s="81"/>
      <c r="NQ47" s="81"/>
      <c r="NR47" s="81"/>
      <c r="NS47" s="81"/>
      <c r="NT47" s="81"/>
      <c r="NU47" s="81"/>
      <c r="NV47" s="81"/>
      <c r="NW47" s="81"/>
      <c r="NX47" s="81"/>
      <c r="NY47" s="81"/>
      <c r="NZ47" s="81"/>
      <c r="OA47" s="81"/>
      <c r="OB47" s="81"/>
      <c r="OC47" s="81"/>
      <c r="OD47" s="81"/>
      <c r="OE47" s="81"/>
      <c r="OF47" s="81"/>
      <c r="OG47" s="81"/>
      <c r="OH47" s="81"/>
      <c r="OI47" s="81"/>
      <c r="OJ47" s="81"/>
      <c r="OK47" s="81"/>
      <c r="OL47" s="81"/>
      <c r="OM47" s="81"/>
      <c r="ON47" s="81"/>
      <c r="OO47" s="81"/>
      <c r="OP47" s="81"/>
      <c r="OQ47" s="81"/>
      <c r="OR47" s="81"/>
      <c r="OS47" s="81"/>
      <c r="OT47" s="81"/>
      <c r="OU47" s="81"/>
      <c r="OV47" s="81"/>
      <c r="OW47" s="81"/>
      <c r="OX47" s="81"/>
      <c r="OY47" s="81"/>
      <c r="OZ47" s="81"/>
      <c r="PA47" s="81"/>
      <c r="PB47" s="81"/>
      <c r="PC47" s="81"/>
      <c r="PD47" s="81"/>
      <c r="PE47" s="81"/>
      <c r="PF47" s="81"/>
      <c r="PG47" s="81"/>
      <c r="PH47" s="81"/>
    </row>
    <row r="48" spans="1:424" x14ac:dyDescent="0.35">
      <c r="A48"/>
      <c r="B48" s="425"/>
      <c r="C48" s="400"/>
      <c r="D48" s="45"/>
      <c r="E48" s="400"/>
      <c r="F48" s="45"/>
      <c r="G48" s="137"/>
      <c r="H48" s="137"/>
      <c r="I48" s="47"/>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s="219"/>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c r="JZ48" s="220"/>
      <c r="KA48" s="201"/>
      <c r="KB48" s="20"/>
      <c r="KC48" s="20"/>
      <c r="KD48" s="20"/>
      <c r="KE48" s="81"/>
      <c r="KF48" s="81"/>
      <c r="KG48" s="81"/>
      <c r="KH48" s="81"/>
      <c r="KI48" s="81"/>
      <c r="KJ48" s="81"/>
      <c r="KK48" s="81"/>
      <c r="KL48" s="81"/>
      <c r="KM48" s="81"/>
      <c r="KN48" s="81"/>
      <c r="KO48" s="81"/>
      <c r="KP48" s="81"/>
      <c r="KQ48" s="81"/>
      <c r="KR48" s="81"/>
      <c r="KS48" s="81"/>
      <c r="KT48" s="81"/>
      <c r="KU48" s="81"/>
      <c r="KV48" s="81"/>
      <c r="KW48" s="81"/>
      <c r="KX48" s="81"/>
      <c r="KY48" s="81"/>
      <c r="KZ48" s="81"/>
      <c r="LA48" s="81"/>
      <c r="LB48" s="81"/>
      <c r="LC48" s="81"/>
      <c r="LD48" s="81"/>
      <c r="LE48" s="81"/>
      <c r="LF48" s="81"/>
      <c r="LG48" s="81"/>
      <c r="LH48" s="81"/>
      <c r="LI48" s="81"/>
      <c r="LJ48" s="81"/>
      <c r="LK48" s="81"/>
      <c r="LL48" s="81"/>
      <c r="LM48" s="81"/>
      <c r="LN48" s="81"/>
      <c r="LO48" s="81"/>
      <c r="LP48" s="81"/>
      <c r="LQ48" s="81"/>
      <c r="LR48" s="81"/>
      <c r="LS48" s="81"/>
      <c r="LT48" s="81"/>
      <c r="LU48" s="81"/>
      <c r="LV48" s="81"/>
      <c r="LW48" s="81"/>
      <c r="LX48" s="81"/>
      <c r="LY48" s="81"/>
      <c r="LZ48" s="81"/>
      <c r="MA48" s="81"/>
      <c r="MB48" s="81"/>
      <c r="MC48" s="81"/>
      <c r="MD48" s="81"/>
      <c r="ME48" s="81"/>
      <c r="MF48" s="81"/>
      <c r="MG48" s="81"/>
      <c r="MH48" s="81"/>
      <c r="MI48" s="81"/>
      <c r="MJ48" s="81"/>
      <c r="MK48" s="81"/>
      <c r="ML48" s="81"/>
      <c r="MM48" s="81"/>
      <c r="MN48" s="81"/>
      <c r="MO48" s="81"/>
      <c r="MP48" s="81"/>
      <c r="MQ48" s="81"/>
      <c r="MR48" s="81"/>
      <c r="MS48" s="81"/>
      <c r="MT48" s="81"/>
      <c r="MU48" s="81"/>
      <c r="MV48" s="81"/>
      <c r="MW48" s="81"/>
      <c r="MX48" s="81"/>
      <c r="MY48" s="81"/>
      <c r="MZ48" s="81"/>
      <c r="NA48" s="81"/>
      <c r="NB48" s="81"/>
      <c r="NC48" s="81"/>
      <c r="ND48" s="81"/>
      <c r="NE48" s="81"/>
      <c r="NF48" s="81"/>
      <c r="NG48" s="81"/>
      <c r="NH48" s="81"/>
      <c r="NI48" s="81"/>
      <c r="NJ48" s="81"/>
      <c r="NK48" s="81"/>
      <c r="NL48" s="81"/>
      <c r="NM48" s="81"/>
      <c r="NN48" s="81"/>
      <c r="NO48" s="81"/>
      <c r="NP48" s="81"/>
      <c r="NQ48" s="81"/>
      <c r="NR48" s="81"/>
      <c r="NS48" s="81"/>
      <c r="NT48" s="81"/>
      <c r="NU48" s="81"/>
      <c r="NV48" s="81"/>
      <c r="NW48" s="81"/>
      <c r="NX48" s="81"/>
      <c r="NY48" s="81"/>
      <c r="NZ48" s="81"/>
      <c r="OA48" s="81"/>
      <c r="OB48" s="81"/>
      <c r="OC48" s="81"/>
      <c r="OD48" s="81"/>
      <c r="OE48" s="81"/>
      <c r="OF48" s="81"/>
      <c r="OG48" s="81"/>
      <c r="OH48" s="81"/>
      <c r="OI48" s="81"/>
      <c r="OJ48" s="81"/>
      <c r="OK48" s="81"/>
      <c r="OL48" s="81"/>
      <c r="OM48" s="81"/>
      <c r="ON48" s="81"/>
      <c r="OO48" s="81"/>
      <c r="OP48" s="81"/>
      <c r="OQ48" s="81"/>
      <c r="OR48" s="81"/>
      <c r="OS48" s="81"/>
      <c r="OT48" s="81"/>
      <c r="OU48" s="81"/>
      <c r="OV48" s="81"/>
      <c r="OW48" s="81"/>
      <c r="OX48" s="81"/>
      <c r="OY48" s="81"/>
      <c r="OZ48" s="81"/>
      <c r="PA48" s="81"/>
      <c r="PB48" s="81"/>
      <c r="PC48" s="81"/>
      <c r="PD48" s="81"/>
      <c r="PE48" s="81"/>
      <c r="PF48" s="81"/>
      <c r="PG48" s="81"/>
      <c r="PH48" s="81"/>
    </row>
    <row r="49" spans="1:424" s="27" customFormat="1" x14ac:dyDescent="0.35">
      <c r="A49" s="141"/>
      <c r="B49" s="423"/>
      <c r="C49" s="430">
        <f>+H47+H38+H31</f>
        <v>0</v>
      </c>
      <c r="D49" s="46"/>
      <c r="E49" s="429"/>
      <c r="F49" s="46"/>
      <c r="G49" s="138"/>
      <c r="H49" s="430"/>
      <c r="I49" s="48">
        <f>+I47+I38+I31</f>
        <v>448856635.1614815</v>
      </c>
      <c r="J49"/>
      <c r="K49" s="363"/>
      <c r="L49" s="431"/>
      <c r="M49" s="431">
        <f t="shared" ref="M49:AQ49" si="165">+N47+N38+N31</f>
        <v>1153238.7592138182</v>
      </c>
      <c r="N49" s="431">
        <f t="shared" si="165"/>
        <v>1540571.8400115801</v>
      </c>
      <c r="O49" s="431">
        <f t="shared" si="165"/>
        <v>2077208.6703043352</v>
      </c>
      <c r="P49" s="431">
        <f t="shared" si="165"/>
        <v>2798042.1575110573</v>
      </c>
      <c r="Q49" s="431">
        <f t="shared" si="165"/>
        <v>3736098.8558910517</v>
      </c>
      <c r="R49" s="431">
        <f t="shared" si="165"/>
        <v>4917681.2983414307</v>
      </c>
      <c r="S49" s="431">
        <f t="shared" si="165"/>
        <v>6356585.443407244</v>
      </c>
      <c r="T49" s="431">
        <f t="shared" si="165"/>
        <v>8048084.8374454733</v>
      </c>
      <c r="U49" s="431">
        <f t="shared" si="165"/>
        <v>9963673.1491933651</v>
      </c>
      <c r="V49" s="431">
        <f t="shared" si="165"/>
        <v>12047726.791351493</v>
      </c>
      <c r="W49" s="431">
        <f t="shared" si="165"/>
        <v>14217202.323856961</v>
      </c>
      <c r="X49" s="431">
        <f t="shared" si="165"/>
        <v>16365167.698586643</v>
      </c>
      <c r="Y49" s="431">
        <f t="shared" si="165"/>
        <v>18368392.667920161</v>
      </c>
      <c r="Z49" s="431">
        <f t="shared" si="165"/>
        <v>20098477.243874725</v>
      </c>
      <c r="AA49" s="431">
        <f t="shared" si="165"/>
        <v>21435229.253932979</v>
      </c>
      <c r="AB49" s="431">
        <f t="shared" si="165"/>
        <v>22280397.403045714</v>
      </c>
      <c r="AC49" s="431">
        <f t="shared" si="165"/>
        <v>22569593.467381995</v>
      </c>
      <c r="AD49" s="431">
        <f t="shared" si="165"/>
        <v>22280397.403045733</v>
      </c>
      <c r="AE49" s="431">
        <f t="shared" si="165"/>
        <v>21435229.253932942</v>
      </c>
      <c r="AF49" s="431">
        <f t="shared" si="165"/>
        <v>20098477.243874762</v>
      </c>
      <c r="AG49" s="431">
        <f t="shared" si="165"/>
        <v>18368392.667920135</v>
      </c>
      <c r="AH49" s="431">
        <f t="shared" si="165"/>
        <v>16365167.698586643</v>
      </c>
      <c r="AI49" s="431">
        <f t="shared" si="165"/>
        <v>14217202.323856987</v>
      </c>
      <c r="AJ49" s="431">
        <f t="shared" si="165"/>
        <v>12047726.791351464</v>
      </c>
      <c r="AK49" s="431">
        <f t="shared" si="165"/>
        <v>9963673.1491933651</v>
      </c>
      <c r="AL49" s="431">
        <f t="shared" si="165"/>
        <v>8048084.8374454975</v>
      </c>
      <c r="AM49" s="431">
        <f t="shared" si="165"/>
        <v>6356585.4434072273</v>
      </c>
      <c r="AN49" s="431">
        <f t="shared" si="165"/>
        <v>4917681.2983414317</v>
      </c>
      <c r="AO49" s="431">
        <f t="shared" si="165"/>
        <v>3736098.8558910657</v>
      </c>
      <c r="AP49" s="431">
        <f t="shared" si="165"/>
        <v>2798042.157511042</v>
      </c>
      <c r="AQ49" s="431">
        <f t="shared" si="165"/>
        <v>2077208.670304341</v>
      </c>
      <c r="AR49" s="431">
        <f t="shared" ref="AR49:BW49" si="166">+AR47+AR38+AR31</f>
        <v>2077208.670304341</v>
      </c>
      <c r="AS49" s="431">
        <f t="shared" si="166"/>
        <v>1540571.8400115611</v>
      </c>
      <c r="AT49" s="431">
        <f t="shared" si="166"/>
        <v>1153238.7592138406</v>
      </c>
      <c r="AU49" s="431">
        <f t="shared" si="166"/>
        <v>882028.36212582723</v>
      </c>
      <c r="AV49" s="431">
        <f t="shared" si="166"/>
        <v>697714.0910358784</v>
      </c>
      <c r="AW49" s="431">
        <f t="shared" si="166"/>
        <v>0</v>
      </c>
      <c r="AX49" s="431">
        <f t="shared" si="166"/>
        <v>0</v>
      </c>
      <c r="AY49" s="431">
        <f t="shared" si="166"/>
        <v>0</v>
      </c>
      <c r="AZ49" s="431">
        <f t="shared" si="166"/>
        <v>0</v>
      </c>
      <c r="BA49" s="431">
        <f t="shared" si="166"/>
        <v>0</v>
      </c>
      <c r="BB49" s="431">
        <f t="shared" si="166"/>
        <v>0</v>
      </c>
      <c r="BC49" s="431">
        <f t="shared" si="166"/>
        <v>0</v>
      </c>
      <c r="BD49" s="431">
        <f t="shared" si="166"/>
        <v>0</v>
      </c>
      <c r="BE49" s="431">
        <f t="shared" si="166"/>
        <v>0</v>
      </c>
      <c r="BF49" s="431">
        <f t="shared" si="166"/>
        <v>0</v>
      </c>
      <c r="BG49" s="431">
        <f t="shared" si="166"/>
        <v>0</v>
      </c>
      <c r="BH49" s="431">
        <f t="shared" si="166"/>
        <v>0</v>
      </c>
      <c r="BI49" s="431">
        <f t="shared" si="166"/>
        <v>0</v>
      </c>
      <c r="BJ49" s="431">
        <f t="shared" si="166"/>
        <v>0</v>
      </c>
      <c r="BK49" s="431">
        <f t="shared" si="166"/>
        <v>0</v>
      </c>
      <c r="BL49" s="431">
        <f t="shared" si="166"/>
        <v>0</v>
      </c>
      <c r="BM49" s="431">
        <f t="shared" si="166"/>
        <v>0</v>
      </c>
      <c r="BN49" s="431">
        <f t="shared" si="166"/>
        <v>0</v>
      </c>
      <c r="BO49" s="431">
        <f t="shared" si="166"/>
        <v>0</v>
      </c>
      <c r="BP49" s="431">
        <f t="shared" si="166"/>
        <v>0</v>
      </c>
      <c r="BQ49" s="431">
        <f t="shared" si="166"/>
        <v>0</v>
      </c>
      <c r="BR49" s="431">
        <f t="shared" si="166"/>
        <v>0</v>
      </c>
      <c r="BS49" s="431">
        <f t="shared" si="166"/>
        <v>0</v>
      </c>
      <c r="BT49" s="431">
        <f t="shared" si="166"/>
        <v>0</v>
      </c>
      <c r="BU49" s="431">
        <f t="shared" si="166"/>
        <v>0</v>
      </c>
      <c r="BV49" s="431">
        <f t="shared" si="166"/>
        <v>0</v>
      </c>
      <c r="BW49" s="431">
        <f t="shared" si="166"/>
        <v>0</v>
      </c>
      <c r="BX49" s="431">
        <f t="shared" ref="BX49:DC49" si="167">+BX47+BX38+BX31</f>
        <v>0</v>
      </c>
      <c r="BY49" s="431">
        <f t="shared" si="167"/>
        <v>0</v>
      </c>
      <c r="BZ49" s="431">
        <f t="shared" si="167"/>
        <v>0</v>
      </c>
      <c r="CA49" s="431">
        <f t="shared" si="167"/>
        <v>0</v>
      </c>
      <c r="CB49" s="431">
        <f t="shared" si="167"/>
        <v>0</v>
      </c>
      <c r="CC49" s="431">
        <f t="shared" si="167"/>
        <v>0</v>
      </c>
      <c r="CD49" s="431">
        <f t="shared" si="167"/>
        <v>0</v>
      </c>
      <c r="CE49" s="431">
        <f t="shared" si="167"/>
        <v>0</v>
      </c>
      <c r="CF49" s="431">
        <f t="shared" si="167"/>
        <v>0</v>
      </c>
      <c r="CG49" s="431">
        <f t="shared" si="167"/>
        <v>0</v>
      </c>
      <c r="CH49" s="431">
        <f t="shared" si="167"/>
        <v>0</v>
      </c>
      <c r="CI49" s="431">
        <f t="shared" si="167"/>
        <v>0</v>
      </c>
      <c r="CJ49" s="431">
        <f t="shared" si="167"/>
        <v>0</v>
      </c>
      <c r="CK49" s="431">
        <f t="shared" si="167"/>
        <v>0</v>
      </c>
      <c r="CL49" s="431">
        <f t="shared" si="167"/>
        <v>0</v>
      </c>
      <c r="CM49" s="431">
        <f t="shared" si="167"/>
        <v>0</v>
      </c>
      <c r="CN49" s="431">
        <f t="shared" si="167"/>
        <v>0</v>
      </c>
      <c r="CO49" s="431">
        <f t="shared" si="167"/>
        <v>0</v>
      </c>
      <c r="CP49" s="431">
        <f t="shared" si="167"/>
        <v>0</v>
      </c>
      <c r="CQ49" s="431">
        <f t="shared" si="167"/>
        <v>0</v>
      </c>
      <c r="CR49" s="431">
        <f t="shared" si="167"/>
        <v>0</v>
      </c>
      <c r="CS49" s="431">
        <f t="shared" si="167"/>
        <v>0</v>
      </c>
      <c r="CT49" s="431">
        <f t="shared" si="167"/>
        <v>0</v>
      </c>
      <c r="CU49" s="431">
        <f t="shared" si="167"/>
        <v>0</v>
      </c>
      <c r="CV49" s="431">
        <f t="shared" si="167"/>
        <v>0</v>
      </c>
      <c r="CW49" s="431">
        <f t="shared" si="167"/>
        <v>0</v>
      </c>
      <c r="CX49" s="431">
        <f t="shared" si="167"/>
        <v>0</v>
      </c>
      <c r="CY49" s="431">
        <f t="shared" si="167"/>
        <v>0</v>
      </c>
      <c r="CZ49" s="431">
        <f t="shared" si="167"/>
        <v>0</v>
      </c>
      <c r="DA49" s="431">
        <f t="shared" si="167"/>
        <v>0</v>
      </c>
      <c r="DB49" s="431">
        <f t="shared" si="167"/>
        <v>0</v>
      </c>
      <c r="DC49" s="431">
        <f t="shared" si="167"/>
        <v>0</v>
      </c>
      <c r="DD49" s="431">
        <f t="shared" ref="DD49:EN49" si="168">+DD47+DD38+DD31</f>
        <v>0</v>
      </c>
      <c r="DE49" s="431">
        <f t="shared" si="168"/>
        <v>0</v>
      </c>
      <c r="DF49" s="431">
        <f t="shared" si="168"/>
        <v>0</v>
      </c>
      <c r="DG49" s="431">
        <f t="shared" si="168"/>
        <v>0</v>
      </c>
      <c r="DH49" s="431">
        <f t="shared" si="168"/>
        <v>0</v>
      </c>
      <c r="DI49" s="431">
        <f t="shared" si="168"/>
        <v>0</v>
      </c>
      <c r="DJ49" s="431">
        <f t="shared" si="168"/>
        <v>0</v>
      </c>
      <c r="DK49" s="431">
        <f t="shared" si="168"/>
        <v>0</v>
      </c>
      <c r="DL49" s="431">
        <f t="shared" si="168"/>
        <v>0</v>
      </c>
      <c r="DM49" s="431">
        <f t="shared" si="168"/>
        <v>0</v>
      </c>
      <c r="DN49" s="431">
        <f t="shared" si="168"/>
        <v>0</v>
      </c>
      <c r="DO49" s="431">
        <f t="shared" si="168"/>
        <v>0</v>
      </c>
      <c r="DP49" s="431">
        <f t="shared" si="168"/>
        <v>0</v>
      </c>
      <c r="DQ49" s="431">
        <f t="shared" si="168"/>
        <v>0</v>
      </c>
      <c r="DR49" s="431">
        <f t="shared" si="168"/>
        <v>0</v>
      </c>
      <c r="DS49" s="431">
        <f t="shared" si="168"/>
        <v>0</v>
      </c>
      <c r="DT49" s="431">
        <f t="shared" si="168"/>
        <v>0</v>
      </c>
      <c r="DU49" s="431">
        <f t="shared" si="168"/>
        <v>0</v>
      </c>
      <c r="DV49" s="431">
        <f t="shared" si="168"/>
        <v>0</v>
      </c>
      <c r="DW49" s="431">
        <f t="shared" si="168"/>
        <v>0</v>
      </c>
      <c r="DX49" s="431">
        <f t="shared" si="168"/>
        <v>0</v>
      </c>
      <c r="DY49" s="431">
        <f t="shared" si="168"/>
        <v>0</v>
      </c>
      <c r="DZ49" s="431">
        <f t="shared" si="168"/>
        <v>0</v>
      </c>
      <c r="EA49" s="431">
        <f t="shared" si="168"/>
        <v>0</v>
      </c>
      <c r="EB49" s="431">
        <f t="shared" si="168"/>
        <v>0</v>
      </c>
      <c r="EC49" s="431">
        <f t="shared" si="168"/>
        <v>0</v>
      </c>
      <c r="ED49" s="431">
        <f t="shared" si="168"/>
        <v>0</v>
      </c>
      <c r="EE49" s="431">
        <f t="shared" si="168"/>
        <v>0</v>
      </c>
      <c r="EF49" s="431">
        <f t="shared" si="168"/>
        <v>0</v>
      </c>
      <c r="EG49" s="431">
        <f t="shared" si="168"/>
        <v>0</v>
      </c>
      <c r="EH49" s="431">
        <f t="shared" si="168"/>
        <v>0</v>
      </c>
      <c r="EI49" s="431">
        <f t="shared" si="168"/>
        <v>0</v>
      </c>
      <c r="EJ49" s="431">
        <f t="shared" si="168"/>
        <v>0</v>
      </c>
      <c r="EK49" s="431">
        <f t="shared" si="168"/>
        <v>0</v>
      </c>
      <c r="EL49" s="431">
        <f t="shared" si="168"/>
        <v>0</v>
      </c>
      <c r="EM49" s="431">
        <f t="shared" si="168"/>
        <v>0</v>
      </c>
      <c r="EN49" s="431">
        <f t="shared" si="168"/>
        <v>0</v>
      </c>
      <c r="EO49" s="363"/>
      <c r="EP49" s="432"/>
      <c r="EQ49" s="433"/>
      <c r="ER49" s="433"/>
      <c r="ES49" s="433"/>
      <c r="ET49" s="433"/>
      <c r="EU49" s="433"/>
      <c r="EV49" s="433"/>
      <c r="EW49" s="433"/>
      <c r="EX49" s="433"/>
      <c r="EY49" s="433"/>
      <c r="EZ49" s="433"/>
      <c r="FA49" s="433"/>
      <c r="FB49" s="433"/>
      <c r="FC49" s="433"/>
      <c r="FD49" s="433"/>
      <c r="FE49" s="433"/>
      <c r="FF49" s="433"/>
      <c r="FG49" s="433"/>
      <c r="FH49" s="433"/>
      <c r="FI49" s="433"/>
      <c r="FJ49" s="433"/>
      <c r="FK49" s="433"/>
      <c r="FL49" s="433"/>
      <c r="FM49" s="433"/>
      <c r="FN49" s="433"/>
      <c r="FO49" s="433"/>
      <c r="FP49" s="433"/>
      <c r="FQ49" s="433"/>
      <c r="FR49" s="433"/>
      <c r="FS49" s="433"/>
      <c r="FT49" s="433"/>
      <c r="FU49" s="433"/>
      <c r="FV49" s="433"/>
      <c r="FW49" s="433"/>
      <c r="FX49" s="433"/>
      <c r="FY49" s="433"/>
      <c r="FZ49" s="433"/>
      <c r="GA49" s="433"/>
      <c r="GB49" s="433"/>
      <c r="GC49" s="433"/>
      <c r="GD49" s="433"/>
      <c r="GE49" s="433"/>
      <c r="GF49" s="433"/>
      <c r="GG49" s="433"/>
      <c r="GH49" s="433"/>
      <c r="GI49" s="433"/>
      <c r="GJ49" s="433"/>
      <c r="GK49" s="433"/>
      <c r="GL49" s="433"/>
      <c r="GM49" s="433"/>
      <c r="GN49" s="433"/>
      <c r="GO49" s="433"/>
      <c r="GP49" s="433"/>
      <c r="GQ49" s="433"/>
      <c r="GR49" s="433"/>
      <c r="GS49" s="433"/>
      <c r="GT49" s="433"/>
      <c r="GU49" s="433"/>
      <c r="GV49" s="433"/>
      <c r="GW49" s="433"/>
      <c r="GX49" s="433"/>
      <c r="GY49" s="433"/>
      <c r="GZ49" s="433"/>
      <c r="HA49" s="433"/>
      <c r="HB49" s="433"/>
      <c r="HC49" s="433"/>
      <c r="HD49" s="433"/>
      <c r="HE49" s="433"/>
      <c r="HF49" s="433"/>
      <c r="HG49" s="433"/>
      <c r="HH49" s="433"/>
      <c r="HI49" s="433"/>
      <c r="HJ49" s="433"/>
      <c r="HK49" s="433"/>
      <c r="HL49" s="433"/>
      <c r="HM49" s="433"/>
      <c r="HN49" s="433"/>
      <c r="HO49" s="433"/>
      <c r="HP49" s="433"/>
      <c r="HQ49" s="433"/>
      <c r="HR49" s="433"/>
      <c r="HS49" s="433"/>
      <c r="HT49" s="433"/>
      <c r="HU49" s="433"/>
      <c r="HV49" s="433"/>
      <c r="HW49" s="433"/>
      <c r="HX49" s="433"/>
      <c r="HY49" s="433"/>
      <c r="HZ49" s="433"/>
      <c r="IA49" s="433"/>
      <c r="IB49" s="433"/>
      <c r="IC49" s="433"/>
      <c r="ID49" s="433"/>
      <c r="IE49" s="433"/>
      <c r="IF49" s="433"/>
      <c r="IG49" s="433"/>
      <c r="IH49" s="433"/>
      <c r="II49" s="433"/>
      <c r="IJ49" s="433"/>
      <c r="IK49" s="433"/>
      <c r="IL49" s="433"/>
      <c r="IM49" s="433"/>
      <c r="IN49" s="433"/>
      <c r="IO49" s="433"/>
      <c r="IP49" s="433"/>
      <c r="IQ49" s="433"/>
      <c r="IR49" s="433"/>
      <c r="IS49" s="433"/>
      <c r="IT49" s="433"/>
      <c r="IU49" s="433"/>
      <c r="IV49" s="433"/>
      <c r="IW49" s="433"/>
      <c r="IX49" s="433"/>
      <c r="IY49" s="433"/>
      <c r="IZ49" s="433"/>
      <c r="JA49" s="433"/>
      <c r="JB49" s="433"/>
      <c r="JC49" s="433"/>
      <c r="JD49" s="433"/>
      <c r="JE49" s="433"/>
      <c r="JF49" s="433"/>
      <c r="JG49" s="433"/>
      <c r="JH49" s="433"/>
      <c r="JI49" s="433"/>
      <c r="JJ49" s="433"/>
      <c r="JK49" s="433"/>
      <c r="JL49" s="433"/>
      <c r="JM49" s="433"/>
      <c r="JN49" s="433"/>
      <c r="JO49" s="433"/>
      <c r="JP49" s="433"/>
      <c r="JQ49" s="433"/>
      <c r="JR49" s="433"/>
      <c r="JS49" s="433"/>
      <c r="JT49" s="433"/>
      <c r="JU49" s="433"/>
      <c r="JV49" s="433"/>
      <c r="JW49" s="433"/>
      <c r="JX49" s="433"/>
      <c r="JY49"/>
      <c r="JZ49" s="220"/>
      <c r="KA49" s="201"/>
      <c r="KB49" s="20"/>
      <c r="KC49" s="20"/>
      <c r="KD49" s="20"/>
      <c r="KE49" s="81"/>
      <c r="KF49" s="81"/>
      <c r="KG49" s="81"/>
      <c r="KH49" s="81"/>
      <c r="KI49" s="81"/>
      <c r="KJ49" s="81"/>
      <c r="KK49" s="81"/>
      <c r="KL49" s="81"/>
      <c r="KM49" s="81"/>
      <c r="KN49" s="81"/>
      <c r="KO49" s="81"/>
      <c r="KP49" s="81"/>
      <c r="KQ49" s="81"/>
      <c r="KR49" s="81"/>
      <c r="KS49" s="81"/>
      <c r="KT49" s="81"/>
      <c r="KU49" s="81"/>
      <c r="KV49" s="81"/>
      <c r="KW49" s="81"/>
      <c r="KX49" s="81"/>
      <c r="KY49" s="81"/>
      <c r="KZ49" s="81"/>
      <c r="LA49" s="81"/>
      <c r="LB49" s="81"/>
      <c r="LC49" s="81"/>
      <c r="LD49" s="81"/>
      <c r="LE49" s="81"/>
      <c r="LF49" s="81"/>
      <c r="LG49" s="81"/>
      <c r="LH49" s="81"/>
      <c r="LI49" s="81"/>
      <c r="LJ49" s="81"/>
      <c r="LK49" s="81"/>
      <c r="LL49" s="81"/>
      <c r="LM49" s="81"/>
      <c r="LN49" s="81"/>
      <c r="LO49" s="81"/>
      <c r="LP49" s="81"/>
      <c r="LQ49" s="81"/>
      <c r="LR49" s="81"/>
      <c r="LS49" s="81"/>
      <c r="LT49" s="81"/>
      <c r="LU49" s="81"/>
      <c r="LV49" s="81"/>
      <c r="LW49" s="81"/>
      <c r="LX49" s="81"/>
      <c r="LY49" s="81"/>
      <c r="LZ49" s="81"/>
      <c r="MA49" s="81"/>
      <c r="MB49" s="81"/>
      <c r="MC49" s="81"/>
      <c r="MD49" s="81"/>
      <c r="ME49" s="81"/>
      <c r="MF49" s="81"/>
      <c r="MG49" s="81"/>
      <c r="MH49" s="81"/>
      <c r="MI49" s="81"/>
      <c r="MJ49" s="81"/>
      <c r="MK49" s="81"/>
      <c r="ML49" s="81"/>
      <c r="MM49" s="81"/>
      <c r="MN49" s="81"/>
      <c r="MO49" s="81"/>
      <c r="MP49" s="81"/>
      <c r="MQ49" s="81"/>
      <c r="MR49" s="81"/>
      <c r="MS49" s="81"/>
      <c r="MT49" s="81"/>
      <c r="MU49" s="81"/>
      <c r="MV49" s="81"/>
      <c r="MW49" s="81"/>
      <c r="MX49" s="81"/>
      <c r="MY49" s="81"/>
      <c r="MZ49" s="81"/>
      <c r="NA49" s="81"/>
      <c r="NB49" s="81"/>
      <c r="NC49" s="81"/>
      <c r="ND49" s="81"/>
      <c r="NE49" s="81"/>
      <c r="NF49" s="81"/>
      <c r="NG49" s="81"/>
      <c r="NH49" s="81"/>
      <c r="NI49" s="81"/>
      <c r="NJ49" s="81"/>
      <c r="NK49" s="81"/>
      <c r="NL49" s="81"/>
      <c r="NM49" s="81"/>
      <c r="NN49" s="81"/>
      <c r="NO49" s="81"/>
      <c r="NP49" s="81"/>
      <c r="NQ49" s="81"/>
      <c r="NR49" s="81"/>
      <c r="NS49" s="81"/>
      <c r="NT49" s="81"/>
      <c r="NU49" s="81"/>
      <c r="NV49" s="81"/>
      <c r="NW49" s="81"/>
      <c r="NX49" s="81"/>
      <c r="NY49" s="81"/>
      <c r="NZ49" s="81"/>
      <c r="OA49" s="81"/>
      <c r="OB49" s="81"/>
      <c r="OC49" s="81"/>
      <c r="OD49" s="81"/>
      <c r="OE49" s="81"/>
      <c r="OF49" s="81"/>
      <c r="OG49" s="81"/>
      <c r="OH49" s="81"/>
      <c r="OI49" s="81"/>
      <c r="OJ49" s="81"/>
      <c r="OK49" s="81"/>
      <c r="OL49" s="81"/>
      <c r="OM49" s="81"/>
      <c r="ON49" s="81"/>
      <c r="OO49" s="81"/>
      <c r="OP49" s="81"/>
      <c r="OQ49" s="81"/>
      <c r="OR49" s="81"/>
      <c r="OS49" s="81"/>
      <c r="OT49" s="81"/>
      <c r="OU49" s="81"/>
      <c r="OV49" s="81"/>
      <c r="OW49" s="81"/>
      <c r="OX49" s="81"/>
      <c r="OY49" s="81"/>
      <c r="OZ49" s="81"/>
      <c r="PA49" s="81"/>
      <c r="PB49" s="81"/>
      <c r="PC49" s="81"/>
      <c r="PD49" s="81"/>
      <c r="PE49" s="81"/>
      <c r="PF49" s="81"/>
      <c r="PG49" s="81"/>
      <c r="PH49" s="81"/>
    </row>
    <row r="50" spans="1:424" x14ac:dyDescent="0.35">
      <c r="A50"/>
      <c r="B50" s="425"/>
      <c r="C50" s="400"/>
      <c r="D50" s="45"/>
      <c r="E50" s="400"/>
      <c r="F50" s="45"/>
      <c r="G50" s="137"/>
      <c r="H50" s="137"/>
      <c r="I50" s="47"/>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s="219"/>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c r="JZ50" s="220"/>
      <c r="KA50" s="201"/>
      <c r="KB50" s="20"/>
      <c r="KC50" s="20"/>
      <c r="KD50" s="20"/>
      <c r="KE50" s="81"/>
      <c r="KF50" s="81"/>
      <c r="KG50" s="81"/>
      <c r="KH50" s="81"/>
      <c r="KI50" s="81"/>
      <c r="KJ50" s="81"/>
      <c r="KK50" s="81"/>
      <c r="KL50" s="81"/>
      <c r="KM50" s="81"/>
      <c r="KN50" s="81"/>
      <c r="KO50" s="81"/>
      <c r="KP50" s="81"/>
      <c r="KQ50" s="81"/>
      <c r="KR50" s="81"/>
      <c r="KS50" s="81"/>
      <c r="KT50" s="81"/>
      <c r="KU50" s="81"/>
      <c r="KV50" s="81"/>
      <c r="KW50" s="81"/>
      <c r="KX50" s="81"/>
      <c r="KY50" s="81"/>
      <c r="KZ50" s="81"/>
      <c r="LA50" s="81"/>
      <c r="LB50" s="81"/>
      <c r="LC50" s="81"/>
      <c r="LD50" s="81"/>
      <c r="LE50" s="81"/>
      <c r="LF50" s="81"/>
      <c r="LG50" s="81"/>
      <c r="LH50" s="81"/>
      <c r="LI50" s="81"/>
      <c r="LJ50" s="81"/>
      <c r="LK50" s="81"/>
      <c r="LL50" s="81"/>
      <c r="LM50" s="81"/>
      <c r="LN50" s="81"/>
      <c r="LO50" s="81"/>
      <c r="LP50" s="81"/>
      <c r="LQ50" s="81"/>
      <c r="LR50" s="81"/>
      <c r="LS50" s="81"/>
      <c r="LT50" s="81"/>
      <c r="LU50" s="81"/>
      <c r="LV50" s="81"/>
      <c r="LW50" s="81"/>
      <c r="LX50" s="81"/>
      <c r="LY50" s="81"/>
      <c r="LZ50" s="81"/>
      <c r="MA50" s="81"/>
      <c r="MB50" s="81"/>
      <c r="MC50" s="81"/>
      <c r="MD50" s="81"/>
      <c r="ME50" s="81"/>
      <c r="MF50" s="81"/>
      <c r="MG50" s="81"/>
      <c r="MH50" s="81"/>
      <c r="MI50" s="81"/>
      <c r="MJ50" s="81"/>
      <c r="MK50" s="81"/>
      <c r="ML50" s="81"/>
      <c r="MM50" s="81"/>
      <c r="MN50" s="81"/>
      <c r="MO50" s="81"/>
      <c r="MP50" s="81"/>
      <c r="MQ50" s="81"/>
      <c r="MR50" s="81"/>
      <c r="MS50" s="81"/>
      <c r="MT50" s="81"/>
      <c r="MU50" s="81"/>
      <c r="MV50" s="81"/>
      <c r="MW50" s="81"/>
      <c r="MX50" s="81"/>
      <c r="MY50" s="81"/>
      <c r="MZ50" s="81"/>
      <c r="NA50" s="81"/>
      <c r="NB50" s="81"/>
      <c r="NC50" s="81"/>
      <c r="ND50" s="81"/>
      <c r="NE50" s="81"/>
      <c r="NF50" s="81"/>
      <c r="NG50" s="81"/>
      <c r="NH50" s="81"/>
      <c r="NI50" s="81"/>
      <c r="NJ50" s="81"/>
      <c r="NK50" s="81"/>
      <c r="NL50" s="81"/>
      <c r="NM50" s="81"/>
      <c r="NN50" s="81"/>
      <c r="NO50" s="81"/>
      <c r="NP50" s="81"/>
      <c r="NQ50" s="81"/>
      <c r="NR50" s="81"/>
      <c r="NS50" s="81"/>
      <c r="NT50" s="81"/>
      <c r="NU50" s="81"/>
      <c r="NV50" s="81"/>
      <c r="NW50" s="81"/>
      <c r="NX50" s="81"/>
      <c r="NY50" s="81"/>
      <c r="NZ50" s="81"/>
      <c r="OA50" s="81"/>
      <c r="OB50" s="81"/>
      <c r="OC50" s="81"/>
      <c r="OD50" s="81"/>
      <c r="OE50" s="81"/>
      <c r="OF50" s="81"/>
      <c r="OG50" s="81"/>
      <c r="OH50" s="81"/>
      <c r="OI50" s="81"/>
      <c r="OJ50" s="81"/>
      <c r="OK50" s="81"/>
      <c r="OL50" s="81"/>
      <c r="OM50" s="81"/>
      <c r="ON50" s="81"/>
      <c r="OO50" s="81"/>
      <c r="OP50" s="81"/>
      <c r="OQ50" s="81"/>
      <c r="OR50" s="81"/>
      <c r="OS50" s="81"/>
      <c r="OT50" s="81"/>
      <c r="OU50" s="81"/>
      <c r="OV50" s="81"/>
      <c r="OW50" s="81"/>
      <c r="OX50" s="81"/>
      <c r="OY50" s="81"/>
      <c r="OZ50" s="81"/>
      <c r="PA50" s="81"/>
      <c r="PB50" s="81"/>
      <c r="PC50" s="81"/>
      <c r="PD50" s="81"/>
      <c r="PE50" s="81"/>
      <c r="PF50" s="81"/>
      <c r="PG50" s="81"/>
      <c r="PH50" s="81"/>
    </row>
    <row r="51" spans="1:424" x14ac:dyDescent="0.35">
      <c r="A51"/>
      <c r="B51" s="423"/>
      <c r="C51" s="400">
        <v>124</v>
      </c>
      <c r="D51" s="45"/>
      <c r="E51" s="400"/>
      <c r="F51" s="258"/>
      <c r="G51" s="137">
        <v>125</v>
      </c>
      <c r="H51" s="137"/>
      <c r="I51" s="47"/>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s="221" t="s">
        <v>157</v>
      </c>
      <c r="EQ51" s="18"/>
      <c r="ER51" s="18"/>
      <c r="ES51" s="18"/>
      <c r="ET51" s="18"/>
      <c r="EU51" s="410" t="s">
        <v>158</v>
      </c>
      <c r="EV51" s="203">
        <f t="shared" ref="EV51:GA51" si="169">EV3</f>
        <v>0</v>
      </c>
      <c r="EW51" s="203">
        <f t="shared" si="169"/>
        <v>1</v>
      </c>
      <c r="EX51" s="203">
        <f t="shared" si="169"/>
        <v>2</v>
      </c>
      <c r="EY51" s="203">
        <f t="shared" si="169"/>
        <v>3</v>
      </c>
      <c r="EZ51" s="203">
        <f t="shared" si="169"/>
        <v>4</v>
      </c>
      <c r="FA51" s="203">
        <f t="shared" si="169"/>
        <v>5</v>
      </c>
      <c r="FB51" s="203">
        <f t="shared" si="169"/>
        <v>6</v>
      </c>
      <c r="FC51" s="203">
        <f t="shared" si="169"/>
        <v>7</v>
      </c>
      <c r="FD51" s="203">
        <f t="shared" si="169"/>
        <v>8</v>
      </c>
      <c r="FE51" s="203">
        <f t="shared" si="169"/>
        <v>9</v>
      </c>
      <c r="FF51" s="203">
        <f t="shared" si="169"/>
        <v>10</v>
      </c>
      <c r="FG51" s="203">
        <f t="shared" si="169"/>
        <v>11</v>
      </c>
      <c r="FH51" s="203">
        <f t="shared" si="169"/>
        <v>12</v>
      </c>
      <c r="FI51" s="203">
        <f t="shared" si="169"/>
        <v>13</v>
      </c>
      <c r="FJ51" s="203">
        <f t="shared" si="169"/>
        <v>14</v>
      </c>
      <c r="FK51" s="203">
        <f t="shared" si="169"/>
        <v>15</v>
      </c>
      <c r="FL51" s="203">
        <f t="shared" si="169"/>
        <v>16</v>
      </c>
      <c r="FM51" s="203">
        <f t="shared" si="169"/>
        <v>17</v>
      </c>
      <c r="FN51" s="203">
        <f t="shared" si="169"/>
        <v>18</v>
      </c>
      <c r="FO51" s="203">
        <f t="shared" si="169"/>
        <v>19</v>
      </c>
      <c r="FP51" s="203">
        <f t="shared" si="169"/>
        <v>20</v>
      </c>
      <c r="FQ51" s="203">
        <f t="shared" si="169"/>
        <v>21</v>
      </c>
      <c r="FR51" s="203">
        <f t="shared" si="169"/>
        <v>22</v>
      </c>
      <c r="FS51" s="203">
        <f t="shared" si="169"/>
        <v>23</v>
      </c>
      <c r="FT51" s="203">
        <f t="shared" si="169"/>
        <v>24</v>
      </c>
      <c r="FU51" s="203">
        <f t="shared" si="169"/>
        <v>25</v>
      </c>
      <c r="FV51" s="203">
        <f t="shared" si="169"/>
        <v>26</v>
      </c>
      <c r="FW51" s="203">
        <f t="shared" si="169"/>
        <v>27</v>
      </c>
      <c r="FX51" s="203">
        <f t="shared" si="169"/>
        <v>28</v>
      </c>
      <c r="FY51" s="203">
        <f t="shared" si="169"/>
        <v>29</v>
      </c>
      <c r="FZ51" s="203">
        <f t="shared" si="169"/>
        <v>30</v>
      </c>
      <c r="GA51" s="203">
        <f t="shared" si="169"/>
        <v>31</v>
      </c>
      <c r="GB51" s="203">
        <f t="shared" ref="GB51:HG51" si="170">GB3</f>
        <v>32</v>
      </c>
      <c r="GC51" s="203">
        <f t="shared" si="170"/>
        <v>33</v>
      </c>
      <c r="GD51" s="203">
        <f t="shared" si="170"/>
        <v>34</v>
      </c>
      <c r="GE51" s="203">
        <f t="shared" si="170"/>
        <v>35</v>
      </c>
      <c r="GF51" s="203">
        <f t="shared" si="170"/>
        <v>36</v>
      </c>
      <c r="GG51" s="203">
        <f t="shared" si="170"/>
        <v>37</v>
      </c>
      <c r="GH51" s="203">
        <f t="shared" si="170"/>
        <v>38</v>
      </c>
      <c r="GI51" s="203">
        <f t="shared" si="170"/>
        <v>39</v>
      </c>
      <c r="GJ51" s="203">
        <f t="shared" si="170"/>
        <v>40</v>
      </c>
      <c r="GK51" s="203">
        <f t="shared" si="170"/>
        <v>41</v>
      </c>
      <c r="GL51" s="203">
        <f t="shared" si="170"/>
        <v>42</v>
      </c>
      <c r="GM51" s="203">
        <f t="shared" si="170"/>
        <v>43</v>
      </c>
      <c r="GN51" s="203">
        <f t="shared" si="170"/>
        <v>44</v>
      </c>
      <c r="GO51" s="203">
        <f t="shared" si="170"/>
        <v>45</v>
      </c>
      <c r="GP51" s="203">
        <f t="shared" si="170"/>
        <v>46</v>
      </c>
      <c r="GQ51" s="203">
        <f t="shared" si="170"/>
        <v>47</v>
      </c>
      <c r="GR51" s="203">
        <f t="shared" si="170"/>
        <v>48</v>
      </c>
      <c r="GS51" s="203">
        <f t="shared" si="170"/>
        <v>49</v>
      </c>
      <c r="GT51" s="203">
        <f t="shared" si="170"/>
        <v>50</v>
      </c>
      <c r="GU51" s="203">
        <f t="shared" si="170"/>
        <v>51</v>
      </c>
      <c r="GV51" s="203">
        <f t="shared" si="170"/>
        <v>52</v>
      </c>
      <c r="GW51" s="203">
        <f t="shared" si="170"/>
        <v>53</v>
      </c>
      <c r="GX51" s="203">
        <f t="shared" si="170"/>
        <v>54</v>
      </c>
      <c r="GY51" s="203">
        <f t="shared" si="170"/>
        <v>55</v>
      </c>
      <c r="GZ51" s="203">
        <f t="shared" si="170"/>
        <v>56</v>
      </c>
      <c r="HA51" s="203">
        <f t="shared" si="170"/>
        <v>57</v>
      </c>
      <c r="HB51" s="203">
        <f t="shared" si="170"/>
        <v>58</v>
      </c>
      <c r="HC51" s="203">
        <f t="shared" si="170"/>
        <v>59</v>
      </c>
      <c r="HD51" s="203">
        <f t="shared" si="170"/>
        <v>60</v>
      </c>
      <c r="HE51" s="203">
        <f t="shared" si="170"/>
        <v>61</v>
      </c>
      <c r="HF51" s="203">
        <f t="shared" si="170"/>
        <v>62</v>
      </c>
      <c r="HG51" s="203">
        <f t="shared" si="170"/>
        <v>63</v>
      </c>
      <c r="HH51" s="203">
        <f t="shared" ref="HH51:IM51" si="171">HH3</f>
        <v>64</v>
      </c>
      <c r="HI51" s="203">
        <f t="shared" si="171"/>
        <v>65</v>
      </c>
      <c r="HJ51" s="203">
        <f t="shared" si="171"/>
        <v>66</v>
      </c>
      <c r="HK51" s="203">
        <f t="shared" si="171"/>
        <v>67</v>
      </c>
      <c r="HL51" s="203">
        <f t="shared" si="171"/>
        <v>68</v>
      </c>
      <c r="HM51" s="203">
        <f t="shared" si="171"/>
        <v>69</v>
      </c>
      <c r="HN51" s="203">
        <f t="shared" si="171"/>
        <v>70</v>
      </c>
      <c r="HO51" s="203">
        <f t="shared" si="171"/>
        <v>71</v>
      </c>
      <c r="HP51" s="203">
        <f t="shared" si="171"/>
        <v>72</v>
      </c>
      <c r="HQ51" s="203">
        <f t="shared" si="171"/>
        <v>73</v>
      </c>
      <c r="HR51" s="203">
        <f t="shared" si="171"/>
        <v>74</v>
      </c>
      <c r="HS51" s="203">
        <f t="shared" si="171"/>
        <v>75</v>
      </c>
      <c r="HT51" s="203">
        <f t="shared" si="171"/>
        <v>76</v>
      </c>
      <c r="HU51" s="203">
        <f t="shared" si="171"/>
        <v>77</v>
      </c>
      <c r="HV51" s="203">
        <f t="shared" si="171"/>
        <v>78</v>
      </c>
      <c r="HW51" s="203">
        <f t="shared" si="171"/>
        <v>79</v>
      </c>
      <c r="HX51" s="203">
        <f t="shared" si="171"/>
        <v>80</v>
      </c>
      <c r="HY51" s="203">
        <f t="shared" si="171"/>
        <v>81</v>
      </c>
      <c r="HZ51" s="203">
        <f t="shared" si="171"/>
        <v>82</v>
      </c>
      <c r="IA51" s="203">
        <f t="shared" si="171"/>
        <v>83</v>
      </c>
      <c r="IB51" s="203">
        <f t="shared" si="171"/>
        <v>84</v>
      </c>
      <c r="IC51" s="203">
        <f t="shared" si="171"/>
        <v>85</v>
      </c>
      <c r="ID51" s="203">
        <f t="shared" si="171"/>
        <v>86</v>
      </c>
      <c r="IE51" s="203">
        <f t="shared" si="171"/>
        <v>87</v>
      </c>
      <c r="IF51" s="203">
        <f t="shared" si="171"/>
        <v>88</v>
      </c>
      <c r="IG51" s="203">
        <f t="shared" si="171"/>
        <v>89</v>
      </c>
      <c r="IH51" s="203">
        <f t="shared" si="171"/>
        <v>90</v>
      </c>
      <c r="II51" s="203">
        <f t="shared" si="171"/>
        <v>91</v>
      </c>
      <c r="IJ51" s="203">
        <f t="shared" si="171"/>
        <v>92</v>
      </c>
      <c r="IK51" s="203">
        <f t="shared" si="171"/>
        <v>93</v>
      </c>
      <c r="IL51" s="203">
        <f t="shared" si="171"/>
        <v>94</v>
      </c>
      <c r="IM51" s="203">
        <f t="shared" si="171"/>
        <v>95</v>
      </c>
      <c r="IN51" s="203">
        <f t="shared" ref="IN51:JX51" si="172">IN3</f>
        <v>96</v>
      </c>
      <c r="IO51" s="203">
        <f t="shared" si="172"/>
        <v>97</v>
      </c>
      <c r="IP51" s="203">
        <f t="shared" si="172"/>
        <v>98</v>
      </c>
      <c r="IQ51" s="203">
        <f t="shared" si="172"/>
        <v>99</v>
      </c>
      <c r="IR51" s="203">
        <f t="shared" si="172"/>
        <v>100</v>
      </c>
      <c r="IS51" s="203">
        <f t="shared" si="172"/>
        <v>101</v>
      </c>
      <c r="IT51" s="203">
        <f t="shared" si="172"/>
        <v>102</v>
      </c>
      <c r="IU51" s="203">
        <f t="shared" si="172"/>
        <v>103</v>
      </c>
      <c r="IV51" s="203">
        <f t="shared" si="172"/>
        <v>104</v>
      </c>
      <c r="IW51" s="203">
        <f t="shared" si="172"/>
        <v>105</v>
      </c>
      <c r="IX51" s="203">
        <f t="shared" si="172"/>
        <v>106</v>
      </c>
      <c r="IY51" s="203">
        <f t="shared" si="172"/>
        <v>107</v>
      </c>
      <c r="IZ51" s="203">
        <f t="shared" si="172"/>
        <v>108</v>
      </c>
      <c r="JA51" s="203">
        <f t="shared" si="172"/>
        <v>109</v>
      </c>
      <c r="JB51" s="203">
        <f t="shared" si="172"/>
        <v>110</v>
      </c>
      <c r="JC51" s="203">
        <f t="shared" si="172"/>
        <v>111</v>
      </c>
      <c r="JD51" s="203">
        <f t="shared" si="172"/>
        <v>112</v>
      </c>
      <c r="JE51" s="203">
        <f t="shared" si="172"/>
        <v>113</v>
      </c>
      <c r="JF51" s="203">
        <f t="shared" si="172"/>
        <v>114</v>
      </c>
      <c r="JG51" s="203">
        <f t="shared" si="172"/>
        <v>115</v>
      </c>
      <c r="JH51" s="203">
        <f t="shared" si="172"/>
        <v>116</v>
      </c>
      <c r="JI51" s="203">
        <f t="shared" si="172"/>
        <v>117</v>
      </c>
      <c r="JJ51" s="203">
        <f t="shared" si="172"/>
        <v>118</v>
      </c>
      <c r="JK51" s="203">
        <f t="shared" si="172"/>
        <v>119</v>
      </c>
      <c r="JL51" s="203">
        <f t="shared" si="172"/>
        <v>120</v>
      </c>
      <c r="JM51" s="203">
        <f t="shared" si="172"/>
        <v>121</v>
      </c>
      <c r="JN51" s="203">
        <f t="shared" si="172"/>
        <v>122</v>
      </c>
      <c r="JO51" s="203">
        <f t="shared" si="172"/>
        <v>123</v>
      </c>
      <c r="JP51" s="203">
        <f t="shared" si="172"/>
        <v>124</v>
      </c>
      <c r="JQ51" s="203">
        <f t="shared" si="172"/>
        <v>125</v>
      </c>
      <c r="JR51" s="203">
        <f t="shared" si="172"/>
        <v>126</v>
      </c>
      <c r="JS51" s="203">
        <f t="shared" si="172"/>
        <v>127</v>
      </c>
      <c r="JT51" s="203">
        <f t="shared" si="172"/>
        <v>128</v>
      </c>
      <c r="JU51" s="203">
        <f t="shared" si="172"/>
        <v>129</v>
      </c>
      <c r="JV51" s="203">
        <f t="shared" si="172"/>
        <v>130</v>
      </c>
      <c r="JW51" s="203">
        <f t="shared" si="172"/>
        <v>131</v>
      </c>
      <c r="JX51" s="203">
        <f t="shared" si="172"/>
        <v>132</v>
      </c>
      <c r="JY51"/>
      <c r="JZ51" s="220"/>
      <c r="KA51" s="201"/>
      <c r="KB51" s="20"/>
      <c r="KC51" s="20"/>
      <c r="KD51" s="20"/>
      <c r="KE51" s="81"/>
      <c r="KF51" s="81"/>
      <c r="KG51" s="81"/>
      <c r="KH51" s="81"/>
      <c r="KI51" s="81"/>
      <c r="KJ51" s="81"/>
      <c r="KK51" s="81"/>
      <c r="KL51" s="81"/>
      <c r="KM51" s="81"/>
      <c r="KN51" s="81"/>
      <c r="KO51" s="81"/>
      <c r="KP51" s="81"/>
      <c r="KQ51" s="81"/>
      <c r="KR51" s="81"/>
      <c r="KS51" s="81"/>
      <c r="KT51" s="81"/>
      <c r="KU51" s="81"/>
      <c r="KV51" s="81"/>
      <c r="KW51" s="81"/>
      <c r="KX51" s="81"/>
      <c r="KY51" s="81"/>
      <c r="KZ51" s="81"/>
      <c r="LA51" s="81"/>
      <c r="LB51" s="81"/>
      <c r="LC51" s="81"/>
      <c r="LD51" s="81"/>
      <c r="LE51" s="81"/>
      <c r="LF51" s="81"/>
      <c r="LG51" s="81"/>
      <c r="LH51" s="81"/>
      <c r="LI51" s="81"/>
      <c r="LJ51" s="81"/>
      <c r="LK51" s="81"/>
      <c r="LL51" s="81"/>
      <c r="LM51" s="81"/>
      <c r="LN51" s="81"/>
      <c r="LO51" s="81"/>
      <c r="LP51" s="81"/>
      <c r="LQ51" s="81"/>
      <c r="LR51" s="81"/>
      <c r="LS51" s="81"/>
      <c r="LT51" s="81"/>
      <c r="LU51" s="81"/>
      <c r="LV51" s="81"/>
      <c r="LW51" s="81"/>
      <c r="LX51" s="81"/>
      <c r="LY51" s="81"/>
      <c r="LZ51" s="81"/>
      <c r="MA51" s="81"/>
      <c r="MB51" s="81"/>
      <c r="MC51" s="81"/>
      <c r="MD51" s="81"/>
      <c r="ME51" s="81"/>
      <c r="MF51" s="81"/>
      <c r="MG51" s="81"/>
      <c r="MH51" s="81"/>
      <c r="MI51" s="81"/>
      <c r="MJ51" s="81"/>
      <c r="MK51" s="81"/>
      <c r="ML51" s="81"/>
      <c r="MM51" s="81"/>
      <c r="MN51" s="81"/>
      <c r="MO51" s="81"/>
      <c r="MP51" s="81"/>
      <c r="MQ51" s="81"/>
      <c r="MR51" s="81"/>
      <c r="MS51" s="81"/>
      <c r="MT51" s="81"/>
      <c r="MU51" s="81"/>
      <c r="MV51" s="81"/>
      <c r="MW51" s="81"/>
      <c r="MX51" s="81"/>
      <c r="MY51" s="81"/>
      <c r="MZ51" s="81"/>
      <c r="NA51" s="81"/>
      <c r="NB51" s="81"/>
      <c r="NC51" s="81"/>
      <c r="ND51" s="81"/>
      <c r="NE51" s="81"/>
      <c r="NF51" s="81"/>
      <c r="NG51" s="81"/>
      <c r="NH51" s="81"/>
      <c r="NI51" s="81"/>
      <c r="NJ51" s="81"/>
      <c r="NK51" s="81"/>
      <c r="NL51" s="81"/>
      <c r="NM51" s="81"/>
      <c r="NN51" s="81"/>
      <c r="NO51" s="81"/>
      <c r="NP51" s="81"/>
      <c r="NQ51" s="81"/>
      <c r="NR51" s="81"/>
      <c r="NS51" s="81"/>
      <c r="NT51" s="81"/>
      <c r="NU51" s="81"/>
      <c r="NV51" s="81"/>
      <c r="NW51" s="81"/>
      <c r="NX51" s="81"/>
      <c r="NY51" s="81"/>
      <c r="NZ51" s="81"/>
      <c r="OA51" s="81"/>
      <c r="OB51" s="81"/>
      <c r="OC51" s="81"/>
      <c r="OD51" s="81"/>
      <c r="OE51" s="81"/>
      <c r="OF51" s="81"/>
      <c r="OG51" s="81"/>
      <c r="OH51" s="81"/>
      <c r="OI51" s="81"/>
      <c r="OJ51" s="81"/>
      <c r="OK51" s="81"/>
      <c r="OL51" s="81"/>
      <c r="OM51" s="81"/>
      <c r="ON51" s="81"/>
      <c r="OO51" s="81"/>
      <c r="OP51" s="81"/>
      <c r="OQ51" s="81"/>
      <c r="OR51" s="81"/>
      <c r="OS51" s="81"/>
      <c r="OT51" s="81"/>
      <c r="OU51" s="81"/>
      <c r="OV51" s="81"/>
      <c r="OW51" s="81"/>
      <c r="OX51" s="81"/>
      <c r="OY51" s="81"/>
      <c r="OZ51" s="81"/>
      <c r="PA51" s="81"/>
      <c r="PB51" s="81"/>
      <c r="PC51" s="81"/>
      <c r="PD51" s="81"/>
      <c r="PE51" s="81"/>
      <c r="PF51" s="81"/>
      <c r="PG51" s="81"/>
      <c r="PH51" s="81"/>
    </row>
    <row r="52" spans="1:424" x14ac:dyDescent="0.35">
      <c r="A52"/>
      <c r="B52" s="427" t="s">
        <v>159</v>
      </c>
      <c r="C52" s="400">
        <v>1</v>
      </c>
      <c r="D52" s="45"/>
      <c r="E52" s="400"/>
      <c r="F52" s="53"/>
      <c r="G52" s="138">
        <f>I52/Units_SF_M2</f>
        <v>0</v>
      </c>
      <c r="H52" s="430"/>
      <c r="I52" s="424">
        <v>0</v>
      </c>
      <c r="J52"/>
      <c r="K52"/>
      <c r="L52" s="417">
        <f t="shared" ref="L52:U54" si="173">IF(L$23="","",0)</f>
        <v>0</v>
      </c>
      <c r="M52" s="417">
        <f t="shared" si="173"/>
        <v>0</v>
      </c>
      <c r="N52" s="417">
        <f t="shared" si="173"/>
        <v>0</v>
      </c>
      <c r="O52" s="417">
        <f t="shared" si="173"/>
        <v>0</v>
      </c>
      <c r="P52" s="417">
        <f t="shared" si="173"/>
        <v>0</v>
      </c>
      <c r="Q52" s="417">
        <f t="shared" si="173"/>
        <v>0</v>
      </c>
      <c r="R52" s="417">
        <f t="shared" si="173"/>
        <v>0</v>
      </c>
      <c r="S52" s="417">
        <f t="shared" si="173"/>
        <v>0</v>
      </c>
      <c r="T52" s="417">
        <f t="shared" si="173"/>
        <v>0</v>
      </c>
      <c r="U52" s="417">
        <f t="shared" si="173"/>
        <v>0</v>
      </c>
      <c r="V52" s="417">
        <f t="shared" ref="V52:AE54" si="174">IF(V$23="","",0)</f>
        <v>0</v>
      </c>
      <c r="W52" s="417">
        <f t="shared" si="174"/>
        <v>0</v>
      </c>
      <c r="X52" s="417">
        <f t="shared" si="174"/>
        <v>0</v>
      </c>
      <c r="Y52" s="417">
        <f t="shared" si="174"/>
        <v>0</v>
      </c>
      <c r="Z52" s="417">
        <f t="shared" si="174"/>
        <v>0</v>
      </c>
      <c r="AA52" s="417">
        <f t="shared" si="174"/>
        <v>0</v>
      </c>
      <c r="AB52" s="417">
        <f t="shared" si="174"/>
        <v>0</v>
      </c>
      <c r="AC52" s="417">
        <f t="shared" si="174"/>
        <v>0</v>
      </c>
      <c r="AD52" s="417">
        <f t="shared" si="174"/>
        <v>0</v>
      </c>
      <c r="AE52" s="417">
        <f t="shared" si="174"/>
        <v>0</v>
      </c>
      <c r="AF52" s="417">
        <f t="shared" ref="AF52:AO54" si="175">IF(AF$23="","",0)</f>
        <v>0</v>
      </c>
      <c r="AG52" s="417">
        <f t="shared" si="175"/>
        <v>0</v>
      </c>
      <c r="AH52" s="417">
        <f t="shared" si="175"/>
        <v>0</v>
      </c>
      <c r="AI52" s="417">
        <f t="shared" si="175"/>
        <v>0</v>
      </c>
      <c r="AJ52" s="417">
        <f t="shared" si="175"/>
        <v>0</v>
      </c>
      <c r="AK52" s="417">
        <f t="shared" si="175"/>
        <v>0</v>
      </c>
      <c r="AL52" s="417">
        <f t="shared" si="175"/>
        <v>0</v>
      </c>
      <c r="AM52" s="417">
        <f t="shared" si="175"/>
        <v>0</v>
      </c>
      <c r="AN52" s="417">
        <f t="shared" si="175"/>
        <v>0</v>
      </c>
      <c r="AO52" s="417">
        <f t="shared" si="175"/>
        <v>0</v>
      </c>
      <c r="AP52" s="417">
        <f t="shared" ref="AP52:AY54" si="176">IF(AP$23="","",0)</f>
        <v>0</v>
      </c>
      <c r="AQ52" s="417">
        <f t="shared" si="176"/>
        <v>0</v>
      </c>
      <c r="AR52" s="417">
        <f t="shared" si="176"/>
        <v>0</v>
      </c>
      <c r="AS52" s="417">
        <f t="shared" si="176"/>
        <v>0</v>
      </c>
      <c r="AT52" s="417">
        <f t="shared" si="176"/>
        <v>0</v>
      </c>
      <c r="AU52" s="417">
        <f t="shared" si="176"/>
        <v>0</v>
      </c>
      <c r="AV52" s="417">
        <f t="shared" si="176"/>
        <v>0</v>
      </c>
      <c r="AW52" s="417">
        <f t="shared" si="176"/>
        <v>0</v>
      </c>
      <c r="AX52" s="417">
        <f t="shared" si="176"/>
        <v>0</v>
      </c>
      <c r="AY52" s="417">
        <f t="shared" si="176"/>
        <v>0</v>
      </c>
      <c r="AZ52" s="417">
        <f t="shared" ref="AZ52:BI54" si="177">IF(AZ$23="","",0)</f>
        <v>0</v>
      </c>
      <c r="BA52" s="417">
        <f t="shared" si="177"/>
        <v>0</v>
      </c>
      <c r="BB52" s="417">
        <f t="shared" si="177"/>
        <v>0</v>
      </c>
      <c r="BC52" s="417">
        <f t="shared" si="177"/>
        <v>0</v>
      </c>
      <c r="BD52" s="417">
        <f t="shared" si="177"/>
        <v>0</v>
      </c>
      <c r="BE52" s="417">
        <f t="shared" si="177"/>
        <v>0</v>
      </c>
      <c r="BF52" s="417">
        <f t="shared" si="177"/>
        <v>0</v>
      </c>
      <c r="BG52" s="417">
        <f t="shared" si="177"/>
        <v>0</v>
      </c>
      <c r="BH52" s="417">
        <f t="shared" si="177"/>
        <v>0</v>
      </c>
      <c r="BI52" s="417">
        <f t="shared" si="177"/>
        <v>0</v>
      </c>
      <c r="BJ52" s="417">
        <f t="shared" ref="BJ52:BS54" si="178">IF(BJ$23="","",0)</f>
        <v>0</v>
      </c>
      <c r="BK52" s="417">
        <f t="shared" si="178"/>
        <v>0</v>
      </c>
      <c r="BL52" s="417">
        <f t="shared" si="178"/>
        <v>0</v>
      </c>
      <c r="BM52" s="417">
        <f t="shared" si="178"/>
        <v>0</v>
      </c>
      <c r="BN52" s="417">
        <f t="shared" si="178"/>
        <v>0</v>
      </c>
      <c r="BO52" s="417">
        <f t="shared" si="178"/>
        <v>0</v>
      </c>
      <c r="BP52" s="417">
        <f t="shared" si="178"/>
        <v>0</v>
      </c>
      <c r="BQ52" s="417">
        <f t="shared" si="178"/>
        <v>0</v>
      </c>
      <c r="BR52" s="417">
        <f t="shared" si="178"/>
        <v>0</v>
      </c>
      <c r="BS52" s="417">
        <f t="shared" si="178"/>
        <v>0</v>
      </c>
      <c r="BT52" s="417">
        <f t="shared" ref="BT52:CC54" si="179">IF(BT$23="","",0)</f>
        <v>0</v>
      </c>
      <c r="BU52" s="417">
        <f t="shared" si="179"/>
        <v>0</v>
      </c>
      <c r="BV52" s="417">
        <f t="shared" si="179"/>
        <v>0</v>
      </c>
      <c r="BW52" s="417">
        <f t="shared" si="179"/>
        <v>0</v>
      </c>
      <c r="BX52" s="417">
        <f t="shared" si="179"/>
        <v>0</v>
      </c>
      <c r="BY52" s="417">
        <f t="shared" si="179"/>
        <v>0</v>
      </c>
      <c r="BZ52" s="417">
        <f t="shared" si="179"/>
        <v>0</v>
      </c>
      <c r="CA52" s="417">
        <f t="shared" si="179"/>
        <v>0</v>
      </c>
      <c r="CB52" s="417">
        <f t="shared" si="179"/>
        <v>0</v>
      </c>
      <c r="CC52" s="417">
        <f t="shared" si="179"/>
        <v>0</v>
      </c>
      <c r="CD52" s="417">
        <f t="shared" ref="CD52:CM54" si="180">IF(CD$23="","",0)</f>
        <v>0</v>
      </c>
      <c r="CE52" s="417">
        <f t="shared" si="180"/>
        <v>0</v>
      </c>
      <c r="CF52" s="417">
        <f t="shared" si="180"/>
        <v>0</v>
      </c>
      <c r="CG52" s="417">
        <f t="shared" si="180"/>
        <v>0</v>
      </c>
      <c r="CH52" s="417">
        <f t="shared" si="180"/>
        <v>0</v>
      </c>
      <c r="CI52" s="417">
        <f t="shared" si="180"/>
        <v>0</v>
      </c>
      <c r="CJ52" s="417">
        <f t="shared" si="180"/>
        <v>0</v>
      </c>
      <c r="CK52" s="417">
        <f t="shared" si="180"/>
        <v>0</v>
      </c>
      <c r="CL52" s="417">
        <f t="shared" si="180"/>
        <v>0</v>
      </c>
      <c r="CM52" s="417">
        <f t="shared" si="180"/>
        <v>0</v>
      </c>
      <c r="CN52" s="417">
        <f t="shared" ref="CN52:CW54" si="181">IF(CN$23="","",0)</f>
        <v>0</v>
      </c>
      <c r="CO52" s="417">
        <f t="shared" si="181"/>
        <v>0</v>
      </c>
      <c r="CP52" s="417">
        <f t="shared" si="181"/>
        <v>0</v>
      </c>
      <c r="CQ52" s="417">
        <f t="shared" si="181"/>
        <v>0</v>
      </c>
      <c r="CR52" s="417">
        <f t="shared" si="181"/>
        <v>0</v>
      </c>
      <c r="CS52" s="417">
        <f t="shared" si="181"/>
        <v>0</v>
      </c>
      <c r="CT52" s="417">
        <f t="shared" si="181"/>
        <v>0</v>
      </c>
      <c r="CU52" s="417">
        <f t="shared" si="181"/>
        <v>0</v>
      </c>
      <c r="CV52" s="417">
        <f t="shared" si="181"/>
        <v>0</v>
      </c>
      <c r="CW52" s="417">
        <f t="shared" si="181"/>
        <v>0</v>
      </c>
      <c r="CX52" s="417">
        <f t="shared" ref="CX52:DG54" si="182">IF(CX$23="","",0)</f>
        <v>0</v>
      </c>
      <c r="CY52" s="417">
        <f t="shared" si="182"/>
        <v>0</v>
      </c>
      <c r="CZ52" s="417">
        <f t="shared" si="182"/>
        <v>0</v>
      </c>
      <c r="DA52" s="417">
        <f t="shared" si="182"/>
        <v>0</v>
      </c>
      <c r="DB52" s="417">
        <f t="shared" si="182"/>
        <v>0</v>
      </c>
      <c r="DC52" s="417">
        <f t="shared" si="182"/>
        <v>0</v>
      </c>
      <c r="DD52" s="417">
        <f t="shared" si="182"/>
        <v>0</v>
      </c>
      <c r="DE52" s="417">
        <f t="shared" si="182"/>
        <v>0</v>
      </c>
      <c r="DF52" s="417">
        <f t="shared" si="182"/>
        <v>0</v>
      </c>
      <c r="DG52" s="417">
        <f t="shared" si="182"/>
        <v>0</v>
      </c>
      <c r="DH52" s="417">
        <f t="shared" ref="DH52:DQ54" si="183">IF(DH$23="","",0)</f>
        <v>0</v>
      </c>
      <c r="DI52" s="417">
        <f t="shared" si="183"/>
        <v>0</v>
      </c>
      <c r="DJ52" s="417">
        <f t="shared" si="183"/>
        <v>0</v>
      </c>
      <c r="DK52" s="417">
        <f t="shared" si="183"/>
        <v>0</v>
      </c>
      <c r="DL52" s="417">
        <f t="shared" si="183"/>
        <v>0</v>
      </c>
      <c r="DM52" s="417">
        <f t="shared" si="183"/>
        <v>0</v>
      </c>
      <c r="DN52" s="417">
        <f t="shared" si="183"/>
        <v>0</v>
      </c>
      <c r="DO52" s="417">
        <f t="shared" si="183"/>
        <v>0</v>
      </c>
      <c r="DP52" s="417">
        <f t="shared" si="183"/>
        <v>0</v>
      </c>
      <c r="DQ52" s="417">
        <f t="shared" si="183"/>
        <v>0</v>
      </c>
      <c r="DR52" s="417">
        <f t="shared" ref="DR52:EA54" si="184">IF(DR$23="","",0)</f>
        <v>0</v>
      </c>
      <c r="DS52" s="417">
        <f t="shared" si="184"/>
        <v>0</v>
      </c>
      <c r="DT52" s="417">
        <f t="shared" si="184"/>
        <v>0</v>
      </c>
      <c r="DU52" s="417">
        <f t="shared" si="184"/>
        <v>0</v>
      </c>
      <c r="DV52" s="417">
        <f t="shared" si="184"/>
        <v>0</v>
      </c>
      <c r="DW52" s="417">
        <f t="shared" si="184"/>
        <v>0</v>
      </c>
      <c r="DX52" s="417">
        <f t="shared" si="184"/>
        <v>0</v>
      </c>
      <c r="DY52" s="417">
        <f t="shared" si="184"/>
        <v>0</v>
      </c>
      <c r="DZ52" s="417">
        <f t="shared" si="184"/>
        <v>0</v>
      </c>
      <c r="EA52" s="417">
        <f t="shared" si="184"/>
        <v>0</v>
      </c>
      <c r="EB52" s="417">
        <f t="shared" ref="EB52:EN54" si="185">IF(EB$23="","",0)</f>
        <v>0</v>
      </c>
      <c r="EC52" s="417">
        <f t="shared" si="185"/>
        <v>0</v>
      </c>
      <c r="ED52" s="417">
        <f t="shared" si="185"/>
        <v>0</v>
      </c>
      <c r="EE52" s="417">
        <f t="shared" si="185"/>
        <v>0</v>
      </c>
      <c r="EF52" s="417">
        <f t="shared" si="185"/>
        <v>0</v>
      </c>
      <c r="EG52" s="417">
        <f t="shared" si="185"/>
        <v>0</v>
      </c>
      <c r="EH52" s="417">
        <f t="shared" si="185"/>
        <v>0</v>
      </c>
      <c r="EI52" s="417">
        <f t="shared" si="185"/>
        <v>0</v>
      </c>
      <c r="EJ52" s="417">
        <f t="shared" si="185"/>
        <v>0</v>
      </c>
      <c r="EK52" s="417">
        <f t="shared" si="185"/>
        <v>0</v>
      </c>
      <c r="EL52" s="417">
        <f t="shared" si="185"/>
        <v>0</v>
      </c>
      <c r="EM52" s="417">
        <f t="shared" si="185"/>
        <v>0</v>
      </c>
      <c r="EN52" s="417">
        <f t="shared" si="185"/>
        <v>0</v>
      </c>
      <c r="EO52"/>
      <c r="EP52" s="219" t="s">
        <v>160</v>
      </c>
      <c r="EQ52" s="18"/>
      <c r="ER52" s="18"/>
      <c r="ES52" s="18"/>
      <c r="ET52" s="18"/>
      <c r="EU52" s="20">
        <f>SUM(EV52:JX52)</f>
        <v>448856635.1614815</v>
      </c>
      <c r="EV52" s="20">
        <f t="shared" ref="EV52:GA52" si="186">L47+L38+L31</f>
        <v>93017714.091035873</v>
      </c>
      <c r="EW52" s="20">
        <f t="shared" si="186"/>
        <v>882028.36212584306</v>
      </c>
      <c r="EX52" s="20">
        <f t="shared" si="186"/>
        <v>1153238.7592138182</v>
      </c>
      <c r="EY52" s="20">
        <f t="shared" si="186"/>
        <v>1540571.8400115801</v>
      </c>
      <c r="EZ52" s="20">
        <f t="shared" si="186"/>
        <v>2077208.6703043352</v>
      </c>
      <c r="FA52" s="20">
        <f t="shared" si="186"/>
        <v>2798042.1575110573</v>
      </c>
      <c r="FB52" s="20">
        <f t="shared" si="186"/>
        <v>3736098.8558910517</v>
      </c>
      <c r="FC52" s="20">
        <f t="shared" si="186"/>
        <v>4917681.2983414307</v>
      </c>
      <c r="FD52" s="20">
        <f t="shared" si="186"/>
        <v>6356585.443407244</v>
      </c>
      <c r="FE52" s="20">
        <f t="shared" si="186"/>
        <v>8048084.8374454733</v>
      </c>
      <c r="FF52" s="20">
        <f t="shared" si="186"/>
        <v>9963673.1491933651</v>
      </c>
      <c r="FG52" s="20">
        <f t="shared" si="186"/>
        <v>12047726.791351493</v>
      </c>
      <c r="FH52" s="20">
        <f t="shared" si="186"/>
        <v>14217202.323856961</v>
      </c>
      <c r="FI52" s="20">
        <f t="shared" si="186"/>
        <v>16365167.698586643</v>
      </c>
      <c r="FJ52" s="20">
        <f t="shared" si="186"/>
        <v>18368392.667920161</v>
      </c>
      <c r="FK52" s="20">
        <f t="shared" si="186"/>
        <v>20098477.243874725</v>
      </c>
      <c r="FL52" s="20">
        <f t="shared" si="186"/>
        <v>21435229.253932979</v>
      </c>
      <c r="FM52" s="20">
        <f t="shared" si="186"/>
        <v>22280397.403045714</v>
      </c>
      <c r="FN52" s="20">
        <f t="shared" si="186"/>
        <v>22569593.467381995</v>
      </c>
      <c r="FO52" s="20">
        <f t="shared" si="186"/>
        <v>22280397.403045733</v>
      </c>
      <c r="FP52" s="20">
        <f t="shared" si="186"/>
        <v>21435229.253932942</v>
      </c>
      <c r="FQ52" s="20">
        <f t="shared" si="186"/>
        <v>20098477.243874762</v>
      </c>
      <c r="FR52" s="20">
        <f t="shared" si="186"/>
        <v>18368392.667920135</v>
      </c>
      <c r="FS52" s="20">
        <f t="shared" si="186"/>
        <v>16365167.698586643</v>
      </c>
      <c r="FT52" s="20">
        <f t="shared" si="186"/>
        <v>14217202.323856987</v>
      </c>
      <c r="FU52" s="20">
        <f t="shared" si="186"/>
        <v>12047726.791351464</v>
      </c>
      <c r="FV52" s="20">
        <f t="shared" si="186"/>
        <v>9963673.1491933651</v>
      </c>
      <c r="FW52" s="20">
        <f t="shared" si="186"/>
        <v>8048084.8374454975</v>
      </c>
      <c r="FX52" s="20">
        <f t="shared" si="186"/>
        <v>6356585.4434072273</v>
      </c>
      <c r="FY52" s="20">
        <f t="shared" si="186"/>
        <v>4917681.2983414317</v>
      </c>
      <c r="FZ52" s="20">
        <f t="shared" si="186"/>
        <v>3736098.8558910657</v>
      </c>
      <c r="GA52" s="20">
        <f t="shared" si="186"/>
        <v>2798042.157511042</v>
      </c>
      <c r="GB52" s="20">
        <f t="shared" ref="GB52:HG52" si="187">AR47+AR38+AR31</f>
        <v>2077208.670304341</v>
      </c>
      <c r="GC52" s="20">
        <f t="shared" si="187"/>
        <v>1540571.8400115611</v>
      </c>
      <c r="GD52" s="20">
        <f t="shared" si="187"/>
        <v>1153238.7592138406</v>
      </c>
      <c r="GE52" s="20">
        <f t="shared" si="187"/>
        <v>882028.36212582723</v>
      </c>
      <c r="GF52" s="20">
        <f t="shared" si="187"/>
        <v>697714.0910358784</v>
      </c>
      <c r="GG52" s="20">
        <f t="shared" si="187"/>
        <v>0</v>
      </c>
      <c r="GH52" s="20">
        <f t="shared" si="187"/>
        <v>0</v>
      </c>
      <c r="GI52" s="20">
        <f t="shared" si="187"/>
        <v>0</v>
      </c>
      <c r="GJ52" s="20">
        <f t="shared" si="187"/>
        <v>0</v>
      </c>
      <c r="GK52" s="20">
        <f t="shared" si="187"/>
        <v>0</v>
      </c>
      <c r="GL52" s="20">
        <f t="shared" si="187"/>
        <v>0</v>
      </c>
      <c r="GM52" s="20">
        <f t="shared" si="187"/>
        <v>0</v>
      </c>
      <c r="GN52" s="20">
        <f t="shared" si="187"/>
        <v>0</v>
      </c>
      <c r="GO52" s="20">
        <f t="shared" si="187"/>
        <v>0</v>
      </c>
      <c r="GP52" s="20">
        <f t="shared" si="187"/>
        <v>0</v>
      </c>
      <c r="GQ52" s="20">
        <f t="shared" si="187"/>
        <v>0</v>
      </c>
      <c r="GR52" s="20">
        <f t="shared" si="187"/>
        <v>0</v>
      </c>
      <c r="GS52" s="20">
        <f t="shared" si="187"/>
        <v>0</v>
      </c>
      <c r="GT52" s="20">
        <f t="shared" si="187"/>
        <v>0</v>
      </c>
      <c r="GU52" s="20">
        <f t="shared" si="187"/>
        <v>0</v>
      </c>
      <c r="GV52" s="20">
        <f t="shared" si="187"/>
        <v>0</v>
      </c>
      <c r="GW52" s="20">
        <f t="shared" si="187"/>
        <v>0</v>
      </c>
      <c r="GX52" s="20">
        <f t="shared" si="187"/>
        <v>0</v>
      </c>
      <c r="GY52" s="20">
        <f t="shared" si="187"/>
        <v>0</v>
      </c>
      <c r="GZ52" s="20">
        <f t="shared" si="187"/>
        <v>0</v>
      </c>
      <c r="HA52" s="20">
        <f t="shared" si="187"/>
        <v>0</v>
      </c>
      <c r="HB52" s="20">
        <f t="shared" si="187"/>
        <v>0</v>
      </c>
      <c r="HC52" s="20">
        <f t="shared" si="187"/>
        <v>0</v>
      </c>
      <c r="HD52" s="20">
        <f t="shared" si="187"/>
        <v>0</v>
      </c>
      <c r="HE52" s="20">
        <f t="shared" si="187"/>
        <v>0</v>
      </c>
      <c r="HF52" s="20">
        <f t="shared" si="187"/>
        <v>0</v>
      </c>
      <c r="HG52" s="20">
        <f t="shared" si="187"/>
        <v>0</v>
      </c>
      <c r="HH52" s="20">
        <f t="shared" ref="HH52:IM52" si="188">BX47+BX38+BX31</f>
        <v>0</v>
      </c>
      <c r="HI52" s="20">
        <f t="shared" si="188"/>
        <v>0</v>
      </c>
      <c r="HJ52" s="20">
        <f t="shared" si="188"/>
        <v>0</v>
      </c>
      <c r="HK52" s="20">
        <f t="shared" si="188"/>
        <v>0</v>
      </c>
      <c r="HL52" s="20">
        <f t="shared" si="188"/>
        <v>0</v>
      </c>
      <c r="HM52" s="20">
        <f t="shared" si="188"/>
        <v>0</v>
      </c>
      <c r="HN52" s="20">
        <f t="shared" si="188"/>
        <v>0</v>
      </c>
      <c r="HO52" s="20">
        <f t="shared" si="188"/>
        <v>0</v>
      </c>
      <c r="HP52" s="20">
        <f t="shared" si="188"/>
        <v>0</v>
      </c>
      <c r="HQ52" s="20">
        <f t="shared" si="188"/>
        <v>0</v>
      </c>
      <c r="HR52" s="20">
        <f t="shared" si="188"/>
        <v>0</v>
      </c>
      <c r="HS52" s="20">
        <f t="shared" si="188"/>
        <v>0</v>
      </c>
      <c r="HT52" s="20">
        <f t="shared" si="188"/>
        <v>0</v>
      </c>
      <c r="HU52" s="20">
        <f t="shared" si="188"/>
        <v>0</v>
      </c>
      <c r="HV52" s="20">
        <f t="shared" si="188"/>
        <v>0</v>
      </c>
      <c r="HW52" s="20">
        <f t="shared" si="188"/>
        <v>0</v>
      </c>
      <c r="HX52" s="20">
        <f t="shared" si="188"/>
        <v>0</v>
      </c>
      <c r="HY52" s="20">
        <f t="shared" si="188"/>
        <v>0</v>
      </c>
      <c r="HZ52" s="20">
        <f t="shared" si="188"/>
        <v>0</v>
      </c>
      <c r="IA52" s="20">
        <f t="shared" si="188"/>
        <v>0</v>
      </c>
      <c r="IB52" s="20">
        <f t="shared" si="188"/>
        <v>0</v>
      </c>
      <c r="IC52" s="20">
        <f t="shared" si="188"/>
        <v>0</v>
      </c>
      <c r="ID52" s="20">
        <f t="shared" si="188"/>
        <v>0</v>
      </c>
      <c r="IE52" s="20">
        <f t="shared" si="188"/>
        <v>0</v>
      </c>
      <c r="IF52" s="20">
        <f t="shared" si="188"/>
        <v>0</v>
      </c>
      <c r="IG52" s="20">
        <f t="shared" si="188"/>
        <v>0</v>
      </c>
      <c r="IH52" s="20">
        <f t="shared" si="188"/>
        <v>0</v>
      </c>
      <c r="II52" s="20">
        <f t="shared" si="188"/>
        <v>0</v>
      </c>
      <c r="IJ52" s="20">
        <f t="shared" si="188"/>
        <v>0</v>
      </c>
      <c r="IK52" s="20">
        <f t="shared" si="188"/>
        <v>0</v>
      </c>
      <c r="IL52" s="20">
        <f t="shared" si="188"/>
        <v>0</v>
      </c>
      <c r="IM52" s="20">
        <f t="shared" si="188"/>
        <v>0</v>
      </c>
      <c r="IN52" s="20">
        <f t="shared" ref="IN52:JS52" si="189">DD47+DD38+DD31</f>
        <v>0</v>
      </c>
      <c r="IO52" s="20">
        <f t="shared" si="189"/>
        <v>0</v>
      </c>
      <c r="IP52" s="20">
        <f t="shared" si="189"/>
        <v>0</v>
      </c>
      <c r="IQ52" s="20">
        <f t="shared" si="189"/>
        <v>0</v>
      </c>
      <c r="IR52" s="20">
        <f t="shared" si="189"/>
        <v>0</v>
      </c>
      <c r="IS52" s="20">
        <f t="shared" si="189"/>
        <v>0</v>
      </c>
      <c r="IT52" s="20">
        <f t="shared" si="189"/>
        <v>0</v>
      </c>
      <c r="IU52" s="20">
        <f t="shared" si="189"/>
        <v>0</v>
      </c>
      <c r="IV52" s="20">
        <f t="shared" si="189"/>
        <v>0</v>
      </c>
      <c r="IW52" s="20">
        <f t="shared" si="189"/>
        <v>0</v>
      </c>
      <c r="IX52" s="20">
        <f t="shared" si="189"/>
        <v>0</v>
      </c>
      <c r="IY52" s="20">
        <f t="shared" si="189"/>
        <v>0</v>
      </c>
      <c r="IZ52" s="20">
        <f t="shared" si="189"/>
        <v>0</v>
      </c>
      <c r="JA52" s="20">
        <f t="shared" si="189"/>
        <v>0</v>
      </c>
      <c r="JB52" s="20">
        <f t="shared" si="189"/>
        <v>0</v>
      </c>
      <c r="JC52" s="20">
        <f t="shared" si="189"/>
        <v>0</v>
      </c>
      <c r="JD52" s="20">
        <f t="shared" si="189"/>
        <v>0</v>
      </c>
      <c r="JE52" s="20">
        <f t="shared" si="189"/>
        <v>0</v>
      </c>
      <c r="JF52" s="20">
        <f t="shared" si="189"/>
        <v>0</v>
      </c>
      <c r="JG52" s="20">
        <f t="shared" si="189"/>
        <v>0</v>
      </c>
      <c r="JH52" s="20">
        <f t="shared" si="189"/>
        <v>0</v>
      </c>
      <c r="JI52" s="20">
        <f t="shared" si="189"/>
        <v>0</v>
      </c>
      <c r="JJ52" s="20">
        <f t="shared" si="189"/>
        <v>0</v>
      </c>
      <c r="JK52" s="20">
        <f t="shared" si="189"/>
        <v>0</v>
      </c>
      <c r="JL52" s="20">
        <f t="shared" si="189"/>
        <v>0</v>
      </c>
      <c r="JM52" s="20">
        <f t="shared" si="189"/>
        <v>0</v>
      </c>
      <c r="JN52" s="20">
        <f t="shared" si="189"/>
        <v>0</v>
      </c>
      <c r="JO52" s="20">
        <f t="shared" si="189"/>
        <v>0</v>
      </c>
      <c r="JP52" s="20">
        <f t="shared" si="189"/>
        <v>0</v>
      </c>
      <c r="JQ52" s="20">
        <f t="shared" si="189"/>
        <v>0</v>
      </c>
      <c r="JR52" s="20">
        <f t="shared" si="189"/>
        <v>0</v>
      </c>
      <c r="JS52" s="20">
        <f t="shared" si="189"/>
        <v>0</v>
      </c>
      <c r="JT52" s="20">
        <f>EJ47+EJ38+EJ31</f>
        <v>0</v>
      </c>
      <c r="JU52" s="20">
        <f>EK47+EK38+EK31</f>
        <v>0</v>
      </c>
      <c r="JV52" s="20">
        <f>EL47+EL38+EL31</f>
        <v>0</v>
      </c>
      <c r="JW52" s="20">
        <f>EM47+EM38+EM31</f>
        <v>0</v>
      </c>
      <c r="JX52" s="20">
        <f>EN47+EN38+EN31</f>
        <v>0</v>
      </c>
      <c r="JY52"/>
      <c r="JZ52" s="220"/>
      <c r="KA52" s="201"/>
      <c r="KB52" s="20"/>
      <c r="KC52" s="20"/>
      <c r="KD52" s="20"/>
      <c r="KE52" s="81"/>
      <c r="KF52" s="81"/>
      <c r="KG52" s="81"/>
      <c r="KH52" s="81"/>
      <c r="KI52" s="81"/>
      <c r="KJ52" s="81"/>
      <c r="KK52" s="81"/>
      <c r="KL52" s="81"/>
      <c r="KM52" s="81"/>
      <c r="KN52" s="81"/>
      <c r="KO52" s="81"/>
      <c r="KP52" s="81"/>
      <c r="KQ52" s="81"/>
      <c r="KR52" s="81"/>
      <c r="KS52" s="81"/>
      <c r="KT52" s="81"/>
      <c r="KU52" s="81"/>
      <c r="KV52" s="81"/>
      <c r="KW52" s="81"/>
      <c r="KX52" s="81"/>
      <c r="KY52" s="81"/>
      <c r="KZ52" s="81"/>
      <c r="LA52" s="81"/>
      <c r="LB52" s="81"/>
      <c r="LC52" s="81"/>
      <c r="LD52" s="81"/>
      <c r="LE52" s="81"/>
      <c r="LF52" s="81"/>
      <c r="LG52" s="81"/>
      <c r="LH52" s="81"/>
      <c r="LI52" s="81"/>
      <c r="LJ52" s="81"/>
      <c r="LK52" s="81"/>
      <c r="LL52" s="81"/>
      <c r="LM52" s="81"/>
      <c r="LN52" s="81"/>
      <c r="LO52" s="81"/>
      <c r="LP52" s="81"/>
      <c r="LQ52" s="81"/>
      <c r="LR52" s="81"/>
      <c r="LS52" s="81"/>
      <c r="LT52" s="81"/>
      <c r="LU52" s="81"/>
      <c r="LV52" s="81"/>
      <c r="LW52" s="81"/>
      <c r="LX52" s="81"/>
      <c r="LY52" s="81"/>
      <c r="LZ52" s="81"/>
      <c r="MA52" s="81"/>
      <c r="MB52" s="81"/>
      <c r="MC52" s="81"/>
      <c r="MD52" s="81"/>
      <c r="ME52" s="81"/>
      <c r="MF52" s="81"/>
      <c r="MG52" s="81"/>
      <c r="MH52" s="81"/>
      <c r="MI52" s="81"/>
      <c r="MJ52" s="81"/>
      <c r="MK52" s="81"/>
      <c r="ML52" s="81"/>
      <c r="MM52" s="81"/>
      <c r="MN52" s="81"/>
      <c r="MO52" s="81"/>
      <c r="MP52" s="81"/>
      <c r="MQ52" s="81"/>
      <c r="MR52" s="81"/>
      <c r="MS52" s="81"/>
      <c r="MT52" s="81"/>
      <c r="MU52" s="81"/>
      <c r="MV52" s="81"/>
      <c r="MW52" s="81"/>
      <c r="MX52" s="81"/>
      <c r="MY52" s="81"/>
      <c r="MZ52" s="81"/>
      <c r="NA52" s="81"/>
      <c r="NB52" s="81"/>
      <c r="NC52" s="81"/>
      <c r="ND52" s="81"/>
      <c r="NE52" s="81"/>
      <c r="NF52" s="81"/>
      <c r="NG52" s="81"/>
      <c r="NH52" s="81"/>
      <c r="NI52" s="81"/>
      <c r="NJ52" s="81"/>
      <c r="NK52" s="81"/>
      <c r="NL52" s="81"/>
      <c r="NM52" s="81"/>
      <c r="NN52" s="81"/>
      <c r="NO52" s="81"/>
      <c r="NP52" s="81"/>
      <c r="NQ52" s="81"/>
      <c r="NR52" s="81"/>
      <c r="NS52" s="81"/>
      <c r="NT52" s="81"/>
      <c r="NU52" s="81"/>
      <c r="NV52" s="81"/>
      <c r="NW52" s="81"/>
      <c r="NX52" s="81"/>
      <c r="NY52" s="81"/>
      <c r="NZ52" s="81"/>
      <c r="OA52" s="81"/>
      <c r="OB52" s="81"/>
      <c r="OC52" s="81"/>
      <c r="OD52" s="81"/>
      <c r="OE52" s="81"/>
      <c r="OF52" s="81"/>
      <c r="OG52" s="81"/>
      <c r="OH52" s="81"/>
      <c r="OI52" s="81"/>
      <c r="OJ52" s="81"/>
      <c r="OK52" s="81"/>
      <c r="OL52" s="81"/>
      <c r="OM52" s="81"/>
      <c r="ON52" s="81"/>
      <c r="OO52" s="81"/>
      <c r="OP52" s="81"/>
      <c r="OQ52" s="81"/>
      <c r="OR52" s="81"/>
      <c r="OS52" s="81"/>
      <c r="OT52" s="81"/>
      <c r="OU52" s="81"/>
      <c r="OV52" s="81"/>
      <c r="OW52" s="81"/>
      <c r="OX52" s="81"/>
      <c r="OY52" s="81"/>
      <c r="OZ52" s="81"/>
      <c r="PA52" s="81"/>
      <c r="PB52" s="81"/>
      <c r="PC52" s="81"/>
      <c r="PD52" s="81"/>
      <c r="PE52" s="81"/>
      <c r="PF52" s="81"/>
      <c r="PG52" s="81"/>
      <c r="PH52" s="81"/>
    </row>
    <row r="53" spans="1:424" x14ac:dyDescent="0.35">
      <c r="A53"/>
      <c r="B53" s="426" t="s">
        <v>161</v>
      </c>
      <c r="C53" s="400">
        <v>0</v>
      </c>
      <c r="D53" s="45"/>
      <c r="E53" s="45">
        <v>0</v>
      </c>
      <c r="F53" s="429" t="s">
        <v>142</v>
      </c>
      <c r="G53" s="134">
        <f>I53/Units_SF_M2</f>
        <v>0</v>
      </c>
      <c r="H53" s="415"/>
      <c r="I53" s="416">
        <v>0</v>
      </c>
      <c r="J53"/>
      <c r="K53" s="22" t="str">
        <f>IF(ROUND(SUM(L53:EN53),0)=ROUND(I53,0),"","Incomplete")</f>
        <v/>
      </c>
      <c r="L53" s="417">
        <f t="shared" si="173"/>
        <v>0</v>
      </c>
      <c r="M53" s="417">
        <f t="shared" si="173"/>
        <v>0</v>
      </c>
      <c r="N53" s="417">
        <f t="shared" si="173"/>
        <v>0</v>
      </c>
      <c r="O53" s="417">
        <f t="shared" si="173"/>
        <v>0</v>
      </c>
      <c r="P53" s="417">
        <f t="shared" si="173"/>
        <v>0</v>
      </c>
      <c r="Q53" s="417">
        <f t="shared" si="173"/>
        <v>0</v>
      </c>
      <c r="R53" s="417">
        <f t="shared" si="173"/>
        <v>0</v>
      </c>
      <c r="S53" s="417">
        <f t="shared" si="173"/>
        <v>0</v>
      </c>
      <c r="T53" s="417">
        <f t="shared" si="173"/>
        <v>0</v>
      </c>
      <c r="U53" s="417">
        <f t="shared" si="173"/>
        <v>0</v>
      </c>
      <c r="V53" s="417">
        <f t="shared" si="174"/>
        <v>0</v>
      </c>
      <c r="W53" s="417">
        <f t="shared" si="174"/>
        <v>0</v>
      </c>
      <c r="X53" s="417">
        <f t="shared" si="174"/>
        <v>0</v>
      </c>
      <c r="Y53" s="417">
        <f t="shared" si="174"/>
        <v>0</v>
      </c>
      <c r="Z53" s="417">
        <f t="shared" si="174"/>
        <v>0</v>
      </c>
      <c r="AA53" s="417">
        <f t="shared" si="174"/>
        <v>0</v>
      </c>
      <c r="AB53" s="417">
        <f t="shared" si="174"/>
        <v>0</v>
      </c>
      <c r="AC53" s="417">
        <f t="shared" si="174"/>
        <v>0</v>
      </c>
      <c r="AD53" s="417">
        <f t="shared" si="174"/>
        <v>0</v>
      </c>
      <c r="AE53" s="417">
        <f t="shared" si="174"/>
        <v>0</v>
      </c>
      <c r="AF53" s="417">
        <f t="shared" si="175"/>
        <v>0</v>
      </c>
      <c r="AG53" s="417">
        <f t="shared" si="175"/>
        <v>0</v>
      </c>
      <c r="AH53" s="417">
        <f t="shared" si="175"/>
        <v>0</v>
      </c>
      <c r="AI53" s="417">
        <f t="shared" si="175"/>
        <v>0</v>
      </c>
      <c r="AJ53" s="417">
        <f t="shared" si="175"/>
        <v>0</v>
      </c>
      <c r="AK53" s="417">
        <f t="shared" si="175"/>
        <v>0</v>
      </c>
      <c r="AL53" s="417">
        <f t="shared" si="175"/>
        <v>0</v>
      </c>
      <c r="AM53" s="417">
        <f t="shared" si="175"/>
        <v>0</v>
      </c>
      <c r="AN53" s="417">
        <f t="shared" si="175"/>
        <v>0</v>
      </c>
      <c r="AO53" s="417">
        <f t="shared" si="175"/>
        <v>0</v>
      </c>
      <c r="AP53" s="417">
        <f t="shared" si="176"/>
        <v>0</v>
      </c>
      <c r="AQ53" s="417">
        <f t="shared" si="176"/>
        <v>0</v>
      </c>
      <c r="AR53" s="417">
        <f t="shared" si="176"/>
        <v>0</v>
      </c>
      <c r="AS53" s="417">
        <f t="shared" si="176"/>
        <v>0</v>
      </c>
      <c r="AT53" s="417">
        <f t="shared" si="176"/>
        <v>0</v>
      </c>
      <c r="AU53" s="417">
        <f t="shared" si="176"/>
        <v>0</v>
      </c>
      <c r="AV53" s="417">
        <f t="shared" si="176"/>
        <v>0</v>
      </c>
      <c r="AW53" s="417">
        <f t="shared" si="176"/>
        <v>0</v>
      </c>
      <c r="AX53" s="417">
        <f t="shared" si="176"/>
        <v>0</v>
      </c>
      <c r="AY53" s="417">
        <f t="shared" si="176"/>
        <v>0</v>
      </c>
      <c r="AZ53" s="417">
        <f t="shared" si="177"/>
        <v>0</v>
      </c>
      <c r="BA53" s="417">
        <f t="shared" si="177"/>
        <v>0</v>
      </c>
      <c r="BB53" s="417">
        <f t="shared" si="177"/>
        <v>0</v>
      </c>
      <c r="BC53" s="417">
        <f t="shared" si="177"/>
        <v>0</v>
      </c>
      <c r="BD53" s="417">
        <f t="shared" si="177"/>
        <v>0</v>
      </c>
      <c r="BE53" s="417">
        <f t="shared" si="177"/>
        <v>0</v>
      </c>
      <c r="BF53" s="417">
        <f t="shared" si="177"/>
        <v>0</v>
      </c>
      <c r="BG53" s="417">
        <f t="shared" si="177"/>
        <v>0</v>
      </c>
      <c r="BH53" s="417">
        <f t="shared" si="177"/>
        <v>0</v>
      </c>
      <c r="BI53" s="417">
        <f t="shared" si="177"/>
        <v>0</v>
      </c>
      <c r="BJ53" s="417">
        <f t="shared" si="178"/>
        <v>0</v>
      </c>
      <c r="BK53" s="417">
        <f t="shared" si="178"/>
        <v>0</v>
      </c>
      <c r="BL53" s="417">
        <f t="shared" si="178"/>
        <v>0</v>
      </c>
      <c r="BM53" s="417">
        <f t="shared" si="178"/>
        <v>0</v>
      </c>
      <c r="BN53" s="417">
        <f t="shared" si="178"/>
        <v>0</v>
      </c>
      <c r="BO53" s="417">
        <f t="shared" si="178"/>
        <v>0</v>
      </c>
      <c r="BP53" s="417">
        <f t="shared" si="178"/>
        <v>0</v>
      </c>
      <c r="BQ53" s="417">
        <f t="shared" si="178"/>
        <v>0</v>
      </c>
      <c r="BR53" s="417">
        <f t="shared" si="178"/>
        <v>0</v>
      </c>
      <c r="BS53" s="417">
        <f t="shared" si="178"/>
        <v>0</v>
      </c>
      <c r="BT53" s="417">
        <f t="shared" si="179"/>
        <v>0</v>
      </c>
      <c r="BU53" s="417">
        <f t="shared" si="179"/>
        <v>0</v>
      </c>
      <c r="BV53" s="417">
        <f t="shared" si="179"/>
        <v>0</v>
      </c>
      <c r="BW53" s="417">
        <f t="shared" si="179"/>
        <v>0</v>
      </c>
      <c r="BX53" s="417">
        <f t="shared" si="179"/>
        <v>0</v>
      </c>
      <c r="BY53" s="417">
        <f t="shared" si="179"/>
        <v>0</v>
      </c>
      <c r="BZ53" s="417">
        <f t="shared" si="179"/>
        <v>0</v>
      </c>
      <c r="CA53" s="417">
        <f t="shared" si="179"/>
        <v>0</v>
      </c>
      <c r="CB53" s="417">
        <f t="shared" si="179"/>
        <v>0</v>
      </c>
      <c r="CC53" s="417">
        <f t="shared" si="179"/>
        <v>0</v>
      </c>
      <c r="CD53" s="417">
        <f t="shared" si="180"/>
        <v>0</v>
      </c>
      <c r="CE53" s="417">
        <f t="shared" si="180"/>
        <v>0</v>
      </c>
      <c r="CF53" s="417">
        <f t="shared" si="180"/>
        <v>0</v>
      </c>
      <c r="CG53" s="417">
        <f t="shared" si="180"/>
        <v>0</v>
      </c>
      <c r="CH53" s="417">
        <f t="shared" si="180"/>
        <v>0</v>
      </c>
      <c r="CI53" s="417">
        <f t="shared" si="180"/>
        <v>0</v>
      </c>
      <c r="CJ53" s="417">
        <f t="shared" si="180"/>
        <v>0</v>
      </c>
      <c r="CK53" s="417">
        <f t="shared" si="180"/>
        <v>0</v>
      </c>
      <c r="CL53" s="417">
        <f t="shared" si="180"/>
        <v>0</v>
      </c>
      <c r="CM53" s="417">
        <f t="shared" si="180"/>
        <v>0</v>
      </c>
      <c r="CN53" s="417">
        <f t="shared" si="181"/>
        <v>0</v>
      </c>
      <c r="CO53" s="417">
        <f t="shared" si="181"/>
        <v>0</v>
      </c>
      <c r="CP53" s="417">
        <f t="shared" si="181"/>
        <v>0</v>
      </c>
      <c r="CQ53" s="417">
        <f t="shared" si="181"/>
        <v>0</v>
      </c>
      <c r="CR53" s="417">
        <f t="shared" si="181"/>
        <v>0</v>
      </c>
      <c r="CS53" s="417">
        <f t="shared" si="181"/>
        <v>0</v>
      </c>
      <c r="CT53" s="417">
        <f t="shared" si="181"/>
        <v>0</v>
      </c>
      <c r="CU53" s="417">
        <f t="shared" si="181"/>
        <v>0</v>
      </c>
      <c r="CV53" s="417">
        <f t="shared" si="181"/>
        <v>0</v>
      </c>
      <c r="CW53" s="417">
        <f t="shared" si="181"/>
        <v>0</v>
      </c>
      <c r="CX53" s="417">
        <f t="shared" si="182"/>
        <v>0</v>
      </c>
      <c r="CY53" s="417">
        <f t="shared" si="182"/>
        <v>0</v>
      </c>
      <c r="CZ53" s="417">
        <f t="shared" si="182"/>
        <v>0</v>
      </c>
      <c r="DA53" s="417">
        <f t="shared" si="182"/>
        <v>0</v>
      </c>
      <c r="DB53" s="417">
        <f t="shared" si="182"/>
        <v>0</v>
      </c>
      <c r="DC53" s="417">
        <f t="shared" si="182"/>
        <v>0</v>
      </c>
      <c r="DD53" s="417">
        <f t="shared" si="182"/>
        <v>0</v>
      </c>
      <c r="DE53" s="417">
        <f t="shared" si="182"/>
        <v>0</v>
      </c>
      <c r="DF53" s="417">
        <f t="shared" si="182"/>
        <v>0</v>
      </c>
      <c r="DG53" s="417">
        <f t="shared" si="182"/>
        <v>0</v>
      </c>
      <c r="DH53" s="417">
        <f t="shared" si="183"/>
        <v>0</v>
      </c>
      <c r="DI53" s="417">
        <f t="shared" si="183"/>
        <v>0</v>
      </c>
      <c r="DJ53" s="417">
        <f t="shared" si="183"/>
        <v>0</v>
      </c>
      <c r="DK53" s="417">
        <f t="shared" si="183"/>
        <v>0</v>
      </c>
      <c r="DL53" s="417">
        <f t="shared" si="183"/>
        <v>0</v>
      </c>
      <c r="DM53" s="417">
        <f t="shared" si="183"/>
        <v>0</v>
      </c>
      <c r="DN53" s="417">
        <f t="shared" si="183"/>
        <v>0</v>
      </c>
      <c r="DO53" s="417">
        <f t="shared" si="183"/>
        <v>0</v>
      </c>
      <c r="DP53" s="417">
        <f t="shared" si="183"/>
        <v>0</v>
      </c>
      <c r="DQ53" s="417">
        <f t="shared" si="183"/>
        <v>0</v>
      </c>
      <c r="DR53" s="417">
        <f t="shared" si="184"/>
        <v>0</v>
      </c>
      <c r="DS53" s="417">
        <f t="shared" si="184"/>
        <v>0</v>
      </c>
      <c r="DT53" s="417">
        <f t="shared" si="184"/>
        <v>0</v>
      </c>
      <c r="DU53" s="417">
        <f t="shared" si="184"/>
        <v>0</v>
      </c>
      <c r="DV53" s="417">
        <f t="shared" si="184"/>
        <v>0</v>
      </c>
      <c r="DW53" s="417">
        <f t="shared" si="184"/>
        <v>0</v>
      </c>
      <c r="DX53" s="417">
        <f t="shared" si="184"/>
        <v>0</v>
      </c>
      <c r="DY53" s="417">
        <f t="shared" si="184"/>
        <v>0</v>
      </c>
      <c r="DZ53" s="417">
        <f t="shared" si="184"/>
        <v>0</v>
      </c>
      <c r="EA53" s="417">
        <f t="shared" si="184"/>
        <v>0</v>
      </c>
      <c r="EB53" s="417">
        <f t="shared" si="185"/>
        <v>0</v>
      </c>
      <c r="EC53" s="417">
        <f t="shared" si="185"/>
        <v>0</v>
      </c>
      <c r="ED53" s="417">
        <f t="shared" si="185"/>
        <v>0</v>
      </c>
      <c r="EE53" s="417">
        <f t="shared" si="185"/>
        <v>0</v>
      </c>
      <c r="EF53" s="417">
        <f t="shared" si="185"/>
        <v>0</v>
      </c>
      <c r="EG53" s="417">
        <f t="shared" si="185"/>
        <v>0</v>
      </c>
      <c r="EH53" s="417">
        <f t="shared" si="185"/>
        <v>0</v>
      </c>
      <c r="EI53" s="417">
        <f t="shared" si="185"/>
        <v>0</v>
      </c>
      <c r="EJ53" s="417">
        <f t="shared" si="185"/>
        <v>0</v>
      </c>
      <c r="EK53" s="417">
        <f t="shared" si="185"/>
        <v>0</v>
      </c>
      <c r="EL53" s="417">
        <f t="shared" si="185"/>
        <v>0</v>
      </c>
      <c r="EM53" s="417">
        <f t="shared" si="185"/>
        <v>0</v>
      </c>
      <c r="EN53" s="417">
        <f t="shared" si="185"/>
        <v>0</v>
      </c>
      <c r="EO53"/>
      <c r="EP53" s="220" t="s">
        <v>162</v>
      </c>
      <c r="EQ53" s="201"/>
      <c r="ER53" s="201"/>
      <c r="ES53" s="20"/>
      <c r="ET53" s="18"/>
      <c r="EU53" s="26">
        <f>SUM(EV53:JX53)</f>
        <v>0</v>
      </c>
      <c r="EV53" s="26">
        <f>SUM(L52:L54)</f>
        <v>0</v>
      </c>
      <c r="EW53" s="26">
        <f t="shared" ref="EW53:HH53" si="190">SUM(M52:M54)</f>
        <v>0</v>
      </c>
      <c r="EX53" s="26">
        <f t="shared" si="190"/>
        <v>0</v>
      </c>
      <c r="EY53" s="26">
        <f t="shared" si="190"/>
        <v>0</v>
      </c>
      <c r="EZ53" s="26">
        <f t="shared" si="190"/>
        <v>0</v>
      </c>
      <c r="FA53" s="26">
        <f t="shared" si="190"/>
        <v>0</v>
      </c>
      <c r="FB53" s="26">
        <f t="shared" si="190"/>
        <v>0</v>
      </c>
      <c r="FC53" s="26">
        <f t="shared" si="190"/>
        <v>0</v>
      </c>
      <c r="FD53" s="26">
        <f t="shared" si="190"/>
        <v>0</v>
      </c>
      <c r="FE53" s="26">
        <f t="shared" si="190"/>
        <v>0</v>
      </c>
      <c r="FF53" s="26">
        <f t="shared" si="190"/>
        <v>0</v>
      </c>
      <c r="FG53" s="26">
        <f t="shared" si="190"/>
        <v>0</v>
      </c>
      <c r="FH53" s="26">
        <f t="shared" si="190"/>
        <v>0</v>
      </c>
      <c r="FI53" s="26">
        <f t="shared" si="190"/>
        <v>0</v>
      </c>
      <c r="FJ53" s="26">
        <f t="shared" si="190"/>
        <v>0</v>
      </c>
      <c r="FK53" s="26">
        <f t="shared" si="190"/>
        <v>0</v>
      </c>
      <c r="FL53" s="26">
        <f t="shared" si="190"/>
        <v>0</v>
      </c>
      <c r="FM53" s="26">
        <f t="shared" si="190"/>
        <v>0</v>
      </c>
      <c r="FN53" s="26">
        <f t="shared" si="190"/>
        <v>0</v>
      </c>
      <c r="FO53" s="26">
        <f t="shared" si="190"/>
        <v>0</v>
      </c>
      <c r="FP53" s="26">
        <f t="shared" si="190"/>
        <v>0</v>
      </c>
      <c r="FQ53" s="26">
        <f t="shared" si="190"/>
        <v>0</v>
      </c>
      <c r="FR53" s="26">
        <f t="shared" si="190"/>
        <v>0</v>
      </c>
      <c r="FS53" s="26">
        <f t="shared" si="190"/>
        <v>0</v>
      </c>
      <c r="FT53" s="26">
        <f t="shared" si="190"/>
        <v>0</v>
      </c>
      <c r="FU53" s="26">
        <f t="shared" si="190"/>
        <v>0</v>
      </c>
      <c r="FV53" s="26">
        <f t="shared" si="190"/>
        <v>0</v>
      </c>
      <c r="FW53" s="26">
        <f t="shared" si="190"/>
        <v>0</v>
      </c>
      <c r="FX53" s="26">
        <f t="shared" si="190"/>
        <v>0</v>
      </c>
      <c r="FY53" s="26">
        <f t="shared" si="190"/>
        <v>0</v>
      </c>
      <c r="FZ53" s="26">
        <f t="shared" si="190"/>
        <v>0</v>
      </c>
      <c r="GA53" s="26">
        <f t="shared" si="190"/>
        <v>0</v>
      </c>
      <c r="GB53" s="26">
        <f t="shared" si="190"/>
        <v>0</v>
      </c>
      <c r="GC53" s="26">
        <f t="shared" si="190"/>
        <v>0</v>
      </c>
      <c r="GD53" s="26">
        <f t="shared" si="190"/>
        <v>0</v>
      </c>
      <c r="GE53" s="26">
        <f t="shared" si="190"/>
        <v>0</v>
      </c>
      <c r="GF53" s="26">
        <f t="shared" si="190"/>
        <v>0</v>
      </c>
      <c r="GG53" s="26">
        <f t="shared" si="190"/>
        <v>0</v>
      </c>
      <c r="GH53" s="26">
        <f t="shared" si="190"/>
        <v>0</v>
      </c>
      <c r="GI53" s="26">
        <f t="shared" si="190"/>
        <v>0</v>
      </c>
      <c r="GJ53" s="26">
        <f t="shared" si="190"/>
        <v>0</v>
      </c>
      <c r="GK53" s="26">
        <f t="shared" si="190"/>
        <v>0</v>
      </c>
      <c r="GL53" s="26">
        <f t="shared" si="190"/>
        <v>0</v>
      </c>
      <c r="GM53" s="26">
        <f t="shared" si="190"/>
        <v>0</v>
      </c>
      <c r="GN53" s="26">
        <f t="shared" si="190"/>
        <v>0</v>
      </c>
      <c r="GO53" s="26">
        <f t="shared" si="190"/>
        <v>0</v>
      </c>
      <c r="GP53" s="26">
        <f t="shared" si="190"/>
        <v>0</v>
      </c>
      <c r="GQ53" s="26">
        <f t="shared" si="190"/>
        <v>0</v>
      </c>
      <c r="GR53" s="26">
        <f t="shared" si="190"/>
        <v>0</v>
      </c>
      <c r="GS53" s="26">
        <f t="shared" si="190"/>
        <v>0</v>
      </c>
      <c r="GT53" s="26">
        <f t="shared" si="190"/>
        <v>0</v>
      </c>
      <c r="GU53" s="26">
        <f t="shared" si="190"/>
        <v>0</v>
      </c>
      <c r="GV53" s="26">
        <f t="shared" si="190"/>
        <v>0</v>
      </c>
      <c r="GW53" s="26">
        <f t="shared" si="190"/>
        <v>0</v>
      </c>
      <c r="GX53" s="26">
        <f t="shared" si="190"/>
        <v>0</v>
      </c>
      <c r="GY53" s="26">
        <f t="shared" si="190"/>
        <v>0</v>
      </c>
      <c r="GZ53" s="26">
        <f t="shared" si="190"/>
        <v>0</v>
      </c>
      <c r="HA53" s="26">
        <f t="shared" si="190"/>
        <v>0</v>
      </c>
      <c r="HB53" s="26">
        <f t="shared" si="190"/>
        <v>0</v>
      </c>
      <c r="HC53" s="26">
        <f t="shared" si="190"/>
        <v>0</v>
      </c>
      <c r="HD53" s="26">
        <f t="shared" si="190"/>
        <v>0</v>
      </c>
      <c r="HE53" s="26">
        <f t="shared" si="190"/>
        <v>0</v>
      </c>
      <c r="HF53" s="26">
        <f t="shared" si="190"/>
        <v>0</v>
      </c>
      <c r="HG53" s="26">
        <f t="shared" si="190"/>
        <v>0</v>
      </c>
      <c r="HH53" s="26">
        <f t="shared" si="190"/>
        <v>0</v>
      </c>
      <c r="HI53" s="26">
        <f t="shared" ref="HI53:JT53" si="191">SUM(BY52:BY54)</f>
        <v>0</v>
      </c>
      <c r="HJ53" s="26">
        <f t="shared" si="191"/>
        <v>0</v>
      </c>
      <c r="HK53" s="26">
        <f t="shared" si="191"/>
        <v>0</v>
      </c>
      <c r="HL53" s="26">
        <f t="shared" si="191"/>
        <v>0</v>
      </c>
      <c r="HM53" s="26">
        <f t="shared" si="191"/>
        <v>0</v>
      </c>
      <c r="HN53" s="26">
        <f t="shared" si="191"/>
        <v>0</v>
      </c>
      <c r="HO53" s="26">
        <f t="shared" si="191"/>
        <v>0</v>
      </c>
      <c r="HP53" s="26">
        <f t="shared" si="191"/>
        <v>0</v>
      </c>
      <c r="HQ53" s="26">
        <f t="shared" si="191"/>
        <v>0</v>
      </c>
      <c r="HR53" s="26">
        <f t="shared" si="191"/>
        <v>0</v>
      </c>
      <c r="HS53" s="26">
        <f t="shared" si="191"/>
        <v>0</v>
      </c>
      <c r="HT53" s="26">
        <f t="shared" si="191"/>
        <v>0</v>
      </c>
      <c r="HU53" s="26">
        <f t="shared" si="191"/>
        <v>0</v>
      </c>
      <c r="HV53" s="26">
        <f t="shared" si="191"/>
        <v>0</v>
      </c>
      <c r="HW53" s="26">
        <f t="shared" si="191"/>
        <v>0</v>
      </c>
      <c r="HX53" s="26">
        <f t="shared" si="191"/>
        <v>0</v>
      </c>
      <c r="HY53" s="26">
        <f t="shared" si="191"/>
        <v>0</v>
      </c>
      <c r="HZ53" s="26">
        <f t="shared" si="191"/>
        <v>0</v>
      </c>
      <c r="IA53" s="26">
        <f t="shared" si="191"/>
        <v>0</v>
      </c>
      <c r="IB53" s="26">
        <f t="shared" si="191"/>
        <v>0</v>
      </c>
      <c r="IC53" s="26">
        <f t="shared" si="191"/>
        <v>0</v>
      </c>
      <c r="ID53" s="26">
        <f t="shared" si="191"/>
        <v>0</v>
      </c>
      <c r="IE53" s="26">
        <f t="shared" si="191"/>
        <v>0</v>
      </c>
      <c r="IF53" s="26">
        <f t="shared" si="191"/>
        <v>0</v>
      </c>
      <c r="IG53" s="26">
        <f t="shared" si="191"/>
        <v>0</v>
      </c>
      <c r="IH53" s="26">
        <f t="shared" si="191"/>
        <v>0</v>
      </c>
      <c r="II53" s="26">
        <f t="shared" si="191"/>
        <v>0</v>
      </c>
      <c r="IJ53" s="26">
        <f t="shared" si="191"/>
        <v>0</v>
      </c>
      <c r="IK53" s="26">
        <f t="shared" si="191"/>
        <v>0</v>
      </c>
      <c r="IL53" s="26">
        <f t="shared" si="191"/>
        <v>0</v>
      </c>
      <c r="IM53" s="26">
        <f t="shared" si="191"/>
        <v>0</v>
      </c>
      <c r="IN53" s="26">
        <f t="shared" si="191"/>
        <v>0</v>
      </c>
      <c r="IO53" s="26">
        <f t="shared" si="191"/>
        <v>0</v>
      </c>
      <c r="IP53" s="26">
        <f t="shared" si="191"/>
        <v>0</v>
      </c>
      <c r="IQ53" s="26">
        <f t="shared" si="191"/>
        <v>0</v>
      </c>
      <c r="IR53" s="26">
        <f t="shared" si="191"/>
        <v>0</v>
      </c>
      <c r="IS53" s="26">
        <f t="shared" si="191"/>
        <v>0</v>
      </c>
      <c r="IT53" s="26">
        <f t="shared" si="191"/>
        <v>0</v>
      </c>
      <c r="IU53" s="26">
        <f t="shared" si="191"/>
        <v>0</v>
      </c>
      <c r="IV53" s="26">
        <f t="shared" si="191"/>
        <v>0</v>
      </c>
      <c r="IW53" s="26">
        <f t="shared" si="191"/>
        <v>0</v>
      </c>
      <c r="IX53" s="26">
        <f t="shared" si="191"/>
        <v>0</v>
      </c>
      <c r="IY53" s="26">
        <f t="shared" si="191"/>
        <v>0</v>
      </c>
      <c r="IZ53" s="26">
        <f t="shared" si="191"/>
        <v>0</v>
      </c>
      <c r="JA53" s="26">
        <f t="shared" si="191"/>
        <v>0</v>
      </c>
      <c r="JB53" s="26">
        <f t="shared" si="191"/>
        <v>0</v>
      </c>
      <c r="JC53" s="26">
        <f t="shared" si="191"/>
        <v>0</v>
      </c>
      <c r="JD53" s="26">
        <f t="shared" si="191"/>
        <v>0</v>
      </c>
      <c r="JE53" s="26">
        <f t="shared" si="191"/>
        <v>0</v>
      </c>
      <c r="JF53" s="26">
        <f t="shared" si="191"/>
        <v>0</v>
      </c>
      <c r="JG53" s="26">
        <f t="shared" si="191"/>
        <v>0</v>
      </c>
      <c r="JH53" s="26">
        <f t="shared" si="191"/>
        <v>0</v>
      </c>
      <c r="JI53" s="26">
        <f t="shared" si="191"/>
        <v>0</v>
      </c>
      <c r="JJ53" s="26">
        <f t="shared" si="191"/>
        <v>0</v>
      </c>
      <c r="JK53" s="26">
        <f t="shared" si="191"/>
        <v>0</v>
      </c>
      <c r="JL53" s="26">
        <f t="shared" si="191"/>
        <v>0</v>
      </c>
      <c r="JM53" s="26">
        <f t="shared" si="191"/>
        <v>0</v>
      </c>
      <c r="JN53" s="26">
        <f t="shared" si="191"/>
        <v>0</v>
      </c>
      <c r="JO53" s="26">
        <f t="shared" si="191"/>
        <v>0</v>
      </c>
      <c r="JP53" s="26">
        <f t="shared" si="191"/>
        <v>0</v>
      </c>
      <c r="JQ53" s="26">
        <f t="shared" si="191"/>
        <v>0</v>
      </c>
      <c r="JR53" s="26">
        <f t="shared" si="191"/>
        <v>0</v>
      </c>
      <c r="JS53" s="26">
        <f t="shared" si="191"/>
        <v>0</v>
      </c>
      <c r="JT53" s="26">
        <f t="shared" si="191"/>
        <v>0</v>
      </c>
      <c r="JU53" s="26">
        <f>SUM(EK52:EK54)</f>
        <v>0</v>
      </c>
      <c r="JV53" s="26">
        <f>SUM(EL52:EL54)</f>
        <v>0</v>
      </c>
      <c r="JW53" s="26">
        <f>SUM(EM52:EM54)</f>
        <v>0</v>
      </c>
      <c r="JX53" s="26">
        <f>SUM(EN52:EN54)</f>
        <v>0</v>
      </c>
      <c r="JY53"/>
      <c r="JZ53" s="220"/>
      <c r="KA53" s="201"/>
      <c r="KB53" s="20"/>
      <c r="KC53" s="20"/>
      <c r="KD53" s="20"/>
      <c r="KE53" s="81"/>
      <c r="KF53" s="81"/>
      <c r="KG53" s="81"/>
      <c r="KH53" s="81"/>
      <c r="KI53" s="81"/>
      <c r="KJ53" s="81"/>
      <c r="KK53" s="81"/>
      <c r="KL53" s="81"/>
      <c r="KM53" s="81"/>
      <c r="KN53" s="81"/>
      <c r="KO53" s="81"/>
      <c r="KP53" s="81"/>
      <c r="KQ53" s="81"/>
      <c r="KR53" s="81"/>
      <c r="KS53" s="81"/>
      <c r="KT53" s="81"/>
      <c r="KU53" s="81"/>
      <c r="KV53" s="81"/>
      <c r="KW53" s="81"/>
      <c r="KX53" s="81"/>
      <c r="KY53" s="81"/>
      <c r="KZ53" s="81"/>
      <c r="LA53" s="81"/>
      <c r="LB53" s="81"/>
      <c r="LC53" s="81"/>
      <c r="LD53" s="81"/>
      <c r="LE53" s="81"/>
      <c r="LF53" s="81"/>
      <c r="LG53" s="81"/>
      <c r="LH53" s="81"/>
      <c r="LI53" s="81"/>
      <c r="LJ53" s="81"/>
      <c r="LK53" s="81"/>
      <c r="LL53" s="81"/>
      <c r="LM53" s="81"/>
      <c r="LN53" s="81"/>
      <c r="LO53" s="81"/>
      <c r="LP53" s="81"/>
      <c r="LQ53" s="81"/>
      <c r="LR53" s="81"/>
      <c r="LS53" s="81"/>
      <c r="LT53" s="81"/>
      <c r="LU53" s="81"/>
      <c r="LV53" s="81"/>
      <c r="LW53" s="81"/>
      <c r="LX53" s="81"/>
      <c r="LY53" s="81"/>
      <c r="LZ53" s="81"/>
      <c r="MA53" s="81"/>
      <c r="MB53" s="81"/>
      <c r="MC53" s="81"/>
      <c r="MD53" s="81"/>
      <c r="ME53" s="81"/>
      <c r="MF53" s="81"/>
      <c r="MG53" s="81"/>
      <c r="MH53" s="81"/>
      <c r="MI53" s="81"/>
      <c r="MJ53" s="81"/>
      <c r="MK53" s="81"/>
      <c r="ML53" s="81"/>
      <c r="MM53" s="81"/>
      <c r="MN53" s="81"/>
      <c r="MO53" s="81"/>
      <c r="MP53" s="81"/>
      <c r="MQ53" s="81"/>
      <c r="MR53" s="81"/>
      <c r="MS53" s="81"/>
      <c r="MT53" s="81"/>
      <c r="MU53" s="81"/>
      <c r="MV53" s="81"/>
      <c r="MW53" s="81"/>
      <c r="MX53" s="81"/>
      <c r="MY53" s="81"/>
      <c r="MZ53" s="81"/>
      <c r="NA53" s="81"/>
      <c r="NB53" s="81"/>
      <c r="NC53" s="81"/>
      <c r="ND53" s="81"/>
      <c r="NE53" s="81"/>
      <c r="NF53" s="81"/>
      <c r="NG53" s="81"/>
      <c r="NH53" s="81"/>
      <c r="NI53" s="81"/>
      <c r="NJ53" s="81"/>
      <c r="NK53" s="81"/>
      <c r="NL53" s="81"/>
      <c r="NM53" s="81"/>
      <c r="NN53" s="81"/>
      <c r="NO53" s="81"/>
      <c r="NP53" s="81"/>
      <c r="NQ53" s="81"/>
      <c r="NR53" s="81"/>
      <c r="NS53" s="81"/>
      <c r="NT53" s="81"/>
      <c r="NU53" s="81"/>
      <c r="NV53" s="81"/>
      <c r="NW53" s="81"/>
      <c r="NX53" s="81"/>
      <c r="NY53" s="81"/>
      <c r="NZ53" s="81"/>
      <c r="OA53" s="81"/>
      <c r="OB53" s="81"/>
      <c r="OC53" s="81"/>
      <c r="OD53" s="81"/>
      <c r="OE53" s="81"/>
      <c r="OF53" s="81"/>
      <c r="OG53" s="81"/>
      <c r="OH53" s="81"/>
      <c r="OI53" s="81"/>
      <c r="OJ53" s="81"/>
      <c r="OK53" s="81"/>
      <c r="OL53" s="81"/>
      <c r="OM53" s="81"/>
      <c r="ON53" s="81"/>
      <c r="OO53" s="81"/>
      <c r="OP53" s="81"/>
      <c r="OQ53" s="81"/>
      <c r="OR53" s="81"/>
      <c r="OS53" s="81"/>
      <c r="OT53" s="81"/>
      <c r="OU53" s="81"/>
      <c r="OV53" s="81"/>
      <c r="OW53" s="81"/>
      <c r="OX53" s="81"/>
      <c r="OY53" s="81"/>
      <c r="OZ53" s="81"/>
      <c r="PA53" s="81"/>
      <c r="PB53" s="81"/>
      <c r="PC53" s="81"/>
      <c r="PD53" s="81"/>
      <c r="PE53" s="81"/>
      <c r="PF53" s="81"/>
      <c r="PG53" s="81"/>
      <c r="PH53" s="81"/>
    </row>
    <row r="54" spans="1:424" x14ac:dyDescent="0.35">
      <c r="A54"/>
      <c r="B54" s="427" t="s">
        <v>163</v>
      </c>
      <c r="C54" s="400">
        <f>I54/Units_SF_M2</f>
        <v>0</v>
      </c>
      <c r="D54" s="45"/>
      <c r="E54" s="400"/>
      <c r="F54" s="400"/>
      <c r="G54" s="139"/>
      <c r="H54" s="434"/>
      <c r="I54" s="435">
        <v>0</v>
      </c>
      <c r="J54"/>
      <c r="K54" s="22" t="str">
        <f>IF(ROUND(SUM(L54:EN54),0)=ROUND(I54,0),"","Incomplete")</f>
        <v/>
      </c>
      <c r="L54" s="436">
        <f t="shared" si="173"/>
        <v>0</v>
      </c>
      <c r="M54" s="436">
        <f t="shared" si="173"/>
        <v>0</v>
      </c>
      <c r="N54" s="436">
        <f t="shared" si="173"/>
        <v>0</v>
      </c>
      <c r="O54" s="436">
        <f t="shared" si="173"/>
        <v>0</v>
      </c>
      <c r="P54" s="436">
        <f t="shared" si="173"/>
        <v>0</v>
      </c>
      <c r="Q54" s="436">
        <f t="shared" si="173"/>
        <v>0</v>
      </c>
      <c r="R54" s="436">
        <f t="shared" si="173"/>
        <v>0</v>
      </c>
      <c r="S54" s="436">
        <f t="shared" si="173"/>
        <v>0</v>
      </c>
      <c r="T54" s="436">
        <f t="shared" si="173"/>
        <v>0</v>
      </c>
      <c r="U54" s="436">
        <f t="shared" si="173"/>
        <v>0</v>
      </c>
      <c r="V54" s="436">
        <f t="shared" si="174"/>
        <v>0</v>
      </c>
      <c r="W54" s="436">
        <f t="shared" si="174"/>
        <v>0</v>
      </c>
      <c r="X54" s="436">
        <f t="shared" si="174"/>
        <v>0</v>
      </c>
      <c r="Y54" s="436">
        <f t="shared" si="174"/>
        <v>0</v>
      </c>
      <c r="Z54" s="436">
        <f t="shared" si="174"/>
        <v>0</v>
      </c>
      <c r="AA54" s="436">
        <f t="shared" si="174"/>
        <v>0</v>
      </c>
      <c r="AB54" s="436">
        <f t="shared" si="174"/>
        <v>0</v>
      </c>
      <c r="AC54" s="436">
        <f t="shared" si="174"/>
        <v>0</v>
      </c>
      <c r="AD54" s="436">
        <f t="shared" si="174"/>
        <v>0</v>
      </c>
      <c r="AE54" s="436">
        <f t="shared" si="174"/>
        <v>0</v>
      </c>
      <c r="AF54" s="436">
        <f t="shared" si="175"/>
        <v>0</v>
      </c>
      <c r="AG54" s="436">
        <f t="shared" si="175"/>
        <v>0</v>
      </c>
      <c r="AH54" s="436">
        <f t="shared" si="175"/>
        <v>0</v>
      </c>
      <c r="AI54" s="436">
        <f t="shared" si="175"/>
        <v>0</v>
      </c>
      <c r="AJ54" s="436">
        <f t="shared" si="175"/>
        <v>0</v>
      </c>
      <c r="AK54" s="436">
        <f t="shared" si="175"/>
        <v>0</v>
      </c>
      <c r="AL54" s="436">
        <f t="shared" si="175"/>
        <v>0</v>
      </c>
      <c r="AM54" s="436">
        <f t="shared" si="175"/>
        <v>0</v>
      </c>
      <c r="AN54" s="436">
        <f t="shared" si="175"/>
        <v>0</v>
      </c>
      <c r="AO54" s="436">
        <f t="shared" si="175"/>
        <v>0</v>
      </c>
      <c r="AP54" s="436">
        <f t="shared" si="176"/>
        <v>0</v>
      </c>
      <c r="AQ54" s="436">
        <f t="shared" si="176"/>
        <v>0</v>
      </c>
      <c r="AR54" s="436">
        <f t="shared" si="176"/>
        <v>0</v>
      </c>
      <c r="AS54" s="436">
        <f t="shared" si="176"/>
        <v>0</v>
      </c>
      <c r="AT54" s="436">
        <f t="shared" si="176"/>
        <v>0</v>
      </c>
      <c r="AU54" s="436">
        <f t="shared" si="176"/>
        <v>0</v>
      </c>
      <c r="AV54" s="436">
        <f t="shared" si="176"/>
        <v>0</v>
      </c>
      <c r="AW54" s="436">
        <f t="shared" si="176"/>
        <v>0</v>
      </c>
      <c r="AX54" s="436">
        <f t="shared" si="176"/>
        <v>0</v>
      </c>
      <c r="AY54" s="436">
        <f t="shared" si="176"/>
        <v>0</v>
      </c>
      <c r="AZ54" s="436">
        <f t="shared" si="177"/>
        <v>0</v>
      </c>
      <c r="BA54" s="436">
        <f t="shared" si="177"/>
        <v>0</v>
      </c>
      <c r="BB54" s="436">
        <f t="shared" si="177"/>
        <v>0</v>
      </c>
      <c r="BC54" s="436">
        <f t="shared" si="177"/>
        <v>0</v>
      </c>
      <c r="BD54" s="436">
        <f t="shared" si="177"/>
        <v>0</v>
      </c>
      <c r="BE54" s="436">
        <f t="shared" si="177"/>
        <v>0</v>
      </c>
      <c r="BF54" s="436">
        <f t="shared" si="177"/>
        <v>0</v>
      </c>
      <c r="BG54" s="436">
        <f t="shared" si="177"/>
        <v>0</v>
      </c>
      <c r="BH54" s="436">
        <f t="shared" si="177"/>
        <v>0</v>
      </c>
      <c r="BI54" s="436">
        <f t="shared" si="177"/>
        <v>0</v>
      </c>
      <c r="BJ54" s="436">
        <f t="shared" si="178"/>
        <v>0</v>
      </c>
      <c r="BK54" s="436">
        <f t="shared" si="178"/>
        <v>0</v>
      </c>
      <c r="BL54" s="436">
        <f t="shared" si="178"/>
        <v>0</v>
      </c>
      <c r="BM54" s="436">
        <f t="shared" si="178"/>
        <v>0</v>
      </c>
      <c r="BN54" s="436">
        <f t="shared" si="178"/>
        <v>0</v>
      </c>
      <c r="BO54" s="436">
        <f t="shared" si="178"/>
        <v>0</v>
      </c>
      <c r="BP54" s="436">
        <f t="shared" si="178"/>
        <v>0</v>
      </c>
      <c r="BQ54" s="436">
        <f t="shared" si="178"/>
        <v>0</v>
      </c>
      <c r="BR54" s="436">
        <f t="shared" si="178"/>
        <v>0</v>
      </c>
      <c r="BS54" s="436">
        <f t="shared" si="178"/>
        <v>0</v>
      </c>
      <c r="BT54" s="436">
        <f t="shared" si="179"/>
        <v>0</v>
      </c>
      <c r="BU54" s="436">
        <f t="shared" si="179"/>
        <v>0</v>
      </c>
      <c r="BV54" s="436">
        <f t="shared" si="179"/>
        <v>0</v>
      </c>
      <c r="BW54" s="436">
        <f t="shared" si="179"/>
        <v>0</v>
      </c>
      <c r="BX54" s="436">
        <f t="shared" si="179"/>
        <v>0</v>
      </c>
      <c r="BY54" s="436">
        <f t="shared" si="179"/>
        <v>0</v>
      </c>
      <c r="BZ54" s="436">
        <f t="shared" si="179"/>
        <v>0</v>
      </c>
      <c r="CA54" s="436">
        <f t="shared" si="179"/>
        <v>0</v>
      </c>
      <c r="CB54" s="436">
        <f t="shared" si="179"/>
        <v>0</v>
      </c>
      <c r="CC54" s="436">
        <f t="shared" si="179"/>
        <v>0</v>
      </c>
      <c r="CD54" s="436">
        <f t="shared" si="180"/>
        <v>0</v>
      </c>
      <c r="CE54" s="436">
        <f t="shared" si="180"/>
        <v>0</v>
      </c>
      <c r="CF54" s="436">
        <f t="shared" si="180"/>
        <v>0</v>
      </c>
      <c r="CG54" s="436">
        <f t="shared" si="180"/>
        <v>0</v>
      </c>
      <c r="CH54" s="436">
        <f t="shared" si="180"/>
        <v>0</v>
      </c>
      <c r="CI54" s="436">
        <f t="shared" si="180"/>
        <v>0</v>
      </c>
      <c r="CJ54" s="436">
        <f t="shared" si="180"/>
        <v>0</v>
      </c>
      <c r="CK54" s="436">
        <f t="shared" si="180"/>
        <v>0</v>
      </c>
      <c r="CL54" s="436">
        <f t="shared" si="180"/>
        <v>0</v>
      </c>
      <c r="CM54" s="436">
        <f t="shared" si="180"/>
        <v>0</v>
      </c>
      <c r="CN54" s="436">
        <f t="shared" si="181"/>
        <v>0</v>
      </c>
      <c r="CO54" s="436">
        <f t="shared" si="181"/>
        <v>0</v>
      </c>
      <c r="CP54" s="436">
        <f t="shared" si="181"/>
        <v>0</v>
      </c>
      <c r="CQ54" s="436">
        <f t="shared" si="181"/>
        <v>0</v>
      </c>
      <c r="CR54" s="436">
        <f t="shared" si="181"/>
        <v>0</v>
      </c>
      <c r="CS54" s="436">
        <f t="shared" si="181"/>
        <v>0</v>
      </c>
      <c r="CT54" s="436">
        <f t="shared" si="181"/>
        <v>0</v>
      </c>
      <c r="CU54" s="436">
        <f t="shared" si="181"/>
        <v>0</v>
      </c>
      <c r="CV54" s="436">
        <f t="shared" si="181"/>
        <v>0</v>
      </c>
      <c r="CW54" s="436">
        <f t="shared" si="181"/>
        <v>0</v>
      </c>
      <c r="CX54" s="436">
        <f t="shared" si="182"/>
        <v>0</v>
      </c>
      <c r="CY54" s="436">
        <f t="shared" si="182"/>
        <v>0</v>
      </c>
      <c r="CZ54" s="436">
        <f t="shared" si="182"/>
        <v>0</v>
      </c>
      <c r="DA54" s="436">
        <f t="shared" si="182"/>
        <v>0</v>
      </c>
      <c r="DB54" s="436">
        <f t="shared" si="182"/>
        <v>0</v>
      </c>
      <c r="DC54" s="436">
        <f t="shared" si="182"/>
        <v>0</v>
      </c>
      <c r="DD54" s="436">
        <f t="shared" si="182"/>
        <v>0</v>
      </c>
      <c r="DE54" s="436">
        <f t="shared" si="182"/>
        <v>0</v>
      </c>
      <c r="DF54" s="436">
        <f t="shared" si="182"/>
        <v>0</v>
      </c>
      <c r="DG54" s="436">
        <f t="shared" si="182"/>
        <v>0</v>
      </c>
      <c r="DH54" s="436">
        <f t="shared" si="183"/>
        <v>0</v>
      </c>
      <c r="DI54" s="436">
        <f t="shared" si="183"/>
        <v>0</v>
      </c>
      <c r="DJ54" s="436">
        <f t="shared" si="183"/>
        <v>0</v>
      </c>
      <c r="DK54" s="436">
        <f t="shared" si="183"/>
        <v>0</v>
      </c>
      <c r="DL54" s="436">
        <f t="shared" si="183"/>
        <v>0</v>
      </c>
      <c r="DM54" s="436">
        <f t="shared" si="183"/>
        <v>0</v>
      </c>
      <c r="DN54" s="436">
        <f t="shared" si="183"/>
        <v>0</v>
      </c>
      <c r="DO54" s="436">
        <f t="shared" si="183"/>
        <v>0</v>
      </c>
      <c r="DP54" s="436">
        <f t="shared" si="183"/>
        <v>0</v>
      </c>
      <c r="DQ54" s="436">
        <f t="shared" si="183"/>
        <v>0</v>
      </c>
      <c r="DR54" s="436">
        <f t="shared" si="184"/>
        <v>0</v>
      </c>
      <c r="DS54" s="436">
        <f t="shared" si="184"/>
        <v>0</v>
      </c>
      <c r="DT54" s="436">
        <f t="shared" si="184"/>
        <v>0</v>
      </c>
      <c r="DU54" s="436">
        <f t="shared" si="184"/>
        <v>0</v>
      </c>
      <c r="DV54" s="436">
        <f t="shared" si="184"/>
        <v>0</v>
      </c>
      <c r="DW54" s="436">
        <f t="shared" si="184"/>
        <v>0</v>
      </c>
      <c r="DX54" s="436">
        <f t="shared" si="184"/>
        <v>0</v>
      </c>
      <c r="DY54" s="436">
        <f t="shared" si="184"/>
        <v>0</v>
      </c>
      <c r="DZ54" s="436">
        <f t="shared" si="184"/>
        <v>0</v>
      </c>
      <c r="EA54" s="436">
        <f t="shared" si="184"/>
        <v>0</v>
      </c>
      <c r="EB54" s="436">
        <f t="shared" si="185"/>
        <v>0</v>
      </c>
      <c r="EC54" s="436">
        <f t="shared" si="185"/>
        <v>0</v>
      </c>
      <c r="ED54" s="436">
        <f t="shared" si="185"/>
        <v>0</v>
      </c>
      <c r="EE54" s="436">
        <f t="shared" si="185"/>
        <v>0</v>
      </c>
      <c r="EF54" s="436">
        <f t="shared" si="185"/>
        <v>0</v>
      </c>
      <c r="EG54" s="436">
        <f t="shared" si="185"/>
        <v>0</v>
      </c>
      <c r="EH54" s="436">
        <f t="shared" si="185"/>
        <v>0</v>
      </c>
      <c r="EI54" s="436">
        <f t="shared" si="185"/>
        <v>0</v>
      </c>
      <c r="EJ54" s="436">
        <f t="shared" si="185"/>
        <v>0</v>
      </c>
      <c r="EK54" s="436">
        <f t="shared" si="185"/>
        <v>0</v>
      </c>
      <c r="EL54" s="436">
        <f t="shared" si="185"/>
        <v>0</v>
      </c>
      <c r="EM54" s="436">
        <f t="shared" si="185"/>
        <v>0</v>
      </c>
      <c r="EN54" s="436">
        <f t="shared" si="185"/>
        <v>0</v>
      </c>
      <c r="EO54"/>
      <c r="EP54" s="219">
        <f>B57</f>
        <v>0</v>
      </c>
      <c r="EQ54" s="18"/>
      <c r="ER54" s="18"/>
      <c r="ES54" s="18"/>
      <c r="ET54" s="18"/>
      <c r="EU54" s="20">
        <f>SUM(EV54:JX54)</f>
        <v>448856635.1614815</v>
      </c>
      <c r="EV54" s="20">
        <f t="shared" ref="EV54:GA54" si="192">L57</f>
        <v>93017714.091035873</v>
      </c>
      <c r="EW54" s="20">
        <f t="shared" si="192"/>
        <v>882028.36212584306</v>
      </c>
      <c r="EX54" s="20">
        <f t="shared" si="192"/>
        <v>1153238.7592138182</v>
      </c>
      <c r="EY54" s="20">
        <f t="shared" si="192"/>
        <v>1540571.8400115801</v>
      </c>
      <c r="EZ54" s="20">
        <f t="shared" si="192"/>
        <v>2077208.6703043352</v>
      </c>
      <c r="FA54" s="20">
        <f t="shared" si="192"/>
        <v>2798042.1575110573</v>
      </c>
      <c r="FB54" s="20">
        <f t="shared" si="192"/>
        <v>3736098.8558910517</v>
      </c>
      <c r="FC54" s="20">
        <f t="shared" si="192"/>
        <v>4917681.2983414307</v>
      </c>
      <c r="FD54" s="20">
        <f t="shared" si="192"/>
        <v>6356585.443407244</v>
      </c>
      <c r="FE54" s="20">
        <f t="shared" si="192"/>
        <v>8048084.8374454733</v>
      </c>
      <c r="FF54" s="20">
        <f t="shared" si="192"/>
        <v>9963673.1491933651</v>
      </c>
      <c r="FG54" s="20">
        <f t="shared" si="192"/>
        <v>12047726.791351493</v>
      </c>
      <c r="FH54" s="20">
        <f t="shared" si="192"/>
        <v>14217202.323856961</v>
      </c>
      <c r="FI54" s="20">
        <f t="shared" si="192"/>
        <v>16365167.698586643</v>
      </c>
      <c r="FJ54" s="20">
        <f t="shared" si="192"/>
        <v>18368392.667920161</v>
      </c>
      <c r="FK54" s="20">
        <f t="shared" si="192"/>
        <v>20098477.243874725</v>
      </c>
      <c r="FL54" s="20">
        <f t="shared" si="192"/>
        <v>21435229.253932979</v>
      </c>
      <c r="FM54" s="20">
        <f t="shared" si="192"/>
        <v>22280397.403045714</v>
      </c>
      <c r="FN54" s="20">
        <f t="shared" si="192"/>
        <v>22569593.467381995</v>
      </c>
      <c r="FO54" s="20">
        <f t="shared" si="192"/>
        <v>22280397.403045733</v>
      </c>
      <c r="FP54" s="20">
        <f t="shared" si="192"/>
        <v>21435229.253932942</v>
      </c>
      <c r="FQ54" s="20">
        <f t="shared" si="192"/>
        <v>20098477.243874762</v>
      </c>
      <c r="FR54" s="20">
        <f t="shared" si="192"/>
        <v>18368392.667920135</v>
      </c>
      <c r="FS54" s="20">
        <f t="shared" si="192"/>
        <v>16365167.698586643</v>
      </c>
      <c r="FT54" s="20">
        <f t="shared" si="192"/>
        <v>14217202.323856987</v>
      </c>
      <c r="FU54" s="20">
        <f t="shared" si="192"/>
        <v>12047726.791351464</v>
      </c>
      <c r="FV54" s="20">
        <f t="shared" si="192"/>
        <v>9963673.1491933651</v>
      </c>
      <c r="FW54" s="20">
        <f t="shared" si="192"/>
        <v>8048084.8374454975</v>
      </c>
      <c r="FX54" s="20">
        <f t="shared" si="192"/>
        <v>6356585.4434072273</v>
      </c>
      <c r="FY54" s="20">
        <f t="shared" si="192"/>
        <v>4917681.2983414317</v>
      </c>
      <c r="FZ54" s="20">
        <f t="shared" si="192"/>
        <v>3736098.8558910657</v>
      </c>
      <c r="GA54" s="20">
        <f t="shared" si="192"/>
        <v>2798042.157511042</v>
      </c>
      <c r="GB54" s="20">
        <f t="shared" ref="GB54:HG54" si="193">AR57</f>
        <v>2077208.670304341</v>
      </c>
      <c r="GC54" s="20">
        <f t="shared" si="193"/>
        <v>1540571.8400115611</v>
      </c>
      <c r="GD54" s="20">
        <f t="shared" si="193"/>
        <v>1153238.7592138406</v>
      </c>
      <c r="GE54" s="20">
        <f t="shared" si="193"/>
        <v>882028.36212582723</v>
      </c>
      <c r="GF54" s="20">
        <f t="shared" si="193"/>
        <v>697714.0910358784</v>
      </c>
      <c r="GG54" s="20">
        <f t="shared" si="193"/>
        <v>0</v>
      </c>
      <c r="GH54" s="20">
        <f t="shared" si="193"/>
        <v>0</v>
      </c>
      <c r="GI54" s="20">
        <f t="shared" si="193"/>
        <v>0</v>
      </c>
      <c r="GJ54" s="20">
        <f t="shared" si="193"/>
        <v>0</v>
      </c>
      <c r="GK54" s="20">
        <f t="shared" si="193"/>
        <v>0</v>
      </c>
      <c r="GL54" s="20">
        <f t="shared" si="193"/>
        <v>0</v>
      </c>
      <c r="GM54" s="20">
        <f t="shared" si="193"/>
        <v>0</v>
      </c>
      <c r="GN54" s="20">
        <f t="shared" si="193"/>
        <v>0</v>
      </c>
      <c r="GO54" s="20">
        <f t="shared" si="193"/>
        <v>0</v>
      </c>
      <c r="GP54" s="20">
        <f t="shared" si="193"/>
        <v>0</v>
      </c>
      <c r="GQ54" s="20">
        <f t="shared" si="193"/>
        <v>0</v>
      </c>
      <c r="GR54" s="20">
        <f t="shared" si="193"/>
        <v>0</v>
      </c>
      <c r="GS54" s="20">
        <f t="shared" si="193"/>
        <v>0</v>
      </c>
      <c r="GT54" s="20">
        <f t="shared" si="193"/>
        <v>0</v>
      </c>
      <c r="GU54" s="20">
        <f t="shared" si="193"/>
        <v>0</v>
      </c>
      <c r="GV54" s="20">
        <f t="shared" si="193"/>
        <v>0</v>
      </c>
      <c r="GW54" s="20">
        <f t="shared" si="193"/>
        <v>0</v>
      </c>
      <c r="GX54" s="20">
        <f t="shared" si="193"/>
        <v>0</v>
      </c>
      <c r="GY54" s="20">
        <f t="shared" si="193"/>
        <v>0</v>
      </c>
      <c r="GZ54" s="20">
        <f t="shared" si="193"/>
        <v>0</v>
      </c>
      <c r="HA54" s="20">
        <f t="shared" si="193"/>
        <v>0</v>
      </c>
      <c r="HB54" s="20">
        <f t="shared" si="193"/>
        <v>0</v>
      </c>
      <c r="HC54" s="20">
        <f t="shared" si="193"/>
        <v>0</v>
      </c>
      <c r="HD54" s="20">
        <f t="shared" si="193"/>
        <v>0</v>
      </c>
      <c r="HE54" s="20">
        <f t="shared" si="193"/>
        <v>0</v>
      </c>
      <c r="HF54" s="20">
        <f t="shared" si="193"/>
        <v>0</v>
      </c>
      <c r="HG54" s="20">
        <f t="shared" si="193"/>
        <v>0</v>
      </c>
      <c r="HH54" s="20">
        <f t="shared" ref="HH54:IM54" si="194">BX57</f>
        <v>0</v>
      </c>
      <c r="HI54" s="20">
        <f t="shared" si="194"/>
        <v>0</v>
      </c>
      <c r="HJ54" s="20">
        <f t="shared" si="194"/>
        <v>0</v>
      </c>
      <c r="HK54" s="20">
        <f t="shared" si="194"/>
        <v>0</v>
      </c>
      <c r="HL54" s="20">
        <f t="shared" si="194"/>
        <v>0</v>
      </c>
      <c r="HM54" s="20">
        <f t="shared" si="194"/>
        <v>0</v>
      </c>
      <c r="HN54" s="20">
        <f t="shared" si="194"/>
        <v>0</v>
      </c>
      <c r="HO54" s="20">
        <f t="shared" si="194"/>
        <v>0</v>
      </c>
      <c r="HP54" s="20">
        <f t="shared" si="194"/>
        <v>0</v>
      </c>
      <c r="HQ54" s="20">
        <f t="shared" si="194"/>
        <v>0</v>
      </c>
      <c r="HR54" s="20">
        <f t="shared" si="194"/>
        <v>0</v>
      </c>
      <c r="HS54" s="20">
        <f t="shared" si="194"/>
        <v>0</v>
      </c>
      <c r="HT54" s="20">
        <f t="shared" si="194"/>
        <v>0</v>
      </c>
      <c r="HU54" s="20">
        <f t="shared" si="194"/>
        <v>0</v>
      </c>
      <c r="HV54" s="20">
        <f t="shared" si="194"/>
        <v>0</v>
      </c>
      <c r="HW54" s="20">
        <f t="shared" si="194"/>
        <v>0</v>
      </c>
      <c r="HX54" s="20">
        <f t="shared" si="194"/>
        <v>0</v>
      </c>
      <c r="HY54" s="20">
        <f t="shared" si="194"/>
        <v>0</v>
      </c>
      <c r="HZ54" s="20">
        <f t="shared" si="194"/>
        <v>0</v>
      </c>
      <c r="IA54" s="20">
        <f t="shared" si="194"/>
        <v>0</v>
      </c>
      <c r="IB54" s="20">
        <f t="shared" si="194"/>
        <v>0</v>
      </c>
      <c r="IC54" s="20">
        <f t="shared" si="194"/>
        <v>0</v>
      </c>
      <c r="ID54" s="20">
        <f t="shared" si="194"/>
        <v>0</v>
      </c>
      <c r="IE54" s="20">
        <f t="shared" si="194"/>
        <v>0</v>
      </c>
      <c r="IF54" s="20">
        <f t="shared" si="194"/>
        <v>0</v>
      </c>
      <c r="IG54" s="20">
        <f t="shared" si="194"/>
        <v>0</v>
      </c>
      <c r="IH54" s="20">
        <f t="shared" si="194"/>
        <v>0</v>
      </c>
      <c r="II54" s="20">
        <f t="shared" si="194"/>
        <v>0</v>
      </c>
      <c r="IJ54" s="20">
        <f t="shared" si="194"/>
        <v>0</v>
      </c>
      <c r="IK54" s="20">
        <f t="shared" si="194"/>
        <v>0</v>
      </c>
      <c r="IL54" s="20">
        <f t="shared" si="194"/>
        <v>0</v>
      </c>
      <c r="IM54" s="20">
        <f t="shared" si="194"/>
        <v>0</v>
      </c>
      <c r="IN54" s="20">
        <f t="shared" ref="IN54:JS54" si="195">DD57</f>
        <v>0</v>
      </c>
      <c r="IO54" s="20">
        <f t="shared" si="195"/>
        <v>0</v>
      </c>
      <c r="IP54" s="20">
        <f t="shared" si="195"/>
        <v>0</v>
      </c>
      <c r="IQ54" s="20">
        <f t="shared" si="195"/>
        <v>0</v>
      </c>
      <c r="IR54" s="20">
        <f t="shared" si="195"/>
        <v>0</v>
      </c>
      <c r="IS54" s="20">
        <f t="shared" si="195"/>
        <v>0</v>
      </c>
      <c r="IT54" s="20">
        <f t="shared" si="195"/>
        <v>0</v>
      </c>
      <c r="IU54" s="20">
        <f t="shared" si="195"/>
        <v>0</v>
      </c>
      <c r="IV54" s="20">
        <f t="shared" si="195"/>
        <v>0</v>
      </c>
      <c r="IW54" s="20">
        <f t="shared" si="195"/>
        <v>0</v>
      </c>
      <c r="IX54" s="20">
        <f t="shared" si="195"/>
        <v>0</v>
      </c>
      <c r="IY54" s="20">
        <f t="shared" si="195"/>
        <v>0</v>
      </c>
      <c r="IZ54" s="20">
        <f t="shared" si="195"/>
        <v>0</v>
      </c>
      <c r="JA54" s="20">
        <f t="shared" si="195"/>
        <v>0</v>
      </c>
      <c r="JB54" s="20">
        <f t="shared" si="195"/>
        <v>0</v>
      </c>
      <c r="JC54" s="20">
        <f t="shared" si="195"/>
        <v>0</v>
      </c>
      <c r="JD54" s="20">
        <f t="shared" si="195"/>
        <v>0</v>
      </c>
      <c r="JE54" s="20">
        <f t="shared" si="195"/>
        <v>0</v>
      </c>
      <c r="JF54" s="20">
        <f t="shared" si="195"/>
        <v>0</v>
      </c>
      <c r="JG54" s="20">
        <f t="shared" si="195"/>
        <v>0</v>
      </c>
      <c r="JH54" s="20">
        <f t="shared" si="195"/>
        <v>0</v>
      </c>
      <c r="JI54" s="20">
        <f t="shared" si="195"/>
        <v>0</v>
      </c>
      <c r="JJ54" s="20">
        <f t="shared" si="195"/>
        <v>0</v>
      </c>
      <c r="JK54" s="20">
        <f t="shared" si="195"/>
        <v>0</v>
      </c>
      <c r="JL54" s="20">
        <f t="shared" si="195"/>
        <v>0</v>
      </c>
      <c r="JM54" s="20">
        <f t="shared" si="195"/>
        <v>0</v>
      </c>
      <c r="JN54" s="20">
        <f t="shared" si="195"/>
        <v>0</v>
      </c>
      <c r="JO54" s="20">
        <f t="shared" si="195"/>
        <v>0</v>
      </c>
      <c r="JP54" s="20">
        <f t="shared" si="195"/>
        <v>0</v>
      </c>
      <c r="JQ54" s="20">
        <f t="shared" si="195"/>
        <v>0</v>
      </c>
      <c r="JR54" s="20">
        <f t="shared" si="195"/>
        <v>0</v>
      </c>
      <c r="JS54" s="20">
        <f t="shared" si="195"/>
        <v>0</v>
      </c>
      <c r="JT54" s="20">
        <f>EJ57</f>
        <v>0</v>
      </c>
      <c r="JU54" s="20">
        <f>EK57</f>
        <v>0</v>
      </c>
      <c r="JV54" s="20">
        <f>EL57</f>
        <v>0</v>
      </c>
      <c r="JW54" s="20">
        <f>EM57</f>
        <v>0</v>
      </c>
      <c r="JX54" s="20">
        <f>EN57</f>
        <v>0</v>
      </c>
      <c r="JY54"/>
      <c r="JZ54" s="220"/>
      <c r="KA54" s="201"/>
      <c r="KB54" s="20"/>
      <c r="KC54" s="20"/>
      <c r="KD54" s="20"/>
      <c r="KE54" s="81"/>
      <c r="KF54" s="81"/>
      <c r="KG54" s="81"/>
      <c r="KH54" s="81"/>
      <c r="KI54" s="81"/>
      <c r="KJ54" s="81"/>
      <c r="KK54" s="81"/>
      <c r="KL54" s="81"/>
      <c r="KM54" s="81"/>
      <c r="KN54" s="81"/>
      <c r="KO54" s="81"/>
      <c r="KP54" s="81"/>
      <c r="KQ54" s="81"/>
      <c r="KR54" s="81"/>
      <c r="KS54" s="81"/>
      <c r="KT54" s="81"/>
      <c r="KU54" s="81"/>
      <c r="KV54" s="81"/>
      <c r="KW54" s="81"/>
      <c r="KX54" s="81"/>
      <c r="KY54" s="81"/>
      <c r="KZ54" s="81"/>
      <c r="LA54" s="81"/>
      <c r="LB54" s="81"/>
      <c r="LC54" s="81"/>
      <c r="LD54" s="81"/>
      <c r="LE54" s="81"/>
      <c r="LF54" s="81"/>
      <c r="LG54" s="81"/>
      <c r="LH54" s="81"/>
      <c r="LI54" s="81"/>
      <c r="LJ54" s="81"/>
      <c r="LK54" s="81"/>
      <c r="LL54" s="81"/>
      <c r="LM54" s="81"/>
      <c r="LN54" s="81"/>
      <c r="LO54" s="81"/>
      <c r="LP54" s="81"/>
      <c r="LQ54" s="81"/>
      <c r="LR54" s="81"/>
      <c r="LS54" s="81"/>
      <c r="LT54" s="81"/>
      <c r="LU54" s="81"/>
      <c r="LV54" s="81"/>
      <c r="LW54" s="81"/>
      <c r="LX54" s="81"/>
      <c r="LY54" s="81"/>
      <c r="LZ54" s="81"/>
      <c r="MA54" s="81"/>
      <c r="MB54" s="81"/>
      <c r="MC54" s="81"/>
      <c r="MD54" s="81"/>
      <c r="ME54" s="81"/>
      <c r="MF54" s="81"/>
      <c r="MG54" s="81"/>
      <c r="MH54" s="81"/>
      <c r="MI54" s="81"/>
      <c r="MJ54" s="81"/>
      <c r="MK54" s="81"/>
      <c r="ML54" s="81"/>
      <c r="MM54" s="81"/>
      <c r="MN54" s="81"/>
      <c r="MO54" s="81"/>
      <c r="MP54" s="81"/>
      <c r="MQ54" s="81"/>
      <c r="MR54" s="81"/>
      <c r="MS54" s="81"/>
      <c r="MT54" s="81"/>
      <c r="MU54" s="81"/>
      <c r="MV54" s="81"/>
      <c r="MW54" s="81"/>
      <c r="MX54" s="81"/>
      <c r="MY54" s="81"/>
      <c r="MZ54" s="81"/>
      <c r="NA54" s="81"/>
      <c r="NB54" s="81"/>
      <c r="NC54" s="81"/>
      <c r="ND54" s="81"/>
      <c r="NE54" s="81"/>
      <c r="NF54" s="81"/>
      <c r="NG54" s="81"/>
      <c r="NH54" s="81"/>
      <c r="NI54" s="81"/>
      <c r="NJ54" s="81"/>
      <c r="NK54" s="81"/>
      <c r="NL54" s="81"/>
      <c r="NM54" s="81"/>
      <c r="NN54" s="81"/>
      <c r="NO54" s="81"/>
      <c r="NP54" s="81"/>
      <c r="NQ54" s="81"/>
      <c r="NR54" s="81"/>
      <c r="NS54" s="81"/>
      <c r="NT54" s="81"/>
      <c r="NU54" s="81"/>
      <c r="NV54" s="81"/>
      <c r="NW54" s="81"/>
      <c r="NX54" s="81"/>
      <c r="NY54" s="81"/>
      <c r="NZ54" s="81"/>
      <c r="OA54" s="81"/>
      <c r="OB54" s="81"/>
      <c r="OC54" s="81"/>
      <c r="OD54" s="81"/>
      <c r="OE54" s="81"/>
      <c r="OF54" s="81"/>
      <c r="OG54" s="81"/>
      <c r="OH54" s="81"/>
      <c r="OI54" s="81"/>
      <c r="OJ54" s="81"/>
      <c r="OK54" s="81"/>
      <c r="OL54" s="81"/>
      <c r="OM54" s="81"/>
      <c r="ON54" s="81"/>
      <c r="OO54" s="81"/>
      <c r="OP54" s="81"/>
      <c r="OQ54" s="81"/>
      <c r="OR54" s="81"/>
      <c r="OS54" s="81"/>
      <c r="OT54" s="81"/>
      <c r="OU54" s="81"/>
      <c r="OV54" s="81"/>
      <c r="OW54" s="81"/>
      <c r="OX54" s="81"/>
      <c r="OY54" s="81"/>
      <c r="OZ54" s="81"/>
      <c r="PA54" s="81"/>
      <c r="PB54" s="81"/>
      <c r="PC54" s="81"/>
      <c r="PD54" s="81"/>
      <c r="PE54" s="81"/>
      <c r="PF54" s="81"/>
      <c r="PG54" s="81"/>
      <c r="PH54" s="81"/>
    </row>
    <row r="55" spans="1:424" x14ac:dyDescent="0.35">
      <c r="A55"/>
      <c r="B55" s="423" t="s">
        <v>164</v>
      </c>
      <c r="C55" s="415">
        <f>SUM(H52:H54)</f>
        <v>0</v>
      </c>
      <c r="D55" s="46"/>
      <c r="E55" s="400"/>
      <c r="F55" s="400"/>
      <c r="G55" s="138"/>
      <c r="H55" s="430"/>
      <c r="I55" s="424">
        <f>SUM(I52:I54)</f>
        <v>0</v>
      </c>
      <c r="J55"/>
      <c r="K55" s="22" t="str">
        <f>IF(ROUND(SUM(L55:EN55),0)=ROUND(I55,0),"","Incomplete")</f>
        <v/>
      </c>
      <c r="L55" s="417">
        <f t="shared" ref="L55:AQ55" si="196">SUM(L52:L54)</f>
        <v>0</v>
      </c>
      <c r="M55" s="417">
        <f t="shared" si="196"/>
        <v>0</v>
      </c>
      <c r="N55" s="417">
        <f t="shared" si="196"/>
        <v>0</v>
      </c>
      <c r="O55" s="417">
        <f t="shared" si="196"/>
        <v>0</v>
      </c>
      <c r="P55" s="417">
        <f t="shared" si="196"/>
        <v>0</v>
      </c>
      <c r="Q55" s="417">
        <f t="shared" si="196"/>
        <v>0</v>
      </c>
      <c r="R55" s="417">
        <f t="shared" si="196"/>
        <v>0</v>
      </c>
      <c r="S55" s="417">
        <f t="shared" si="196"/>
        <v>0</v>
      </c>
      <c r="T55" s="417">
        <f t="shared" si="196"/>
        <v>0</v>
      </c>
      <c r="U55" s="417">
        <f t="shared" si="196"/>
        <v>0</v>
      </c>
      <c r="V55" s="417">
        <f t="shared" si="196"/>
        <v>0</v>
      </c>
      <c r="W55" s="417">
        <f t="shared" si="196"/>
        <v>0</v>
      </c>
      <c r="X55" s="417">
        <f t="shared" si="196"/>
        <v>0</v>
      </c>
      <c r="Y55" s="417">
        <f t="shared" si="196"/>
        <v>0</v>
      </c>
      <c r="Z55" s="417">
        <f t="shared" si="196"/>
        <v>0</v>
      </c>
      <c r="AA55" s="417">
        <f t="shared" si="196"/>
        <v>0</v>
      </c>
      <c r="AB55" s="417">
        <f t="shared" si="196"/>
        <v>0</v>
      </c>
      <c r="AC55" s="417">
        <f t="shared" si="196"/>
        <v>0</v>
      </c>
      <c r="AD55" s="417">
        <f t="shared" si="196"/>
        <v>0</v>
      </c>
      <c r="AE55" s="417">
        <f t="shared" si="196"/>
        <v>0</v>
      </c>
      <c r="AF55" s="417">
        <f t="shared" si="196"/>
        <v>0</v>
      </c>
      <c r="AG55" s="417">
        <f t="shared" si="196"/>
        <v>0</v>
      </c>
      <c r="AH55" s="417">
        <f t="shared" si="196"/>
        <v>0</v>
      </c>
      <c r="AI55" s="417">
        <f t="shared" si="196"/>
        <v>0</v>
      </c>
      <c r="AJ55" s="417">
        <f t="shared" si="196"/>
        <v>0</v>
      </c>
      <c r="AK55" s="417">
        <f t="shared" si="196"/>
        <v>0</v>
      </c>
      <c r="AL55" s="417">
        <f t="shared" si="196"/>
        <v>0</v>
      </c>
      <c r="AM55" s="417">
        <f t="shared" si="196"/>
        <v>0</v>
      </c>
      <c r="AN55" s="417">
        <f t="shared" si="196"/>
        <v>0</v>
      </c>
      <c r="AO55" s="417">
        <f t="shared" si="196"/>
        <v>0</v>
      </c>
      <c r="AP55" s="417">
        <f t="shared" si="196"/>
        <v>0</v>
      </c>
      <c r="AQ55" s="417">
        <f t="shared" si="196"/>
        <v>0</v>
      </c>
      <c r="AR55" s="417">
        <f t="shared" ref="AR55:BW55" si="197">SUM(AR52:AR54)</f>
        <v>0</v>
      </c>
      <c r="AS55" s="417">
        <f t="shared" si="197"/>
        <v>0</v>
      </c>
      <c r="AT55" s="417">
        <f t="shared" si="197"/>
        <v>0</v>
      </c>
      <c r="AU55" s="417">
        <f t="shared" si="197"/>
        <v>0</v>
      </c>
      <c r="AV55" s="417">
        <f t="shared" si="197"/>
        <v>0</v>
      </c>
      <c r="AW55" s="417">
        <f t="shared" si="197"/>
        <v>0</v>
      </c>
      <c r="AX55" s="417">
        <f t="shared" si="197"/>
        <v>0</v>
      </c>
      <c r="AY55" s="417">
        <f t="shared" si="197"/>
        <v>0</v>
      </c>
      <c r="AZ55" s="417">
        <f t="shared" si="197"/>
        <v>0</v>
      </c>
      <c r="BA55" s="417">
        <f t="shared" si="197"/>
        <v>0</v>
      </c>
      <c r="BB55" s="417">
        <f t="shared" si="197"/>
        <v>0</v>
      </c>
      <c r="BC55" s="417">
        <f t="shared" si="197"/>
        <v>0</v>
      </c>
      <c r="BD55" s="417">
        <f t="shared" si="197"/>
        <v>0</v>
      </c>
      <c r="BE55" s="417">
        <f t="shared" si="197"/>
        <v>0</v>
      </c>
      <c r="BF55" s="417">
        <f t="shared" si="197"/>
        <v>0</v>
      </c>
      <c r="BG55" s="417">
        <f t="shared" si="197"/>
        <v>0</v>
      </c>
      <c r="BH55" s="417">
        <f t="shared" si="197"/>
        <v>0</v>
      </c>
      <c r="BI55" s="417">
        <f t="shared" si="197"/>
        <v>0</v>
      </c>
      <c r="BJ55" s="417">
        <f t="shared" si="197"/>
        <v>0</v>
      </c>
      <c r="BK55" s="417">
        <f t="shared" si="197"/>
        <v>0</v>
      </c>
      <c r="BL55" s="417">
        <f t="shared" si="197"/>
        <v>0</v>
      </c>
      <c r="BM55" s="417">
        <f t="shared" si="197"/>
        <v>0</v>
      </c>
      <c r="BN55" s="417">
        <f t="shared" si="197"/>
        <v>0</v>
      </c>
      <c r="BO55" s="417">
        <f t="shared" si="197"/>
        <v>0</v>
      </c>
      <c r="BP55" s="417">
        <f t="shared" si="197"/>
        <v>0</v>
      </c>
      <c r="BQ55" s="417">
        <f t="shared" si="197"/>
        <v>0</v>
      </c>
      <c r="BR55" s="417">
        <f t="shared" si="197"/>
        <v>0</v>
      </c>
      <c r="BS55" s="417">
        <f t="shared" si="197"/>
        <v>0</v>
      </c>
      <c r="BT55" s="417">
        <f t="shared" si="197"/>
        <v>0</v>
      </c>
      <c r="BU55" s="417">
        <f t="shared" si="197"/>
        <v>0</v>
      </c>
      <c r="BV55" s="417">
        <f t="shared" si="197"/>
        <v>0</v>
      </c>
      <c r="BW55" s="417">
        <f t="shared" si="197"/>
        <v>0</v>
      </c>
      <c r="BX55" s="417">
        <f t="shared" ref="BX55:DC55" si="198">SUM(BX52:BX54)</f>
        <v>0</v>
      </c>
      <c r="BY55" s="417">
        <f t="shared" si="198"/>
        <v>0</v>
      </c>
      <c r="BZ55" s="417">
        <f t="shared" si="198"/>
        <v>0</v>
      </c>
      <c r="CA55" s="417">
        <f t="shared" si="198"/>
        <v>0</v>
      </c>
      <c r="CB55" s="417">
        <f t="shared" si="198"/>
        <v>0</v>
      </c>
      <c r="CC55" s="417">
        <f t="shared" si="198"/>
        <v>0</v>
      </c>
      <c r="CD55" s="417">
        <f t="shared" si="198"/>
        <v>0</v>
      </c>
      <c r="CE55" s="417">
        <f t="shared" si="198"/>
        <v>0</v>
      </c>
      <c r="CF55" s="417">
        <f t="shared" si="198"/>
        <v>0</v>
      </c>
      <c r="CG55" s="417">
        <f t="shared" si="198"/>
        <v>0</v>
      </c>
      <c r="CH55" s="417">
        <f t="shared" si="198"/>
        <v>0</v>
      </c>
      <c r="CI55" s="417">
        <f t="shared" si="198"/>
        <v>0</v>
      </c>
      <c r="CJ55" s="417">
        <f t="shared" si="198"/>
        <v>0</v>
      </c>
      <c r="CK55" s="417">
        <f t="shared" si="198"/>
        <v>0</v>
      </c>
      <c r="CL55" s="417">
        <f t="shared" si="198"/>
        <v>0</v>
      </c>
      <c r="CM55" s="417">
        <f t="shared" si="198"/>
        <v>0</v>
      </c>
      <c r="CN55" s="417">
        <f t="shared" si="198"/>
        <v>0</v>
      </c>
      <c r="CO55" s="417">
        <f t="shared" si="198"/>
        <v>0</v>
      </c>
      <c r="CP55" s="417">
        <f t="shared" si="198"/>
        <v>0</v>
      </c>
      <c r="CQ55" s="417">
        <f t="shared" si="198"/>
        <v>0</v>
      </c>
      <c r="CR55" s="417">
        <f t="shared" si="198"/>
        <v>0</v>
      </c>
      <c r="CS55" s="417">
        <f t="shared" si="198"/>
        <v>0</v>
      </c>
      <c r="CT55" s="417">
        <f t="shared" si="198"/>
        <v>0</v>
      </c>
      <c r="CU55" s="417">
        <f t="shared" si="198"/>
        <v>0</v>
      </c>
      <c r="CV55" s="417">
        <f t="shared" si="198"/>
        <v>0</v>
      </c>
      <c r="CW55" s="417">
        <f t="shared" si="198"/>
        <v>0</v>
      </c>
      <c r="CX55" s="417">
        <f t="shared" si="198"/>
        <v>0</v>
      </c>
      <c r="CY55" s="417">
        <f t="shared" si="198"/>
        <v>0</v>
      </c>
      <c r="CZ55" s="417">
        <f t="shared" si="198"/>
        <v>0</v>
      </c>
      <c r="DA55" s="417">
        <f t="shared" si="198"/>
        <v>0</v>
      </c>
      <c r="DB55" s="417">
        <f t="shared" si="198"/>
        <v>0</v>
      </c>
      <c r="DC55" s="417">
        <f t="shared" si="198"/>
        <v>0</v>
      </c>
      <c r="DD55" s="417">
        <f t="shared" ref="DD55:EI55" si="199">SUM(DD52:DD54)</f>
        <v>0</v>
      </c>
      <c r="DE55" s="417">
        <f t="shared" si="199"/>
        <v>0</v>
      </c>
      <c r="DF55" s="417">
        <f t="shared" si="199"/>
        <v>0</v>
      </c>
      <c r="DG55" s="417">
        <f t="shared" si="199"/>
        <v>0</v>
      </c>
      <c r="DH55" s="417">
        <f t="shared" si="199"/>
        <v>0</v>
      </c>
      <c r="DI55" s="417">
        <f t="shared" si="199"/>
        <v>0</v>
      </c>
      <c r="DJ55" s="417">
        <f t="shared" si="199"/>
        <v>0</v>
      </c>
      <c r="DK55" s="417">
        <f t="shared" si="199"/>
        <v>0</v>
      </c>
      <c r="DL55" s="417">
        <f t="shared" si="199"/>
        <v>0</v>
      </c>
      <c r="DM55" s="417">
        <f t="shared" si="199"/>
        <v>0</v>
      </c>
      <c r="DN55" s="417">
        <f t="shared" si="199"/>
        <v>0</v>
      </c>
      <c r="DO55" s="417">
        <f t="shared" si="199"/>
        <v>0</v>
      </c>
      <c r="DP55" s="417">
        <f t="shared" si="199"/>
        <v>0</v>
      </c>
      <c r="DQ55" s="417">
        <f t="shared" si="199"/>
        <v>0</v>
      </c>
      <c r="DR55" s="417">
        <f t="shared" si="199"/>
        <v>0</v>
      </c>
      <c r="DS55" s="417">
        <f t="shared" si="199"/>
        <v>0</v>
      </c>
      <c r="DT55" s="417">
        <f t="shared" si="199"/>
        <v>0</v>
      </c>
      <c r="DU55" s="417">
        <f t="shared" si="199"/>
        <v>0</v>
      </c>
      <c r="DV55" s="417">
        <f t="shared" si="199"/>
        <v>0</v>
      </c>
      <c r="DW55" s="417">
        <f t="shared" si="199"/>
        <v>0</v>
      </c>
      <c r="DX55" s="417">
        <f t="shared" si="199"/>
        <v>0</v>
      </c>
      <c r="DY55" s="417">
        <f t="shared" si="199"/>
        <v>0</v>
      </c>
      <c r="DZ55" s="417">
        <f t="shared" si="199"/>
        <v>0</v>
      </c>
      <c r="EA55" s="417">
        <f t="shared" si="199"/>
        <v>0</v>
      </c>
      <c r="EB55" s="417">
        <f t="shared" si="199"/>
        <v>0</v>
      </c>
      <c r="EC55" s="417">
        <f t="shared" si="199"/>
        <v>0</v>
      </c>
      <c r="ED55" s="417">
        <f t="shared" si="199"/>
        <v>0</v>
      </c>
      <c r="EE55" s="417">
        <f t="shared" si="199"/>
        <v>0</v>
      </c>
      <c r="EF55" s="417">
        <f t="shared" si="199"/>
        <v>0</v>
      </c>
      <c r="EG55" s="417">
        <f t="shared" si="199"/>
        <v>0</v>
      </c>
      <c r="EH55" s="417">
        <f t="shared" si="199"/>
        <v>0</v>
      </c>
      <c r="EI55" s="417">
        <f t="shared" si="199"/>
        <v>0</v>
      </c>
      <c r="EJ55" s="417">
        <f t="shared" ref="EJ55:EN55" si="200">SUM(EJ52:EJ54)</f>
        <v>0</v>
      </c>
      <c r="EK55" s="417">
        <f t="shared" si="200"/>
        <v>0</v>
      </c>
      <c r="EL55" s="417">
        <f t="shared" si="200"/>
        <v>0</v>
      </c>
      <c r="EM55" s="417">
        <f t="shared" si="200"/>
        <v>0</v>
      </c>
      <c r="EN55" s="417">
        <f t="shared" si="200"/>
        <v>0</v>
      </c>
      <c r="EO55"/>
      <c r="EP55" s="409" t="s">
        <v>165</v>
      </c>
      <c r="EQ55" s="18"/>
      <c r="ER55" s="18"/>
      <c r="ES55" s="18"/>
      <c r="ET55" s="18"/>
      <c r="EU55" s="410" t="s">
        <v>158</v>
      </c>
      <c r="EV55" s="203">
        <f t="shared" ref="EV55:GA55" si="201">EV3</f>
        <v>0</v>
      </c>
      <c r="EW55" s="203">
        <f t="shared" si="201"/>
        <v>1</v>
      </c>
      <c r="EX55" s="203">
        <f t="shared" si="201"/>
        <v>2</v>
      </c>
      <c r="EY55" s="203">
        <f t="shared" si="201"/>
        <v>3</v>
      </c>
      <c r="EZ55" s="203">
        <f t="shared" si="201"/>
        <v>4</v>
      </c>
      <c r="FA55" s="203">
        <f t="shared" si="201"/>
        <v>5</v>
      </c>
      <c r="FB55" s="203">
        <f t="shared" si="201"/>
        <v>6</v>
      </c>
      <c r="FC55" s="203">
        <f t="shared" si="201"/>
        <v>7</v>
      </c>
      <c r="FD55" s="203">
        <f t="shared" si="201"/>
        <v>8</v>
      </c>
      <c r="FE55" s="203">
        <f t="shared" si="201"/>
        <v>9</v>
      </c>
      <c r="FF55" s="203">
        <f t="shared" si="201"/>
        <v>10</v>
      </c>
      <c r="FG55" s="203">
        <f t="shared" si="201"/>
        <v>11</v>
      </c>
      <c r="FH55" s="203">
        <f t="shared" si="201"/>
        <v>12</v>
      </c>
      <c r="FI55" s="203">
        <f t="shared" si="201"/>
        <v>13</v>
      </c>
      <c r="FJ55" s="203">
        <f t="shared" si="201"/>
        <v>14</v>
      </c>
      <c r="FK55" s="203">
        <f t="shared" si="201"/>
        <v>15</v>
      </c>
      <c r="FL55" s="203">
        <f t="shared" si="201"/>
        <v>16</v>
      </c>
      <c r="FM55" s="203">
        <f t="shared" si="201"/>
        <v>17</v>
      </c>
      <c r="FN55" s="203">
        <f t="shared" si="201"/>
        <v>18</v>
      </c>
      <c r="FO55" s="203">
        <f t="shared" si="201"/>
        <v>19</v>
      </c>
      <c r="FP55" s="203">
        <f t="shared" si="201"/>
        <v>20</v>
      </c>
      <c r="FQ55" s="203">
        <f t="shared" si="201"/>
        <v>21</v>
      </c>
      <c r="FR55" s="203">
        <f t="shared" si="201"/>
        <v>22</v>
      </c>
      <c r="FS55" s="203">
        <f t="shared" si="201"/>
        <v>23</v>
      </c>
      <c r="FT55" s="203">
        <f t="shared" si="201"/>
        <v>24</v>
      </c>
      <c r="FU55" s="203">
        <f t="shared" si="201"/>
        <v>25</v>
      </c>
      <c r="FV55" s="203">
        <f t="shared" si="201"/>
        <v>26</v>
      </c>
      <c r="FW55" s="203">
        <f t="shared" si="201"/>
        <v>27</v>
      </c>
      <c r="FX55" s="203">
        <f t="shared" si="201"/>
        <v>28</v>
      </c>
      <c r="FY55" s="203">
        <f t="shared" si="201"/>
        <v>29</v>
      </c>
      <c r="FZ55" s="203">
        <f t="shared" si="201"/>
        <v>30</v>
      </c>
      <c r="GA55" s="203">
        <f t="shared" si="201"/>
        <v>31</v>
      </c>
      <c r="GB55" s="203">
        <f t="shared" ref="GB55:HG55" si="202">GB3</f>
        <v>32</v>
      </c>
      <c r="GC55" s="203">
        <f t="shared" si="202"/>
        <v>33</v>
      </c>
      <c r="GD55" s="203">
        <f t="shared" si="202"/>
        <v>34</v>
      </c>
      <c r="GE55" s="203">
        <f t="shared" si="202"/>
        <v>35</v>
      </c>
      <c r="GF55" s="203">
        <f t="shared" si="202"/>
        <v>36</v>
      </c>
      <c r="GG55" s="203">
        <f t="shared" si="202"/>
        <v>37</v>
      </c>
      <c r="GH55" s="203">
        <f t="shared" si="202"/>
        <v>38</v>
      </c>
      <c r="GI55" s="203">
        <f t="shared" si="202"/>
        <v>39</v>
      </c>
      <c r="GJ55" s="203">
        <f t="shared" si="202"/>
        <v>40</v>
      </c>
      <c r="GK55" s="203">
        <f t="shared" si="202"/>
        <v>41</v>
      </c>
      <c r="GL55" s="203">
        <f t="shared" si="202"/>
        <v>42</v>
      </c>
      <c r="GM55" s="203">
        <f t="shared" si="202"/>
        <v>43</v>
      </c>
      <c r="GN55" s="203">
        <f t="shared" si="202"/>
        <v>44</v>
      </c>
      <c r="GO55" s="203">
        <f t="shared" si="202"/>
        <v>45</v>
      </c>
      <c r="GP55" s="203">
        <f t="shared" si="202"/>
        <v>46</v>
      </c>
      <c r="GQ55" s="203">
        <f t="shared" si="202"/>
        <v>47</v>
      </c>
      <c r="GR55" s="203">
        <f t="shared" si="202"/>
        <v>48</v>
      </c>
      <c r="GS55" s="203">
        <f t="shared" si="202"/>
        <v>49</v>
      </c>
      <c r="GT55" s="203">
        <f t="shared" si="202"/>
        <v>50</v>
      </c>
      <c r="GU55" s="203">
        <f t="shared" si="202"/>
        <v>51</v>
      </c>
      <c r="GV55" s="203">
        <f t="shared" si="202"/>
        <v>52</v>
      </c>
      <c r="GW55" s="203">
        <f t="shared" si="202"/>
        <v>53</v>
      </c>
      <c r="GX55" s="203">
        <f t="shared" si="202"/>
        <v>54</v>
      </c>
      <c r="GY55" s="203">
        <f t="shared" si="202"/>
        <v>55</v>
      </c>
      <c r="GZ55" s="203">
        <f t="shared" si="202"/>
        <v>56</v>
      </c>
      <c r="HA55" s="203">
        <f t="shared" si="202"/>
        <v>57</v>
      </c>
      <c r="HB55" s="203">
        <f t="shared" si="202"/>
        <v>58</v>
      </c>
      <c r="HC55" s="203">
        <f t="shared" si="202"/>
        <v>59</v>
      </c>
      <c r="HD55" s="203">
        <f t="shared" si="202"/>
        <v>60</v>
      </c>
      <c r="HE55" s="203">
        <f t="shared" si="202"/>
        <v>61</v>
      </c>
      <c r="HF55" s="203">
        <f t="shared" si="202"/>
        <v>62</v>
      </c>
      <c r="HG55" s="203">
        <f t="shared" si="202"/>
        <v>63</v>
      </c>
      <c r="HH55" s="203">
        <f t="shared" ref="HH55:IM55" si="203">HH3</f>
        <v>64</v>
      </c>
      <c r="HI55" s="203">
        <f t="shared" si="203"/>
        <v>65</v>
      </c>
      <c r="HJ55" s="203">
        <f t="shared" si="203"/>
        <v>66</v>
      </c>
      <c r="HK55" s="203">
        <f t="shared" si="203"/>
        <v>67</v>
      </c>
      <c r="HL55" s="203">
        <f t="shared" si="203"/>
        <v>68</v>
      </c>
      <c r="HM55" s="203">
        <f t="shared" si="203"/>
        <v>69</v>
      </c>
      <c r="HN55" s="203">
        <f t="shared" si="203"/>
        <v>70</v>
      </c>
      <c r="HO55" s="203">
        <f t="shared" si="203"/>
        <v>71</v>
      </c>
      <c r="HP55" s="203">
        <f t="shared" si="203"/>
        <v>72</v>
      </c>
      <c r="HQ55" s="203">
        <f t="shared" si="203"/>
        <v>73</v>
      </c>
      <c r="HR55" s="203">
        <f t="shared" si="203"/>
        <v>74</v>
      </c>
      <c r="HS55" s="203">
        <f t="shared" si="203"/>
        <v>75</v>
      </c>
      <c r="HT55" s="203">
        <f t="shared" si="203"/>
        <v>76</v>
      </c>
      <c r="HU55" s="203">
        <f t="shared" si="203"/>
        <v>77</v>
      </c>
      <c r="HV55" s="203">
        <f t="shared" si="203"/>
        <v>78</v>
      </c>
      <c r="HW55" s="203">
        <f t="shared" si="203"/>
        <v>79</v>
      </c>
      <c r="HX55" s="203">
        <f t="shared" si="203"/>
        <v>80</v>
      </c>
      <c r="HY55" s="203">
        <f t="shared" si="203"/>
        <v>81</v>
      </c>
      <c r="HZ55" s="203">
        <f t="shared" si="203"/>
        <v>82</v>
      </c>
      <c r="IA55" s="203">
        <f t="shared" si="203"/>
        <v>83</v>
      </c>
      <c r="IB55" s="203">
        <f t="shared" si="203"/>
        <v>84</v>
      </c>
      <c r="IC55" s="203">
        <f t="shared" si="203"/>
        <v>85</v>
      </c>
      <c r="ID55" s="203">
        <f t="shared" si="203"/>
        <v>86</v>
      </c>
      <c r="IE55" s="203">
        <f t="shared" si="203"/>
        <v>87</v>
      </c>
      <c r="IF55" s="203">
        <f t="shared" si="203"/>
        <v>88</v>
      </c>
      <c r="IG55" s="203">
        <f t="shared" si="203"/>
        <v>89</v>
      </c>
      <c r="IH55" s="203">
        <f t="shared" si="203"/>
        <v>90</v>
      </c>
      <c r="II55" s="203">
        <f t="shared" si="203"/>
        <v>91</v>
      </c>
      <c r="IJ55" s="203">
        <f t="shared" si="203"/>
        <v>92</v>
      </c>
      <c r="IK55" s="203">
        <f t="shared" si="203"/>
        <v>93</v>
      </c>
      <c r="IL55" s="203">
        <f t="shared" si="203"/>
        <v>94</v>
      </c>
      <c r="IM55" s="203">
        <f t="shared" si="203"/>
        <v>95</v>
      </c>
      <c r="IN55" s="203">
        <f t="shared" ref="IN55:JX55" si="204">IN3</f>
        <v>96</v>
      </c>
      <c r="IO55" s="203">
        <f t="shared" si="204"/>
        <v>97</v>
      </c>
      <c r="IP55" s="203">
        <f t="shared" si="204"/>
        <v>98</v>
      </c>
      <c r="IQ55" s="203">
        <f t="shared" si="204"/>
        <v>99</v>
      </c>
      <c r="IR55" s="203">
        <f t="shared" si="204"/>
        <v>100</v>
      </c>
      <c r="IS55" s="203">
        <f t="shared" si="204"/>
        <v>101</v>
      </c>
      <c r="IT55" s="203">
        <f t="shared" si="204"/>
        <v>102</v>
      </c>
      <c r="IU55" s="203">
        <f t="shared" si="204"/>
        <v>103</v>
      </c>
      <c r="IV55" s="203">
        <f t="shared" si="204"/>
        <v>104</v>
      </c>
      <c r="IW55" s="203">
        <f t="shared" si="204"/>
        <v>105</v>
      </c>
      <c r="IX55" s="203">
        <f t="shared" si="204"/>
        <v>106</v>
      </c>
      <c r="IY55" s="203">
        <f t="shared" si="204"/>
        <v>107</v>
      </c>
      <c r="IZ55" s="203">
        <f t="shared" si="204"/>
        <v>108</v>
      </c>
      <c r="JA55" s="203">
        <f t="shared" si="204"/>
        <v>109</v>
      </c>
      <c r="JB55" s="203">
        <f t="shared" si="204"/>
        <v>110</v>
      </c>
      <c r="JC55" s="203">
        <f t="shared" si="204"/>
        <v>111</v>
      </c>
      <c r="JD55" s="203">
        <f t="shared" si="204"/>
        <v>112</v>
      </c>
      <c r="JE55" s="203">
        <f t="shared" si="204"/>
        <v>113</v>
      </c>
      <c r="JF55" s="203">
        <f t="shared" si="204"/>
        <v>114</v>
      </c>
      <c r="JG55" s="203">
        <f t="shared" si="204"/>
        <v>115</v>
      </c>
      <c r="JH55" s="203">
        <f t="shared" si="204"/>
        <v>116</v>
      </c>
      <c r="JI55" s="203">
        <f t="shared" si="204"/>
        <v>117</v>
      </c>
      <c r="JJ55" s="203">
        <f t="shared" si="204"/>
        <v>118</v>
      </c>
      <c r="JK55" s="203">
        <f t="shared" si="204"/>
        <v>119</v>
      </c>
      <c r="JL55" s="203">
        <f t="shared" si="204"/>
        <v>120</v>
      </c>
      <c r="JM55" s="203">
        <f t="shared" si="204"/>
        <v>121</v>
      </c>
      <c r="JN55" s="203">
        <f t="shared" si="204"/>
        <v>122</v>
      </c>
      <c r="JO55" s="203">
        <f t="shared" si="204"/>
        <v>123</v>
      </c>
      <c r="JP55" s="203">
        <f t="shared" si="204"/>
        <v>124</v>
      </c>
      <c r="JQ55" s="203">
        <f t="shared" si="204"/>
        <v>125</v>
      </c>
      <c r="JR55" s="203">
        <f t="shared" si="204"/>
        <v>126</v>
      </c>
      <c r="JS55" s="203">
        <f t="shared" si="204"/>
        <v>127</v>
      </c>
      <c r="JT55" s="203">
        <f t="shared" si="204"/>
        <v>128</v>
      </c>
      <c r="JU55" s="203">
        <f t="shared" si="204"/>
        <v>129</v>
      </c>
      <c r="JV55" s="203">
        <f t="shared" si="204"/>
        <v>130</v>
      </c>
      <c r="JW55" s="203">
        <f t="shared" si="204"/>
        <v>131</v>
      </c>
      <c r="JX55" s="203">
        <f t="shared" si="204"/>
        <v>132</v>
      </c>
      <c r="JY55"/>
      <c r="JZ55" s="220"/>
      <c r="KA55" s="201"/>
      <c r="KB55" s="20"/>
      <c r="KC55" s="20"/>
      <c r="KD55" s="20"/>
      <c r="KE55" s="81"/>
      <c r="KF55" s="81"/>
      <c r="KG55" s="81"/>
      <c r="KH55" s="81"/>
      <c r="KI55" s="81"/>
      <c r="KJ55" s="81"/>
      <c r="KK55" s="81"/>
      <c r="KL55" s="81"/>
      <c r="KM55" s="81"/>
      <c r="KN55" s="81"/>
      <c r="KO55" s="81"/>
      <c r="KP55" s="81"/>
      <c r="KQ55" s="81"/>
      <c r="KR55" s="81"/>
      <c r="KS55" s="81"/>
      <c r="KT55" s="81"/>
      <c r="KU55" s="81"/>
      <c r="KV55" s="81"/>
      <c r="KW55" s="81"/>
      <c r="KX55" s="81"/>
      <c r="KY55" s="81"/>
      <c r="KZ55" s="81"/>
      <c r="LA55" s="81"/>
      <c r="LB55" s="81"/>
      <c r="LC55" s="81"/>
      <c r="LD55" s="81"/>
      <c r="LE55" s="81"/>
      <c r="LF55" s="81"/>
      <c r="LG55" s="81"/>
      <c r="LH55" s="81"/>
      <c r="LI55" s="81"/>
      <c r="LJ55" s="81"/>
      <c r="LK55" s="81"/>
      <c r="LL55" s="81"/>
      <c r="LM55" s="81"/>
      <c r="LN55" s="81"/>
      <c r="LO55" s="81"/>
      <c r="LP55" s="81"/>
      <c r="LQ55" s="81"/>
      <c r="LR55" s="81"/>
      <c r="LS55" s="81"/>
      <c r="LT55" s="81"/>
      <c r="LU55" s="81"/>
      <c r="LV55" s="81"/>
      <c r="LW55" s="81"/>
      <c r="LX55" s="81"/>
      <c r="LY55" s="81"/>
      <c r="LZ55" s="81"/>
      <c r="MA55" s="81"/>
      <c r="MB55" s="81"/>
      <c r="MC55" s="81"/>
      <c r="MD55" s="81"/>
      <c r="ME55" s="81"/>
      <c r="MF55" s="81"/>
      <c r="MG55" s="81"/>
      <c r="MH55" s="81"/>
      <c r="MI55" s="81"/>
      <c r="MJ55" s="81"/>
      <c r="MK55" s="81"/>
      <c r="ML55" s="81"/>
      <c r="MM55" s="81"/>
      <c r="MN55" s="81"/>
      <c r="MO55" s="81"/>
      <c r="MP55" s="81"/>
      <c r="MQ55" s="81"/>
      <c r="MR55" s="81"/>
      <c r="MS55" s="81"/>
      <c r="MT55" s="81"/>
      <c r="MU55" s="81"/>
      <c r="MV55" s="81"/>
      <c r="MW55" s="81"/>
      <c r="MX55" s="81"/>
      <c r="MY55" s="81"/>
      <c r="MZ55" s="81"/>
      <c r="NA55" s="81"/>
      <c r="NB55" s="81"/>
      <c r="NC55" s="81"/>
      <c r="ND55" s="81"/>
      <c r="NE55" s="81"/>
      <c r="NF55" s="81"/>
      <c r="NG55" s="81"/>
      <c r="NH55" s="81"/>
      <c r="NI55" s="81"/>
      <c r="NJ55" s="81"/>
      <c r="NK55" s="81"/>
      <c r="NL55" s="81"/>
      <c r="NM55" s="81"/>
      <c r="NN55" s="81"/>
      <c r="NO55" s="81"/>
      <c r="NP55" s="81"/>
      <c r="NQ55" s="81"/>
      <c r="NR55" s="81"/>
      <c r="NS55" s="81"/>
      <c r="NT55" s="81"/>
      <c r="NU55" s="81"/>
      <c r="NV55" s="81"/>
      <c r="NW55" s="81"/>
      <c r="NX55" s="81"/>
      <c r="NY55" s="81"/>
      <c r="NZ55" s="81"/>
      <c r="OA55" s="81"/>
      <c r="OB55" s="81"/>
      <c r="OC55" s="81"/>
      <c r="OD55" s="81"/>
      <c r="OE55" s="81"/>
      <c r="OF55" s="81"/>
      <c r="OG55" s="81"/>
      <c r="OH55" s="81"/>
      <c r="OI55" s="81"/>
      <c r="OJ55" s="81"/>
      <c r="OK55" s="81"/>
      <c r="OL55" s="81"/>
      <c r="OM55" s="81"/>
      <c r="ON55" s="81"/>
      <c r="OO55" s="81"/>
      <c r="OP55" s="81"/>
      <c r="OQ55" s="81"/>
      <c r="OR55" s="81"/>
      <c r="OS55" s="81"/>
      <c r="OT55" s="81"/>
      <c r="OU55" s="81"/>
      <c r="OV55" s="81"/>
      <c r="OW55" s="81"/>
      <c r="OX55" s="81"/>
      <c r="OY55" s="81"/>
      <c r="OZ55" s="81"/>
      <c r="PA55" s="81"/>
      <c r="PB55" s="81"/>
      <c r="PC55" s="81"/>
      <c r="PD55" s="81"/>
      <c r="PE55" s="81"/>
      <c r="PF55" s="81"/>
      <c r="PG55" s="81"/>
      <c r="PH55" s="81"/>
    </row>
    <row r="56" spans="1:424" x14ac:dyDescent="0.35">
      <c r="A56"/>
      <c r="B56" s="425"/>
      <c r="C56" s="400"/>
      <c r="D56" s="45"/>
      <c r="E56" s="400"/>
      <c r="F56" s="400"/>
      <c r="G56" s="138"/>
      <c r="H56" s="138"/>
      <c r="I56" s="48"/>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s="219" t="s">
        <v>166</v>
      </c>
      <c r="EQ56" s="18"/>
      <c r="ER56" s="18"/>
      <c r="ES56" s="18"/>
      <c r="ET56" s="18"/>
      <c r="EU56" s="20">
        <f>SUM(EV56:JX56)</f>
        <v>215662916.88274753</v>
      </c>
      <c r="EV56" s="20">
        <f t="shared" ref="EV56:GA56" si="205">MIN(EU69,EV52+L53)</f>
        <v>93017714.091035873</v>
      </c>
      <c r="EW56" s="20">
        <f t="shared" si="205"/>
        <v>882028.36212584306</v>
      </c>
      <c r="EX56" s="20">
        <f t="shared" si="205"/>
        <v>1153238.7592138182</v>
      </c>
      <c r="EY56" s="20">
        <f t="shared" si="205"/>
        <v>1540571.8400115801</v>
      </c>
      <c r="EZ56" s="20">
        <f t="shared" si="205"/>
        <v>2077208.6703043352</v>
      </c>
      <c r="FA56" s="20">
        <f t="shared" si="205"/>
        <v>2798042.1575110573</v>
      </c>
      <c r="FB56" s="20">
        <f t="shared" si="205"/>
        <v>3736098.8558910517</v>
      </c>
      <c r="FC56" s="20">
        <f t="shared" si="205"/>
        <v>4917681.2983414307</v>
      </c>
      <c r="FD56" s="20">
        <f t="shared" si="205"/>
        <v>6356585.443407244</v>
      </c>
      <c r="FE56" s="20">
        <f t="shared" si="205"/>
        <v>8048084.8374454733</v>
      </c>
      <c r="FF56" s="20">
        <f t="shared" si="205"/>
        <v>9963673.1491933651</v>
      </c>
      <c r="FG56" s="20">
        <f t="shared" si="205"/>
        <v>12047726.791351493</v>
      </c>
      <c r="FH56" s="20">
        <f t="shared" si="205"/>
        <v>14217202.323856961</v>
      </c>
      <c r="FI56" s="20">
        <f t="shared" si="205"/>
        <v>16365167.698586643</v>
      </c>
      <c r="FJ56" s="20">
        <f t="shared" si="205"/>
        <v>18368392.667920161</v>
      </c>
      <c r="FK56" s="20">
        <f t="shared" si="205"/>
        <v>20098477.243874725</v>
      </c>
      <c r="FL56" s="20">
        <f t="shared" si="205"/>
        <v>75022.692676469684</v>
      </c>
      <c r="FM56" s="20">
        <f t="shared" si="205"/>
        <v>0</v>
      </c>
      <c r="FN56" s="20">
        <f t="shared" si="205"/>
        <v>0</v>
      </c>
      <c r="FO56" s="20">
        <f t="shared" si="205"/>
        <v>0</v>
      </c>
      <c r="FP56" s="20">
        <f t="shared" si="205"/>
        <v>0</v>
      </c>
      <c r="FQ56" s="20">
        <f t="shared" si="205"/>
        <v>0</v>
      </c>
      <c r="FR56" s="20">
        <f t="shared" si="205"/>
        <v>0</v>
      </c>
      <c r="FS56" s="20">
        <f t="shared" si="205"/>
        <v>0</v>
      </c>
      <c r="FT56" s="20">
        <f t="shared" si="205"/>
        <v>0</v>
      </c>
      <c r="FU56" s="20">
        <f t="shared" si="205"/>
        <v>0</v>
      </c>
      <c r="FV56" s="20">
        <f t="shared" si="205"/>
        <v>0</v>
      </c>
      <c r="FW56" s="20">
        <f t="shared" si="205"/>
        <v>0</v>
      </c>
      <c r="FX56" s="20">
        <f t="shared" si="205"/>
        <v>0</v>
      </c>
      <c r="FY56" s="20">
        <f t="shared" si="205"/>
        <v>0</v>
      </c>
      <c r="FZ56" s="20">
        <f t="shared" si="205"/>
        <v>0</v>
      </c>
      <c r="GA56" s="20">
        <f t="shared" si="205"/>
        <v>0</v>
      </c>
      <c r="GB56" s="20">
        <f t="shared" ref="GB56:HG56" si="206">MIN(GA69,GB52+AR53)</f>
        <v>0</v>
      </c>
      <c r="GC56" s="20">
        <f t="shared" si="206"/>
        <v>0</v>
      </c>
      <c r="GD56" s="20">
        <f t="shared" si="206"/>
        <v>0</v>
      </c>
      <c r="GE56" s="20">
        <f t="shared" si="206"/>
        <v>0</v>
      </c>
      <c r="GF56" s="20">
        <f t="shared" si="206"/>
        <v>0</v>
      </c>
      <c r="GG56" s="20">
        <f t="shared" si="206"/>
        <v>0</v>
      </c>
      <c r="GH56" s="20">
        <f t="shared" si="206"/>
        <v>0</v>
      </c>
      <c r="GI56" s="20">
        <f t="shared" si="206"/>
        <v>0</v>
      </c>
      <c r="GJ56" s="20">
        <f t="shared" si="206"/>
        <v>0</v>
      </c>
      <c r="GK56" s="20">
        <f t="shared" si="206"/>
        <v>0</v>
      </c>
      <c r="GL56" s="20">
        <f t="shared" si="206"/>
        <v>0</v>
      </c>
      <c r="GM56" s="20">
        <f t="shared" si="206"/>
        <v>0</v>
      </c>
      <c r="GN56" s="20">
        <f t="shared" si="206"/>
        <v>0</v>
      </c>
      <c r="GO56" s="20">
        <f t="shared" si="206"/>
        <v>0</v>
      </c>
      <c r="GP56" s="20">
        <f t="shared" si="206"/>
        <v>0</v>
      </c>
      <c r="GQ56" s="20">
        <f t="shared" si="206"/>
        <v>0</v>
      </c>
      <c r="GR56" s="20">
        <f t="shared" si="206"/>
        <v>0</v>
      </c>
      <c r="GS56" s="20">
        <f t="shared" si="206"/>
        <v>0</v>
      </c>
      <c r="GT56" s="20">
        <f t="shared" si="206"/>
        <v>0</v>
      </c>
      <c r="GU56" s="20">
        <f t="shared" si="206"/>
        <v>0</v>
      </c>
      <c r="GV56" s="20">
        <f t="shared" si="206"/>
        <v>0</v>
      </c>
      <c r="GW56" s="20">
        <f t="shared" si="206"/>
        <v>0</v>
      </c>
      <c r="GX56" s="20">
        <f t="shared" si="206"/>
        <v>0</v>
      </c>
      <c r="GY56" s="20">
        <f t="shared" si="206"/>
        <v>0</v>
      </c>
      <c r="GZ56" s="20">
        <f t="shared" si="206"/>
        <v>0</v>
      </c>
      <c r="HA56" s="20">
        <f t="shared" si="206"/>
        <v>0</v>
      </c>
      <c r="HB56" s="20">
        <f t="shared" si="206"/>
        <v>0</v>
      </c>
      <c r="HC56" s="20">
        <f t="shared" si="206"/>
        <v>0</v>
      </c>
      <c r="HD56" s="20">
        <f t="shared" si="206"/>
        <v>0</v>
      </c>
      <c r="HE56" s="20">
        <f t="shared" si="206"/>
        <v>0</v>
      </c>
      <c r="HF56" s="20">
        <f t="shared" si="206"/>
        <v>0</v>
      </c>
      <c r="HG56" s="20">
        <f t="shared" si="206"/>
        <v>0</v>
      </c>
      <c r="HH56" s="20">
        <f t="shared" ref="HH56:IM56" si="207">MIN(HG69,HH52+BX53)</f>
        <v>0</v>
      </c>
      <c r="HI56" s="20">
        <f t="shared" si="207"/>
        <v>0</v>
      </c>
      <c r="HJ56" s="20">
        <f t="shared" si="207"/>
        <v>0</v>
      </c>
      <c r="HK56" s="20">
        <f t="shared" si="207"/>
        <v>0</v>
      </c>
      <c r="HL56" s="20">
        <f t="shared" si="207"/>
        <v>0</v>
      </c>
      <c r="HM56" s="20">
        <f t="shared" si="207"/>
        <v>0</v>
      </c>
      <c r="HN56" s="20">
        <f t="shared" si="207"/>
        <v>0</v>
      </c>
      <c r="HO56" s="20">
        <f t="shared" si="207"/>
        <v>0</v>
      </c>
      <c r="HP56" s="20">
        <f t="shared" si="207"/>
        <v>0</v>
      </c>
      <c r="HQ56" s="20">
        <f t="shared" si="207"/>
        <v>0</v>
      </c>
      <c r="HR56" s="20">
        <f t="shared" si="207"/>
        <v>0</v>
      </c>
      <c r="HS56" s="20">
        <f t="shared" si="207"/>
        <v>0</v>
      </c>
      <c r="HT56" s="20">
        <f t="shared" si="207"/>
        <v>0</v>
      </c>
      <c r="HU56" s="20">
        <f t="shared" si="207"/>
        <v>0</v>
      </c>
      <c r="HV56" s="20">
        <f t="shared" si="207"/>
        <v>0</v>
      </c>
      <c r="HW56" s="20">
        <f t="shared" si="207"/>
        <v>0</v>
      </c>
      <c r="HX56" s="20">
        <f t="shared" si="207"/>
        <v>0</v>
      </c>
      <c r="HY56" s="20">
        <f t="shared" si="207"/>
        <v>0</v>
      </c>
      <c r="HZ56" s="20">
        <f t="shared" si="207"/>
        <v>0</v>
      </c>
      <c r="IA56" s="20">
        <f t="shared" si="207"/>
        <v>0</v>
      </c>
      <c r="IB56" s="20">
        <f t="shared" si="207"/>
        <v>0</v>
      </c>
      <c r="IC56" s="20">
        <f t="shared" si="207"/>
        <v>0</v>
      </c>
      <c r="ID56" s="20">
        <f t="shared" si="207"/>
        <v>0</v>
      </c>
      <c r="IE56" s="20">
        <f t="shared" si="207"/>
        <v>0</v>
      </c>
      <c r="IF56" s="20">
        <f t="shared" si="207"/>
        <v>0</v>
      </c>
      <c r="IG56" s="20">
        <f t="shared" si="207"/>
        <v>0</v>
      </c>
      <c r="IH56" s="20">
        <f t="shared" si="207"/>
        <v>0</v>
      </c>
      <c r="II56" s="20">
        <f t="shared" si="207"/>
        <v>0</v>
      </c>
      <c r="IJ56" s="20">
        <f t="shared" si="207"/>
        <v>0</v>
      </c>
      <c r="IK56" s="20">
        <f t="shared" si="207"/>
        <v>0</v>
      </c>
      <c r="IL56" s="20">
        <f t="shared" si="207"/>
        <v>0</v>
      </c>
      <c r="IM56" s="20">
        <f t="shared" si="207"/>
        <v>0</v>
      </c>
      <c r="IN56" s="20">
        <f t="shared" ref="IN56:JS56" si="208">MIN(IM69,IN52+DD53)</f>
        <v>0</v>
      </c>
      <c r="IO56" s="20">
        <f t="shared" si="208"/>
        <v>0</v>
      </c>
      <c r="IP56" s="20">
        <f t="shared" si="208"/>
        <v>0</v>
      </c>
      <c r="IQ56" s="20">
        <f t="shared" si="208"/>
        <v>0</v>
      </c>
      <c r="IR56" s="20">
        <f t="shared" si="208"/>
        <v>0</v>
      </c>
      <c r="IS56" s="20">
        <f t="shared" si="208"/>
        <v>0</v>
      </c>
      <c r="IT56" s="20">
        <f t="shared" si="208"/>
        <v>0</v>
      </c>
      <c r="IU56" s="20">
        <f t="shared" si="208"/>
        <v>0</v>
      </c>
      <c r="IV56" s="20">
        <f t="shared" si="208"/>
        <v>0</v>
      </c>
      <c r="IW56" s="20">
        <f t="shared" si="208"/>
        <v>0</v>
      </c>
      <c r="IX56" s="20">
        <f t="shared" si="208"/>
        <v>0</v>
      </c>
      <c r="IY56" s="20">
        <f t="shared" si="208"/>
        <v>0</v>
      </c>
      <c r="IZ56" s="20">
        <f t="shared" si="208"/>
        <v>0</v>
      </c>
      <c r="JA56" s="20">
        <f t="shared" si="208"/>
        <v>0</v>
      </c>
      <c r="JB56" s="20">
        <f t="shared" si="208"/>
        <v>0</v>
      </c>
      <c r="JC56" s="20">
        <f t="shared" si="208"/>
        <v>0</v>
      </c>
      <c r="JD56" s="20">
        <f t="shared" si="208"/>
        <v>0</v>
      </c>
      <c r="JE56" s="20">
        <f t="shared" si="208"/>
        <v>0</v>
      </c>
      <c r="JF56" s="20">
        <f t="shared" si="208"/>
        <v>0</v>
      </c>
      <c r="JG56" s="20">
        <f t="shared" si="208"/>
        <v>0</v>
      </c>
      <c r="JH56" s="20">
        <f t="shared" si="208"/>
        <v>0</v>
      </c>
      <c r="JI56" s="20">
        <f t="shared" si="208"/>
        <v>0</v>
      </c>
      <c r="JJ56" s="20">
        <f t="shared" si="208"/>
        <v>0</v>
      </c>
      <c r="JK56" s="20">
        <f t="shared" si="208"/>
        <v>0</v>
      </c>
      <c r="JL56" s="20">
        <f t="shared" si="208"/>
        <v>0</v>
      </c>
      <c r="JM56" s="20">
        <f t="shared" si="208"/>
        <v>0</v>
      </c>
      <c r="JN56" s="20">
        <f t="shared" si="208"/>
        <v>0</v>
      </c>
      <c r="JO56" s="20">
        <f t="shared" si="208"/>
        <v>0</v>
      </c>
      <c r="JP56" s="20">
        <f t="shared" si="208"/>
        <v>0</v>
      </c>
      <c r="JQ56" s="20">
        <f t="shared" si="208"/>
        <v>0</v>
      </c>
      <c r="JR56" s="20">
        <f t="shared" si="208"/>
        <v>0</v>
      </c>
      <c r="JS56" s="20">
        <f t="shared" si="208"/>
        <v>0</v>
      </c>
      <c r="JT56" s="20">
        <f>MIN(JS69,JT52+EJ53)</f>
        <v>0</v>
      </c>
      <c r="JU56" s="20">
        <f>MIN(JT69,JU52+EK53)</f>
        <v>0</v>
      </c>
      <c r="JV56" s="20">
        <f>MIN(JU69,JV52+EL53)</f>
        <v>0</v>
      </c>
      <c r="JW56" s="20">
        <f>MIN(JV69,JW52+EM53)</f>
        <v>0</v>
      </c>
      <c r="JX56" s="20">
        <f>MIN(JW69,JX52+EN53)</f>
        <v>0</v>
      </c>
      <c r="JY56"/>
      <c r="JZ56" s="262"/>
      <c r="KA56" s="262"/>
      <c r="KB56" s="262"/>
      <c r="KC56" s="262"/>
      <c r="KD56" s="262"/>
      <c r="KE56" s="263"/>
      <c r="KF56" s="263"/>
      <c r="KG56" s="263"/>
      <c r="KH56" s="263"/>
      <c r="KI56" s="263"/>
      <c r="KJ56" s="263"/>
      <c r="KK56" s="263"/>
      <c r="KL56" s="263"/>
      <c r="KM56" s="263"/>
      <c r="KN56" s="263"/>
      <c r="KO56" s="263"/>
      <c r="KP56" s="263"/>
      <c r="KQ56" s="263"/>
      <c r="KR56" s="263"/>
      <c r="KS56" s="263"/>
      <c r="KT56" s="263"/>
      <c r="KU56" s="263"/>
      <c r="KV56" s="263"/>
      <c r="KW56" s="263"/>
      <c r="KX56" s="263"/>
      <c r="KY56" s="263"/>
      <c r="KZ56" s="263"/>
      <c r="LA56" s="263"/>
      <c r="LB56" s="263"/>
      <c r="LC56" s="263"/>
      <c r="LD56" s="263"/>
      <c r="LE56" s="263"/>
      <c r="LF56" s="263"/>
      <c r="LG56" s="263"/>
      <c r="LH56" s="263"/>
      <c r="LI56" s="263"/>
      <c r="LJ56" s="263"/>
      <c r="LK56" s="263"/>
      <c r="LL56" s="263"/>
      <c r="LM56" s="263"/>
      <c r="LN56" s="263"/>
      <c r="LO56" s="263"/>
      <c r="LP56" s="263"/>
      <c r="LQ56" s="263"/>
      <c r="LR56" s="263"/>
      <c r="LS56" s="263"/>
      <c r="LT56" s="263"/>
      <c r="LU56" s="263"/>
      <c r="LV56" s="263"/>
      <c r="LW56" s="263"/>
      <c r="LX56" s="263"/>
      <c r="LY56" s="263"/>
      <c r="LZ56" s="263"/>
      <c r="MA56" s="263"/>
      <c r="MB56" s="263"/>
      <c r="MC56" s="263"/>
      <c r="MD56" s="263"/>
      <c r="ME56" s="263"/>
      <c r="MF56" s="263"/>
      <c r="MG56" s="263"/>
      <c r="MH56" s="263"/>
      <c r="MI56" s="263"/>
      <c r="MJ56" s="263"/>
      <c r="MK56" s="263"/>
      <c r="ML56" s="263"/>
      <c r="MM56" s="263"/>
      <c r="MN56" s="263"/>
      <c r="MO56" s="263"/>
      <c r="MP56" s="263"/>
      <c r="MQ56" s="263"/>
      <c r="MR56" s="263"/>
      <c r="MS56" s="263"/>
      <c r="MT56" s="263"/>
      <c r="MU56" s="263"/>
      <c r="MV56" s="263"/>
      <c r="MW56" s="263"/>
      <c r="MX56" s="263"/>
      <c r="MY56" s="263"/>
      <c r="MZ56" s="263"/>
      <c r="NA56" s="263"/>
      <c r="NB56" s="263"/>
      <c r="NC56" s="263"/>
      <c r="ND56" s="263"/>
      <c r="NE56" s="263"/>
      <c r="NF56" s="263"/>
      <c r="NG56" s="263"/>
      <c r="NH56" s="263"/>
      <c r="NI56" s="263"/>
      <c r="NJ56" s="263"/>
      <c r="NK56" s="263"/>
      <c r="NL56" s="263"/>
      <c r="NM56" s="263"/>
      <c r="NN56" s="263"/>
      <c r="NO56" s="263"/>
      <c r="NP56" s="263"/>
      <c r="NQ56" s="263"/>
      <c r="NR56" s="263"/>
      <c r="NS56" s="263"/>
      <c r="NT56" s="263"/>
      <c r="NU56" s="263"/>
      <c r="NV56" s="263"/>
      <c r="NW56" s="263"/>
      <c r="NX56" s="263"/>
      <c r="NY56" s="263"/>
      <c r="NZ56" s="263"/>
      <c r="OA56" s="263"/>
      <c r="OB56" s="263"/>
      <c r="OC56" s="263"/>
      <c r="OD56" s="263"/>
      <c r="OE56" s="263"/>
      <c r="OF56" s="263"/>
      <c r="OG56" s="263"/>
      <c r="OH56" s="263"/>
      <c r="OI56" s="263"/>
      <c r="OJ56" s="263"/>
      <c r="OK56" s="263"/>
      <c r="OL56" s="263"/>
      <c r="OM56" s="263"/>
      <c r="ON56" s="263"/>
      <c r="OO56" s="263"/>
      <c r="OP56" s="263"/>
      <c r="OQ56" s="263"/>
      <c r="OR56" s="263"/>
      <c r="OS56" s="263"/>
      <c r="OT56" s="263"/>
      <c r="OU56" s="263"/>
      <c r="OV56" s="263"/>
      <c r="OW56" s="263"/>
      <c r="OX56" s="263"/>
      <c r="OY56" s="263"/>
      <c r="OZ56" s="263"/>
      <c r="PA56" s="263"/>
      <c r="PB56" s="263"/>
      <c r="PC56" s="263"/>
      <c r="PD56" s="263"/>
      <c r="PE56" s="263"/>
      <c r="PF56" s="263"/>
      <c r="PG56" s="263"/>
      <c r="PH56" s="263"/>
    </row>
    <row r="57" spans="1:424" s="24" customFormat="1" x14ac:dyDescent="0.35">
      <c r="A57" s="437"/>
      <c r="B57" s="438"/>
      <c r="C57" s="50">
        <f>MIN(D53,D47,D38,D31)</f>
        <v>0</v>
      </c>
      <c r="D57" s="50"/>
      <c r="E57" s="50">
        <f>MAX(E53,E47,E38,E31)</f>
        <v>36</v>
      </c>
      <c r="F57" s="50">
        <f>H55+H47+H38+H31</f>
        <v>0</v>
      </c>
      <c r="G57" s="140"/>
      <c r="H57" s="439"/>
      <c r="I57" s="51">
        <f>SUM(I31,I38,I47,I55)</f>
        <v>448856635.1614815</v>
      </c>
      <c r="J57"/>
      <c r="K57" s="440" t="str">
        <f>IF(ROUND(SUM(L57:EN57),0)=ROUND(I57,0),"","Incomplete")</f>
        <v/>
      </c>
      <c r="L57" s="441">
        <f t="shared" ref="L57:AQ57" si="209">+L55+L47+L38+L31</f>
        <v>93017714.091035873</v>
      </c>
      <c r="M57" s="441">
        <f t="shared" si="209"/>
        <v>882028.36212584306</v>
      </c>
      <c r="N57" s="441">
        <f t="shared" si="209"/>
        <v>1153238.7592138182</v>
      </c>
      <c r="O57" s="441">
        <f t="shared" si="209"/>
        <v>1540571.8400115801</v>
      </c>
      <c r="P57" s="441">
        <f t="shared" si="209"/>
        <v>2077208.6703043352</v>
      </c>
      <c r="Q57" s="441">
        <f t="shared" si="209"/>
        <v>2798042.1575110573</v>
      </c>
      <c r="R57" s="441">
        <f t="shared" si="209"/>
        <v>3736098.8558910517</v>
      </c>
      <c r="S57" s="441">
        <f t="shared" si="209"/>
        <v>4917681.2983414307</v>
      </c>
      <c r="T57" s="441">
        <f t="shared" si="209"/>
        <v>6356585.443407244</v>
      </c>
      <c r="U57" s="441">
        <f t="shared" si="209"/>
        <v>8048084.8374454733</v>
      </c>
      <c r="V57" s="441">
        <f t="shared" si="209"/>
        <v>9963673.1491933651</v>
      </c>
      <c r="W57" s="441">
        <f t="shared" si="209"/>
        <v>12047726.791351493</v>
      </c>
      <c r="X57" s="441">
        <f t="shared" si="209"/>
        <v>14217202.323856961</v>
      </c>
      <c r="Y57" s="441">
        <f t="shared" si="209"/>
        <v>16365167.698586643</v>
      </c>
      <c r="Z57" s="441">
        <f t="shared" si="209"/>
        <v>18368392.667920161</v>
      </c>
      <c r="AA57" s="441">
        <f t="shared" si="209"/>
        <v>20098477.243874725</v>
      </c>
      <c r="AB57" s="441">
        <f t="shared" si="209"/>
        <v>21435229.253932979</v>
      </c>
      <c r="AC57" s="441">
        <f t="shared" si="209"/>
        <v>22280397.403045714</v>
      </c>
      <c r="AD57" s="441">
        <f t="shared" si="209"/>
        <v>22569593.467381995</v>
      </c>
      <c r="AE57" s="441">
        <f t="shared" si="209"/>
        <v>22280397.403045733</v>
      </c>
      <c r="AF57" s="441">
        <f t="shared" si="209"/>
        <v>21435229.253932942</v>
      </c>
      <c r="AG57" s="441">
        <f t="shared" si="209"/>
        <v>20098477.243874762</v>
      </c>
      <c r="AH57" s="441">
        <f t="shared" si="209"/>
        <v>18368392.667920135</v>
      </c>
      <c r="AI57" s="441">
        <f t="shared" si="209"/>
        <v>16365167.698586643</v>
      </c>
      <c r="AJ57" s="441">
        <f t="shared" si="209"/>
        <v>14217202.323856987</v>
      </c>
      <c r="AK57" s="441">
        <f t="shared" si="209"/>
        <v>12047726.791351464</v>
      </c>
      <c r="AL57" s="441">
        <f t="shared" si="209"/>
        <v>9963673.1491933651</v>
      </c>
      <c r="AM57" s="441">
        <f t="shared" si="209"/>
        <v>8048084.8374454975</v>
      </c>
      <c r="AN57" s="441">
        <f t="shared" si="209"/>
        <v>6356585.4434072273</v>
      </c>
      <c r="AO57" s="441">
        <f t="shared" si="209"/>
        <v>4917681.2983414317</v>
      </c>
      <c r="AP57" s="441">
        <f t="shared" si="209"/>
        <v>3736098.8558910657</v>
      </c>
      <c r="AQ57" s="441">
        <f t="shared" si="209"/>
        <v>2798042.157511042</v>
      </c>
      <c r="AR57" s="441">
        <f t="shared" ref="AR57:BW57" si="210">+AR55+AR47+AR38+AR31</f>
        <v>2077208.670304341</v>
      </c>
      <c r="AS57" s="441">
        <f t="shared" si="210"/>
        <v>1540571.8400115611</v>
      </c>
      <c r="AT57" s="441">
        <f t="shared" si="210"/>
        <v>1153238.7592138406</v>
      </c>
      <c r="AU57" s="441">
        <f t="shared" si="210"/>
        <v>882028.36212582723</v>
      </c>
      <c r="AV57" s="441">
        <f t="shared" si="210"/>
        <v>697714.0910358784</v>
      </c>
      <c r="AW57" s="441">
        <f t="shared" si="210"/>
        <v>0</v>
      </c>
      <c r="AX57" s="441">
        <f t="shared" si="210"/>
        <v>0</v>
      </c>
      <c r="AY57" s="441">
        <f t="shared" si="210"/>
        <v>0</v>
      </c>
      <c r="AZ57" s="441">
        <f t="shared" si="210"/>
        <v>0</v>
      </c>
      <c r="BA57" s="441">
        <f t="shared" si="210"/>
        <v>0</v>
      </c>
      <c r="BB57" s="441">
        <f t="shared" si="210"/>
        <v>0</v>
      </c>
      <c r="BC57" s="441">
        <f t="shared" si="210"/>
        <v>0</v>
      </c>
      <c r="BD57" s="441">
        <f t="shared" si="210"/>
        <v>0</v>
      </c>
      <c r="BE57" s="441">
        <f t="shared" si="210"/>
        <v>0</v>
      </c>
      <c r="BF57" s="441">
        <f t="shared" si="210"/>
        <v>0</v>
      </c>
      <c r="BG57" s="441">
        <f t="shared" si="210"/>
        <v>0</v>
      </c>
      <c r="BH57" s="441">
        <f t="shared" si="210"/>
        <v>0</v>
      </c>
      <c r="BI57" s="441">
        <f t="shared" si="210"/>
        <v>0</v>
      </c>
      <c r="BJ57" s="441">
        <f t="shared" si="210"/>
        <v>0</v>
      </c>
      <c r="BK57" s="441">
        <f t="shared" si="210"/>
        <v>0</v>
      </c>
      <c r="BL57" s="441">
        <f t="shared" si="210"/>
        <v>0</v>
      </c>
      <c r="BM57" s="441">
        <f t="shared" si="210"/>
        <v>0</v>
      </c>
      <c r="BN57" s="441">
        <f t="shared" si="210"/>
        <v>0</v>
      </c>
      <c r="BO57" s="441">
        <f t="shared" si="210"/>
        <v>0</v>
      </c>
      <c r="BP57" s="441">
        <f t="shared" si="210"/>
        <v>0</v>
      </c>
      <c r="BQ57" s="441">
        <f t="shared" si="210"/>
        <v>0</v>
      </c>
      <c r="BR57" s="441">
        <f t="shared" si="210"/>
        <v>0</v>
      </c>
      <c r="BS57" s="441">
        <f t="shared" si="210"/>
        <v>0</v>
      </c>
      <c r="BT57" s="441">
        <f t="shared" si="210"/>
        <v>0</v>
      </c>
      <c r="BU57" s="441">
        <f t="shared" si="210"/>
        <v>0</v>
      </c>
      <c r="BV57" s="441">
        <f t="shared" si="210"/>
        <v>0</v>
      </c>
      <c r="BW57" s="441">
        <f t="shared" si="210"/>
        <v>0</v>
      </c>
      <c r="BX57" s="441">
        <f t="shared" ref="BX57:DC57" si="211">+BX55+BX47+BX38+BX31</f>
        <v>0</v>
      </c>
      <c r="BY57" s="441">
        <f t="shared" si="211"/>
        <v>0</v>
      </c>
      <c r="BZ57" s="441">
        <f t="shared" si="211"/>
        <v>0</v>
      </c>
      <c r="CA57" s="441">
        <f t="shared" si="211"/>
        <v>0</v>
      </c>
      <c r="CB57" s="441">
        <f t="shared" si="211"/>
        <v>0</v>
      </c>
      <c r="CC57" s="441">
        <f t="shared" si="211"/>
        <v>0</v>
      </c>
      <c r="CD57" s="441">
        <f t="shared" si="211"/>
        <v>0</v>
      </c>
      <c r="CE57" s="441">
        <f t="shared" si="211"/>
        <v>0</v>
      </c>
      <c r="CF57" s="441">
        <f t="shared" si="211"/>
        <v>0</v>
      </c>
      <c r="CG57" s="441">
        <f t="shared" si="211"/>
        <v>0</v>
      </c>
      <c r="CH57" s="441">
        <f t="shared" si="211"/>
        <v>0</v>
      </c>
      <c r="CI57" s="441">
        <f t="shared" si="211"/>
        <v>0</v>
      </c>
      <c r="CJ57" s="441">
        <f t="shared" si="211"/>
        <v>0</v>
      </c>
      <c r="CK57" s="441">
        <f t="shared" si="211"/>
        <v>0</v>
      </c>
      <c r="CL57" s="441">
        <f t="shared" si="211"/>
        <v>0</v>
      </c>
      <c r="CM57" s="441">
        <f t="shared" si="211"/>
        <v>0</v>
      </c>
      <c r="CN57" s="441">
        <f t="shared" si="211"/>
        <v>0</v>
      </c>
      <c r="CO57" s="441">
        <f t="shared" si="211"/>
        <v>0</v>
      </c>
      <c r="CP57" s="441">
        <f t="shared" si="211"/>
        <v>0</v>
      </c>
      <c r="CQ57" s="441">
        <f t="shared" si="211"/>
        <v>0</v>
      </c>
      <c r="CR57" s="441">
        <f t="shared" si="211"/>
        <v>0</v>
      </c>
      <c r="CS57" s="441">
        <f t="shared" si="211"/>
        <v>0</v>
      </c>
      <c r="CT57" s="441">
        <f t="shared" si="211"/>
        <v>0</v>
      </c>
      <c r="CU57" s="441">
        <f t="shared" si="211"/>
        <v>0</v>
      </c>
      <c r="CV57" s="441">
        <f t="shared" si="211"/>
        <v>0</v>
      </c>
      <c r="CW57" s="441">
        <f t="shared" si="211"/>
        <v>0</v>
      </c>
      <c r="CX57" s="441">
        <f t="shared" si="211"/>
        <v>0</v>
      </c>
      <c r="CY57" s="441">
        <f t="shared" si="211"/>
        <v>0</v>
      </c>
      <c r="CZ57" s="441">
        <f t="shared" si="211"/>
        <v>0</v>
      </c>
      <c r="DA57" s="441">
        <f t="shared" si="211"/>
        <v>0</v>
      </c>
      <c r="DB57" s="441">
        <f t="shared" si="211"/>
        <v>0</v>
      </c>
      <c r="DC57" s="441">
        <f t="shared" si="211"/>
        <v>0</v>
      </c>
      <c r="DD57" s="441">
        <f t="shared" ref="DD57:EN57" si="212">+DD55+DD47+DD38+DD31</f>
        <v>0</v>
      </c>
      <c r="DE57" s="441">
        <f t="shared" si="212"/>
        <v>0</v>
      </c>
      <c r="DF57" s="441">
        <f t="shared" si="212"/>
        <v>0</v>
      </c>
      <c r="DG57" s="441">
        <f t="shared" si="212"/>
        <v>0</v>
      </c>
      <c r="DH57" s="441">
        <f t="shared" si="212"/>
        <v>0</v>
      </c>
      <c r="DI57" s="441">
        <f t="shared" si="212"/>
        <v>0</v>
      </c>
      <c r="DJ57" s="441">
        <f t="shared" si="212"/>
        <v>0</v>
      </c>
      <c r="DK57" s="441">
        <f t="shared" si="212"/>
        <v>0</v>
      </c>
      <c r="DL57" s="441">
        <f t="shared" si="212"/>
        <v>0</v>
      </c>
      <c r="DM57" s="441">
        <f t="shared" si="212"/>
        <v>0</v>
      </c>
      <c r="DN57" s="441">
        <f t="shared" si="212"/>
        <v>0</v>
      </c>
      <c r="DO57" s="441">
        <f t="shared" si="212"/>
        <v>0</v>
      </c>
      <c r="DP57" s="441">
        <f t="shared" si="212"/>
        <v>0</v>
      </c>
      <c r="DQ57" s="441">
        <f t="shared" si="212"/>
        <v>0</v>
      </c>
      <c r="DR57" s="441">
        <f t="shared" si="212"/>
        <v>0</v>
      </c>
      <c r="DS57" s="441">
        <f t="shared" si="212"/>
        <v>0</v>
      </c>
      <c r="DT57" s="441">
        <f t="shared" si="212"/>
        <v>0</v>
      </c>
      <c r="DU57" s="441">
        <f t="shared" si="212"/>
        <v>0</v>
      </c>
      <c r="DV57" s="441">
        <f t="shared" si="212"/>
        <v>0</v>
      </c>
      <c r="DW57" s="441">
        <f t="shared" si="212"/>
        <v>0</v>
      </c>
      <c r="DX57" s="441">
        <f t="shared" si="212"/>
        <v>0</v>
      </c>
      <c r="DY57" s="441">
        <f t="shared" si="212"/>
        <v>0</v>
      </c>
      <c r="DZ57" s="441">
        <f t="shared" si="212"/>
        <v>0</v>
      </c>
      <c r="EA57" s="441">
        <f t="shared" si="212"/>
        <v>0</v>
      </c>
      <c r="EB57" s="441">
        <f t="shared" si="212"/>
        <v>0</v>
      </c>
      <c r="EC57" s="441">
        <f t="shared" si="212"/>
        <v>0</v>
      </c>
      <c r="ED57" s="441">
        <f t="shared" si="212"/>
        <v>0</v>
      </c>
      <c r="EE57" s="441">
        <f t="shared" si="212"/>
        <v>0</v>
      </c>
      <c r="EF57" s="441">
        <f t="shared" si="212"/>
        <v>0</v>
      </c>
      <c r="EG57" s="441">
        <f t="shared" si="212"/>
        <v>0</v>
      </c>
      <c r="EH57" s="441">
        <f t="shared" si="212"/>
        <v>0</v>
      </c>
      <c r="EI57" s="441">
        <f t="shared" si="212"/>
        <v>0</v>
      </c>
      <c r="EJ57" s="441">
        <f t="shared" si="212"/>
        <v>0</v>
      </c>
      <c r="EK57" s="441">
        <f t="shared" si="212"/>
        <v>0</v>
      </c>
      <c r="EL57" s="441">
        <f t="shared" si="212"/>
        <v>0</v>
      </c>
      <c r="EM57" s="441">
        <f t="shared" si="212"/>
        <v>0</v>
      </c>
      <c r="EN57" s="441">
        <f t="shared" si="212"/>
        <v>0</v>
      </c>
      <c r="EO57" s="440"/>
      <c r="EP57" s="219" t="s">
        <v>167</v>
      </c>
      <c r="EQ57" s="18"/>
      <c r="ER57" s="18"/>
      <c r="ES57" s="18"/>
      <c r="ET57" s="18"/>
      <c r="EU57" s="20">
        <f>EU70</f>
        <v>233193718.27873397</v>
      </c>
      <c r="EV57" s="20">
        <f t="shared" ref="EV57:GA57" si="213">MIN(EU70,EV52+L53-EV56)</f>
        <v>0</v>
      </c>
      <c r="EW57" s="20">
        <f t="shared" si="213"/>
        <v>0</v>
      </c>
      <c r="EX57" s="20">
        <f t="shared" si="213"/>
        <v>0</v>
      </c>
      <c r="EY57" s="20">
        <f t="shared" si="213"/>
        <v>0</v>
      </c>
      <c r="EZ57" s="20">
        <f t="shared" si="213"/>
        <v>0</v>
      </c>
      <c r="FA57" s="20">
        <f t="shared" si="213"/>
        <v>0</v>
      </c>
      <c r="FB57" s="20">
        <f t="shared" si="213"/>
        <v>0</v>
      </c>
      <c r="FC57" s="20">
        <f t="shared" si="213"/>
        <v>0</v>
      </c>
      <c r="FD57" s="20">
        <f t="shared" si="213"/>
        <v>0</v>
      </c>
      <c r="FE57" s="20">
        <f t="shared" si="213"/>
        <v>0</v>
      </c>
      <c r="FF57" s="20">
        <f t="shared" si="213"/>
        <v>0</v>
      </c>
      <c r="FG57" s="20">
        <f t="shared" si="213"/>
        <v>0</v>
      </c>
      <c r="FH57" s="20">
        <f t="shared" si="213"/>
        <v>0</v>
      </c>
      <c r="FI57" s="20">
        <f t="shared" si="213"/>
        <v>0</v>
      </c>
      <c r="FJ57" s="20">
        <f t="shared" si="213"/>
        <v>0</v>
      </c>
      <c r="FK57" s="20">
        <f t="shared" si="213"/>
        <v>0</v>
      </c>
      <c r="FL57" s="20">
        <f t="shared" si="213"/>
        <v>21360206.561256509</v>
      </c>
      <c r="FM57" s="20">
        <f t="shared" si="213"/>
        <v>22280397.403045714</v>
      </c>
      <c r="FN57" s="20">
        <f t="shared" si="213"/>
        <v>22569593.467381995</v>
      </c>
      <c r="FO57" s="20">
        <f t="shared" si="213"/>
        <v>22280397.403045733</v>
      </c>
      <c r="FP57" s="20">
        <f t="shared" si="213"/>
        <v>21435229.253932942</v>
      </c>
      <c r="FQ57" s="20">
        <f t="shared" si="213"/>
        <v>20098477.243874762</v>
      </c>
      <c r="FR57" s="20">
        <f t="shared" si="213"/>
        <v>18368392.667920135</v>
      </c>
      <c r="FS57" s="20">
        <f t="shared" si="213"/>
        <v>16365167.698586643</v>
      </c>
      <c r="FT57" s="20">
        <f t="shared" si="213"/>
        <v>14217202.323856987</v>
      </c>
      <c r="FU57" s="20">
        <f t="shared" si="213"/>
        <v>12047726.791351464</v>
      </c>
      <c r="FV57" s="20">
        <f t="shared" si="213"/>
        <v>9963673.1491933651</v>
      </c>
      <c r="FW57" s="20">
        <f t="shared" si="213"/>
        <v>8048084.8374454975</v>
      </c>
      <c r="FX57" s="20">
        <f t="shared" si="213"/>
        <v>6356585.4434072273</v>
      </c>
      <c r="FY57" s="20">
        <f t="shared" si="213"/>
        <v>4917681.2983414317</v>
      </c>
      <c r="FZ57" s="20">
        <f t="shared" si="213"/>
        <v>3736098.8558910657</v>
      </c>
      <c r="GA57" s="20">
        <f t="shared" si="213"/>
        <v>2798042.157511042</v>
      </c>
      <c r="GB57" s="20">
        <f t="shared" ref="GB57:HG57" si="214">MIN(GA70,GB52+AR53-GB56)</f>
        <v>2077208.670304341</v>
      </c>
      <c r="GC57" s="20">
        <f t="shared" si="214"/>
        <v>1540571.8400115611</v>
      </c>
      <c r="GD57" s="20">
        <f t="shared" si="214"/>
        <v>1153238.7592138406</v>
      </c>
      <c r="GE57" s="20">
        <f t="shared" si="214"/>
        <v>882028.36212582723</v>
      </c>
      <c r="GF57" s="20">
        <f t="shared" si="214"/>
        <v>697714.0910358784</v>
      </c>
      <c r="GG57" s="20">
        <f t="shared" si="214"/>
        <v>0</v>
      </c>
      <c r="GH57" s="20">
        <f t="shared" si="214"/>
        <v>0</v>
      </c>
      <c r="GI57" s="20">
        <f t="shared" si="214"/>
        <v>0</v>
      </c>
      <c r="GJ57" s="20">
        <f t="shared" si="214"/>
        <v>0</v>
      </c>
      <c r="GK57" s="20">
        <f t="shared" si="214"/>
        <v>0</v>
      </c>
      <c r="GL57" s="20">
        <f t="shared" si="214"/>
        <v>0</v>
      </c>
      <c r="GM57" s="20">
        <f t="shared" si="214"/>
        <v>0</v>
      </c>
      <c r="GN57" s="20">
        <f t="shared" si="214"/>
        <v>0</v>
      </c>
      <c r="GO57" s="20">
        <f t="shared" si="214"/>
        <v>0</v>
      </c>
      <c r="GP57" s="20">
        <f t="shared" si="214"/>
        <v>0</v>
      </c>
      <c r="GQ57" s="20">
        <f t="shared" si="214"/>
        <v>0</v>
      </c>
      <c r="GR57" s="20">
        <f t="shared" si="214"/>
        <v>0</v>
      </c>
      <c r="GS57" s="20">
        <f t="shared" si="214"/>
        <v>0</v>
      </c>
      <c r="GT57" s="20">
        <f t="shared" si="214"/>
        <v>0</v>
      </c>
      <c r="GU57" s="20">
        <f t="shared" si="214"/>
        <v>0</v>
      </c>
      <c r="GV57" s="20">
        <f t="shared" si="214"/>
        <v>0</v>
      </c>
      <c r="GW57" s="20">
        <f t="shared" si="214"/>
        <v>0</v>
      </c>
      <c r="GX57" s="20">
        <f t="shared" si="214"/>
        <v>0</v>
      </c>
      <c r="GY57" s="20">
        <f t="shared" si="214"/>
        <v>0</v>
      </c>
      <c r="GZ57" s="20">
        <f t="shared" si="214"/>
        <v>0</v>
      </c>
      <c r="HA57" s="20">
        <f t="shared" si="214"/>
        <v>0</v>
      </c>
      <c r="HB57" s="20">
        <f t="shared" si="214"/>
        <v>0</v>
      </c>
      <c r="HC57" s="20">
        <f t="shared" si="214"/>
        <v>0</v>
      </c>
      <c r="HD57" s="20">
        <f t="shared" si="214"/>
        <v>0</v>
      </c>
      <c r="HE57" s="20">
        <f t="shared" si="214"/>
        <v>0</v>
      </c>
      <c r="HF57" s="20">
        <f t="shared" si="214"/>
        <v>0</v>
      </c>
      <c r="HG57" s="20">
        <f t="shared" si="214"/>
        <v>0</v>
      </c>
      <c r="HH57" s="20">
        <f t="shared" ref="HH57:IM57" si="215">MIN(HG70,HH52+BX53-HH56)</f>
        <v>0</v>
      </c>
      <c r="HI57" s="20">
        <f t="shared" si="215"/>
        <v>0</v>
      </c>
      <c r="HJ57" s="20">
        <f t="shared" si="215"/>
        <v>0</v>
      </c>
      <c r="HK57" s="20">
        <f t="shared" si="215"/>
        <v>0</v>
      </c>
      <c r="HL57" s="20">
        <f t="shared" si="215"/>
        <v>0</v>
      </c>
      <c r="HM57" s="20">
        <f t="shared" si="215"/>
        <v>0</v>
      </c>
      <c r="HN57" s="20">
        <f t="shared" si="215"/>
        <v>0</v>
      </c>
      <c r="HO57" s="20">
        <f t="shared" si="215"/>
        <v>0</v>
      </c>
      <c r="HP57" s="20">
        <f t="shared" si="215"/>
        <v>0</v>
      </c>
      <c r="HQ57" s="20">
        <f t="shared" si="215"/>
        <v>0</v>
      </c>
      <c r="HR57" s="20">
        <f t="shared" si="215"/>
        <v>0</v>
      </c>
      <c r="HS57" s="20">
        <f t="shared" si="215"/>
        <v>0</v>
      </c>
      <c r="HT57" s="20">
        <f t="shared" si="215"/>
        <v>0</v>
      </c>
      <c r="HU57" s="20">
        <f t="shared" si="215"/>
        <v>0</v>
      </c>
      <c r="HV57" s="20">
        <f t="shared" si="215"/>
        <v>0</v>
      </c>
      <c r="HW57" s="20">
        <f t="shared" si="215"/>
        <v>0</v>
      </c>
      <c r="HX57" s="20">
        <f t="shared" si="215"/>
        <v>0</v>
      </c>
      <c r="HY57" s="20">
        <f t="shared" si="215"/>
        <v>0</v>
      </c>
      <c r="HZ57" s="20">
        <f t="shared" si="215"/>
        <v>0</v>
      </c>
      <c r="IA57" s="20">
        <f t="shared" si="215"/>
        <v>0</v>
      </c>
      <c r="IB57" s="20">
        <f t="shared" si="215"/>
        <v>0</v>
      </c>
      <c r="IC57" s="20">
        <f t="shared" si="215"/>
        <v>0</v>
      </c>
      <c r="ID57" s="20">
        <f t="shared" si="215"/>
        <v>0</v>
      </c>
      <c r="IE57" s="20">
        <f t="shared" si="215"/>
        <v>0</v>
      </c>
      <c r="IF57" s="20">
        <f t="shared" si="215"/>
        <v>0</v>
      </c>
      <c r="IG57" s="20">
        <f t="shared" si="215"/>
        <v>0</v>
      </c>
      <c r="IH57" s="20">
        <f t="shared" si="215"/>
        <v>0</v>
      </c>
      <c r="II57" s="20">
        <f t="shared" si="215"/>
        <v>0</v>
      </c>
      <c r="IJ57" s="20">
        <f t="shared" si="215"/>
        <v>0</v>
      </c>
      <c r="IK57" s="20">
        <f t="shared" si="215"/>
        <v>0</v>
      </c>
      <c r="IL57" s="20">
        <f t="shared" si="215"/>
        <v>0</v>
      </c>
      <c r="IM57" s="20">
        <f t="shared" si="215"/>
        <v>0</v>
      </c>
      <c r="IN57" s="20">
        <f t="shared" ref="IN57:JS57" si="216">MIN(IM70,IN52+DD53-IN56)</f>
        <v>0</v>
      </c>
      <c r="IO57" s="20">
        <f t="shared" si="216"/>
        <v>0</v>
      </c>
      <c r="IP57" s="20">
        <f t="shared" si="216"/>
        <v>0</v>
      </c>
      <c r="IQ57" s="20">
        <f t="shared" si="216"/>
        <v>0</v>
      </c>
      <c r="IR57" s="20">
        <f t="shared" si="216"/>
        <v>0</v>
      </c>
      <c r="IS57" s="20">
        <f t="shared" si="216"/>
        <v>0</v>
      </c>
      <c r="IT57" s="20">
        <f t="shared" si="216"/>
        <v>0</v>
      </c>
      <c r="IU57" s="20">
        <f t="shared" si="216"/>
        <v>0</v>
      </c>
      <c r="IV57" s="20">
        <f t="shared" si="216"/>
        <v>0</v>
      </c>
      <c r="IW57" s="20">
        <f t="shared" si="216"/>
        <v>0</v>
      </c>
      <c r="IX57" s="20">
        <f t="shared" si="216"/>
        <v>0</v>
      </c>
      <c r="IY57" s="20">
        <f t="shared" si="216"/>
        <v>0</v>
      </c>
      <c r="IZ57" s="20">
        <f t="shared" si="216"/>
        <v>0</v>
      </c>
      <c r="JA57" s="20">
        <f t="shared" si="216"/>
        <v>0</v>
      </c>
      <c r="JB57" s="20">
        <f t="shared" si="216"/>
        <v>0</v>
      </c>
      <c r="JC57" s="20">
        <f t="shared" si="216"/>
        <v>0</v>
      </c>
      <c r="JD57" s="20">
        <f t="shared" si="216"/>
        <v>0</v>
      </c>
      <c r="JE57" s="20">
        <f t="shared" si="216"/>
        <v>0</v>
      </c>
      <c r="JF57" s="20">
        <f t="shared" si="216"/>
        <v>0</v>
      </c>
      <c r="JG57" s="20">
        <f t="shared" si="216"/>
        <v>0</v>
      </c>
      <c r="JH57" s="20">
        <f t="shared" si="216"/>
        <v>0</v>
      </c>
      <c r="JI57" s="20">
        <f t="shared" si="216"/>
        <v>0</v>
      </c>
      <c r="JJ57" s="20">
        <f t="shared" si="216"/>
        <v>0</v>
      </c>
      <c r="JK57" s="20">
        <f t="shared" si="216"/>
        <v>0</v>
      </c>
      <c r="JL57" s="20">
        <f t="shared" si="216"/>
        <v>0</v>
      </c>
      <c r="JM57" s="20">
        <f t="shared" si="216"/>
        <v>0</v>
      </c>
      <c r="JN57" s="20">
        <f t="shared" si="216"/>
        <v>0</v>
      </c>
      <c r="JO57" s="20">
        <f t="shared" si="216"/>
        <v>0</v>
      </c>
      <c r="JP57" s="20">
        <f t="shared" si="216"/>
        <v>0</v>
      </c>
      <c r="JQ57" s="20">
        <f t="shared" si="216"/>
        <v>0</v>
      </c>
      <c r="JR57" s="20">
        <f t="shared" si="216"/>
        <v>0</v>
      </c>
      <c r="JS57" s="20">
        <f t="shared" si="216"/>
        <v>0</v>
      </c>
      <c r="JT57" s="20">
        <f>MIN(JS70,JT52+EJ53-JT56)</f>
        <v>0</v>
      </c>
      <c r="JU57" s="20">
        <f>MIN(JT70,JU52+EK53-JU56)</f>
        <v>0</v>
      </c>
      <c r="JV57" s="20">
        <f>MIN(JU70,JV52+EL53-JV56)</f>
        <v>0</v>
      </c>
      <c r="JW57" s="20">
        <f>MIN(JV70,JW52+EM53-JW56)</f>
        <v>0</v>
      </c>
      <c r="JX57" s="20">
        <f>MIN(JW70,JX52+EN53-JX56)</f>
        <v>0</v>
      </c>
      <c r="JY57"/>
      <c r="JZ57" s="442"/>
      <c r="KA57" s="442"/>
      <c r="KB57" s="442"/>
      <c r="KC57" s="442"/>
      <c r="KD57" s="442"/>
      <c r="KE57" s="264"/>
      <c r="KF57" s="264"/>
      <c r="KG57" s="264"/>
      <c r="KH57" s="264"/>
      <c r="KI57" s="264"/>
      <c r="KJ57" s="264"/>
      <c r="KK57" s="264"/>
      <c r="KL57" s="264"/>
      <c r="KM57" s="264"/>
      <c r="KN57" s="264"/>
      <c r="KO57" s="264"/>
      <c r="KP57" s="264"/>
      <c r="KQ57" s="264"/>
      <c r="KR57" s="264"/>
      <c r="KS57" s="264"/>
      <c r="KT57" s="264"/>
      <c r="KU57" s="264"/>
      <c r="KV57" s="264"/>
      <c r="KW57" s="264"/>
      <c r="KX57" s="264"/>
      <c r="KY57" s="264"/>
      <c r="KZ57" s="264"/>
      <c r="LA57" s="264"/>
      <c r="LB57" s="264"/>
      <c r="LC57" s="264"/>
      <c r="LD57" s="264"/>
      <c r="LE57" s="264"/>
      <c r="LF57" s="264"/>
      <c r="LG57" s="264"/>
      <c r="LH57" s="264"/>
      <c r="LI57" s="264"/>
      <c r="LJ57" s="264"/>
      <c r="LK57" s="264"/>
      <c r="LL57" s="264"/>
      <c r="LM57" s="264"/>
      <c r="LN57" s="264"/>
      <c r="LO57" s="264"/>
      <c r="LP57" s="264"/>
      <c r="LQ57" s="264"/>
      <c r="LR57" s="264"/>
      <c r="LS57" s="264"/>
      <c r="LT57" s="264"/>
      <c r="LU57" s="264"/>
      <c r="LV57" s="264"/>
      <c r="LW57" s="264"/>
      <c r="LX57" s="264"/>
      <c r="LY57" s="264"/>
      <c r="LZ57" s="264"/>
      <c r="MA57" s="264"/>
      <c r="MB57" s="264"/>
      <c r="MC57" s="264"/>
      <c r="MD57" s="264"/>
      <c r="ME57" s="264"/>
      <c r="MF57" s="264"/>
      <c r="MG57" s="264"/>
      <c r="MH57" s="264"/>
      <c r="MI57" s="264"/>
      <c r="MJ57" s="264"/>
      <c r="MK57" s="264"/>
      <c r="ML57" s="264"/>
      <c r="MM57" s="264"/>
      <c r="MN57" s="264"/>
      <c r="MO57" s="264"/>
      <c r="MP57" s="264"/>
      <c r="MQ57" s="264"/>
      <c r="MR57" s="264"/>
      <c r="MS57" s="264"/>
      <c r="MT57" s="264"/>
      <c r="MU57" s="264"/>
      <c r="MV57" s="264"/>
      <c r="MW57" s="264"/>
      <c r="MX57" s="264"/>
      <c r="MY57" s="264"/>
      <c r="MZ57" s="264"/>
      <c r="NA57" s="264"/>
      <c r="NB57" s="264"/>
      <c r="NC57" s="264"/>
      <c r="ND57" s="264"/>
      <c r="NE57" s="264"/>
      <c r="NF57" s="264"/>
      <c r="NG57" s="264"/>
      <c r="NH57" s="264"/>
      <c r="NI57" s="264"/>
      <c r="NJ57" s="264"/>
      <c r="NK57" s="264"/>
      <c r="NL57" s="264"/>
      <c r="NM57" s="264"/>
      <c r="NN57" s="264"/>
      <c r="NO57" s="264"/>
      <c r="NP57" s="264"/>
      <c r="NQ57" s="264"/>
      <c r="NR57" s="264"/>
      <c r="NS57" s="264"/>
      <c r="NT57" s="264"/>
      <c r="NU57" s="264"/>
      <c r="NV57" s="264"/>
      <c r="NW57" s="264"/>
      <c r="NX57" s="264"/>
      <c r="NY57" s="264"/>
      <c r="NZ57" s="264"/>
      <c r="OA57" s="264"/>
      <c r="OB57" s="264"/>
      <c r="OC57" s="264"/>
      <c r="OD57" s="264"/>
      <c r="OE57" s="264"/>
      <c r="OF57" s="264"/>
      <c r="OG57" s="264"/>
      <c r="OH57" s="264"/>
      <c r="OI57" s="264"/>
      <c r="OJ57" s="264"/>
      <c r="OK57" s="264"/>
      <c r="OL57" s="264"/>
      <c r="OM57" s="264"/>
      <c r="ON57" s="264"/>
      <c r="OO57" s="264"/>
      <c r="OP57" s="264"/>
      <c r="OQ57" s="264"/>
      <c r="OR57" s="264"/>
      <c r="OS57" s="264"/>
      <c r="OT57" s="264"/>
      <c r="OU57" s="264"/>
      <c r="OV57" s="264"/>
      <c r="OW57" s="264"/>
      <c r="OX57" s="264"/>
      <c r="OY57" s="264"/>
      <c r="OZ57" s="264"/>
      <c r="PA57" s="264"/>
      <c r="PB57" s="264"/>
      <c r="PC57" s="264"/>
      <c r="PD57" s="264"/>
      <c r="PE57" s="264"/>
      <c r="PF57" s="264"/>
      <c r="PG57" s="264"/>
      <c r="PH57" s="264"/>
    </row>
    <row r="58" spans="1:424" x14ac:dyDescent="0.35">
      <c r="A58"/>
      <c r="B58" s="34"/>
      <c r="C58" s="397"/>
      <c r="D58" s="397"/>
      <c r="E58" s="397"/>
      <c r="F58" s="397"/>
      <c r="G58" s="400"/>
      <c r="H58" s="400"/>
      <c r="I58" s="397"/>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s="219" t="s">
        <v>168</v>
      </c>
      <c r="EQ58" s="18"/>
      <c r="ER58" s="18"/>
      <c r="ES58" s="18"/>
      <c r="ET58" s="410"/>
      <c r="EU58" s="20">
        <f>SUM(EV58:JX58)</f>
        <v>55420204.001591839</v>
      </c>
      <c r="EV58" s="20">
        <f t="shared" ref="EV58:GA58" si="217">EV61-EV62</f>
        <v>0</v>
      </c>
      <c r="EW58" s="20">
        <f t="shared" si="217"/>
        <v>0</v>
      </c>
      <c r="EX58" s="20">
        <f t="shared" si="217"/>
        <v>0</v>
      </c>
      <c r="EY58" s="20">
        <f t="shared" si="217"/>
        <v>0</v>
      </c>
      <c r="EZ58" s="20">
        <f t="shared" si="217"/>
        <v>0</v>
      </c>
      <c r="FA58" s="20">
        <f t="shared" si="217"/>
        <v>0</v>
      </c>
      <c r="FB58" s="20">
        <f t="shared" si="217"/>
        <v>0</v>
      </c>
      <c r="FC58" s="20">
        <f t="shared" si="217"/>
        <v>0</v>
      </c>
      <c r="FD58" s="20">
        <f t="shared" si="217"/>
        <v>0</v>
      </c>
      <c r="FE58" s="20">
        <f t="shared" si="217"/>
        <v>0</v>
      </c>
      <c r="FF58" s="20">
        <f t="shared" si="217"/>
        <v>0</v>
      </c>
      <c r="FG58" s="20">
        <f t="shared" si="217"/>
        <v>0</v>
      </c>
      <c r="FH58" s="20">
        <f t="shared" si="217"/>
        <v>0</v>
      </c>
      <c r="FI58" s="20">
        <f t="shared" si="217"/>
        <v>0</v>
      </c>
      <c r="FJ58" s="20">
        <f t="shared" si="217"/>
        <v>0</v>
      </c>
      <c r="FK58" s="20">
        <f t="shared" si="217"/>
        <v>0</v>
      </c>
      <c r="FL58" s="20">
        <f t="shared" si="217"/>
        <v>0</v>
      </c>
      <c r="FM58" s="20">
        <f t="shared" si="217"/>
        <v>115701.11887347278</v>
      </c>
      <c r="FN58" s="20">
        <f t="shared" si="217"/>
        <v>237013.31920053504</v>
      </c>
      <c r="FO58" s="20">
        <f t="shared" si="217"/>
        <v>360549.10596119048</v>
      </c>
      <c r="FP58" s="20">
        <f t="shared" si="217"/>
        <v>483187.56621831126</v>
      </c>
      <c r="FQ58" s="20">
        <f t="shared" si="217"/>
        <v>601912.32399413048</v>
      </c>
      <c r="FR58" s="20">
        <f t="shared" si="217"/>
        <v>714039.43415342038</v>
      </c>
      <c r="FS58" s="20">
        <f t="shared" si="217"/>
        <v>817402.60803965235</v>
      </c>
      <c r="FT58" s="20">
        <f t="shared" si="217"/>
        <v>910474.86386721127</v>
      </c>
      <c r="FU58" s="20">
        <f t="shared" si="217"/>
        <v>992416.44863405079</v>
      </c>
      <c r="FV58" s="20">
        <f t="shared" si="217"/>
        <v>1063050.5578506391</v>
      </c>
      <c r="FW58" s="20">
        <f t="shared" si="217"/>
        <v>1122778.6445971273</v>
      </c>
      <c r="FX58" s="20">
        <f t="shared" si="217"/>
        <v>1172454.1551248583</v>
      </c>
      <c r="FY58" s="20">
        <f t="shared" si="217"/>
        <v>1213236.4529502403</v>
      </c>
      <c r="FZ58" s="20">
        <f t="shared" si="217"/>
        <v>1246445.590769737</v>
      </c>
      <c r="GA58" s="20">
        <f t="shared" si="217"/>
        <v>1273434.3731891497</v>
      </c>
      <c r="GB58" s="20">
        <f t="shared" ref="GB58:HG58" si="218">GB61-GB62</f>
        <v>1295488.2043971091</v>
      </c>
      <c r="GC58" s="20">
        <f t="shared" si="218"/>
        <v>1313756.9791350754</v>
      </c>
      <c r="GD58" s="20">
        <f t="shared" si="218"/>
        <v>1329217.926905453</v>
      </c>
      <c r="GE58" s="20">
        <f t="shared" si="218"/>
        <v>1342664.5672885992</v>
      </c>
      <c r="GF58" s="20">
        <f t="shared" si="218"/>
        <v>1354714.9873229272</v>
      </c>
      <c r="GG58" s="20">
        <f t="shared" si="218"/>
        <v>1365832.3114973707</v>
      </c>
      <c r="GH58" s="20">
        <f t="shared" si="218"/>
        <v>1373230.5698513146</v>
      </c>
      <c r="GI58" s="20">
        <f t="shared" si="218"/>
        <v>1380668.902104676</v>
      </c>
      <c r="GJ58" s="20">
        <f t="shared" si="218"/>
        <v>1388147.5253244096</v>
      </c>
      <c r="GK58" s="20">
        <f t="shared" si="218"/>
        <v>1395666.6577532501</v>
      </c>
      <c r="GL58" s="20">
        <f t="shared" si="218"/>
        <v>1403226.5188160802</v>
      </c>
      <c r="GM58" s="20">
        <f t="shared" si="218"/>
        <v>1410827.3291263341</v>
      </c>
      <c r="GN58" s="20">
        <f t="shared" si="218"/>
        <v>1418469.3104924352</v>
      </c>
      <c r="GO58" s="20">
        <f t="shared" si="218"/>
        <v>1426152.685924269</v>
      </c>
      <c r="GP58" s="20">
        <f t="shared" si="218"/>
        <v>1433877.6796396922</v>
      </c>
      <c r="GQ58" s="20">
        <f t="shared" si="218"/>
        <v>1441644.5170710739</v>
      </c>
      <c r="GR58" s="20">
        <f t="shared" si="218"/>
        <v>1449453.4248718752</v>
      </c>
      <c r="GS58" s="20">
        <f t="shared" si="218"/>
        <v>1457304.6309232647</v>
      </c>
      <c r="GT58" s="20">
        <f t="shared" si="218"/>
        <v>1465198.3643407656</v>
      </c>
      <c r="GU58" s="20">
        <f t="shared" si="218"/>
        <v>1473134.855480945</v>
      </c>
      <c r="GV58" s="20">
        <f t="shared" si="218"/>
        <v>1481114.3359481336</v>
      </c>
      <c r="GW58" s="20">
        <f t="shared" si="218"/>
        <v>1489137.0386011859</v>
      </c>
      <c r="GX58" s="20">
        <f t="shared" si="218"/>
        <v>1497203.1975602752</v>
      </c>
      <c r="GY58" s="20">
        <f t="shared" si="218"/>
        <v>1505313.0482137268</v>
      </c>
      <c r="GZ58" s="20">
        <f t="shared" si="218"/>
        <v>1513466.8272248844</v>
      </c>
      <c r="HA58" s="20">
        <f t="shared" si="218"/>
        <v>1521664.7725390194</v>
      </c>
      <c r="HB58" s="20">
        <f t="shared" si="218"/>
        <v>1529907.1233902723</v>
      </c>
      <c r="HC58" s="20">
        <f t="shared" si="218"/>
        <v>1538194.1203086365</v>
      </c>
      <c r="HD58" s="20">
        <f t="shared" si="218"/>
        <v>1546526.0051269748</v>
      </c>
      <c r="HE58" s="20">
        <f t="shared" si="218"/>
        <v>1554903.020988079</v>
      </c>
      <c r="HF58" s="20">
        <f t="shared" si="218"/>
        <v>0</v>
      </c>
      <c r="HG58" s="20">
        <f t="shared" si="218"/>
        <v>0</v>
      </c>
      <c r="HH58" s="20">
        <f t="shared" ref="HH58:IM58" si="219">HH61-HH62</f>
        <v>0</v>
      </c>
      <c r="HI58" s="20">
        <f t="shared" si="219"/>
        <v>0</v>
      </c>
      <c r="HJ58" s="20">
        <f t="shared" si="219"/>
        <v>0</v>
      </c>
      <c r="HK58" s="20">
        <f t="shared" si="219"/>
        <v>0</v>
      </c>
      <c r="HL58" s="20">
        <f t="shared" si="219"/>
        <v>0</v>
      </c>
      <c r="HM58" s="20">
        <f t="shared" si="219"/>
        <v>0</v>
      </c>
      <c r="HN58" s="20">
        <f t="shared" si="219"/>
        <v>0</v>
      </c>
      <c r="HO58" s="20">
        <f t="shared" si="219"/>
        <v>0</v>
      </c>
      <c r="HP58" s="20">
        <f t="shared" si="219"/>
        <v>0</v>
      </c>
      <c r="HQ58" s="20">
        <f t="shared" si="219"/>
        <v>0</v>
      </c>
      <c r="HR58" s="20">
        <f t="shared" si="219"/>
        <v>0</v>
      </c>
      <c r="HS58" s="20">
        <f t="shared" si="219"/>
        <v>0</v>
      </c>
      <c r="HT58" s="20">
        <f t="shared" si="219"/>
        <v>0</v>
      </c>
      <c r="HU58" s="20">
        <f t="shared" si="219"/>
        <v>0</v>
      </c>
      <c r="HV58" s="20">
        <f t="shared" si="219"/>
        <v>0</v>
      </c>
      <c r="HW58" s="20">
        <f t="shared" si="219"/>
        <v>0</v>
      </c>
      <c r="HX58" s="20">
        <f t="shared" si="219"/>
        <v>0</v>
      </c>
      <c r="HY58" s="20">
        <f t="shared" si="219"/>
        <v>0</v>
      </c>
      <c r="HZ58" s="20">
        <f t="shared" si="219"/>
        <v>0</v>
      </c>
      <c r="IA58" s="20">
        <f t="shared" si="219"/>
        <v>0</v>
      </c>
      <c r="IB58" s="20">
        <f t="shared" si="219"/>
        <v>0</v>
      </c>
      <c r="IC58" s="20">
        <f t="shared" si="219"/>
        <v>0</v>
      </c>
      <c r="ID58" s="20">
        <f t="shared" si="219"/>
        <v>0</v>
      </c>
      <c r="IE58" s="20">
        <f t="shared" si="219"/>
        <v>0</v>
      </c>
      <c r="IF58" s="20">
        <f t="shared" si="219"/>
        <v>0</v>
      </c>
      <c r="IG58" s="20">
        <f t="shared" si="219"/>
        <v>0</v>
      </c>
      <c r="IH58" s="20">
        <f t="shared" si="219"/>
        <v>0</v>
      </c>
      <c r="II58" s="20">
        <f t="shared" si="219"/>
        <v>0</v>
      </c>
      <c r="IJ58" s="20">
        <f t="shared" si="219"/>
        <v>0</v>
      </c>
      <c r="IK58" s="20">
        <f t="shared" si="219"/>
        <v>0</v>
      </c>
      <c r="IL58" s="20">
        <f t="shared" si="219"/>
        <v>0</v>
      </c>
      <c r="IM58" s="20">
        <f t="shared" si="219"/>
        <v>0</v>
      </c>
      <c r="IN58" s="20">
        <f t="shared" ref="IN58:JX58" si="220">IN61-IN62</f>
        <v>0</v>
      </c>
      <c r="IO58" s="20">
        <f t="shared" si="220"/>
        <v>0</v>
      </c>
      <c r="IP58" s="20">
        <f t="shared" si="220"/>
        <v>0</v>
      </c>
      <c r="IQ58" s="20">
        <f t="shared" si="220"/>
        <v>0</v>
      </c>
      <c r="IR58" s="20">
        <f t="shared" si="220"/>
        <v>0</v>
      </c>
      <c r="IS58" s="20">
        <f t="shared" si="220"/>
        <v>0</v>
      </c>
      <c r="IT58" s="20">
        <f t="shared" si="220"/>
        <v>0</v>
      </c>
      <c r="IU58" s="20">
        <f t="shared" si="220"/>
        <v>0</v>
      </c>
      <c r="IV58" s="20">
        <f t="shared" si="220"/>
        <v>0</v>
      </c>
      <c r="IW58" s="20">
        <f t="shared" si="220"/>
        <v>0</v>
      </c>
      <c r="IX58" s="20">
        <f t="shared" si="220"/>
        <v>0</v>
      </c>
      <c r="IY58" s="20">
        <f t="shared" si="220"/>
        <v>0</v>
      </c>
      <c r="IZ58" s="20">
        <f t="shared" si="220"/>
        <v>0</v>
      </c>
      <c r="JA58" s="20">
        <f t="shared" si="220"/>
        <v>0</v>
      </c>
      <c r="JB58" s="20">
        <f t="shared" si="220"/>
        <v>0</v>
      </c>
      <c r="JC58" s="20">
        <f t="shared" si="220"/>
        <v>0</v>
      </c>
      <c r="JD58" s="20">
        <f t="shared" si="220"/>
        <v>0</v>
      </c>
      <c r="JE58" s="20">
        <f t="shared" si="220"/>
        <v>0</v>
      </c>
      <c r="JF58" s="20">
        <f t="shared" si="220"/>
        <v>0</v>
      </c>
      <c r="JG58" s="20">
        <f t="shared" si="220"/>
        <v>0</v>
      </c>
      <c r="JH58" s="20">
        <f t="shared" si="220"/>
        <v>0</v>
      </c>
      <c r="JI58" s="20">
        <f t="shared" si="220"/>
        <v>0</v>
      </c>
      <c r="JJ58" s="20">
        <f t="shared" si="220"/>
        <v>0</v>
      </c>
      <c r="JK58" s="20">
        <f t="shared" si="220"/>
        <v>0</v>
      </c>
      <c r="JL58" s="20">
        <f t="shared" si="220"/>
        <v>0</v>
      </c>
      <c r="JM58" s="20">
        <f t="shared" si="220"/>
        <v>0</v>
      </c>
      <c r="JN58" s="20">
        <f t="shared" si="220"/>
        <v>0</v>
      </c>
      <c r="JO58" s="20">
        <f t="shared" si="220"/>
        <v>0</v>
      </c>
      <c r="JP58" s="20">
        <f t="shared" si="220"/>
        <v>0</v>
      </c>
      <c r="JQ58" s="20">
        <f t="shared" si="220"/>
        <v>0</v>
      </c>
      <c r="JR58" s="20">
        <f t="shared" si="220"/>
        <v>0</v>
      </c>
      <c r="JS58" s="20">
        <f t="shared" si="220"/>
        <v>0</v>
      </c>
      <c r="JT58" s="20">
        <f t="shared" si="220"/>
        <v>0</v>
      </c>
      <c r="JU58" s="20">
        <f t="shared" si="220"/>
        <v>0</v>
      </c>
      <c r="JV58" s="20">
        <f t="shared" si="220"/>
        <v>0</v>
      </c>
      <c r="JW58" s="20">
        <f t="shared" si="220"/>
        <v>0</v>
      </c>
      <c r="JX58" s="20">
        <f t="shared" si="220"/>
        <v>0</v>
      </c>
      <c r="JY58"/>
      <c r="JZ58" s="262"/>
      <c r="KA58" s="262"/>
      <c r="KB58" s="262"/>
      <c r="KC58" s="262"/>
      <c r="KD58" s="262"/>
      <c r="KE58" s="262"/>
      <c r="KF58" s="262"/>
      <c r="KG58" s="262"/>
      <c r="KH58" s="262"/>
      <c r="KI58" s="262"/>
      <c r="KJ58" s="262"/>
      <c r="KK58" s="262"/>
      <c r="KL58" s="262"/>
      <c r="KM58" s="262"/>
      <c r="KN58" s="262"/>
      <c r="KO58" s="262"/>
      <c r="KP58" s="262"/>
      <c r="KQ58" s="262"/>
      <c r="KR58" s="262"/>
      <c r="KS58" s="262"/>
      <c r="KT58" s="262"/>
      <c r="KU58" s="262"/>
      <c r="KV58" s="262"/>
      <c r="KW58" s="262"/>
      <c r="KX58" s="262"/>
      <c r="KY58" s="262"/>
      <c r="KZ58" s="262"/>
      <c r="LA58" s="262"/>
      <c r="LB58" s="262"/>
      <c r="LC58" s="262"/>
      <c r="LD58" s="262"/>
      <c r="LE58" s="262"/>
      <c r="LF58" s="262"/>
      <c r="LG58" s="262"/>
      <c r="LH58" s="262"/>
      <c r="LI58" s="262"/>
      <c r="LJ58" s="262"/>
      <c r="LK58" s="262"/>
      <c r="LL58" s="262"/>
      <c r="LM58" s="262"/>
      <c r="LN58" s="262"/>
      <c r="LO58" s="262"/>
      <c r="LP58" s="262"/>
      <c r="LQ58" s="262"/>
      <c r="LR58" s="262"/>
      <c r="LS58" s="262"/>
      <c r="LT58" s="262"/>
      <c r="LU58" s="262"/>
      <c r="LV58" s="262"/>
      <c r="LW58" s="262"/>
      <c r="LX58" s="262"/>
      <c r="LY58" s="262"/>
      <c r="LZ58" s="262"/>
      <c r="MA58" s="262"/>
      <c r="MB58" s="262"/>
      <c r="MC58" s="262"/>
      <c r="MD58" s="262"/>
      <c r="ME58" s="262"/>
      <c r="MF58" s="262"/>
      <c r="MG58" s="262"/>
      <c r="MH58" s="262"/>
      <c r="MI58" s="262"/>
      <c r="MJ58" s="262"/>
      <c r="MK58" s="262"/>
      <c r="ML58" s="262"/>
      <c r="MM58" s="262"/>
      <c r="MN58" s="262"/>
      <c r="MO58" s="262"/>
      <c r="MP58" s="262"/>
      <c r="MQ58" s="262"/>
      <c r="MR58" s="262"/>
      <c r="MS58" s="262"/>
      <c r="MT58" s="262"/>
      <c r="MU58" s="262"/>
      <c r="MV58" s="262"/>
      <c r="MW58" s="262"/>
      <c r="MX58" s="262"/>
      <c r="MY58" s="262"/>
      <c r="MZ58" s="262"/>
      <c r="NA58" s="262"/>
      <c r="NB58" s="262"/>
      <c r="NC58" s="262"/>
      <c r="ND58" s="262"/>
      <c r="NE58" s="262"/>
      <c r="NF58" s="262"/>
      <c r="NG58" s="262"/>
      <c r="NH58" s="262"/>
      <c r="NI58" s="262"/>
      <c r="NJ58" s="262"/>
      <c r="NK58" s="262"/>
      <c r="NL58" s="262"/>
      <c r="NM58" s="262"/>
      <c r="NN58" s="262"/>
      <c r="NO58" s="262"/>
      <c r="NP58" s="262"/>
      <c r="NQ58" s="262"/>
      <c r="NR58" s="262"/>
      <c r="NS58" s="262"/>
      <c r="NT58" s="262"/>
      <c r="NU58" s="262"/>
      <c r="NV58" s="262"/>
      <c r="NW58" s="262"/>
      <c r="NX58" s="262"/>
      <c r="NY58" s="262"/>
      <c r="NZ58" s="262"/>
      <c r="OA58" s="262"/>
      <c r="OB58" s="262"/>
      <c r="OC58" s="262"/>
      <c r="OD58" s="262"/>
      <c r="OE58" s="262"/>
      <c r="OF58" s="262"/>
      <c r="OG58" s="262"/>
      <c r="OH58" s="262"/>
      <c r="OI58" s="262"/>
      <c r="OJ58" s="262"/>
      <c r="OK58" s="262"/>
      <c r="OL58" s="262"/>
      <c r="OM58" s="262"/>
      <c r="ON58" s="262"/>
      <c r="OO58" s="262"/>
      <c r="OP58" s="262"/>
      <c r="OQ58" s="262"/>
      <c r="OR58" s="262"/>
      <c r="OS58" s="262"/>
      <c r="OT58" s="262"/>
      <c r="OU58" s="262"/>
      <c r="OV58" s="262"/>
      <c r="OW58" s="262"/>
      <c r="OX58" s="262"/>
      <c r="OY58" s="262"/>
      <c r="OZ58" s="262"/>
      <c r="PA58" s="262"/>
      <c r="PB58" s="262"/>
      <c r="PC58" s="262"/>
      <c r="PD58" s="262"/>
      <c r="PE58" s="262"/>
      <c r="PF58" s="262"/>
      <c r="PG58" s="262"/>
      <c r="PH58" s="262"/>
    </row>
    <row r="59" spans="1:424" x14ac:dyDescent="0.35">
      <c r="A59"/>
      <c r="B59" s="411"/>
      <c r="C59" s="412" t="s">
        <v>169</v>
      </c>
      <c r="D59" s="412" t="s">
        <v>170</v>
      </c>
      <c r="E59" s="412" t="s">
        <v>171</v>
      </c>
      <c r="F59" s="412" t="s">
        <v>172</v>
      </c>
      <c r="G59" s="135" t="str">
        <f>H25</f>
        <v>/RENTABLE M2</v>
      </c>
      <c r="H59" s="135"/>
      <c r="I59" s="412" t="s">
        <v>135</v>
      </c>
      <c r="J59"/>
      <c r="K59"/>
      <c r="L59" s="443"/>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s="219" t="s">
        <v>173</v>
      </c>
      <c r="EQ59" s="18"/>
      <c r="ER59" s="18"/>
      <c r="ES59" s="18"/>
      <c r="ET59" s="410" t="s">
        <v>174</v>
      </c>
      <c r="EU59" s="26">
        <f>SUM(EV59:JX59)</f>
        <v>0</v>
      </c>
      <c r="EV59" s="20">
        <f>-MIN(L155,0)</f>
        <v>0</v>
      </c>
      <c r="EW59" s="20">
        <f t="shared" ref="EW59:HH59" si="221">-MIN(M155,0)</f>
        <v>0</v>
      </c>
      <c r="EX59" s="20">
        <f t="shared" si="221"/>
        <v>0</v>
      </c>
      <c r="EY59" s="20">
        <f t="shared" si="221"/>
        <v>0</v>
      </c>
      <c r="EZ59" s="20">
        <f t="shared" si="221"/>
        <v>0</v>
      </c>
      <c r="FA59" s="20">
        <f t="shared" si="221"/>
        <v>0</v>
      </c>
      <c r="FB59" s="20">
        <f t="shared" si="221"/>
        <v>0</v>
      </c>
      <c r="FC59" s="20">
        <f t="shared" si="221"/>
        <v>0</v>
      </c>
      <c r="FD59" s="20">
        <f t="shared" si="221"/>
        <v>0</v>
      </c>
      <c r="FE59" s="20">
        <f t="shared" si="221"/>
        <v>0</v>
      </c>
      <c r="FF59" s="20">
        <f t="shared" si="221"/>
        <v>0</v>
      </c>
      <c r="FG59" s="20">
        <f t="shared" si="221"/>
        <v>0</v>
      </c>
      <c r="FH59" s="20">
        <f t="shared" si="221"/>
        <v>0</v>
      </c>
      <c r="FI59" s="20">
        <f t="shared" si="221"/>
        <v>0</v>
      </c>
      <c r="FJ59" s="20">
        <f t="shared" si="221"/>
        <v>0</v>
      </c>
      <c r="FK59" s="20">
        <f t="shared" si="221"/>
        <v>0</v>
      </c>
      <c r="FL59" s="20">
        <f t="shared" si="221"/>
        <v>0</v>
      </c>
      <c r="FM59" s="20">
        <f t="shared" si="221"/>
        <v>0</v>
      </c>
      <c r="FN59" s="20">
        <f t="shared" si="221"/>
        <v>0</v>
      </c>
      <c r="FO59" s="20">
        <f t="shared" si="221"/>
        <v>0</v>
      </c>
      <c r="FP59" s="20">
        <f t="shared" si="221"/>
        <v>0</v>
      </c>
      <c r="FQ59" s="20">
        <f t="shared" si="221"/>
        <v>0</v>
      </c>
      <c r="FR59" s="20">
        <f t="shared" si="221"/>
        <v>0</v>
      </c>
      <c r="FS59" s="20">
        <f t="shared" si="221"/>
        <v>0</v>
      </c>
      <c r="FT59" s="20">
        <f t="shared" si="221"/>
        <v>0</v>
      </c>
      <c r="FU59" s="20">
        <f t="shared" si="221"/>
        <v>0</v>
      </c>
      <c r="FV59" s="20">
        <f t="shared" si="221"/>
        <v>0</v>
      </c>
      <c r="FW59" s="20">
        <f t="shared" si="221"/>
        <v>0</v>
      </c>
      <c r="FX59" s="20">
        <f t="shared" si="221"/>
        <v>0</v>
      </c>
      <c r="FY59" s="20">
        <f t="shared" si="221"/>
        <v>0</v>
      </c>
      <c r="FZ59" s="20">
        <f t="shared" si="221"/>
        <v>0</v>
      </c>
      <c r="GA59" s="20">
        <f t="shared" si="221"/>
        <v>0</v>
      </c>
      <c r="GB59" s="20">
        <f t="shared" si="221"/>
        <v>0</v>
      </c>
      <c r="GC59" s="20">
        <f t="shared" si="221"/>
        <v>0</v>
      </c>
      <c r="GD59" s="20">
        <f t="shared" si="221"/>
        <v>0</v>
      </c>
      <c r="GE59" s="20">
        <f t="shared" si="221"/>
        <v>0</v>
      </c>
      <c r="GF59" s="20">
        <f t="shared" si="221"/>
        <v>0</v>
      </c>
      <c r="GG59" s="20">
        <f t="shared" si="221"/>
        <v>0</v>
      </c>
      <c r="GH59" s="20">
        <f t="shared" si="221"/>
        <v>0</v>
      </c>
      <c r="GI59" s="20">
        <f t="shared" si="221"/>
        <v>0</v>
      </c>
      <c r="GJ59" s="20">
        <f t="shared" si="221"/>
        <v>0</v>
      </c>
      <c r="GK59" s="20">
        <f t="shared" si="221"/>
        <v>0</v>
      </c>
      <c r="GL59" s="20">
        <f t="shared" si="221"/>
        <v>0</v>
      </c>
      <c r="GM59" s="20">
        <f t="shared" si="221"/>
        <v>0</v>
      </c>
      <c r="GN59" s="20">
        <f t="shared" si="221"/>
        <v>0</v>
      </c>
      <c r="GO59" s="20">
        <f t="shared" si="221"/>
        <v>0</v>
      </c>
      <c r="GP59" s="20">
        <f t="shared" si="221"/>
        <v>0</v>
      </c>
      <c r="GQ59" s="20">
        <f t="shared" si="221"/>
        <v>0</v>
      </c>
      <c r="GR59" s="20">
        <f t="shared" si="221"/>
        <v>0</v>
      </c>
      <c r="GS59" s="20">
        <f t="shared" si="221"/>
        <v>0</v>
      </c>
      <c r="GT59" s="20">
        <f t="shared" si="221"/>
        <v>0</v>
      </c>
      <c r="GU59" s="20">
        <f t="shared" si="221"/>
        <v>0</v>
      </c>
      <c r="GV59" s="20">
        <f t="shared" si="221"/>
        <v>0</v>
      </c>
      <c r="GW59" s="20">
        <f t="shared" si="221"/>
        <v>0</v>
      </c>
      <c r="GX59" s="20">
        <f t="shared" si="221"/>
        <v>0</v>
      </c>
      <c r="GY59" s="20">
        <f t="shared" si="221"/>
        <v>0</v>
      </c>
      <c r="GZ59" s="20">
        <f t="shared" si="221"/>
        <v>0</v>
      </c>
      <c r="HA59" s="20">
        <f t="shared" si="221"/>
        <v>0</v>
      </c>
      <c r="HB59" s="20">
        <f t="shared" si="221"/>
        <v>0</v>
      </c>
      <c r="HC59" s="20">
        <f t="shared" si="221"/>
        <v>0</v>
      </c>
      <c r="HD59" s="20">
        <f t="shared" si="221"/>
        <v>0</v>
      </c>
      <c r="HE59" s="20">
        <f t="shared" si="221"/>
        <v>0</v>
      </c>
      <c r="HF59" s="20">
        <f t="shared" si="221"/>
        <v>0</v>
      </c>
      <c r="HG59" s="20">
        <f t="shared" si="221"/>
        <v>0</v>
      </c>
      <c r="HH59" s="20">
        <f t="shared" si="221"/>
        <v>0</v>
      </c>
      <c r="HI59" s="20">
        <f t="shared" ref="HI59:JT59" si="222">-MIN(BY155,0)</f>
        <v>0</v>
      </c>
      <c r="HJ59" s="20">
        <f t="shared" si="222"/>
        <v>0</v>
      </c>
      <c r="HK59" s="20">
        <f t="shared" si="222"/>
        <v>0</v>
      </c>
      <c r="HL59" s="20">
        <f t="shared" si="222"/>
        <v>0</v>
      </c>
      <c r="HM59" s="20">
        <f t="shared" si="222"/>
        <v>0</v>
      </c>
      <c r="HN59" s="20">
        <f t="shared" si="222"/>
        <v>0</v>
      </c>
      <c r="HO59" s="20">
        <f t="shared" si="222"/>
        <v>0</v>
      </c>
      <c r="HP59" s="20">
        <f t="shared" si="222"/>
        <v>0</v>
      </c>
      <c r="HQ59" s="20">
        <f t="shared" si="222"/>
        <v>0</v>
      </c>
      <c r="HR59" s="20">
        <f t="shared" si="222"/>
        <v>0</v>
      </c>
      <c r="HS59" s="20">
        <f t="shared" si="222"/>
        <v>0</v>
      </c>
      <c r="HT59" s="20">
        <f t="shared" si="222"/>
        <v>0</v>
      </c>
      <c r="HU59" s="20">
        <f t="shared" si="222"/>
        <v>0</v>
      </c>
      <c r="HV59" s="20">
        <f t="shared" si="222"/>
        <v>0</v>
      </c>
      <c r="HW59" s="20">
        <f t="shared" si="222"/>
        <v>0</v>
      </c>
      <c r="HX59" s="20">
        <f t="shared" si="222"/>
        <v>0</v>
      </c>
      <c r="HY59" s="20">
        <f t="shared" si="222"/>
        <v>0</v>
      </c>
      <c r="HZ59" s="20">
        <f t="shared" si="222"/>
        <v>0</v>
      </c>
      <c r="IA59" s="20">
        <f t="shared" si="222"/>
        <v>0</v>
      </c>
      <c r="IB59" s="20">
        <f t="shared" si="222"/>
        <v>0</v>
      </c>
      <c r="IC59" s="20">
        <f t="shared" si="222"/>
        <v>0</v>
      </c>
      <c r="ID59" s="20">
        <f t="shared" si="222"/>
        <v>0</v>
      </c>
      <c r="IE59" s="20">
        <f t="shared" si="222"/>
        <v>0</v>
      </c>
      <c r="IF59" s="20">
        <f t="shared" si="222"/>
        <v>0</v>
      </c>
      <c r="IG59" s="20">
        <f t="shared" si="222"/>
        <v>0</v>
      </c>
      <c r="IH59" s="20">
        <f t="shared" si="222"/>
        <v>0</v>
      </c>
      <c r="II59" s="20">
        <f t="shared" si="222"/>
        <v>0</v>
      </c>
      <c r="IJ59" s="20">
        <f t="shared" si="222"/>
        <v>0</v>
      </c>
      <c r="IK59" s="20">
        <f t="shared" si="222"/>
        <v>0</v>
      </c>
      <c r="IL59" s="20">
        <f t="shared" si="222"/>
        <v>0</v>
      </c>
      <c r="IM59" s="20">
        <f t="shared" si="222"/>
        <v>0</v>
      </c>
      <c r="IN59" s="20">
        <f t="shared" si="222"/>
        <v>0</v>
      </c>
      <c r="IO59" s="20">
        <f t="shared" si="222"/>
        <v>0</v>
      </c>
      <c r="IP59" s="20">
        <f t="shared" si="222"/>
        <v>0</v>
      </c>
      <c r="IQ59" s="20">
        <f t="shared" si="222"/>
        <v>0</v>
      </c>
      <c r="IR59" s="20">
        <f t="shared" si="222"/>
        <v>0</v>
      </c>
      <c r="IS59" s="20">
        <f t="shared" si="222"/>
        <v>0</v>
      </c>
      <c r="IT59" s="20">
        <f t="shared" si="222"/>
        <v>0</v>
      </c>
      <c r="IU59" s="20">
        <f t="shared" si="222"/>
        <v>0</v>
      </c>
      <c r="IV59" s="20">
        <f t="shared" si="222"/>
        <v>0</v>
      </c>
      <c r="IW59" s="20">
        <f t="shared" si="222"/>
        <v>0</v>
      </c>
      <c r="IX59" s="20">
        <f t="shared" si="222"/>
        <v>0</v>
      </c>
      <c r="IY59" s="20">
        <f t="shared" si="222"/>
        <v>0</v>
      </c>
      <c r="IZ59" s="20">
        <f t="shared" si="222"/>
        <v>0</v>
      </c>
      <c r="JA59" s="20">
        <f t="shared" si="222"/>
        <v>0</v>
      </c>
      <c r="JB59" s="20">
        <f t="shared" si="222"/>
        <v>0</v>
      </c>
      <c r="JC59" s="20">
        <f t="shared" si="222"/>
        <v>0</v>
      </c>
      <c r="JD59" s="20">
        <f t="shared" si="222"/>
        <v>0</v>
      </c>
      <c r="JE59" s="20">
        <f t="shared" si="222"/>
        <v>0</v>
      </c>
      <c r="JF59" s="20">
        <f t="shared" si="222"/>
        <v>0</v>
      </c>
      <c r="JG59" s="20">
        <f t="shared" si="222"/>
        <v>0</v>
      </c>
      <c r="JH59" s="20">
        <f t="shared" si="222"/>
        <v>0</v>
      </c>
      <c r="JI59" s="20">
        <f t="shared" si="222"/>
        <v>0</v>
      </c>
      <c r="JJ59" s="20">
        <f t="shared" si="222"/>
        <v>0</v>
      </c>
      <c r="JK59" s="20">
        <f t="shared" si="222"/>
        <v>0</v>
      </c>
      <c r="JL59" s="20">
        <f t="shared" si="222"/>
        <v>0</v>
      </c>
      <c r="JM59" s="20">
        <f t="shared" si="222"/>
        <v>0</v>
      </c>
      <c r="JN59" s="20">
        <f t="shared" si="222"/>
        <v>0</v>
      </c>
      <c r="JO59" s="20">
        <f t="shared" si="222"/>
        <v>0</v>
      </c>
      <c r="JP59" s="20">
        <f t="shared" si="222"/>
        <v>0</v>
      </c>
      <c r="JQ59" s="20">
        <f t="shared" si="222"/>
        <v>0</v>
      </c>
      <c r="JR59" s="20">
        <f t="shared" si="222"/>
        <v>0</v>
      </c>
      <c r="JS59" s="20">
        <f t="shared" si="222"/>
        <v>0</v>
      </c>
      <c r="JT59" s="20">
        <f t="shared" si="222"/>
        <v>0</v>
      </c>
      <c r="JU59" s="20">
        <f>-MIN(EK155,0)</f>
        <v>0</v>
      </c>
      <c r="JV59" s="20">
        <f>-MIN(EL155,0)</f>
        <v>0</v>
      </c>
      <c r="JW59" s="20">
        <f>-MIN(EM155,0)</f>
        <v>0</v>
      </c>
      <c r="JX59" s="20">
        <f>-MIN(EN155,0)</f>
        <v>0</v>
      </c>
      <c r="JY59"/>
      <c r="JZ59" s="262"/>
      <c r="KA59" s="262"/>
      <c r="KB59" s="262"/>
      <c r="KC59" s="262"/>
      <c r="KD59" s="262"/>
      <c r="KE59" s="262"/>
      <c r="KF59" s="262"/>
      <c r="KG59" s="262"/>
      <c r="KH59" s="262"/>
      <c r="KI59" s="262"/>
      <c r="KJ59" s="262"/>
      <c r="KK59" s="262"/>
      <c r="KL59" s="262"/>
      <c r="KM59" s="262"/>
      <c r="KN59" s="262"/>
      <c r="KO59" s="262"/>
      <c r="KP59" s="262"/>
      <c r="KQ59" s="262"/>
      <c r="KR59" s="262"/>
      <c r="KS59" s="262"/>
      <c r="KT59" s="262"/>
      <c r="KU59" s="262"/>
      <c r="KV59" s="262"/>
      <c r="KW59" s="262"/>
      <c r="KX59" s="262"/>
      <c r="KY59" s="262"/>
      <c r="KZ59" s="262"/>
      <c r="LA59" s="262"/>
      <c r="LB59" s="262"/>
      <c r="LC59" s="262"/>
      <c r="LD59" s="262"/>
      <c r="LE59" s="262"/>
      <c r="LF59" s="262"/>
      <c r="LG59" s="262"/>
      <c r="LH59" s="262"/>
      <c r="LI59" s="262"/>
      <c r="LJ59" s="262"/>
      <c r="LK59" s="262"/>
      <c r="LL59" s="262"/>
      <c r="LM59" s="262"/>
      <c r="LN59" s="262"/>
      <c r="LO59" s="262"/>
      <c r="LP59" s="262"/>
      <c r="LQ59" s="262"/>
      <c r="LR59" s="262"/>
      <c r="LS59" s="262"/>
      <c r="LT59" s="262"/>
      <c r="LU59" s="262"/>
      <c r="LV59" s="262"/>
      <c r="LW59" s="262"/>
      <c r="LX59" s="262"/>
      <c r="LY59" s="262"/>
      <c r="LZ59" s="262"/>
      <c r="MA59" s="262"/>
      <c r="MB59" s="262"/>
      <c r="MC59" s="262"/>
      <c r="MD59" s="262"/>
      <c r="ME59" s="262"/>
      <c r="MF59" s="262"/>
      <c r="MG59" s="262"/>
      <c r="MH59" s="262"/>
      <c r="MI59" s="262"/>
      <c r="MJ59" s="262"/>
      <c r="MK59" s="262"/>
      <c r="ML59" s="262"/>
      <c r="MM59" s="262"/>
      <c r="MN59" s="262"/>
      <c r="MO59" s="262"/>
      <c r="MP59" s="262"/>
      <c r="MQ59" s="262"/>
      <c r="MR59" s="262"/>
      <c r="MS59" s="262"/>
      <c r="MT59" s="262"/>
      <c r="MU59" s="262"/>
      <c r="MV59" s="262"/>
      <c r="MW59" s="262"/>
      <c r="MX59" s="262"/>
      <c r="MY59" s="262"/>
      <c r="MZ59" s="262"/>
      <c r="NA59" s="262"/>
      <c r="NB59" s="262"/>
      <c r="NC59" s="262"/>
      <c r="ND59" s="262"/>
      <c r="NE59" s="262"/>
      <c r="NF59" s="262"/>
      <c r="NG59" s="262"/>
      <c r="NH59" s="262"/>
      <c r="NI59" s="262"/>
      <c r="NJ59" s="262"/>
      <c r="NK59" s="262"/>
      <c r="NL59" s="262"/>
      <c r="NM59" s="262"/>
      <c r="NN59" s="262"/>
      <c r="NO59" s="262"/>
      <c r="NP59" s="262"/>
      <c r="NQ59" s="262"/>
      <c r="NR59" s="262"/>
      <c r="NS59" s="262"/>
      <c r="NT59" s="262"/>
      <c r="NU59" s="262"/>
      <c r="NV59" s="262"/>
      <c r="NW59" s="262"/>
      <c r="NX59" s="262"/>
      <c r="NY59" s="262"/>
      <c r="NZ59" s="262"/>
      <c r="OA59" s="262"/>
      <c r="OB59" s="262"/>
      <c r="OC59" s="262"/>
      <c r="OD59" s="262"/>
      <c r="OE59" s="262"/>
      <c r="OF59" s="262"/>
      <c r="OG59" s="262"/>
      <c r="OH59" s="262"/>
      <c r="OI59" s="262"/>
      <c r="OJ59" s="262"/>
      <c r="OK59" s="262"/>
      <c r="OL59" s="262"/>
      <c r="OM59" s="262"/>
      <c r="ON59" s="262"/>
      <c r="OO59" s="262"/>
      <c r="OP59" s="262"/>
      <c r="OQ59" s="262"/>
      <c r="OR59" s="262"/>
      <c r="OS59" s="262"/>
      <c r="OT59" s="262"/>
      <c r="OU59" s="262"/>
      <c r="OV59" s="262"/>
      <c r="OW59" s="262"/>
      <c r="OX59" s="262"/>
      <c r="OY59" s="262"/>
      <c r="OZ59" s="262"/>
      <c r="PA59" s="262"/>
      <c r="PB59" s="262"/>
      <c r="PC59" s="262"/>
      <c r="PD59" s="262"/>
      <c r="PE59" s="262"/>
      <c r="PF59" s="262"/>
      <c r="PG59" s="262"/>
      <c r="PH59" s="262"/>
    </row>
    <row r="60" spans="1:424" x14ac:dyDescent="0.35">
      <c r="A60"/>
      <c r="B60" s="444"/>
      <c r="C60" s="38">
        <v>1</v>
      </c>
      <c r="D60" s="37"/>
      <c r="E60" s="400" t="s">
        <v>175</v>
      </c>
      <c r="F60" s="52">
        <f>I60/Project_Cost_Total</f>
        <v>0.48047171410345801</v>
      </c>
      <c r="G60" s="134">
        <f>I60/Units_SF_M2</f>
        <v>2748.3353194255906</v>
      </c>
      <c r="H60" s="415"/>
      <c r="I60" s="445">
        <f>SUM(L69:EN69)</f>
        <v>215662916.8827475</v>
      </c>
      <c r="J60"/>
      <c r="K60"/>
      <c r="L60" s="443" t="s">
        <v>176</v>
      </c>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219" t="s">
        <v>177</v>
      </c>
      <c r="EQ60" s="18"/>
      <c r="ER60" s="18"/>
      <c r="ES60" s="18"/>
      <c r="ET60" s="20" t="str">
        <f>IF(AND(ROUND(EU60,0)=ROUND(SUM($EV$60:$JX$60),0),ROUND(EU60,0)=ROUND(Project_Cost_Total,0)),"OK","ERR")</f>
        <v>ERR</v>
      </c>
      <c r="EU60" s="20">
        <f>SUM(EU56:EU59)</f>
        <v>504276839.16307336</v>
      </c>
      <c r="EV60" s="20">
        <f t="shared" ref="EV60:HG60" si="223">SUM(EV56:EV59)</f>
        <v>93017714.091035873</v>
      </c>
      <c r="EW60" s="20">
        <f t="shared" si="223"/>
        <v>882028.36212584306</v>
      </c>
      <c r="EX60" s="20">
        <f t="shared" si="223"/>
        <v>1153238.7592138182</v>
      </c>
      <c r="EY60" s="20">
        <f t="shared" si="223"/>
        <v>1540571.8400115801</v>
      </c>
      <c r="EZ60" s="20">
        <f t="shared" si="223"/>
        <v>2077208.6703043352</v>
      </c>
      <c r="FA60" s="20">
        <f t="shared" si="223"/>
        <v>2798042.1575110573</v>
      </c>
      <c r="FB60" s="20">
        <f t="shared" si="223"/>
        <v>3736098.8558910517</v>
      </c>
      <c r="FC60" s="20">
        <f t="shared" si="223"/>
        <v>4917681.2983414307</v>
      </c>
      <c r="FD60" s="20">
        <f t="shared" si="223"/>
        <v>6356585.443407244</v>
      </c>
      <c r="FE60" s="20">
        <f t="shared" si="223"/>
        <v>8048084.8374454733</v>
      </c>
      <c r="FF60" s="20">
        <f t="shared" si="223"/>
        <v>9963673.1491933651</v>
      </c>
      <c r="FG60" s="20">
        <f t="shared" si="223"/>
        <v>12047726.791351493</v>
      </c>
      <c r="FH60" s="20">
        <f t="shared" si="223"/>
        <v>14217202.323856961</v>
      </c>
      <c r="FI60" s="20">
        <f t="shared" si="223"/>
        <v>16365167.698586643</v>
      </c>
      <c r="FJ60" s="20">
        <f t="shared" si="223"/>
        <v>18368392.667920161</v>
      </c>
      <c r="FK60" s="20">
        <f t="shared" si="223"/>
        <v>20098477.243874725</v>
      </c>
      <c r="FL60" s="20">
        <f t="shared" si="223"/>
        <v>21435229.253932979</v>
      </c>
      <c r="FM60" s="20">
        <f t="shared" si="223"/>
        <v>22396098.521919187</v>
      </c>
      <c r="FN60" s="20">
        <f t="shared" si="223"/>
        <v>22806606.78658253</v>
      </c>
      <c r="FO60" s="20">
        <f t="shared" si="223"/>
        <v>22640946.509006921</v>
      </c>
      <c r="FP60" s="20">
        <f t="shared" si="223"/>
        <v>21918416.820151255</v>
      </c>
      <c r="FQ60" s="20">
        <f t="shared" si="223"/>
        <v>20700389.567868892</v>
      </c>
      <c r="FR60" s="20">
        <f t="shared" si="223"/>
        <v>19082432.102073554</v>
      </c>
      <c r="FS60" s="20">
        <f t="shared" si="223"/>
        <v>17182570.306626294</v>
      </c>
      <c r="FT60" s="20">
        <f t="shared" si="223"/>
        <v>15127677.187724199</v>
      </c>
      <c r="FU60" s="20">
        <f t="shared" si="223"/>
        <v>13040143.239985514</v>
      </c>
      <c r="FV60" s="20">
        <f t="shared" si="223"/>
        <v>11026723.707044004</v>
      </c>
      <c r="FW60" s="20">
        <f t="shared" si="223"/>
        <v>9170863.4820426255</v>
      </c>
      <c r="FX60" s="20">
        <f t="shared" si="223"/>
        <v>7529039.5985320853</v>
      </c>
      <c r="FY60" s="20">
        <f t="shared" si="223"/>
        <v>6130917.7512916718</v>
      </c>
      <c r="FZ60" s="20">
        <f t="shared" si="223"/>
        <v>4982544.4466608027</v>
      </c>
      <c r="GA60" s="20">
        <f t="shared" si="223"/>
        <v>4071476.5307001919</v>
      </c>
      <c r="GB60" s="20">
        <f t="shared" si="223"/>
        <v>3372696.8747014501</v>
      </c>
      <c r="GC60" s="20">
        <f t="shared" si="223"/>
        <v>2854328.8191466364</v>
      </c>
      <c r="GD60" s="20">
        <f t="shared" si="223"/>
        <v>2482456.6861192938</v>
      </c>
      <c r="GE60" s="20">
        <f t="shared" si="223"/>
        <v>2224692.9294144264</v>
      </c>
      <c r="GF60" s="20">
        <f t="shared" si="223"/>
        <v>2052429.0783588057</v>
      </c>
      <c r="GG60" s="20">
        <f t="shared" si="223"/>
        <v>1365832.3114973707</v>
      </c>
      <c r="GH60" s="20">
        <f t="shared" si="223"/>
        <v>1373230.5698513146</v>
      </c>
      <c r="GI60" s="20">
        <f t="shared" si="223"/>
        <v>1380668.902104676</v>
      </c>
      <c r="GJ60" s="20">
        <f t="shared" si="223"/>
        <v>1388147.5253244096</v>
      </c>
      <c r="GK60" s="20">
        <f t="shared" si="223"/>
        <v>1395666.6577532501</v>
      </c>
      <c r="GL60" s="20">
        <f t="shared" si="223"/>
        <v>1403226.5188160802</v>
      </c>
      <c r="GM60" s="20">
        <f t="shared" si="223"/>
        <v>1410827.3291263341</v>
      </c>
      <c r="GN60" s="20">
        <f t="shared" si="223"/>
        <v>1418469.3104924352</v>
      </c>
      <c r="GO60" s="20">
        <f t="shared" si="223"/>
        <v>1426152.685924269</v>
      </c>
      <c r="GP60" s="20">
        <f t="shared" si="223"/>
        <v>1433877.6796396922</v>
      </c>
      <c r="GQ60" s="20">
        <f t="shared" si="223"/>
        <v>1441644.5170710739</v>
      </c>
      <c r="GR60" s="20">
        <f t="shared" si="223"/>
        <v>1449453.4248718752</v>
      </c>
      <c r="GS60" s="20">
        <f t="shared" si="223"/>
        <v>1457304.6309232647</v>
      </c>
      <c r="GT60" s="20">
        <f t="shared" si="223"/>
        <v>1465198.3643407656</v>
      </c>
      <c r="GU60" s="20">
        <f t="shared" si="223"/>
        <v>1473134.855480945</v>
      </c>
      <c r="GV60" s="20">
        <f t="shared" si="223"/>
        <v>1481114.3359481336</v>
      </c>
      <c r="GW60" s="20">
        <f t="shared" si="223"/>
        <v>1489137.0386011859</v>
      </c>
      <c r="GX60" s="20">
        <f t="shared" si="223"/>
        <v>1497203.1975602752</v>
      </c>
      <c r="GY60" s="20">
        <f t="shared" si="223"/>
        <v>1505313.0482137268</v>
      </c>
      <c r="GZ60" s="20">
        <f t="shared" si="223"/>
        <v>1513466.8272248844</v>
      </c>
      <c r="HA60" s="20">
        <f t="shared" si="223"/>
        <v>1521664.7725390194</v>
      </c>
      <c r="HB60" s="20">
        <f t="shared" si="223"/>
        <v>1529907.1233902723</v>
      </c>
      <c r="HC60" s="20">
        <f t="shared" si="223"/>
        <v>1538194.1203086365</v>
      </c>
      <c r="HD60" s="20">
        <f t="shared" si="223"/>
        <v>1546526.0051269748</v>
      </c>
      <c r="HE60" s="20">
        <f t="shared" si="223"/>
        <v>1554903.020988079</v>
      </c>
      <c r="HF60" s="20">
        <f t="shared" si="223"/>
        <v>0</v>
      </c>
      <c r="HG60" s="20">
        <f t="shared" si="223"/>
        <v>0</v>
      </c>
      <c r="HH60" s="20">
        <f t="shared" ref="HH60:JS60" si="224">SUM(HH56:HH59)</f>
        <v>0</v>
      </c>
      <c r="HI60" s="20">
        <f t="shared" si="224"/>
        <v>0</v>
      </c>
      <c r="HJ60" s="20">
        <f t="shared" si="224"/>
        <v>0</v>
      </c>
      <c r="HK60" s="20">
        <f t="shared" si="224"/>
        <v>0</v>
      </c>
      <c r="HL60" s="20">
        <f t="shared" si="224"/>
        <v>0</v>
      </c>
      <c r="HM60" s="20">
        <f t="shared" si="224"/>
        <v>0</v>
      </c>
      <c r="HN60" s="20">
        <f t="shared" si="224"/>
        <v>0</v>
      </c>
      <c r="HO60" s="20">
        <f t="shared" si="224"/>
        <v>0</v>
      </c>
      <c r="HP60" s="20">
        <f t="shared" si="224"/>
        <v>0</v>
      </c>
      <c r="HQ60" s="20">
        <f t="shared" si="224"/>
        <v>0</v>
      </c>
      <c r="HR60" s="20">
        <f t="shared" si="224"/>
        <v>0</v>
      </c>
      <c r="HS60" s="20">
        <f t="shared" si="224"/>
        <v>0</v>
      </c>
      <c r="HT60" s="20">
        <f t="shared" si="224"/>
        <v>0</v>
      </c>
      <c r="HU60" s="20">
        <f t="shared" si="224"/>
        <v>0</v>
      </c>
      <c r="HV60" s="20">
        <f t="shared" si="224"/>
        <v>0</v>
      </c>
      <c r="HW60" s="20">
        <f t="shared" si="224"/>
        <v>0</v>
      </c>
      <c r="HX60" s="20">
        <f t="shared" si="224"/>
        <v>0</v>
      </c>
      <c r="HY60" s="20">
        <f t="shared" si="224"/>
        <v>0</v>
      </c>
      <c r="HZ60" s="20">
        <f t="shared" si="224"/>
        <v>0</v>
      </c>
      <c r="IA60" s="20">
        <f t="shared" si="224"/>
        <v>0</v>
      </c>
      <c r="IB60" s="20">
        <f t="shared" si="224"/>
        <v>0</v>
      </c>
      <c r="IC60" s="20">
        <f t="shared" si="224"/>
        <v>0</v>
      </c>
      <c r="ID60" s="20">
        <f t="shared" si="224"/>
        <v>0</v>
      </c>
      <c r="IE60" s="20">
        <f t="shared" si="224"/>
        <v>0</v>
      </c>
      <c r="IF60" s="20">
        <f t="shared" si="224"/>
        <v>0</v>
      </c>
      <c r="IG60" s="20">
        <f t="shared" si="224"/>
        <v>0</v>
      </c>
      <c r="IH60" s="20">
        <f t="shared" si="224"/>
        <v>0</v>
      </c>
      <c r="II60" s="20">
        <f t="shared" si="224"/>
        <v>0</v>
      </c>
      <c r="IJ60" s="20">
        <f t="shared" si="224"/>
        <v>0</v>
      </c>
      <c r="IK60" s="20">
        <f t="shared" si="224"/>
        <v>0</v>
      </c>
      <c r="IL60" s="20">
        <f t="shared" si="224"/>
        <v>0</v>
      </c>
      <c r="IM60" s="20">
        <f t="shared" si="224"/>
        <v>0</v>
      </c>
      <c r="IN60" s="20">
        <f t="shared" si="224"/>
        <v>0</v>
      </c>
      <c r="IO60" s="20">
        <f t="shared" si="224"/>
        <v>0</v>
      </c>
      <c r="IP60" s="20">
        <f t="shared" si="224"/>
        <v>0</v>
      </c>
      <c r="IQ60" s="20">
        <f t="shared" si="224"/>
        <v>0</v>
      </c>
      <c r="IR60" s="20">
        <f t="shared" si="224"/>
        <v>0</v>
      </c>
      <c r="IS60" s="20">
        <f t="shared" si="224"/>
        <v>0</v>
      </c>
      <c r="IT60" s="20">
        <f t="shared" si="224"/>
        <v>0</v>
      </c>
      <c r="IU60" s="20">
        <f t="shared" si="224"/>
        <v>0</v>
      </c>
      <c r="IV60" s="20">
        <f t="shared" si="224"/>
        <v>0</v>
      </c>
      <c r="IW60" s="20">
        <f t="shared" si="224"/>
        <v>0</v>
      </c>
      <c r="IX60" s="20">
        <f t="shared" si="224"/>
        <v>0</v>
      </c>
      <c r="IY60" s="20">
        <f t="shared" si="224"/>
        <v>0</v>
      </c>
      <c r="IZ60" s="20">
        <f t="shared" si="224"/>
        <v>0</v>
      </c>
      <c r="JA60" s="20">
        <f t="shared" si="224"/>
        <v>0</v>
      </c>
      <c r="JB60" s="20">
        <f t="shared" si="224"/>
        <v>0</v>
      </c>
      <c r="JC60" s="20">
        <f t="shared" si="224"/>
        <v>0</v>
      </c>
      <c r="JD60" s="20">
        <f t="shared" si="224"/>
        <v>0</v>
      </c>
      <c r="JE60" s="20">
        <f t="shared" si="224"/>
        <v>0</v>
      </c>
      <c r="JF60" s="20">
        <f t="shared" si="224"/>
        <v>0</v>
      </c>
      <c r="JG60" s="20">
        <f t="shared" si="224"/>
        <v>0</v>
      </c>
      <c r="JH60" s="20">
        <f t="shared" si="224"/>
        <v>0</v>
      </c>
      <c r="JI60" s="20">
        <f t="shared" si="224"/>
        <v>0</v>
      </c>
      <c r="JJ60" s="20">
        <f t="shared" si="224"/>
        <v>0</v>
      </c>
      <c r="JK60" s="20">
        <f t="shared" si="224"/>
        <v>0</v>
      </c>
      <c r="JL60" s="20">
        <f t="shared" si="224"/>
        <v>0</v>
      </c>
      <c r="JM60" s="20">
        <f t="shared" si="224"/>
        <v>0</v>
      </c>
      <c r="JN60" s="20">
        <f t="shared" si="224"/>
        <v>0</v>
      </c>
      <c r="JO60" s="20">
        <f t="shared" si="224"/>
        <v>0</v>
      </c>
      <c r="JP60" s="20">
        <f t="shared" si="224"/>
        <v>0</v>
      </c>
      <c r="JQ60" s="20">
        <f t="shared" si="224"/>
        <v>0</v>
      </c>
      <c r="JR60" s="20">
        <f t="shared" si="224"/>
        <v>0</v>
      </c>
      <c r="JS60" s="20">
        <f t="shared" si="224"/>
        <v>0</v>
      </c>
      <c r="JT60" s="20">
        <f>SUM(JT56:JT59)</f>
        <v>0</v>
      </c>
      <c r="JU60" s="20">
        <f>SUM(JU56:JU59)</f>
        <v>0</v>
      </c>
      <c r="JV60" s="20">
        <f>SUM(JV56:JV59)</f>
        <v>0</v>
      </c>
      <c r="JW60" s="20">
        <f>SUM(JW56:JW59)</f>
        <v>0</v>
      </c>
      <c r="JX60" s="20">
        <f>SUM(JX56:JX59)</f>
        <v>0</v>
      </c>
      <c r="JY60"/>
      <c r="JZ60" s="262"/>
      <c r="KA60" s="262"/>
      <c r="KB60" s="262"/>
      <c r="KC60" s="262"/>
      <c r="KD60" s="262"/>
      <c r="KE60" s="262"/>
      <c r="KF60" s="262"/>
      <c r="KG60" s="262"/>
      <c r="KH60" s="262"/>
      <c r="KI60" s="262"/>
      <c r="KJ60" s="262"/>
      <c r="KK60" s="262"/>
      <c r="KL60" s="262"/>
      <c r="KM60" s="262"/>
      <c r="KN60" s="262"/>
      <c r="KO60" s="262"/>
      <c r="KP60" s="262"/>
      <c r="KQ60" s="262"/>
      <c r="KR60" s="262"/>
      <c r="KS60" s="262"/>
      <c r="KT60" s="262"/>
      <c r="KU60" s="262"/>
      <c r="KV60" s="262"/>
      <c r="KW60" s="262"/>
      <c r="KX60" s="262"/>
      <c r="KY60" s="262"/>
      <c r="KZ60" s="262"/>
      <c r="LA60" s="262"/>
      <c r="LB60" s="262"/>
      <c r="LC60" s="262"/>
      <c r="LD60" s="262"/>
      <c r="LE60" s="262"/>
      <c r="LF60" s="262"/>
      <c r="LG60" s="262"/>
      <c r="LH60" s="262"/>
      <c r="LI60" s="262"/>
      <c r="LJ60" s="262"/>
      <c r="LK60" s="262"/>
      <c r="LL60" s="262"/>
      <c r="LM60" s="262"/>
      <c r="LN60" s="262"/>
      <c r="LO60" s="262"/>
      <c r="LP60" s="262"/>
      <c r="LQ60" s="262"/>
      <c r="LR60" s="262"/>
      <c r="LS60" s="262"/>
      <c r="LT60" s="262"/>
      <c r="LU60" s="262"/>
      <c r="LV60" s="262"/>
      <c r="LW60" s="262"/>
      <c r="LX60" s="262"/>
      <c r="LY60" s="262"/>
      <c r="LZ60" s="262"/>
      <c r="MA60" s="262"/>
      <c r="MB60" s="262"/>
      <c r="MC60" s="262"/>
      <c r="MD60" s="262"/>
      <c r="ME60" s="262"/>
      <c r="MF60" s="262"/>
      <c r="MG60" s="262"/>
      <c r="MH60" s="262"/>
      <c r="MI60" s="262"/>
      <c r="MJ60" s="262"/>
      <c r="MK60" s="262"/>
      <c r="ML60" s="262"/>
      <c r="MM60" s="262"/>
      <c r="MN60" s="262"/>
      <c r="MO60" s="262"/>
      <c r="MP60" s="262"/>
      <c r="MQ60" s="262"/>
      <c r="MR60" s="262"/>
      <c r="MS60" s="262"/>
      <c r="MT60" s="262"/>
      <c r="MU60" s="262"/>
      <c r="MV60" s="262"/>
      <c r="MW60" s="262"/>
      <c r="MX60" s="262"/>
      <c r="MY60" s="262"/>
      <c r="MZ60" s="262"/>
      <c r="NA60" s="262"/>
      <c r="NB60" s="262"/>
      <c r="NC60" s="262"/>
      <c r="ND60" s="262"/>
      <c r="NE60" s="262"/>
      <c r="NF60" s="262"/>
      <c r="NG60" s="262"/>
      <c r="NH60" s="262"/>
      <c r="NI60" s="262"/>
      <c r="NJ60" s="262"/>
      <c r="NK60" s="262"/>
      <c r="NL60" s="262"/>
      <c r="NM60" s="262"/>
      <c r="NN60" s="262"/>
      <c r="NO60" s="262"/>
      <c r="NP60" s="262"/>
      <c r="NQ60" s="262"/>
      <c r="NR60" s="262"/>
      <c r="NS60" s="262"/>
      <c r="NT60" s="262"/>
      <c r="NU60" s="262"/>
      <c r="NV60" s="262"/>
      <c r="NW60" s="262"/>
      <c r="NX60" s="262"/>
      <c r="NY60" s="262"/>
      <c r="NZ60" s="262"/>
      <c r="OA60" s="262"/>
      <c r="OB60" s="262"/>
      <c r="OC60" s="262"/>
      <c r="OD60" s="262"/>
      <c r="OE60" s="262"/>
      <c r="OF60" s="262"/>
      <c r="OG60" s="262"/>
      <c r="OH60" s="262"/>
      <c r="OI60" s="262"/>
      <c r="OJ60" s="262"/>
      <c r="OK60" s="262"/>
      <c r="OL60" s="262"/>
      <c r="OM60" s="262"/>
      <c r="ON60" s="262"/>
      <c r="OO60" s="262"/>
      <c r="OP60" s="262"/>
      <c r="OQ60" s="262"/>
      <c r="OR60" s="262"/>
      <c r="OS60" s="262"/>
      <c r="OT60" s="262"/>
      <c r="OU60" s="262"/>
      <c r="OV60" s="262"/>
      <c r="OW60" s="262"/>
      <c r="OX60" s="262"/>
      <c r="OY60" s="262"/>
      <c r="OZ60" s="262"/>
      <c r="PA60" s="262"/>
      <c r="PB60" s="262"/>
      <c r="PC60" s="262"/>
      <c r="PD60" s="262"/>
      <c r="PE60" s="262"/>
      <c r="PF60" s="262"/>
      <c r="PG60" s="262"/>
      <c r="PH60" s="262"/>
    </row>
    <row r="61" spans="1:424" x14ac:dyDescent="0.35">
      <c r="A61"/>
      <c r="B61" s="427" t="s">
        <v>178</v>
      </c>
      <c r="C61" s="844">
        <f>'FUNDING &amp; CAP TABLE'!$I$20</f>
        <v>0.5</v>
      </c>
      <c r="D61" s="37">
        <v>2</v>
      </c>
      <c r="E61" s="265">
        <f>MAX(EV66:JX66)</f>
        <v>6.5000000000000002E-2</v>
      </c>
      <c r="F61" s="54">
        <f>I61/Project_Cost_Total</f>
        <v>0.52400395824069002</v>
      </c>
      <c r="G61" s="135"/>
      <c r="H61" s="428">
        <f>I61/Units_SF_M2</f>
        <v>2997.3431186036514</v>
      </c>
      <c r="I61" s="420">
        <f>SUM(DEBT!F81:DV81,DEBT!F82:DV82)</f>
        <v>235202653.50721359</v>
      </c>
      <c r="J61"/>
      <c r="K61" s="446" t="str">
        <f>B65</f>
        <v>Construction Loan</v>
      </c>
      <c r="L61" s="447">
        <f>IF($D$65=$D$66,SUM(L72:L74)*$EP$61,SUM(L72:L74)*EV88)</f>
        <v>0</v>
      </c>
      <c r="M61" s="447">
        <f t="shared" ref="M61:BX61" si="225">IF($D$65=$D$66,SUM(M72:M74)*$EP$61,SUM(M72:M74)*EW88)</f>
        <v>0</v>
      </c>
      <c r="N61" s="447">
        <f t="shared" si="225"/>
        <v>0</v>
      </c>
      <c r="O61" s="447">
        <f t="shared" si="225"/>
        <v>0</v>
      </c>
      <c r="P61" s="447">
        <f t="shared" si="225"/>
        <v>0</v>
      </c>
      <c r="Q61" s="447">
        <f t="shared" si="225"/>
        <v>0</v>
      </c>
      <c r="R61" s="447">
        <f t="shared" si="225"/>
        <v>0</v>
      </c>
      <c r="S61" s="447">
        <f t="shared" si="225"/>
        <v>0</v>
      </c>
      <c r="T61" s="447">
        <f t="shared" si="225"/>
        <v>0</v>
      </c>
      <c r="U61" s="447">
        <f t="shared" si="225"/>
        <v>0</v>
      </c>
      <c r="V61" s="447">
        <f t="shared" si="225"/>
        <v>0</v>
      </c>
      <c r="W61" s="447">
        <f t="shared" si="225"/>
        <v>0</v>
      </c>
      <c r="X61" s="447">
        <f t="shared" si="225"/>
        <v>0</v>
      </c>
      <c r="Y61" s="447">
        <f t="shared" si="225"/>
        <v>0</v>
      </c>
      <c r="Z61" s="447">
        <f t="shared" si="225"/>
        <v>0</v>
      </c>
      <c r="AA61" s="447">
        <f t="shared" si="225"/>
        <v>0</v>
      </c>
      <c r="AB61" s="447">
        <f t="shared" si="225"/>
        <v>10840288.090406999</v>
      </c>
      <c r="AC61" s="447">
        <f t="shared" si="225"/>
        <v>11227475.507889705</v>
      </c>
      <c r="AD61" s="447">
        <f t="shared" si="225"/>
        <v>11330171.302228959</v>
      </c>
      <c r="AE61" s="447">
        <f t="shared" si="225"/>
        <v>11140198.701522855</v>
      </c>
      <c r="AF61" s="447">
        <f t="shared" si="225"/>
        <v>10717614.626966475</v>
      </c>
      <c r="AG61" s="447">
        <f t="shared" si="225"/>
        <v>10139987.759013323</v>
      </c>
      <c r="AH61" s="447">
        <f t="shared" si="225"/>
        <v>9358749.946693752</v>
      </c>
      <c r="AI61" s="447">
        <f t="shared" si="225"/>
        <v>8427930.7761743367</v>
      </c>
      <c r="AJ61" s="447">
        <f t="shared" si="225"/>
        <v>7407265.9255515598</v>
      </c>
      <c r="AK61" s="447">
        <f t="shared" si="225"/>
        <v>6355958.6232007761</v>
      </c>
      <c r="AL61" s="447">
        <f t="shared" si="225"/>
        <v>5327231.8471754845</v>
      </c>
      <c r="AM61" s="447">
        <f t="shared" si="225"/>
        <v>4364324.7526958287</v>
      </c>
      <c r="AN61" s="447">
        <f t="shared" si="225"/>
        <v>3498264.0780161079</v>
      </c>
      <c r="AO61" s="447">
        <f t="shared" si="225"/>
        <v>2747407.6656336142</v>
      </c>
      <c r="AP61" s="447">
        <f t="shared" si="225"/>
        <v>1224305.0030850812</v>
      </c>
      <c r="AQ61" s="447">
        <f t="shared" si="225"/>
        <v>209638.92700129849</v>
      </c>
      <c r="AR61" s="447">
        <f t="shared" si="225"/>
        <v>169571.13126644387</v>
      </c>
      <c r="AS61" s="447">
        <f t="shared" si="225"/>
        <v>132711.21484693934</v>
      </c>
      <c r="AT61" s="447">
        <f t="shared" si="225"/>
        <v>100597.62539994667</v>
      </c>
      <c r="AU61" s="447">
        <f t="shared" si="225"/>
        <v>73917.592887251449</v>
      </c>
      <c r="AV61" s="447">
        <f t="shared" si="225"/>
        <v>52683.47823086338</v>
      </c>
      <c r="AW61" s="447">
        <f t="shared" si="225"/>
        <v>0</v>
      </c>
      <c r="AX61" s="447">
        <f t="shared" si="225"/>
        <v>0</v>
      </c>
      <c r="AY61" s="447">
        <f t="shared" si="225"/>
        <v>0</v>
      </c>
      <c r="AZ61" s="447">
        <f t="shared" si="225"/>
        <v>0</v>
      </c>
      <c r="BA61" s="447">
        <f t="shared" si="225"/>
        <v>0</v>
      </c>
      <c r="BB61" s="447">
        <f t="shared" si="225"/>
        <v>0</v>
      </c>
      <c r="BC61" s="447">
        <f t="shared" si="225"/>
        <v>0</v>
      </c>
      <c r="BD61" s="447">
        <f t="shared" si="225"/>
        <v>0</v>
      </c>
      <c r="BE61" s="447">
        <f t="shared" si="225"/>
        <v>0</v>
      </c>
      <c r="BF61" s="447">
        <f t="shared" si="225"/>
        <v>0</v>
      </c>
      <c r="BG61" s="447">
        <f t="shared" si="225"/>
        <v>0</v>
      </c>
      <c r="BH61" s="447">
        <f t="shared" si="225"/>
        <v>0</v>
      </c>
      <c r="BI61" s="447">
        <f t="shared" si="225"/>
        <v>0</v>
      </c>
      <c r="BJ61" s="447">
        <f t="shared" si="225"/>
        <v>0</v>
      </c>
      <c r="BK61" s="447">
        <f t="shared" si="225"/>
        <v>0</v>
      </c>
      <c r="BL61" s="447">
        <f t="shared" si="225"/>
        <v>0</v>
      </c>
      <c r="BM61" s="447">
        <f t="shared" si="225"/>
        <v>0</v>
      </c>
      <c r="BN61" s="447">
        <f t="shared" si="225"/>
        <v>0</v>
      </c>
      <c r="BO61" s="447">
        <f t="shared" si="225"/>
        <v>0</v>
      </c>
      <c r="BP61" s="447">
        <f t="shared" si="225"/>
        <v>0</v>
      </c>
      <c r="BQ61" s="447">
        <f t="shared" si="225"/>
        <v>0</v>
      </c>
      <c r="BR61" s="447">
        <f t="shared" si="225"/>
        <v>0</v>
      </c>
      <c r="BS61" s="447">
        <f t="shared" si="225"/>
        <v>0</v>
      </c>
      <c r="BT61" s="447">
        <f t="shared" si="225"/>
        <v>0</v>
      </c>
      <c r="BU61" s="447">
        <f t="shared" si="225"/>
        <v>0</v>
      </c>
      <c r="BV61" s="447">
        <f t="shared" si="225"/>
        <v>0</v>
      </c>
      <c r="BW61" s="447">
        <f t="shared" si="225"/>
        <v>0</v>
      </c>
      <c r="BX61" s="447">
        <f t="shared" si="225"/>
        <v>0</v>
      </c>
      <c r="BY61" s="447">
        <f t="shared" ref="BY61:EJ61" si="226">IF($D$65=$D$66,SUM(BY72:BY74)*$EP$61,SUM(BY72:BY74)*HI88)</f>
        <v>0</v>
      </c>
      <c r="BZ61" s="447">
        <f t="shared" si="226"/>
        <v>0</v>
      </c>
      <c r="CA61" s="447">
        <f t="shared" si="226"/>
        <v>0</v>
      </c>
      <c r="CB61" s="447">
        <f t="shared" si="226"/>
        <v>0</v>
      </c>
      <c r="CC61" s="447">
        <f t="shared" si="226"/>
        <v>0</v>
      </c>
      <c r="CD61" s="447">
        <f t="shared" si="226"/>
        <v>0</v>
      </c>
      <c r="CE61" s="447">
        <f t="shared" si="226"/>
        <v>0</v>
      </c>
      <c r="CF61" s="447">
        <f t="shared" si="226"/>
        <v>0</v>
      </c>
      <c r="CG61" s="447">
        <f t="shared" si="226"/>
        <v>0</v>
      </c>
      <c r="CH61" s="447">
        <f t="shared" si="226"/>
        <v>0</v>
      </c>
      <c r="CI61" s="447">
        <f t="shared" si="226"/>
        <v>0</v>
      </c>
      <c r="CJ61" s="447">
        <f t="shared" si="226"/>
        <v>0</v>
      </c>
      <c r="CK61" s="447">
        <f t="shared" si="226"/>
        <v>0</v>
      </c>
      <c r="CL61" s="447">
        <f t="shared" si="226"/>
        <v>0</v>
      </c>
      <c r="CM61" s="447">
        <f t="shared" si="226"/>
        <v>0</v>
      </c>
      <c r="CN61" s="447">
        <f t="shared" si="226"/>
        <v>0</v>
      </c>
      <c r="CO61" s="447">
        <f t="shared" si="226"/>
        <v>0</v>
      </c>
      <c r="CP61" s="447">
        <f t="shared" si="226"/>
        <v>0</v>
      </c>
      <c r="CQ61" s="447">
        <f t="shared" si="226"/>
        <v>0</v>
      </c>
      <c r="CR61" s="447">
        <f t="shared" si="226"/>
        <v>0</v>
      </c>
      <c r="CS61" s="447">
        <f t="shared" si="226"/>
        <v>0</v>
      </c>
      <c r="CT61" s="447">
        <f t="shared" si="226"/>
        <v>0</v>
      </c>
      <c r="CU61" s="447">
        <f t="shared" si="226"/>
        <v>0</v>
      </c>
      <c r="CV61" s="447">
        <f t="shared" si="226"/>
        <v>0</v>
      </c>
      <c r="CW61" s="447">
        <f t="shared" si="226"/>
        <v>0</v>
      </c>
      <c r="CX61" s="447">
        <f t="shared" si="226"/>
        <v>0</v>
      </c>
      <c r="CY61" s="447">
        <f t="shared" si="226"/>
        <v>0</v>
      </c>
      <c r="CZ61" s="447">
        <f t="shared" si="226"/>
        <v>0</v>
      </c>
      <c r="DA61" s="447">
        <f t="shared" si="226"/>
        <v>0</v>
      </c>
      <c r="DB61" s="447">
        <f t="shared" si="226"/>
        <v>0</v>
      </c>
      <c r="DC61" s="447">
        <f t="shared" si="226"/>
        <v>0</v>
      </c>
      <c r="DD61" s="447">
        <f t="shared" si="226"/>
        <v>0</v>
      </c>
      <c r="DE61" s="447">
        <f t="shared" si="226"/>
        <v>0</v>
      </c>
      <c r="DF61" s="447">
        <f t="shared" si="226"/>
        <v>0</v>
      </c>
      <c r="DG61" s="447">
        <f t="shared" si="226"/>
        <v>0</v>
      </c>
      <c r="DH61" s="447">
        <f t="shared" si="226"/>
        <v>0</v>
      </c>
      <c r="DI61" s="447">
        <f t="shared" si="226"/>
        <v>0</v>
      </c>
      <c r="DJ61" s="447">
        <f t="shared" si="226"/>
        <v>0</v>
      </c>
      <c r="DK61" s="447">
        <f t="shared" si="226"/>
        <v>0</v>
      </c>
      <c r="DL61" s="447">
        <f t="shared" si="226"/>
        <v>0</v>
      </c>
      <c r="DM61" s="447">
        <f t="shared" si="226"/>
        <v>0</v>
      </c>
      <c r="DN61" s="447">
        <f t="shared" si="226"/>
        <v>0</v>
      </c>
      <c r="DO61" s="447">
        <f t="shared" si="226"/>
        <v>0</v>
      </c>
      <c r="DP61" s="447">
        <f t="shared" si="226"/>
        <v>0</v>
      </c>
      <c r="DQ61" s="447">
        <f t="shared" si="226"/>
        <v>0</v>
      </c>
      <c r="DR61" s="447">
        <f t="shared" si="226"/>
        <v>0</v>
      </c>
      <c r="DS61" s="447">
        <f t="shared" si="226"/>
        <v>0</v>
      </c>
      <c r="DT61" s="447">
        <f t="shared" si="226"/>
        <v>0</v>
      </c>
      <c r="DU61" s="447">
        <f t="shared" si="226"/>
        <v>0</v>
      </c>
      <c r="DV61" s="447">
        <f t="shared" si="226"/>
        <v>0</v>
      </c>
      <c r="DW61" s="447">
        <f t="shared" si="226"/>
        <v>0</v>
      </c>
      <c r="DX61" s="447">
        <f t="shared" si="226"/>
        <v>0</v>
      </c>
      <c r="DY61" s="447">
        <f t="shared" si="226"/>
        <v>0</v>
      </c>
      <c r="DZ61" s="447">
        <f t="shared" si="226"/>
        <v>0</v>
      </c>
      <c r="EA61" s="447">
        <f t="shared" si="226"/>
        <v>0</v>
      </c>
      <c r="EB61" s="447">
        <f t="shared" si="226"/>
        <v>0</v>
      </c>
      <c r="EC61" s="447">
        <f t="shared" si="226"/>
        <v>0</v>
      </c>
      <c r="ED61" s="447">
        <f t="shared" si="226"/>
        <v>0</v>
      </c>
      <c r="EE61" s="447">
        <f t="shared" si="226"/>
        <v>0</v>
      </c>
      <c r="EF61" s="447">
        <f t="shared" si="226"/>
        <v>0</v>
      </c>
      <c r="EG61" s="447">
        <f t="shared" si="226"/>
        <v>0</v>
      </c>
      <c r="EH61" s="447">
        <f t="shared" si="226"/>
        <v>0</v>
      </c>
      <c r="EI61" s="447">
        <f t="shared" si="226"/>
        <v>0</v>
      </c>
      <c r="EJ61" s="447">
        <f t="shared" si="226"/>
        <v>0</v>
      </c>
      <c r="EK61" s="447">
        <f>IF($D$65=$D$66,SUM(EK72:EK74)*$EP$61,SUM(EK72:EK74)*JU88)</f>
        <v>0</v>
      </c>
      <c r="EL61" s="447">
        <f>IF($D$65=$D$66,SUM(EL72:EL74)*$EP$61,SUM(EL72:EL74)*JV88)</f>
        <v>0</v>
      </c>
      <c r="EM61" s="447">
        <f>IF($D$65=$D$66,SUM(EM72:EM74)*$EP$61,SUM(EM72:EM74)*JW88)</f>
        <v>0</v>
      </c>
      <c r="EN61" s="447">
        <f>IF($D$65=$D$66,SUM(EN72:EN74)*$EP$61,SUM(EN72:EN74)*JX88)</f>
        <v>0</v>
      </c>
      <c r="EO61" s="75"/>
      <c r="EP61" s="266">
        <f>C65/Debt_LTC_Target</f>
        <v>1</v>
      </c>
      <c r="EQ61" s="18"/>
      <c r="ER61" s="18"/>
      <c r="ES61" s="18"/>
      <c r="ET61" s="21" t="s">
        <v>179</v>
      </c>
      <c r="EU61" s="21">
        <f>SUM(EV61:JX61)</f>
        <v>55420204.001591839</v>
      </c>
      <c r="EV61" s="21"/>
      <c r="EW61" s="21">
        <f>IF(Perm_Debt?,(M3&lt;=PermDebt_Fund)*SUM($EV57:EV59)*EW66/12,(M3&lt;=Timing_Analysis_End_Month)*SUM($EV57:EV59)*EW66/12)</f>
        <v>0</v>
      </c>
      <c r="EX61" s="21">
        <f>IF(Perm_Debt?,(N3&lt;=PermDebt_Fund)*SUM($EV57:EW59)*EX66/12,(N3&lt;=Timing_Analysis_End_Month)*SUM($EV57:EW59)*EX66/12)</f>
        <v>0</v>
      </c>
      <c r="EY61" s="21">
        <f>IF(Perm_Debt?,(O3&lt;=PermDebt_Fund)*SUM($EV57:EX59)*EY66/12,(O3&lt;=Timing_Analysis_End_Month)*SUM($EV57:EX59)*EY66/12)</f>
        <v>0</v>
      </c>
      <c r="EZ61" s="21">
        <f>IF(Perm_Debt?,(P3&lt;=PermDebt_Fund)*SUM($EV57:EY59)*EZ66/12,(P3&lt;=Timing_Analysis_End_Month)*SUM($EV57:EY59)*EZ66/12)</f>
        <v>0</v>
      </c>
      <c r="FA61" s="21">
        <f>IF(Perm_Debt?,(Q3&lt;=PermDebt_Fund)*SUM($EV57:EZ59)*FA66/12,(Q3&lt;=Timing_Analysis_End_Month)*SUM($EV57:EZ59)*FA66/12)</f>
        <v>0</v>
      </c>
      <c r="FB61" s="21">
        <f>IF(Perm_Debt?,(R3&lt;=PermDebt_Fund)*SUM($EV57:FA59)*FB66/12,(R3&lt;=Timing_Analysis_End_Month)*SUM($EV57:FA59)*FB66/12)</f>
        <v>0</v>
      </c>
      <c r="FC61" s="21">
        <f>IF(Perm_Debt?,(S3&lt;=PermDebt_Fund)*SUM($EV57:FB59)*FC66/12,(S3&lt;=Timing_Analysis_End_Month)*SUM($EV57:FB59)*FC66/12)</f>
        <v>0</v>
      </c>
      <c r="FD61" s="21">
        <f>IF(Perm_Debt?,(T3&lt;=PermDebt_Fund)*SUM($EV57:FC59)*FD66/12,(T3&lt;=Timing_Analysis_End_Month)*SUM($EV57:FC59)*FD66/12)</f>
        <v>0</v>
      </c>
      <c r="FE61" s="21">
        <f>IF(Perm_Debt?,(U3&lt;=PermDebt_Fund)*SUM($EV57:FD59)*FE66/12,(U3&lt;=Timing_Analysis_End_Month)*SUM($EV57:FD59)*FE66/12)</f>
        <v>0</v>
      </c>
      <c r="FF61" s="21">
        <f>IF(Perm_Debt?,(V3&lt;=PermDebt_Fund)*SUM($EV57:FE59)*FF66/12,(V3&lt;=Timing_Analysis_End_Month)*SUM($EV57:FE59)*FF66/12)</f>
        <v>0</v>
      </c>
      <c r="FG61" s="21">
        <f>IF(Perm_Debt?,(W3&lt;=PermDebt_Fund)*SUM($EV57:FF59)*FG66/12,(W3&lt;=Timing_Analysis_End_Month)*SUM($EV57:FF59)*FG66/12)</f>
        <v>0</v>
      </c>
      <c r="FH61" s="21">
        <f>IF(Perm_Debt?,(X3&lt;=PermDebt_Fund)*SUM($EV57:FG59)*FH66/12,(X3&lt;=Timing_Analysis_End_Month)*SUM($EV57:FG59)*FH66/12)</f>
        <v>0</v>
      </c>
      <c r="FI61" s="21">
        <f>IF(Perm_Debt?,(Y3&lt;=PermDebt_Fund)*SUM($EV57:FH59)*FI66/12,(Y3&lt;=Timing_Analysis_End_Month)*SUM($EV57:FH59)*FI66/12)</f>
        <v>0</v>
      </c>
      <c r="FJ61" s="21">
        <f>IF(Perm_Debt?,(Z3&lt;=PermDebt_Fund)*SUM($EV57:FI59)*FJ66/12,(Z3&lt;=Timing_Analysis_End_Month)*SUM($EV57:FI59)*FJ66/12)</f>
        <v>0</v>
      </c>
      <c r="FK61" s="21">
        <f>IF(Perm_Debt?,(AA3&lt;=PermDebt_Fund)*SUM($EV57:FJ59)*FK66/12,(AA3&lt;=Timing_Analysis_End_Month)*SUM($EV57:FJ59)*FK66/12)</f>
        <v>0</v>
      </c>
      <c r="FL61" s="21">
        <f>IF(Perm_Debt?,(AB3&lt;=PermDebt_Fund)*SUM($EV57:FK59)*FL66/12,(AB3&lt;=Timing_Analysis_End_Month)*SUM($EV57:FK59)*FL66/12)</f>
        <v>0</v>
      </c>
      <c r="FM61" s="21">
        <f>IF(Perm_Debt?,(AC3&lt;=PermDebt_Fund)*SUM($EV57:FL59)*FM66/12,(AC3&lt;=Timing_Analysis_End_Month)*SUM($EV57:FL59)*FM66/12)</f>
        <v>115701.11887347278</v>
      </c>
      <c r="FN61" s="21">
        <f>IF(Perm_Debt?,(AD3&lt;=PermDebt_Fund)*SUM($EV57:FM59)*FN66/12,(AD3&lt;=Timing_Analysis_End_Month)*SUM($EV57:FM59)*FN66/12)</f>
        <v>237013.31920053504</v>
      </c>
      <c r="FO61" s="21">
        <f>IF(Perm_Debt?,(AE3&lt;=PermDebt_Fund)*SUM($EV57:FN59)*FO66/12,(AE3&lt;=Timing_Analysis_End_Month)*SUM($EV57:FN59)*FO66/12)</f>
        <v>360549.10596119048</v>
      </c>
      <c r="FP61" s="21">
        <f>IF(Perm_Debt?,(AF3&lt;=PermDebt_Fund)*SUM($EV57:FO59)*FP66/12,(AF3&lt;=Timing_Analysis_End_Month)*SUM($EV57:FO59)*FP66/12)</f>
        <v>483187.56621831126</v>
      </c>
      <c r="FQ61" s="21">
        <f>IF(Perm_Debt?,(AG3&lt;=PermDebt_Fund)*SUM($EV57:FP59)*FQ66/12,(AG3&lt;=Timing_Analysis_End_Month)*SUM($EV57:FP59)*FQ66/12)</f>
        <v>601912.32399413048</v>
      </c>
      <c r="FR61" s="21">
        <f>IF(Perm_Debt?,(AH3&lt;=PermDebt_Fund)*SUM($EV57:FQ59)*FR66/12,(AH3&lt;=Timing_Analysis_End_Month)*SUM($EV57:FQ59)*FR66/12)</f>
        <v>714039.43415342038</v>
      </c>
      <c r="FS61" s="21">
        <f>IF(Perm_Debt?,(AI3&lt;=PermDebt_Fund)*SUM($EV57:FR59)*FS66/12,(AI3&lt;=Timing_Analysis_End_Month)*SUM($EV57:FR59)*FS66/12)</f>
        <v>817402.60803965235</v>
      </c>
      <c r="FT61" s="21">
        <f>IF(Perm_Debt?,(AJ3&lt;=PermDebt_Fund)*SUM($EV57:FS59)*FT66/12,(AJ3&lt;=Timing_Analysis_End_Month)*SUM($EV57:FS59)*FT66/12)</f>
        <v>910474.86386721127</v>
      </c>
      <c r="FU61" s="21">
        <f>IF(Perm_Debt?,(AK3&lt;=PermDebt_Fund)*SUM($EV57:FT59)*FU66/12,(AK3&lt;=Timing_Analysis_End_Month)*SUM($EV57:FT59)*FU66/12)</f>
        <v>992416.44863405079</v>
      </c>
      <c r="FV61" s="21">
        <f>IF(Perm_Debt?,(AL3&lt;=PermDebt_Fund)*SUM($EV57:FU59)*FV66/12,(AL3&lt;=Timing_Analysis_End_Month)*SUM($EV57:FU59)*FV66/12)</f>
        <v>1063050.5578506391</v>
      </c>
      <c r="FW61" s="21">
        <f>IF(Perm_Debt?,(AM3&lt;=PermDebt_Fund)*SUM($EV57:FV59)*FW66/12,(AM3&lt;=Timing_Analysis_End_Month)*SUM($EV57:FV59)*FW66/12)</f>
        <v>1122778.6445971273</v>
      </c>
      <c r="FX61" s="21">
        <f>IF(Perm_Debt?,(AN3&lt;=PermDebt_Fund)*SUM($EV57:FW59)*FX66/12,(AN3&lt;=Timing_Analysis_End_Month)*SUM($EV57:FW59)*FX66/12)</f>
        <v>1172454.1551248583</v>
      </c>
      <c r="FY61" s="21">
        <f>IF(Perm_Debt?,(AO3&lt;=PermDebt_Fund)*SUM($EV57:FX59)*FY66/12,(AO3&lt;=Timing_Analysis_End_Month)*SUM($EV57:FX59)*FY66/12)</f>
        <v>1213236.4529502403</v>
      </c>
      <c r="FZ61" s="21">
        <f>IF(Perm_Debt?,(AP3&lt;=PermDebt_Fund)*SUM($EV57:FY59)*FZ66/12,(AP3&lt;=Timing_Analysis_End_Month)*SUM($EV57:FY59)*FZ66/12)</f>
        <v>1246445.590769737</v>
      </c>
      <c r="GA61" s="21">
        <f>IF(Perm_Debt?,(AQ3&lt;=PermDebt_Fund)*SUM($EV57:FZ59)*GA66/12,(AQ3&lt;=Timing_Analysis_End_Month)*SUM($EV57:FZ59)*GA66/12)</f>
        <v>1273434.3731891497</v>
      </c>
      <c r="GB61" s="21">
        <f>IF(Perm_Debt?,(AR3&lt;=PermDebt_Fund)*SUM($EV57:GA59)*GB66/12,(AR3&lt;=Timing_Analysis_End_Month)*SUM($EV57:GA59)*GB66/12)</f>
        <v>1295488.2043971091</v>
      </c>
      <c r="GC61" s="21">
        <f>IF(Perm_Debt?,(AS3&lt;=PermDebt_Fund)*SUM($EV57:GB59)*GC66/12,(AS3&lt;=Timing_Analysis_End_Month)*SUM($EV57:GB59)*GC66/12)</f>
        <v>1313756.9791350754</v>
      </c>
      <c r="GD61" s="21">
        <f>IF(Perm_Debt?,(AT3&lt;=PermDebt_Fund)*SUM($EV57:GC59)*GD66/12,(AT3&lt;=Timing_Analysis_End_Month)*SUM($EV57:GC59)*GD66/12)</f>
        <v>1329217.926905453</v>
      </c>
      <c r="GE61" s="21">
        <f>IF(Perm_Debt?,(AU3&lt;=PermDebt_Fund)*SUM($EV57:GD59)*GE66/12,(AU3&lt;=Timing_Analysis_End_Month)*SUM($EV57:GD59)*GE66/12)</f>
        <v>1342664.5672885992</v>
      </c>
      <c r="GF61" s="21">
        <f>IF(Perm_Debt?,(AV3&lt;=PermDebt_Fund)*SUM($EV57:GE59)*GF66/12,(AV3&lt;=Timing_Analysis_End_Month)*SUM($EV57:GE59)*GF66/12)</f>
        <v>1354714.9873229272</v>
      </c>
      <c r="GG61" s="21">
        <f>IF(Perm_Debt?,(AW3&lt;=PermDebt_Fund)*SUM($EV57:GF59)*GG66/12,(AW3&lt;=Timing_Analysis_End_Month)*SUM($EV57:GF59)*GG66/12)</f>
        <v>1365832.3114973707</v>
      </c>
      <c r="GH61" s="21">
        <f>IF(Perm_Debt?,(AX3&lt;=PermDebt_Fund)*SUM($EV57:GG59)*GH66/12,(AX3&lt;=Timing_Analysis_End_Month)*SUM($EV57:GG59)*GH66/12)</f>
        <v>1373230.5698513146</v>
      </c>
      <c r="GI61" s="21">
        <f>IF(Perm_Debt?,(AY3&lt;=PermDebt_Fund)*SUM($EV57:GH59)*GI66/12,(AY3&lt;=Timing_Analysis_End_Month)*SUM($EV57:GH59)*GI66/12)</f>
        <v>1380668.902104676</v>
      </c>
      <c r="GJ61" s="21">
        <f>IF(Perm_Debt?,(AZ3&lt;=PermDebt_Fund)*SUM($EV57:GI59)*GJ66/12,(AZ3&lt;=Timing_Analysis_End_Month)*SUM($EV57:GI59)*GJ66/12)</f>
        <v>1388147.5253244096</v>
      </c>
      <c r="GK61" s="21">
        <f>IF(Perm_Debt?,(BA3&lt;=PermDebt_Fund)*SUM($EV57:GJ59)*GK66/12,(BA3&lt;=Timing_Analysis_End_Month)*SUM($EV57:GJ59)*GK66/12)</f>
        <v>1395666.6577532501</v>
      </c>
      <c r="GL61" s="21">
        <f>IF(Perm_Debt?,(BB3&lt;=PermDebt_Fund)*SUM($EV57:GK59)*GL66/12,(BB3&lt;=Timing_Analysis_End_Month)*SUM($EV57:GK59)*GL66/12)</f>
        <v>1403226.5188160802</v>
      </c>
      <c r="GM61" s="21">
        <f>IF(Perm_Debt?,(BC3&lt;=PermDebt_Fund)*SUM($EV57:GL59)*GM66/12,(BC3&lt;=Timing_Analysis_End_Month)*SUM($EV57:GL59)*GM66/12)</f>
        <v>1410827.3291263341</v>
      </c>
      <c r="GN61" s="21">
        <f>IF(Perm_Debt?,(BD3&lt;=PermDebt_Fund)*SUM($EV57:GM59)*GN66/12,(BD3&lt;=Timing_Analysis_End_Month)*SUM($EV57:GM59)*GN66/12)</f>
        <v>1418469.3104924352</v>
      </c>
      <c r="GO61" s="21">
        <f>IF(Perm_Debt?,(BE3&lt;=PermDebt_Fund)*SUM($EV57:GN59)*GO66/12,(BE3&lt;=Timing_Analysis_End_Month)*SUM($EV57:GN59)*GO66/12)</f>
        <v>1426152.685924269</v>
      </c>
      <c r="GP61" s="21">
        <f>IF(Perm_Debt?,(BF3&lt;=PermDebt_Fund)*SUM($EV57:GO59)*GP66/12,(BF3&lt;=Timing_Analysis_End_Month)*SUM($EV57:GO59)*GP66/12)</f>
        <v>1433877.6796396922</v>
      </c>
      <c r="GQ61" s="21">
        <f>IF(Perm_Debt?,(BG3&lt;=PermDebt_Fund)*SUM($EV57:GP59)*GQ66/12,(BG3&lt;=Timing_Analysis_End_Month)*SUM($EV57:GP59)*GQ66/12)</f>
        <v>1441644.5170710739</v>
      </c>
      <c r="GR61" s="21">
        <f>IF(Perm_Debt?,(BH3&lt;=PermDebt_Fund)*SUM($EV57:GQ59)*GR66/12,(BH3&lt;=Timing_Analysis_End_Month)*SUM($EV57:GQ59)*GR66/12)</f>
        <v>1449453.4248718752</v>
      </c>
      <c r="GS61" s="21">
        <f>IF(Perm_Debt?,(BI3&lt;=PermDebt_Fund)*SUM($EV57:GR59)*GS66/12,(BI3&lt;=Timing_Analysis_End_Month)*SUM($EV57:GR59)*GS66/12)</f>
        <v>1457304.6309232647</v>
      </c>
      <c r="GT61" s="21">
        <f>IF(Perm_Debt?,(BJ3&lt;=PermDebt_Fund)*SUM($EV57:GS59)*GT66/12,(BJ3&lt;=Timing_Analysis_End_Month)*SUM($EV57:GS59)*GT66/12)</f>
        <v>1465198.3643407656</v>
      </c>
      <c r="GU61" s="21">
        <f>IF(Perm_Debt?,(BK3&lt;=PermDebt_Fund)*SUM($EV57:GT59)*GU66/12,(BK3&lt;=Timing_Analysis_End_Month)*SUM($EV57:GT59)*GU66/12)</f>
        <v>1473134.855480945</v>
      </c>
      <c r="GV61" s="21">
        <f>IF(Perm_Debt?,(BL3&lt;=PermDebt_Fund)*SUM($EV57:GU59)*GV66/12,(BL3&lt;=Timing_Analysis_End_Month)*SUM($EV57:GU59)*GV66/12)</f>
        <v>1481114.3359481336</v>
      </c>
      <c r="GW61" s="21">
        <f>IF(Perm_Debt?,(BM3&lt;=PermDebt_Fund)*SUM($EV57:GV59)*GW66/12,(BM3&lt;=Timing_Analysis_End_Month)*SUM($EV57:GV59)*GW66/12)</f>
        <v>1489137.0386011859</v>
      </c>
      <c r="GX61" s="21">
        <f>IF(Perm_Debt?,(BN3&lt;=PermDebt_Fund)*SUM($EV57:GW59)*GX66/12,(BN3&lt;=Timing_Analysis_End_Month)*SUM($EV57:GW59)*GX66/12)</f>
        <v>1497203.1975602752</v>
      </c>
      <c r="GY61" s="21">
        <f>IF(Perm_Debt?,(BO3&lt;=PermDebt_Fund)*SUM($EV57:GX59)*GY66/12,(BO3&lt;=Timing_Analysis_End_Month)*SUM($EV57:GX59)*GY66/12)</f>
        <v>1505313.0482137268</v>
      </c>
      <c r="GZ61" s="21">
        <f>IF(Perm_Debt?,(BP3&lt;=PermDebt_Fund)*SUM($EV57:GY59)*GZ66/12,(BP3&lt;=Timing_Analysis_End_Month)*SUM($EV57:GY59)*GZ66/12)</f>
        <v>1513466.8272248844</v>
      </c>
      <c r="HA61" s="21">
        <f>IF(Perm_Debt?,(BQ3&lt;=PermDebt_Fund)*SUM($EV57:GZ59)*HA66/12,(BQ3&lt;=Timing_Analysis_End_Month)*SUM($EV57:GZ59)*HA66/12)</f>
        <v>1521664.7725390194</v>
      </c>
      <c r="HB61" s="21">
        <f>IF(Perm_Debt?,(BR3&lt;=PermDebt_Fund)*SUM($EV57:HA59)*HB66/12,(BR3&lt;=Timing_Analysis_End_Month)*SUM($EV57:HA59)*HB66/12)</f>
        <v>1529907.1233902723</v>
      </c>
      <c r="HC61" s="21">
        <f>IF(Perm_Debt?,(BS3&lt;=PermDebt_Fund)*SUM($EV57:HB59)*HC66/12,(BS3&lt;=Timing_Analysis_End_Month)*SUM($EV57:HB59)*HC66/12)</f>
        <v>1538194.1203086365</v>
      </c>
      <c r="HD61" s="21">
        <f>IF(Perm_Debt?,(BT3&lt;=PermDebt_Fund)*SUM($EV57:HC59)*HD66/12,(BT3&lt;=Timing_Analysis_End_Month)*SUM($EV57:HC59)*HD66/12)</f>
        <v>1546526.0051269748</v>
      </c>
      <c r="HE61" s="21">
        <f>IF(Perm_Debt?,(BU3&lt;=PermDebt_Fund)*SUM($EV57:HD59)*HE66/12,(BU3&lt;=Timing_Analysis_End_Month)*SUM($EV57:HD59)*HE66/12)</f>
        <v>1554903.020988079</v>
      </c>
      <c r="HF61" s="21">
        <f>IF(Perm_Debt?,(BV3&lt;=PermDebt_Fund)*SUM($EV57:HE59)*HF66/12,(BV3&lt;=Timing_Analysis_End_Month)*SUM($EV57:HE59)*HF66/12)</f>
        <v>0</v>
      </c>
      <c r="HG61" s="21">
        <f>IF(Perm_Debt?,(BW3&lt;=PermDebt_Fund)*SUM($EV57:HF59)*HG66/12,(BW3&lt;=Timing_Analysis_End_Month)*SUM($EV57:HF59)*HG66/12)</f>
        <v>0</v>
      </c>
      <c r="HH61" s="21">
        <f>IF(Perm_Debt?,(BX3&lt;=PermDebt_Fund)*SUM($EV57:HG59)*HH66/12,(BX3&lt;=Timing_Analysis_End_Month)*SUM($EV57:HG59)*HH66/12)</f>
        <v>0</v>
      </c>
      <c r="HI61" s="21">
        <f>IF(Perm_Debt?,(BY3&lt;=PermDebt_Fund)*SUM($EV57:HH59)*HI66/12,(BY3&lt;=Timing_Analysis_End_Month)*SUM($EV57:HH59)*HI66/12)</f>
        <v>0</v>
      </c>
      <c r="HJ61" s="21">
        <f>IF(Perm_Debt?,(BZ3&lt;=PermDebt_Fund)*SUM($EV57:HI59)*HJ66/12,(BZ3&lt;=Timing_Analysis_End_Month)*SUM($EV57:HI59)*HJ66/12)</f>
        <v>0</v>
      </c>
      <c r="HK61" s="21">
        <f>IF(Perm_Debt?,(CA3&lt;=PermDebt_Fund)*SUM($EV57:HJ59)*HK66/12,(CA3&lt;=Timing_Analysis_End_Month)*SUM($EV57:HJ59)*HK66/12)</f>
        <v>0</v>
      </c>
      <c r="HL61" s="21">
        <f>IF(Perm_Debt?,(CB3&lt;=PermDebt_Fund)*SUM($EV57:HK59)*HL66/12,(CB3&lt;=Timing_Analysis_End_Month)*SUM($EV57:HK59)*HL66/12)</f>
        <v>0</v>
      </c>
      <c r="HM61" s="21">
        <f>IF(Perm_Debt?,(CC3&lt;=PermDebt_Fund)*SUM($EV57:HL59)*HM66/12,(CC3&lt;=Timing_Analysis_End_Month)*SUM($EV57:HL59)*HM66/12)</f>
        <v>0</v>
      </c>
      <c r="HN61" s="21">
        <f>IF(Perm_Debt?,(CD3&lt;=PermDebt_Fund)*SUM($EV57:HM59)*HN66/12,(CD3&lt;=Timing_Analysis_End_Month)*SUM($EV57:HM59)*HN66/12)</f>
        <v>0</v>
      </c>
      <c r="HO61" s="21">
        <f>IF(Perm_Debt?,(CE3&lt;=PermDebt_Fund)*SUM($EV57:HN59)*HO66/12,(CE3&lt;=Timing_Analysis_End_Month)*SUM($EV57:HN59)*HO66/12)</f>
        <v>0</v>
      </c>
      <c r="HP61" s="21">
        <f>IF(Perm_Debt?,(CF3&lt;=PermDebt_Fund)*SUM($EV57:HO59)*HP66/12,(CF3&lt;=Timing_Analysis_End_Month)*SUM($EV57:HO59)*HP66/12)</f>
        <v>0</v>
      </c>
      <c r="HQ61" s="21">
        <f>IF(Perm_Debt?,(CG3&lt;=PermDebt_Fund)*SUM($EV57:HP59)*HQ66/12,(CG3&lt;=Timing_Analysis_End_Month)*SUM($EV57:HP59)*HQ66/12)</f>
        <v>0</v>
      </c>
      <c r="HR61" s="21">
        <f>IF(Perm_Debt?,(CH3&lt;=PermDebt_Fund)*SUM($EV57:HQ59)*HR66/12,(CH3&lt;=Timing_Analysis_End_Month)*SUM($EV57:HQ59)*HR66/12)</f>
        <v>0</v>
      </c>
      <c r="HS61" s="21">
        <f>IF(Perm_Debt?,(CI3&lt;=PermDebt_Fund)*SUM($EV57:HR59)*HS66/12,(CI3&lt;=Timing_Analysis_End_Month)*SUM($EV57:HR59)*HS66/12)</f>
        <v>0</v>
      </c>
      <c r="HT61" s="21">
        <f>IF(Perm_Debt?,(CJ3&lt;=PermDebt_Fund)*SUM($EV57:HS59)*HT66/12,(CJ3&lt;=Timing_Analysis_End_Month)*SUM($EV57:HS59)*HT66/12)</f>
        <v>0</v>
      </c>
      <c r="HU61" s="21">
        <f>IF(Perm_Debt?,(CK3&lt;=PermDebt_Fund)*SUM($EV57:HT59)*HU66/12,(CK3&lt;=Timing_Analysis_End_Month)*SUM($EV57:HT59)*HU66/12)</f>
        <v>0</v>
      </c>
      <c r="HV61" s="21">
        <f>IF(Perm_Debt?,(CL3&lt;=PermDebt_Fund)*SUM($EV57:HU59)*HV66/12,(CL3&lt;=Timing_Analysis_End_Month)*SUM($EV57:HU59)*HV66/12)</f>
        <v>0</v>
      </c>
      <c r="HW61" s="21">
        <f>IF(Perm_Debt?,(CM3&lt;=PermDebt_Fund)*SUM($EV57:HV59)*HW66/12,(CM3&lt;=Timing_Analysis_End_Month)*SUM($EV57:HV59)*HW66/12)</f>
        <v>0</v>
      </c>
      <c r="HX61" s="21">
        <f>IF(Perm_Debt?,(CN3&lt;=PermDebt_Fund)*SUM($EV57:HW59)*HX66/12,(CN3&lt;=Timing_Analysis_End_Month)*SUM($EV57:HW59)*HX66/12)</f>
        <v>0</v>
      </c>
      <c r="HY61" s="21">
        <f>IF(Perm_Debt?,(CO3&lt;=PermDebt_Fund)*SUM($EV57:HX59)*HY66/12,(CO3&lt;=Timing_Analysis_End_Month)*SUM($EV57:HX59)*HY66/12)</f>
        <v>0</v>
      </c>
      <c r="HZ61" s="21">
        <f>IF(Perm_Debt?,(CP3&lt;=PermDebt_Fund)*SUM($EV57:HY59)*HZ66/12,(CP3&lt;=Timing_Analysis_End_Month)*SUM($EV57:HY59)*HZ66/12)</f>
        <v>0</v>
      </c>
      <c r="IA61" s="21">
        <f>IF(Perm_Debt?,(CQ3&lt;=PermDebt_Fund)*SUM($EV57:HZ59)*IA66/12,(CQ3&lt;=Timing_Analysis_End_Month)*SUM($EV57:HZ59)*IA66/12)</f>
        <v>0</v>
      </c>
      <c r="IB61" s="21">
        <f>IF(Perm_Debt?,(CR3&lt;=PermDebt_Fund)*SUM($EV57:IA59)*IB66/12,(CR3&lt;=Timing_Analysis_End_Month)*SUM($EV57:IA59)*IB66/12)</f>
        <v>0</v>
      </c>
      <c r="IC61" s="21">
        <f>IF(Perm_Debt?,(CS3&lt;=PermDebt_Fund)*SUM($EV57:IB59)*IC66/12,(CS3&lt;=Timing_Analysis_End_Month)*SUM($EV57:IB59)*IC66/12)</f>
        <v>0</v>
      </c>
      <c r="ID61" s="21">
        <f>IF(Perm_Debt?,(CT3&lt;=PermDebt_Fund)*SUM($EV57:IC59)*ID66/12,(CT3&lt;=Timing_Analysis_End_Month)*SUM($EV57:IC59)*ID66/12)</f>
        <v>0</v>
      </c>
      <c r="IE61" s="21">
        <f>IF(Perm_Debt?,(CU3&lt;=PermDebt_Fund)*SUM($EV57:ID59)*IE66/12,(CU3&lt;=Timing_Analysis_End_Month)*SUM($EV57:ID59)*IE66/12)</f>
        <v>0</v>
      </c>
      <c r="IF61" s="21">
        <f>IF(Perm_Debt?,(CV3&lt;=PermDebt_Fund)*SUM($EV57:IE59)*IF66/12,(CV3&lt;=Timing_Analysis_End_Month)*SUM($EV57:IE59)*IF66/12)</f>
        <v>0</v>
      </c>
      <c r="IG61" s="21">
        <f>IF(Perm_Debt?,(CW3&lt;=PermDebt_Fund)*SUM($EV57:IF59)*IG66/12,(CW3&lt;=Timing_Analysis_End_Month)*SUM($EV57:IF59)*IG66/12)</f>
        <v>0</v>
      </c>
      <c r="IH61" s="21">
        <f>IF(Perm_Debt?,(CX3&lt;=PermDebt_Fund)*SUM($EV57:IG59)*IH66/12,(CX3&lt;=Timing_Analysis_End_Month)*SUM($EV57:IG59)*IH66/12)</f>
        <v>0</v>
      </c>
      <c r="II61" s="21">
        <f>IF(Perm_Debt?,(CY3&lt;=PermDebt_Fund)*SUM($EV57:IH59)*II66/12,(CY3&lt;=Timing_Analysis_End_Month)*SUM($EV57:IH59)*II66/12)</f>
        <v>0</v>
      </c>
      <c r="IJ61" s="21">
        <f>IF(Perm_Debt?,(CZ3&lt;=PermDebt_Fund)*SUM($EV57:II59)*IJ66/12,(CZ3&lt;=Timing_Analysis_End_Month)*SUM($EV57:II59)*IJ66/12)</f>
        <v>0</v>
      </c>
      <c r="IK61" s="21">
        <f>IF(Perm_Debt?,(DA3&lt;=PermDebt_Fund)*SUM($EV57:IJ59)*IK66/12,(DA3&lt;=Timing_Analysis_End_Month)*SUM($EV57:IJ59)*IK66/12)</f>
        <v>0</v>
      </c>
      <c r="IL61" s="21">
        <f>IF(Perm_Debt?,(DB3&lt;=PermDebt_Fund)*SUM($EV57:IK59)*IL66/12,(DB3&lt;=Timing_Analysis_End_Month)*SUM($EV57:IK59)*IL66/12)</f>
        <v>0</v>
      </c>
      <c r="IM61" s="21">
        <f>IF(Perm_Debt?,(DC3&lt;=PermDebt_Fund)*SUM($EV57:IL59)*IM66/12,(DC3&lt;=Timing_Analysis_End_Month)*SUM($EV57:IL59)*IM66/12)</f>
        <v>0</v>
      </c>
      <c r="IN61" s="21">
        <f>IF(Perm_Debt?,(DD3&lt;=PermDebt_Fund)*SUM($EV57:IM59)*IN66/12,(DD3&lt;=Timing_Analysis_End_Month)*SUM($EV57:IM59)*IN66/12)</f>
        <v>0</v>
      </c>
      <c r="IO61" s="21">
        <f>IF(Perm_Debt?,(DE3&lt;=PermDebt_Fund)*SUM($EV57:IN59)*IO66/12,(DE3&lt;=Timing_Analysis_End_Month)*SUM($EV57:IN59)*IO66/12)</f>
        <v>0</v>
      </c>
      <c r="IP61" s="21">
        <f>IF(Perm_Debt?,(DF3&lt;=PermDebt_Fund)*SUM($EV57:IO59)*IP66/12,(DF3&lt;=Timing_Analysis_End_Month)*SUM($EV57:IO59)*IP66/12)</f>
        <v>0</v>
      </c>
      <c r="IQ61" s="21">
        <f>IF(Perm_Debt?,(DG3&lt;=PermDebt_Fund)*SUM($EV57:IP59)*IQ66/12,(DG3&lt;=Timing_Analysis_End_Month)*SUM($EV57:IP59)*IQ66/12)</f>
        <v>0</v>
      </c>
      <c r="IR61" s="21">
        <f>IF(Perm_Debt?,(DH3&lt;=PermDebt_Fund)*SUM($EV57:IQ59)*IR66/12,(DH3&lt;=Timing_Analysis_End_Month)*SUM($EV57:IQ59)*IR66/12)</f>
        <v>0</v>
      </c>
      <c r="IS61" s="21">
        <f>IF(Perm_Debt?,(DI3&lt;=PermDebt_Fund)*SUM($EV57:IR59)*IS66/12,(DI3&lt;=Timing_Analysis_End_Month)*SUM($EV57:IR59)*IS66/12)</f>
        <v>0</v>
      </c>
      <c r="IT61" s="21">
        <f>IF(Perm_Debt?,(DJ3&lt;=PermDebt_Fund)*SUM($EV57:IS59)*IT66/12,(DJ3&lt;=Timing_Analysis_End_Month)*SUM($EV57:IS59)*IT66/12)</f>
        <v>0</v>
      </c>
      <c r="IU61" s="21">
        <f>IF(Perm_Debt?,(DK3&lt;=PermDebt_Fund)*SUM($EV57:IT59)*IU66/12,(DK3&lt;=Timing_Analysis_End_Month)*SUM($EV57:IT59)*IU66/12)</f>
        <v>0</v>
      </c>
      <c r="IV61" s="21">
        <f>IF(Perm_Debt?,(DL3&lt;=PermDebt_Fund)*SUM($EV57:IU59)*IV66/12,(DL3&lt;=Timing_Analysis_End_Month)*SUM($EV57:IU59)*IV66/12)</f>
        <v>0</v>
      </c>
      <c r="IW61" s="21">
        <f>IF(Perm_Debt?,(DM3&lt;=PermDebt_Fund)*SUM($EV57:IV59)*IW66/12,(DM3&lt;=Timing_Analysis_End_Month)*SUM($EV57:IV59)*IW66/12)</f>
        <v>0</v>
      </c>
      <c r="IX61" s="21">
        <f>IF(Perm_Debt?,(DN3&lt;=PermDebt_Fund)*SUM($EV57:IW59)*IX66/12,(DN3&lt;=Timing_Analysis_End_Month)*SUM($EV57:IW59)*IX66/12)</f>
        <v>0</v>
      </c>
      <c r="IY61" s="21">
        <f>IF(Perm_Debt?,(DO3&lt;=PermDebt_Fund)*SUM($EV57:IX59)*IY66/12,(DO3&lt;=Timing_Analysis_End_Month)*SUM($EV57:IX59)*IY66/12)</f>
        <v>0</v>
      </c>
      <c r="IZ61" s="21">
        <f>IF(Perm_Debt?,(DP3&lt;=PermDebt_Fund)*SUM($EV57:IY59)*IZ66/12,(DP3&lt;=Timing_Analysis_End_Month)*SUM($EV57:IY59)*IZ66/12)</f>
        <v>0</v>
      </c>
      <c r="JA61" s="21">
        <f>IF(Perm_Debt?,(DQ3&lt;=PermDebt_Fund)*SUM($EV57:IZ59)*JA66/12,(DQ3&lt;=Timing_Analysis_End_Month)*SUM($EV57:IZ59)*JA66/12)</f>
        <v>0</v>
      </c>
      <c r="JB61" s="21">
        <f>IF(Perm_Debt?,(DR3&lt;=PermDebt_Fund)*SUM($EV57:JA59)*JB66/12,(DR3&lt;=Timing_Analysis_End_Month)*SUM($EV57:JA59)*JB66/12)</f>
        <v>0</v>
      </c>
      <c r="JC61" s="21">
        <f>IF(Perm_Debt?,(DS3&lt;=PermDebt_Fund)*SUM($EV57:JB59)*JC66/12,(DS3&lt;=Timing_Analysis_End_Month)*SUM($EV57:JB59)*JC66/12)</f>
        <v>0</v>
      </c>
      <c r="JD61" s="21">
        <f>IF(Perm_Debt?,(DT3&lt;=PermDebt_Fund)*SUM($EV57:JC59)*JD66/12,(DT3&lt;=Timing_Analysis_End_Month)*SUM($EV57:JC59)*JD66/12)</f>
        <v>0</v>
      </c>
      <c r="JE61" s="21">
        <f>IF(Perm_Debt?,(DU3&lt;=PermDebt_Fund)*SUM($EV57:JD59)*JE66/12,(DU3&lt;=Timing_Analysis_End_Month)*SUM($EV57:JD59)*JE66/12)</f>
        <v>0</v>
      </c>
      <c r="JF61" s="21">
        <f>IF(Perm_Debt?,(DV3&lt;=PermDebt_Fund)*SUM($EV57:JE59)*JF66/12,(DV3&lt;=Timing_Analysis_End_Month)*SUM($EV57:JE59)*JF66/12)</f>
        <v>0</v>
      </c>
      <c r="JG61" s="21">
        <f>IF(Perm_Debt?,(DW3&lt;=PermDebt_Fund)*SUM($EV57:JF59)*JG66/12,(DW3&lt;=Timing_Analysis_End_Month)*SUM($EV57:JF59)*JG66/12)</f>
        <v>0</v>
      </c>
      <c r="JH61" s="21">
        <f>IF(Perm_Debt?,(DX3&lt;=PermDebt_Fund)*SUM($EV57:JG59)*JH66/12,(DX3&lt;=Timing_Analysis_End_Month)*SUM($EV57:JG59)*JH66/12)</f>
        <v>0</v>
      </c>
      <c r="JI61" s="21">
        <f>IF(Perm_Debt?,(DY3&lt;=PermDebt_Fund)*SUM($EV57:JH59)*JI66/12,(DY3&lt;=Timing_Analysis_End_Month)*SUM($EV57:JH59)*JI66/12)</f>
        <v>0</v>
      </c>
      <c r="JJ61" s="21">
        <f>IF(Perm_Debt?,(DZ3&lt;=PermDebt_Fund)*SUM($EV57:JI59)*JJ66/12,(DZ3&lt;=Timing_Analysis_End_Month)*SUM($EV57:JI59)*JJ66/12)</f>
        <v>0</v>
      </c>
      <c r="JK61" s="21">
        <f>IF(Perm_Debt?,(EA3&lt;=PermDebt_Fund)*SUM($EV57:JJ59)*JK66/12,(EA3&lt;=Timing_Analysis_End_Month)*SUM($EV57:JJ59)*JK66/12)</f>
        <v>0</v>
      </c>
      <c r="JL61" s="21">
        <f>IF(Perm_Debt?,(EB3&lt;=PermDebt_Fund)*SUM($EV57:JK59)*JL66/12,(EB3&lt;=Timing_Analysis_End_Month)*SUM($EV57:JK59)*JL66/12)</f>
        <v>0</v>
      </c>
      <c r="JM61" s="21">
        <f>IF(Perm_Debt?,(EC3&lt;=PermDebt_Fund)*SUM($EV57:JL59)*JM66/12,(EC3&lt;=Timing_Analysis_End_Month)*SUM($EV57:JL59)*JM66/12)</f>
        <v>0</v>
      </c>
      <c r="JN61" s="21">
        <f>IF(Perm_Debt?,(ED3&lt;=PermDebt_Fund)*SUM($EV57:JM59)*JN66/12,(ED3&lt;=Timing_Analysis_End_Month)*SUM($EV57:JM59)*JN66/12)</f>
        <v>0</v>
      </c>
      <c r="JO61" s="21">
        <f>IF(Perm_Debt?,(EE3&lt;=PermDebt_Fund)*SUM($EV57:JN59)*JO66/12,(EE3&lt;=Timing_Analysis_End_Month)*SUM($EV57:JN59)*JO66/12)</f>
        <v>0</v>
      </c>
      <c r="JP61" s="21">
        <f>IF(Perm_Debt?,(EF3&lt;=PermDebt_Fund)*SUM($EV57:JO59)*JP66/12,(EF3&lt;=Timing_Analysis_End_Month)*SUM($EV57:JO59)*JP66/12)</f>
        <v>0</v>
      </c>
      <c r="JQ61" s="21">
        <f>IF(Perm_Debt?,(EG3&lt;=PermDebt_Fund)*SUM($EV57:JP59)*JQ66/12,(EG3&lt;=Timing_Analysis_End_Month)*SUM($EV57:JP59)*JQ66/12)</f>
        <v>0</v>
      </c>
      <c r="JR61" s="21">
        <f>IF(Perm_Debt?,(EH3&lt;=PermDebt_Fund)*SUM($EV57:JQ59)*JR66/12,(EH3&lt;=Timing_Analysis_End_Month)*SUM($EV57:JQ59)*JR66/12)</f>
        <v>0</v>
      </c>
      <c r="JS61" s="21">
        <f>IF(Perm_Debt?,(EI3&lt;=PermDebt_Fund)*SUM($EV57:JR59)*JS66/12,(EI3&lt;=Timing_Analysis_End_Month)*SUM($EV57:JR59)*JS66/12)</f>
        <v>0</v>
      </c>
      <c r="JT61" s="21">
        <f>IF(Perm_Debt?,(EJ3&lt;=PermDebt_Fund)*SUM($EV57:JS59)*JT66/12,(EJ3&lt;=Timing_Analysis_End_Month)*SUM($EV57:JS59)*JT66/12)</f>
        <v>0</v>
      </c>
      <c r="JU61" s="21">
        <f>IF(Perm_Debt?,(EK3&lt;=PermDebt_Fund)*SUM($EV57:JT59)*JU66/12,(EK3&lt;=Timing_Analysis_End_Month)*SUM($EV57:JT59)*JU66/12)</f>
        <v>0</v>
      </c>
      <c r="JV61" s="21">
        <f>IF(Perm_Debt?,(EL3&lt;=PermDebt_Fund)*SUM($EV57:JU59)*JV66/12,(EL3&lt;=Timing_Analysis_End_Month)*SUM($EV57:JU59)*JV66/12)</f>
        <v>0</v>
      </c>
      <c r="JW61" s="21">
        <f>IF(Perm_Debt?,(EM3&lt;=PermDebt_Fund)*SUM($EV57:JV59)*JW66/12,(EM3&lt;=Timing_Analysis_End_Month)*SUM($EV57:JV59)*JW66/12)</f>
        <v>0</v>
      </c>
      <c r="JX61" s="21">
        <f>IF(Perm_Debt?,(EN3&lt;=PermDebt_Fund)*SUM($EV57:JW59)*JX66/12,(EN3&lt;=Timing_Analysis_End_Month)*SUM($EV57:JW59)*JX66/12)</f>
        <v>0</v>
      </c>
      <c r="JY61"/>
      <c r="JZ61" s="262"/>
      <c r="KA61" s="262"/>
      <c r="KB61" s="262"/>
      <c r="KC61" s="262"/>
      <c r="KD61" s="262"/>
      <c r="KE61" s="262"/>
      <c r="KF61" s="262"/>
      <c r="KG61" s="262"/>
      <c r="KH61" s="262"/>
      <c r="KI61" s="262"/>
      <c r="KJ61" s="262"/>
      <c r="KK61" s="262"/>
      <c r="KL61" s="262"/>
      <c r="KM61" s="262"/>
      <c r="KN61" s="262"/>
      <c r="KO61" s="262"/>
      <c r="KP61" s="262"/>
      <c r="KQ61" s="262"/>
      <c r="KR61" s="262"/>
      <c r="KS61" s="262"/>
      <c r="KT61" s="262"/>
      <c r="KU61" s="262"/>
      <c r="KV61" s="262"/>
      <c r="KW61" s="262"/>
      <c r="KX61" s="262"/>
      <c r="KY61" s="262"/>
      <c r="KZ61" s="262"/>
      <c r="LA61" s="262"/>
      <c r="LB61" s="262"/>
      <c r="LC61" s="262"/>
      <c r="LD61" s="262"/>
      <c r="LE61" s="262"/>
      <c r="LF61" s="262"/>
      <c r="LG61" s="262"/>
      <c r="LH61" s="262"/>
      <c r="LI61" s="262"/>
      <c r="LJ61" s="262"/>
      <c r="LK61" s="262"/>
      <c r="LL61" s="262"/>
      <c r="LM61" s="262"/>
      <c r="LN61" s="262"/>
      <c r="LO61" s="262"/>
      <c r="LP61" s="262"/>
      <c r="LQ61" s="262"/>
      <c r="LR61" s="262"/>
      <c r="LS61" s="262"/>
      <c r="LT61" s="262"/>
      <c r="LU61" s="262"/>
      <c r="LV61" s="262"/>
      <c r="LW61" s="262"/>
      <c r="LX61" s="262"/>
      <c r="LY61" s="262"/>
      <c r="LZ61" s="262"/>
      <c r="MA61" s="262"/>
      <c r="MB61" s="262"/>
      <c r="MC61" s="262"/>
      <c r="MD61" s="262"/>
      <c r="ME61" s="262"/>
      <c r="MF61" s="262"/>
      <c r="MG61" s="262"/>
      <c r="MH61" s="262"/>
      <c r="MI61" s="262"/>
      <c r="MJ61" s="262"/>
      <c r="MK61" s="262"/>
      <c r="ML61" s="262"/>
      <c r="MM61" s="262"/>
      <c r="MN61" s="262"/>
      <c r="MO61" s="262"/>
      <c r="MP61" s="262"/>
      <c r="MQ61" s="262"/>
      <c r="MR61" s="262"/>
      <c r="MS61" s="262"/>
      <c r="MT61" s="262"/>
      <c r="MU61" s="262"/>
      <c r="MV61" s="262"/>
      <c r="MW61" s="262"/>
      <c r="MX61" s="262"/>
      <c r="MY61" s="262"/>
      <c r="MZ61" s="262"/>
      <c r="NA61" s="262"/>
      <c r="NB61" s="262"/>
      <c r="NC61" s="262"/>
      <c r="ND61" s="262"/>
      <c r="NE61" s="262"/>
      <c r="NF61" s="262"/>
      <c r="NG61" s="262"/>
      <c r="NH61" s="262"/>
      <c r="NI61" s="262"/>
      <c r="NJ61" s="262"/>
      <c r="NK61" s="262"/>
      <c r="NL61" s="262"/>
      <c r="NM61" s="262"/>
      <c r="NN61" s="262"/>
      <c r="NO61" s="262"/>
      <c r="NP61" s="262"/>
      <c r="NQ61" s="262"/>
      <c r="NR61" s="262"/>
      <c r="NS61" s="262"/>
      <c r="NT61" s="262"/>
      <c r="NU61" s="262"/>
      <c r="NV61" s="262"/>
      <c r="NW61" s="262"/>
      <c r="NX61" s="262"/>
      <c r="NY61" s="262"/>
      <c r="NZ61" s="262"/>
      <c r="OA61" s="262"/>
      <c r="OB61" s="262"/>
      <c r="OC61" s="262"/>
      <c r="OD61" s="262"/>
      <c r="OE61" s="262"/>
      <c r="OF61" s="262"/>
      <c r="OG61" s="262"/>
      <c r="OH61" s="262"/>
      <c r="OI61" s="262"/>
      <c r="OJ61" s="262"/>
      <c r="OK61" s="262"/>
      <c r="OL61" s="262"/>
      <c r="OM61" s="262"/>
      <c r="ON61" s="262"/>
      <c r="OO61" s="262"/>
      <c r="OP61" s="262"/>
      <c r="OQ61" s="262"/>
      <c r="OR61" s="262"/>
      <c r="OS61" s="262"/>
      <c r="OT61" s="262"/>
      <c r="OU61" s="262"/>
      <c r="OV61" s="262"/>
      <c r="OW61" s="262"/>
      <c r="OX61" s="262"/>
      <c r="OY61" s="262"/>
      <c r="OZ61" s="262"/>
      <c r="PA61" s="262"/>
      <c r="PB61" s="262"/>
      <c r="PC61" s="262"/>
      <c r="PD61" s="262"/>
      <c r="PE61" s="262"/>
      <c r="PF61" s="262"/>
      <c r="PG61" s="262"/>
      <c r="PH61" s="262"/>
    </row>
    <row r="62" spans="1:424" x14ac:dyDescent="0.35">
      <c r="A62" s="448">
        <v>1</v>
      </c>
      <c r="B62" s="34" t="s">
        <v>180</v>
      </c>
      <c r="C62" s="56"/>
      <c r="D62" s="400"/>
      <c r="E62" s="400"/>
      <c r="F62" s="57">
        <f>SUM(F60:F61)</f>
        <v>1.0044756723441481</v>
      </c>
      <c r="G62" s="134"/>
      <c r="H62" s="415">
        <f>SUM(H60:H61)</f>
        <v>2997.3431186036514</v>
      </c>
      <c r="I62" s="445">
        <f>SUM(I60:I61)</f>
        <v>450865570.38996112</v>
      </c>
      <c r="J62"/>
      <c r="K62" s="446" t="str">
        <f>B66</f>
        <v>Mezzanine Loan</v>
      </c>
      <c r="L62" s="447">
        <f>IF($D$65=$D$66,L61/$EP$61*$EP$62,SUM(L72:L74)-L61)</f>
        <v>16628131.21831876</v>
      </c>
      <c r="M62" s="447">
        <f t="shared" ref="M62:BX62" si="227">IF($D$65=$D$66,M61/$EP$61*$EP$62,SUM(M72:M74)-M61)</f>
        <v>952590.63109591056</v>
      </c>
      <c r="N62" s="447">
        <f t="shared" si="227"/>
        <v>1153238.7592138182</v>
      </c>
      <c r="O62" s="447">
        <f t="shared" si="227"/>
        <v>1593255.3182424391</v>
      </c>
      <c r="P62" s="447">
        <f t="shared" si="227"/>
        <v>2151126.2631915766</v>
      </c>
      <c r="Q62" s="447">
        <f t="shared" si="227"/>
        <v>2898639.7829110157</v>
      </c>
      <c r="R62" s="447">
        <f t="shared" si="227"/>
        <v>3868810.0707379892</v>
      </c>
      <c r="S62" s="447">
        <f t="shared" si="227"/>
        <v>5087252.4296078607</v>
      </c>
      <c r="T62" s="447">
        <f t="shared" si="227"/>
        <v>6566224.3704085397</v>
      </c>
      <c r="U62" s="447">
        <f t="shared" si="227"/>
        <v>8298517.1205737963</v>
      </c>
      <c r="V62" s="447">
        <f t="shared" si="227"/>
        <v>10252240.165656256</v>
      </c>
      <c r="W62" s="447">
        <f t="shared" si="227"/>
        <v>12367698.147663975</v>
      </c>
      <c r="X62" s="447">
        <f t="shared" si="227"/>
        <v>14557484.657830048</v>
      </c>
      <c r="Y62" s="447">
        <f t="shared" si="227"/>
        <v>14432335.04440251</v>
      </c>
      <c r="Z62" s="447">
        <f t="shared" si="227"/>
        <v>9350243.9477226138</v>
      </c>
      <c r="AA62" s="447">
        <f t="shared" si="227"/>
        <v>10198571.003748894</v>
      </c>
      <c r="AB62" s="447">
        <f t="shared" si="227"/>
        <v>0</v>
      </c>
      <c r="AC62" s="447">
        <f t="shared" si="227"/>
        <v>-1.862645149230957E-9</v>
      </c>
      <c r="AD62" s="447">
        <f t="shared" si="227"/>
        <v>-1.862645149230957E-9</v>
      </c>
      <c r="AE62" s="447">
        <f t="shared" si="227"/>
        <v>1.862645149230957E-9</v>
      </c>
      <c r="AF62" s="447">
        <f t="shared" si="227"/>
        <v>1.862645149230957E-9</v>
      </c>
      <c r="AG62" s="447">
        <f t="shared" si="227"/>
        <v>1.862645149230957E-9</v>
      </c>
      <c r="AH62" s="447">
        <f t="shared" si="227"/>
        <v>-3.7252902984619141E-9</v>
      </c>
      <c r="AI62" s="447">
        <f t="shared" si="227"/>
        <v>0</v>
      </c>
      <c r="AJ62" s="447">
        <f t="shared" si="227"/>
        <v>3.7252902984619141E-9</v>
      </c>
      <c r="AK62" s="447">
        <f t="shared" si="227"/>
        <v>-1.862645149230957E-9</v>
      </c>
      <c r="AL62" s="447">
        <f t="shared" si="227"/>
        <v>-5.5879354476928711E-9</v>
      </c>
      <c r="AM62" s="447">
        <f t="shared" si="227"/>
        <v>0</v>
      </c>
      <c r="AN62" s="447">
        <f t="shared" si="227"/>
        <v>-5.5879354476928711E-9</v>
      </c>
      <c r="AO62" s="447">
        <f t="shared" si="227"/>
        <v>4.6566128730773926E-9</v>
      </c>
      <c r="AP62" s="447">
        <f t="shared" si="227"/>
        <v>-4.4237822294235229E-9</v>
      </c>
      <c r="AQ62" s="447">
        <f t="shared" si="227"/>
        <v>-1.0186340659856796E-9</v>
      </c>
      <c r="AR62" s="447">
        <f t="shared" si="227"/>
        <v>1.0477378964424133E-9</v>
      </c>
      <c r="AS62" s="447">
        <f t="shared" si="227"/>
        <v>-4.9476511776447296E-10</v>
      </c>
      <c r="AT62" s="447">
        <f t="shared" si="227"/>
        <v>4.9476511776447296E-10</v>
      </c>
      <c r="AU62" s="447">
        <f t="shared" si="227"/>
        <v>1.1204974725842476E-9</v>
      </c>
      <c r="AV62" s="447">
        <f t="shared" si="227"/>
        <v>4.2928149923682213E-10</v>
      </c>
      <c r="AW62" s="447">
        <f t="shared" si="227"/>
        <v>0</v>
      </c>
      <c r="AX62" s="447">
        <f t="shared" si="227"/>
        <v>0</v>
      </c>
      <c r="AY62" s="447">
        <f t="shared" si="227"/>
        <v>0</v>
      </c>
      <c r="AZ62" s="447">
        <f t="shared" si="227"/>
        <v>0</v>
      </c>
      <c r="BA62" s="447">
        <f t="shared" si="227"/>
        <v>0</v>
      </c>
      <c r="BB62" s="447">
        <f t="shared" si="227"/>
        <v>0</v>
      </c>
      <c r="BC62" s="447">
        <f t="shared" si="227"/>
        <v>0</v>
      </c>
      <c r="BD62" s="447">
        <f t="shared" si="227"/>
        <v>0</v>
      </c>
      <c r="BE62" s="447">
        <f t="shared" si="227"/>
        <v>0</v>
      </c>
      <c r="BF62" s="447">
        <f t="shared" si="227"/>
        <v>0</v>
      </c>
      <c r="BG62" s="447">
        <f t="shared" si="227"/>
        <v>0</v>
      </c>
      <c r="BH62" s="447">
        <f t="shared" si="227"/>
        <v>0</v>
      </c>
      <c r="BI62" s="447">
        <f t="shared" si="227"/>
        <v>0</v>
      </c>
      <c r="BJ62" s="447">
        <f t="shared" si="227"/>
        <v>0</v>
      </c>
      <c r="BK62" s="447">
        <f t="shared" si="227"/>
        <v>0</v>
      </c>
      <c r="BL62" s="447">
        <f t="shared" si="227"/>
        <v>0</v>
      </c>
      <c r="BM62" s="447">
        <f t="shared" si="227"/>
        <v>0</v>
      </c>
      <c r="BN62" s="447">
        <f t="shared" si="227"/>
        <v>0</v>
      </c>
      <c r="BO62" s="447">
        <f t="shared" si="227"/>
        <v>0</v>
      </c>
      <c r="BP62" s="447">
        <f t="shared" si="227"/>
        <v>0</v>
      </c>
      <c r="BQ62" s="447">
        <f t="shared" si="227"/>
        <v>0</v>
      </c>
      <c r="BR62" s="447">
        <f t="shared" si="227"/>
        <v>0</v>
      </c>
      <c r="BS62" s="447">
        <f t="shared" si="227"/>
        <v>0</v>
      </c>
      <c r="BT62" s="447">
        <f t="shared" si="227"/>
        <v>0</v>
      </c>
      <c r="BU62" s="447">
        <f t="shared" si="227"/>
        <v>0</v>
      </c>
      <c r="BV62" s="447">
        <f t="shared" si="227"/>
        <v>0</v>
      </c>
      <c r="BW62" s="447">
        <f t="shared" si="227"/>
        <v>0</v>
      </c>
      <c r="BX62" s="447">
        <f t="shared" si="227"/>
        <v>0</v>
      </c>
      <c r="BY62" s="447">
        <f t="shared" ref="BY62:EJ62" si="228">IF($D$65=$D$66,BY61/$EP$61*$EP$62,SUM(BY72:BY74)-BY61)</f>
        <v>0</v>
      </c>
      <c r="BZ62" s="447">
        <f t="shared" si="228"/>
        <v>0</v>
      </c>
      <c r="CA62" s="447">
        <f t="shared" si="228"/>
        <v>0</v>
      </c>
      <c r="CB62" s="447">
        <f t="shared" si="228"/>
        <v>0</v>
      </c>
      <c r="CC62" s="447">
        <f t="shared" si="228"/>
        <v>0</v>
      </c>
      <c r="CD62" s="447">
        <f t="shared" si="228"/>
        <v>0</v>
      </c>
      <c r="CE62" s="447">
        <f t="shared" si="228"/>
        <v>0</v>
      </c>
      <c r="CF62" s="447">
        <f t="shared" si="228"/>
        <v>0</v>
      </c>
      <c r="CG62" s="447">
        <f t="shared" si="228"/>
        <v>0</v>
      </c>
      <c r="CH62" s="447">
        <f t="shared" si="228"/>
        <v>0</v>
      </c>
      <c r="CI62" s="447">
        <f t="shared" si="228"/>
        <v>0</v>
      </c>
      <c r="CJ62" s="447">
        <f t="shared" si="228"/>
        <v>0</v>
      </c>
      <c r="CK62" s="447">
        <f t="shared" si="228"/>
        <v>0</v>
      </c>
      <c r="CL62" s="447">
        <f t="shared" si="228"/>
        <v>0</v>
      </c>
      <c r="CM62" s="447">
        <f t="shared" si="228"/>
        <v>0</v>
      </c>
      <c r="CN62" s="447">
        <f t="shared" si="228"/>
        <v>0</v>
      </c>
      <c r="CO62" s="447">
        <f t="shared" si="228"/>
        <v>0</v>
      </c>
      <c r="CP62" s="447">
        <f t="shared" si="228"/>
        <v>0</v>
      </c>
      <c r="CQ62" s="447">
        <f t="shared" si="228"/>
        <v>0</v>
      </c>
      <c r="CR62" s="447">
        <f t="shared" si="228"/>
        <v>0</v>
      </c>
      <c r="CS62" s="447">
        <f t="shared" si="228"/>
        <v>0</v>
      </c>
      <c r="CT62" s="447">
        <f t="shared" si="228"/>
        <v>0</v>
      </c>
      <c r="CU62" s="447">
        <f t="shared" si="228"/>
        <v>0</v>
      </c>
      <c r="CV62" s="447">
        <f t="shared" si="228"/>
        <v>0</v>
      </c>
      <c r="CW62" s="447">
        <f t="shared" si="228"/>
        <v>0</v>
      </c>
      <c r="CX62" s="447">
        <f t="shared" si="228"/>
        <v>0</v>
      </c>
      <c r="CY62" s="447">
        <f t="shared" si="228"/>
        <v>0</v>
      </c>
      <c r="CZ62" s="447">
        <f t="shared" si="228"/>
        <v>0</v>
      </c>
      <c r="DA62" s="447">
        <f t="shared" si="228"/>
        <v>0</v>
      </c>
      <c r="DB62" s="447">
        <f t="shared" si="228"/>
        <v>0</v>
      </c>
      <c r="DC62" s="447">
        <f t="shared" si="228"/>
        <v>0</v>
      </c>
      <c r="DD62" s="447">
        <f t="shared" si="228"/>
        <v>0</v>
      </c>
      <c r="DE62" s="447">
        <f t="shared" si="228"/>
        <v>0</v>
      </c>
      <c r="DF62" s="447">
        <f t="shared" si="228"/>
        <v>0</v>
      </c>
      <c r="DG62" s="447">
        <f t="shared" si="228"/>
        <v>0</v>
      </c>
      <c r="DH62" s="447">
        <f t="shared" si="228"/>
        <v>0</v>
      </c>
      <c r="DI62" s="447">
        <f t="shared" si="228"/>
        <v>0</v>
      </c>
      <c r="DJ62" s="447">
        <f t="shared" si="228"/>
        <v>0</v>
      </c>
      <c r="DK62" s="447">
        <f t="shared" si="228"/>
        <v>0</v>
      </c>
      <c r="DL62" s="447">
        <f t="shared" si="228"/>
        <v>0</v>
      </c>
      <c r="DM62" s="447">
        <f t="shared" si="228"/>
        <v>0</v>
      </c>
      <c r="DN62" s="447">
        <f t="shared" si="228"/>
        <v>0</v>
      </c>
      <c r="DO62" s="447">
        <f t="shared" si="228"/>
        <v>0</v>
      </c>
      <c r="DP62" s="447">
        <f t="shared" si="228"/>
        <v>0</v>
      </c>
      <c r="DQ62" s="447">
        <f t="shared" si="228"/>
        <v>0</v>
      </c>
      <c r="DR62" s="447">
        <f t="shared" si="228"/>
        <v>0</v>
      </c>
      <c r="DS62" s="447">
        <f t="shared" si="228"/>
        <v>0</v>
      </c>
      <c r="DT62" s="447">
        <f t="shared" si="228"/>
        <v>0</v>
      </c>
      <c r="DU62" s="447">
        <f t="shared" si="228"/>
        <v>0</v>
      </c>
      <c r="DV62" s="447">
        <f t="shared" si="228"/>
        <v>0</v>
      </c>
      <c r="DW62" s="447">
        <f t="shared" si="228"/>
        <v>0</v>
      </c>
      <c r="DX62" s="447">
        <f t="shared" si="228"/>
        <v>0</v>
      </c>
      <c r="DY62" s="447">
        <f t="shared" si="228"/>
        <v>0</v>
      </c>
      <c r="DZ62" s="447">
        <f t="shared" si="228"/>
        <v>0</v>
      </c>
      <c r="EA62" s="447">
        <f t="shared" si="228"/>
        <v>0</v>
      </c>
      <c r="EB62" s="447">
        <f t="shared" si="228"/>
        <v>0</v>
      </c>
      <c r="EC62" s="447">
        <f t="shared" si="228"/>
        <v>0</v>
      </c>
      <c r="ED62" s="447">
        <f t="shared" si="228"/>
        <v>0</v>
      </c>
      <c r="EE62" s="447">
        <f t="shared" si="228"/>
        <v>0</v>
      </c>
      <c r="EF62" s="447">
        <f t="shared" si="228"/>
        <v>0</v>
      </c>
      <c r="EG62" s="447">
        <f t="shared" si="228"/>
        <v>0</v>
      </c>
      <c r="EH62" s="447">
        <f t="shared" si="228"/>
        <v>0</v>
      </c>
      <c r="EI62" s="447">
        <f t="shared" si="228"/>
        <v>0</v>
      </c>
      <c r="EJ62" s="447">
        <f t="shared" si="228"/>
        <v>0</v>
      </c>
      <c r="EK62" s="447">
        <f>IF($D$65=$D$66,EK61/$EP$61*$EP$62,SUM(EK72:EK74)-EK61)</f>
        <v>0</v>
      </c>
      <c r="EL62" s="447">
        <f>IF($D$65=$D$66,EL61/$EP$61*$EP$62,SUM(EL72:EL74)-EL61)</f>
        <v>0</v>
      </c>
      <c r="EM62" s="447">
        <f>IF($D$65=$D$66,EM61/$EP$61*$EP$62,SUM(EM72:EM74)-EM61)</f>
        <v>0</v>
      </c>
      <c r="EN62" s="447">
        <f>IF($D$65=$D$66,EN61/$EP$61*$EP$62,SUM(EN72:EN74)-EN61)</f>
        <v>0</v>
      </c>
      <c r="EO62"/>
      <c r="EP62" s="266">
        <f>1-EP61</f>
        <v>0</v>
      </c>
      <c r="EQ62" s="18"/>
      <c r="ER62" s="18"/>
      <c r="ES62" s="18"/>
      <c r="ET62" s="21" t="s">
        <v>181</v>
      </c>
      <c r="EU62" s="21">
        <f>SUM(EV62:JX62)</f>
        <v>0</v>
      </c>
      <c r="EV62" s="21"/>
      <c r="EW62" s="21">
        <f t="shared" ref="EW62:GB62" si="229">MIN(EW61,MAX(M155,0))*$F$52</f>
        <v>0</v>
      </c>
      <c r="EX62" s="21">
        <f t="shared" si="229"/>
        <v>0</v>
      </c>
      <c r="EY62" s="21">
        <f t="shared" si="229"/>
        <v>0</v>
      </c>
      <c r="EZ62" s="21">
        <f t="shared" si="229"/>
        <v>0</v>
      </c>
      <c r="FA62" s="21">
        <f t="shared" si="229"/>
        <v>0</v>
      </c>
      <c r="FB62" s="21">
        <f t="shared" si="229"/>
        <v>0</v>
      </c>
      <c r="FC62" s="21">
        <f t="shared" si="229"/>
        <v>0</v>
      </c>
      <c r="FD62" s="21">
        <f t="shared" si="229"/>
        <v>0</v>
      </c>
      <c r="FE62" s="21">
        <f t="shared" si="229"/>
        <v>0</v>
      </c>
      <c r="FF62" s="21">
        <f t="shared" si="229"/>
        <v>0</v>
      </c>
      <c r="FG62" s="21">
        <f t="shared" si="229"/>
        <v>0</v>
      </c>
      <c r="FH62" s="21">
        <f t="shared" si="229"/>
        <v>0</v>
      </c>
      <c r="FI62" s="21">
        <f t="shared" si="229"/>
        <v>0</v>
      </c>
      <c r="FJ62" s="21">
        <f t="shared" si="229"/>
        <v>0</v>
      </c>
      <c r="FK62" s="21">
        <f t="shared" si="229"/>
        <v>0</v>
      </c>
      <c r="FL62" s="21">
        <f t="shared" si="229"/>
        <v>0</v>
      </c>
      <c r="FM62" s="21">
        <f t="shared" si="229"/>
        <v>0</v>
      </c>
      <c r="FN62" s="21">
        <f t="shared" si="229"/>
        <v>0</v>
      </c>
      <c r="FO62" s="21">
        <f t="shared" si="229"/>
        <v>0</v>
      </c>
      <c r="FP62" s="21">
        <f t="shared" si="229"/>
        <v>0</v>
      </c>
      <c r="FQ62" s="21">
        <f t="shared" si="229"/>
        <v>0</v>
      </c>
      <c r="FR62" s="21">
        <f t="shared" si="229"/>
        <v>0</v>
      </c>
      <c r="FS62" s="21">
        <f t="shared" si="229"/>
        <v>0</v>
      </c>
      <c r="FT62" s="21">
        <f t="shared" si="229"/>
        <v>0</v>
      </c>
      <c r="FU62" s="21">
        <f t="shared" si="229"/>
        <v>0</v>
      </c>
      <c r="FV62" s="21">
        <f t="shared" si="229"/>
        <v>0</v>
      </c>
      <c r="FW62" s="21">
        <f t="shared" si="229"/>
        <v>0</v>
      </c>
      <c r="FX62" s="21">
        <f t="shared" si="229"/>
        <v>0</v>
      </c>
      <c r="FY62" s="21">
        <f t="shared" si="229"/>
        <v>0</v>
      </c>
      <c r="FZ62" s="21">
        <f t="shared" si="229"/>
        <v>0</v>
      </c>
      <c r="GA62" s="21">
        <f t="shared" si="229"/>
        <v>0</v>
      </c>
      <c r="GB62" s="21">
        <f t="shared" si="229"/>
        <v>0</v>
      </c>
      <c r="GC62" s="21">
        <f t="shared" ref="GC62:HH62" si="230">MIN(GC61,MAX(AS155,0))*$F$52</f>
        <v>0</v>
      </c>
      <c r="GD62" s="21">
        <f t="shared" si="230"/>
        <v>0</v>
      </c>
      <c r="GE62" s="21">
        <f t="shared" si="230"/>
        <v>0</v>
      </c>
      <c r="GF62" s="21">
        <f t="shared" si="230"/>
        <v>0</v>
      </c>
      <c r="GG62" s="21">
        <f t="shared" si="230"/>
        <v>0</v>
      </c>
      <c r="GH62" s="21">
        <f t="shared" si="230"/>
        <v>0</v>
      </c>
      <c r="GI62" s="21">
        <f t="shared" si="230"/>
        <v>0</v>
      </c>
      <c r="GJ62" s="21">
        <f t="shared" si="230"/>
        <v>0</v>
      </c>
      <c r="GK62" s="21">
        <f t="shared" si="230"/>
        <v>0</v>
      </c>
      <c r="GL62" s="21">
        <f t="shared" si="230"/>
        <v>0</v>
      </c>
      <c r="GM62" s="21">
        <f t="shared" si="230"/>
        <v>0</v>
      </c>
      <c r="GN62" s="21">
        <f t="shared" si="230"/>
        <v>0</v>
      </c>
      <c r="GO62" s="21">
        <f t="shared" si="230"/>
        <v>0</v>
      </c>
      <c r="GP62" s="21">
        <f t="shared" si="230"/>
        <v>0</v>
      </c>
      <c r="GQ62" s="21">
        <f t="shared" si="230"/>
        <v>0</v>
      </c>
      <c r="GR62" s="21">
        <f t="shared" si="230"/>
        <v>0</v>
      </c>
      <c r="GS62" s="21">
        <f t="shared" si="230"/>
        <v>0</v>
      </c>
      <c r="GT62" s="21">
        <f t="shared" si="230"/>
        <v>0</v>
      </c>
      <c r="GU62" s="21">
        <f t="shared" si="230"/>
        <v>0</v>
      </c>
      <c r="GV62" s="21">
        <f t="shared" si="230"/>
        <v>0</v>
      </c>
      <c r="GW62" s="21">
        <f t="shared" si="230"/>
        <v>0</v>
      </c>
      <c r="GX62" s="21">
        <f t="shared" si="230"/>
        <v>0</v>
      </c>
      <c r="GY62" s="21">
        <f t="shared" si="230"/>
        <v>0</v>
      </c>
      <c r="GZ62" s="21">
        <f t="shared" si="230"/>
        <v>0</v>
      </c>
      <c r="HA62" s="21">
        <f t="shared" si="230"/>
        <v>0</v>
      </c>
      <c r="HB62" s="21">
        <f t="shared" si="230"/>
        <v>0</v>
      </c>
      <c r="HC62" s="21">
        <f t="shared" si="230"/>
        <v>0</v>
      </c>
      <c r="HD62" s="21">
        <f t="shared" si="230"/>
        <v>0</v>
      </c>
      <c r="HE62" s="21">
        <f t="shared" si="230"/>
        <v>0</v>
      </c>
      <c r="HF62" s="21">
        <f t="shared" si="230"/>
        <v>0</v>
      </c>
      <c r="HG62" s="21">
        <f t="shared" si="230"/>
        <v>0</v>
      </c>
      <c r="HH62" s="21">
        <f t="shared" si="230"/>
        <v>0</v>
      </c>
      <c r="HI62" s="21">
        <f t="shared" ref="HI62:IN62" si="231">MIN(HI61,MAX(BY155,0))*$F$52</f>
        <v>0</v>
      </c>
      <c r="HJ62" s="21">
        <f t="shared" si="231"/>
        <v>0</v>
      </c>
      <c r="HK62" s="21">
        <f t="shared" si="231"/>
        <v>0</v>
      </c>
      <c r="HL62" s="21">
        <f t="shared" si="231"/>
        <v>0</v>
      </c>
      <c r="HM62" s="21">
        <f t="shared" si="231"/>
        <v>0</v>
      </c>
      <c r="HN62" s="21">
        <f t="shared" si="231"/>
        <v>0</v>
      </c>
      <c r="HO62" s="21">
        <f t="shared" si="231"/>
        <v>0</v>
      </c>
      <c r="HP62" s="21">
        <f t="shared" si="231"/>
        <v>0</v>
      </c>
      <c r="HQ62" s="21">
        <f t="shared" si="231"/>
        <v>0</v>
      </c>
      <c r="HR62" s="21">
        <f t="shared" si="231"/>
        <v>0</v>
      </c>
      <c r="HS62" s="21">
        <f t="shared" si="231"/>
        <v>0</v>
      </c>
      <c r="HT62" s="21">
        <f t="shared" si="231"/>
        <v>0</v>
      </c>
      <c r="HU62" s="21">
        <f t="shared" si="231"/>
        <v>0</v>
      </c>
      <c r="HV62" s="21">
        <f t="shared" si="231"/>
        <v>0</v>
      </c>
      <c r="HW62" s="21">
        <f t="shared" si="231"/>
        <v>0</v>
      </c>
      <c r="HX62" s="21">
        <f t="shared" si="231"/>
        <v>0</v>
      </c>
      <c r="HY62" s="21">
        <f t="shared" si="231"/>
        <v>0</v>
      </c>
      <c r="HZ62" s="21">
        <f t="shared" si="231"/>
        <v>0</v>
      </c>
      <c r="IA62" s="21">
        <f t="shared" si="231"/>
        <v>0</v>
      </c>
      <c r="IB62" s="21">
        <f t="shared" si="231"/>
        <v>0</v>
      </c>
      <c r="IC62" s="21">
        <f t="shared" si="231"/>
        <v>0</v>
      </c>
      <c r="ID62" s="21">
        <f t="shared" si="231"/>
        <v>0</v>
      </c>
      <c r="IE62" s="21">
        <f t="shared" si="231"/>
        <v>0</v>
      </c>
      <c r="IF62" s="21">
        <f t="shared" si="231"/>
        <v>0</v>
      </c>
      <c r="IG62" s="21">
        <f t="shared" si="231"/>
        <v>0</v>
      </c>
      <c r="IH62" s="21">
        <f t="shared" si="231"/>
        <v>0</v>
      </c>
      <c r="II62" s="21">
        <f t="shared" si="231"/>
        <v>0</v>
      </c>
      <c r="IJ62" s="21">
        <f t="shared" si="231"/>
        <v>0</v>
      </c>
      <c r="IK62" s="21">
        <f t="shared" si="231"/>
        <v>0</v>
      </c>
      <c r="IL62" s="21">
        <f t="shared" si="231"/>
        <v>0</v>
      </c>
      <c r="IM62" s="21">
        <f t="shared" si="231"/>
        <v>0</v>
      </c>
      <c r="IN62" s="21">
        <f t="shared" si="231"/>
        <v>0</v>
      </c>
      <c r="IO62" s="21">
        <f t="shared" ref="IO62:JT62" si="232">MIN(IO61,MAX(DE155,0))*$F$52</f>
        <v>0</v>
      </c>
      <c r="IP62" s="21">
        <f t="shared" si="232"/>
        <v>0</v>
      </c>
      <c r="IQ62" s="21">
        <f t="shared" si="232"/>
        <v>0</v>
      </c>
      <c r="IR62" s="21">
        <f t="shared" si="232"/>
        <v>0</v>
      </c>
      <c r="IS62" s="21">
        <f t="shared" si="232"/>
        <v>0</v>
      </c>
      <c r="IT62" s="21">
        <f t="shared" si="232"/>
        <v>0</v>
      </c>
      <c r="IU62" s="21">
        <f t="shared" si="232"/>
        <v>0</v>
      </c>
      <c r="IV62" s="21">
        <f t="shared" si="232"/>
        <v>0</v>
      </c>
      <c r="IW62" s="21">
        <f t="shared" si="232"/>
        <v>0</v>
      </c>
      <c r="IX62" s="21">
        <f t="shared" si="232"/>
        <v>0</v>
      </c>
      <c r="IY62" s="21">
        <f t="shared" si="232"/>
        <v>0</v>
      </c>
      <c r="IZ62" s="21">
        <f t="shared" si="232"/>
        <v>0</v>
      </c>
      <c r="JA62" s="21">
        <f t="shared" si="232"/>
        <v>0</v>
      </c>
      <c r="JB62" s="21">
        <f t="shared" si="232"/>
        <v>0</v>
      </c>
      <c r="JC62" s="21">
        <f t="shared" si="232"/>
        <v>0</v>
      </c>
      <c r="JD62" s="21">
        <f t="shared" si="232"/>
        <v>0</v>
      </c>
      <c r="JE62" s="21">
        <f t="shared" si="232"/>
        <v>0</v>
      </c>
      <c r="JF62" s="21">
        <f t="shared" si="232"/>
        <v>0</v>
      </c>
      <c r="JG62" s="21">
        <f t="shared" si="232"/>
        <v>0</v>
      </c>
      <c r="JH62" s="21">
        <f t="shared" si="232"/>
        <v>0</v>
      </c>
      <c r="JI62" s="21">
        <f t="shared" si="232"/>
        <v>0</v>
      </c>
      <c r="JJ62" s="21">
        <f t="shared" si="232"/>
        <v>0</v>
      </c>
      <c r="JK62" s="21">
        <f t="shared" si="232"/>
        <v>0</v>
      </c>
      <c r="JL62" s="21">
        <f t="shared" si="232"/>
        <v>0</v>
      </c>
      <c r="JM62" s="21">
        <f t="shared" si="232"/>
        <v>0</v>
      </c>
      <c r="JN62" s="21">
        <f t="shared" si="232"/>
        <v>0</v>
      </c>
      <c r="JO62" s="21">
        <f t="shared" si="232"/>
        <v>0</v>
      </c>
      <c r="JP62" s="21">
        <f t="shared" si="232"/>
        <v>0</v>
      </c>
      <c r="JQ62" s="21">
        <f t="shared" si="232"/>
        <v>0</v>
      </c>
      <c r="JR62" s="21">
        <f t="shared" si="232"/>
        <v>0</v>
      </c>
      <c r="JS62" s="21">
        <f t="shared" si="232"/>
        <v>0</v>
      </c>
      <c r="JT62" s="21">
        <f t="shared" si="232"/>
        <v>0</v>
      </c>
      <c r="JU62" s="21">
        <f>MIN(JU61,MAX(EK155,0))*$F$52</f>
        <v>0</v>
      </c>
      <c r="JV62" s="21">
        <f>MIN(JV61,MAX(EL155,0))*$F$52</f>
        <v>0</v>
      </c>
      <c r="JW62" s="21">
        <f>MIN(JW61,MAX(EM155,0))*$F$52</f>
        <v>0</v>
      </c>
      <c r="JX62" s="21">
        <f>MIN(JX61,MAX(EN155,0))*$F$52</f>
        <v>0</v>
      </c>
      <c r="JY62"/>
      <c r="JZ62" s="262"/>
      <c r="KA62" s="262"/>
      <c r="KB62" s="262"/>
      <c r="KC62" s="262"/>
      <c r="KD62" s="262"/>
      <c r="KE62" s="262"/>
      <c r="KF62" s="262"/>
      <c r="KG62" s="262"/>
      <c r="KH62" s="262"/>
      <c r="KI62" s="262"/>
      <c r="KJ62" s="262"/>
      <c r="KK62" s="262"/>
      <c r="KL62" s="262"/>
      <c r="KM62" s="262"/>
      <c r="KN62" s="262"/>
      <c r="KO62" s="262"/>
      <c r="KP62" s="262"/>
      <c r="KQ62" s="262"/>
      <c r="KR62" s="262"/>
      <c r="KS62" s="262"/>
      <c r="KT62" s="262"/>
      <c r="KU62" s="262"/>
      <c r="KV62" s="262"/>
      <c r="KW62" s="262"/>
      <c r="KX62" s="262"/>
      <c r="KY62" s="262"/>
      <c r="KZ62" s="262"/>
      <c r="LA62" s="262"/>
      <c r="LB62" s="262"/>
      <c r="LC62" s="262"/>
      <c r="LD62" s="262"/>
      <c r="LE62" s="262"/>
      <c r="LF62" s="262"/>
      <c r="LG62" s="262"/>
      <c r="LH62" s="262"/>
      <c r="LI62" s="262"/>
      <c r="LJ62" s="262"/>
      <c r="LK62" s="262"/>
      <c r="LL62" s="262"/>
      <c r="LM62" s="262"/>
      <c r="LN62" s="262"/>
      <c r="LO62" s="262"/>
      <c r="LP62" s="262"/>
      <c r="LQ62" s="262"/>
      <c r="LR62" s="262"/>
      <c r="LS62" s="262"/>
      <c r="LT62" s="262"/>
      <c r="LU62" s="262"/>
      <c r="LV62" s="262"/>
      <c r="LW62" s="262"/>
      <c r="LX62" s="262"/>
      <c r="LY62" s="262"/>
      <c r="LZ62" s="262"/>
      <c r="MA62" s="262"/>
      <c r="MB62" s="262"/>
      <c r="MC62" s="262"/>
      <c r="MD62" s="262"/>
      <c r="ME62" s="262"/>
      <c r="MF62" s="262"/>
      <c r="MG62" s="262"/>
      <c r="MH62" s="262"/>
      <c r="MI62" s="262"/>
      <c r="MJ62" s="262"/>
      <c r="MK62" s="262"/>
      <c r="ML62" s="262"/>
      <c r="MM62" s="262"/>
      <c r="MN62" s="262"/>
      <c r="MO62" s="262"/>
      <c r="MP62" s="262"/>
      <c r="MQ62" s="262"/>
      <c r="MR62" s="262"/>
      <c r="MS62" s="262"/>
      <c r="MT62" s="262"/>
      <c r="MU62" s="262"/>
      <c r="MV62" s="262"/>
      <c r="MW62" s="262"/>
      <c r="MX62" s="262"/>
      <c r="MY62" s="262"/>
      <c r="MZ62" s="262"/>
      <c r="NA62" s="262"/>
      <c r="NB62" s="262"/>
      <c r="NC62" s="262"/>
      <c r="ND62" s="262"/>
      <c r="NE62" s="262"/>
      <c r="NF62" s="262"/>
      <c r="NG62" s="262"/>
      <c r="NH62" s="262"/>
      <c r="NI62" s="262"/>
      <c r="NJ62" s="262"/>
      <c r="NK62" s="262"/>
      <c r="NL62" s="262"/>
      <c r="NM62" s="262"/>
      <c r="NN62" s="262"/>
      <c r="NO62" s="262"/>
      <c r="NP62" s="262"/>
      <c r="NQ62" s="262"/>
      <c r="NR62" s="262"/>
      <c r="NS62" s="262"/>
      <c r="NT62" s="262"/>
      <c r="NU62" s="262"/>
      <c r="NV62" s="262"/>
      <c r="NW62" s="262"/>
      <c r="NX62" s="262"/>
      <c r="NY62" s="262"/>
      <c r="NZ62" s="262"/>
      <c r="OA62" s="262"/>
      <c r="OB62" s="262"/>
      <c r="OC62" s="262"/>
      <c r="OD62" s="262"/>
      <c r="OE62" s="262"/>
      <c r="OF62" s="262"/>
      <c r="OG62" s="262"/>
      <c r="OH62" s="262"/>
      <c r="OI62" s="262"/>
      <c r="OJ62" s="262"/>
      <c r="OK62" s="262"/>
      <c r="OL62" s="262"/>
      <c r="OM62" s="262"/>
      <c r="ON62" s="262"/>
      <c r="OO62" s="262"/>
      <c r="OP62" s="262"/>
      <c r="OQ62" s="262"/>
      <c r="OR62" s="262"/>
      <c r="OS62" s="262"/>
      <c r="OT62" s="262"/>
      <c r="OU62" s="262"/>
      <c r="OV62" s="262"/>
      <c r="OW62" s="262"/>
      <c r="OX62" s="262"/>
      <c r="OY62" s="262"/>
      <c r="OZ62" s="262"/>
      <c r="PA62" s="262"/>
      <c r="PB62" s="262"/>
      <c r="PC62" s="262"/>
      <c r="PD62" s="262"/>
      <c r="PE62" s="262"/>
      <c r="PF62" s="262"/>
      <c r="PG62" s="262"/>
      <c r="PH62" s="262"/>
    </row>
    <row r="63" spans="1:424" x14ac:dyDescent="0.35">
      <c r="A63"/>
      <c r="B63" s="34"/>
      <c r="C63" s="400"/>
      <c r="D63" s="400"/>
      <c r="E63" s="400"/>
      <c r="F63" s="57"/>
      <c r="G63" s="134"/>
      <c r="H63" s="134"/>
      <c r="I63" s="37"/>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s="219"/>
      <c r="EQ63" s="18"/>
      <c r="ER63" s="18"/>
      <c r="ES63" s="18"/>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c r="IE63" s="20"/>
      <c r="IF63" s="20"/>
      <c r="IG63" s="20"/>
      <c r="IH63" s="20"/>
      <c r="II63" s="20"/>
      <c r="IJ63" s="20"/>
      <c r="IK63" s="20"/>
      <c r="IL63" s="20"/>
      <c r="IM63" s="20"/>
      <c r="IN63" s="20"/>
      <c r="IO63" s="20"/>
      <c r="IP63" s="20"/>
      <c r="IQ63" s="20"/>
      <c r="IR63" s="20"/>
      <c r="IS63" s="20"/>
      <c r="IT63" s="20"/>
      <c r="IU63" s="20"/>
      <c r="IV63" s="20"/>
      <c r="IW63" s="20"/>
      <c r="IX63" s="20"/>
      <c r="IY63" s="20"/>
      <c r="IZ63" s="20"/>
      <c r="JA63" s="20"/>
      <c r="JB63" s="20"/>
      <c r="JC63" s="20"/>
      <c r="JD63" s="20"/>
      <c r="JE63" s="20"/>
      <c r="JF63" s="20"/>
      <c r="JG63" s="20"/>
      <c r="JH63" s="20"/>
      <c r="JI63" s="20"/>
      <c r="JJ63" s="20"/>
      <c r="JK63" s="20"/>
      <c r="JL63" s="20"/>
      <c r="JM63" s="20"/>
      <c r="JN63" s="20"/>
      <c r="JO63" s="20"/>
      <c r="JP63" s="20"/>
      <c r="JQ63" s="20"/>
      <c r="JR63" s="20"/>
      <c r="JS63" s="20"/>
      <c r="JT63" s="20"/>
      <c r="JU63" s="20"/>
      <c r="JV63" s="20"/>
      <c r="JW63" s="20"/>
      <c r="JX63" s="20"/>
      <c r="JY63"/>
      <c r="JZ63" s="262"/>
      <c r="KA63" s="262"/>
      <c r="KB63" s="262"/>
      <c r="KC63" s="262"/>
      <c r="KD63" s="262"/>
      <c r="KE63" s="262"/>
      <c r="KF63" s="262"/>
      <c r="KG63" s="262"/>
      <c r="KH63" s="262"/>
      <c r="KI63" s="262"/>
      <c r="KJ63" s="262"/>
      <c r="KK63" s="262"/>
      <c r="KL63" s="262"/>
      <c r="KM63" s="262"/>
      <c r="KN63" s="262"/>
      <c r="KO63" s="262"/>
      <c r="KP63" s="262"/>
      <c r="KQ63" s="262"/>
      <c r="KR63" s="262"/>
      <c r="KS63" s="262"/>
      <c r="KT63" s="262"/>
      <c r="KU63" s="262"/>
      <c r="KV63" s="262"/>
      <c r="KW63" s="262"/>
      <c r="KX63" s="262"/>
      <c r="KY63" s="262"/>
      <c r="KZ63" s="262"/>
      <c r="LA63" s="262"/>
      <c r="LB63" s="262"/>
      <c r="LC63" s="262"/>
      <c r="LD63" s="262"/>
      <c r="LE63" s="262"/>
      <c r="LF63" s="262"/>
      <c r="LG63" s="262"/>
      <c r="LH63" s="262"/>
      <c r="LI63" s="262"/>
      <c r="LJ63" s="262"/>
      <c r="LK63" s="262"/>
      <c r="LL63" s="262"/>
      <c r="LM63" s="262"/>
      <c r="LN63" s="262"/>
      <c r="LO63" s="262"/>
      <c r="LP63" s="262"/>
      <c r="LQ63" s="262"/>
      <c r="LR63" s="262"/>
      <c r="LS63" s="262"/>
      <c r="LT63" s="262"/>
      <c r="LU63" s="262"/>
      <c r="LV63" s="262"/>
      <c r="LW63" s="262"/>
      <c r="LX63" s="262"/>
      <c r="LY63" s="262"/>
      <c r="LZ63" s="262"/>
      <c r="MA63" s="262"/>
      <c r="MB63" s="262"/>
      <c r="MC63" s="262"/>
      <c r="MD63" s="262"/>
      <c r="ME63" s="262"/>
      <c r="MF63" s="262"/>
      <c r="MG63" s="262"/>
      <c r="MH63" s="262"/>
      <c r="MI63" s="262"/>
      <c r="MJ63" s="262"/>
      <c r="MK63" s="262"/>
      <c r="ML63" s="262"/>
      <c r="MM63" s="262"/>
      <c r="MN63" s="262"/>
      <c r="MO63" s="262"/>
      <c r="MP63" s="262"/>
      <c r="MQ63" s="262"/>
      <c r="MR63" s="262"/>
      <c r="MS63" s="262"/>
      <c r="MT63" s="262"/>
      <c r="MU63" s="262"/>
      <c r="MV63" s="262"/>
      <c r="MW63" s="262"/>
      <c r="MX63" s="262"/>
      <c r="MY63" s="262"/>
      <c r="MZ63" s="262"/>
      <c r="NA63" s="262"/>
      <c r="NB63" s="262"/>
      <c r="NC63" s="262"/>
      <c r="ND63" s="262"/>
      <c r="NE63" s="262"/>
      <c r="NF63" s="262"/>
      <c r="NG63" s="262"/>
      <c r="NH63" s="262"/>
      <c r="NI63" s="262"/>
      <c r="NJ63" s="262"/>
      <c r="NK63" s="262"/>
      <c r="NL63" s="262"/>
      <c r="NM63" s="262"/>
      <c r="NN63" s="262"/>
      <c r="NO63" s="262"/>
      <c r="NP63" s="262"/>
      <c r="NQ63" s="262"/>
      <c r="NR63" s="262"/>
      <c r="NS63" s="262"/>
      <c r="NT63" s="262"/>
      <c r="NU63" s="262"/>
      <c r="NV63" s="262"/>
      <c r="NW63" s="262"/>
      <c r="NX63" s="262"/>
      <c r="NY63" s="262"/>
      <c r="NZ63" s="262"/>
      <c r="OA63" s="262"/>
      <c r="OB63" s="262"/>
      <c r="OC63" s="262"/>
      <c r="OD63" s="262"/>
      <c r="OE63" s="262"/>
      <c r="OF63" s="262"/>
      <c r="OG63" s="262"/>
      <c r="OH63" s="262"/>
      <c r="OI63" s="262"/>
      <c r="OJ63" s="262"/>
      <c r="OK63" s="262"/>
      <c r="OL63" s="262"/>
      <c r="OM63" s="262"/>
      <c r="ON63" s="262"/>
      <c r="OO63" s="262"/>
      <c r="OP63" s="262"/>
      <c r="OQ63" s="262"/>
      <c r="OR63" s="262"/>
      <c r="OS63" s="262"/>
      <c r="OT63" s="262"/>
      <c r="OU63" s="262"/>
      <c r="OV63" s="262"/>
      <c r="OW63" s="262"/>
      <c r="OX63" s="262"/>
      <c r="OY63" s="262"/>
      <c r="OZ63" s="262"/>
      <c r="PA63" s="262"/>
      <c r="PB63" s="262"/>
      <c r="PC63" s="262"/>
      <c r="PD63" s="262"/>
      <c r="PE63" s="262"/>
      <c r="PF63" s="262"/>
      <c r="PG63" s="262"/>
      <c r="PH63" s="262"/>
    </row>
    <row r="64" spans="1:424" x14ac:dyDescent="0.35">
      <c r="A64"/>
      <c r="B64" s="449" t="s">
        <v>178</v>
      </c>
      <c r="C64" s="412" t="s">
        <v>169</v>
      </c>
      <c r="D64" s="412" t="s">
        <v>170</v>
      </c>
      <c r="E64" s="412" t="s">
        <v>171</v>
      </c>
      <c r="F64" s="250" t="s">
        <v>172</v>
      </c>
      <c r="G64" s="135" t="s">
        <v>182</v>
      </c>
      <c r="H64" s="55" t="s">
        <v>183</v>
      </c>
      <c r="I64" s="412" t="s">
        <v>135</v>
      </c>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s="219"/>
      <c r="EQ64" s="18"/>
      <c r="ER64" s="18"/>
      <c r="ES64" s="18"/>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c r="IE64" s="20"/>
      <c r="IF64" s="20"/>
      <c r="IG64" s="20"/>
      <c r="IH64" s="20"/>
      <c r="II64" s="20"/>
      <c r="IJ64" s="20"/>
      <c r="IK64" s="20"/>
      <c r="IL64" s="20"/>
      <c r="IM64" s="20"/>
      <c r="IN64" s="20"/>
      <c r="IO64" s="20"/>
      <c r="IP64" s="20"/>
      <c r="IQ64" s="20"/>
      <c r="IR64" s="20"/>
      <c r="IS64" s="20"/>
      <c r="IT64" s="20"/>
      <c r="IU64" s="20"/>
      <c r="IV64" s="20"/>
      <c r="IW64" s="20"/>
      <c r="IX64" s="20"/>
      <c r="IY64" s="20"/>
      <c r="IZ64" s="20"/>
      <c r="JA64" s="20"/>
      <c r="JB64" s="20"/>
      <c r="JC64" s="20"/>
      <c r="JD64" s="20"/>
      <c r="JE64" s="20"/>
      <c r="JF64" s="20"/>
      <c r="JG64" s="20"/>
      <c r="JH64" s="20"/>
      <c r="JI64" s="20"/>
      <c r="JJ64" s="20"/>
      <c r="JK64" s="20"/>
      <c r="JL64" s="20"/>
      <c r="JM64" s="20"/>
      <c r="JN64" s="20"/>
      <c r="JO64" s="20"/>
      <c r="JP64" s="20"/>
      <c r="JQ64" s="20"/>
      <c r="JR64" s="20"/>
      <c r="JS64" s="20"/>
      <c r="JT64" s="20"/>
      <c r="JU64" s="20"/>
      <c r="JV64" s="20"/>
      <c r="JW64" s="20"/>
      <c r="JX64" s="20"/>
      <c r="JY64"/>
      <c r="JZ64" s="262"/>
      <c r="KA64" s="262"/>
      <c r="KB64" s="262"/>
      <c r="KC64" s="262"/>
      <c r="KD64" s="262"/>
      <c r="KE64" s="262"/>
      <c r="KF64" s="262"/>
      <c r="KG64" s="262"/>
      <c r="KH64" s="262"/>
      <c r="KI64" s="262"/>
      <c r="KJ64" s="262"/>
      <c r="KK64" s="262"/>
      <c r="KL64" s="262"/>
      <c r="KM64" s="262"/>
      <c r="KN64" s="262"/>
      <c r="KO64" s="262"/>
      <c r="KP64" s="262"/>
      <c r="KQ64" s="262"/>
      <c r="KR64" s="262"/>
      <c r="KS64" s="262"/>
      <c r="KT64" s="262"/>
      <c r="KU64" s="262"/>
      <c r="KV64" s="262"/>
      <c r="KW64" s="262"/>
      <c r="KX64" s="262"/>
      <c r="KY64" s="262"/>
      <c r="KZ64" s="262"/>
      <c r="LA64" s="262"/>
      <c r="LB64" s="262"/>
      <c r="LC64" s="262"/>
      <c r="LD64" s="262"/>
      <c r="LE64" s="262"/>
      <c r="LF64" s="262"/>
      <c r="LG64" s="262"/>
      <c r="LH64" s="262"/>
      <c r="LI64" s="262"/>
      <c r="LJ64" s="262"/>
      <c r="LK64" s="262"/>
      <c r="LL64" s="262"/>
      <c r="LM64" s="262"/>
      <c r="LN64" s="262"/>
      <c r="LO64" s="262"/>
      <c r="LP64" s="262"/>
      <c r="LQ64" s="262"/>
      <c r="LR64" s="262"/>
      <c r="LS64" s="262"/>
      <c r="LT64" s="262"/>
      <c r="LU64" s="262"/>
      <c r="LV64" s="262"/>
      <c r="LW64" s="262"/>
      <c r="LX64" s="262"/>
      <c r="LY64" s="262"/>
      <c r="LZ64" s="262"/>
      <c r="MA64" s="262"/>
      <c r="MB64" s="262"/>
      <c r="MC64" s="262"/>
      <c r="MD64" s="262"/>
      <c r="ME64" s="262"/>
      <c r="MF64" s="262"/>
      <c r="MG64" s="262"/>
      <c r="MH64" s="262"/>
      <c r="MI64" s="262"/>
      <c r="MJ64" s="262"/>
      <c r="MK64" s="262"/>
      <c r="ML64" s="262"/>
      <c r="MM64" s="262"/>
      <c r="MN64" s="262"/>
      <c r="MO64" s="262"/>
      <c r="MP64" s="262"/>
      <c r="MQ64" s="262"/>
      <c r="MR64" s="262"/>
      <c r="MS64" s="262"/>
      <c r="MT64" s="262"/>
      <c r="MU64" s="262"/>
      <c r="MV64" s="262"/>
      <c r="MW64" s="262"/>
      <c r="MX64" s="262"/>
      <c r="MY64" s="262"/>
      <c r="MZ64" s="262"/>
      <c r="NA64" s="262"/>
      <c r="NB64" s="262"/>
      <c r="NC64" s="262"/>
      <c r="ND64" s="262"/>
      <c r="NE64" s="262"/>
      <c r="NF64" s="262"/>
      <c r="NG64" s="262"/>
      <c r="NH64" s="262"/>
      <c r="NI64" s="262"/>
      <c r="NJ64" s="262"/>
      <c r="NK64" s="262"/>
      <c r="NL64" s="262"/>
      <c r="NM64" s="262"/>
      <c r="NN64" s="262"/>
      <c r="NO64" s="262"/>
      <c r="NP64" s="262"/>
      <c r="NQ64" s="262"/>
      <c r="NR64" s="262"/>
      <c r="NS64" s="262"/>
      <c r="NT64" s="262"/>
      <c r="NU64" s="262"/>
      <c r="NV64" s="262"/>
      <c r="NW64" s="262"/>
      <c r="NX64" s="262"/>
      <c r="NY64" s="262"/>
      <c r="NZ64" s="262"/>
      <c r="OA64" s="262"/>
      <c r="OB64" s="262"/>
      <c r="OC64" s="262"/>
      <c r="OD64" s="262"/>
      <c r="OE64" s="262"/>
      <c r="OF64" s="262"/>
      <c r="OG64" s="262"/>
      <c r="OH64" s="262"/>
      <c r="OI64" s="262"/>
      <c r="OJ64" s="262"/>
      <c r="OK64" s="262"/>
      <c r="OL64" s="262"/>
      <c r="OM64" s="262"/>
      <c r="ON64" s="262"/>
      <c r="OO64" s="262"/>
      <c r="OP64" s="262"/>
      <c r="OQ64" s="262"/>
      <c r="OR64" s="262"/>
      <c r="OS64" s="262"/>
      <c r="OT64" s="262"/>
      <c r="OU64" s="262"/>
      <c r="OV64" s="262"/>
      <c r="OW64" s="262"/>
      <c r="OX64" s="262"/>
      <c r="OY64" s="262"/>
      <c r="OZ64" s="262"/>
      <c r="PA64" s="262"/>
      <c r="PB64" s="262"/>
      <c r="PC64" s="262"/>
      <c r="PD64" s="262"/>
      <c r="PE64" s="262"/>
      <c r="PF64" s="262"/>
      <c r="PG64" s="262"/>
      <c r="PH64" s="262"/>
    </row>
    <row r="65" spans="1:424" x14ac:dyDescent="0.35">
      <c r="A65"/>
      <c r="B65" s="426" t="s">
        <v>184</v>
      </c>
      <c r="C65" s="884">
        <f>$C$61</f>
        <v>0.5</v>
      </c>
      <c r="D65" s="450" t="s">
        <v>185</v>
      </c>
      <c r="E65" s="838">
        <f>'URWLD COMPANY INPUTS'!$F$766</f>
        <v>6.5000000000000002E-2</v>
      </c>
      <c r="F65" s="57">
        <f>(C65/Debt_LTC_Target)*Debt_LTC_Actual</f>
        <v>0.52400395824069002</v>
      </c>
      <c r="G65" s="415">
        <f>I65/Units_SF_M2</f>
        <v>2997.3431186036514</v>
      </c>
      <c r="H65" s="445">
        <f>I65/Units</f>
        <v>2997.3431186036514</v>
      </c>
      <c r="I65" s="445">
        <f>I61</f>
        <v>235202653.50721359</v>
      </c>
      <c r="J65"/>
      <c r="K65" s="22" t="str">
        <f>B65</f>
        <v>Construction Loan</v>
      </c>
      <c r="L65" s="920">
        <f>IF('URWLD COMPANY INPUTS'!$F$766="","",'URWLD COMPANY INPUTS'!$F$766)</f>
        <v>6.5000000000000002E-2</v>
      </c>
      <c r="M65" s="920">
        <f>IF('URWLD COMPANY INPUTS'!$F$766="","",'URWLD COMPANY INPUTS'!$F$766)</f>
        <v>6.5000000000000002E-2</v>
      </c>
      <c r="N65" s="920">
        <f>IF('URWLD COMPANY INPUTS'!$F$766="","",'URWLD COMPANY INPUTS'!$F$766)</f>
        <v>6.5000000000000002E-2</v>
      </c>
      <c r="O65" s="920">
        <f>IF('URWLD COMPANY INPUTS'!$F$766="","",'URWLD COMPANY INPUTS'!$F$766)</f>
        <v>6.5000000000000002E-2</v>
      </c>
      <c r="P65" s="920">
        <f>IF('URWLD COMPANY INPUTS'!$F$766="","",'URWLD COMPANY INPUTS'!$F$766)</f>
        <v>6.5000000000000002E-2</v>
      </c>
      <c r="Q65" s="920">
        <f>IF('URWLD COMPANY INPUTS'!$F$766="","",'URWLD COMPANY INPUTS'!$F$766)</f>
        <v>6.5000000000000002E-2</v>
      </c>
      <c r="R65" s="920">
        <f>IF('URWLD COMPANY INPUTS'!$F$766="","",'URWLD COMPANY INPUTS'!$F$766)</f>
        <v>6.5000000000000002E-2</v>
      </c>
      <c r="S65" s="920">
        <f>IF('URWLD COMPANY INPUTS'!$F$766="","",'URWLD COMPANY INPUTS'!$F$766)</f>
        <v>6.5000000000000002E-2</v>
      </c>
      <c r="T65" s="920">
        <f>IF('URWLD COMPANY INPUTS'!$F$766="","",'URWLD COMPANY INPUTS'!$F$766)</f>
        <v>6.5000000000000002E-2</v>
      </c>
      <c r="U65" s="920">
        <f>IF('URWLD COMPANY INPUTS'!$F$766="","",'URWLD COMPANY INPUTS'!$F$766)</f>
        <v>6.5000000000000002E-2</v>
      </c>
      <c r="V65" s="920">
        <f>IF('URWLD COMPANY INPUTS'!$F$766="","",'URWLD COMPANY INPUTS'!$F$766)</f>
        <v>6.5000000000000002E-2</v>
      </c>
      <c r="W65" s="920">
        <f>IF('URWLD COMPANY INPUTS'!$F$766="","",'URWLD COMPANY INPUTS'!$F$766)</f>
        <v>6.5000000000000002E-2</v>
      </c>
      <c r="X65" s="920">
        <f>IF('URWLD COMPANY INPUTS'!$F$766="","",'URWLD COMPANY INPUTS'!$F$766)</f>
        <v>6.5000000000000002E-2</v>
      </c>
      <c r="Y65" s="920">
        <f>IF('URWLD COMPANY INPUTS'!$F$766="","",'URWLD COMPANY INPUTS'!$F$766)</f>
        <v>6.5000000000000002E-2</v>
      </c>
      <c r="Z65" s="920">
        <f>IF('URWLD COMPANY INPUTS'!$F$766="","",'URWLD COMPANY INPUTS'!$F$766)</f>
        <v>6.5000000000000002E-2</v>
      </c>
      <c r="AA65" s="920">
        <f>IF('URWLD COMPANY INPUTS'!$F$766="","",'URWLD COMPANY INPUTS'!$F$766)</f>
        <v>6.5000000000000002E-2</v>
      </c>
      <c r="AB65" s="920">
        <f>IF('URWLD COMPANY INPUTS'!$F$766="","",'URWLD COMPANY INPUTS'!$F$766)</f>
        <v>6.5000000000000002E-2</v>
      </c>
      <c r="AC65" s="920">
        <f>IF('URWLD COMPANY INPUTS'!$F$766="","",'URWLD COMPANY INPUTS'!$F$766)</f>
        <v>6.5000000000000002E-2</v>
      </c>
      <c r="AD65" s="920">
        <f>IF('URWLD COMPANY INPUTS'!$F$766="","",'URWLD COMPANY INPUTS'!$F$766)</f>
        <v>6.5000000000000002E-2</v>
      </c>
      <c r="AE65" s="920">
        <f>IF('URWLD COMPANY INPUTS'!$F$766="","",'URWLD COMPANY INPUTS'!$F$766)</f>
        <v>6.5000000000000002E-2</v>
      </c>
      <c r="AF65" s="920">
        <f>IF('URWLD COMPANY INPUTS'!$F$766="","",'URWLD COMPANY INPUTS'!$F$766)</f>
        <v>6.5000000000000002E-2</v>
      </c>
      <c r="AG65" s="920">
        <f>IF('URWLD COMPANY INPUTS'!$F$766="","",'URWLD COMPANY INPUTS'!$F$766)</f>
        <v>6.5000000000000002E-2</v>
      </c>
      <c r="AH65" s="920">
        <f>IF('URWLD COMPANY INPUTS'!$F$766="","",'URWLD COMPANY INPUTS'!$F$766)</f>
        <v>6.5000000000000002E-2</v>
      </c>
      <c r="AI65" s="920">
        <f>IF('URWLD COMPANY INPUTS'!$F$766="","",'URWLD COMPANY INPUTS'!$F$766)</f>
        <v>6.5000000000000002E-2</v>
      </c>
      <c r="AJ65" s="920">
        <f>IF('URWLD COMPANY INPUTS'!$F$766="","",'URWLD COMPANY INPUTS'!$F$766)</f>
        <v>6.5000000000000002E-2</v>
      </c>
      <c r="AK65" s="920">
        <f>IF('URWLD COMPANY INPUTS'!$F$766="","",'URWLD COMPANY INPUTS'!$F$766)</f>
        <v>6.5000000000000002E-2</v>
      </c>
      <c r="AL65" s="920">
        <f>IF('URWLD COMPANY INPUTS'!$F$766="","",'URWLD COMPANY INPUTS'!$F$766)</f>
        <v>6.5000000000000002E-2</v>
      </c>
      <c r="AM65" s="920">
        <f>IF('URWLD COMPANY INPUTS'!$F$766="","",'URWLD COMPANY INPUTS'!$F$766)</f>
        <v>6.5000000000000002E-2</v>
      </c>
      <c r="AN65" s="920">
        <f>IF('URWLD COMPANY INPUTS'!$F$766="","",'URWLD COMPANY INPUTS'!$F$766)</f>
        <v>6.5000000000000002E-2</v>
      </c>
      <c r="AO65" s="920">
        <f>IF('URWLD COMPANY INPUTS'!$F$766="","",'URWLD COMPANY INPUTS'!$F$766)</f>
        <v>6.5000000000000002E-2</v>
      </c>
      <c r="AP65" s="920">
        <f>IF('URWLD COMPANY INPUTS'!$F$766="","",'URWLD COMPANY INPUTS'!$F$766)</f>
        <v>6.5000000000000002E-2</v>
      </c>
      <c r="AQ65" s="920">
        <f>IF('URWLD COMPANY INPUTS'!$F$766="","",'URWLD COMPANY INPUTS'!$F$766)</f>
        <v>6.5000000000000002E-2</v>
      </c>
      <c r="AR65" s="920">
        <f>IF('URWLD COMPANY INPUTS'!$F$766="","",'URWLD COMPANY INPUTS'!$F$766)</f>
        <v>6.5000000000000002E-2</v>
      </c>
      <c r="AS65" s="920">
        <f>IF('URWLD COMPANY INPUTS'!$F$766="","",'URWLD COMPANY INPUTS'!$F$766)</f>
        <v>6.5000000000000002E-2</v>
      </c>
      <c r="AT65" s="920">
        <f>IF('URWLD COMPANY INPUTS'!$F$766="","",'URWLD COMPANY INPUTS'!$F$766)</f>
        <v>6.5000000000000002E-2</v>
      </c>
      <c r="AU65" s="920">
        <f>IF('URWLD COMPANY INPUTS'!$F$766="","",'URWLD COMPANY INPUTS'!$F$766)</f>
        <v>6.5000000000000002E-2</v>
      </c>
      <c r="AV65" s="920">
        <f>IF('URWLD COMPANY INPUTS'!$F$766="","",'URWLD COMPANY INPUTS'!$F$766)</f>
        <v>6.5000000000000002E-2</v>
      </c>
      <c r="AW65" s="920">
        <f>IF('URWLD COMPANY INPUTS'!$F$766="","",'URWLD COMPANY INPUTS'!$F$766)</f>
        <v>6.5000000000000002E-2</v>
      </c>
      <c r="AX65" s="920">
        <f>IF('URWLD COMPANY INPUTS'!$F$766="","",'URWLD COMPANY INPUTS'!$F$766)</f>
        <v>6.5000000000000002E-2</v>
      </c>
      <c r="AY65" s="920">
        <f>IF('URWLD COMPANY INPUTS'!$F$766="","",'URWLD COMPANY INPUTS'!$F$766)</f>
        <v>6.5000000000000002E-2</v>
      </c>
      <c r="AZ65" s="920">
        <f>IF('URWLD COMPANY INPUTS'!$F$766="","",'URWLD COMPANY INPUTS'!$F$766)</f>
        <v>6.5000000000000002E-2</v>
      </c>
      <c r="BA65" s="920">
        <f>IF('URWLD COMPANY INPUTS'!$F$766="","",'URWLD COMPANY INPUTS'!$F$766)</f>
        <v>6.5000000000000002E-2</v>
      </c>
      <c r="BB65" s="920">
        <f>IF('URWLD COMPANY INPUTS'!$F$766="","",'URWLD COMPANY INPUTS'!$F$766)</f>
        <v>6.5000000000000002E-2</v>
      </c>
      <c r="BC65" s="920">
        <f>IF('URWLD COMPANY INPUTS'!$F$766="","",'URWLD COMPANY INPUTS'!$F$766)</f>
        <v>6.5000000000000002E-2</v>
      </c>
      <c r="BD65" s="920">
        <f>IF('URWLD COMPANY INPUTS'!$F$766="","",'URWLD COMPANY INPUTS'!$F$766)</f>
        <v>6.5000000000000002E-2</v>
      </c>
      <c r="BE65" s="920">
        <f>IF('URWLD COMPANY INPUTS'!$F$766="","",'URWLD COMPANY INPUTS'!$F$766)</f>
        <v>6.5000000000000002E-2</v>
      </c>
      <c r="BF65" s="920">
        <f>IF('URWLD COMPANY INPUTS'!$F$766="","",'URWLD COMPANY INPUTS'!$F$766)</f>
        <v>6.5000000000000002E-2</v>
      </c>
      <c r="BG65" s="920">
        <f>IF('URWLD COMPANY INPUTS'!$F$766="","",'URWLD COMPANY INPUTS'!$F$766)</f>
        <v>6.5000000000000002E-2</v>
      </c>
      <c r="BH65" s="920">
        <f>IF('URWLD COMPANY INPUTS'!$F$766="","",'URWLD COMPANY INPUTS'!$F$766)</f>
        <v>6.5000000000000002E-2</v>
      </c>
      <c r="BI65" s="920">
        <f>IF('URWLD COMPANY INPUTS'!$F$766="","",'URWLD COMPANY INPUTS'!$F$766)</f>
        <v>6.5000000000000002E-2</v>
      </c>
      <c r="BJ65" s="920">
        <f>IF('URWLD COMPANY INPUTS'!$F$766="","",'URWLD COMPANY INPUTS'!$F$766)</f>
        <v>6.5000000000000002E-2</v>
      </c>
      <c r="BK65" s="920">
        <f>IF('URWLD COMPANY INPUTS'!$F$766="","",'URWLD COMPANY INPUTS'!$F$766)</f>
        <v>6.5000000000000002E-2</v>
      </c>
      <c r="BL65" s="920">
        <f>IF('URWLD COMPANY INPUTS'!$F$766="","",'URWLD COMPANY INPUTS'!$F$766)</f>
        <v>6.5000000000000002E-2</v>
      </c>
      <c r="BM65" s="920">
        <f>IF('URWLD COMPANY INPUTS'!$F$766="","",'URWLD COMPANY INPUTS'!$F$766)</f>
        <v>6.5000000000000002E-2</v>
      </c>
      <c r="BN65" s="920">
        <f>IF('URWLD COMPANY INPUTS'!$F$766="","",'URWLD COMPANY INPUTS'!$F$766)</f>
        <v>6.5000000000000002E-2</v>
      </c>
      <c r="BO65" s="920">
        <f>IF('URWLD COMPANY INPUTS'!$F$766="","",'URWLD COMPANY INPUTS'!$F$766)</f>
        <v>6.5000000000000002E-2</v>
      </c>
      <c r="BP65" s="920">
        <f>IF('URWLD COMPANY INPUTS'!$F$766="","",'URWLD COMPANY INPUTS'!$F$766)</f>
        <v>6.5000000000000002E-2</v>
      </c>
      <c r="BQ65" s="920">
        <f>IF('URWLD COMPANY INPUTS'!$F$766="","",'URWLD COMPANY INPUTS'!$F$766)</f>
        <v>6.5000000000000002E-2</v>
      </c>
      <c r="BR65" s="920">
        <f>IF('URWLD COMPANY INPUTS'!$F$766="","",'URWLD COMPANY INPUTS'!$F$766)</f>
        <v>6.5000000000000002E-2</v>
      </c>
      <c r="BS65" s="920">
        <f>IF('URWLD COMPANY INPUTS'!$F$766="","",'URWLD COMPANY INPUTS'!$F$766)</f>
        <v>6.5000000000000002E-2</v>
      </c>
      <c r="BT65" s="920">
        <f>IF('URWLD COMPANY INPUTS'!$F$766="","",'URWLD COMPANY INPUTS'!$F$766)</f>
        <v>6.5000000000000002E-2</v>
      </c>
      <c r="BU65" s="920">
        <f>IF('URWLD COMPANY INPUTS'!$F$766="","",'URWLD COMPANY INPUTS'!$F$766)</f>
        <v>6.5000000000000002E-2</v>
      </c>
      <c r="BV65" s="920">
        <f>IF('URWLD COMPANY INPUTS'!$F$766="","",'URWLD COMPANY INPUTS'!$F$766)</f>
        <v>6.5000000000000002E-2</v>
      </c>
      <c r="BW65" s="920">
        <f>IF('URWLD COMPANY INPUTS'!$F$766="","",'URWLD COMPANY INPUTS'!$F$766)</f>
        <v>6.5000000000000002E-2</v>
      </c>
      <c r="BX65" s="920">
        <f>IF('URWLD COMPANY INPUTS'!$F$766="","",'URWLD COMPANY INPUTS'!$F$766)</f>
        <v>6.5000000000000002E-2</v>
      </c>
      <c r="BY65" s="920">
        <f>IF('URWLD COMPANY INPUTS'!$F$766="","",'URWLD COMPANY INPUTS'!$F$766)</f>
        <v>6.5000000000000002E-2</v>
      </c>
      <c r="BZ65" s="920">
        <f>IF('URWLD COMPANY INPUTS'!$F$766="","",'URWLD COMPANY INPUTS'!$F$766)</f>
        <v>6.5000000000000002E-2</v>
      </c>
      <c r="CA65" s="920">
        <f>IF('URWLD COMPANY INPUTS'!$F$766="","",'URWLD COMPANY INPUTS'!$F$766)</f>
        <v>6.5000000000000002E-2</v>
      </c>
      <c r="CB65" s="920">
        <f>IF('URWLD COMPANY INPUTS'!$F$766="","",'URWLD COMPANY INPUTS'!$F$766)</f>
        <v>6.5000000000000002E-2</v>
      </c>
      <c r="CC65" s="920">
        <f>IF('URWLD COMPANY INPUTS'!$F$766="","",'URWLD COMPANY INPUTS'!$F$766)</f>
        <v>6.5000000000000002E-2</v>
      </c>
      <c r="CD65" s="920">
        <f>IF('URWLD COMPANY INPUTS'!$F$766="","",'URWLD COMPANY INPUTS'!$F$766)</f>
        <v>6.5000000000000002E-2</v>
      </c>
      <c r="CE65" s="920">
        <f>IF('URWLD COMPANY INPUTS'!$F$766="","",'URWLD COMPANY INPUTS'!$F$766)</f>
        <v>6.5000000000000002E-2</v>
      </c>
      <c r="CF65" s="920">
        <f>IF('URWLD COMPANY INPUTS'!$F$766="","",'URWLD COMPANY INPUTS'!$F$766)</f>
        <v>6.5000000000000002E-2</v>
      </c>
      <c r="CG65" s="920">
        <f>IF('URWLD COMPANY INPUTS'!$F$766="","",'URWLD COMPANY INPUTS'!$F$766)</f>
        <v>6.5000000000000002E-2</v>
      </c>
      <c r="CH65" s="920">
        <f>IF('URWLD COMPANY INPUTS'!$F$766="","",'URWLD COMPANY INPUTS'!$F$766)</f>
        <v>6.5000000000000002E-2</v>
      </c>
      <c r="CI65" s="920">
        <f>IF('URWLD COMPANY INPUTS'!$F$766="","",'URWLD COMPANY INPUTS'!$F$766)</f>
        <v>6.5000000000000002E-2</v>
      </c>
      <c r="CJ65" s="920">
        <f>IF('URWLD COMPANY INPUTS'!$F$766="","",'URWLD COMPANY INPUTS'!$F$766)</f>
        <v>6.5000000000000002E-2</v>
      </c>
      <c r="CK65" s="920">
        <f>IF('URWLD COMPANY INPUTS'!$F$766="","",'URWLD COMPANY INPUTS'!$F$766)</f>
        <v>6.5000000000000002E-2</v>
      </c>
      <c r="CL65" s="920">
        <f>IF('URWLD COMPANY INPUTS'!$F$766="","",'URWLD COMPANY INPUTS'!$F$766)</f>
        <v>6.5000000000000002E-2</v>
      </c>
      <c r="CM65" s="920">
        <f>IF('URWLD COMPANY INPUTS'!$F$766="","",'URWLD COMPANY INPUTS'!$F$766)</f>
        <v>6.5000000000000002E-2</v>
      </c>
      <c r="CN65" s="920">
        <f>IF('URWLD COMPANY INPUTS'!$F$766="","",'URWLD COMPANY INPUTS'!$F$766)</f>
        <v>6.5000000000000002E-2</v>
      </c>
      <c r="CO65" s="920">
        <f>IF('URWLD COMPANY INPUTS'!$F$766="","",'URWLD COMPANY INPUTS'!$F$766)</f>
        <v>6.5000000000000002E-2</v>
      </c>
      <c r="CP65" s="920">
        <f>IF('URWLD COMPANY INPUTS'!$F$766="","",'URWLD COMPANY INPUTS'!$F$766)</f>
        <v>6.5000000000000002E-2</v>
      </c>
      <c r="CQ65" s="920">
        <f>IF('URWLD COMPANY INPUTS'!$F$766="","",'URWLD COMPANY INPUTS'!$F$766)</f>
        <v>6.5000000000000002E-2</v>
      </c>
      <c r="CR65" s="920">
        <f>IF('URWLD COMPANY INPUTS'!$F$766="","",'URWLD COMPANY INPUTS'!$F$766)</f>
        <v>6.5000000000000002E-2</v>
      </c>
      <c r="CS65" s="920">
        <f>IF('URWLD COMPANY INPUTS'!$F$766="","",'URWLD COMPANY INPUTS'!$F$766)</f>
        <v>6.5000000000000002E-2</v>
      </c>
      <c r="CT65" s="920">
        <f>IF('URWLD COMPANY INPUTS'!$F$766="","",'URWLD COMPANY INPUTS'!$F$766)</f>
        <v>6.5000000000000002E-2</v>
      </c>
      <c r="CU65" s="920">
        <f>IF('URWLD COMPANY INPUTS'!$F$766="","",'URWLD COMPANY INPUTS'!$F$766)</f>
        <v>6.5000000000000002E-2</v>
      </c>
      <c r="CV65" s="920">
        <f>IF('URWLD COMPANY INPUTS'!$F$766="","",'URWLD COMPANY INPUTS'!$F$766)</f>
        <v>6.5000000000000002E-2</v>
      </c>
      <c r="CW65" s="920">
        <f>IF('URWLD COMPANY INPUTS'!$F$766="","",'URWLD COMPANY INPUTS'!$F$766)</f>
        <v>6.5000000000000002E-2</v>
      </c>
      <c r="CX65" s="920">
        <f>IF('URWLD COMPANY INPUTS'!$F$766="","",'URWLD COMPANY INPUTS'!$F$766)</f>
        <v>6.5000000000000002E-2</v>
      </c>
      <c r="CY65" s="920">
        <f>IF('URWLD COMPANY INPUTS'!$F$766="","",'URWLD COMPANY INPUTS'!$F$766)</f>
        <v>6.5000000000000002E-2</v>
      </c>
      <c r="CZ65" s="920">
        <f>IF('URWLD COMPANY INPUTS'!$F$766="","",'URWLD COMPANY INPUTS'!$F$766)</f>
        <v>6.5000000000000002E-2</v>
      </c>
      <c r="DA65" s="920">
        <f>IF('URWLD COMPANY INPUTS'!$F$766="","",'URWLD COMPANY INPUTS'!$F$766)</f>
        <v>6.5000000000000002E-2</v>
      </c>
      <c r="DB65" s="920">
        <f>IF('URWLD COMPANY INPUTS'!$F$766="","",'URWLD COMPANY INPUTS'!$F$766)</f>
        <v>6.5000000000000002E-2</v>
      </c>
      <c r="DC65" s="920">
        <f>IF('URWLD COMPANY INPUTS'!$F$766="","",'URWLD COMPANY INPUTS'!$F$766)</f>
        <v>6.5000000000000002E-2</v>
      </c>
      <c r="DD65" s="920">
        <f>IF('URWLD COMPANY INPUTS'!$F$766="","",'URWLD COMPANY INPUTS'!$F$766)</f>
        <v>6.5000000000000002E-2</v>
      </c>
      <c r="DE65" s="920">
        <f>IF('URWLD COMPANY INPUTS'!$F$766="","",'URWLD COMPANY INPUTS'!$F$766)</f>
        <v>6.5000000000000002E-2</v>
      </c>
      <c r="DF65" s="920">
        <f>IF('URWLD COMPANY INPUTS'!$F$766="","",'URWLD COMPANY INPUTS'!$F$766)</f>
        <v>6.5000000000000002E-2</v>
      </c>
      <c r="DG65" s="920">
        <f>IF('URWLD COMPANY INPUTS'!$F$766="","",'URWLD COMPANY INPUTS'!$F$766)</f>
        <v>6.5000000000000002E-2</v>
      </c>
      <c r="DH65" s="920">
        <f>IF('URWLD COMPANY INPUTS'!$F$766="","",'URWLD COMPANY INPUTS'!$F$766)</f>
        <v>6.5000000000000002E-2</v>
      </c>
      <c r="DI65" s="920">
        <f>IF('URWLD COMPANY INPUTS'!$F$766="","",'URWLD COMPANY INPUTS'!$F$766)</f>
        <v>6.5000000000000002E-2</v>
      </c>
      <c r="DJ65" s="920">
        <f>IF('URWLD COMPANY INPUTS'!$F$766="","",'URWLD COMPANY INPUTS'!$F$766)</f>
        <v>6.5000000000000002E-2</v>
      </c>
      <c r="DK65" s="920">
        <f>IF('URWLD COMPANY INPUTS'!$F$766="","",'URWLD COMPANY INPUTS'!$F$766)</f>
        <v>6.5000000000000002E-2</v>
      </c>
      <c r="DL65" s="920">
        <f>IF('URWLD COMPANY INPUTS'!$F$766="","",'URWLD COMPANY INPUTS'!$F$766)</f>
        <v>6.5000000000000002E-2</v>
      </c>
      <c r="DM65" s="920">
        <f>IF('URWLD COMPANY INPUTS'!$F$766="","",'URWLD COMPANY INPUTS'!$F$766)</f>
        <v>6.5000000000000002E-2</v>
      </c>
      <c r="DN65" s="920">
        <f>IF('URWLD COMPANY INPUTS'!$F$766="","",'URWLD COMPANY INPUTS'!$F$766)</f>
        <v>6.5000000000000002E-2</v>
      </c>
      <c r="DO65" s="920">
        <f>IF('URWLD COMPANY INPUTS'!$F$766="","",'URWLD COMPANY INPUTS'!$F$766)</f>
        <v>6.5000000000000002E-2</v>
      </c>
      <c r="DP65" s="920">
        <f>IF('URWLD COMPANY INPUTS'!$F$766="","",'URWLD COMPANY INPUTS'!$F$766)</f>
        <v>6.5000000000000002E-2</v>
      </c>
      <c r="DQ65" s="920">
        <f>IF('URWLD COMPANY INPUTS'!$F$766="","",'URWLD COMPANY INPUTS'!$F$766)</f>
        <v>6.5000000000000002E-2</v>
      </c>
      <c r="DR65" s="920">
        <f>IF('URWLD COMPANY INPUTS'!$F$766="","",'URWLD COMPANY INPUTS'!$F$766)</f>
        <v>6.5000000000000002E-2</v>
      </c>
      <c r="DS65" s="920">
        <f>IF('URWLD COMPANY INPUTS'!$F$766="","",'URWLD COMPANY INPUTS'!$F$766)</f>
        <v>6.5000000000000002E-2</v>
      </c>
      <c r="DT65" s="920">
        <f>IF('URWLD COMPANY INPUTS'!$F$766="","",'URWLD COMPANY INPUTS'!$F$766)</f>
        <v>6.5000000000000002E-2</v>
      </c>
      <c r="DU65" s="920">
        <f>IF('URWLD COMPANY INPUTS'!$F$766="","",'URWLD COMPANY INPUTS'!$F$766)</f>
        <v>6.5000000000000002E-2</v>
      </c>
      <c r="DV65" s="920">
        <f>IF('URWLD COMPANY INPUTS'!$F$766="","",'URWLD COMPANY INPUTS'!$F$766)</f>
        <v>6.5000000000000002E-2</v>
      </c>
      <c r="DW65" s="920">
        <f>IF('URWLD COMPANY INPUTS'!$F$766="","",'URWLD COMPANY INPUTS'!$F$766)</f>
        <v>6.5000000000000002E-2</v>
      </c>
      <c r="DX65" s="920">
        <f>IF('URWLD COMPANY INPUTS'!$F$766="","",'URWLD COMPANY INPUTS'!$F$766)</f>
        <v>6.5000000000000002E-2</v>
      </c>
      <c r="DY65" s="920">
        <f>IF('URWLD COMPANY INPUTS'!$F$766="","",'URWLD COMPANY INPUTS'!$F$766)</f>
        <v>6.5000000000000002E-2</v>
      </c>
      <c r="DZ65" s="920">
        <f>IF('URWLD COMPANY INPUTS'!$F$766="","",'URWLD COMPANY INPUTS'!$F$766)</f>
        <v>6.5000000000000002E-2</v>
      </c>
      <c r="EA65" s="920">
        <f>IF('URWLD COMPANY INPUTS'!$F$766="","",'URWLD COMPANY INPUTS'!$F$766)</f>
        <v>6.5000000000000002E-2</v>
      </c>
      <c r="EB65" s="920">
        <f>IF('URWLD COMPANY INPUTS'!$F$766="","",'URWLD COMPANY INPUTS'!$F$766)</f>
        <v>6.5000000000000002E-2</v>
      </c>
      <c r="EC65" s="920">
        <f>IF('URWLD COMPANY INPUTS'!$F$766="","",'URWLD COMPANY INPUTS'!$F$766)</f>
        <v>6.5000000000000002E-2</v>
      </c>
      <c r="ED65" s="920">
        <f>IF('URWLD COMPANY INPUTS'!$F$766="","",'URWLD COMPANY INPUTS'!$F$766)</f>
        <v>6.5000000000000002E-2</v>
      </c>
      <c r="EE65" s="920">
        <f>IF('URWLD COMPANY INPUTS'!$F$766="","",'URWLD COMPANY INPUTS'!$F$766)</f>
        <v>6.5000000000000002E-2</v>
      </c>
      <c r="EF65" s="920">
        <f>IF('URWLD COMPANY INPUTS'!$F$766="","",'URWLD COMPANY INPUTS'!$F$766)</f>
        <v>6.5000000000000002E-2</v>
      </c>
      <c r="EG65" s="920">
        <f>IF('URWLD COMPANY INPUTS'!$F$766="","",'URWLD COMPANY INPUTS'!$F$766)</f>
        <v>6.5000000000000002E-2</v>
      </c>
      <c r="EH65" s="920">
        <f>IF('URWLD COMPANY INPUTS'!$F$766="","",'URWLD COMPANY INPUTS'!$F$766)</f>
        <v>6.5000000000000002E-2</v>
      </c>
      <c r="EI65" s="920">
        <f>IF('URWLD COMPANY INPUTS'!$F$766="","",'URWLD COMPANY INPUTS'!$F$766)</f>
        <v>6.5000000000000002E-2</v>
      </c>
      <c r="EJ65" s="920">
        <f>IF('URWLD COMPANY INPUTS'!$F$766="","",'URWLD COMPANY INPUTS'!$F$766)</f>
        <v>6.5000000000000002E-2</v>
      </c>
      <c r="EK65" s="920">
        <f>IF('URWLD COMPANY INPUTS'!$F$766="","",'URWLD COMPANY INPUTS'!$F$766)</f>
        <v>6.5000000000000002E-2</v>
      </c>
      <c r="EL65" s="920">
        <f>IF('URWLD COMPANY INPUTS'!$F$766="","",'URWLD COMPANY INPUTS'!$F$766)</f>
        <v>6.5000000000000002E-2</v>
      </c>
      <c r="EM65" s="920">
        <f>IF('URWLD COMPANY INPUTS'!$F$766="","",'URWLD COMPANY INPUTS'!$F$766)</f>
        <v>6.5000000000000002E-2</v>
      </c>
      <c r="EN65" s="920">
        <f>IF('URWLD COMPANY INPUTS'!$F$766="","",'URWLD COMPANY INPUTS'!$F$766)</f>
        <v>6.5000000000000002E-2</v>
      </c>
      <c r="EO65"/>
      <c r="EP65" s="219"/>
      <c r="EQ65" s="18"/>
      <c r="ER65" s="18"/>
      <c r="ES65" s="18"/>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c r="IE65" s="20"/>
      <c r="IF65" s="20"/>
      <c r="IG65" s="20"/>
      <c r="IH65" s="20"/>
      <c r="II65" s="20"/>
      <c r="IJ65" s="20"/>
      <c r="IK65" s="20"/>
      <c r="IL65" s="20"/>
      <c r="IM65" s="20"/>
      <c r="IN65" s="20"/>
      <c r="IO65" s="20"/>
      <c r="IP65" s="20"/>
      <c r="IQ65" s="20"/>
      <c r="IR65" s="20"/>
      <c r="IS65" s="20"/>
      <c r="IT65" s="20"/>
      <c r="IU65" s="20"/>
      <c r="IV65" s="20"/>
      <c r="IW65" s="20"/>
      <c r="IX65" s="20"/>
      <c r="IY65" s="20"/>
      <c r="IZ65" s="20"/>
      <c r="JA65" s="20"/>
      <c r="JB65" s="20"/>
      <c r="JC65" s="20"/>
      <c r="JD65" s="20"/>
      <c r="JE65" s="20"/>
      <c r="JF65" s="20"/>
      <c r="JG65" s="20"/>
      <c r="JH65" s="20"/>
      <c r="JI65" s="20"/>
      <c r="JJ65" s="20"/>
      <c r="JK65" s="20"/>
      <c r="JL65" s="20"/>
      <c r="JM65" s="20"/>
      <c r="JN65" s="20"/>
      <c r="JO65" s="20"/>
      <c r="JP65" s="20"/>
      <c r="JQ65" s="20"/>
      <c r="JR65" s="20"/>
      <c r="JS65" s="20"/>
      <c r="JT65" s="20"/>
      <c r="JU65" s="20"/>
      <c r="JV65" s="20"/>
      <c r="JW65" s="20"/>
      <c r="JX65" s="20"/>
      <c r="JY65"/>
      <c r="JZ65" s="262"/>
      <c r="KA65" s="262"/>
      <c r="KB65" s="262"/>
      <c r="KC65" s="262"/>
      <c r="KD65" s="262"/>
      <c r="KE65" s="262"/>
      <c r="KF65" s="262"/>
      <c r="KG65" s="262"/>
      <c r="KH65" s="262"/>
      <c r="KI65" s="262"/>
      <c r="KJ65" s="262"/>
      <c r="KK65" s="262"/>
      <c r="KL65" s="262"/>
      <c r="KM65" s="262"/>
      <c r="KN65" s="262"/>
      <c r="KO65" s="262"/>
      <c r="KP65" s="262"/>
      <c r="KQ65" s="262"/>
      <c r="KR65" s="262"/>
      <c r="KS65" s="262"/>
      <c r="KT65" s="262"/>
      <c r="KU65" s="262"/>
      <c r="KV65" s="262"/>
      <c r="KW65" s="262"/>
      <c r="KX65" s="262"/>
      <c r="KY65" s="262"/>
      <c r="KZ65" s="262"/>
      <c r="LA65" s="262"/>
      <c r="LB65" s="262"/>
      <c r="LC65" s="262"/>
      <c r="LD65" s="262"/>
      <c r="LE65" s="262"/>
      <c r="LF65" s="262"/>
      <c r="LG65" s="262"/>
      <c r="LH65" s="262"/>
      <c r="LI65" s="262"/>
      <c r="LJ65" s="262"/>
      <c r="LK65" s="262"/>
      <c r="LL65" s="262"/>
      <c r="LM65" s="262"/>
      <c r="LN65" s="262"/>
      <c r="LO65" s="262"/>
      <c r="LP65" s="262"/>
      <c r="LQ65" s="262"/>
      <c r="LR65" s="262"/>
      <c r="LS65" s="262"/>
      <c r="LT65" s="262"/>
      <c r="LU65" s="262"/>
      <c r="LV65" s="262"/>
      <c r="LW65" s="262"/>
      <c r="LX65" s="262"/>
      <c r="LY65" s="262"/>
      <c r="LZ65" s="262"/>
      <c r="MA65" s="262"/>
      <c r="MB65" s="262"/>
      <c r="MC65" s="262"/>
      <c r="MD65" s="262"/>
      <c r="ME65" s="262"/>
      <c r="MF65" s="262"/>
      <c r="MG65" s="262"/>
      <c r="MH65" s="262"/>
      <c r="MI65" s="262"/>
      <c r="MJ65" s="262"/>
      <c r="MK65" s="262"/>
      <c r="ML65" s="262"/>
      <c r="MM65" s="262"/>
      <c r="MN65" s="262"/>
      <c r="MO65" s="262"/>
      <c r="MP65" s="262"/>
      <c r="MQ65" s="262"/>
      <c r="MR65" s="262"/>
      <c r="MS65" s="262"/>
      <c r="MT65" s="262"/>
      <c r="MU65" s="262"/>
      <c r="MV65" s="262"/>
      <c r="MW65" s="262"/>
      <c r="MX65" s="262"/>
      <c r="MY65" s="262"/>
      <c r="MZ65" s="262"/>
      <c r="NA65" s="262"/>
      <c r="NB65" s="262"/>
      <c r="NC65" s="262"/>
      <c r="ND65" s="262"/>
      <c r="NE65" s="262"/>
      <c r="NF65" s="262"/>
      <c r="NG65" s="262"/>
      <c r="NH65" s="262"/>
      <c r="NI65" s="262"/>
      <c r="NJ65" s="262"/>
      <c r="NK65" s="262"/>
      <c r="NL65" s="262"/>
      <c r="NM65" s="262"/>
      <c r="NN65" s="262"/>
      <c r="NO65" s="262"/>
      <c r="NP65" s="262"/>
      <c r="NQ65" s="262"/>
      <c r="NR65" s="262"/>
      <c r="NS65" s="262"/>
      <c r="NT65" s="262"/>
      <c r="NU65" s="262"/>
      <c r="NV65" s="262"/>
      <c r="NW65" s="262"/>
      <c r="NX65" s="262"/>
      <c r="NY65" s="262"/>
      <c r="NZ65" s="262"/>
      <c r="OA65" s="262"/>
      <c r="OB65" s="262"/>
      <c r="OC65" s="262"/>
      <c r="OD65" s="262"/>
      <c r="OE65" s="262"/>
      <c r="OF65" s="262"/>
      <c r="OG65" s="262"/>
      <c r="OH65" s="262"/>
      <c r="OI65" s="262"/>
      <c r="OJ65" s="262"/>
      <c r="OK65" s="262"/>
      <c r="OL65" s="262"/>
      <c r="OM65" s="262"/>
      <c r="ON65" s="262"/>
      <c r="OO65" s="262"/>
      <c r="OP65" s="262"/>
      <c r="OQ65" s="262"/>
      <c r="OR65" s="262"/>
      <c r="OS65" s="262"/>
      <c r="OT65" s="262"/>
      <c r="OU65" s="262"/>
      <c r="OV65" s="262"/>
      <c r="OW65" s="262"/>
      <c r="OX65" s="262"/>
      <c r="OY65" s="262"/>
      <c r="OZ65" s="262"/>
      <c r="PA65" s="262"/>
      <c r="PB65" s="262"/>
      <c r="PC65" s="262"/>
      <c r="PD65" s="262"/>
      <c r="PE65" s="262"/>
      <c r="PF65" s="262"/>
      <c r="PG65" s="262"/>
      <c r="PH65" s="262"/>
    </row>
    <row r="66" spans="1:424" x14ac:dyDescent="0.35">
      <c r="A66"/>
      <c r="B66" s="426" t="s">
        <v>186</v>
      </c>
      <c r="C66" s="57">
        <f>Debt_LTC_Target-C65</f>
        <v>0</v>
      </c>
      <c r="D66" s="451" t="s">
        <v>187</v>
      </c>
      <c r="E66" s="43">
        <v>0.15</v>
      </c>
      <c r="F66" s="57">
        <f>(C66/Debt_LTC_Target)*Debt_LTC_Actual</f>
        <v>0</v>
      </c>
      <c r="G66" s="415">
        <f>I66/Units_SF_M2</f>
        <v>0</v>
      </c>
      <c r="H66" s="445">
        <f>I66/Units</f>
        <v>0</v>
      </c>
      <c r="I66" s="445">
        <f>0</f>
        <v>0</v>
      </c>
      <c r="J66"/>
      <c r="K66" s="22" t="str">
        <f>B66</f>
        <v>Mezzanine Loan</v>
      </c>
      <c r="L66" s="205">
        <f t="shared" ref="L66:AQ66" si="233">Interest_Mezz_Loan</f>
        <v>0.15</v>
      </c>
      <c r="M66" s="205">
        <f t="shared" si="233"/>
        <v>0.15</v>
      </c>
      <c r="N66" s="205">
        <f t="shared" si="233"/>
        <v>0.15</v>
      </c>
      <c r="O66" s="205">
        <f t="shared" si="233"/>
        <v>0.15</v>
      </c>
      <c r="P66" s="205">
        <f t="shared" si="233"/>
        <v>0.15</v>
      </c>
      <c r="Q66" s="205">
        <f t="shared" si="233"/>
        <v>0.15</v>
      </c>
      <c r="R66" s="205">
        <f t="shared" si="233"/>
        <v>0.15</v>
      </c>
      <c r="S66" s="205">
        <f t="shared" si="233"/>
        <v>0.15</v>
      </c>
      <c r="T66" s="205">
        <f t="shared" si="233"/>
        <v>0.15</v>
      </c>
      <c r="U66" s="205">
        <f t="shared" si="233"/>
        <v>0.15</v>
      </c>
      <c r="V66" s="205">
        <f t="shared" si="233"/>
        <v>0.15</v>
      </c>
      <c r="W66" s="205">
        <f t="shared" si="233"/>
        <v>0.15</v>
      </c>
      <c r="X66" s="205">
        <f t="shared" si="233"/>
        <v>0.15</v>
      </c>
      <c r="Y66" s="205">
        <f t="shared" si="233"/>
        <v>0.15</v>
      </c>
      <c r="Z66" s="205">
        <f t="shared" si="233"/>
        <v>0.15</v>
      </c>
      <c r="AA66" s="205">
        <f t="shared" si="233"/>
        <v>0.15</v>
      </c>
      <c r="AB66" s="205">
        <f t="shared" si="233"/>
        <v>0.15</v>
      </c>
      <c r="AC66" s="205">
        <f t="shared" si="233"/>
        <v>0.15</v>
      </c>
      <c r="AD66" s="205">
        <f t="shared" si="233"/>
        <v>0.15</v>
      </c>
      <c r="AE66" s="205">
        <f t="shared" si="233"/>
        <v>0.15</v>
      </c>
      <c r="AF66" s="205">
        <f t="shared" si="233"/>
        <v>0.15</v>
      </c>
      <c r="AG66" s="205">
        <f t="shared" si="233"/>
        <v>0.15</v>
      </c>
      <c r="AH66" s="205">
        <f t="shared" si="233"/>
        <v>0.15</v>
      </c>
      <c r="AI66" s="205">
        <f t="shared" si="233"/>
        <v>0.15</v>
      </c>
      <c r="AJ66" s="205">
        <f t="shared" si="233"/>
        <v>0.15</v>
      </c>
      <c r="AK66" s="205">
        <f t="shared" si="233"/>
        <v>0.15</v>
      </c>
      <c r="AL66" s="205">
        <f t="shared" si="233"/>
        <v>0.15</v>
      </c>
      <c r="AM66" s="205">
        <f t="shared" si="233"/>
        <v>0.15</v>
      </c>
      <c r="AN66" s="205">
        <f t="shared" si="233"/>
        <v>0.15</v>
      </c>
      <c r="AO66" s="205">
        <f t="shared" si="233"/>
        <v>0.15</v>
      </c>
      <c r="AP66" s="205">
        <f t="shared" si="233"/>
        <v>0.15</v>
      </c>
      <c r="AQ66" s="205">
        <f t="shared" si="233"/>
        <v>0.15</v>
      </c>
      <c r="AR66" s="205">
        <f t="shared" ref="AR66:BW66" si="234">Interest_Mezz_Loan</f>
        <v>0.15</v>
      </c>
      <c r="AS66" s="205">
        <f t="shared" si="234"/>
        <v>0.15</v>
      </c>
      <c r="AT66" s="205">
        <f t="shared" si="234"/>
        <v>0.15</v>
      </c>
      <c r="AU66" s="205">
        <f t="shared" si="234"/>
        <v>0.15</v>
      </c>
      <c r="AV66" s="205">
        <f t="shared" si="234"/>
        <v>0.15</v>
      </c>
      <c r="AW66" s="205">
        <f t="shared" si="234"/>
        <v>0.15</v>
      </c>
      <c r="AX66" s="205">
        <f t="shared" si="234"/>
        <v>0.15</v>
      </c>
      <c r="AY66" s="205">
        <f t="shared" si="234"/>
        <v>0.15</v>
      </c>
      <c r="AZ66" s="205">
        <f t="shared" si="234"/>
        <v>0.15</v>
      </c>
      <c r="BA66" s="205">
        <f t="shared" si="234"/>
        <v>0.15</v>
      </c>
      <c r="BB66" s="205">
        <f t="shared" si="234"/>
        <v>0.15</v>
      </c>
      <c r="BC66" s="205">
        <f t="shared" si="234"/>
        <v>0.15</v>
      </c>
      <c r="BD66" s="205">
        <f t="shared" si="234"/>
        <v>0.15</v>
      </c>
      <c r="BE66" s="205">
        <f t="shared" si="234"/>
        <v>0.15</v>
      </c>
      <c r="BF66" s="205">
        <f t="shared" si="234"/>
        <v>0.15</v>
      </c>
      <c r="BG66" s="205">
        <f t="shared" si="234"/>
        <v>0.15</v>
      </c>
      <c r="BH66" s="205">
        <f t="shared" si="234"/>
        <v>0.15</v>
      </c>
      <c r="BI66" s="205">
        <f t="shared" si="234"/>
        <v>0.15</v>
      </c>
      <c r="BJ66" s="205">
        <f t="shared" si="234"/>
        <v>0.15</v>
      </c>
      <c r="BK66" s="205">
        <f t="shared" si="234"/>
        <v>0.15</v>
      </c>
      <c r="BL66" s="205">
        <f t="shared" si="234"/>
        <v>0.15</v>
      </c>
      <c r="BM66" s="205">
        <f t="shared" si="234"/>
        <v>0.15</v>
      </c>
      <c r="BN66" s="205">
        <f t="shared" si="234"/>
        <v>0.15</v>
      </c>
      <c r="BO66" s="205">
        <f t="shared" si="234"/>
        <v>0.15</v>
      </c>
      <c r="BP66" s="205">
        <f t="shared" si="234"/>
        <v>0.15</v>
      </c>
      <c r="BQ66" s="205">
        <f t="shared" si="234"/>
        <v>0.15</v>
      </c>
      <c r="BR66" s="205">
        <f t="shared" si="234"/>
        <v>0.15</v>
      </c>
      <c r="BS66" s="205">
        <f t="shared" si="234"/>
        <v>0.15</v>
      </c>
      <c r="BT66" s="205">
        <f t="shared" si="234"/>
        <v>0.15</v>
      </c>
      <c r="BU66" s="205">
        <f t="shared" si="234"/>
        <v>0.15</v>
      </c>
      <c r="BV66" s="205">
        <f t="shared" si="234"/>
        <v>0.15</v>
      </c>
      <c r="BW66" s="205">
        <f t="shared" si="234"/>
        <v>0.15</v>
      </c>
      <c r="BX66" s="205">
        <f t="shared" ref="BX66:DC66" si="235">Interest_Mezz_Loan</f>
        <v>0.15</v>
      </c>
      <c r="BY66" s="205">
        <f t="shared" si="235"/>
        <v>0.15</v>
      </c>
      <c r="BZ66" s="205">
        <f t="shared" si="235"/>
        <v>0.15</v>
      </c>
      <c r="CA66" s="205">
        <f t="shared" si="235"/>
        <v>0.15</v>
      </c>
      <c r="CB66" s="205">
        <f t="shared" si="235"/>
        <v>0.15</v>
      </c>
      <c r="CC66" s="205">
        <f t="shared" si="235"/>
        <v>0.15</v>
      </c>
      <c r="CD66" s="205">
        <f t="shared" si="235"/>
        <v>0.15</v>
      </c>
      <c r="CE66" s="205">
        <f t="shared" si="235"/>
        <v>0.15</v>
      </c>
      <c r="CF66" s="205">
        <f t="shared" si="235"/>
        <v>0.15</v>
      </c>
      <c r="CG66" s="205">
        <f t="shared" si="235"/>
        <v>0.15</v>
      </c>
      <c r="CH66" s="205">
        <f t="shared" si="235"/>
        <v>0.15</v>
      </c>
      <c r="CI66" s="205">
        <f t="shared" si="235"/>
        <v>0.15</v>
      </c>
      <c r="CJ66" s="205">
        <f t="shared" si="235"/>
        <v>0.15</v>
      </c>
      <c r="CK66" s="205">
        <f t="shared" si="235"/>
        <v>0.15</v>
      </c>
      <c r="CL66" s="205">
        <f t="shared" si="235"/>
        <v>0.15</v>
      </c>
      <c r="CM66" s="205">
        <f t="shared" si="235"/>
        <v>0.15</v>
      </c>
      <c r="CN66" s="205">
        <f t="shared" si="235"/>
        <v>0.15</v>
      </c>
      <c r="CO66" s="205">
        <f t="shared" si="235"/>
        <v>0.15</v>
      </c>
      <c r="CP66" s="205">
        <f t="shared" si="235"/>
        <v>0.15</v>
      </c>
      <c r="CQ66" s="205">
        <f t="shared" si="235"/>
        <v>0.15</v>
      </c>
      <c r="CR66" s="205">
        <f t="shared" si="235"/>
        <v>0.15</v>
      </c>
      <c r="CS66" s="205">
        <f t="shared" si="235"/>
        <v>0.15</v>
      </c>
      <c r="CT66" s="205">
        <f t="shared" si="235"/>
        <v>0.15</v>
      </c>
      <c r="CU66" s="205">
        <f t="shared" si="235"/>
        <v>0.15</v>
      </c>
      <c r="CV66" s="205">
        <f t="shared" si="235"/>
        <v>0.15</v>
      </c>
      <c r="CW66" s="205">
        <f t="shared" si="235"/>
        <v>0.15</v>
      </c>
      <c r="CX66" s="205">
        <f t="shared" si="235"/>
        <v>0.15</v>
      </c>
      <c r="CY66" s="205">
        <f t="shared" si="235"/>
        <v>0.15</v>
      </c>
      <c r="CZ66" s="205">
        <f t="shared" si="235"/>
        <v>0.15</v>
      </c>
      <c r="DA66" s="205">
        <f t="shared" si="235"/>
        <v>0.15</v>
      </c>
      <c r="DB66" s="205">
        <f t="shared" si="235"/>
        <v>0.15</v>
      </c>
      <c r="DC66" s="205">
        <f t="shared" si="235"/>
        <v>0.15</v>
      </c>
      <c r="DD66" s="205">
        <f t="shared" ref="DD66:EN66" si="236">Interest_Mezz_Loan</f>
        <v>0.15</v>
      </c>
      <c r="DE66" s="205">
        <f t="shared" si="236"/>
        <v>0.15</v>
      </c>
      <c r="DF66" s="205">
        <f t="shared" si="236"/>
        <v>0.15</v>
      </c>
      <c r="DG66" s="205">
        <f t="shared" si="236"/>
        <v>0.15</v>
      </c>
      <c r="DH66" s="205">
        <f t="shared" si="236"/>
        <v>0.15</v>
      </c>
      <c r="DI66" s="205">
        <f t="shared" si="236"/>
        <v>0.15</v>
      </c>
      <c r="DJ66" s="205">
        <f t="shared" si="236"/>
        <v>0.15</v>
      </c>
      <c r="DK66" s="205">
        <f t="shared" si="236"/>
        <v>0.15</v>
      </c>
      <c r="DL66" s="205">
        <f t="shared" si="236"/>
        <v>0.15</v>
      </c>
      <c r="DM66" s="205">
        <f t="shared" si="236"/>
        <v>0.15</v>
      </c>
      <c r="DN66" s="205">
        <f t="shared" si="236"/>
        <v>0.15</v>
      </c>
      <c r="DO66" s="205">
        <f t="shared" si="236"/>
        <v>0.15</v>
      </c>
      <c r="DP66" s="205">
        <f t="shared" si="236"/>
        <v>0.15</v>
      </c>
      <c r="DQ66" s="205">
        <f t="shared" si="236"/>
        <v>0.15</v>
      </c>
      <c r="DR66" s="205">
        <f t="shared" si="236"/>
        <v>0.15</v>
      </c>
      <c r="DS66" s="205">
        <f t="shared" si="236"/>
        <v>0.15</v>
      </c>
      <c r="DT66" s="205">
        <f t="shared" si="236"/>
        <v>0.15</v>
      </c>
      <c r="DU66" s="205">
        <f t="shared" si="236"/>
        <v>0.15</v>
      </c>
      <c r="DV66" s="205">
        <f t="shared" si="236"/>
        <v>0.15</v>
      </c>
      <c r="DW66" s="205">
        <f t="shared" si="236"/>
        <v>0.15</v>
      </c>
      <c r="DX66" s="205">
        <f t="shared" si="236"/>
        <v>0.15</v>
      </c>
      <c r="DY66" s="205">
        <f t="shared" si="236"/>
        <v>0.15</v>
      </c>
      <c r="DZ66" s="205">
        <f t="shared" si="236"/>
        <v>0.15</v>
      </c>
      <c r="EA66" s="205">
        <f t="shared" si="236"/>
        <v>0.15</v>
      </c>
      <c r="EB66" s="205">
        <f t="shared" si="236"/>
        <v>0.15</v>
      </c>
      <c r="EC66" s="205">
        <f t="shared" si="236"/>
        <v>0.15</v>
      </c>
      <c r="ED66" s="205">
        <f t="shared" si="236"/>
        <v>0.15</v>
      </c>
      <c r="EE66" s="205">
        <f t="shared" si="236"/>
        <v>0.15</v>
      </c>
      <c r="EF66" s="205">
        <f t="shared" si="236"/>
        <v>0.15</v>
      </c>
      <c r="EG66" s="205">
        <f t="shared" si="236"/>
        <v>0.15</v>
      </c>
      <c r="EH66" s="205">
        <f t="shared" si="236"/>
        <v>0.15</v>
      </c>
      <c r="EI66" s="205">
        <f t="shared" si="236"/>
        <v>0.15</v>
      </c>
      <c r="EJ66" s="205">
        <f t="shared" si="236"/>
        <v>0.15</v>
      </c>
      <c r="EK66" s="205">
        <f t="shared" si="236"/>
        <v>0.15</v>
      </c>
      <c r="EL66" s="205">
        <f t="shared" si="236"/>
        <v>0.15</v>
      </c>
      <c r="EM66" s="205">
        <f t="shared" si="236"/>
        <v>0.15</v>
      </c>
      <c r="EN66" s="205">
        <f t="shared" si="236"/>
        <v>0.15</v>
      </c>
      <c r="EO66"/>
      <c r="EP66" s="219"/>
      <c r="EQ66" s="18"/>
      <c r="ER66" s="18"/>
      <c r="ES66" s="18"/>
      <c r="ET66" s="18" t="s">
        <v>188</v>
      </c>
      <c r="EU66" s="20"/>
      <c r="EV66" s="266">
        <f>IFERROR((EV67*EV86+EV68*EV87)/SUM(EV86:EV87),EV67)</f>
        <v>6.5000000000000002E-2</v>
      </c>
      <c r="EW66" s="266">
        <f t="shared" ref="EW66:HH66" si="237">IFERROR((EW67*EW86+EW68*EW87)/SUM(EW86:EW87),EW67)</f>
        <v>6.5000000000000002E-2</v>
      </c>
      <c r="EX66" s="266">
        <f t="shared" si="237"/>
        <v>6.5000000000000002E-2</v>
      </c>
      <c r="EY66" s="266">
        <f t="shared" si="237"/>
        <v>6.5000000000000002E-2</v>
      </c>
      <c r="EZ66" s="266">
        <f t="shared" si="237"/>
        <v>6.5000000000000002E-2</v>
      </c>
      <c r="FA66" s="266">
        <f t="shared" si="237"/>
        <v>6.5000000000000002E-2</v>
      </c>
      <c r="FB66" s="266">
        <f t="shared" si="237"/>
        <v>6.5000000000000002E-2</v>
      </c>
      <c r="FC66" s="266">
        <f t="shared" si="237"/>
        <v>6.5000000000000002E-2</v>
      </c>
      <c r="FD66" s="266">
        <f t="shared" si="237"/>
        <v>6.5000000000000002E-2</v>
      </c>
      <c r="FE66" s="266">
        <f t="shared" si="237"/>
        <v>6.5000000000000002E-2</v>
      </c>
      <c r="FF66" s="266">
        <f t="shared" si="237"/>
        <v>6.5000000000000002E-2</v>
      </c>
      <c r="FG66" s="266">
        <f t="shared" si="237"/>
        <v>6.5000000000000002E-2</v>
      </c>
      <c r="FH66" s="266">
        <f t="shared" si="237"/>
        <v>6.5000000000000002E-2</v>
      </c>
      <c r="FI66" s="266">
        <f t="shared" si="237"/>
        <v>6.5000000000000002E-2</v>
      </c>
      <c r="FJ66" s="266">
        <f t="shared" si="237"/>
        <v>6.5000000000000002E-2</v>
      </c>
      <c r="FK66" s="266">
        <f t="shared" si="237"/>
        <v>6.5000000000000002E-2</v>
      </c>
      <c r="FL66" s="266">
        <f t="shared" si="237"/>
        <v>6.5000000000000002E-2</v>
      </c>
      <c r="FM66" s="266">
        <f t="shared" si="237"/>
        <v>6.5000000000000002E-2</v>
      </c>
      <c r="FN66" s="266">
        <f t="shared" si="237"/>
        <v>6.5000000000000002E-2</v>
      </c>
      <c r="FO66" s="266">
        <f t="shared" si="237"/>
        <v>6.5000000000000002E-2</v>
      </c>
      <c r="FP66" s="266">
        <f t="shared" si="237"/>
        <v>6.5000000000000002E-2</v>
      </c>
      <c r="FQ66" s="266">
        <f t="shared" si="237"/>
        <v>6.5000000000000002E-2</v>
      </c>
      <c r="FR66" s="266">
        <f t="shared" si="237"/>
        <v>6.5000000000000002E-2</v>
      </c>
      <c r="FS66" s="266">
        <f t="shared" si="237"/>
        <v>6.5000000000000002E-2</v>
      </c>
      <c r="FT66" s="266">
        <f t="shared" si="237"/>
        <v>6.5000000000000002E-2</v>
      </c>
      <c r="FU66" s="266">
        <f t="shared" si="237"/>
        <v>6.5000000000000002E-2</v>
      </c>
      <c r="FV66" s="266">
        <f t="shared" si="237"/>
        <v>6.5000000000000002E-2</v>
      </c>
      <c r="FW66" s="266">
        <f t="shared" si="237"/>
        <v>6.5000000000000002E-2</v>
      </c>
      <c r="FX66" s="266">
        <f t="shared" si="237"/>
        <v>6.5000000000000002E-2</v>
      </c>
      <c r="FY66" s="266">
        <f t="shared" si="237"/>
        <v>6.5000000000000002E-2</v>
      </c>
      <c r="FZ66" s="266">
        <f t="shared" si="237"/>
        <v>6.5000000000000002E-2</v>
      </c>
      <c r="GA66" s="266">
        <f t="shared" si="237"/>
        <v>6.5000000000000002E-2</v>
      </c>
      <c r="GB66" s="266">
        <f t="shared" si="237"/>
        <v>6.5000000000000002E-2</v>
      </c>
      <c r="GC66" s="266">
        <f t="shared" si="237"/>
        <v>6.5000000000000002E-2</v>
      </c>
      <c r="GD66" s="266">
        <f t="shared" si="237"/>
        <v>6.5000000000000002E-2</v>
      </c>
      <c r="GE66" s="266">
        <f t="shared" si="237"/>
        <v>6.5000000000000002E-2</v>
      </c>
      <c r="GF66" s="266">
        <f t="shared" si="237"/>
        <v>6.5000000000000002E-2</v>
      </c>
      <c r="GG66" s="266">
        <f t="shared" si="237"/>
        <v>6.5000000000000002E-2</v>
      </c>
      <c r="GH66" s="266">
        <f t="shared" si="237"/>
        <v>6.5000000000000002E-2</v>
      </c>
      <c r="GI66" s="266">
        <f t="shared" si="237"/>
        <v>6.5000000000000002E-2</v>
      </c>
      <c r="GJ66" s="266">
        <f t="shared" si="237"/>
        <v>6.5000000000000002E-2</v>
      </c>
      <c r="GK66" s="266">
        <f t="shared" si="237"/>
        <v>6.5000000000000002E-2</v>
      </c>
      <c r="GL66" s="266">
        <f t="shared" si="237"/>
        <v>6.5000000000000002E-2</v>
      </c>
      <c r="GM66" s="266">
        <f t="shared" si="237"/>
        <v>6.5000000000000002E-2</v>
      </c>
      <c r="GN66" s="266">
        <f t="shared" si="237"/>
        <v>6.5000000000000002E-2</v>
      </c>
      <c r="GO66" s="266">
        <f t="shared" si="237"/>
        <v>6.5000000000000002E-2</v>
      </c>
      <c r="GP66" s="266">
        <f t="shared" si="237"/>
        <v>6.5000000000000002E-2</v>
      </c>
      <c r="GQ66" s="266">
        <f t="shared" si="237"/>
        <v>6.5000000000000002E-2</v>
      </c>
      <c r="GR66" s="266">
        <f t="shared" si="237"/>
        <v>6.5000000000000002E-2</v>
      </c>
      <c r="GS66" s="266">
        <f t="shared" si="237"/>
        <v>6.5000000000000002E-2</v>
      </c>
      <c r="GT66" s="266">
        <f t="shared" si="237"/>
        <v>6.5000000000000002E-2</v>
      </c>
      <c r="GU66" s="266">
        <f t="shared" si="237"/>
        <v>6.5000000000000002E-2</v>
      </c>
      <c r="GV66" s="266">
        <f t="shared" si="237"/>
        <v>6.5000000000000002E-2</v>
      </c>
      <c r="GW66" s="266">
        <f t="shared" si="237"/>
        <v>6.5000000000000002E-2</v>
      </c>
      <c r="GX66" s="266">
        <f t="shared" si="237"/>
        <v>6.5000000000000002E-2</v>
      </c>
      <c r="GY66" s="266">
        <f t="shared" si="237"/>
        <v>6.5000000000000002E-2</v>
      </c>
      <c r="GZ66" s="266">
        <f t="shared" si="237"/>
        <v>6.5000000000000002E-2</v>
      </c>
      <c r="HA66" s="266">
        <f t="shared" si="237"/>
        <v>6.5000000000000002E-2</v>
      </c>
      <c r="HB66" s="266">
        <f t="shared" si="237"/>
        <v>6.5000000000000002E-2</v>
      </c>
      <c r="HC66" s="266">
        <f t="shared" si="237"/>
        <v>6.5000000000000002E-2</v>
      </c>
      <c r="HD66" s="266">
        <f t="shared" si="237"/>
        <v>6.5000000000000002E-2</v>
      </c>
      <c r="HE66" s="266">
        <f t="shared" si="237"/>
        <v>6.5000000000000002E-2</v>
      </c>
      <c r="HF66" s="266">
        <f t="shared" si="237"/>
        <v>6.5000000000000002E-2</v>
      </c>
      <c r="HG66" s="266">
        <f t="shared" si="237"/>
        <v>6.5000000000000002E-2</v>
      </c>
      <c r="HH66" s="266">
        <f t="shared" si="237"/>
        <v>6.5000000000000002E-2</v>
      </c>
      <c r="HI66" s="266">
        <f t="shared" ref="HI66:JT66" si="238">IFERROR((HI67*HI86+HI68*HI87)/SUM(HI86:HI87),HI67)</f>
        <v>6.5000000000000002E-2</v>
      </c>
      <c r="HJ66" s="266">
        <f t="shared" si="238"/>
        <v>6.5000000000000002E-2</v>
      </c>
      <c r="HK66" s="266">
        <f t="shared" si="238"/>
        <v>6.5000000000000002E-2</v>
      </c>
      <c r="HL66" s="266">
        <f t="shared" si="238"/>
        <v>6.5000000000000002E-2</v>
      </c>
      <c r="HM66" s="266">
        <f t="shared" si="238"/>
        <v>6.5000000000000002E-2</v>
      </c>
      <c r="HN66" s="266">
        <f t="shared" si="238"/>
        <v>6.5000000000000002E-2</v>
      </c>
      <c r="HO66" s="266">
        <f t="shared" si="238"/>
        <v>6.5000000000000002E-2</v>
      </c>
      <c r="HP66" s="266">
        <f t="shared" si="238"/>
        <v>6.5000000000000002E-2</v>
      </c>
      <c r="HQ66" s="266">
        <f t="shared" si="238"/>
        <v>6.5000000000000002E-2</v>
      </c>
      <c r="HR66" s="266">
        <f t="shared" si="238"/>
        <v>6.5000000000000002E-2</v>
      </c>
      <c r="HS66" s="266">
        <f t="shared" si="238"/>
        <v>6.5000000000000002E-2</v>
      </c>
      <c r="HT66" s="266">
        <f t="shared" si="238"/>
        <v>6.5000000000000002E-2</v>
      </c>
      <c r="HU66" s="266">
        <f t="shared" si="238"/>
        <v>6.5000000000000002E-2</v>
      </c>
      <c r="HV66" s="266">
        <f t="shared" si="238"/>
        <v>6.5000000000000002E-2</v>
      </c>
      <c r="HW66" s="266">
        <f t="shared" si="238"/>
        <v>6.5000000000000002E-2</v>
      </c>
      <c r="HX66" s="266">
        <f t="shared" si="238"/>
        <v>6.5000000000000002E-2</v>
      </c>
      <c r="HY66" s="266">
        <f t="shared" si="238"/>
        <v>6.5000000000000002E-2</v>
      </c>
      <c r="HZ66" s="266">
        <f t="shared" si="238"/>
        <v>6.5000000000000002E-2</v>
      </c>
      <c r="IA66" s="266">
        <f t="shared" si="238"/>
        <v>6.5000000000000002E-2</v>
      </c>
      <c r="IB66" s="266">
        <f t="shared" si="238"/>
        <v>6.5000000000000002E-2</v>
      </c>
      <c r="IC66" s="266">
        <f t="shared" si="238"/>
        <v>6.5000000000000002E-2</v>
      </c>
      <c r="ID66" s="266">
        <f t="shared" si="238"/>
        <v>6.5000000000000002E-2</v>
      </c>
      <c r="IE66" s="266">
        <f t="shared" si="238"/>
        <v>6.5000000000000002E-2</v>
      </c>
      <c r="IF66" s="266">
        <f t="shared" si="238"/>
        <v>6.5000000000000002E-2</v>
      </c>
      <c r="IG66" s="266">
        <f t="shared" si="238"/>
        <v>6.5000000000000002E-2</v>
      </c>
      <c r="IH66" s="266">
        <f t="shared" si="238"/>
        <v>6.5000000000000002E-2</v>
      </c>
      <c r="II66" s="266">
        <f t="shared" si="238"/>
        <v>6.5000000000000002E-2</v>
      </c>
      <c r="IJ66" s="266">
        <f t="shared" si="238"/>
        <v>6.5000000000000002E-2</v>
      </c>
      <c r="IK66" s="266">
        <f t="shared" si="238"/>
        <v>6.5000000000000002E-2</v>
      </c>
      <c r="IL66" s="266">
        <f t="shared" si="238"/>
        <v>6.5000000000000002E-2</v>
      </c>
      <c r="IM66" s="266">
        <f t="shared" si="238"/>
        <v>6.5000000000000002E-2</v>
      </c>
      <c r="IN66" s="266">
        <f t="shared" si="238"/>
        <v>6.5000000000000002E-2</v>
      </c>
      <c r="IO66" s="266">
        <f t="shared" si="238"/>
        <v>6.5000000000000002E-2</v>
      </c>
      <c r="IP66" s="266">
        <f t="shared" si="238"/>
        <v>6.5000000000000002E-2</v>
      </c>
      <c r="IQ66" s="266">
        <f t="shared" si="238"/>
        <v>6.5000000000000002E-2</v>
      </c>
      <c r="IR66" s="266">
        <f t="shared" si="238"/>
        <v>6.5000000000000002E-2</v>
      </c>
      <c r="IS66" s="266">
        <f t="shared" si="238"/>
        <v>6.5000000000000002E-2</v>
      </c>
      <c r="IT66" s="266">
        <f t="shared" si="238"/>
        <v>6.5000000000000002E-2</v>
      </c>
      <c r="IU66" s="266">
        <f t="shared" si="238"/>
        <v>6.5000000000000002E-2</v>
      </c>
      <c r="IV66" s="266">
        <f t="shared" si="238"/>
        <v>6.5000000000000002E-2</v>
      </c>
      <c r="IW66" s="266">
        <f t="shared" si="238"/>
        <v>6.5000000000000002E-2</v>
      </c>
      <c r="IX66" s="266">
        <f t="shared" si="238"/>
        <v>6.5000000000000002E-2</v>
      </c>
      <c r="IY66" s="266">
        <f t="shared" si="238"/>
        <v>6.5000000000000002E-2</v>
      </c>
      <c r="IZ66" s="266">
        <f t="shared" si="238"/>
        <v>6.5000000000000002E-2</v>
      </c>
      <c r="JA66" s="266">
        <f t="shared" si="238"/>
        <v>6.5000000000000002E-2</v>
      </c>
      <c r="JB66" s="266">
        <f t="shared" si="238"/>
        <v>6.5000000000000002E-2</v>
      </c>
      <c r="JC66" s="266">
        <f t="shared" si="238"/>
        <v>6.5000000000000002E-2</v>
      </c>
      <c r="JD66" s="266">
        <f t="shared" si="238"/>
        <v>6.5000000000000002E-2</v>
      </c>
      <c r="JE66" s="266">
        <f t="shared" si="238"/>
        <v>6.5000000000000002E-2</v>
      </c>
      <c r="JF66" s="266">
        <f t="shared" si="238"/>
        <v>6.5000000000000002E-2</v>
      </c>
      <c r="JG66" s="266">
        <f t="shared" si="238"/>
        <v>6.5000000000000002E-2</v>
      </c>
      <c r="JH66" s="266">
        <f t="shared" si="238"/>
        <v>6.5000000000000002E-2</v>
      </c>
      <c r="JI66" s="266">
        <f t="shared" si="238"/>
        <v>6.5000000000000002E-2</v>
      </c>
      <c r="JJ66" s="266">
        <f t="shared" si="238"/>
        <v>6.5000000000000002E-2</v>
      </c>
      <c r="JK66" s="266">
        <f t="shared" si="238"/>
        <v>6.5000000000000002E-2</v>
      </c>
      <c r="JL66" s="266">
        <f t="shared" si="238"/>
        <v>6.5000000000000002E-2</v>
      </c>
      <c r="JM66" s="266">
        <f t="shared" si="238"/>
        <v>6.5000000000000002E-2</v>
      </c>
      <c r="JN66" s="266">
        <f t="shared" si="238"/>
        <v>6.5000000000000002E-2</v>
      </c>
      <c r="JO66" s="266">
        <f t="shared" si="238"/>
        <v>6.5000000000000002E-2</v>
      </c>
      <c r="JP66" s="266">
        <f t="shared" si="238"/>
        <v>6.5000000000000002E-2</v>
      </c>
      <c r="JQ66" s="266">
        <f t="shared" si="238"/>
        <v>6.5000000000000002E-2</v>
      </c>
      <c r="JR66" s="266">
        <f t="shared" si="238"/>
        <v>6.5000000000000002E-2</v>
      </c>
      <c r="JS66" s="266">
        <f t="shared" si="238"/>
        <v>6.5000000000000002E-2</v>
      </c>
      <c r="JT66" s="266">
        <f t="shared" si="238"/>
        <v>6.5000000000000002E-2</v>
      </c>
      <c r="JU66" s="266">
        <f>IFERROR((JU67*JU86+JU68*JU87)/SUM(JU86:JU87),JU67)</f>
        <v>6.5000000000000002E-2</v>
      </c>
      <c r="JV66" s="266">
        <f>IFERROR((JV67*JV86+JV68*JV87)/SUM(JV86:JV87),JV67)</f>
        <v>6.5000000000000002E-2</v>
      </c>
      <c r="JW66" s="266">
        <f>IFERROR((JW67*JW86+JW68*JW87)/SUM(JW86:JW87),JW67)</f>
        <v>6.5000000000000002E-2</v>
      </c>
      <c r="JX66" s="266">
        <f>IFERROR((JX67*JX86+JX68*JX87)/SUM(JX86:JX87),JX67)</f>
        <v>6.5000000000000002E-2</v>
      </c>
      <c r="JY66"/>
      <c r="JZ66" s="262"/>
      <c r="KA66" s="262"/>
      <c r="KB66" s="262"/>
      <c r="KC66" s="262"/>
      <c r="KD66" s="262"/>
      <c r="KE66" s="262"/>
      <c r="KF66" s="262"/>
      <c r="KG66" s="262"/>
      <c r="KH66" s="262"/>
      <c r="KI66" s="262"/>
      <c r="KJ66" s="262"/>
      <c r="KK66" s="262"/>
      <c r="KL66" s="262"/>
      <c r="KM66" s="262"/>
      <c r="KN66" s="262"/>
      <c r="KO66" s="262"/>
      <c r="KP66" s="262"/>
      <c r="KQ66" s="262"/>
      <c r="KR66" s="262"/>
      <c r="KS66" s="262"/>
      <c r="KT66" s="262"/>
      <c r="KU66" s="262"/>
      <c r="KV66" s="262"/>
      <c r="KW66" s="262"/>
      <c r="KX66" s="262"/>
      <c r="KY66" s="262"/>
      <c r="KZ66" s="262"/>
      <c r="LA66" s="262"/>
      <c r="LB66" s="262"/>
      <c r="LC66" s="262"/>
      <c r="LD66" s="262"/>
      <c r="LE66" s="262"/>
      <c r="LF66" s="262"/>
      <c r="LG66" s="262"/>
      <c r="LH66" s="262"/>
      <c r="LI66" s="262"/>
      <c r="LJ66" s="262"/>
      <c r="LK66" s="262"/>
      <c r="LL66" s="262"/>
      <c r="LM66" s="262"/>
      <c r="LN66" s="262"/>
      <c r="LO66" s="262"/>
      <c r="LP66" s="262"/>
      <c r="LQ66" s="262"/>
      <c r="LR66" s="262"/>
      <c r="LS66" s="262"/>
      <c r="LT66" s="262"/>
      <c r="LU66" s="262"/>
      <c r="LV66" s="262"/>
      <c r="LW66" s="262"/>
      <c r="LX66" s="262"/>
      <c r="LY66" s="262"/>
      <c r="LZ66" s="262"/>
      <c r="MA66" s="262"/>
      <c r="MB66" s="262"/>
      <c r="MC66" s="262"/>
      <c r="MD66" s="262"/>
      <c r="ME66" s="262"/>
      <c r="MF66" s="262"/>
      <c r="MG66" s="262"/>
      <c r="MH66" s="262"/>
      <c r="MI66" s="262"/>
      <c r="MJ66" s="262"/>
      <c r="MK66" s="262"/>
      <c r="ML66" s="262"/>
      <c r="MM66" s="262"/>
      <c r="MN66" s="262"/>
      <c r="MO66" s="262"/>
      <c r="MP66" s="262"/>
      <c r="MQ66" s="262"/>
      <c r="MR66" s="262"/>
      <c r="MS66" s="262"/>
      <c r="MT66" s="262"/>
      <c r="MU66" s="262"/>
      <c r="MV66" s="262"/>
      <c r="MW66" s="262"/>
      <c r="MX66" s="262"/>
      <c r="MY66" s="262"/>
      <c r="MZ66" s="262"/>
      <c r="NA66" s="262"/>
      <c r="NB66" s="262"/>
      <c r="NC66" s="262"/>
      <c r="ND66" s="262"/>
      <c r="NE66" s="262"/>
      <c r="NF66" s="262"/>
      <c r="NG66" s="262"/>
      <c r="NH66" s="262"/>
      <c r="NI66" s="262"/>
      <c r="NJ66" s="262"/>
      <c r="NK66" s="262"/>
      <c r="NL66" s="262"/>
      <c r="NM66" s="262"/>
      <c r="NN66" s="262"/>
      <c r="NO66" s="262"/>
      <c r="NP66" s="262"/>
      <c r="NQ66" s="262"/>
      <c r="NR66" s="262"/>
      <c r="NS66" s="262"/>
      <c r="NT66" s="262"/>
      <c r="NU66" s="262"/>
      <c r="NV66" s="262"/>
      <c r="NW66" s="262"/>
      <c r="NX66" s="262"/>
      <c r="NY66" s="262"/>
      <c r="NZ66" s="262"/>
      <c r="OA66" s="262"/>
      <c r="OB66" s="262"/>
      <c r="OC66" s="262"/>
      <c r="OD66" s="262"/>
      <c r="OE66" s="262"/>
      <c r="OF66" s="262"/>
      <c r="OG66" s="262"/>
      <c r="OH66" s="262"/>
      <c r="OI66" s="262"/>
      <c r="OJ66" s="262"/>
      <c r="OK66" s="262"/>
      <c r="OL66" s="262"/>
      <c r="OM66" s="262"/>
      <c r="ON66" s="262"/>
      <c r="OO66" s="262"/>
      <c r="OP66" s="262"/>
      <c r="OQ66" s="262"/>
      <c r="OR66" s="262"/>
      <c r="OS66" s="262"/>
      <c r="OT66" s="262"/>
      <c r="OU66" s="262"/>
      <c r="OV66" s="262"/>
      <c r="OW66" s="262"/>
      <c r="OX66" s="262"/>
      <c r="OY66" s="262"/>
      <c r="OZ66" s="262"/>
      <c r="PA66" s="262"/>
      <c r="PB66" s="262"/>
      <c r="PC66" s="262"/>
      <c r="PD66" s="262"/>
      <c r="PE66" s="262"/>
      <c r="PF66" s="262"/>
      <c r="PG66" s="262"/>
      <c r="PH66" s="262"/>
    </row>
    <row r="67" spans="1:424" x14ac:dyDescent="0.35">
      <c r="A67"/>
      <c r="B67" s="34"/>
      <c r="C67" s="400"/>
      <c r="D67" s="452" t="s">
        <v>189</v>
      </c>
      <c r="E67" s="453" t="s">
        <v>190</v>
      </c>
      <c r="F67" s="57"/>
      <c r="G67" s="134"/>
      <c r="H67" s="134"/>
      <c r="I67" s="3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s="219"/>
      <c r="EQ67" s="18"/>
      <c r="ER67" s="18"/>
      <c r="ES67" s="18"/>
      <c r="ET67" s="18" t="s">
        <v>191</v>
      </c>
      <c r="EU67" s="20"/>
      <c r="EV67" s="266">
        <f t="shared" ref="EV67:GA67" si="239">IF(Fixed_Variable=1,L65,Interest_Const_Loan)</f>
        <v>6.5000000000000002E-2</v>
      </c>
      <c r="EW67" s="266">
        <f t="shared" si="239"/>
        <v>6.5000000000000002E-2</v>
      </c>
      <c r="EX67" s="266">
        <f t="shared" si="239"/>
        <v>6.5000000000000002E-2</v>
      </c>
      <c r="EY67" s="266">
        <f t="shared" si="239"/>
        <v>6.5000000000000002E-2</v>
      </c>
      <c r="EZ67" s="266">
        <f t="shared" si="239"/>
        <v>6.5000000000000002E-2</v>
      </c>
      <c r="FA67" s="266">
        <f t="shared" si="239"/>
        <v>6.5000000000000002E-2</v>
      </c>
      <c r="FB67" s="266">
        <f t="shared" si="239"/>
        <v>6.5000000000000002E-2</v>
      </c>
      <c r="FC67" s="266">
        <f t="shared" si="239"/>
        <v>6.5000000000000002E-2</v>
      </c>
      <c r="FD67" s="266">
        <f t="shared" si="239"/>
        <v>6.5000000000000002E-2</v>
      </c>
      <c r="FE67" s="266">
        <f t="shared" si="239"/>
        <v>6.5000000000000002E-2</v>
      </c>
      <c r="FF67" s="266">
        <f t="shared" si="239"/>
        <v>6.5000000000000002E-2</v>
      </c>
      <c r="FG67" s="266">
        <f t="shared" si="239"/>
        <v>6.5000000000000002E-2</v>
      </c>
      <c r="FH67" s="266">
        <f t="shared" si="239"/>
        <v>6.5000000000000002E-2</v>
      </c>
      <c r="FI67" s="266">
        <f t="shared" si="239"/>
        <v>6.5000000000000002E-2</v>
      </c>
      <c r="FJ67" s="266">
        <f t="shared" si="239"/>
        <v>6.5000000000000002E-2</v>
      </c>
      <c r="FK67" s="266">
        <f t="shared" si="239"/>
        <v>6.5000000000000002E-2</v>
      </c>
      <c r="FL67" s="266">
        <f t="shared" si="239"/>
        <v>6.5000000000000002E-2</v>
      </c>
      <c r="FM67" s="266">
        <f t="shared" si="239"/>
        <v>6.5000000000000002E-2</v>
      </c>
      <c r="FN67" s="266">
        <f t="shared" si="239"/>
        <v>6.5000000000000002E-2</v>
      </c>
      <c r="FO67" s="266">
        <f t="shared" si="239"/>
        <v>6.5000000000000002E-2</v>
      </c>
      <c r="FP67" s="266">
        <f t="shared" si="239"/>
        <v>6.5000000000000002E-2</v>
      </c>
      <c r="FQ67" s="266">
        <f t="shared" si="239"/>
        <v>6.5000000000000002E-2</v>
      </c>
      <c r="FR67" s="266">
        <f t="shared" si="239"/>
        <v>6.5000000000000002E-2</v>
      </c>
      <c r="FS67" s="266">
        <f t="shared" si="239"/>
        <v>6.5000000000000002E-2</v>
      </c>
      <c r="FT67" s="266">
        <f t="shared" si="239"/>
        <v>6.5000000000000002E-2</v>
      </c>
      <c r="FU67" s="266">
        <f t="shared" si="239"/>
        <v>6.5000000000000002E-2</v>
      </c>
      <c r="FV67" s="266">
        <f t="shared" si="239"/>
        <v>6.5000000000000002E-2</v>
      </c>
      <c r="FW67" s="266">
        <f t="shared" si="239"/>
        <v>6.5000000000000002E-2</v>
      </c>
      <c r="FX67" s="266">
        <f t="shared" si="239"/>
        <v>6.5000000000000002E-2</v>
      </c>
      <c r="FY67" s="266">
        <f t="shared" si="239"/>
        <v>6.5000000000000002E-2</v>
      </c>
      <c r="FZ67" s="266">
        <f t="shared" si="239"/>
        <v>6.5000000000000002E-2</v>
      </c>
      <c r="GA67" s="266">
        <f t="shared" si="239"/>
        <v>6.5000000000000002E-2</v>
      </c>
      <c r="GB67" s="266">
        <f t="shared" ref="GB67:HG67" si="240">IF(Fixed_Variable=1,AR65,Interest_Const_Loan)</f>
        <v>6.5000000000000002E-2</v>
      </c>
      <c r="GC67" s="266">
        <f t="shared" si="240"/>
        <v>6.5000000000000002E-2</v>
      </c>
      <c r="GD67" s="266">
        <f t="shared" si="240"/>
        <v>6.5000000000000002E-2</v>
      </c>
      <c r="GE67" s="266">
        <f t="shared" si="240"/>
        <v>6.5000000000000002E-2</v>
      </c>
      <c r="GF67" s="266">
        <f t="shared" si="240"/>
        <v>6.5000000000000002E-2</v>
      </c>
      <c r="GG67" s="266">
        <f t="shared" si="240"/>
        <v>6.5000000000000002E-2</v>
      </c>
      <c r="GH67" s="266">
        <f t="shared" si="240"/>
        <v>6.5000000000000002E-2</v>
      </c>
      <c r="GI67" s="266">
        <f t="shared" si="240"/>
        <v>6.5000000000000002E-2</v>
      </c>
      <c r="GJ67" s="266">
        <f t="shared" si="240"/>
        <v>6.5000000000000002E-2</v>
      </c>
      <c r="GK67" s="266">
        <f t="shared" si="240"/>
        <v>6.5000000000000002E-2</v>
      </c>
      <c r="GL67" s="266">
        <f t="shared" si="240"/>
        <v>6.5000000000000002E-2</v>
      </c>
      <c r="GM67" s="266">
        <f t="shared" si="240"/>
        <v>6.5000000000000002E-2</v>
      </c>
      <c r="GN67" s="266">
        <f t="shared" si="240"/>
        <v>6.5000000000000002E-2</v>
      </c>
      <c r="GO67" s="266">
        <f t="shared" si="240"/>
        <v>6.5000000000000002E-2</v>
      </c>
      <c r="GP67" s="266">
        <f t="shared" si="240"/>
        <v>6.5000000000000002E-2</v>
      </c>
      <c r="GQ67" s="266">
        <f t="shared" si="240"/>
        <v>6.5000000000000002E-2</v>
      </c>
      <c r="GR67" s="266">
        <f t="shared" si="240"/>
        <v>6.5000000000000002E-2</v>
      </c>
      <c r="GS67" s="266">
        <f t="shared" si="240"/>
        <v>6.5000000000000002E-2</v>
      </c>
      <c r="GT67" s="266">
        <f t="shared" si="240"/>
        <v>6.5000000000000002E-2</v>
      </c>
      <c r="GU67" s="266">
        <f t="shared" si="240"/>
        <v>6.5000000000000002E-2</v>
      </c>
      <c r="GV67" s="266">
        <f t="shared" si="240"/>
        <v>6.5000000000000002E-2</v>
      </c>
      <c r="GW67" s="266">
        <f t="shared" si="240"/>
        <v>6.5000000000000002E-2</v>
      </c>
      <c r="GX67" s="266">
        <f t="shared" si="240"/>
        <v>6.5000000000000002E-2</v>
      </c>
      <c r="GY67" s="266">
        <f t="shared" si="240"/>
        <v>6.5000000000000002E-2</v>
      </c>
      <c r="GZ67" s="266">
        <f t="shared" si="240"/>
        <v>6.5000000000000002E-2</v>
      </c>
      <c r="HA67" s="266">
        <f t="shared" si="240"/>
        <v>6.5000000000000002E-2</v>
      </c>
      <c r="HB67" s="266">
        <f t="shared" si="240"/>
        <v>6.5000000000000002E-2</v>
      </c>
      <c r="HC67" s="266">
        <f t="shared" si="240"/>
        <v>6.5000000000000002E-2</v>
      </c>
      <c r="HD67" s="266">
        <f t="shared" si="240"/>
        <v>6.5000000000000002E-2</v>
      </c>
      <c r="HE67" s="266">
        <f t="shared" si="240"/>
        <v>6.5000000000000002E-2</v>
      </c>
      <c r="HF67" s="266">
        <f t="shared" si="240"/>
        <v>6.5000000000000002E-2</v>
      </c>
      <c r="HG67" s="266">
        <f t="shared" si="240"/>
        <v>6.5000000000000002E-2</v>
      </c>
      <c r="HH67" s="266">
        <f t="shared" ref="HH67:IM67" si="241">IF(Fixed_Variable=1,BX65,Interest_Const_Loan)</f>
        <v>6.5000000000000002E-2</v>
      </c>
      <c r="HI67" s="266">
        <f t="shared" si="241"/>
        <v>6.5000000000000002E-2</v>
      </c>
      <c r="HJ67" s="266">
        <f t="shared" si="241"/>
        <v>6.5000000000000002E-2</v>
      </c>
      <c r="HK67" s="266">
        <f t="shared" si="241"/>
        <v>6.5000000000000002E-2</v>
      </c>
      <c r="HL67" s="266">
        <f t="shared" si="241"/>
        <v>6.5000000000000002E-2</v>
      </c>
      <c r="HM67" s="266">
        <f t="shared" si="241"/>
        <v>6.5000000000000002E-2</v>
      </c>
      <c r="HN67" s="266">
        <f t="shared" si="241"/>
        <v>6.5000000000000002E-2</v>
      </c>
      <c r="HO67" s="266">
        <f t="shared" si="241"/>
        <v>6.5000000000000002E-2</v>
      </c>
      <c r="HP67" s="266">
        <f t="shared" si="241"/>
        <v>6.5000000000000002E-2</v>
      </c>
      <c r="HQ67" s="266">
        <f t="shared" si="241"/>
        <v>6.5000000000000002E-2</v>
      </c>
      <c r="HR67" s="266">
        <f t="shared" si="241"/>
        <v>6.5000000000000002E-2</v>
      </c>
      <c r="HS67" s="266">
        <f t="shared" si="241"/>
        <v>6.5000000000000002E-2</v>
      </c>
      <c r="HT67" s="266">
        <f t="shared" si="241"/>
        <v>6.5000000000000002E-2</v>
      </c>
      <c r="HU67" s="266">
        <f t="shared" si="241"/>
        <v>6.5000000000000002E-2</v>
      </c>
      <c r="HV67" s="266">
        <f t="shared" si="241"/>
        <v>6.5000000000000002E-2</v>
      </c>
      <c r="HW67" s="266">
        <f t="shared" si="241"/>
        <v>6.5000000000000002E-2</v>
      </c>
      <c r="HX67" s="266">
        <f t="shared" si="241"/>
        <v>6.5000000000000002E-2</v>
      </c>
      <c r="HY67" s="266">
        <f t="shared" si="241"/>
        <v>6.5000000000000002E-2</v>
      </c>
      <c r="HZ67" s="266">
        <f t="shared" si="241"/>
        <v>6.5000000000000002E-2</v>
      </c>
      <c r="IA67" s="266">
        <f t="shared" si="241"/>
        <v>6.5000000000000002E-2</v>
      </c>
      <c r="IB67" s="266">
        <f t="shared" si="241"/>
        <v>6.5000000000000002E-2</v>
      </c>
      <c r="IC67" s="266">
        <f t="shared" si="241"/>
        <v>6.5000000000000002E-2</v>
      </c>
      <c r="ID67" s="266">
        <f t="shared" si="241"/>
        <v>6.5000000000000002E-2</v>
      </c>
      <c r="IE67" s="266">
        <f t="shared" si="241"/>
        <v>6.5000000000000002E-2</v>
      </c>
      <c r="IF67" s="266">
        <f t="shared" si="241"/>
        <v>6.5000000000000002E-2</v>
      </c>
      <c r="IG67" s="266">
        <f t="shared" si="241"/>
        <v>6.5000000000000002E-2</v>
      </c>
      <c r="IH67" s="266">
        <f t="shared" si="241"/>
        <v>6.5000000000000002E-2</v>
      </c>
      <c r="II67" s="266">
        <f t="shared" si="241"/>
        <v>6.5000000000000002E-2</v>
      </c>
      <c r="IJ67" s="266">
        <f t="shared" si="241"/>
        <v>6.5000000000000002E-2</v>
      </c>
      <c r="IK67" s="266">
        <f t="shared" si="241"/>
        <v>6.5000000000000002E-2</v>
      </c>
      <c r="IL67" s="266">
        <f t="shared" si="241"/>
        <v>6.5000000000000002E-2</v>
      </c>
      <c r="IM67" s="266">
        <f t="shared" si="241"/>
        <v>6.5000000000000002E-2</v>
      </c>
      <c r="IN67" s="266">
        <f t="shared" ref="IN67:JS67" si="242">IF(Fixed_Variable=1,DD65,Interest_Const_Loan)</f>
        <v>6.5000000000000002E-2</v>
      </c>
      <c r="IO67" s="266">
        <f t="shared" si="242"/>
        <v>6.5000000000000002E-2</v>
      </c>
      <c r="IP67" s="266">
        <f t="shared" si="242"/>
        <v>6.5000000000000002E-2</v>
      </c>
      <c r="IQ67" s="266">
        <f t="shared" si="242"/>
        <v>6.5000000000000002E-2</v>
      </c>
      <c r="IR67" s="266">
        <f t="shared" si="242"/>
        <v>6.5000000000000002E-2</v>
      </c>
      <c r="IS67" s="266">
        <f t="shared" si="242"/>
        <v>6.5000000000000002E-2</v>
      </c>
      <c r="IT67" s="266">
        <f t="shared" si="242"/>
        <v>6.5000000000000002E-2</v>
      </c>
      <c r="IU67" s="266">
        <f t="shared" si="242"/>
        <v>6.5000000000000002E-2</v>
      </c>
      <c r="IV67" s="266">
        <f t="shared" si="242"/>
        <v>6.5000000000000002E-2</v>
      </c>
      <c r="IW67" s="266">
        <f t="shared" si="242"/>
        <v>6.5000000000000002E-2</v>
      </c>
      <c r="IX67" s="266">
        <f t="shared" si="242"/>
        <v>6.5000000000000002E-2</v>
      </c>
      <c r="IY67" s="266">
        <f t="shared" si="242"/>
        <v>6.5000000000000002E-2</v>
      </c>
      <c r="IZ67" s="266">
        <f t="shared" si="242"/>
        <v>6.5000000000000002E-2</v>
      </c>
      <c r="JA67" s="266">
        <f t="shared" si="242"/>
        <v>6.5000000000000002E-2</v>
      </c>
      <c r="JB67" s="266">
        <f t="shared" si="242"/>
        <v>6.5000000000000002E-2</v>
      </c>
      <c r="JC67" s="266">
        <f t="shared" si="242"/>
        <v>6.5000000000000002E-2</v>
      </c>
      <c r="JD67" s="266">
        <f t="shared" si="242"/>
        <v>6.5000000000000002E-2</v>
      </c>
      <c r="JE67" s="266">
        <f t="shared" si="242"/>
        <v>6.5000000000000002E-2</v>
      </c>
      <c r="JF67" s="266">
        <f t="shared" si="242"/>
        <v>6.5000000000000002E-2</v>
      </c>
      <c r="JG67" s="266">
        <f t="shared" si="242"/>
        <v>6.5000000000000002E-2</v>
      </c>
      <c r="JH67" s="266">
        <f t="shared" si="242"/>
        <v>6.5000000000000002E-2</v>
      </c>
      <c r="JI67" s="266">
        <f t="shared" si="242"/>
        <v>6.5000000000000002E-2</v>
      </c>
      <c r="JJ67" s="266">
        <f t="shared" si="242"/>
        <v>6.5000000000000002E-2</v>
      </c>
      <c r="JK67" s="266">
        <f t="shared" si="242"/>
        <v>6.5000000000000002E-2</v>
      </c>
      <c r="JL67" s="266">
        <f t="shared" si="242"/>
        <v>6.5000000000000002E-2</v>
      </c>
      <c r="JM67" s="266">
        <f t="shared" si="242"/>
        <v>6.5000000000000002E-2</v>
      </c>
      <c r="JN67" s="266">
        <f t="shared" si="242"/>
        <v>6.5000000000000002E-2</v>
      </c>
      <c r="JO67" s="266">
        <f t="shared" si="242"/>
        <v>6.5000000000000002E-2</v>
      </c>
      <c r="JP67" s="266">
        <f t="shared" si="242"/>
        <v>6.5000000000000002E-2</v>
      </c>
      <c r="JQ67" s="266">
        <f t="shared" si="242"/>
        <v>6.5000000000000002E-2</v>
      </c>
      <c r="JR67" s="266">
        <f t="shared" si="242"/>
        <v>6.5000000000000002E-2</v>
      </c>
      <c r="JS67" s="266">
        <f t="shared" si="242"/>
        <v>6.5000000000000002E-2</v>
      </c>
      <c r="JT67" s="266">
        <f>IF(Fixed_Variable=1,EJ65,Interest_Const_Loan)</f>
        <v>6.5000000000000002E-2</v>
      </c>
      <c r="JU67" s="266">
        <f>IF(Fixed_Variable=1,EK65,Interest_Const_Loan)</f>
        <v>6.5000000000000002E-2</v>
      </c>
      <c r="JV67" s="266">
        <f>IF(Fixed_Variable=1,EL65,Interest_Const_Loan)</f>
        <v>6.5000000000000002E-2</v>
      </c>
      <c r="JW67" s="266">
        <f>IF(Fixed_Variable=1,EM65,Interest_Const_Loan)</f>
        <v>6.5000000000000002E-2</v>
      </c>
      <c r="JX67" s="266">
        <f>IF(Fixed_Variable=1,EN65,Interest_Const_Loan)</f>
        <v>6.5000000000000002E-2</v>
      </c>
      <c r="JY67"/>
      <c r="JZ67" s="262"/>
      <c r="KA67" s="262"/>
      <c r="KB67" s="262"/>
      <c r="KC67" s="262"/>
      <c r="KD67" s="262"/>
      <c r="KE67" s="262"/>
      <c r="KF67" s="262"/>
      <c r="KG67" s="262"/>
      <c r="KH67" s="262"/>
      <c r="KI67" s="262"/>
      <c r="KJ67" s="262"/>
      <c r="KK67" s="262"/>
      <c r="KL67" s="262"/>
      <c r="KM67" s="262"/>
      <c r="KN67" s="262"/>
      <c r="KO67" s="262"/>
      <c r="KP67" s="262"/>
      <c r="KQ67" s="262"/>
      <c r="KR67" s="262"/>
      <c r="KS67" s="262"/>
      <c r="KT67" s="262"/>
      <c r="KU67" s="262"/>
      <c r="KV67" s="262"/>
      <c r="KW67" s="262"/>
      <c r="KX67" s="262"/>
      <c r="KY67" s="262"/>
      <c r="KZ67" s="262"/>
      <c r="LA67" s="262"/>
      <c r="LB67" s="262"/>
      <c r="LC67" s="262"/>
      <c r="LD67" s="262"/>
      <c r="LE67" s="262"/>
      <c r="LF67" s="262"/>
      <c r="LG67" s="262"/>
      <c r="LH67" s="262"/>
      <c r="LI67" s="262"/>
      <c r="LJ67" s="262"/>
      <c r="LK67" s="262"/>
      <c r="LL67" s="262"/>
      <c r="LM67" s="262"/>
      <c r="LN67" s="262"/>
      <c r="LO67" s="262"/>
      <c r="LP67" s="262"/>
      <c r="LQ67" s="262"/>
      <c r="LR67" s="262"/>
      <c r="LS67" s="262"/>
      <c r="LT67" s="262"/>
      <c r="LU67" s="262"/>
      <c r="LV67" s="262"/>
      <c r="LW67" s="262"/>
      <c r="LX67" s="262"/>
      <c r="LY67" s="262"/>
      <c r="LZ67" s="262"/>
      <c r="MA67" s="262"/>
      <c r="MB67" s="262"/>
      <c r="MC67" s="262"/>
      <c r="MD67" s="262"/>
      <c r="ME67" s="262"/>
      <c r="MF67" s="262"/>
      <c r="MG67" s="262"/>
      <c r="MH67" s="262"/>
      <c r="MI67" s="262"/>
      <c r="MJ67" s="262"/>
      <c r="MK67" s="262"/>
      <c r="ML67" s="262"/>
      <c r="MM67" s="262"/>
      <c r="MN67" s="262"/>
      <c r="MO67" s="262"/>
      <c r="MP67" s="262"/>
      <c r="MQ67" s="262"/>
      <c r="MR67" s="262"/>
      <c r="MS67" s="262"/>
      <c r="MT67" s="262"/>
      <c r="MU67" s="262"/>
      <c r="MV67" s="262"/>
      <c r="MW67" s="262"/>
      <c r="MX67" s="262"/>
      <c r="MY67" s="262"/>
      <c r="MZ67" s="262"/>
      <c r="NA67" s="262"/>
      <c r="NB67" s="262"/>
      <c r="NC67" s="262"/>
      <c r="ND67" s="262"/>
      <c r="NE67" s="262"/>
      <c r="NF67" s="262"/>
      <c r="NG67" s="262"/>
      <c r="NH67" s="262"/>
      <c r="NI67" s="262"/>
      <c r="NJ67" s="262"/>
      <c r="NK67" s="262"/>
      <c r="NL67" s="262"/>
      <c r="NM67" s="262"/>
      <c r="NN67" s="262"/>
      <c r="NO67" s="262"/>
      <c r="NP67" s="262"/>
      <c r="NQ67" s="262"/>
      <c r="NR67" s="262"/>
      <c r="NS67" s="262"/>
      <c r="NT67" s="262"/>
      <c r="NU67" s="262"/>
      <c r="NV67" s="262"/>
      <c r="NW67" s="262"/>
      <c r="NX67" s="262"/>
      <c r="NY67" s="262"/>
      <c r="NZ67" s="262"/>
      <c r="OA67" s="262"/>
      <c r="OB67" s="262"/>
      <c r="OC67" s="262"/>
      <c r="OD67" s="262"/>
      <c r="OE67" s="262"/>
      <c r="OF67" s="262"/>
      <c r="OG67" s="262"/>
      <c r="OH67" s="262"/>
      <c r="OI67" s="262"/>
      <c r="OJ67" s="262"/>
      <c r="OK67" s="262"/>
      <c r="OL67" s="262"/>
      <c r="OM67" s="262"/>
      <c r="ON67" s="262"/>
      <c r="OO67" s="262"/>
      <c r="OP67" s="262"/>
      <c r="OQ67" s="262"/>
      <c r="OR67" s="262"/>
      <c r="OS67" s="262"/>
      <c r="OT67" s="262"/>
      <c r="OU67" s="262"/>
      <c r="OV67" s="262"/>
      <c r="OW67" s="262"/>
      <c r="OX67" s="262"/>
      <c r="OY67" s="262"/>
      <c r="OZ67" s="262"/>
      <c r="PA67" s="262"/>
      <c r="PB67" s="262"/>
      <c r="PC67" s="262"/>
      <c r="PD67" s="262"/>
      <c r="PE67" s="262"/>
      <c r="PF67" s="262"/>
      <c r="PG67" s="262"/>
      <c r="PH67" s="262"/>
    </row>
    <row r="68" spans="1:424" x14ac:dyDescent="0.35">
      <c r="A68"/>
      <c r="B68" s="411" t="s">
        <v>192</v>
      </c>
      <c r="C68" s="400"/>
      <c r="D68" s="400"/>
      <c r="E68" s="400"/>
      <c r="F68" s="412" t="s">
        <v>172</v>
      </c>
      <c r="G68" s="135"/>
      <c r="H68" s="135">
        <f>+H59</f>
        <v>0</v>
      </c>
      <c r="I68" s="412" t="s">
        <v>135</v>
      </c>
      <c r="J68"/>
      <c r="K68"/>
      <c r="L68" s="196">
        <f t="shared" ref="L68:AQ68" si="243">L3</f>
        <v>0</v>
      </c>
      <c r="M68" s="196">
        <f t="shared" si="243"/>
        <v>1</v>
      </c>
      <c r="N68" s="196">
        <f t="shared" si="243"/>
        <v>2</v>
      </c>
      <c r="O68" s="196">
        <f t="shared" si="243"/>
        <v>3</v>
      </c>
      <c r="P68" s="196">
        <f t="shared" si="243"/>
        <v>4</v>
      </c>
      <c r="Q68" s="196">
        <f t="shared" si="243"/>
        <v>5</v>
      </c>
      <c r="R68" s="196">
        <f t="shared" si="243"/>
        <v>6</v>
      </c>
      <c r="S68" s="196">
        <f t="shared" si="243"/>
        <v>7</v>
      </c>
      <c r="T68" s="196">
        <f t="shared" si="243"/>
        <v>8</v>
      </c>
      <c r="U68" s="196">
        <f t="shared" si="243"/>
        <v>9</v>
      </c>
      <c r="V68" s="196">
        <f t="shared" si="243"/>
        <v>10</v>
      </c>
      <c r="W68" s="196">
        <f t="shared" si="243"/>
        <v>11</v>
      </c>
      <c r="X68" s="196">
        <f t="shared" si="243"/>
        <v>12</v>
      </c>
      <c r="Y68" s="196">
        <f t="shared" si="243"/>
        <v>13</v>
      </c>
      <c r="Z68" s="196">
        <f t="shared" si="243"/>
        <v>14</v>
      </c>
      <c r="AA68" s="196">
        <f t="shared" si="243"/>
        <v>15</v>
      </c>
      <c r="AB68" s="196">
        <f t="shared" si="243"/>
        <v>16</v>
      </c>
      <c r="AC68" s="196">
        <f t="shared" si="243"/>
        <v>17</v>
      </c>
      <c r="AD68" s="196">
        <f t="shared" si="243"/>
        <v>18</v>
      </c>
      <c r="AE68" s="196">
        <f t="shared" si="243"/>
        <v>19</v>
      </c>
      <c r="AF68" s="196">
        <f t="shared" si="243"/>
        <v>20</v>
      </c>
      <c r="AG68" s="196">
        <f t="shared" si="243"/>
        <v>21</v>
      </c>
      <c r="AH68" s="196">
        <f t="shared" si="243"/>
        <v>22</v>
      </c>
      <c r="AI68" s="196">
        <f t="shared" si="243"/>
        <v>23</v>
      </c>
      <c r="AJ68" s="196">
        <f t="shared" si="243"/>
        <v>24</v>
      </c>
      <c r="AK68" s="196">
        <f t="shared" si="243"/>
        <v>25</v>
      </c>
      <c r="AL68" s="196">
        <f t="shared" si="243"/>
        <v>26</v>
      </c>
      <c r="AM68" s="196">
        <f t="shared" si="243"/>
        <v>27</v>
      </c>
      <c r="AN68" s="196">
        <f t="shared" si="243"/>
        <v>28</v>
      </c>
      <c r="AO68" s="196">
        <f t="shared" si="243"/>
        <v>29</v>
      </c>
      <c r="AP68" s="196">
        <f t="shared" si="243"/>
        <v>30</v>
      </c>
      <c r="AQ68" s="196">
        <f t="shared" si="243"/>
        <v>31</v>
      </c>
      <c r="AR68" s="196">
        <f t="shared" ref="AR68:BW68" si="244">AR3</f>
        <v>32</v>
      </c>
      <c r="AS68" s="196">
        <f t="shared" si="244"/>
        <v>33</v>
      </c>
      <c r="AT68" s="196">
        <f t="shared" si="244"/>
        <v>34</v>
      </c>
      <c r="AU68" s="196">
        <f t="shared" si="244"/>
        <v>35</v>
      </c>
      <c r="AV68" s="196">
        <f t="shared" si="244"/>
        <v>36</v>
      </c>
      <c r="AW68" s="196">
        <f t="shared" si="244"/>
        <v>37</v>
      </c>
      <c r="AX68" s="196">
        <f t="shared" si="244"/>
        <v>38</v>
      </c>
      <c r="AY68" s="196">
        <f t="shared" si="244"/>
        <v>39</v>
      </c>
      <c r="AZ68" s="196">
        <f t="shared" si="244"/>
        <v>40</v>
      </c>
      <c r="BA68" s="196">
        <f t="shared" si="244"/>
        <v>41</v>
      </c>
      <c r="BB68" s="196">
        <f t="shared" si="244"/>
        <v>42</v>
      </c>
      <c r="BC68" s="196">
        <f t="shared" si="244"/>
        <v>43</v>
      </c>
      <c r="BD68" s="196">
        <f t="shared" si="244"/>
        <v>44</v>
      </c>
      <c r="BE68" s="196">
        <f t="shared" si="244"/>
        <v>45</v>
      </c>
      <c r="BF68" s="196">
        <f t="shared" si="244"/>
        <v>46</v>
      </c>
      <c r="BG68" s="196">
        <f t="shared" si="244"/>
        <v>47</v>
      </c>
      <c r="BH68" s="196">
        <f t="shared" si="244"/>
        <v>48</v>
      </c>
      <c r="BI68" s="196">
        <f t="shared" si="244"/>
        <v>49</v>
      </c>
      <c r="BJ68" s="196">
        <f t="shared" si="244"/>
        <v>50</v>
      </c>
      <c r="BK68" s="196">
        <f t="shared" si="244"/>
        <v>51</v>
      </c>
      <c r="BL68" s="196">
        <f t="shared" si="244"/>
        <v>52</v>
      </c>
      <c r="BM68" s="196">
        <f t="shared" si="244"/>
        <v>53</v>
      </c>
      <c r="BN68" s="196">
        <f t="shared" si="244"/>
        <v>54</v>
      </c>
      <c r="BO68" s="196">
        <f t="shared" si="244"/>
        <v>55</v>
      </c>
      <c r="BP68" s="196">
        <f t="shared" si="244"/>
        <v>56</v>
      </c>
      <c r="BQ68" s="196">
        <f t="shared" si="244"/>
        <v>57</v>
      </c>
      <c r="BR68" s="196">
        <f t="shared" si="244"/>
        <v>58</v>
      </c>
      <c r="BS68" s="196">
        <f t="shared" si="244"/>
        <v>59</v>
      </c>
      <c r="BT68" s="196">
        <f t="shared" si="244"/>
        <v>60</v>
      </c>
      <c r="BU68" s="196">
        <f t="shared" si="244"/>
        <v>61</v>
      </c>
      <c r="BV68" s="196">
        <f t="shared" si="244"/>
        <v>62</v>
      </c>
      <c r="BW68" s="196">
        <f t="shared" si="244"/>
        <v>63</v>
      </c>
      <c r="BX68" s="196">
        <f t="shared" ref="BX68:DC68" si="245">BX3</f>
        <v>64</v>
      </c>
      <c r="BY68" s="196">
        <f t="shared" si="245"/>
        <v>65</v>
      </c>
      <c r="BZ68" s="196">
        <f t="shared" si="245"/>
        <v>66</v>
      </c>
      <c r="CA68" s="196">
        <f t="shared" si="245"/>
        <v>67</v>
      </c>
      <c r="CB68" s="196">
        <f t="shared" si="245"/>
        <v>68</v>
      </c>
      <c r="CC68" s="196">
        <f t="shared" si="245"/>
        <v>69</v>
      </c>
      <c r="CD68" s="196">
        <f t="shared" si="245"/>
        <v>70</v>
      </c>
      <c r="CE68" s="196">
        <f t="shared" si="245"/>
        <v>71</v>
      </c>
      <c r="CF68" s="196">
        <f t="shared" si="245"/>
        <v>72</v>
      </c>
      <c r="CG68" s="196">
        <f t="shared" si="245"/>
        <v>73</v>
      </c>
      <c r="CH68" s="196">
        <f t="shared" si="245"/>
        <v>74</v>
      </c>
      <c r="CI68" s="196">
        <f t="shared" si="245"/>
        <v>75</v>
      </c>
      <c r="CJ68" s="196">
        <f t="shared" si="245"/>
        <v>76</v>
      </c>
      <c r="CK68" s="196">
        <f t="shared" si="245"/>
        <v>77</v>
      </c>
      <c r="CL68" s="196">
        <f t="shared" si="245"/>
        <v>78</v>
      </c>
      <c r="CM68" s="196">
        <f t="shared" si="245"/>
        <v>79</v>
      </c>
      <c r="CN68" s="196">
        <f t="shared" si="245"/>
        <v>80</v>
      </c>
      <c r="CO68" s="196">
        <f t="shared" si="245"/>
        <v>81</v>
      </c>
      <c r="CP68" s="196">
        <f t="shared" si="245"/>
        <v>82</v>
      </c>
      <c r="CQ68" s="196">
        <f t="shared" si="245"/>
        <v>83</v>
      </c>
      <c r="CR68" s="196">
        <f t="shared" si="245"/>
        <v>84</v>
      </c>
      <c r="CS68" s="196">
        <f t="shared" si="245"/>
        <v>85</v>
      </c>
      <c r="CT68" s="196">
        <f t="shared" si="245"/>
        <v>86</v>
      </c>
      <c r="CU68" s="196">
        <f t="shared" si="245"/>
        <v>87</v>
      </c>
      <c r="CV68" s="196">
        <f t="shared" si="245"/>
        <v>88</v>
      </c>
      <c r="CW68" s="196">
        <f t="shared" si="245"/>
        <v>89</v>
      </c>
      <c r="CX68" s="196">
        <f t="shared" si="245"/>
        <v>90</v>
      </c>
      <c r="CY68" s="196">
        <f t="shared" si="245"/>
        <v>91</v>
      </c>
      <c r="CZ68" s="196">
        <f t="shared" si="245"/>
        <v>92</v>
      </c>
      <c r="DA68" s="196">
        <f t="shared" si="245"/>
        <v>93</v>
      </c>
      <c r="DB68" s="196">
        <f t="shared" si="245"/>
        <v>94</v>
      </c>
      <c r="DC68" s="196">
        <f t="shared" si="245"/>
        <v>95</v>
      </c>
      <c r="DD68" s="196">
        <f t="shared" ref="DD68:EN68" si="246">DD3</f>
        <v>96</v>
      </c>
      <c r="DE68" s="196">
        <f t="shared" si="246"/>
        <v>97</v>
      </c>
      <c r="DF68" s="196">
        <f t="shared" si="246"/>
        <v>98</v>
      </c>
      <c r="DG68" s="196">
        <f t="shared" si="246"/>
        <v>99</v>
      </c>
      <c r="DH68" s="196">
        <f t="shared" si="246"/>
        <v>100</v>
      </c>
      <c r="DI68" s="196">
        <f t="shared" si="246"/>
        <v>101</v>
      </c>
      <c r="DJ68" s="196">
        <f t="shared" si="246"/>
        <v>102</v>
      </c>
      <c r="DK68" s="196">
        <f t="shared" si="246"/>
        <v>103</v>
      </c>
      <c r="DL68" s="196">
        <f t="shared" si="246"/>
        <v>104</v>
      </c>
      <c r="DM68" s="196">
        <f t="shared" si="246"/>
        <v>105</v>
      </c>
      <c r="DN68" s="196">
        <f t="shared" si="246"/>
        <v>106</v>
      </c>
      <c r="DO68" s="196">
        <f t="shared" si="246"/>
        <v>107</v>
      </c>
      <c r="DP68" s="196">
        <f t="shared" si="246"/>
        <v>108</v>
      </c>
      <c r="DQ68" s="196">
        <f t="shared" si="246"/>
        <v>109</v>
      </c>
      <c r="DR68" s="196">
        <f t="shared" si="246"/>
        <v>110</v>
      </c>
      <c r="DS68" s="196">
        <f t="shared" si="246"/>
        <v>111</v>
      </c>
      <c r="DT68" s="196">
        <f t="shared" si="246"/>
        <v>112</v>
      </c>
      <c r="DU68" s="196">
        <f t="shared" si="246"/>
        <v>113</v>
      </c>
      <c r="DV68" s="196">
        <f t="shared" si="246"/>
        <v>114</v>
      </c>
      <c r="DW68" s="196">
        <f t="shared" si="246"/>
        <v>115</v>
      </c>
      <c r="DX68" s="196">
        <f t="shared" si="246"/>
        <v>116</v>
      </c>
      <c r="DY68" s="196">
        <f t="shared" si="246"/>
        <v>117</v>
      </c>
      <c r="DZ68" s="196">
        <f t="shared" si="246"/>
        <v>118</v>
      </c>
      <c r="EA68" s="196">
        <f t="shared" si="246"/>
        <v>119</v>
      </c>
      <c r="EB68" s="196">
        <f t="shared" si="246"/>
        <v>120</v>
      </c>
      <c r="EC68" s="196">
        <f t="shared" si="246"/>
        <v>121</v>
      </c>
      <c r="ED68" s="196">
        <f t="shared" si="246"/>
        <v>122</v>
      </c>
      <c r="EE68" s="196">
        <f t="shared" si="246"/>
        <v>123</v>
      </c>
      <c r="EF68" s="196">
        <f t="shared" si="246"/>
        <v>124</v>
      </c>
      <c r="EG68" s="196">
        <f t="shared" si="246"/>
        <v>125</v>
      </c>
      <c r="EH68" s="196">
        <f t="shared" si="246"/>
        <v>126</v>
      </c>
      <c r="EI68" s="196">
        <f t="shared" si="246"/>
        <v>127</v>
      </c>
      <c r="EJ68" s="196">
        <f t="shared" si="246"/>
        <v>128</v>
      </c>
      <c r="EK68" s="196">
        <f t="shared" si="246"/>
        <v>129</v>
      </c>
      <c r="EL68" s="196">
        <f t="shared" si="246"/>
        <v>130</v>
      </c>
      <c r="EM68" s="196">
        <f t="shared" si="246"/>
        <v>131</v>
      </c>
      <c r="EN68" s="196">
        <f t="shared" si="246"/>
        <v>132</v>
      </c>
      <c r="EO68"/>
      <c r="EP68" s="409" t="s">
        <v>193</v>
      </c>
      <c r="EQ68" s="18"/>
      <c r="ER68" s="18"/>
      <c r="ES68" s="18"/>
      <c r="ET68" s="18" t="s">
        <v>194</v>
      </c>
      <c r="EU68" s="20"/>
      <c r="EV68" s="266">
        <f t="shared" ref="EV68:GA68" si="247">IF(Fixed_Variable=1,L66,Interest_Mezz_Loan)</f>
        <v>0.15</v>
      </c>
      <c r="EW68" s="266">
        <f t="shared" si="247"/>
        <v>0.15</v>
      </c>
      <c r="EX68" s="266">
        <f t="shared" si="247"/>
        <v>0.15</v>
      </c>
      <c r="EY68" s="266">
        <f t="shared" si="247"/>
        <v>0.15</v>
      </c>
      <c r="EZ68" s="266">
        <f t="shared" si="247"/>
        <v>0.15</v>
      </c>
      <c r="FA68" s="266">
        <f t="shared" si="247"/>
        <v>0.15</v>
      </c>
      <c r="FB68" s="266">
        <f t="shared" si="247"/>
        <v>0.15</v>
      </c>
      <c r="FC68" s="266">
        <f t="shared" si="247"/>
        <v>0.15</v>
      </c>
      <c r="FD68" s="266">
        <f t="shared" si="247"/>
        <v>0.15</v>
      </c>
      <c r="FE68" s="266">
        <f t="shared" si="247"/>
        <v>0.15</v>
      </c>
      <c r="FF68" s="266">
        <f t="shared" si="247"/>
        <v>0.15</v>
      </c>
      <c r="FG68" s="266">
        <f t="shared" si="247"/>
        <v>0.15</v>
      </c>
      <c r="FH68" s="266">
        <f t="shared" si="247"/>
        <v>0.15</v>
      </c>
      <c r="FI68" s="266">
        <f t="shared" si="247"/>
        <v>0.15</v>
      </c>
      <c r="FJ68" s="266">
        <f t="shared" si="247"/>
        <v>0.15</v>
      </c>
      <c r="FK68" s="266">
        <f t="shared" si="247"/>
        <v>0.15</v>
      </c>
      <c r="FL68" s="266">
        <f t="shared" si="247"/>
        <v>0.15</v>
      </c>
      <c r="FM68" s="266">
        <f t="shared" si="247"/>
        <v>0.15</v>
      </c>
      <c r="FN68" s="266">
        <f t="shared" si="247"/>
        <v>0.15</v>
      </c>
      <c r="FO68" s="266">
        <f t="shared" si="247"/>
        <v>0.15</v>
      </c>
      <c r="FP68" s="266">
        <f t="shared" si="247"/>
        <v>0.15</v>
      </c>
      <c r="FQ68" s="266">
        <f t="shared" si="247"/>
        <v>0.15</v>
      </c>
      <c r="FR68" s="266">
        <f t="shared" si="247"/>
        <v>0.15</v>
      </c>
      <c r="FS68" s="266">
        <f t="shared" si="247"/>
        <v>0.15</v>
      </c>
      <c r="FT68" s="266">
        <f t="shared" si="247"/>
        <v>0.15</v>
      </c>
      <c r="FU68" s="266">
        <f t="shared" si="247"/>
        <v>0.15</v>
      </c>
      <c r="FV68" s="266">
        <f t="shared" si="247"/>
        <v>0.15</v>
      </c>
      <c r="FW68" s="266">
        <f t="shared" si="247"/>
        <v>0.15</v>
      </c>
      <c r="FX68" s="266">
        <f t="shared" si="247"/>
        <v>0.15</v>
      </c>
      <c r="FY68" s="266">
        <f t="shared" si="247"/>
        <v>0.15</v>
      </c>
      <c r="FZ68" s="266">
        <f t="shared" si="247"/>
        <v>0.15</v>
      </c>
      <c r="GA68" s="266">
        <f t="shared" si="247"/>
        <v>0.15</v>
      </c>
      <c r="GB68" s="266">
        <f t="shared" ref="GB68:HG68" si="248">IF(Fixed_Variable=1,AR66,Interest_Mezz_Loan)</f>
        <v>0.15</v>
      </c>
      <c r="GC68" s="266">
        <f t="shared" si="248"/>
        <v>0.15</v>
      </c>
      <c r="GD68" s="266">
        <f t="shared" si="248"/>
        <v>0.15</v>
      </c>
      <c r="GE68" s="266">
        <f t="shared" si="248"/>
        <v>0.15</v>
      </c>
      <c r="GF68" s="266">
        <f t="shared" si="248"/>
        <v>0.15</v>
      </c>
      <c r="GG68" s="266">
        <f t="shared" si="248"/>
        <v>0.15</v>
      </c>
      <c r="GH68" s="266">
        <f t="shared" si="248"/>
        <v>0.15</v>
      </c>
      <c r="GI68" s="266">
        <f t="shared" si="248"/>
        <v>0.15</v>
      </c>
      <c r="GJ68" s="266">
        <f t="shared" si="248"/>
        <v>0.15</v>
      </c>
      <c r="GK68" s="266">
        <f t="shared" si="248"/>
        <v>0.15</v>
      </c>
      <c r="GL68" s="266">
        <f t="shared" si="248"/>
        <v>0.15</v>
      </c>
      <c r="GM68" s="266">
        <f t="shared" si="248"/>
        <v>0.15</v>
      </c>
      <c r="GN68" s="266">
        <f t="shared" si="248"/>
        <v>0.15</v>
      </c>
      <c r="GO68" s="266">
        <f t="shared" si="248"/>
        <v>0.15</v>
      </c>
      <c r="GP68" s="266">
        <f t="shared" si="248"/>
        <v>0.15</v>
      </c>
      <c r="GQ68" s="266">
        <f t="shared" si="248"/>
        <v>0.15</v>
      </c>
      <c r="GR68" s="266">
        <f t="shared" si="248"/>
        <v>0.15</v>
      </c>
      <c r="GS68" s="266">
        <f t="shared" si="248"/>
        <v>0.15</v>
      </c>
      <c r="GT68" s="266">
        <f t="shared" si="248"/>
        <v>0.15</v>
      </c>
      <c r="GU68" s="266">
        <f t="shared" si="248"/>
        <v>0.15</v>
      </c>
      <c r="GV68" s="266">
        <f t="shared" si="248"/>
        <v>0.15</v>
      </c>
      <c r="GW68" s="266">
        <f t="shared" si="248"/>
        <v>0.15</v>
      </c>
      <c r="GX68" s="266">
        <f t="shared" si="248"/>
        <v>0.15</v>
      </c>
      <c r="GY68" s="266">
        <f t="shared" si="248"/>
        <v>0.15</v>
      </c>
      <c r="GZ68" s="266">
        <f t="shared" si="248"/>
        <v>0.15</v>
      </c>
      <c r="HA68" s="266">
        <f t="shared" si="248"/>
        <v>0.15</v>
      </c>
      <c r="HB68" s="266">
        <f t="shared" si="248"/>
        <v>0.15</v>
      </c>
      <c r="HC68" s="266">
        <f t="shared" si="248"/>
        <v>0.15</v>
      </c>
      <c r="HD68" s="266">
        <f t="shared" si="248"/>
        <v>0.15</v>
      </c>
      <c r="HE68" s="266">
        <f t="shared" si="248"/>
        <v>0.15</v>
      </c>
      <c r="HF68" s="266">
        <f t="shared" si="248"/>
        <v>0.15</v>
      </c>
      <c r="HG68" s="266">
        <f t="shared" si="248"/>
        <v>0.15</v>
      </c>
      <c r="HH68" s="266">
        <f t="shared" ref="HH68:IM68" si="249">IF(Fixed_Variable=1,BX66,Interest_Mezz_Loan)</f>
        <v>0.15</v>
      </c>
      <c r="HI68" s="266">
        <f t="shared" si="249"/>
        <v>0.15</v>
      </c>
      <c r="HJ68" s="266">
        <f t="shared" si="249"/>
        <v>0.15</v>
      </c>
      <c r="HK68" s="266">
        <f t="shared" si="249"/>
        <v>0.15</v>
      </c>
      <c r="HL68" s="266">
        <f t="shared" si="249"/>
        <v>0.15</v>
      </c>
      <c r="HM68" s="266">
        <f t="shared" si="249"/>
        <v>0.15</v>
      </c>
      <c r="HN68" s="266">
        <f t="shared" si="249"/>
        <v>0.15</v>
      </c>
      <c r="HO68" s="266">
        <f t="shared" si="249"/>
        <v>0.15</v>
      </c>
      <c r="HP68" s="266">
        <f t="shared" si="249"/>
        <v>0.15</v>
      </c>
      <c r="HQ68" s="266">
        <f t="shared" si="249"/>
        <v>0.15</v>
      </c>
      <c r="HR68" s="266">
        <f t="shared" si="249"/>
        <v>0.15</v>
      </c>
      <c r="HS68" s="266">
        <f t="shared" si="249"/>
        <v>0.15</v>
      </c>
      <c r="HT68" s="266">
        <f t="shared" si="249"/>
        <v>0.15</v>
      </c>
      <c r="HU68" s="266">
        <f t="shared" si="249"/>
        <v>0.15</v>
      </c>
      <c r="HV68" s="266">
        <f t="shared" si="249"/>
        <v>0.15</v>
      </c>
      <c r="HW68" s="266">
        <f t="shared" si="249"/>
        <v>0.15</v>
      </c>
      <c r="HX68" s="266">
        <f t="shared" si="249"/>
        <v>0.15</v>
      </c>
      <c r="HY68" s="266">
        <f t="shared" si="249"/>
        <v>0.15</v>
      </c>
      <c r="HZ68" s="266">
        <f t="shared" si="249"/>
        <v>0.15</v>
      </c>
      <c r="IA68" s="266">
        <f t="shared" si="249"/>
        <v>0.15</v>
      </c>
      <c r="IB68" s="266">
        <f t="shared" si="249"/>
        <v>0.15</v>
      </c>
      <c r="IC68" s="266">
        <f t="shared" si="249"/>
        <v>0.15</v>
      </c>
      <c r="ID68" s="266">
        <f t="shared" si="249"/>
        <v>0.15</v>
      </c>
      <c r="IE68" s="266">
        <f t="shared" si="249"/>
        <v>0.15</v>
      </c>
      <c r="IF68" s="266">
        <f t="shared" si="249"/>
        <v>0.15</v>
      </c>
      <c r="IG68" s="266">
        <f t="shared" si="249"/>
        <v>0.15</v>
      </c>
      <c r="IH68" s="266">
        <f t="shared" si="249"/>
        <v>0.15</v>
      </c>
      <c r="II68" s="266">
        <f t="shared" si="249"/>
        <v>0.15</v>
      </c>
      <c r="IJ68" s="266">
        <f t="shared" si="249"/>
        <v>0.15</v>
      </c>
      <c r="IK68" s="266">
        <f t="shared" si="249"/>
        <v>0.15</v>
      </c>
      <c r="IL68" s="266">
        <f t="shared" si="249"/>
        <v>0.15</v>
      </c>
      <c r="IM68" s="266">
        <f t="shared" si="249"/>
        <v>0.15</v>
      </c>
      <c r="IN68" s="266">
        <f t="shared" ref="IN68:JS68" si="250">IF(Fixed_Variable=1,DD66,Interest_Mezz_Loan)</f>
        <v>0.15</v>
      </c>
      <c r="IO68" s="266">
        <f t="shared" si="250"/>
        <v>0.15</v>
      </c>
      <c r="IP68" s="266">
        <f t="shared" si="250"/>
        <v>0.15</v>
      </c>
      <c r="IQ68" s="266">
        <f t="shared" si="250"/>
        <v>0.15</v>
      </c>
      <c r="IR68" s="266">
        <f t="shared" si="250"/>
        <v>0.15</v>
      </c>
      <c r="IS68" s="266">
        <f t="shared" si="250"/>
        <v>0.15</v>
      </c>
      <c r="IT68" s="266">
        <f t="shared" si="250"/>
        <v>0.15</v>
      </c>
      <c r="IU68" s="266">
        <f t="shared" si="250"/>
        <v>0.15</v>
      </c>
      <c r="IV68" s="266">
        <f t="shared" si="250"/>
        <v>0.15</v>
      </c>
      <c r="IW68" s="266">
        <f t="shared" si="250"/>
        <v>0.15</v>
      </c>
      <c r="IX68" s="266">
        <f t="shared" si="250"/>
        <v>0.15</v>
      </c>
      <c r="IY68" s="266">
        <f t="shared" si="250"/>
        <v>0.15</v>
      </c>
      <c r="IZ68" s="266">
        <f t="shared" si="250"/>
        <v>0.15</v>
      </c>
      <c r="JA68" s="266">
        <f t="shared" si="250"/>
        <v>0.15</v>
      </c>
      <c r="JB68" s="266">
        <f t="shared" si="250"/>
        <v>0.15</v>
      </c>
      <c r="JC68" s="266">
        <f t="shared" si="250"/>
        <v>0.15</v>
      </c>
      <c r="JD68" s="266">
        <f t="shared" si="250"/>
        <v>0.15</v>
      </c>
      <c r="JE68" s="266">
        <f t="shared" si="250"/>
        <v>0.15</v>
      </c>
      <c r="JF68" s="266">
        <f t="shared" si="250"/>
        <v>0.15</v>
      </c>
      <c r="JG68" s="266">
        <f t="shared" si="250"/>
        <v>0.15</v>
      </c>
      <c r="JH68" s="266">
        <f t="shared" si="250"/>
        <v>0.15</v>
      </c>
      <c r="JI68" s="266">
        <f t="shared" si="250"/>
        <v>0.15</v>
      </c>
      <c r="JJ68" s="266">
        <f t="shared" si="250"/>
        <v>0.15</v>
      </c>
      <c r="JK68" s="266">
        <f t="shared" si="250"/>
        <v>0.15</v>
      </c>
      <c r="JL68" s="266">
        <f t="shared" si="250"/>
        <v>0.15</v>
      </c>
      <c r="JM68" s="266">
        <f t="shared" si="250"/>
        <v>0.15</v>
      </c>
      <c r="JN68" s="266">
        <f t="shared" si="250"/>
        <v>0.15</v>
      </c>
      <c r="JO68" s="266">
        <f t="shared" si="250"/>
        <v>0.15</v>
      </c>
      <c r="JP68" s="266">
        <f t="shared" si="250"/>
        <v>0.15</v>
      </c>
      <c r="JQ68" s="266">
        <f t="shared" si="250"/>
        <v>0.15</v>
      </c>
      <c r="JR68" s="266">
        <f t="shared" si="250"/>
        <v>0.15</v>
      </c>
      <c r="JS68" s="266">
        <f t="shared" si="250"/>
        <v>0.15</v>
      </c>
      <c r="JT68" s="266">
        <f>IF(Fixed_Variable=1,EJ66,Interest_Mezz_Loan)</f>
        <v>0.15</v>
      </c>
      <c r="JU68" s="266">
        <f>IF(Fixed_Variable=1,EK66,Interest_Mezz_Loan)</f>
        <v>0.15</v>
      </c>
      <c r="JV68" s="266">
        <f>IF(Fixed_Variable=1,EL66,Interest_Mezz_Loan)</f>
        <v>0.15</v>
      </c>
      <c r="JW68" s="266">
        <f>IF(Fixed_Variable=1,EM66,Interest_Mezz_Loan)</f>
        <v>0.15</v>
      </c>
      <c r="JX68" s="266">
        <f>IF(Fixed_Variable=1,EN66,Interest_Mezz_Loan)</f>
        <v>0.15</v>
      </c>
      <c r="JY68"/>
      <c r="JZ68" s="262"/>
      <c r="KA68" s="262"/>
      <c r="KB68" s="262"/>
      <c r="KC68" s="262"/>
      <c r="KD68" s="262"/>
      <c r="KE68" s="262"/>
      <c r="KF68" s="262"/>
      <c r="KG68" s="262"/>
      <c r="KH68" s="262"/>
      <c r="KI68" s="262"/>
      <c r="KJ68" s="262"/>
      <c r="KK68" s="262"/>
      <c r="KL68" s="262"/>
      <c r="KM68" s="262"/>
      <c r="KN68" s="262"/>
      <c r="KO68" s="262"/>
      <c r="KP68" s="262"/>
      <c r="KQ68" s="262"/>
      <c r="KR68" s="262"/>
      <c r="KS68" s="262"/>
      <c r="KT68" s="262"/>
      <c r="KU68" s="262"/>
      <c r="KV68" s="262"/>
      <c r="KW68" s="262"/>
      <c r="KX68" s="262"/>
      <c r="KY68" s="262"/>
      <c r="KZ68" s="262"/>
      <c r="LA68" s="262"/>
      <c r="LB68" s="262"/>
      <c r="LC68" s="262"/>
      <c r="LD68" s="262"/>
      <c r="LE68" s="262"/>
      <c r="LF68" s="262"/>
      <c r="LG68" s="262"/>
      <c r="LH68" s="262"/>
      <c r="LI68" s="262"/>
      <c r="LJ68" s="262"/>
      <c r="LK68" s="262"/>
      <c r="LL68" s="262"/>
      <c r="LM68" s="262"/>
      <c r="LN68" s="262"/>
      <c r="LO68" s="262"/>
      <c r="LP68" s="262"/>
      <c r="LQ68" s="262"/>
      <c r="LR68" s="262"/>
      <c r="LS68" s="262"/>
      <c r="LT68" s="262"/>
      <c r="LU68" s="262"/>
      <c r="LV68" s="262"/>
      <c r="LW68" s="262"/>
      <c r="LX68" s="262"/>
      <c r="LY68" s="262"/>
      <c r="LZ68" s="262"/>
      <c r="MA68" s="262"/>
      <c r="MB68" s="262"/>
      <c r="MC68" s="262"/>
      <c r="MD68" s="262"/>
      <c r="ME68" s="262"/>
      <c r="MF68" s="262"/>
      <c r="MG68" s="262"/>
      <c r="MH68" s="262"/>
      <c r="MI68" s="262"/>
      <c r="MJ68" s="262"/>
      <c r="MK68" s="262"/>
      <c r="ML68" s="262"/>
      <c r="MM68" s="262"/>
      <c r="MN68" s="262"/>
      <c r="MO68" s="262"/>
      <c r="MP68" s="262"/>
      <c r="MQ68" s="262"/>
      <c r="MR68" s="262"/>
      <c r="MS68" s="262"/>
      <c r="MT68" s="262"/>
      <c r="MU68" s="262"/>
      <c r="MV68" s="262"/>
      <c r="MW68" s="262"/>
      <c r="MX68" s="262"/>
      <c r="MY68" s="262"/>
      <c r="MZ68" s="262"/>
      <c r="NA68" s="262"/>
      <c r="NB68" s="262"/>
      <c r="NC68" s="262"/>
      <c r="ND68" s="262"/>
      <c r="NE68" s="262"/>
      <c r="NF68" s="262"/>
      <c r="NG68" s="262"/>
      <c r="NH68" s="262"/>
      <c r="NI68" s="262"/>
      <c r="NJ68" s="262"/>
      <c r="NK68" s="262"/>
      <c r="NL68" s="262"/>
      <c r="NM68" s="262"/>
      <c r="NN68" s="262"/>
      <c r="NO68" s="262"/>
      <c r="NP68" s="262"/>
      <c r="NQ68" s="262"/>
      <c r="NR68" s="262"/>
      <c r="NS68" s="262"/>
      <c r="NT68" s="262"/>
      <c r="NU68" s="262"/>
      <c r="NV68" s="262"/>
      <c r="NW68" s="262"/>
      <c r="NX68" s="262"/>
      <c r="NY68" s="262"/>
      <c r="NZ68" s="262"/>
      <c r="OA68" s="262"/>
      <c r="OB68" s="262"/>
      <c r="OC68" s="262"/>
      <c r="OD68" s="262"/>
      <c r="OE68" s="262"/>
      <c r="OF68" s="262"/>
      <c r="OG68" s="262"/>
      <c r="OH68" s="262"/>
      <c r="OI68" s="262"/>
      <c r="OJ68" s="262"/>
      <c r="OK68" s="262"/>
      <c r="OL68" s="262"/>
      <c r="OM68" s="262"/>
      <c r="ON68" s="262"/>
      <c r="OO68" s="262"/>
      <c r="OP68" s="262"/>
      <c r="OQ68" s="262"/>
      <c r="OR68" s="262"/>
      <c r="OS68" s="262"/>
      <c r="OT68" s="262"/>
      <c r="OU68" s="262"/>
      <c r="OV68" s="262"/>
      <c r="OW68" s="262"/>
      <c r="OX68" s="262"/>
      <c r="OY68" s="262"/>
      <c r="OZ68" s="262"/>
      <c r="PA68" s="262"/>
      <c r="PB68" s="262"/>
      <c r="PC68" s="262"/>
      <c r="PD68" s="262"/>
      <c r="PE68" s="262"/>
      <c r="PF68" s="262"/>
      <c r="PG68" s="262"/>
      <c r="PH68" s="262"/>
    </row>
    <row r="69" spans="1:424" x14ac:dyDescent="0.35">
      <c r="A69"/>
      <c r="B69" s="444" t="s">
        <v>195</v>
      </c>
      <c r="C69" s="58"/>
      <c r="D69" s="400"/>
      <c r="E69" s="400"/>
      <c r="F69" s="52">
        <f>I69/Project_Cost_Total</f>
        <v>0.48047171410345801</v>
      </c>
      <c r="G69" s="134"/>
      <c r="H69" s="415">
        <f>I69/Units_SF_M2</f>
        <v>2748.3353194255906</v>
      </c>
      <c r="I69" s="37">
        <f>SUM(L69:EN69)</f>
        <v>215662916.8827475</v>
      </c>
      <c r="J69"/>
      <c r="K69"/>
      <c r="L69" s="417">
        <f t="shared" ref="L69:AQ69" si="251">MAX(0,SUM(L196,L52:L54)-L75)</f>
        <v>76389582.872717112</v>
      </c>
      <c r="M69" s="417">
        <f t="shared" si="251"/>
        <v>0</v>
      </c>
      <c r="N69" s="417">
        <f t="shared" si="251"/>
        <v>0</v>
      </c>
      <c r="O69" s="417">
        <f t="shared" si="251"/>
        <v>0</v>
      </c>
      <c r="P69" s="417">
        <f t="shared" si="251"/>
        <v>0</v>
      </c>
      <c r="Q69" s="417">
        <f t="shared" si="251"/>
        <v>0</v>
      </c>
      <c r="R69" s="417">
        <f t="shared" si="251"/>
        <v>0</v>
      </c>
      <c r="S69" s="417">
        <f t="shared" si="251"/>
        <v>0</v>
      </c>
      <c r="T69" s="417">
        <f t="shared" si="251"/>
        <v>0</v>
      </c>
      <c r="U69" s="417">
        <f t="shared" si="251"/>
        <v>0</v>
      </c>
      <c r="V69" s="417">
        <f t="shared" si="251"/>
        <v>0</v>
      </c>
      <c r="W69" s="417">
        <f t="shared" si="251"/>
        <v>0</v>
      </c>
      <c r="X69" s="417">
        <f t="shared" si="251"/>
        <v>0</v>
      </c>
      <c r="Y69" s="417">
        <f t="shared" si="251"/>
        <v>1932832.6541841328</v>
      </c>
      <c r="Z69" s="417">
        <f t="shared" si="251"/>
        <v>9018148.7201975472</v>
      </c>
      <c r="AA69" s="417">
        <f t="shared" si="251"/>
        <v>9899906.2401258312</v>
      </c>
      <c r="AB69" s="417">
        <f t="shared" si="251"/>
        <v>10594941.16352598</v>
      </c>
      <c r="AC69" s="417">
        <f t="shared" si="251"/>
        <v>11052921.895156011</v>
      </c>
      <c r="AD69" s="417">
        <f t="shared" si="251"/>
        <v>11239422.165153038</v>
      </c>
      <c r="AE69" s="417">
        <f t="shared" si="251"/>
        <v>11140198.701522876</v>
      </c>
      <c r="AF69" s="417">
        <f t="shared" si="251"/>
        <v>10717614.626966465</v>
      </c>
      <c r="AG69" s="417">
        <f t="shared" si="251"/>
        <v>9958489.4848614372</v>
      </c>
      <c r="AH69" s="417">
        <f t="shared" si="251"/>
        <v>9009642.7212263867</v>
      </c>
      <c r="AI69" s="417">
        <f t="shared" si="251"/>
        <v>7937236.9224123061</v>
      </c>
      <c r="AJ69" s="417">
        <f t="shared" si="251"/>
        <v>6809936.3983054236</v>
      </c>
      <c r="AK69" s="417">
        <f t="shared" si="251"/>
        <v>5691768.1681506895</v>
      </c>
      <c r="AL69" s="417">
        <f t="shared" si="251"/>
        <v>4636441.3020178862</v>
      </c>
      <c r="AM69" s="417">
        <f t="shared" si="251"/>
        <v>3683760.0847496688</v>
      </c>
      <c r="AN69" s="417">
        <f t="shared" si="251"/>
        <v>2858321.365391125</v>
      </c>
      <c r="AO69" s="417">
        <f t="shared" si="251"/>
        <v>2170273.6327078128</v>
      </c>
      <c r="AP69" s="417">
        <f t="shared" si="251"/>
        <v>2511793.8528059889</v>
      </c>
      <c r="AQ69" s="417">
        <f t="shared" si="251"/>
        <v>2588403.2305097445</v>
      </c>
      <c r="AR69" s="417">
        <f t="shared" ref="AR69:BW69" si="252">MAX(0,SUM(AR196,AR52:AR54)-AR75)</f>
        <v>1907637.5390378961</v>
      </c>
      <c r="AS69" s="417">
        <f t="shared" si="252"/>
        <v>1407860.6251646222</v>
      </c>
      <c r="AT69" s="417">
        <f t="shared" si="252"/>
        <v>1052641.1338138934</v>
      </c>
      <c r="AU69" s="417">
        <f t="shared" si="252"/>
        <v>808110.76923857466</v>
      </c>
      <c r="AV69" s="417">
        <f t="shared" si="252"/>
        <v>645030.61280501459</v>
      </c>
      <c r="AW69" s="417">
        <f t="shared" si="252"/>
        <v>0</v>
      </c>
      <c r="AX69" s="417">
        <f t="shared" si="252"/>
        <v>0</v>
      </c>
      <c r="AY69" s="417">
        <f t="shared" si="252"/>
        <v>0</v>
      </c>
      <c r="AZ69" s="417">
        <f t="shared" si="252"/>
        <v>0</v>
      </c>
      <c r="BA69" s="417">
        <f t="shared" si="252"/>
        <v>0</v>
      </c>
      <c r="BB69" s="417">
        <f t="shared" si="252"/>
        <v>0</v>
      </c>
      <c r="BC69" s="417">
        <f t="shared" si="252"/>
        <v>0</v>
      </c>
      <c r="BD69" s="417">
        <f t="shared" si="252"/>
        <v>0</v>
      </c>
      <c r="BE69" s="417">
        <f t="shared" si="252"/>
        <v>0</v>
      </c>
      <c r="BF69" s="417">
        <f t="shared" si="252"/>
        <v>0</v>
      </c>
      <c r="BG69" s="417">
        <f t="shared" si="252"/>
        <v>0</v>
      </c>
      <c r="BH69" s="417">
        <f t="shared" si="252"/>
        <v>0</v>
      </c>
      <c r="BI69" s="417">
        <f t="shared" si="252"/>
        <v>0</v>
      </c>
      <c r="BJ69" s="417">
        <f t="shared" si="252"/>
        <v>0</v>
      </c>
      <c r="BK69" s="417">
        <f t="shared" si="252"/>
        <v>0</v>
      </c>
      <c r="BL69" s="417">
        <f t="shared" si="252"/>
        <v>0</v>
      </c>
      <c r="BM69" s="417">
        <f t="shared" si="252"/>
        <v>0</v>
      </c>
      <c r="BN69" s="417">
        <f t="shared" si="252"/>
        <v>0</v>
      </c>
      <c r="BO69" s="417">
        <f t="shared" si="252"/>
        <v>0</v>
      </c>
      <c r="BP69" s="417">
        <f t="shared" si="252"/>
        <v>0</v>
      </c>
      <c r="BQ69" s="417">
        <f t="shared" si="252"/>
        <v>0</v>
      </c>
      <c r="BR69" s="417">
        <f t="shared" si="252"/>
        <v>0</v>
      </c>
      <c r="BS69" s="417">
        <f t="shared" si="252"/>
        <v>0</v>
      </c>
      <c r="BT69" s="417">
        <f t="shared" si="252"/>
        <v>0</v>
      </c>
      <c r="BU69" s="417">
        <f t="shared" si="252"/>
        <v>0</v>
      </c>
      <c r="BV69" s="417">
        <f t="shared" si="252"/>
        <v>0</v>
      </c>
      <c r="BW69" s="417">
        <f t="shared" si="252"/>
        <v>0</v>
      </c>
      <c r="BX69" s="417">
        <f t="shared" ref="BX69:DC69" si="253">MAX(0,SUM(BX196,BX52:BX54)-BX75)</f>
        <v>0</v>
      </c>
      <c r="BY69" s="417">
        <f t="shared" si="253"/>
        <v>0</v>
      </c>
      <c r="BZ69" s="417">
        <f t="shared" si="253"/>
        <v>0</v>
      </c>
      <c r="CA69" s="417">
        <f t="shared" si="253"/>
        <v>0</v>
      </c>
      <c r="CB69" s="417">
        <f t="shared" si="253"/>
        <v>0</v>
      </c>
      <c r="CC69" s="417">
        <f t="shared" si="253"/>
        <v>0</v>
      </c>
      <c r="CD69" s="417">
        <f t="shared" si="253"/>
        <v>0</v>
      </c>
      <c r="CE69" s="417">
        <f t="shared" si="253"/>
        <v>0</v>
      </c>
      <c r="CF69" s="417">
        <f t="shared" si="253"/>
        <v>0</v>
      </c>
      <c r="CG69" s="417">
        <f t="shared" si="253"/>
        <v>0</v>
      </c>
      <c r="CH69" s="417">
        <f t="shared" si="253"/>
        <v>0</v>
      </c>
      <c r="CI69" s="417">
        <f t="shared" si="253"/>
        <v>0</v>
      </c>
      <c r="CJ69" s="417">
        <f t="shared" si="253"/>
        <v>0</v>
      </c>
      <c r="CK69" s="417">
        <f t="shared" si="253"/>
        <v>0</v>
      </c>
      <c r="CL69" s="417">
        <f t="shared" si="253"/>
        <v>0</v>
      </c>
      <c r="CM69" s="417">
        <f t="shared" si="253"/>
        <v>0</v>
      </c>
      <c r="CN69" s="417">
        <f t="shared" si="253"/>
        <v>0</v>
      </c>
      <c r="CO69" s="417">
        <f t="shared" si="253"/>
        <v>0</v>
      </c>
      <c r="CP69" s="417">
        <f t="shared" si="253"/>
        <v>0</v>
      </c>
      <c r="CQ69" s="417">
        <f t="shared" si="253"/>
        <v>0</v>
      </c>
      <c r="CR69" s="417">
        <f t="shared" si="253"/>
        <v>0</v>
      </c>
      <c r="CS69" s="417">
        <f t="shared" si="253"/>
        <v>0</v>
      </c>
      <c r="CT69" s="417">
        <f t="shared" si="253"/>
        <v>0</v>
      </c>
      <c r="CU69" s="417">
        <f t="shared" si="253"/>
        <v>0</v>
      </c>
      <c r="CV69" s="417">
        <f t="shared" si="253"/>
        <v>0</v>
      </c>
      <c r="CW69" s="417">
        <f t="shared" si="253"/>
        <v>0</v>
      </c>
      <c r="CX69" s="417">
        <f t="shared" si="253"/>
        <v>0</v>
      </c>
      <c r="CY69" s="417">
        <f t="shared" si="253"/>
        <v>0</v>
      </c>
      <c r="CZ69" s="417">
        <f t="shared" si="253"/>
        <v>0</v>
      </c>
      <c r="DA69" s="417">
        <f t="shared" si="253"/>
        <v>0</v>
      </c>
      <c r="DB69" s="417">
        <f t="shared" si="253"/>
        <v>0</v>
      </c>
      <c r="DC69" s="417">
        <f t="shared" si="253"/>
        <v>0</v>
      </c>
      <c r="DD69" s="417">
        <f t="shared" ref="DD69:EN69" si="254">MAX(0,SUM(DD196,DD52:DD54)-DD75)</f>
        <v>0</v>
      </c>
      <c r="DE69" s="417">
        <f t="shared" si="254"/>
        <v>0</v>
      </c>
      <c r="DF69" s="417">
        <f t="shared" si="254"/>
        <v>0</v>
      </c>
      <c r="DG69" s="417">
        <f t="shared" si="254"/>
        <v>0</v>
      </c>
      <c r="DH69" s="417">
        <f t="shared" si="254"/>
        <v>0</v>
      </c>
      <c r="DI69" s="417">
        <f t="shared" si="254"/>
        <v>0</v>
      </c>
      <c r="DJ69" s="417">
        <f t="shared" si="254"/>
        <v>0</v>
      </c>
      <c r="DK69" s="417">
        <f t="shared" si="254"/>
        <v>0</v>
      </c>
      <c r="DL69" s="417">
        <f t="shared" si="254"/>
        <v>0</v>
      </c>
      <c r="DM69" s="417">
        <f t="shared" si="254"/>
        <v>0</v>
      </c>
      <c r="DN69" s="417">
        <f t="shared" si="254"/>
        <v>0</v>
      </c>
      <c r="DO69" s="417">
        <f t="shared" si="254"/>
        <v>0</v>
      </c>
      <c r="DP69" s="417">
        <f t="shared" si="254"/>
        <v>0</v>
      </c>
      <c r="DQ69" s="417">
        <f t="shared" si="254"/>
        <v>0</v>
      </c>
      <c r="DR69" s="417">
        <f t="shared" si="254"/>
        <v>0</v>
      </c>
      <c r="DS69" s="417">
        <f t="shared" si="254"/>
        <v>0</v>
      </c>
      <c r="DT69" s="417">
        <f t="shared" si="254"/>
        <v>0</v>
      </c>
      <c r="DU69" s="417">
        <f t="shared" si="254"/>
        <v>0</v>
      </c>
      <c r="DV69" s="417">
        <f t="shared" si="254"/>
        <v>0</v>
      </c>
      <c r="DW69" s="417">
        <f t="shared" si="254"/>
        <v>0</v>
      </c>
      <c r="DX69" s="417">
        <f t="shared" si="254"/>
        <v>0</v>
      </c>
      <c r="DY69" s="417">
        <f t="shared" si="254"/>
        <v>0</v>
      </c>
      <c r="DZ69" s="417">
        <f t="shared" si="254"/>
        <v>0</v>
      </c>
      <c r="EA69" s="417">
        <f t="shared" si="254"/>
        <v>0</v>
      </c>
      <c r="EB69" s="417">
        <f t="shared" si="254"/>
        <v>0</v>
      </c>
      <c r="EC69" s="417">
        <f t="shared" si="254"/>
        <v>0</v>
      </c>
      <c r="ED69" s="417">
        <f t="shared" si="254"/>
        <v>0</v>
      </c>
      <c r="EE69" s="417">
        <f t="shared" si="254"/>
        <v>0</v>
      </c>
      <c r="EF69" s="417">
        <f t="shared" si="254"/>
        <v>0</v>
      </c>
      <c r="EG69" s="417">
        <f t="shared" si="254"/>
        <v>0</v>
      </c>
      <c r="EH69" s="417">
        <f t="shared" si="254"/>
        <v>0</v>
      </c>
      <c r="EI69" s="417">
        <f t="shared" si="254"/>
        <v>0</v>
      </c>
      <c r="EJ69" s="417">
        <f t="shared" si="254"/>
        <v>0</v>
      </c>
      <c r="EK69" s="417">
        <f t="shared" si="254"/>
        <v>0</v>
      </c>
      <c r="EL69" s="417">
        <f t="shared" si="254"/>
        <v>0</v>
      </c>
      <c r="EM69" s="417">
        <f t="shared" si="254"/>
        <v>0</v>
      </c>
      <c r="EN69" s="417">
        <f t="shared" si="254"/>
        <v>0</v>
      </c>
      <c r="EO69"/>
      <c r="EP69" s="219" t="s">
        <v>166</v>
      </c>
      <c r="EQ69" s="18"/>
      <c r="ER69" s="18"/>
      <c r="ES69" s="18"/>
      <c r="ET69" s="18"/>
      <c r="EU69" s="20">
        <f>I60</f>
        <v>215662916.8827475</v>
      </c>
      <c r="EV69" s="20">
        <f t="shared" ref="EV69:GA69" si="255">EU69-EV56</f>
        <v>122645202.79171163</v>
      </c>
      <c r="EW69" s="20">
        <f t="shared" si="255"/>
        <v>121763174.42958578</v>
      </c>
      <c r="EX69" s="20">
        <f t="shared" si="255"/>
        <v>120609935.67037196</v>
      </c>
      <c r="EY69" s="20">
        <f t="shared" si="255"/>
        <v>119069363.83036038</v>
      </c>
      <c r="EZ69" s="20">
        <f t="shared" si="255"/>
        <v>116992155.16005605</v>
      </c>
      <c r="FA69" s="20">
        <f t="shared" si="255"/>
        <v>114194113.002545</v>
      </c>
      <c r="FB69" s="20">
        <f t="shared" si="255"/>
        <v>110458014.14665395</v>
      </c>
      <c r="FC69" s="20">
        <f t="shared" si="255"/>
        <v>105540332.84831253</v>
      </c>
      <c r="FD69" s="20">
        <f t="shared" si="255"/>
        <v>99183747.404905289</v>
      </c>
      <c r="FE69" s="20">
        <f t="shared" si="255"/>
        <v>91135662.567459822</v>
      </c>
      <c r="FF69" s="20">
        <f t="shared" si="255"/>
        <v>81171989.41826646</v>
      </c>
      <c r="FG69" s="20">
        <f t="shared" si="255"/>
        <v>69124262.626914963</v>
      </c>
      <c r="FH69" s="20">
        <f t="shared" si="255"/>
        <v>54907060.303057998</v>
      </c>
      <c r="FI69" s="20">
        <f t="shared" si="255"/>
        <v>38541892.604471356</v>
      </c>
      <c r="FJ69" s="20">
        <f t="shared" si="255"/>
        <v>20173499.936551195</v>
      </c>
      <c r="FK69" s="20">
        <f t="shared" si="255"/>
        <v>75022.692676469684</v>
      </c>
      <c r="FL69" s="20">
        <f t="shared" si="255"/>
        <v>0</v>
      </c>
      <c r="FM69" s="20">
        <f t="shared" si="255"/>
        <v>0</v>
      </c>
      <c r="FN69" s="20">
        <f t="shared" si="255"/>
        <v>0</v>
      </c>
      <c r="FO69" s="20">
        <f t="shared" si="255"/>
        <v>0</v>
      </c>
      <c r="FP69" s="20">
        <f t="shared" si="255"/>
        <v>0</v>
      </c>
      <c r="FQ69" s="20">
        <f t="shared" si="255"/>
        <v>0</v>
      </c>
      <c r="FR69" s="20">
        <f t="shared" si="255"/>
        <v>0</v>
      </c>
      <c r="FS69" s="20">
        <f t="shared" si="255"/>
        <v>0</v>
      </c>
      <c r="FT69" s="20">
        <f t="shared" si="255"/>
        <v>0</v>
      </c>
      <c r="FU69" s="20">
        <f t="shared" si="255"/>
        <v>0</v>
      </c>
      <c r="FV69" s="20">
        <f t="shared" si="255"/>
        <v>0</v>
      </c>
      <c r="FW69" s="20">
        <f t="shared" si="255"/>
        <v>0</v>
      </c>
      <c r="FX69" s="20">
        <f t="shared" si="255"/>
        <v>0</v>
      </c>
      <c r="FY69" s="20">
        <f t="shared" si="255"/>
        <v>0</v>
      </c>
      <c r="FZ69" s="20">
        <f t="shared" si="255"/>
        <v>0</v>
      </c>
      <c r="GA69" s="20">
        <f t="shared" si="255"/>
        <v>0</v>
      </c>
      <c r="GB69" s="20">
        <f t="shared" ref="GB69:HG69" si="256">GA69-GB56</f>
        <v>0</v>
      </c>
      <c r="GC69" s="20">
        <f t="shared" si="256"/>
        <v>0</v>
      </c>
      <c r="GD69" s="20">
        <f t="shared" si="256"/>
        <v>0</v>
      </c>
      <c r="GE69" s="20">
        <f t="shared" si="256"/>
        <v>0</v>
      </c>
      <c r="GF69" s="20">
        <f t="shared" si="256"/>
        <v>0</v>
      </c>
      <c r="GG69" s="20">
        <f t="shared" si="256"/>
        <v>0</v>
      </c>
      <c r="GH69" s="20">
        <f t="shared" si="256"/>
        <v>0</v>
      </c>
      <c r="GI69" s="20">
        <f t="shared" si="256"/>
        <v>0</v>
      </c>
      <c r="GJ69" s="20">
        <f t="shared" si="256"/>
        <v>0</v>
      </c>
      <c r="GK69" s="20">
        <f t="shared" si="256"/>
        <v>0</v>
      </c>
      <c r="GL69" s="20">
        <f t="shared" si="256"/>
        <v>0</v>
      </c>
      <c r="GM69" s="20">
        <f t="shared" si="256"/>
        <v>0</v>
      </c>
      <c r="GN69" s="20">
        <f t="shared" si="256"/>
        <v>0</v>
      </c>
      <c r="GO69" s="20">
        <f t="shared" si="256"/>
        <v>0</v>
      </c>
      <c r="GP69" s="20">
        <f t="shared" si="256"/>
        <v>0</v>
      </c>
      <c r="GQ69" s="20">
        <f t="shared" si="256"/>
        <v>0</v>
      </c>
      <c r="GR69" s="20">
        <f t="shared" si="256"/>
        <v>0</v>
      </c>
      <c r="GS69" s="20">
        <f t="shared" si="256"/>
        <v>0</v>
      </c>
      <c r="GT69" s="20">
        <f t="shared" si="256"/>
        <v>0</v>
      </c>
      <c r="GU69" s="20">
        <f t="shared" si="256"/>
        <v>0</v>
      </c>
      <c r="GV69" s="20">
        <f t="shared" si="256"/>
        <v>0</v>
      </c>
      <c r="GW69" s="20">
        <f t="shared" si="256"/>
        <v>0</v>
      </c>
      <c r="GX69" s="20">
        <f t="shared" si="256"/>
        <v>0</v>
      </c>
      <c r="GY69" s="20">
        <f t="shared" si="256"/>
        <v>0</v>
      </c>
      <c r="GZ69" s="20">
        <f t="shared" si="256"/>
        <v>0</v>
      </c>
      <c r="HA69" s="20">
        <f t="shared" si="256"/>
        <v>0</v>
      </c>
      <c r="HB69" s="20">
        <f t="shared" si="256"/>
        <v>0</v>
      </c>
      <c r="HC69" s="20">
        <f t="shared" si="256"/>
        <v>0</v>
      </c>
      <c r="HD69" s="20">
        <f t="shared" si="256"/>
        <v>0</v>
      </c>
      <c r="HE69" s="20">
        <f t="shared" si="256"/>
        <v>0</v>
      </c>
      <c r="HF69" s="20">
        <f t="shared" si="256"/>
        <v>0</v>
      </c>
      <c r="HG69" s="20">
        <f t="shared" si="256"/>
        <v>0</v>
      </c>
      <c r="HH69" s="20">
        <f t="shared" ref="HH69:IM69" si="257">HG69-HH56</f>
        <v>0</v>
      </c>
      <c r="HI69" s="20">
        <f t="shared" si="257"/>
        <v>0</v>
      </c>
      <c r="HJ69" s="20">
        <f t="shared" si="257"/>
        <v>0</v>
      </c>
      <c r="HK69" s="20">
        <f t="shared" si="257"/>
        <v>0</v>
      </c>
      <c r="HL69" s="20">
        <f t="shared" si="257"/>
        <v>0</v>
      </c>
      <c r="HM69" s="20">
        <f t="shared" si="257"/>
        <v>0</v>
      </c>
      <c r="HN69" s="20">
        <f t="shared" si="257"/>
        <v>0</v>
      </c>
      <c r="HO69" s="20">
        <f t="shared" si="257"/>
        <v>0</v>
      </c>
      <c r="HP69" s="20">
        <f t="shared" si="257"/>
        <v>0</v>
      </c>
      <c r="HQ69" s="20">
        <f t="shared" si="257"/>
        <v>0</v>
      </c>
      <c r="HR69" s="20">
        <f t="shared" si="257"/>
        <v>0</v>
      </c>
      <c r="HS69" s="20">
        <f t="shared" si="257"/>
        <v>0</v>
      </c>
      <c r="HT69" s="20">
        <f t="shared" si="257"/>
        <v>0</v>
      </c>
      <c r="HU69" s="20">
        <f t="shared" si="257"/>
        <v>0</v>
      </c>
      <c r="HV69" s="20">
        <f t="shared" si="257"/>
        <v>0</v>
      </c>
      <c r="HW69" s="20">
        <f t="shared" si="257"/>
        <v>0</v>
      </c>
      <c r="HX69" s="20">
        <f t="shared" si="257"/>
        <v>0</v>
      </c>
      <c r="HY69" s="20">
        <f t="shared" si="257"/>
        <v>0</v>
      </c>
      <c r="HZ69" s="20">
        <f t="shared" si="257"/>
        <v>0</v>
      </c>
      <c r="IA69" s="20">
        <f t="shared" si="257"/>
        <v>0</v>
      </c>
      <c r="IB69" s="20">
        <f t="shared" si="257"/>
        <v>0</v>
      </c>
      <c r="IC69" s="20">
        <f t="shared" si="257"/>
        <v>0</v>
      </c>
      <c r="ID69" s="20">
        <f t="shared" si="257"/>
        <v>0</v>
      </c>
      <c r="IE69" s="20">
        <f t="shared" si="257"/>
        <v>0</v>
      </c>
      <c r="IF69" s="20">
        <f t="shared" si="257"/>
        <v>0</v>
      </c>
      <c r="IG69" s="20">
        <f t="shared" si="257"/>
        <v>0</v>
      </c>
      <c r="IH69" s="20">
        <f t="shared" si="257"/>
        <v>0</v>
      </c>
      <c r="II69" s="20">
        <f t="shared" si="257"/>
        <v>0</v>
      </c>
      <c r="IJ69" s="20">
        <f t="shared" si="257"/>
        <v>0</v>
      </c>
      <c r="IK69" s="20">
        <f t="shared" si="257"/>
        <v>0</v>
      </c>
      <c r="IL69" s="20">
        <f t="shared" si="257"/>
        <v>0</v>
      </c>
      <c r="IM69" s="20">
        <f t="shared" si="257"/>
        <v>0</v>
      </c>
      <c r="IN69" s="20">
        <f t="shared" ref="IN69:JX69" si="258">IM69-IN56</f>
        <v>0</v>
      </c>
      <c r="IO69" s="20">
        <f t="shared" si="258"/>
        <v>0</v>
      </c>
      <c r="IP69" s="20">
        <f t="shared" si="258"/>
        <v>0</v>
      </c>
      <c r="IQ69" s="20">
        <f t="shared" si="258"/>
        <v>0</v>
      </c>
      <c r="IR69" s="20">
        <f t="shared" si="258"/>
        <v>0</v>
      </c>
      <c r="IS69" s="20">
        <f t="shared" si="258"/>
        <v>0</v>
      </c>
      <c r="IT69" s="20">
        <f t="shared" si="258"/>
        <v>0</v>
      </c>
      <c r="IU69" s="20">
        <f t="shared" si="258"/>
        <v>0</v>
      </c>
      <c r="IV69" s="20">
        <f t="shared" si="258"/>
        <v>0</v>
      </c>
      <c r="IW69" s="20">
        <f t="shared" si="258"/>
        <v>0</v>
      </c>
      <c r="IX69" s="20">
        <f t="shared" si="258"/>
        <v>0</v>
      </c>
      <c r="IY69" s="20">
        <f t="shared" si="258"/>
        <v>0</v>
      </c>
      <c r="IZ69" s="20">
        <f t="shared" si="258"/>
        <v>0</v>
      </c>
      <c r="JA69" s="20">
        <f t="shared" si="258"/>
        <v>0</v>
      </c>
      <c r="JB69" s="20">
        <f t="shared" si="258"/>
        <v>0</v>
      </c>
      <c r="JC69" s="20">
        <f t="shared" si="258"/>
        <v>0</v>
      </c>
      <c r="JD69" s="20">
        <f t="shared" si="258"/>
        <v>0</v>
      </c>
      <c r="JE69" s="20">
        <f t="shared" si="258"/>
        <v>0</v>
      </c>
      <c r="JF69" s="20">
        <f t="shared" si="258"/>
        <v>0</v>
      </c>
      <c r="JG69" s="20">
        <f t="shared" si="258"/>
        <v>0</v>
      </c>
      <c r="JH69" s="20">
        <f t="shared" si="258"/>
        <v>0</v>
      </c>
      <c r="JI69" s="20">
        <f t="shared" si="258"/>
        <v>0</v>
      </c>
      <c r="JJ69" s="20">
        <f t="shared" si="258"/>
        <v>0</v>
      </c>
      <c r="JK69" s="20">
        <f t="shared" si="258"/>
        <v>0</v>
      </c>
      <c r="JL69" s="20">
        <f t="shared" si="258"/>
        <v>0</v>
      </c>
      <c r="JM69" s="20">
        <f t="shared" si="258"/>
        <v>0</v>
      </c>
      <c r="JN69" s="20">
        <f t="shared" si="258"/>
        <v>0</v>
      </c>
      <c r="JO69" s="20">
        <f t="shared" si="258"/>
        <v>0</v>
      </c>
      <c r="JP69" s="20">
        <f t="shared" si="258"/>
        <v>0</v>
      </c>
      <c r="JQ69" s="20">
        <f t="shared" si="258"/>
        <v>0</v>
      </c>
      <c r="JR69" s="20">
        <f t="shared" si="258"/>
        <v>0</v>
      </c>
      <c r="JS69" s="20">
        <f t="shared" si="258"/>
        <v>0</v>
      </c>
      <c r="JT69" s="20">
        <f t="shared" si="258"/>
        <v>0</v>
      </c>
      <c r="JU69" s="20">
        <f t="shared" si="258"/>
        <v>0</v>
      </c>
      <c r="JV69" s="20">
        <f t="shared" si="258"/>
        <v>0</v>
      </c>
      <c r="JW69" s="20">
        <f t="shared" si="258"/>
        <v>0</v>
      </c>
      <c r="JX69" s="20">
        <f t="shared" si="258"/>
        <v>0</v>
      </c>
      <c r="JY69"/>
      <c r="JZ69" s="262"/>
      <c r="KA69" s="262"/>
      <c r="KB69" s="262"/>
      <c r="KC69" s="262"/>
      <c r="KD69" s="262"/>
      <c r="KE69" s="262"/>
      <c r="KF69" s="262"/>
      <c r="KG69" s="262"/>
      <c r="KH69" s="262"/>
      <c r="KI69" s="262"/>
      <c r="KJ69" s="262"/>
      <c r="KK69" s="262"/>
      <c r="KL69" s="262"/>
      <c r="KM69" s="262"/>
      <c r="KN69" s="262"/>
      <c r="KO69" s="262"/>
      <c r="KP69" s="262"/>
      <c r="KQ69" s="262"/>
      <c r="KR69" s="262"/>
      <c r="KS69" s="262"/>
      <c r="KT69" s="262"/>
      <c r="KU69" s="262"/>
      <c r="KV69" s="262"/>
      <c r="KW69" s="262"/>
      <c r="KX69" s="262"/>
      <c r="KY69" s="262"/>
      <c r="KZ69" s="262"/>
      <c r="LA69" s="262"/>
      <c r="LB69" s="262"/>
      <c r="LC69" s="262"/>
      <c r="LD69" s="262"/>
      <c r="LE69" s="262"/>
      <c r="LF69" s="262"/>
      <c r="LG69" s="262"/>
      <c r="LH69" s="262"/>
      <c r="LI69" s="262"/>
      <c r="LJ69" s="262"/>
      <c r="LK69" s="262"/>
      <c r="LL69" s="262"/>
      <c r="LM69" s="262"/>
      <c r="LN69" s="262"/>
      <c r="LO69" s="262"/>
      <c r="LP69" s="262"/>
      <c r="LQ69" s="262"/>
      <c r="LR69" s="262"/>
      <c r="LS69" s="262"/>
      <c r="LT69" s="262"/>
      <c r="LU69" s="262"/>
      <c r="LV69" s="262"/>
      <c r="LW69" s="262"/>
      <c r="LX69" s="262"/>
      <c r="LY69" s="262"/>
      <c r="LZ69" s="262"/>
      <c r="MA69" s="262"/>
      <c r="MB69" s="262"/>
      <c r="MC69" s="262"/>
      <c r="MD69" s="262"/>
      <c r="ME69" s="262"/>
      <c r="MF69" s="262"/>
      <c r="MG69" s="262"/>
      <c r="MH69" s="262"/>
      <c r="MI69" s="262"/>
      <c r="MJ69" s="262"/>
      <c r="MK69" s="262"/>
      <c r="ML69" s="262"/>
      <c r="MM69" s="262"/>
      <c r="MN69" s="262"/>
      <c r="MO69" s="262"/>
      <c r="MP69" s="262"/>
      <c r="MQ69" s="262"/>
      <c r="MR69" s="262"/>
      <c r="MS69" s="262"/>
      <c r="MT69" s="262"/>
      <c r="MU69" s="262"/>
      <c r="MV69" s="262"/>
      <c r="MW69" s="262"/>
      <c r="MX69" s="262"/>
      <c r="MY69" s="262"/>
      <c r="MZ69" s="262"/>
      <c r="NA69" s="262"/>
      <c r="NB69" s="262"/>
      <c r="NC69" s="262"/>
      <c r="ND69" s="262"/>
      <c r="NE69" s="262"/>
      <c r="NF69" s="262"/>
      <c r="NG69" s="262"/>
      <c r="NH69" s="262"/>
      <c r="NI69" s="262"/>
      <c r="NJ69" s="262"/>
      <c r="NK69" s="262"/>
      <c r="NL69" s="262"/>
      <c r="NM69" s="262"/>
      <c r="NN69" s="262"/>
      <c r="NO69" s="262"/>
      <c r="NP69" s="262"/>
      <c r="NQ69" s="262"/>
      <c r="NR69" s="262"/>
      <c r="NS69" s="262"/>
      <c r="NT69" s="262"/>
      <c r="NU69" s="262"/>
      <c r="NV69" s="262"/>
      <c r="NW69" s="262"/>
      <c r="NX69" s="262"/>
      <c r="NY69" s="262"/>
      <c r="NZ69" s="262"/>
      <c r="OA69" s="262"/>
      <c r="OB69" s="262"/>
      <c r="OC69" s="262"/>
      <c r="OD69" s="262"/>
      <c r="OE69" s="262"/>
      <c r="OF69" s="262"/>
      <c r="OG69" s="262"/>
      <c r="OH69" s="262"/>
      <c r="OI69" s="262"/>
      <c r="OJ69" s="262"/>
      <c r="OK69" s="262"/>
      <c r="OL69" s="262"/>
      <c r="OM69" s="262"/>
      <c r="ON69" s="262"/>
      <c r="OO69" s="262"/>
      <c r="OP69" s="262"/>
      <c r="OQ69" s="262"/>
      <c r="OR69" s="262"/>
      <c r="OS69" s="262"/>
      <c r="OT69" s="262"/>
      <c r="OU69" s="262"/>
      <c r="OV69" s="262"/>
      <c r="OW69" s="262"/>
      <c r="OX69" s="262"/>
      <c r="OY69" s="262"/>
      <c r="OZ69" s="262"/>
      <c r="PA69" s="262"/>
      <c r="PB69" s="262"/>
      <c r="PC69" s="262"/>
      <c r="PD69" s="262"/>
      <c r="PE69" s="262"/>
      <c r="PF69" s="262"/>
      <c r="PG69" s="262"/>
      <c r="PH69" s="262"/>
    </row>
    <row r="70" spans="1:424" x14ac:dyDescent="0.35">
      <c r="A70"/>
      <c r="B70" s="444"/>
      <c r="C70" s="59"/>
      <c r="D70" s="400"/>
      <c r="E70" s="400"/>
      <c r="F70" s="400"/>
      <c r="G70" s="134"/>
      <c r="H70" s="134"/>
      <c r="I70" s="55"/>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s="219" t="s">
        <v>167</v>
      </c>
      <c r="EQ70" s="18"/>
      <c r="ER70" s="18"/>
      <c r="ES70" s="18"/>
      <c r="ET70" s="18" t="s">
        <v>196</v>
      </c>
      <c r="EU70" s="20">
        <f>EU52+I53-EU56</f>
        <v>233193718.27873397</v>
      </c>
      <c r="EV70" s="20">
        <f t="shared" ref="EV70:GA70" si="259">EU70-EV57</f>
        <v>233193718.27873397</v>
      </c>
      <c r="EW70" s="20">
        <f t="shared" si="259"/>
        <v>233193718.27873397</v>
      </c>
      <c r="EX70" s="20">
        <f t="shared" si="259"/>
        <v>233193718.27873397</v>
      </c>
      <c r="EY70" s="20">
        <f t="shared" si="259"/>
        <v>233193718.27873397</v>
      </c>
      <c r="EZ70" s="20">
        <f t="shared" si="259"/>
        <v>233193718.27873397</v>
      </c>
      <c r="FA70" s="20">
        <f t="shared" si="259"/>
        <v>233193718.27873397</v>
      </c>
      <c r="FB70" s="20">
        <f t="shared" si="259"/>
        <v>233193718.27873397</v>
      </c>
      <c r="FC70" s="20">
        <f t="shared" si="259"/>
        <v>233193718.27873397</v>
      </c>
      <c r="FD70" s="20">
        <f t="shared" si="259"/>
        <v>233193718.27873397</v>
      </c>
      <c r="FE70" s="20">
        <f t="shared" si="259"/>
        <v>233193718.27873397</v>
      </c>
      <c r="FF70" s="20">
        <f t="shared" si="259"/>
        <v>233193718.27873397</v>
      </c>
      <c r="FG70" s="20">
        <f t="shared" si="259"/>
        <v>233193718.27873397</v>
      </c>
      <c r="FH70" s="20">
        <f t="shared" si="259"/>
        <v>233193718.27873397</v>
      </c>
      <c r="FI70" s="20">
        <f t="shared" si="259"/>
        <v>233193718.27873397</v>
      </c>
      <c r="FJ70" s="20">
        <f t="shared" si="259"/>
        <v>233193718.27873397</v>
      </c>
      <c r="FK70" s="20">
        <f t="shared" si="259"/>
        <v>233193718.27873397</v>
      </c>
      <c r="FL70" s="20">
        <f t="shared" si="259"/>
        <v>211833511.71747747</v>
      </c>
      <c r="FM70" s="20">
        <f t="shared" si="259"/>
        <v>189553114.31443176</v>
      </c>
      <c r="FN70" s="20">
        <f t="shared" si="259"/>
        <v>166983520.84704977</v>
      </c>
      <c r="FO70" s="20">
        <f t="shared" si="259"/>
        <v>144703123.44400403</v>
      </c>
      <c r="FP70" s="20">
        <f t="shared" si="259"/>
        <v>123267894.19007109</v>
      </c>
      <c r="FQ70" s="20">
        <f t="shared" si="259"/>
        <v>103169416.94619633</v>
      </c>
      <c r="FR70" s="20">
        <f t="shared" si="259"/>
        <v>84801024.278276205</v>
      </c>
      <c r="FS70" s="20">
        <f t="shared" si="259"/>
        <v>68435856.579689562</v>
      </c>
      <c r="FT70" s="20">
        <f t="shared" si="259"/>
        <v>54218654.255832575</v>
      </c>
      <c r="FU70" s="20">
        <f t="shared" si="259"/>
        <v>42170927.464481115</v>
      </c>
      <c r="FV70" s="20">
        <f t="shared" si="259"/>
        <v>32207254.31528775</v>
      </c>
      <c r="FW70" s="20">
        <f t="shared" si="259"/>
        <v>24159169.477842253</v>
      </c>
      <c r="FX70" s="20">
        <f t="shared" si="259"/>
        <v>17802584.034435026</v>
      </c>
      <c r="FY70" s="20">
        <f t="shared" si="259"/>
        <v>12884902.736093596</v>
      </c>
      <c r="FZ70" s="20">
        <f t="shared" si="259"/>
        <v>9148803.88020253</v>
      </c>
      <c r="GA70" s="20">
        <f t="shared" si="259"/>
        <v>6350761.7226914875</v>
      </c>
      <c r="GB70" s="20">
        <f t="shared" ref="GB70:HG70" si="260">GA70-GB57</f>
        <v>4273553.0523871463</v>
      </c>
      <c r="GC70" s="20">
        <f t="shared" si="260"/>
        <v>2732981.212375585</v>
      </c>
      <c r="GD70" s="20">
        <f t="shared" si="260"/>
        <v>1579742.4531617444</v>
      </c>
      <c r="GE70" s="20">
        <f t="shared" si="260"/>
        <v>697714.09103591717</v>
      </c>
      <c r="GF70" s="20">
        <f t="shared" si="260"/>
        <v>3.8766302168369293E-8</v>
      </c>
      <c r="GG70" s="20">
        <f t="shared" si="260"/>
        <v>3.8766302168369293E-8</v>
      </c>
      <c r="GH70" s="20">
        <f t="shared" si="260"/>
        <v>3.8766302168369293E-8</v>
      </c>
      <c r="GI70" s="20">
        <f t="shared" si="260"/>
        <v>3.8766302168369293E-8</v>
      </c>
      <c r="GJ70" s="20">
        <f t="shared" si="260"/>
        <v>3.8766302168369293E-8</v>
      </c>
      <c r="GK70" s="20">
        <f t="shared" si="260"/>
        <v>3.8766302168369293E-8</v>
      </c>
      <c r="GL70" s="20">
        <f t="shared" si="260"/>
        <v>3.8766302168369293E-8</v>
      </c>
      <c r="GM70" s="20">
        <f t="shared" si="260"/>
        <v>3.8766302168369293E-8</v>
      </c>
      <c r="GN70" s="20">
        <f t="shared" si="260"/>
        <v>3.8766302168369293E-8</v>
      </c>
      <c r="GO70" s="20">
        <f t="shared" si="260"/>
        <v>3.8766302168369293E-8</v>
      </c>
      <c r="GP70" s="20">
        <f t="shared" si="260"/>
        <v>3.8766302168369293E-8</v>
      </c>
      <c r="GQ70" s="20">
        <f t="shared" si="260"/>
        <v>3.8766302168369293E-8</v>
      </c>
      <c r="GR70" s="20">
        <f t="shared" si="260"/>
        <v>3.8766302168369293E-8</v>
      </c>
      <c r="GS70" s="20">
        <f t="shared" si="260"/>
        <v>3.8766302168369293E-8</v>
      </c>
      <c r="GT70" s="20">
        <f t="shared" si="260"/>
        <v>3.8766302168369293E-8</v>
      </c>
      <c r="GU70" s="20">
        <f t="shared" si="260"/>
        <v>3.8766302168369293E-8</v>
      </c>
      <c r="GV70" s="20">
        <f t="shared" si="260"/>
        <v>3.8766302168369293E-8</v>
      </c>
      <c r="GW70" s="20">
        <f t="shared" si="260"/>
        <v>3.8766302168369293E-8</v>
      </c>
      <c r="GX70" s="20">
        <f t="shared" si="260"/>
        <v>3.8766302168369293E-8</v>
      </c>
      <c r="GY70" s="20">
        <f t="shared" si="260"/>
        <v>3.8766302168369293E-8</v>
      </c>
      <c r="GZ70" s="20">
        <f t="shared" si="260"/>
        <v>3.8766302168369293E-8</v>
      </c>
      <c r="HA70" s="20">
        <f t="shared" si="260"/>
        <v>3.8766302168369293E-8</v>
      </c>
      <c r="HB70" s="20">
        <f t="shared" si="260"/>
        <v>3.8766302168369293E-8</v>
      </c>
      <c r="HC70" s="20">
        <f t="shared" si="260"/>
        <v>3.8766302168369293E-8</v>
      </c>
      <c r="HD70" s="20">
        <f t="shared" si="260"/>
        <v>3.8766302168369293E-8</v>
      </c>
      <c r="HE70" s="20">
        <f t="shared" si="260"/>
        <v>3.8766302168369293E-8</v>
      </c>
      <c r="HF70" s="20">
        <f t="shared" si="260"/>
        <v>3.8766302168369293E-8</v>
      </c>
      <c r="HG70" s="20">
        <f t="shared" si="260"/>
        <v>3.8766302168369293E-8</v>
      </c>
      <c r="HH70" s="20">
        <f t="shared" ref="HH70:IM70" si="261">HG70-HH57</f>
        <v>3.8766302168369293E-8</v>
      </c>
      <c r="HI70" s="20">
        <f t="shared" si="261"/>
        <v>3.8766302168369293E-8</v>
      </c>
      <c r="HJ70" s="20">
        <f t="shared" si="261"/>
        <v>3.8766302168369293E-8</v>
      </c>
      <c r="HK70" s="20">
        <f t="shared" si="261"/>
        <v>3.8766302168369293E-8</v>
      </c>
      <c r="HL70" s="20">
        <f t="shared" si="261"/>
        <v>3.8766302168369293E-8</v>
      </c>
      <c r="HM70" s="20">
        <f t="shared" si="261"/>
        <v>3.8766302168369293E-8</v>
      </c>
      <c r="HN70" s="20">
        <f t="shared" si="261"/>
        <v>3.8766302168369293E-8</v>
      </c>
      <c r="HO70" s="20">
        <f t="shared" si="261"/>
        <v>3.8766302168369293E-8</v>
      </c>
      <c r="HP70" s="20">
        <f t="shared" si="261"/>
        <v>3.8766302168369293E-8</v>
      </c>
      <c r="HQ70" s="20">
        <f t="shared" si="261"/>
        <v>3.8766302168369293E-8</v>
      </c>
      <c r="HR70" s="20">
        <f t="shared" si="261"/>
        <v>3.8766302168369293E-8</v>
      </c>
      <c r="HS70" s="20">
        <f t="shared" si="261"/>
        <v>3.8766302168369293E-8</v>
      </c>
      <c r="HT70" s="20">
        <f t="shared" si="261"/>
        <v>3.8766302168369293E-8</v>
      </c>
      <c r="HU70" s="20">
        <f t="shared" si="261"/>
        <v>3.8766302168369293E-8</v>
      </c>
      <c r="HV70" s="20">
        <f t="shared" si="261"/>
        <v>3.8766302168369293E-8</v>
      </c>
      <c r="HW70" s="20">
        <f t="shared" si="261"/>
        <v>3.8766302168369293E-8</v>
      </c>
      <c r="HX70" s="20">
        <f t="shared" si="261"/>
        <v>3.8766302168369293E-8</v>
      </c>
      <c r="HY70" s="20">
        <f t="shared" si="261"/>
        <v>3.8766302168369293E-8</v>
      </c>
      <c r="HZ70" s="20">
        <f t="shared" si="261"/>
        <v>3.8766302168369293E-8</v>
      </c>
      <c r="IA70" s="20">
        <f t="shared" si="261"/>
        <v>3.8766302168369293E-8</v>
      </c>
      <c r="IB70" s="20">
        <f t="shared" si="261"/>
        <v>3.8766302168369293E-8</v>
      </c>
      <c r="IC70" s="20">
        <f t="shared" si="261"/>
        <v>3.8766302168369293E-8</v>
      </c>
      <c r="ID70" s="20">
        <f t="shared" si="261"/>
        <v>3.8766302168369293E-8</v>
      </c>
      <c r="IE70" s="20">
        <f t="shared" si="261"/>
        <v>3.8766302168369293E-8</v>
      </c>
      <c r="IF70" s="20">
        <f t="shared" si="261"/>
        <v>3.8766302168369293E-8</v>
      </c>
      <c r="IG70" s="20">
        <f t="shared" si="261"/>
        <v>3.8766302168369293E-8</v>
      </c>
      <c r="IH70" s="20">
        <f t="shared" si="261"/>
        <v>3.8766302168369293E-8</v>
      </c>
      <c r="II70" s="20">
        <f t="shared" si="261"/>
        <v>3.8766302168369293E-8</v>
      </c>
      <c r="IJ70" s="20">
        <f t="shared" si="261"/>
        <v>3.8766302168369293E-8</v>
      </c>
      <c r="IK70" s="20">
        <f t="shared" si="261"/>
        <v>3.8766302168369293E-8</v>
      </c>
      <c r="IL70" s="20">
        <f t="shared" si="261"/>
        <v>3.8766302168369293E-8</v>
      </c>
      <c r="IM70" s="20">
        <f t="shared" si="261"/>
        <v>3.8766302168369293E-8</v>
      </c>
      <c r="IN70" s="20">
        <f t="shared" ref="IN70:JX70" si="262">IM70-IN57</f>
        <v>3.8766302168369293E-8</v>
      </c>
      <c r="IO70" s="20">
        <f t="shared" si="262"/>
        <v>3.8766302168369293E-8</v>
      </c>
      <c r="IP70" s="20">
        <f t="shared" si="262"/>
        <v>3.8766302168369293E-8</v>
      </c>
      <c r="IQ70" s="20">
        <f t="shared" si="262"/>
        <v>3.8766302168369293E-8</v>
      </c>
      <c r="IR70" s="20">
        <f t="shared" si="262"/>
        <v>3.8766302168369293E-8</v>
      </c>
      <c r="IS70" s="20">
        <f t="shared" si="262"/>
        <v>3.8766302168369293E-8</v>
      </c>
      <c r="IT70" s="20">
        <f t="shared" si="262"/>
        <v>3.8766302168369293E-8</v>
      </c>
      <c r="IU70" s="20">
        <f t="shared" si="262"/>
        <v>3.8766302168369293E-8</v>
      </c>
      <c r="IV70" s="20">
        <f t="shared" si="262"/>
        <v>3.8766302168369293E-8</v>
      </c>
      <c r="IW70" s="20">
        <f t="shared" si="262"/>
        <v>3.8766302168369293E-8</v>
      </c>
      <c r="IX70" s="20">
        <f t="shared" si="262"/>
        <v>3.8766302168369293E-8</v>
      </c>
      <c r="IY70" s="20">
        <f t="shared" si="262"/>
        <v>3.8766302168369293E-8</v>
      </c>
      <c r="IZ70" s="20">
        <f t="shared" si="262"/>
        <v>3.8766302168369293E-8</v>
      </c>
      <c r="JA70" s="20">
        <f t="shared" si="262"/>
        <v>3.8766302168369293E-8</v>
      </c>
      <c r="JB70" s="20">
        <f t="shared" si="262"/>
        <v>3.8766302168369293E-8</v>
      </c>
      <c r="JC70" s="20">
        <f t="shared" si="262"/>
        <v>3.8766302168369293E-8</v>
      </c>
      <c r="JD70" s="20">
        <f t="shared" si="262"/>
        <v>3.8766302168369293E-8</v>
      </c>
      <c r="JE70" s="20">
        <f t="shared" si="262"/>
        <v>3.8766302168369293E-8</v>
      </c>
      <c r="JF70" s="20">
        <f t="shared" si="262"/>
        <v>3.8766302168369293E-8</v>
      </c>
      <c r="JG70" s="20">
        <f t="shared" si="262"/>
        <v>3.8766302168369293E-8</v>
      </c>
      <c r="JH70" s="20">
        <f t="shared" si="262"/>
        <v>3.8766302168369293E-8</v>
      </c>
      <c r="JI70" s="20">
        <f t="shared" si="262"/>
        <v>3.8766302168369293E-8</v>
      </c>
      <c r="JJ70" s="20">
        <f t="shared" si="262"/>
        <v>3.8766302168369293E-8</v>
      </c>
      <c r="JK70" s="20">
        <f t="shared" si="262"/>
        <v>3.8766302168369293E-8</v>
      </c>
      <c r="JL70" s="20">
        <f t="shared" si="262"/>
        <v>3.8766302168369293E-8</v>
      </c>
      <c r="JM70" s="20">
        <f t="shared" si="262"/>
        <v>3.8766302168369293E-8</v>
      </c>
      <c r="JN70" s="20">
        <f t="shared" si="262"/>
        <v>3.8766302168369293E-8</v>
      </c>
      <c r="JO70" s="20">
        <f t="shared" si="262"/>
        <v>3.8766302168369293E-8</v>
      </c>
      <c r="JP70" s="20">
        <f t="shared" si="262"/>
        <v>3.8766302168369293E-8</v>
      </c>
      <c r="JQ70" s="20">
        <f t="shared" si="262"/>
        <v>3.8766302168369293E-8</v>
      </c>
      <c r="JR70" s="20">
        <f t="shared" si="262"/>
        <v>3.8766302168369293E-8</v>
      </c>
      <c r="JS70" s="20">
        <f t="shared" si="262"/>
        <v>3.8766302168369293E-8</v>
      </c>
      <c r="JT70" s="20">
        <f t="shared" si="262"/>
        <v>3.8766302168369293E-8</v>
      </c>
      <c r="JU70" s="20">
        <f t="shared" si="262"/>
        <v>3.8766302168369293E-8</v>
      </c>
      <c r="JV70" s="20">
        <f t="shared" si="262"/>
        <v>3.8766302168369293E-8</v>
      </c>
      <c r="JW70" s="20">
        <f t="shared" si="262"/>
        <v>3.8766302168369293E-8</v>
      </c>
      <c r="JX70" s="20">
        <f t="shared" si="262"/>
        <v>3.8766302168369293E-8</v>
      </c>
      <c r="JY70"/>
      <c r="JZ70" s="262"/>
      <c r="KA70" s="262"/>
      <c r="KB70" s="262"/>
      <c r="KC70" s="262"/>
      <c r="KD70" s="262"/>
      <c r="KE70" s="262"/>
      <c r="KF70" s="262"/>
      <c r="KG70" s="262"/>
      <c r="KH70" s="262"/>
      <c r="KI70" s="262"/>
      <c r="KJ70" s="262"/>
      <c r="KK70" s="262"/>
      <c r="KL70" s="262"/>
      <c r="KM70" s="262"/>
      <c r="KN70" s="262"/>
      <c r="KO70" s="262"/>
      <c r="KP70" s="262"/>
      <c r="KQ70" s="262"/>
      <c r="KR70" s="262"/>
      <c r="KS70" s="262"/>
      <c r="KT70" s="262"/>
      <c r="KU70" s="262"/>
      <c r="KV70" s="262"/>
      <c r="KW70" s="262"/>
      <c r="KX70" s="262"/>
      <c r="KY70" s="262"/>
      <c r="KZ70" s="262"/>
      <c r="LA70" s="262"/>
      <c r="LB70" s="262"/>
      <c r="LC70" s="262"/>
      <c r="LD70" s="262"/>
      <c r="LE70" s="262"/>
      <c r="LF70" s="262"/>
      <c r="LG70" s="262"/>
      <c r="LH70" s="262"/>
      <c r="LI70" s="262"/>
      <c r="LJ70" s="262"/>
      <c r="LK70" s="262"/>
      <c r="LL70" s="262"/>
      <c r="LM70" s="262"/>
      <c r="LN70" s="262"/>
      <c r="LO70" s="262"/>
      <c r="LP70" s="262"/>
      <c r="LQ70" s="262"/>
      <c r="LR70" s="262"/>
      <c r="LS70" s="262"/>
      <c r="LT70" s="262"/>
      <c r="LU70" s="262"/>
      <c r="LV70" s="262"/>
      <c r="LW70" s="262"/>
      <c r="LX70" s="262"/>
      <c r="LY70" s="262"/>
      <c r="LZ70" s="262"/>
      <c r="MA70" s="262"/>
      <c r="MB70" s="262"/>
      <c r="MC70" s="262"/>
      <c r="MD70" s="262"/>
      <c r="ME70" s="262"/>
      <c r="MF70" s="262"/>
      <c r="MG70" s="262"/>
      <c r="MH70" s="262"/>
      <c r="MI70" s="262"/>
      <c r="MJ70" s="262"/>
      <c r="MK70" s="262"/>
      <c r="ML70" s="262"/>
      <c r="MM70" s="262"/>
      <c r="MN70" s="262"/>
      <c r="MO70" s="262"/>
      <c r="MP70" s="262"/>
      <c r="MQ70" s="262"/>
      <c r="MR70" s="262"/>
      <c r="MS70" s="262"/>
      <c r="MT70" s="262"/>
      <c r="MU70" s="262"/>
      <c r="MV70" s="262"/>
      <c r="MW70" s="262"/>
      <c r="MX70" s="262"/>
      <c r="MY70" s="262"/>
      <c r="MZ70" s="262"/>
      <c r="NA70" s="262"/>
      <c r="NB70" s="262"/>
      <c r="NC70" s="262"/>
      <c r="ND70" s="262"/>
      <c r="NE70" s="262"/>
      <c r="NF70" s="262"/>
      <c r="NG70" s="262"/>
      <c r="NH70" s="262"/>
      <c r="NI70" s="262"/>
      <c r="NJ70" s="262"/>
      <c r="NK70" s="262"/>
      <c r="NL70" s="262"/>
      <c r="NM70" s="262"/>
      <c r="NN70" s="262"/>
      <c r="NO70" s="262"/>
      <c r="NP70" s="262"/>
      <c r="NQ70" s="262"/>
      <c r="NR70" s="262"/>
      <c r="NS70" s="262"/>
      <c r="NT70" s="262"/>
      <c r="NU70" s="262"/>
      <c r="NV70" s="262"/>
      <c r="NW70" s="262"/>
      <c r="NX70" s="262"/>
      <c r="NY70" s="262"/>
      <c r="NZ70" s="262"/>
      <c r="OA70" s="262"/>
      <c r="OB70" s="262"/>
      <c r="OC70" s="262"/>
      <c r="OD70" s="262"/>
      <c r="OE70" s="262"/>
      <c r="OF70" s="262"/>
      <c r="OG70" s="262"/>
      <c r="OH70" s="262"/>
      <c r="OI70" s="262"/>
      <c r="OJ70" s="262"/>
      <c r="OK70" s="262"/>
      <c r="OL70" s="262"/>
      <c r="OM70" s="262"/>
      <c r="ON70" s="262"/>
      <c r="OO70" s="262"/>
      <c r="OP70" s="262"/>
      <c r="OQ70" s="262"/>
      <c r="OR70" s="262"/>
      <c r="OS70" s="262"/>
      <c r="OT70" s="262"/>
      <c r="OU70" s="262"/>
      <c r="OV70" s="262"/>
      <c r="OW70" s="262"/>
      <c r="OX70" s="262"/>
      <c r="OY70" s="262"/>
      <c r="OZ70" s="262"/>
      <c r="PA70" s="262"/>
      <c r="PB70" s="262"/>
      <c r="PC70" s="262"/>
      <c r="PD70" s="262"/>
      <c r="PE70" s="262"/>
      <c r="PF70" s="262"/>
      <c r="PG70" s="262"/>
      <c r="PH70" s="262"/>
    </row>
    <row r="71" spans="1:424" x14ac:dyDescent="0.35">
      <c r="A71"/>
      <c r="B71" s="34" t="s">
        <v>178</v>
      </c>
      <c r="C71" s="60"/>
      <c r="D71" s="400"/>
      <c r="E71" s="412"/>
      <c r="F71" s="400"/>
      <c r="G71" s="134"/>
      <c r="H71" s="134"/>
      <c r="I71" s="37"/>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s="219" t="s">
        <v>197</v>
      </c>
      <c r="EQ71" s="18"/>
      <c r="ER71" s="18"/>
      <c r="ES71" s="18"/>
      <c r="ET71" s="18" t="s">
        <v>196</v>
      </c>
      <c r="EU71" s="20">
        <f>EU58</f>
        <v>55420204.001591839</v>
      </c>
      <c r="EV71" s="20">
        <f t="shared" ref="EV71:GA71" si="263">EU71-EV58</f>
        <v>55420204.001591839</v>
      </c>
      <c r="EW71" s="20">
        <f t="shared" si="263"/>
        <v>55420204.001591839</v>
      </c>
      <c r="EX71" s="20">
        <f t="shared" si="263"/>
        <v>55420204.001591839</v>
      </c>
      <c r="EY71" s="20">
        <f t="shared" si="263"/>
        <v>55420204.001591839</v>
      </c>
      <c r="EZ71" s="20">
        <f t="shared" si="263"/>
        <v>55420204.001591839</v>
      </c>
      <c r="FA71" s="20">
        <f t="shared" si="263"/>
        <v>55420204.001591839</v>
      </c>
      <c r="FB71" s="20">
        <f t="shared" si="263"/>
        <v>55420204.001591839</v>
      </c>
      <c r="FC71" s="20">
        <f t="shared" si="263"/>
        <v>55420204.001591839</v>
      </c>
      <c r="FD71" s="20">
        <f t="shared" si="263"/>
        <v>55420204.001591839</v>
      </c>
      <c r="FE71" s="20">
        <f t="shared" si="263"/>
        <v>55420204.001591839</v>
      </c>
      <c r="FF71" s="20">
        <f t="shared" si="263"/>
        <v>55420204.001591839</v>
      </c>
      <c r="FG71" s="20">
        <f t="shared" si="263"/>
        <v>55420204.001591839</v>
      </c>
      <c r="FH71" s="20">
        <f t="shared" si="263"/>
        <v>55420204.001591839</v>
      </c>
      <c r="FI71" s="20">
        <f t="shared" si="263"/>
        <v>55420204.001591839</v>
      </c>
      <c r="FJ71" s="20">
        <f t="shared" si="263"/>
        <v>55420204.001591839</v>
      </c>
      <c r="FK71" s="20">
        <f t="shared" si="263"/>
        <v>55420204.001591839</v>
      </c>
      <c r="FL71" s="20">
        <f t="shared" si="263"/>
        <v>55420204.001591839</v>
      </c>
      <c r="FM71" s="20">
        <f t="shared" si="263"/>
        <v>55304502.882718369</v>
      </c>
      <c r="FN71" s="20">
        <f t="shared" si="263"/>
        <v>55067489.563517831</v>
      </c>
      <c r="FO71" s="20">
        <f t="shared" si="263"/>
        <v>54706940.457556643</v>
      </c>
      <c r="FP71" s="20">
        <f t="shared" si="263"/>
        <v>54223752.891338333</v>
      </c>
      <c r="FQ71" s="20">
        <f t="shared" si="263"/>
        <v>53621840.567344204</v>
      </c>
      <c r="FR71" s="20">
        <f t="shared" si="263"/>
        <v>52907801.133190781</v>
      </c>
      <c r="FS71" s="20">
        <f t="shared" si="263"/>
        <v>52090398.525151126</v>
      </c>
      <c r="FT71" s="20">
        <f t="shared" si="263"/>
        <v>51179923.661283918</v>
      </c>
      <c r="FU71" s="20">
        <f t="shared" si="263"/>
        <v>50187507.212649867</v>
      </c>
      <c r="FV71" s="20">
        <f t="shared" si="263"/>
        <v>49124456.65479923</v>
      </c>
      <c r="FW71" s="20">
        <f t="shared" si="263"/>
        <v>48001678.010202102</v>
      </c>
      <c r="FX71" s="20">
        <f t="shared" si="263"/>
        <v>46829223.855077244</v>
      </c>
      <c r="FY71" s="20">
        <f t="shared" si="263"/>
        <v>45615987.402127005</v>
      </c>
      <c r="FZ71" s="20">
        <f t="shared" si="263"/>
        <v>44369541.811357267</v>
      </c>
      <c r="GA71" s="20">
        <f t="shared" si="263"/>
        <v>43096107.438168116</v>
      </c>
      <c r="GB71" s="20">
        <f t="shared" ref="GB71:HG71" si="264">GA71-GB58</f>
        <v>41800619.233771004</v>
      </c>
      <c r="GC71" s="20">
        <f t="shared" si="264"/>
        <v>40486862.25463593</v>
      </c>
      <c r="GD71" s="20">
        <f t="shared" si="264"/>
        <v>39157644.327730477</v>
      </c>
      <c r="GE71" s="20">
        <f t="shared" si="264"/>
        <v>37814979.760441877</v>
      </c>
      <c r="GF71" s="20">
        <f t="shared" si="264"/>
        <v>36460264.77311895</v>
      </c>
      <c r="GG71" s="20">
        <f t="shared" si="264"/>
        <v>35094432.461621583</v>
      </c>
      <c r="GH71" s="20">
        <f t="shared" si="264"/>
        <v>33721201.891770266</v>
      </c>
      <c r="GI71" s="20">
        <f t="shared" si="264"/>
        <v>32340532.98966559</v>
      </c>
      <c r="GJ71" s="20">
        <f t="shared" si="264"/>
        <v>30952385.464341182</v>
      </c>
      <c r="GK71" s="20">
        <f t="shared" si="264"/>
        <v>29556718.806587931</v>
      </c>
      <c r="GL71" s="20">
        <f t="shared" si="264"/>
        <v>28153492.287771851</v>
      </c>
      <c r="GM71" s="20">
        <f t="shared" si="264"/>
        <v>26742664.958645515</v>
      </c>
      <c r="GN71" s="20">
        <f t="shared" si="264"/>
        <v>25324195.648153082</v>
      </c>
      <c r="GO71" s="20">
        <f t="shared" si="264"/>
        <v>23898042.962228812</v>
      </c>
      <c r="GP71" s="20">
        <f t="shared" si="264"/>
        <v>22464165.282589119</v>
      </c>
      <c r="GQ71" s="20">
        <f t="shared" si="264"/>
        <v>21022520.765518047</v>
      </c>
      <c r="GR71" s="20">
        <f t="shared" si="264"/>
        <v>19573067.34064617</v>
      </c>
      <c r="GS71" s="20">
        <f t="shared" si="264"/>
        <v>18115762.709722906</v>
      </c>
      <c r="GT71" s="20">
        <f t="shared" si="264"/>
        <v>16650564.345382141</v>
      </c>
      <c r="GU71" s="20">
        <f t="shared" si="264"/>
        <v>15177429.489901196</v>
      </c>
      <c r="GV71" s="20">
        <f t="shared" si="264"/>
        <v>13696315.153953062</v>
      </c>
      <c r="GW71" s="20">
        <f t="shared" si="264"/>
        <v>12207178.115351876</v>
      </c>
      <c r="GX71" s="20">
        <f t="shared" si="264"/>
        <v>10709974.917791601</v>
      </c>
      <c r="GY71" s="20">
        <f t="shared" si="264"/>
        <v>9204661.8695778735</v>
      </c>
      <c r="GZ71" s="20">
        <f t="shared" si="264"/>
        <v>7691195.0423529893</v>
      </c>
      <c r="HA71" s="20">
        <f t="shared" si="264"/>
        <v>6169530.2698139697</v>
      </c>
      <c r="HB71" s="20">
        <f t="shared" si="264"/>
        <v>4639623.1464236975</v>
      </c>
      <c r="HC71" s="20">
        <f t="shared" si="264"/>
        <v>3101429.0261150608</v>
      </c>
      <c r="HD71" s="20">
        <f t="shared" si="264"/>
        <v>1554903.020988086</v>
      </c>
      <c r="HE71" s="20">
        <f t="shared" si="264"/>
        <v>6.9849193096160889E-9</v>
      </c>
      <c r="HF71" s="20">
        <f t="shared" si="264"/>
        <v>6.9849193096160889E-9</v>
      </c>
      <c r="HG71" s="20">
        <f t="shared" si="264"/>
        <v>6.9849193096160889E-9</v>
      </c>
      <c r="HH71" s="20">
        <f t="shared" ref="HH71:IM71" si="265">HG71-HH58</f>
        <v>6.9849193096160889E-9</v>
      </c>
      <c r="HI71" s="20">
        <f t="shared" si="265"/>
        <v>6.9849193096160889E-9</v>
      </c>
      <c r="HJ71" s="20">
        <f t="shared" si="265"/>
        <v>6.9849193096160889E-9</v>
      </c>
      <c r="HK71" s="20">
        <f t="shared" si="265"/>
        <v>6.9849193096160889E-9</v>
      </c>
      <c r="HL71" s="20">
        <f t="shared" si="265"/>
        <v>6.9849193096160889E-9</v>
      </c>
      <c r="HM71" s="20">
        <f t="shared" si="265"/>
        <v>6.9849193096160889E-9</v>
      </c>
      <c r="HN71" s="20">
        <f t="shared" si="265"/>
        <v>6.9849193096160889E-9</v>
      </c>
      <c r="HO71" s="20">
        <f t="shared" si="265"/>
        <v>6.9849193096160889E-9</v>
      </c>
      <c r="HP71" s="20">
        <f t="shared" si="265"/>
        <v>6.9849193096160889E-9</v>
      </c>
      <c r="HQ71" s="20">
        <f t="shared" si="265"/>
        <v>6.9849193096160889E-9</v>
      </c>
      <c r="HR71" s="20">
        <f t="shared" si="265"/>
        <v>6.9849193096160889E-9</v>
      </c>
      <c r="HS71" s="20">
        <f t="shared" si="265"/>
        <v>6.9849193096160889E-9</v>
      </c>
      <c r="HT71" s="20">
        <f t="shared" si="265"/>
        <v>6.9849193096160889E-9</v>
      </c>
      <c r="HU71" s="20">
        <f t="shared" si="265"/>
        <v>6.9849193096160889E-9</v>
      </c>
      <c r="HV71" s="20">
        <f t="shared" si="265"/>
        <v>6.9849193096160889E-9</v>
      </c>
      <c r="HW71" s="20">
        <f t="shared" si="265"/>
        <v>6.9849193096160889E-9</v>
      </c>
      <c r="HX71" s="20">
        <f t="shared" si="265"/>
        <v>6.9849193096160889E-9</v>
      </c>
      <c r="HY71" s="20">
        <f t="shared" si="265"/>
        <v>6.9849193096160889E-9</v>
      </c>
      <c r="HZ71" s="20">
        <f t="shared" si="265"/>
        <v>6.9849193096160889E-9</v>
      </c>
      <c r="IA71" s="20">
        <f t="shared" si="265"/>
        <v>6.9849193096160889E-9</v>
      </c>
      <c r="IB71" s="20">
        <f t="shared" si="265"/>
        <v>6.9849193096160889E-9</v>
      </c>
      <c r="IC71" s="20">
        <f t="shared" si="265"/>
        <v>6.9849193096160889E-9</v>
      </c>
      <c r="ID71" s="20">
        <f t="shared" si="265"/>
        <v>6.9849193096160889E-9</v>
      </c>
      <c r="IE71" s="20">
        <f t="shared" si="265"/>
        <v>6.9849193096160889E-9</v>
      </c>
      <c r="IF71" s="20">
        <f t="shared" si="265"/>
        <v>6.9849193096160889E-9</v>
      </c>
      <c r="IG71" s="20">
        <f t="shared" si="265"/>
        <v>6.9849193096160889E-9</v>
      </c>
      <c r="IH71" s="20">
        <f t="shared" si="265"/>
        <v>6.9849193096160889E-9</v>
      </c>
      <c r="II71" s="20">
        <f t="shared" si="265"/>
        <v>6.9849193096160889E-9</v>
      </c>
      <c r="IJ71" s="20">
        <f t="shared" si="265"/>
        <v>6.9849193096160889E-9</v>
      </c>
      <c r="IK71" s="20">
        <f t="shared" si="265"/>
        <v>6.9849193096160889E-9</v>
      </c>
      <c r="IL71" s="20">
        <f t="shared" si="265"/>
        <v>6.9849193096160889E-9</v>
      </c>
      <c r="IM71" s="20">
        <f t="shared" si="265"/>
        <v>6.9849193096160889E-9</v>
      </c>
      <c r="IN71" s="20">
        <f t="shared" ref="IN71:JX71" si="266">IM71-IN58</f>
        <v>6.9849193096160889E-9</v>
      </c>
      <c r="IO71" s="20">
        <f t="shared" si="266"/>
        <v>6.9849193096160889E-9</v>
      </c>
      <c r="IP71" s="20">
        <f t="shared" si="266"/>
        <v>6.9849193096160889E-9</v>
      </c>
      <c r="IQ71" s="20">
        <f t="shared" si="266"/>
        <v>6.9849193096160889E-9</v>
      </c>
      <c r="IR71" s="20">
        <f t="shared" si="266"/>
        <v>6.9849193096160889E-9</v>
      </c>
      <c r="IS71" s="20">
        <f t="shared" si="266"/>
        <v>6.9849193096160889E-9</v>
      </c>
      <c r="IT71" s="20">
        <f t="shared" si="266"/>
        <v>6.9849193096160889E-9</v>
      </c>
      <c r="IU71" s="20">
        <f t="shared" si="266"/>
        <v>6.9849193096160889E-9</v>
      </c>
      <c r="IV71" s="20">
        <f t="shared" si="266"/>
        <v>6.9849193096160889E-9</v>
      </c>
      <c r="IW71" s="20">
        <f t="shared" si="266"/>
        <v>6.9849193096160889E-9</v>
      </c>
      <c r="IX71" s="20">
        <f t="shared" si="266"/>
        <v>6.9849193096160889E-9</v>
      </c>
      <c r="IY71" s="20">
        <f t="shared" si="266"/>
        <v>6.9849193096160889E-9</v>
      </c>
      <c r="IZ71" s="20">
        <f t="shared" si="266"/>
        <v>6.9849193096160889E-9</v>
      </c>
      <c r="JA71" s="20">
        <f t="shared" si="266"/>
        <v>6.9849193096160889E-9</v>
      </c>
      <c r="JB71" s="20">
        <f t="shared" si="266"/>
        <v>6.9849193096160889E-9</v>
      </c>
      <c r="JC71" s="20">
        <f t="shared" si="266"/>
        <v>6.9849193096160889E-9</v>
      </c>
      <c r="JD71" s="20">
        <f t="shared" si="266"/>
        <v>6.9849193096160889E-9</v>
      </c>
      <c r="JE71" s="20">
        <f t="shared" si="266"/>
        <v>6.9849193096160889E-9</v>
      </c>
      <c r="JF71" s="20">
        <f t="shared" si="266"/>
        <v>6.9849193096160889E-9</v>
      </c>
      <c r="JG71" s="20">
        <f t="shared" si="266"/>
        <v>6.9849193096160889E-9</v>
      </c>
      <c r="JH71" s="20">
        <f t="shared" si="266"/>
        <v>6.9849193096160889E-9</v>
      </c>
      <c r="JI71" s="20">
        <f t="shared" si="266"/>
        <v>6.9849193096160889E-9</v>
      </c>
      <c r="JJ71" s="20">
        <f t="shared" si="266"/>
        <v>6.9849193096160889E-9</v>
      </c>
      <c r="JK71" s="20">
        <f t="shared" si="266"/>
        <v>6.9849193096160889E-9</v>
      </c>
      <c r="JL71" s="20">
        <f t="shared" si="266"/>
        <v>6.9849193096160889E-9</v>
      </c>
      <c r="JM71" s="20">
        <f t="shared" si="266"/>
        <v>6.9849193096160889E-9</v>
      </c>
      <c r="JN71" s="20">
        <f t="shared" si="266"/>
        <v>6.9849193096160889E-9</v>
      </c>
      <c r="JO71" s="20">
        <f t="shared" si="266"/>
        <v>6.9849193096160889E-9</v>
      </c>
      <c r="JP71" s="20">
        <f t="shared" si="266"/>
        <v>6.9849193096160889E-9</v>
      </c>
      <c r="JQ71" s="20">
        <f t="shared" si="266"/>
        <v>6.9849193096160889E-9</v>
      </c>
      <c r="JR71" s="20">
        <f t="shared" si="266"/>
        <v>6.9849193096160889E-9</v>
      </c>
      <c r="JS71" s="20">
        <f t="shared" si="266"/>
        <v>6.9849193096160889E-9</v>
      </c>
      <c r="JT71" s="20">
        <f t="shared" si="266"/>
        <v>6.9849193096160889E-9</v>
      </c>
      <c r="JU71" s="20">
        <f t="shared" si="266"/>
        <v>6.9849193096160889E-9</v>
      </c>
      <c r="JV71" s="20">
        <f t="shared" si="266"/>
        <v>6.9849193096160889E-9</v>
      </c>
      <c r="JW71" s="20">
        <f t="shared" si="266"/>
        <v>6.9849193096160889E-9</v>
      </c>
      <c r="JX71" s="20">
        <f t="shared" si="266"/>
        <v>6.9849193096160889E-9</v>
      </c>
      <c r="JY71"/>
      <c r="JZ71" s="262"/>
      <c r="KA71" s="262"/>
      <c r="KB71" s="262"/>
      <c r="KC71" s="262"/>
      <c r="KD71" s="262"/>
      <c r="KE71" s="262"/>
      <c r="KF71" s="262"/>
      <c r="KG71" s="262"/>
      <c r="KH71" s="262"/>
      <c r="KI71" s="262"/>
      <c r="KJ71" s="262"/>
      <c r="KK71" s="262"/>
      <c r="KL71" s="262"/>
      <c r="KM71" s="262"/>
      <c r="KN71" s="262"/>
      <c r="KO71" s="262"/>
      <c r="KP71" s="262"/>
      <c r="KQ71" s="262"/>
      <c r="KR71" s="262"/>
      <c r="KS71" s="262"/>
      <c r="KT71" s="262"/>
      <c r="KU71" s="262"/>
      <c r="KV71" s="262"/>
      <c r="KW71" s="262"/>
      <c r="KX71" s="262"/>
      <c r="KY71" s="262"/>
      <c r="KZ71" s="262"/>
      <c r="LA71" s="262"/>
      <c r="LB71" s="262"/>
      <c r="LC71" s="262"/>
      <c r="LD71" s="262"/>
      <c r="LE71" s="262"/>
      <c r="LF71" s="262"/>
      <c r="LG71" s="262"/>
      <c r="LH71" s="262"/>
      <c r="LI71" s="262"/>
      <c r="LJ71" s="262"/>
      <c r="LK71" s="262"/>
      <c r="LL71" s="262"/>
      <c r="LM71" s="262"/>
      <c r="LN71" s="262"/>
      <c r="LO71" s="262"/>
      <c r="LP71" s="262"/>
      <c r="LQ71" s="262"/>
      <c r="LR71" s="262"/>
      <c r="LS71" s="262"/>
      <c r="LT71" s="262"/>
      <c r="LU71" s="262"/>
      <c r="LV71" s="262"/>
      <c r="LW71" s="262"/>
      <c r="LX71" s="262"/>
      <c r="LY71" s="262"/>
      <c r="LZ71" s="262"/>
      <c r="MA71" s="262"/>
      <c r="MB71" s="262"/>
      <c r="MC71" s="262"/>
      <c r="MD71" s="262"/>
      <c r="ME71" s="262"/>
      <c r="MF71" s="262"/>
      <c r="MG71" s="262"/>
      <c r="MH71" s="262"/>
      <c r="MI71" s="262"/>
      <c r="MJ71" s="262"/>
      <c r="MK71" s="262"/>
      <c r="ML71" s="262"/>
      <c r="MM71" s="262"/>
      <c r="MN71" s="262"/>
      <c r="MO71" s="262"/>
      <c r="MP71" s="262"/>
      <c r="MQ71" s="262"/>
      <c r="MR71" s="262"/>
      <c r="MS71" s="262"/>
      <c r="MT71" s="262"/>
      <c r="MU71" s="262"/>
      <c r="MV71" s="262"/>
      <c r="MW71" s="262"/>
      <c r="MX71" s="262"/>
      <c r="MY71" s="262"/>
      <c r="MZ71" s="262"/>
      <c r="NA71" s="262"/>
      <c r="NB71" s="262"/>
      <c r="NC71" s="262"/>
      <c r="ND71" s="262"/>
      <c r="NE71" s="262"/>
      <c r="NF71" s="262"/>
      <c r="NG71" s="262"/>
      <c r="NH71" s="262"/>
      <c r="NI71" s="262"/>
      <c r="NJ71" s="262"/>
      <c r="NK71" s="262"/>
      <c r="NL71" s="262"/>
      <c r="NM71" s="262"/>
      <c r="NN71" s="262"/>
      <c r="NO71" s="262"/>
      <c r="NP71" s="262"/>
      <c r="NQ71" s="262"/>
      <c r="NR71" s="262"/>
      <c r="NS71" s="262"/>
      <c r="NT71" s="262"/>
      <c r="NU71" s="262"/>
      <c r="NV71" s="262"/>
      <c r="NW71" s="262"/>
      <c r="NX71" s="262"/>
      <c r="NY71" s="262"/>
      <c r="NZ71" s="262"/>
      <c r="OA71" s="262"/>
      <c r="OB71" s="262"/>
      <c r="OC71" s="262"/>
      <c r="OD71" s="262"/>
      <c r="OE71" s="262"/>
      <c r="OF71" s="262"/>
      <c r="OG71" s="262"/>
      <c r="OH71" s="262"/>
      <c r="OI71" s="262"/>
      <c r="OJ71" s="262"/>
      <c r="OK71" s="262"/>
      <c r="OL71" s="262"/>
      <c r="OM71" s="262"/>
      <c r="ON71" s="262"/>
      <c r="OO71" s="262"/>
      <c r="OP71" s="262"/>
      <c r="OQ71" s="262"/>
      <c r="OR71" s="262"/>
      <c r="OS71" s="262"/>
      <c r="OT71" s="262"/>
      <c r="OU71" s="262"/>
      <c r="OV71" s="262"/>
      <c r="OW71" s="262"/>
      <c r="OX71" s="262"/>
      <c r="OY71" s="262"/>
      <c r="OZ71" s="262"/>
      <c r="PA71" s="262"/>
      <c r="PB71" s="262"/>
      <c r="PC71" s="262"/>
      <c r="PD71" s="262"/>
      <c r="PE71" s="262"/>
      <c r="PF71" s="262"/>
      <c r="PG71" s="262"/>
      <c r="PH71" s="262"/>
    </row>
    <row r="72" spans="1:424" x14ac:dyDescent="0.35">
      <c r="A72"/>
      <c r="B72" s="444" t="s">
        <v>198</v>
      </c>
      <c r="C72" s="400"/>
      <c r="D72" s="400"/>
      <c r="E72" s="400"/>
      <c r="F72" s="52">
        <f>I72/Project_Cost_Total</f>
        <v>0.52400395824069002</v>
      </c>
      <c r="G72" s="134"/>
      <c r="H72" s="415">
        <f>I72/Units_SF_M2</f>
        <v>2997.3431186036514</v>
      </c>
      <c r="I72" s="445">
        <f>SUM(L72:EN72)</f>
        <v>235202653.50721359</v>
      </c>
      <c r="J72"/>
      <c r="K72"/>
      <c r="L72" s="417">
        <f>IF(COUNTIF(DEBT!$F$64:$DV$64,L$24)=0,0,INDEX(DEBT!$F$81:$DV$81,1,MATCH(L$24,DEBT!$F$64:$DV$64,0)))</f>
        <v>16628131.21831876</v>
      </c>
      <c r="M72" s="417">
        <f>IF(COUNTIF(DEBT!$F$64:$DV$64,M$24)=0,0,INDEX(DEBT!$F$81:$DV$81,1,MATCH(M$24,DEBT!$F$64:$DV$64,0)))</f>
        <v>952590.63109591056</v>
      </c>
      <c r="N72" s="417">
        <f>IF(COUNTIF(DEBT!$F$64:$DV$64,N$24)=0,0,INDEX(DEBT!$F$81:$DV$81,1,MATCH(N$24,DEBT!$F$64:$DV$64,0)))</f>
        <v>1153238.7592138182</v>
      </c>
      <c r="O72" s="417">
        <f>IF(COUNTIF(DEBT!$F$64:$DV$64,O$24)=0,0,INDEX(DEBT!$F$81:$DV$81,1,MATCH(O$24,DEBT!$F$64:$DV$64,0)))</f>
        <v>1593255.3182424391</v>
      </c>
      <c r="P72" s="417">
        <f>IF(COUNTIF(DEBT!$F$64:$DV$64,P$24)=0,0,INDEX(DEBT!$F$81:$DV$81,1,MATCH(P$24,DEBT!$F$64:$DV$64,0)))</f>
        <v>2151126.2631915766</v>
      </c>
      <c r="Q72" s="417">
        <f>IF(COUNTIF(DEBT!$F$64:$DV$64,Q$24)=0,0,INDEX(DEBT!$F$81:$DV$81,1,MATCH(Q$24,DEBT!$F$64:$DV$64,0)))</f>
        <v>2898639.7829110157</v>
      </c>
      <c r="R72" s="417">
        <f>IF(COUNTIF(DEBT!$F$64:$DV$64,R$24)=0,0,INDEX(DEBT!$F$81:$DV$81,1,MATCH(R$24,DEBT!$F$64:$DV$64,0)))</f>
        <v>3868810.0707379892</v>
      </c>
      <c r="S72" s="417">
        <f>IF(COUNTIF(DEBT!$F$64:$DV$64,S$24)=0,0,INDEX(DEBT!$F$81:$DV$81,1,MATCH(S$24,DEBT!$F$64:$DV$64,0)))</f>
        <v>5087252.4296078607</v>
      </c>
      <c r="T72" s="417">
        <f>IF(COUNTIF(DEBT!$F$64:$DV$64,T$24)=0,0,INDEX(DEBT!$F$81:$DV$81,1,MATCH(T$24,DEBT!$F$64:$DV$64,0)))</f>
        <v>6566224.3704085397</v>
      </c>
      <c r="U72" s="417">
        <f>IF(COUNTIF(DEBT!$F$64:$DV$64,U$24)=0,0,INDEX(DEBT!$F$81:$DV$81,1,MATCH(U$24,DEBT!$F$64:$DV$64,0)))</f>
        <v>8298517.1205737963</v>
      </c>
      <c r="V72" s="417">
        <f>IF(COUNTIF(DEBT!$F$64:$DV$64,V$24)=0,0,INDEX(DEBT!$F$81:$DV$81,1,MATCH(V$24,DEBT!$F$64:$DV$64,0)))</f>
        <v>10252240.165656256</v>
      </c>
      <c r="W72" s="417">
        <f>IF(COUNTIF(DEBT!$F$64:$DV$64,W$24)=0,0,INDEX(DEBT!$F$81:$DV$81,1,MATCH(W$24,DEBT!$F$64:$DV$64,0)))</f>
        <v>12367698.147663975</v>
      </c>
      <c r="X72" s="417">
        <f>IF(COUNTIF(DEBT!$F$64:$DV$64,X$24)=0,0,INDEX(DEBT!$F$81:$DV$81,1,MATCH(X$24,DEBT!$F$64:$DV$64,0)))</f>
        <v>14557484.657830048</v>
      </c>
      <c r="Y72" s="417">
        <f>IF(COUNTIF(DEBT!$F$64:$DV$64,Y$24)=0,0,INDEX(DEBT!$F$81:$DV$81,1,MATCH(Y$24,DEBT!$F$64:$DV$64,0)))</f>
        <v>14432335.04440251</v>
      </c>
      <c r="Z72" s="417">
        <f>IF(COUNTIF(DEBT!$F$64:$DV$64,Z$24)=0,0,INDEX(DEBT!$F$81:$DV$81,1,MATCH(Z$24,DEBT!$F$64:$DV$64,0)))</f>
        <v>9350243.9477226138</v>
      </c>
      <c r="AA72" s="417">
        <f>IF(COUNTIF(DEBT!$F$64:$DV$64,AA$24)=0,0,INDEX(DEBT!$F$81:$DV$81,1,MATCH(AA$24,DEBT!$F$64:$DV$64,0)))</f>
        <v>10198571.003748894</v>
      </c>
      <c r="AB72" s="417">
        <f>IF(COUNTIF(DEBT!$F$64:$DV$64,AB$24)=0,0,INDEX(DEBT!$F$81:$DV$81,1,MATCH(AB$24,DEBT!$F$64:$DV$64,0)))</f>
        <v>10840288.090406999</v>
      </c>
      <c r="AC72" s="417">
        <f>IF(COUNTIF(DEBT!$F$64:$DV$64,AC$24)=0,0,INDEX(DEBT!$F$81:$DV$81,1,MATCH(AC$24,DEBT!$F$64:$DV$64,0)))</f>
        <v>11227475.507889703</v>
      </c>
      <c r="AD72" s="417">
        <f>IF(COUNTIF(DEBT!$F$64:$DV$64,AD$24)=0,0,INDEX(DEBT!$F$81:$DV$81,1,MATCH(AD$24,DEBT!$F$64:$DV$64,0)))</f>
        <v>11330171.302228957</v>
      </c>
      <c r="AE72" s="417">
        <f>IF(COUNTIF(DEBT!$F$64:$DV$64,AE$24)=0,0,INDEX(DEBT!$F$81:$DV$81,1,MATCH(AE$24,DEBT!$F$64:$DV$64,0)))</f>
        <v>11140198.701522857</v>
      </c>
      <c r="AF72" s="417">
        <f>IF(COUNTIF(DEBT!$F$64:$DV$64,AF$24)=0,0,INDEX(DEBT!$F$81:$DV$81,1,MATCH(AF$24,DEBT!$F$64:$DV$64,0)))</f>
        <v>10717614.626966476</v>
      </c>
      <c r="AG72" s="417">
        <f>IF(COUNTIF(DEBT!$F$64:$DV$64,AG$24)=0,0,INDEX(DEBT!$F$81:$DV$81,1,MATCH(AG$24,DEBT!$F$64:$DV$64,0)))</f>
        <v>10139987.759013325</v>
      </c>
      <c r="AH72" s="417">
        <f>IF(COUNTIF(DEBT!$F$64:$DV$64,AH$24)=0,0,INDEX(DEBT!$F$81:$DV$81,1,MATCH(AH$24,DEBT!$F$64:$DV$64,0)))</f>
        <v>9358749.9466937482</v>
      </c>
      <c r="AI72" s="417">
        <f>IF(COUNTIF(DEBT!$F$64:$DV$64,AI$24)=0,0,INDEX(DEBT!$F$81:$DV$81,1,MATCH(AI$24,DEBT!$F$64:$DV$64,0)))</f>
        <v>8427930.7761743367</v>
      </c>
      <c r="AJ72" s="417">
        <f>IF(COUNTIF(DEBT!$F$64:$DV$64,AJ$24)=0,0,INDEX(DEBT!$F$81:$DV$81,1,MATCH(AJ$24,DEBT!$F$64:$DV$64,0)))</f>
        <v>7407265.9255515635</v>
      </c>
      <c r="AK72" s="417">
        <f>IF(COUNTIF(DEBT!$F$64:$DV$64,AK$24)=0,0,INDEX(DEBT!$F$81:$DV$81,1,MATCH(AK$24,DEBT!$F$64:$DV$64,0)))</f>
        <v>6355958.6232007742</v>
      </c>
      <c r="AL72" s="417">
        <f>IF(COUNTIF(DEBT!$F$64:$DV$64,AL$24)=0,0,INDEX(DEBT!$F$81:$DV$81,1,MATCH(AL$24,DEBT!$F$64:$DV$64,0)))</f>
        <v>5327231.8471754789</v>
      </c>
      <c r="AM72" s="417">
        <f>IF(COUNTIF(DEBT!$F$64:$DV$64,AM$24)=0,0,INDEX(DEBT!$F$81:$DV$81,1,MATCH(AM$24,DEBT!$F$64:$DV$64,0)))</f>
        <v>4364324.7526958287</v>
      </c>
      <c r="AN72" s="417">
        <f>IF(COUNTIF(DEBT!$F$64:$DV$64,AN$24)=0,0,INDEX(DEBT!$F$81:$DV$81,1,MATCH(AN$24,DEBT!$F$64:$DV$64,0)))</f>
        <v>3498264.0780161023</v>
      </c>
      <c r="AO72" s="417">
        <f>IF(COUNTIF(DEBT!$F$64:$DV$64,AO$24)=0,0,INDEX(DEBT!$F$81:$DV$81,1,MATCH(AO$24,DEBT!$F$64:$DV$64,0)))</f>
        <v>2747407.6656336188</v>
      </c>
      <c r="AP72" s="417">
        <f>IF(COUNTIF(DEBT!$F$64:$DV$64,AP$24)=0,0,INDEX(DEBT!$F$81:$DV$81,1,MATCH(AP$24,DEBT!$F$64:$DV$64,0)))</f>
        <v>1224305.0030850768</v>
      </c>
      <c r="AQ72" s="417">
        <f>IF(COUNTIF(DEBT!$F$64:$DV$64,AQ$24)=0,0,INDEX(DEBT!$F$81:$DV$81,1,MATCH(AQ$24,DEBT!$F$64:$DV$64,0)))</f>
        <v>209638.92700129747</v>
      </c>
      <c r="AR72" s="417">
        <f>IF(COUNTIF(DEBT!$F$64:$DV$64,AR$24)=0,0,INDEX(DEBT!$F$81:$DV$81,1,MATCH(AR$24,DEBT!$F$64:$DV$64,0)))</f>
        <v>169571.13126644492</v>
      </c>
      <c r="AS72" s="417">
        <f>IF(COUNTIF(DEBT!$F$64:$DV$64,AS$24)=0,0,INDEX(DEBT!$F$81:$DV$81,1,MATCH(AS$24,DEBT!$F$64:$DV$64,0)))</f>
        <v>132711.21484693885</v>
      </c>
      <c r="AT72" s="417">
        <f>IF(COUNTIF(DEBT!$F$64:$DV$64,AT$24)=0,0,INDEX(DEBT!$F$81:$DV$81,1,MATCH(AT$24,DEBT!$F$64:$DV$64,0)))</f>
        <v>100597.62539994717</v>
      </c>
      <c r="AU72" s="417">
        <f>IF(COUNTIF(DEBT!$F$64:$DV$64,AU$24)=0,0,INDEX(DEBT!$F$81:$DV$81,1,MATCH(AU$24,DEBT!$F$64:$DV$64,0)))</f>
        <v>73917.592887252569</v>
      </c>
      <c r="AV72" s="417">
        <f>IF(COUNTIF(DEBT!$F$64:$DV$64,AV$24)=0,0,INDEX(DEBT!$F$81:$DV$81,1,MATCH(AV$24,DEBT!$F$64:$DV$64,0)))</f>
        <v>52683.47823086381</v>
      </c>
      <c r="AW72" s="417">
        <f>IF(COUNTIF(DEBT!$F$64:$DV$64,AW$24)=0,0,INDEX(DEBT!$F$81:$DV$81,1,MATCH(AW$24,DEBT!$F$64:$DV$64,0)))</f>
        <v>0</v>
      </c>
      <c r="AX72" s="417">
        <f>IF(COUNTIF(DEBT!$F$64:$DV$64,AX$24)=0,0,INDEX(DEBT!$F$81:$DV$81,1,MATCH(AX$24,DEBT!$F$64:$DV$64,0)))</f>
        <v>0</v>
      </c>
      <c r="AY72" s="417">
        <f>IF(COUNTIF(DEBT!$F$64:$DV$64,AY$24)=0,0,INDEX(DEBT!$F$81:$DV$81,1,MATCH(AY$24,DEBT!$F$64:$DV$64,0)))</f>
        <v>0</v>
      </c>
      <c r="AZ72" s="417">
        <f>IF(COUNTIF(DEBT!$F$64:$DV$64,AZ$24)=0,0,INDEX(DEBT!$F$81:$DV$81,1,MATCH(AZ$24,DEBT!$F$64:$DV$64,0)))</f>
        <v>0</v>
      </c>
      <c r="BA72" s="417">
        <f>IF(COUNTIF(DEBT!$F$64:$DV$64,BA$24)=0,0,INDEX(DEBT!$F$81:$DV$81,1,MATCH(BA$24,DEBT!$F$64:$DV$64,0)))</f>
        <v>0</v>
      </c>
      <c r="BB72" s="417">
        <f>IF(COUNTIF(DEBT!$F$64:$DV$64,BB$24)=0,0,INDEX(DEBT!$F$81:$DV$81,1,MATCH(BB$24,DEBT!$F$64:$DV$64,0)))</f>
        <v>0</v>
      </c>
      <c r="BC72" s="417">
        <f>IF(COUNTIF(DEBT!$F$64:$DV$64,BC$24)=0,0,INDEX(DEBT!$F$81:$DV$81,1,MATCH(BC$24,DEBT!$F$64:$DV$64,0)))</f>
        <v>0</v>
      </c>
      <c r="BD72" s="417">
        <f>IF(COUNTIF(DEBT!$F$64:$DV$64,BD$24)=0,0,INDEX(DEBT!$F$81:$DV$81,1,MATCH(BD$24,DEBT!$F$64:$DV$64,0)))</f>
        <v>0</v>
      </c>
      <c r="BE72" s="417">
        <f>IF(COUNTIF(DEBT!$F$64:$DV$64,BE$24)=0,0,INDEX(DEBT!$F$81:$DV$81,1,MATCH(BE$24,DEBT!$F$64:$DV$64,0)))</f>
        <v>0</v>
      </c>
      <c r="BF72" s="417">
        <f>IF(COUNTIF(DEBT!$F$64:$DV$64,BF$24)=0,0,INDEX(DEBT!$F$81:$DV$81,1,MATCH(BF$24,DEBT!$F$64:$DV$64,0)))</f>
        <v>0</v>
      </c>
      <c r="BG72" s="417">
        <f>IF(COUNTIF(DEBT!$F$64:$DV$64,BG$24)=0,0,INDEX(DEBT!$F$81:$DV$81,1,MATCH(BG$24,DEBT!$F$64:$DV$64,0)))</f>
        <v>0</v>
      </c>
      <c r="BH72" s="417">
        <f>IF(COUNTIF(DEBT!$F$64:$DV$64,BH$24)=0,0,INDEX(DEBT!$F$81:$DV$81,1,MATCH(BH$24,DEBT!$F$64:$DV$64,0)))</f>
        <v>0</v>
      </c>
      <c r="BI72" s="417">
        <f>IF(COUNTIF(DEBT!$F$64:$DV$64,BI$24)=0,0,INDEX(DEBT!$F$81:$DV$81,1,MATCH(BI$24,DEBT!$F$64:$DV$64,0)))</f>
        <v>0</v>
      </c>
      <c r="BJ72" s="417">
        <f>IF(COUNTIF(DEBT!$F$64:$DV$64,BJ$24)=0,0,INDEX(DEBT!$F$81:$DV$81,1,MATCH(BJ$24,DEBT!$F$64:$DV$64,0)))</f>
        <v>0</v>
      </c>
      <c r="BK72" s="417">
        <f>IF(COUNTIF(DEBT!$F$64:$DV$64,BK$24)=0,0,INDEX(DEBT!$F$81:$DV$81,1,MATCH(BK$24,DEBT!$F$64:$DV$64,0)))</f>
        <v>0</v>
      </c>
      <c r="BL72" s="417">
        <f>IF(COUNTIF(DEBT!$F$64:$DV$64,BL$24)=0,0,INDEX(DEBT!$F$81:$DV$81,1,MATCH(BL$24,DEBT!$F$64:$DV$64,0)))</f>
        <v>0</v>
      </c>
      <c r="BM72" s="417">
        <f>IF(COUNTIF(DEBT!$F$64:$DV$64,BM$24)=0,0,INDEX(DEBT!$F$81:$DV$81,1,MATCH(BM$24,DEBT!$F$64:$DV$64,0)))</f>
        <v>0</v>
      </c>
      <c r="BN72" s="417">
        <f>IF(COUNTIF(DEBT!$F$64:$DV$64,BN$24)=0,0,INDEX(DEBT!$F$81:$DV$81,1,MATCH(BN$24,DEBT!$F$64:$DV$64,0)))</f>
        <v>0</v>
      </c>
      <c r="BO72" s="417">
        <f>IF(COUNTIF(DEBT!$F$64:$DV$64,BO$24)=0,0,INDEX(DEBT!$F$81:$DV$81,1,MATCH(BO$24,DEBT!$F$64:$DV$64,0)))</f>
        <v>0</v>
      </c>
      <c r="BP72" s="417">
        <f>IF(COUNTIF(DEBT!$F$64:$DV$64,BP$24)=0,0,INDEX(DEBT!$F$81:$DV$81,1,MATCH(BP$24,DEBT!$F$64:$DV$64,0)))</f>
        <v>0</v>
      </c>
      <c r="BQ72" s="417">
        <f>IF(COUNTIF(DEBT!$F$64:$DV$64,BQ$24)=0,0,INDEX(DEBT!$F$81:$DV$81,1,MATCH(BQ$24,DEBT!$F$64:$DV$64,0)))</f>
        <v>0</v>
      </c>
      <c r="BR72" s="417">
        <f>IF(COUNTIF(DEBT!$F$64:$DV$64,BR$24)=0,0,INDEX(DEBT!$F$81:$DV$81,1,MATCH(BR$24,DEBT!$F$64:$DV$64,0)))</f>
        <v>0</v>
      </c>
      <c r="BS72" s="417">
        <f>IF(COUNTIF(DEBT!$F$64:$DV$64,BS$24)=0,0,INDEX(DEBT!$F$81:$DV$81,1,MATCH(BS$24,DEBT!$F$64:$DV$64,0)))</f>
        <v>0</v>
      </c>
      <c r="BT72" s="417">
        <f>IF(COUNTIF(DEBT!$F$64:$DV$64,BT$24)=0,0,INDEX(DEBT!$F$81:$DV$81,1,MATCH(BT$24,DEBT!$F$64:$DV$64,0)))</f>
        <v>0</v>
      </c>
      <c r="BU72" s="417">
        <f>IF(COUNTIF(DEBT!$F$64:$DV$64,BU$24)=0,0,INDEX(DEBT!$F$81:$DV$81,1,MATCH(BU$24,DEBT!$F$64:$DV$64,0)))</f>
        <v>0</v>
      </c>
      <c r="BV72" s="417">
        <f>IF(COUNTIF(DEBT!$F$64:$DV$64,BV$24)=0,0,INDEX(DEBT!$F$81:$DV$81,1,MATCH(BV$24,DEBT!$F$64:$DV$64,0)))</f>
        <v>0</v>
      </c>
      <c r="BW72" s="417">
        <f>IF(COUNTIF(DEBT!$F$64:$DV$64,BW$24)=0,0,INDEX(DEBT!$F$81:$DV$81,1,MATCH(BW$24,DEBT!$F$64:$DV$64,0)))</f>
        <v>0</v>
      </c>
      <c r="BX72" s="417">
        <f>IF(COUNTIF(DEBT!$F$64:$DV$64,BX$24)=0,0,INDEX(DEBT!$F$81:$DV$81,1,MATCH(BX$24,DEBT!$F$64:$DV$64,0)))</f>
        <v>0</v>
      </c>
      <c r="BY72" s="417">
        <f>IF(COUNTIF(DEBT!$F$64:$DV$64,BY$24)=0,0,INDEX(DEBT!$F$81:$DV$81,1,MATCH(BY$24,DEBT!$F$64:$DV$64,0)))</f>
        <v>0</v>
      </c>
      <c r="BZ72" s="417">
        <f>IF(COUNTIF(DEBT!$F$64:$DV$64,BZ$24)=0,0,INDEX(DEBT!$F$81:$DV$81,1,MATCH(BZ$24,DEBT!$F$64:$DV$64,0)))</f>
        <v>0</v>
      </c>
      <c r="CA72" s="417">
        <f>IF(COUNTIF(DEBT!$F$64:$DV$64,CA$24)=0,0,INDEX(DEBT!$F$81:$DV$81,1,MATCH(CA$24,DEBT!$F$64:$DV$64,0)))</f>
        <v>0</v>
      </c>
      <c r="CB72" s="417">
        <f>IF(COUNTIF(DEBT!$F$64:$DV$64,CB$24)=0,0,INDEX(DEBT!$F$81:$DV$81,1,MATCH(CB$24,DEBT!$F$64:$DV$64,0)))</f>
        <v>0</v>
      </c>
      <c r="CC72" s="417">
        <f>IF(COUNTIF(DEBT!$F$64:$DV$64,CC$24)=0,0,INDEX(DEBT!$F$81:$DV$81,1,MATCH(CC$24,DEBT!$F$64:$DV$64,0)))</f>
        <v>0</v>
      </c>
      <c r="CD72" s="417">
        <f>IF(COUNTIF(DEBT!$F$64:$DV$64,CD$24)=0,0,INDEX(DEBT!$F$81:$DV$81,1,MATCH(CD$24,DEBT!$F$64:$DV$64,0)))</f>
        <v>0</v>
      </c>
      <c r="CE72" s="417">
        <f>IF(COUNTIF(DEBT!$F$64:$DV$64,CE$24)=0,0,INDEX(DEBT!$F$81:$DV$81,1,MATCH(CE$24,DEBT!$F$64:$DV$64,0)))</f>
        <v>0</v>
      </c>
      <c r="CF72" s="417">
        <f>IF(COUNTIF(DEBT!$F$64:$DV$64,CF$24)=0,0,INDEX(DEBT!$F$81:$DV$81,1,MATCH(CF$24,DEBT!$F$64:$DV$64,0)))</f>
        <v>0</v>
      </c>
      <c r="CG72" s="417">
        <f>IF(COUNTIF(DEBT!$F$64:$DV$64,CG$24)=0,0,INDEX(DEBT!$F$81:$DV$81,1,MATCH(CG$24,DEBT!$F$64:$DV$64,0)))</f>
        <v>0</v>
      </c>
      <c r="CH72" s="417">
        <f>IF(COUNTIF(DEBT!$F$64:$DV$64,CH$24)=0,0,INDEX(DEBT!$F$81:$DV$81,1,MATCH(CH$24,DEBT!$F$64:$DV$64,0)))</f>
        <v>0</v>
      </c>
      <c r="CI72" s="417">
        <f>IF(COUNTIF(DEBT!$F$64:$DV$64,CI$24)=0,0,INDEX(DEBT!$F$81:$DV$81,1,MATCH(CI$24,DEBT!$F$64:$DV$64,0)))</f>
        <v>0</v>
      </c>
      <c r="CJ72" s="417">
        <f>IF(COUNTIF(DEBT!$F$64:$DV$64,CJ$24)=0,0,INDEX(DEBT!$F$81:$DV$81,1,MATCH(CJ$24,DEBT!$F$64:$DV$64,0)))</f>
        <v>0</v>
      </c>
      <c r="CK72" s="417">
        <f>IF(COUNTIF(DEBT!$F$64:$DV$64,CK$24)=0,0,INDEX(DEBT!$F$81:$DV$81,1,MATCH(CK$24,DEBT!$F$64:$DV$64,0)))</f>
        <v>0</v>
      </c>
      <c r="CL72" s="417">
        <f>IF(COUNTIF(DEBT!$F$64:$DV$64,CL$24)=0,0,INDEX(DEBT!$F$81:$DV$81,1,MATCH(CL$24,DEBT!$F$64:$DV$64,0)))</f>
        <v>0</v>
      </c>
      <c r="CM72" s="417">
        <f>IF(COUNTIF(DEBT!$F$64:$DV$64,CM$24)=0,0,INDEX(DEBT!$F$81:$DV$81,1,MATCH(CM$24,DEBT!$F$64:$DV$64,0)))</f>
        <v>0</v>
      </c>
      <c r="CN72" s="417">
        <f>IF(COUNTIF(DEBT!$F$64:$DV$64,CN$24)=0,0,INDEX(DEBT!$F$81:$DV$81,1,MATCH(CN$24,DEBT!$F$64:$DV$64,0)))</f>
        <v>0</v>
      </c>
      <c r="CO72" s="417">
        <f>IF(COUNTIF(DEBT!$F$64:$DV$64,CO$24)=0,0,INDEX(DEBT!$F$81:$DV$81,1,MATCH(CO$24,DEBT!$F$64:$DV$64,0)))</f>
        <v>0</v>
      </c>
      <c r="CP72" s="417">
        <f>IF(COUNTIF(DEBT!$F$64:$DV$64,CP$24)=0,0,INDEX(DEBT!$F$81:$DV$81,1,MATCH(CP$24,DEBT!$F$64:$DV$64,0)))</f>
        <v>0</v>
      </c>
      <c r="CQ72" s="417">
        <f>IF(COUNTIF(DEBT!$F$64:$DV$64,CQ$24)=0,0,INDEX(DEBT!$F$81:$DV$81,1,MATCH(CQ$24,DEBT!$F$64:$DV$64,0)))</f>
        <v>0</v>
      </c>
      <c r="CR72" s="417">
        <f>IF(COUNTIF(DEBT!$F$64:$DV$64,CR$24)=0,0,INDEX(DEBT!$F$81:$DV$81,1,MATCH(CR$24,DEBT!$F$64:$DV$64,0)))</f>
        <v>0</v>
      </c>
      <c r="CS72" s="417">
        <f>IF(COUNTIF(DEBT!$F$64:$DV$64,CS$24)=0,0,INDEX(DEBT!$F$81:$DV$81,1,MATCH(CS$24,DEBT!$F$64:$DV$64,0)))</f>
        <v>0</v>
      </c>
      <c r="CT72" s="417">
        <f>IF(COUNTIF(DEBT!$F$64:$DV$64,CT$24)=0,0,INDEX(DEBT!$F$81:$DV$81,1,MATCH(CT$24,DEBT!$F$64:$DV$64,0)))</f>
        <v>0</v>
      </c>
      <c r="CU72" s="417">
        <f>IF(COUNTIF(DEBT!$F$64:$DV$64,CU$24)=0,0,INDEX(DEBT!$F$81:$DV$81,1,MATCH(CU$24,DEBT!$F$64:$DV$64,0)))</f>
        <v>0</v>
      </c>
      <c r="CV72" s="417">
        <f>IF(COUNTIF(DEBT!$F$64:$DV$64,CV$24)=0,0,INDEX(DEBT!$F$81:$DV$81,1,MATCH(CV$24,DEBT!$F$64:$DV$64,0)))</f>
        <v>0</v>
      </c>
      <c r="CW72" s="417">
        <f>IF(COUNTIF(DEBT!$F$64:$DV$64,CW$24)=0,0,INDEX(DEBT!$F$81:$DV$81,1,MATCH(CW$24,DEBT!$F$64:$DV$64,0)))</f>
        <v>0</v>
      </c>
      <c r="CX72" s="417">
        <f>IF(COUNTIF(DEBT!$F$64:$DV$64,CX$24)=0,0,INDEX(DEBT!$F$81:$DV$81,1,MATCH(CX$24,DEBT!$F$64:$DV$64,0)))</f>
        <v>0</v>
      </c>
      <c r="CY72" s="417">
        <f>IF(COUNTIF(DEBT!$F$64:$DV$64,CY$24)=0,0,INDEX(DEBT!$F$81:$DV$81,1,MATCH(CY$24,DEBT!$F$64:$DV$64,0)))</f>
        <v>0</v>
      </c>
      <c r="CZ72" s="417">
        <f>IF(COUNTIF(DEBT!$F$64:$DV$64,CZ$24)=0,0,INDEX(DEBT!$F$81:$DV$81,1,MATCH(CZ$24,DEBT!$F$64:$DV$64,0)))</f>
        <v>0</v>
      </c>
      <c r="DA72" s="417">
        <f>IF(COUNTIF(DEBT!$F$64:$DV$64,DA$24)=0,0,INDEX(DEBT!$F$81:$DV$81,1,MATCH(DA$24,DEBT!$F$64:$DV$64,0)))</f>
        <v>0</v>
      </c>
      <c r="DB72" s="417">
        <f>IF(COUNTIF(DEBT!$F$64:$DV$64,DB$24)=0,0,INDEX(DEBT!$F$81:$DV$81,1,MATCH(DB$24,DEBT!$F$64:$DV$64,0)))</f>
        <v>0</v>
      </c>
      <c r="DC72" s="417">
        <f>IF(COUNTIF(DEBT!$F$64:$DV$64,DC$24)=0,0,INDEX(DEBT!$F$81:$DV$81,1,MATCH(DC$24,DEBT!$F$64:$DV$64,0)))</f>
        <v>0</v>
      </c>
      <c r="DD72" s="417">
        <f>IF(COUNTIF(DEBT!$F$64:$DV$64,DD$24)=0,0,INDEX(DEBT!$F$81:$DV$81,1,MATCH(DD$24,DEBT!$F$64:$DV$64,0)))</f>
        <v>0</v>
      </c>
      <c r="DE72" s="417">
        <f>IF(COUNTIF(DEBT!$F$64:$DV$64,DE$24)=0,0,INDEX(DEBT!$F$81:$DV$81,1,MATCH(DE$24,DEBT!$F$64:$DV$64,0)))</f>
        <v>0</v>
      </c>
      <c r="DF72" s="417">
        <f>IF(COUNTIF(DEBT!$F$64:$DV$64,DF$24)=0,0,INDEX(DEBT!$F$81:$DV$81,1,MATCH(DF$24,DEBT!$F$64:$DV$64,0)))</f>
        <v>0</v>
      </c>
      <c r="DG72" s="417">
        <f>IF(COUNTIF(DEBT!$F$64:$DV$64,DG$24)=0,0,INDEX(DEBT!$F$81:$DV$81,1,MATCH(DG$24,DEBT!$F$64:$DV$64,0)))</f>
        <v>0</v>
      </c>
      <c r="DH72" s="417">
        <f>IF(COUNTIF(DEBT!$F$64:$DV$64,DH$24)=0,0,INDEX(DEBT!$F$81:$DV$81,1,MATCH(DH$24,DEBT!$F$64:$DV$64,0)))</f>
        <v>0</v>
      </c>
      <c r="DI72" s="417">
        <f>IF(COUNTIF(DEBT!$F$64:$DV$64,DI$24)=0,0,INDEX(DEBT!$F$81:$DV$81,1,MATCH(DI$24,DEBT!$F$64:$DV$64,0)))</f>
        <v>0</v>
      </c>
      <c r="DJ72" s="417">
        <f>IF(COUNTIF(DEBT!$F$64:$DV$64,DJ$24)=0,0,INDEX(DEBT!$F$81:$DV$81,1,MATCH(DJ$24,DEBT!$F$64:$DV$64,0)))</f>
        <v>0</v>
      </c>
      <c r="DK72" s="417">
        <f>IF(COUNTIF(DEBT!$F$64:$DV$64,DK$24)=0,0,INDEX(DEBT!$F$81:$DV$81,1,MATCH(DK$24,DEBT!$F$64:$DV$64,0)))</f>
        <v>0</v>
      </c>
      <c r="DL72" s="417">
        <f>IF(COUNTIF(DEBT!$F$64:$DV$64,DL$24)=0,0,INDEX(DEBT!$F$81:$DV$81,1,MATCH(DL$24,DEBT!$F$64:$DV$64,0)))</f>
        <v>0</v>
      </c>
      <c r="DM72" s="417">
        <f>IF(COUNTIF(DEBT!$F$64:$DV$64,DM$24)=0,0,INDEX(DEBT!$F$81:$DV$81,1,MATCH(DM$24,DEBT!$F$64:$DV$64,0)))</f>
        <v>0</v>
      </c>
      <c r="DN72" s="417">
        <f>IF(COUNTIF(DEBT!$F$64:$DV$64,DN$24)=0,0,INDEX(DEBT!$F$81:$DV$81,1,MATCH(DN$24,DEBT!$F$64:$DV$64,0)))</f>
        <v>0</v>
      </c>
      <c r="DO72" s="417">
        <f>IF(COUNTIF(DEBT!$F$64:$DV$64,DO$24)=0,0,INDEX(DEBT!$F$81:$DV$81,1,MATCH(DO$24,DEBT!$F$64:$DV$64,0)))</f>
        <v>0</v>
      </c>
      <c r="DP72" s="417">
        <f>IF(COUNTIF(DEBT!$F$64:$DV$64,DP$24)=0,0,INDEX(DEBT!$F$81:$DV$81,1,MATCH(DP$24,DEBT!$F$64:$DV$64,0)))</f>
        <v>0</v>
      </c>
      <c r="DQ72" s="417">
        <f>IF(COUNTIF(DEBT!$F$64:$DV$64,DQ$24)=0,0,INDEX(DEBT!$F$81:$DV$81,1,MATCH(DQ$24,DEBT!$F$64:$DV$64,0)))</f>
        <v>0</v>
      </c>
      <c r="DR72" s="417">
        <f>IF(COUNTIF(DEBT!$F$64:$DV$64,DR$24)=0,0,INDEX(DEBT!$F$81:$DV$81,1,MATCH(DR$24,DEBT!$F$64:$DV$64,0)))</f>
        <v>0</v>
      </c>
      <c r="DS72" s="417">
        <f>IF(COUNTIF(DEBT!$F$64:$DV$64,DS$24)=0,0,INDEX(DEBT!$F$81:$DV$81,1,MATCH(DS$24,DEBT!$F$64:$DV$64,0)))</f>
        <v>0</v>
      </c>
      <c r="DT72" s="417">
        <f>IF(COUNTIF(DEBT!$F$64:$DV$64,DT$24)=0,0,INDEX(DEBT!$F$81:$DV$81,1,MATCH(DT$24,DEBT!$F$64:$DV$64,0)))</f>
        <v>0</v>
      </c>
      <c r="DU72" s="417">
        <f>IF(COUNTIF(DEBT!$F$64:$DV$64,DU$24)=0,0,INDEX(DEBT!$F$81:$DV$81,1,MATCH(DU$24,DEBT!$F$64:$DV$64,0)))</f>
        <v>0</v>
      </c>
      <c r="DV72" s="417">
        <f>IF(COUNTIF(DEBT!$F$64:$DV$64,DV$24)=0,0,INDEX(DEBT!$F$81:$DV$81,1,MATCH(DV$24,DEBT!$F$64:$DV$64,0)))</f>
        <v>0</v>
      </c>
      <c r="DW72" s="417">
        <f>IF(COUNTIF(DEBT!$F$64:$DV$64,DW$24)=0,0,INDEX(DEBT!$F$81:$DV$81,1,MATCH(DW$24,DEBT!$F$64:$DV$64,0)))</f>
        <v>0</v>
      </c>
      <c r="DX72" s="417">
        <f>IF(COUNTIF(DEBT!$F$64:$DV$64,DX$24)=0,0,INDEX(DEBT!$F$81:$DV$81,1,MATCH(DX$24,DEBT!$F$64:$DV$64,0)))</f>
        <v>0</v>
      </c>
      <c r="DY72" s="417">
        <f>IF(COUNTIF(DEBT!$F$64:$DV$64,DY$24)=0,0,INDEX(DEBT!$F$81:$DV$81,1,MATCH(DY$24,DEBT!$F$64:$DV$64,0)))</f>
        <v>0</v>
      </c>
      <c r="DZ72" s="417">
        <f>IF(COUNTIF(DEBT!$F$64:$DV$64,DZ$24)=0,0,INDEX(DEBT!$F$81:$DV$81,1,MATCH(DZ$24,DEBT!$F$64:$DV$64,0)))</f>
        <v>0</v>
      </c>
      <c r="EA72" s="417">
        <f>IF(COUNTIF(DEBT!$F$64:$DV$64,EA$24)=0,0,INDEX(DEBT!$F$81:$DV$81,1,MATCH(EA$24,DEBT!$F$64:$DV$64,0)))</f>
        <v>0</v>
      </c>
      <c r="EB72" s="417">
        <f>IF(COUNTIF(DEBT!$F$64:$DV$64,EB$24)=0,0,INDEX(DEBT!$F$81:$DV$81,1,MATCH(EB$24,DEBT!$F$64:$DV$64,0)))</f>
        <v>0</v>
      </c>
      <c r="EC72" s="417">
        <f>IF(COUNTIF(DEBT!$F$64:$DV$64,EC$24)=0,0,INDEX(DEBT!$F$81:$DV$81,1,MATCH(EC$24,DEBT!$F$64:$DV$64,0)))</f>
        <v>0</v>
      </c>
      <c r="ED72" s="417">
        <f>IF(COUNTIF(DEBT!$F$64:$DV$64,ED$24)=0,0,INDEX(DEBT!$F$81:$DV$81,1,MATCH(ED$24,DEBT!$F$64:$DV$64,0)))</f>
        <v>0</v>
      </c>
      <c r="EE72" s="417">
        <f>IF(COUNTIF(DEBT!$F$64:$DV$64,EE$24)=0,0,INDEX(DEBT!$F$81:$DV$81,1,MATCH(EE$24,DEBT!$F$64:$DV$64,0)))</f>
        <v>0</v>
      </c>
      <c r="EF72" s="417">
        <f>IF(COUNTIF(DEBT!$F$64:$DV$64,EF$24)=0,0,INDEX(DEBT!$F$81:$DV$81,1,MATCH(EF$24,DEBT!$F$64:$DV$64,0)))</f>
        <v>0</v>
      </c>
      <c r="EG72" s="417">
        <f>IF(COUNTIF(DEBT!$F$64:$DV$64,EG$24)=0,0,INDEX(DEBT!$F$81:$DV$81,1,MATCH(EG$24,DEBT!$F$64:$DV$64,0)))</f>
        <v>0</v>
      </c>
      <c r="EH72" s="417">
        <f>IF(COUNTIF(DEBT!$F$64:$DV$64,EH$24)=0,0,INDEX(DEBT!$F$81:$DV$81,1,MATCH(EH$24,DEBT!$F$64:$DV$64,0)))</f>
        <v>0</v>
      </c>
      <c r="EI72" s="417">
        <f>IF(COUNTIF(DEBT!$F$64:$DV$64,EI$24)=0,0,INDEX(DEBT!$F$81:$DV$81,1,MATCH(EI$24,DEBT!$F$64:$DV$64,0)))</f>
        <v>0</v>
      </c>
      <c r="EJ72" s="417">
        <f>IF(COUNTIF(DEBT!$F$64:$DV$64,EJ$24)=0,0,INDEX(DEBT!$F$81:$DV$81,1,MATCH(EJ$24,DEBT!$F$64:$DV$64,0)))</f>
        <v>0</v>
      </c>
      <c r="EK72" s="417">
        <f>IF(COUNTIF(DEBT!$F$64:$DV$64,EK$24)=0,0,INDEX(DEBT!$F$81:$DV$81,1,MATCH(EK$24,DEBT!$F$64:$DV$64,0)))</f>
        <v>0</v>
      </c>
      <c r="EL72" s="417">
        <f>IF(COUNTIF(DEBT!$F$64:$DV$64,EL$24)=0,0,INDEX(DEBT!$F$81:$DV$81,1,MATCH(EL$24,DEBT!$F$64:$DV$64,0)))</f>
        <v>0</v>
      </c>
      <c r="EM72" s="417">
        <f>IF(COUNTIF(DEBT!$F$64:$DV$64,EM$24)=0,0,INDEX(DEBT!$F$81:$DV$81,1,MATCH(EM$24,DEBT!$F$64:$DV$64,0)))</f>
        <v>0</v>
      </c>
      <c r="EN72" s="417">
        <f>IF(COUNTIF(DEBT!$F$64:$DV$64,EN$24)=0,0,INDEX(DEBT!$F$81:$DV$81,1,MATCH(EN$24,DEBT!$F$64:$DV$64,0)))</f>
        <v>0</v>
      </c>
      <c r="EO72"/>
      <c r="EP72" s="219" t="s">
        <v>199</v>
      </c>
      <c r="EQ72" s="18"/>
      <c r="ER72" s="18"/>
      <c r="ES72" s="410" t="s">
        <v>174</v>
      </c>
      <c r="ET72" s="18" t="s">
        <v>196</v>
      </c>
      <c r="EU72" s="20">
        <f>EU59</f>
        <v>0</v>
      </c>
      <c r="EV72" s="20">
        <f t="shared" ref="EV72:GA72" si="267">EU72-EV59</f>
        <v>0</v>
      </c>
      <c r="EW72" s="20">
        <f t="shared" si="267"/>
        <v>0</v>
      </c>
      <c r="EX72" s="20">
        <f t="shared" si="267"/>
        <v>0</v>
      </c>
      <c r="EY72" s="20">
        <f t="shared" si="267"/>
        <v>0</v>
      </c>
      <c r="EZ72" s="20">
        <f t="shared" si="267"/>
        <v>0</v>
      </c>
      <c r="FA72" s="20">
        <f t="shared" si="267"/>
        <v>0</v>
      </c>
      <c r="FB72" s="20">
        <f t="shared" si="267"/>
        <v>0</v>
      </c>
      <c r="FC72" s="20">
        <f t="shared" si="267"/>
        <v>0</v>
      </c>
      <c r="FD72" s="20">
        <f t="shared" si="267"/>
        <v>0</v>
      </c>
      <c r="FE72" s="20">
        <f t="shared" si="267"/>
        <v>0</v>
      </c>
      <c r="FF72" s="20">
        <f t="shared" si="267"/>
        <v>0</v>
      </c>
      <c r="FG72" s="20">
        <f t="shared" si="267"/>
        <v>0</v>
      </c>
      <c r="FH72" s="20">
        <f t="shared" si="267"/>
        <v>0</v>
      </c>
      <c r="FI72" s="20">
        <f t="shared" si="267"/>
        <v>0</v>
      </c>
      <c r="FJ72" s="20">
        <f t="shared" si="267"/>
        <v>0</v>
      </c>
      <c r="FK72" s="20">
        <f t="shared" si="267"/>
        <v>0</v>
      </c>
      <c r="FL72" s="20">
        <f t="shared" si="267"/>
        <v>0</v>
      </c>
      <c r="FM72" s="20">
        <f t="shared" si="267"/>
        <v>0</v>
      </c>
      <c r="FN72" s="20">
        <f t="shared" si="267"/>
        <v>0</v>
      </c>
      <c r="FO72" s="20">
        <f t="shared" si="267"/>
        <v>0</v>
      </c>
      <c r="FP72" s="20">
        <f t="shared" si="267"/>
        <v>0</v>
      </c>
      <c r="FQ72" s="20">
        <f t="shared" si="267"/>
        <v>0</v>
      </c>
      <c r="FR72" s="20">
        <f t="shared" si="267"/>
        <v>0</v>
      </c>
      <c r="FS72" s="20">
        <f t="shared" si="267"/>
        <v>0</v>
      </c>
      <c r="FT72" s="20">
        <f t="shared" si="267"/>
        <v>0</v>
      </c>
      <c r="FU72" s="20">
        <f t="shared" si="267"/>
        <v>0</v>
      </c>
      <c r="FV72" s="20">
        <f t="shared" si="267"/>
        <v>0</v>
      </c>
      <c r="FW72" s="20">
        <f t="shared" si="267"/>
        <v>0</v>
      </c>
      <c r="FX72" s="20">
        <f t="shared" si="267"/>
        <v>0</v>
      </c>
      <c r="FY72" s="20">
        <f t="shared" si="267"/>
        <v>0</v>
      </c>
      <c r="FZ72" s="20">
        <f t="shared" si="267"/>
        <v>0</v>
      </c>
      <c r="GA72" s="20">
        <f t="shared" si="267"/>
        <v>0</v>
      </c>
      <c r="GB72" s="20">
        <f t="shared" ref="GB72:HG72" si="268">GA72-GB59</f>
        <v>0</v>
      </c>
      <c r="GC72" s="20">
        <f t="shared" si="268"/>
        <v>0</v>
      </c>
      <c r="GD72" s="20">
        <f t="shared" si="268"/>
        <v>0</v>
      </c>
      <c r="GE72" s="20">
        <f t="shared" si="268"/>
        <v>0</v>
      </c>
      <c r="GF72" s="20">
        <f t="shared" si="268"/>
        <v>0</v>
      </c>
      <c r="GG72" s="20">
        <f t="shared" si="268"/>
        <v>0</v>
      </c>
      <c r="GH72" s="20">
        <f t="shared" si="268"/>
        <v>0</v>
      </c>
      <c r="GI72" s="20">
        <f t="shared" si="268"/>
        <v>0</v>
      </c>
      <c r="GJ72" s="20">
        <f t="shared" si="268"/>
        <v>0</v>
      </c>
      <c r="GK72" s="20">
        <f t="shared" si="268"/>
        <v>0</v>
      </c>
      <c r="GL72" s="20">
        <f t="shared" si="268"/>
        <v>0</v>
      </c>
      <c r="GM72" s="20">
        <f t="shared" si="268"/>
        <v>0</v>
      </c>
      <c r="GN72" s="20">
        <f t="shared" si="268"/>
        <v>0</v>
      </c>
      <c r="GO72" s="20">
        <f t="shared" si="268"/>
        <v>0</v>
      </c>
      <c r="GP72" s="20">
        <f t="shared" si="268"/>
        <v>0</v>
      </c>
      <c r="GQ72" s="20">
        <f t="shared" si="268"/>
        <v>0</v>
      </c>
      <c r="GR72" s="20">
        <f t="shared" si="268"/>
        <v>0</v>
      </c>
      <c r="GS72" s="20">
        <f t="shared" si="268"/>
        <v>0</v>
      </c>
      <c r="GT72" s="20">
        <f t="shared" si="268"/>
        <v>0</v>
      </c>
      <c r="GU72" s="20">
        <f t="shared" si="268"/>
        <v>0</v>
      </c>
      <c r="GV72" s="20">
        <f t="shared" si="268"/>
        <v>0</v>
      </c>
      <c r="GW72" s="20">
        <f t="shared" si="268"/>
        <v>0</v>
      </c>
      <c r="GX72" s="20">
        <f t="shared" si="268"/>
        <v>0</v>
      </c>
      <c r="GY72" s="20">
        <f t="shared" si="268"/>
        <v>0</v>
      </c>
      <c r="GZ72" s="20">
        <f t="shared" si="268"/>
        <v>0</v>
      </c>
      <c r="HA72" s="20">
        <f t="shared" si="268"/>
        <v>0</v>
      </c>
      <c r="HB72" s="20">
        <f t="shared" si="268"/>
        <v>0</v>
      </c>
      <c r="HC72" s="20">
        <f t="shared" si="268"/>
        <v>0</v>
      </c>
      <c r="HD72" s="20">
        <f t="shared" si="268"/>
        <v>0</v>
      </c>
      <c r="HE72" s="20">
        <f t="shared" si="268"/>
        <v>0</v>
      </c>
      <c r="HF72" s="20">
        <f t="shared" si="268"/>
        <v>0</v>
      </c>
      <c r="HG72" s="20">
        <f t="shared" si="268"/>
        <v>0</v>
      </c>
      <c r="HH72" s="20">
        <f t="shared" ref="HH72:IM72" si="269">HG72-HH59</f>
        <v>0</v>
      </c>
      <c r="HI72" s="20">
        <f t="shared" si="269"/>
        <v>0</v>
      </c>
      <c r="HJ72" s="20">
        <f t="shared" si="269"/>
        <v>0</v>
      </c>
      <c r="HK72" s="20">
        <f t="shared" si="269"/>
        <v>0</v>
      </c>
      <c r="HL72" s="20">
        <f t="shared" si="269"/>
        <v>0</v>
      </c>
      <c r="HM72" s="20">
        <f t="shared" si="269"/>
        <v>0</v>
      </c>
      <c r="HN72" s="20">
        <f t="shared" si="269"/>
        <v>0</v>
      </c>
      <c r="HO72" s="20">
        <f t="shared" si="269"/>
        <v>0</v>
      </c>
      <c r="HP72" s="20">
        <f t="shared" si="269"/>
        <v>0</v>
      </c>
      <c r="HQ72" s="20">
        <f t="shared" si="269"/>
        <v>0</v>
      </c>
      <c r="HR72" s="20">
        <f t="shared" si="269"/>
        <v>0</v>
      </c>
      <c r="HS72" s="20">
        <f t="shared" si="269"/>
        <v>0</v>
      </c>
      <c r="HT72" s="20">
        <f t="shared" si="269"/>
        <v>0</v>
      </c>
      <c r="HU72" s="20">
        <f t="shared" si="269"/>
        <v>0</v>
      </c>
      <c r="HV72" s="20">
        <f t="shared" si="269"/>
        <v>0</v>
      </c>
      <c r="HW72" s="20">
        <f t="shared" si="269"/>
        <v>0</v>
      </c>
      <c r="HX72" s="20">
        <f t="shared" si="269"/>
        <v>0</v>
      </c>
      <c r="HY72" s="20">
        <f t="shared" si="269"/>
        <v>0</v>
      </c>
      <c r="HZ72" s="20">
        <f t="shared" si="269"/>
        <v>0</v>
      </c>
      <c r="IA72" s="20">
        <f t="shared" si="269"/>
        <v>0</v>
      </c>
      <c r="IB72" s="20">
        <f t="shared" si="269"/>
        <v>0</v>
      </c>
      <c r="IC72" s="20">
        <f t="shared" si="269"/>
        <v>0</v>
      </c>
      <c r="ID72" s="20">
        <f t="shared" si="269"/>
        <v>0</v>
      </c>
      <c r="IE72" s="20">
        <f t="shared" si="269"/>
        <v>0</v>
      </c>
      <c r="IF72" s="20">
        <f t="shared" si="269"/>
        <v>0</v>
      </c>
      <c r="IG72" s="20">
        <f t="shared" si="269"/>
        <v>0</v>
      </c>
      <c r="IH72" s="20">
        <f t="shared" si="269"/>
        <v>0</v>
      </c>
      <c r="II72" s="20">
        <f t="shared" si="269"/>
        <v>0</v>
      </c>
      <c r="IJ72" s="20">
        <f t="shared" si="269"/>
        <v>0</v>
      </c>
      <c r="IK72" s="20">
        <f t="shared" si="269"/>
        <v>0</v>
      </c>
      <c r="IL72" s="20">
        <f t="shared" si="269"/>
        <v>0</v>
      </c>
      <c r="IM72" s="20">
        <f t="shared" si="269"/>
        <v>0</v>
      </c>
      <c r="IN72" s="20">
        <f t="shared" ref="IN72:JX72" si="270">IM72-IN59</f>
        <v>0</v>
      </c>
      <c r="IO72" s="20">
        <f t="shared" si="270"/>
        <v>0</v>
      </c>
      <c r="IP72" s="20">
        <f t="shared" si="270"/>
        <v>0</v>
      </c>
      <c r="IQ72" s="20">
        <f t="shared" si="270"/>
        <v>0</v>
      </c>
      <c r="IR72" s="20">
        <f t="shared" si="270"/>
        <v>0</v>
      </c>
      <c r="IS72" s="20">
        <f t="shared" si="270"/>
        <v>0</v>
      </c>
      <c r="IT72" s="20">
        <f t="shared" si="270"/>
        <v>0</v>
      </c>
      <c r="IU72" s="20">
        <f t="shared" si="270"/>
        <v>0</v>
      </c>
      <c r="IV72" s="20">
        <f t="shared" si="270"/>
        <v>0</v>
      </c>
      <c r="IW72" s="20">
        <f t="shared" si="270"/>
        <v>0</v>
      </c>
      <c r="IX72" s="20">
        <f t="shared" si="270"/>
        <v>0</v>
      </c>
      <c r="IY72" s="20">
        <f t="shared" si="270"/>
        <v>0</v>
      </c>
      <c r="IZ72" s="20">
        <f t="shared" si="270"/>
        <v>0</v>
      </c>
      <c r="JA72" s="20">
        <f t="shared" si="270"/>
        <v>0</v>
      </c>
      <c r="JB72" s="20">
        <f t="shared" si="270"/>
        <v>0</v>
      </c>
      <c r="JC72" s="20">
        <f t="shared" si="270"/>
        <v>0</v>
      </c>
      <c r="JD72" s="20">
        <f t="shared" si="270"/>
        <v>0</v>
      </c>
      <c r="JE72" s="20">
        <f t="shared" si="270"/>
        <v>0</v>
      </c>
      <c r="JF72" s="20">
        <f t="shared" si="270"/>
        <v>0</v>
      </c>
      <c r="JG72" s="20">
        <f t="shared" si="270"/>
        <v>0</v>
      </c>
      <c r="JH72" s="20">
        <f t="shared" si="270"/>
        <v>0</v>
      </c>
      <c r="JI72" s="20">
        <f t="shared" si="270"/>
        <v>0</v>
      </c>
      <c r="JJ72" s="20">
        <f t="shared" si="270"/>
        <v>0</v>
      </c>
      <c r="JK72" s="20">
        <f t="shared" si="270"/>
        <v>0</v>
      </c>
      <c r="JL72" s="20">
        <f t="shared" si="270"/>
        <v>0</v>
      </c>
      <c r="JM72" s="20">
        <f t="shared" si="270"/>
        <v>0</v>
      </c>
      <c r="JN72" s="20">
        <f t="shared" si="270"/>
        <v>0</v>
      </c>
      <c r="JO72" s="20">
        <f t="shared" si="270"/>
        <v>0</v>
      </c>
      <c r="JP72" s="20">
        <f t="shared" si="270"/>
        <v>0</v>
      </c>
      <c r="JQ72" s="20">
        <f t="shared" si="270"/>
        <v>0</v>
      </c>
      <c r="JR72" s="20">
        <f t="shared" si="270"/>
        <v>0</v>
      </c>
      <c r="JS72" s="20">
        <f t="shared" si="270"/>
        <v>0</v>
      </c>
      <c r="JT72" s="20">
        <f t="shared" si="270"/>
        <v>0</v>
      </c>
      <c r="JU72" s="20">
        <f t="shared" si="270"/>
        <v>0</v>
      </c>
      <c r="JV72" s="20">
        <f t="shared" si="270"/>
        <v>0</v>
      </c>
      <c r="JW72" s="20">
        <f t="shared" si="270"/>
        <v>0</v>
      </c>
      <c r="JX72" s="20">
        <f t="shared" si="270"/>
        <v>0</v>
      </c>
      <c r="JY72"/>
      <c r="JZ72" s="262"/>
      <c r="KA72" s="262"/>
      <c r="KB72" s="262"/>
      <c r="KC72" s="262"/>
      <c r="KD72" s="262"/>
      <c r="KE72" s="262"/>
      <c r="KF72" s="262"/>
      <c r="KG72" s="262"/>
      <c r="KH72" s="262"/>
      <c r="KI72" s="262"/>
      <c r="KJ72" s="262"/>
      <c r="KK72" s="262"/>
      <c r="KL72" s="262"/>
      <c r="KM72" s="262"/>
      <c r="KN72" s="262"/>
      <c r="KO72" s="262"/>
      <c r="KP72" s="262"/>
      <c r="KQ72" s="262"/>
      <c r="KR72" s="262"/>
      <c r="KS72" s="262"/>
      <c r="KT72" s="262"/>
      <c r="KU72" s="262"/>
      <c r="KV72" s="262"/>
      <c r="KW72" s="262"/>
      <c r="KX72" s="262"/>
      <c r="KY72" s="262"/>
      <c r="KZ72" s="262"/>
      <c r="LA72" s="262"/>
      <c r="LB72" s="262"/>
      <c r="LC72" s="262"/>
      <c r="LD72" s="262"/>
      <c r="LE72" s="262"/>
      <c r="LF72" s="262"/>
      <c r="LG72" s="262"/>
      <c r="LH72" s="262"/>
      <c r="LI72" s="262"/>
      <c r="LJ72" s="262"/>
      <c r="LK72" s="262"/>
      <c r="LL72" s="262"/>
      <c r="LM72" s="262"/>
      <c r="LN72" s="262"/>
      <c r="LO72" s="262"/>
      <c r="LP72" s="262"/>
      <c r="LQ72" s="262"/>
      <c r="LR72" s="262"/>
      <c r="LS72" s="262"/>
      <c r="LT72" s="262"/>
      <c r="LU72" s="262"/>
      <c r="LV72" s="262"/>
      <c r="LW72" s="262"/>
      <c r="LX72" s="262"/>
      <c r="LY72" s="262"/>
      <c r="LZ72" s="262"/>
      <c r="MA72" s="262"/>
      <c r="MB72" s="262"/>
      <c r="MC72" s="262"/>
      <c r="MD72" s="262"/>
      <c r="ME72" s="262"/>
      <c r="MF72" s="262"/>
      <c r="MG72" s="262"/>
      <c r="MH72" s="262"/>
      <c r="MI72" s="262"/>
      <c r="MJ72" s="262"/>
      <c r="MK72" s="262"/>
      <c r="ML72" s="262"/>
      <c r="MM72" s="262"/>
      <c r="MN72" s="262"/>
      <c r="MO72" s="262"/>
      <c r="MP72" s="262"/>
      <c r="MQ72" s="262"/>
      <c r="MR72" s="262"/>
      <c r="MS72" s="262"/>
      <c r="MT72" s="262"/>
      <c r="MU72" s="262"/>
      <c r="MV72" s="262"/>
      <c r="MW72" s="262"/>
      <c r="MX72" s="262"/>
      <c r="MY72" s="262"/>
      <c r="MZ72" s="262"/>
      <c r="NA72" s="262"/>
      <c r="NB72" s="262"/>
      <c r="NC72" s="262"/>
      <c r="ND72" s="262"/>
      <c r="NE72" s="262"/>
      <c r="NF72" s="262"/>
      <c r="NG72" s="262"/>
      <c r="NH72" s="262"/>
      <c r="NI72" s="262"/>
      <c r="NJ72" s="262"/>
      <c r="NK72" s="262"/>
      <c r="NL72" s="262"/>
      <c r="NM72" s="262"/>
      <c r="NN72" s="262"/>
      <c r="NO72" s="262"/>
      <c r="NP72" s="262"/>
      <c r="NQ72" s="262"/>
      <c r="NR72" s="262"/>
      <c r="NS72" s="262"/>
      <c r="NT72" s="262"/>
      <c r="NU72" s="262"/>
      <c r="NV72" s="262"/>
      <c r="NW72" s="262"/>
      <c r="NX72" s="262"/>
      <c r="NY72" s="262"/>
      <c r="NZ72" s="262"/>
      <c r="OA72" s="262"/>
      <c r="OB72" s="262"/>
      <c r="OC72" s="262"/>
      <c r="OD72" s="262"/>
      <c r="OE72" s="262"/>
      <c r="OF72" s="262"/>
      <c r="OG72" s="262"/>
      <c r="OH72" s="262"/>
      <c r="OI72" s="262"/>
      <c r="OJ72" s="262"/>
      <c r="OK72" s="262"/>
      <c r="OL72" s="262"/>
      <c r="OM72" s="262"/>
      <c r="ON72" s="262"/>
      <c r="OO72" s="262"/>
      <c r="OP72" s="262"/>
      <c r="OQ72" s="262"/>
      <c r="OR72" s="262"/>
      <c r="OS72" s="262"/>
      <c r="OT72" s="262"/>
      <c r="OU72" s="262"/>
      <c r="OV72" s="262"/>
      <c r="OW72" s="262"/>
      <c r="OX72" s="262"/>
      <c r="OY72" s="262"/>
      <c r="OZ72" s="262"/>
      <c r="PA72" s="262"/>
      <c r="PB72" s="262"/>
      <c r="PC72" s="262"/>
      <c r="PD72" s="262"/>
      <c r="PE72" s="262"/>
      <c r="PF72" s="262"/>
      <c r="PG72" s="262"/>
      <c r="PH72" s="262"/>
    </row>
    <row r="73" spans="1:424" x14ac:dyDescent="0.35">
      <c r="A73"/>
      <c r="B73" s="444" t="s">
        <v>200</v>
      </c>
      <c r="C73" s="400"/>
      <c r="D73" s="400"/>
      <c r="E73" s="400"/>
      <c r="F73" s="52">
        <f>I73/Project_Cost_Total</f>
        <v>0</v>
      </c>
      <c r="G73" s="134"/>
      <c r="H73" s="415">
        <f>I73/Units_SF_M2</f>
        <v>0</v>
      </c>
      <c r="I73" s="445">
        <f>SUM(L73:EN73)</f>
        <v>0</v>
      </c>
      <c r="J73"/>
      <c r="K73"/>
      <c r="L73" s="417">
        <f>IF(COUNTIF(DEBT!$F$64:$DV$64,L$24)=0,0,INDEX(DEBT!$F$82:$DV$82,1,MATCH(L$24,DEBT!$F$64:$DV$64,0)))</f>
        <v>0</v>
      </c>
      <c r="M73" s="417">
        <f>IF(COUNTIF(DEBT!$F$64:$DV$64,M$24)=0,0,INDEX(DEBT!$F$82:$DV$82,1,MATCH(M$24,DEBT!$F$64:$DV$64,0)))</f>
        <v>0</v>
      </c>
      <c r="N73" s="417">
        <f>IF(COUNTIF(DEBT!$F$64:$DV$64,N$24)=0,0,INDEX(DEBT!$F$82:$DV$82,1,MATCH(N$24,DEBT!$F$64:$DV$64,0)))</f>
        <v>0</v>
      </c>
      <c r="O73" s="417">
        <f>IF(COUNTIF(DEBT!$F$64:$DV$64,O$24)=0,0,INDEX(DEBT!$F$82:$DV$82,1,MATCH(O$24,DEBT!$F$64:$DV$64,0)))</f>
        <v>0</v>
      </c>
      <c r="P73" s="417">
        <f>IF(COUNTIF(DEBT!$F$64:$DV$64,P$24)=0,0,INDEX(DEBT!$F$82:$DV$82,1,MATCH(P$24,DEBT!$F$64:$DV$64,0)))</f>
        <v>0</v>
      </c>
      <c r="Q73" s="417">
        <f>IF(COUNTIF(DEBT!$F$64:$DV$64,Q$24)=0,0,INDEX(DEBT!$F$82:$DV$82,1,MATCH(Q$24,DEBT!$F$64:$DV$64,0)))</f>
        <v>0</v>
      </c>
      <c r="R73" s="417">
        <f>IF(COUNTIF(DEBT!$F$64:$DV$64,R$24)=0,0,INDEX(DEBT!$F$82:$DV$82,1,MATCH(R$24,DEBT!$F$64:$DV$64,0)))</f>
        <v>0</v>
      </c>
      <c r="S73" s="417">
        <f>IF(COUNTIF(DEBT!$F$64:$DV$64,S$24)=0,0,INDEX(DEBT!$F$82:$DV$82,1,MATCH(S$24,DEBT!$F$64:$DV$64,0)))</f>
        <v>0</v>
      </c>
      <c r="T73" s="417">
        <f>IF(COUNTIF(DEBT!$F$64:$DV$64,T$24)=0,0,INDEX(DEBT!$F$82:$DV$82,1,MATCH(T$24,DEBT!$F$64:$DV$64,0)))</f>
        <v>0</v>
      </c>
      <c r="U73" s="417">
        <f>IF(COUNTIF(DEBT!$F$64:$DV$64,U$24)=0,0,INDEX(DEBT!$F$82:$DV$82,1,MATCH(U$24,DEBT!$F$64:$DV$64,0)))</f>
        <v>0</v>
      </c>
      <c r="V73" s="417">
        <f>IF(COUNTIF(DEBT!$F$64:$DV$64,V$24)=0,0,INDEX(DEBT!$F$82:$DV$82,1,MATCH(V$24,DEBT!$F$64:$DV$64,0)))</f>
        <v>0</v>
      </c>
      <c r="W73" s="417">
        <f>IF(COUNTIF(DEBT!$F$64:$DV$64,W$24)=0,0,INDEX(DEBT!$F$82:$DV$82,1,MATCH(W$24,DEBT!$F$64:$DV$64,0)))</f>
        <v>0</v>
      </c>
      <c r="X73" s="417">
        <f>IF(COUNTIF(DEBT!$F$64:$DV$64,X$24)=0,0,INDEX(DEBT!$F$82:$DV$82,1,MATCH(X$24,DEBT!$F$64:$DV$64,0)))</f>
        <v>0</v>
      </c>
      <c r="Y73" s="417">
        <f>IF(COUNTIF(DEBT!$F$64:$DV$64,Y$24)=0,0,INDEX(DEBT!$F$82:$DV$82,1,MATCH(Y$24,DEBT!$F$64:$DV$64,0)))</f>
        <v>0</v>
      </c>
      <c r="Z73" s="417">
        <f>IF(COUNTIF(DEBT!$F$64:$DV$64,Z$24)=0,0,INDEX(DEBT!$F$82:$DV$82,1,MATCH(Z$24,DEBT!$F$64:$DV$64,0)))</f>
        <v>0</v>
      </c>
      <c r="AA73" s="417">
        <f>IF(COUNTIF(DEBT!$F$64:$DV$64,AA$24)=0,0,INDEX(DEBT!$F$82:$DV$82,1,MATCH(AA$24,DEBT!$F$64:$DV$64,0)))</f>
        <v>0</v>
      </c>
      <c r="AB73" s="417">
        <f>IF(COUNTIF(DEBT!$F$64:$DV$64,AB$24)=0,0,INDEX(DEBT!$F$82:$DV$82,1,MATCH(AB$24,DEBT!$F$64:$DV$64,0)))</f>
        <v>0</v>
      </c>
      <c r="AC73" s="417">
        <f>IF(COUNTIF(DEBT!$F$64:$DV$64,AC$24)=0,0,INDEX(DEBT!$F$82:$DV$82,1,MATCH(AC$24,DEBT!$F$64:$DV$64,0)))</f>
        <v>0</v>
      </c>
      <c r="AD73" s="417">
        <f>IF(COUNTIF(DEBT!$F$64:$DV$64,AD$24)=0,0,INDEX(DEBT!$F$82:$DV$82,1,MATCH(AD$24,DEBT!$F$64:$DV$64,0)))</f>
        <v>0</v>
      </c>
      <c r="AE73" s="417">
        <f>IF(COUNTIF(DEBT!$F$64:$DV$64,AE$24)=0,0,INDEX(DEBT!$F$82:$DV$82,1,MATCH(AE$24,DEBT!$F$64:$DV$64,0)))</f>
        <v>0</v>
      </c>
      <c r="AF73" s="417">
        <f>IF(COUNTIF(DEBT!$F$64:$DV$64,AF$24)=0,0,INDEX(DEBT!$F$82:$DV$82,1,MATCH(AF$24,DEBT!$F$64:$DV$64,0)))</f>
        <v>0</v>
      </c>
      <c r="AG73" s="417">
        <f>IF(COUNTIF(DEBT!$F$64:$DV$64,AG$24)=0,0,INDEX(DEBT!$F$82:$DV$82,1,MATCH(AG$24,DEBT!$F$64:$DV$64,0)))</f>
        <v>0</v>
      </c>
      <c r="AH73" s="417">
        <f>IF(COUNTIF(DEBT!$F$64:$DV$64,AH$24)=0,0,INDEX(DEBT!$F$82:$DV$82,1,MATCH(AH$24,DEBT!$F$64:$DV$64,0)))</f>
        <v>0</v>
      </c>
      <c r="AI73" s="417">
        <f>IF(COUNTIF(DEBT!$F$64:$DV$64,AI$24)=0,0,INDEX(DEBT!$F$82:$DV$82,1,MATCH(AI$24,DEBT!$F$64:$DV$64,0)))</f>
        <v>0</v>
      </c>
      <c r="AJ73" s="417">
        <f>IF(COUNTIF(DEBT!$F$64:$DV$64,AJ$24)=0,0,INDEX(DEBT!$F$82:$DV$82,1,MATCH(AJ$24,DEBT!$F$64:$DV$64,0)))</f>
        <v>0</v>
      </c>
      <c r="AK73" s="417">
        <f>IF(COUNTIF(DEBT!$F$64:$DV$64,AK$24)=0,0,INDEX(DEBT!$F$82:$DV$82,1,MATCH(AK$24,DEBT!$F$64:$DV$64,0)))</f>
        <v>0</v>
      </c>
      <c r="AL73" s="417">
        <f>IF(COUNTIF(DEBT!$F$64:$DV$64,AL$24)=0,0,INDEX(DEBT!$F$82:$DV$82,1,MATCH(AL$24,DEBT!$F$64:$DV$64,0)))</f>
        <v>0</v>
      </c>
      <c r="AM73" s="417">
        <f>IF(COUNTIF(DEBT!$F$64:$DV$64,AM$24)=0,0,INDEX(DEBT!$F$82:$DV$82,1,MATCH(AM$24,DEBT!$F$64:$DV$64,0)))</f>
        <v>0</v>
      </c>
      <c r="AN73" s="417">
        <f>IF(COUNTIF(DEBT!$F$64:$DV$64,AN$24)=0,0,INDEX(DEBT!$F$82:$DV$82,1,MATCH(AN$24,DEBT!$F$64:$DV$64,0)))</f>
        <v>0</v>
      </c>
      <c r="AO73" s="417">
        <f>IF(COUNTIF(DEBT!$F$64:$DV$64,AO$24)=0,0,INDEX(DEBT!$F$82:$DV$82,1,MATCH(AO$24,DEBT!$F$64:$DV$64,0)))</f>
        <v>0</v>
      </c>
      <c r="AP73" s="417">
        <f>IF(COUNTIF(DEBT!$F$64:$DV$64,AP$24)=0,0,INDEX(DEBT!$F$82:$DV$82,1,MATCH(AP$24,DEBT!$F$64:$DV$64,0)))</f>
        <v>0</v>
      </c>
      <c r="AQ73" s="417">
        <f>IF(COUNTIF(DEBT!$F$64:$DV$64,AQ$24)=0,0,INDEX(DEBT!$F$82:$DV$82,1,MATCH(AQ$24,DEBT!$F$64:$DV$64,0)))</f>
        <v>0</v>
      </c>
      <c r="AR73" s="417">
        <f>IF(COUNTIF(DEBT!$F$64:$DV$64,AR$24)=0,0,INDEX(DEBT!$F$82:$DV$82,1,MATCH(AR$24,DEBT!$F$64:$DV$64,0)))</f>
        <v>0</v>
      </c>
      <c r="AS73" s="417">
        <f>IF(COUNTIF(DEBT!$F$64:$DV$64,AS$24)=0,0,INDEX(DEBT!$F$82:$DV$82,1,MATCH(AS$24,DEBT!$F$64:$DV$64,0)))</f>
        <v>0</v>
      </c>
      <c r="AT73" s="417">
        <f>IF(COUNTIF(DEBT!$F$64:$DV$64,AT$24)=0,0,INDEX(DEBT!$F$82:$DV$82,1,MATCH(AT$24,DEBT!$F$64:$DV$64,0)))</f>
        <v>0</v>
      </c>
      <c r="AU73" s="417">
        <f>IF(COUNTIF(DEBT!$F$64:$DV$64,AU$24)=0,0,INDEX(DEBT!$F$82:$DV$82,1,MATCH(AU$24,DEBT!$F$64:$DV$64,0)))</f>
        <v>0</v>
      </c>
      <c r="AV73" s="417">
        <f>IF(COUNTIF(DEBT!$F$64:$DV$64,AV$24)=0,0,INDEX(DEBT!$F$82:$DV$82,1,MATCH(AV$24,DEBT!$F$64:$DV$64,0)))</f>
        <v>0</v>
      </c>
      <c r="AW73" s="417">
        <f>IF(COUNTIF(DEBT!$F$64:$DV$64,AW$24)=0,0,INDEX(DEBT!$F$82:$DV$82,1,MATCH(AW$24,DEBT!$F$64:$DV$64,0)))</f>
        <v>0</v>
      </c>
      <c r="AX73" s="417">
        <f>IF(COUNTIF(DEBT!$F$64:$DV$64,AX$24)=0,0,INDEX(DEBT!$F$82:$DV$82,1,MATCH(AX$24,DEBT!$F$64:$DV$64,0)))</f>
        <v>0</v>
      </c>
      <c r="AY73" s="417">
        <f>IF(COUNTIF(DEBT!$F$64:$DV$64,AY$24)=0,0,INDEX(DEBT!$F$82:$DV$82,1,MATCH(AY$24,DEBT!$F$64:$DV$64,0)))</f>
        <v>0</v>
      </c>
      <c r="AZ73" s="417">
        <f>IF(COUNTIF(DEBT!$F$64:$DV$64,AZ$24)=0,0,INDEX(DEBT!$F$82:$DV$82,1,MATCH(AZ$24,DEBT!$F$64:$DV$64,0)))</f>
        <v>0</v>
      </c>
      <c r="BA73" s="417">
        <f>IF(COUNTIF(DEBT!$F$64:$DV$64,BA$24)=0,0,INDEX(DEBT!$F$82:$DV$82,1,MATCH(BA$24,DEBT!$F$64:$DV$64,0)))</f>
        <v>0</v>
      </c>
      <c r="BB73" s="417">
        <f>IF(COUNTIF(DEBT!$F$64:$DV$64,BB$24)=0,0,INDEX(DEBT!$F$82:$DV$82,1,MATCH(BB$24,DEBT!$F$64:$DV$64,0)))</f>
        <v>0</v>
      </c>
      <c r="BC73" s="417">
        <f>IF(COUNTIF(DEBT!$F$64:$DV$64,BC$24)=0,0,INDEX(DEBT!$F$82:$DV$82,1,MATCH(BC$24,DEBT!$F$64:$DV$64,0)))</f>
        <v>0</v>
      </c>
      <c r="BD73" s="417">
        <f>IF(COUNTIF(DEBT!$F$64:$DV$64,BD$24)=0,0,INDEX(DEBT!$F$82:$DV$82,1,MATCH(BD$24,DEBT!$F$64:$DV$64,0)))</f>
        <v>0</v>
      </c>
      <c r="BE73" s="417">
        <f>IF(COUNTIF(DEBT!$F$64:$DV$64,BE$24)=0,0,INDEX(DEBT!$F$82:$DV$82,1,MATCH(BE$24,DEBT!$F$64:$DV$64,0)))</f>
        <v>0</v>
      </c>
      <c r="BF73" s="417">
        <f>IF(COUNTIF(DEBT!$F$64:$DV$64,BF$24)=0,0,INDEX(DEBT!$F$82:$DV$82,1,MATCH(BF$24,DEBT!$F$64:$DV$64,0)))</f>
        <v>0</v>
      </c>
      <c r="BG73" s="417">
        <f>IF(COUNTIF(DEBT!$F$64:$DV$64,BG$24)=0,0,INDEX(DEBT!$F$82:$DV$82,1,MATCH(BG$24,DEBT!$F$64:$DV$64,0)))</f>
        <v>0</v>
      </c>
      <c r="BH73" s="417">
        <f>IF(COUNTIF(DEBT!$F$64:$DV$64,BH$24)=0,0,INDEX(DEBT!$F$82:$DV$82,1,MATCH(BH$24,DEBT!$F$64:$DV$64,0)))</f>
        <v>0</v>
      </c>
      <c r="BI73" s="417">
        <f>IF(COUNTIF(DEBT!$F$64:$DV$64,BI$24)=0,0,INDEX(DEBT!$F$82:$DV$82,1,MATCH(BI$24,DEBT!$F$64:$DV$64,0)))</f>
        <v>0</v>
      </c>
      <c r="BJ73" s="417">
        <f>IF(COUNTIF(DEBT!$F$64:$DV$64,BJ$24)=0,0,INDEX(DEBT!$F$82:$DV$82,1,MATCH(BJ$24,DEBT!$F$64:$DV$64,0)))</f>
        <v>0</v>
      </c>
      <c r="BK73" s="417">
        <f>IF(COUNTIF(DEBT!$F$64:$DV$64,BK$24)=0,0,INDEX(DEBT!$F$82:$DV$82,1,MATCH(BK$24,DEBT!$F$64:$DV$64,0)))</f>
        <v>0</v>
      </c>
      <c r="BL73" s="417">
        <f>IF(COUNTIF(DEBT!$F$64:$DV$64,BL$24)=0,0,INDEX(DEBT!$F$82:$DV$82,1,MATCH(BL$24,DEBT!$F$64:$DV$64,0)))</f>
        <v>0</v>
      </c>
      <c r="BM73" s="417">
        <f>IF(COUNTIF(DEBT!$F$64:$DV$64,BM$24)=0,0,INDEX(DEBT!$F$82:$DV$82,1,MATCH(BM$24,DEBT!$F$64:$DV$64,0)))</f>
        <v>0</v>
      </c>
      <c r="BN73" s="417">
        <f>IF(COUNTIF(DEBT!$F$64:$DV$64,BN$24)=0,0,INDEX(DEBT!$F$82:$DV$82,1,MATCH(BN$24,DEBT!$F$64:$DV$64,0)))</f>
        <v>0</v>
      </c>
      <c r="BO73" s="417">
        <f>IF(COUNTIF(DEBT!$F$64:$DV$64,BO$24)=0,0,INDEX(DEBT!$F$82:$DV$82,1,MATCH(BO$24,DEBT!$F$64:$DV$64,0)))</f>
        <v>0</v>
      </c>
      <c r="BP73" s="417">
        <f>IF(COUNTIF(DEBT!$F$64:$DV$64,BP$24)=0,0,INDEX(DEBT!$F$82:$DV$82,1,MATCH(BP$24,DEBT!$F$64:$DV$64,0)))</f>
        <v>0</v>
      </c>
      <c r="BQ73" s="417">
        <f>IF(COUNTIF(DEBT!$F$64:$DV$64,BQ$24)=0,0,INDEX(DEBT!$F$82:$DV$82,1,MATCH(BQ$24,DEBT!$F$64:$DV$64,0)))</f>
        <v>0</v>
      </c>
      <c r="BR73" s="417">
        <f>IF(COUNTIF(DEBT!$F$64:$DV$64,BR$24)=0,0,INDEX(DEBT!$F$82:$DV$82,1,MATCH(BR$24,DEBT!$F$64:$DV$64,0)))</f>
        <v>0</v>
      </c>
      <c r="BS73" s="417">
        <f>IF(COUNTIF(DEBT!$F$64:$DV$64,BS$24)=0,0,INDEX(DEBT!$F$82:$DV$82,1,MATCH(BS$24,DEBT!$F$64:$DV$64,0)))</f>
        <v>0</v>
      </c>
      <c r="BT73" s="417">
        <f>IF(COUNTIF(DEBT!$F$64:$DV$64,BT$24)=0,0,INDEX(DEBT!$F$82:$DV$82,1,MATCH(BT$24,DEBT!$F$64:$DV$64,0)))</f>
        <v>0</v>
      </c>
      <c r="BU73" s="417">
        <f>IF(COUNTIF(DEBT!$F$64:$DV$64,BU$24)=0,0,INDEX(DEBT!$F$82:$DV$82,1,MATCH(BU$24,DEBT!$F$64:$DV$64,0)))</f>
        <v>0</v>
      </c>
      <c r="BV73" s="417">
        <f>IF(COUNTIF(DEBT!$F$64:$DV$64,BV$24)=0,0,INDEX(DEBT!$F$82:$DV$82,1,MATCH(BV$24,DEBT!$F$64:$DV$64,0)))</f>
        <v>0</v>
      </c>
      <c r="BW73" s="417">
        <f>IF(COUNTIF(DEBT!$F$64:$DV$64,BW$24)=0,0,INDEX(DEBT!$F$82:$DV$82,1,MATCH(BW$24,DEBT!$F$64:$DV$64,0)))</f>
        <v>0</v>
      </c>
      <c r="BX73" s="417">
        <f>IF(COUNTIF(DEBT!$F$64:$DV$64,BX$24)=0,0,INDEX(DEBT!$F$82:$DV$82,1,MATCH(BX$24,DEBT!$F$64:$DV$64,0)))</f>
        <v>0</v>
      </c>
      <c r="BY73" s="417">
        <f>IF(COUNTIF(DEBT!$F$64:$DV$64,BY$24)=0,0,INDEX(DEBT!$F$82:$DV$82,1,MATCH(BY$24,DEBT!$F$64:$DV$64,0)))</f>
        <v>0</v>
      </c>
      <c r="BZ73" s="417">
        <f>IF(COUNTIF(DEBT!$F$64:$DV$64,BZ$24)=0,0,INDEX(DEBT!$F$82:$DV$82,1,MATCH(BZ$24,DEBT!$F$64:$DV$64,0)))</f>
        <v>0</v>
      </c>
      <c r="CA73" s="417">
        <f>IF(COUNTIF(DEBT!$F$64:$DV$64,CA$24)=0,0,INDEX(DEBT!$F$82:$DV$82,1,MATCH(CA$24,DEBT!$F$64:$DV$64,0)))</f>
        <v>0</v>
      </c>
      <c r="CB73" s="417">
        <f>IF(COUNTIF(DEBT!$F$64:$DV$64,CB$24)=0,0,INDEX(DEBT!$F$82:$DV$82,1,MATCH(CB$24,DEBT!$F$64:$DV$64,0)))</f>
        <v>0</v>
      </c>
      <c r="CC73" s="417">
        <f>IF(COUNTIF(DEBT!$F$64:$DV$64,CC$24)=0,0,INDEX(DEBT!$F$82:$DV$82,1,MATCH(CC$24,DEBT!$F$64:$DV$64,0)))</f>
        <v>0</v>
      </c>
      <c r="CD73" s="417">
        <f>IF(COUNTIF(DEBT!$F$64:$DV$64,CD$24)=0,0,INDEX(DEBT!$F$82:$DV$82,1,MATCH(CD$24,DEBT!$F$64:$DV$64,0)))</f>
        <v>0</v>
      </c>
      <c r="CE73" s="417">
        <f>IF(COUNTIF(DEBT!$F$64:$DV$64,CE$24)=0,0,INDEX(DEBT!$F$82:$DV$82,1,MATCH(CE$24,DEBT!$F$64:$DV$64,0)))</f>
        <v>0</v>
      </c>
      <c r="CF73" s="417">
        <f>IF(COUNTIF(DEBT!$F$64:$DV$64,CF$24)=0,0,INDEX(DEBT!$F$82:$DV$82,1,MATCH(CF$24,DEBT!$F$64:$DV$64,0)))</f>
        <v>0</v>
      </c>
      <c r="CG73" s="417">
        <f>IF(COUNTIF(DEBT!$F$64:$DV$64,CG$24)=0,0,INDEX(DEBT!$F$82:$DV$82,1,MATCH(CG$24,DEBT!$F$64:$DV$64,0)))</f>
        <v>0</v>
      </c>
      <c r="CH73" s="417">
        <f>IF(COUNTIF(DEBT!$F$64:$DV$64,CH$24)=0,0,INDEX(DEBT!$F$82:$DV$82,1,MATCH(CH$24,DEBT!$F$64:$DV$64,0)))</f>
        <v>0</v>
      </c>
      <c r="CI73" s="417">
        <f>IF(COUNTIF(DEBT!$F$64:$DV$64,CI$24)=0,0,INDEX(DEBT!$F$82:$DV$82,1,MATCH(CI$24,DEBT!$F$64:$DV$64,0)))</f>
        <v>0</v>
      </c>
      <c r="CJ73" s="417">
        <f>IF(COUNTIF(DEBT!$F$64:$DV$64,CJ$24)=0,0,INDEX(DEBT!$F$82:$DV$82,1,MATCH(CJ$24,DEBT!$F$64:$DV$64,0)))</f>
        <v>0</v>
      </c>
      <c r="CK73" s="417">
        <f>IF(COUNTIF(DEBT!$F$64:$DV$64,CK$24)=0,0,INDEX(DEBT!$F$82:$DV$82,1,MATCH(CK$24,DEBT!$F$64:$DV$64,0)))</f>
        <v>0</v>
      </c>
      <c r="CL73" s="417">
        <f>IF(COUNTIF(DEBT!$F$64:$DV$64,CL$24)=0,0,INDEX(DEBT!$F$82:$DV$82,1,MATCH(CL$24,DEBT!$F$64:$DV$64,0)))</f>
        <v>0</v>
      </c>
      <c r="CM73" s="417">
        <f>IF(COUNTIF(DEBT!$F$64:$DV$64,CM$24)=0,0,INDEX(DEBT!$F$82:$DV$82,1,MATCH(CM$24,DEBT!$F$64:$DV$64,0)))</f>
        <v>0</v>
      </c>
      <c r="CN73" s="417">
        <f>IF(COUNTIF(DEBT!$F$64:$DV$64,CN$24)=0,0,INDEX(DEBT!$F$82:$DV$82,1,MATCH(CN$24,DEBT!$F$64:$DV$64,0)))</f>
        <v>0</v>
      </c>
      <c r="CO73" s="417">
        <f>IF(COUNTIF(DEBT!$F$64:$DV$64,CO$24)=0,0,INDEX(DEBT!$F$82:$DV$82,1,MATCH(CO$24,DEBT!$F$64:$DV$64,0)))</f>
        <v>0</v>
      </c>
      <c r="CP73" s="417">
        <f>IF(COUNTIF(DEBT!$F$64:$DV$64,CP$24)=0,0,INDEX(DEBT!$F$82:$DV$82,1,MATCH(CP$24,DEBT!$F$64:$DV$64,0)))</f>
        <v>0</v>
      </c>
      <c r="CQ73" s="417">
        <f>IF(COUNTIF(DEBT!$F$64:$DV$64,CQ$24)=0,0,INDEX(DEBT!$F$82:$DV$82,1,MATCH(CQ$24,DEBT!$F$64:$DV$64,0)))</f>
        <v>0</v>
      </c>
      <c r="CR73" s="417">
        <f>IF(COUNTIF(DEBT!$F$64:$DV$64,CR$24)=0,0,INDEX(DEBT!$F$82:$DV$82,1,MATCH(CR$24,DEBT!$F$64:$DV$64,0)))</f>
        <v>0</v>
      </c>
      <c r="CS73" s="417">
        <f>IF(COUNTIF(DEBT!$F$64:$DV$64,CS$24)=0,0,INDEX(DEBT!$F$82:$DV$82,1,MATCH(CS$24,DEBT!$F$64:$DV$64,0)))</f>
        <v>0</v>
      </c>
      <c r="CT73" s="417">
        <f>IF(COUNTIF(DEBT!$F$64:$DV$64,CT$24)=0,0,INDEX(DEBT!$F$82:$DV$82,1,MATCH(CT$24,DEBT!$F$64:$DV$64,0)))</f>
        <v>0</v>
      </c>
      <c r="CU73" s="417">
        <f>IF(COUNTIF(DEBT!$F$64:$DV$64,CU$24)=0,0,INDEX(DEBT!$F$82:$DV$82,1,MATCH(CU$24,DEBT!$F$64:$DV$64,0)))</f>
        <v>0</v>
      </c>
      <c r="CV73" s="417">
        <f>IF(COUNTIF(DEBT!$F$64:$DV$64,CV$24)=0,0,INDEX(DEBT!$F$82:$DV$82,1,MATCH(CV$24,DEBT!$F$64:$DV$64,0)))</f>
        <v>0</v>
      </c>
      <c r="CW73" s="417">
        <f>IF(COUNTIF(DEBT!$F$64:$DV$64,CW$24)=0,0,INDEX(DEBT!$F$82:$DV$82,1,MATCH(CW$24,DEBT!$F$64:$DV$64,0)))</f>
        <v>0</v>
      </c>
      <c r="CX73" s="417">
        <f>IF(COUNTIF(DEBT!$F$64:$DV$64,CX$24)=0,0,INDEX(DEBT!$F$82:$DV$82,1,MATCH(CX$24,DEBT!$F$64:$DV$64,0)))</f>
        <v>0</v>
      </c>
      <c r="CY73" s="417">
        <f>IF(COUNTIF(DEBT!$F$64:$DV$64,CY$24)=0,0,INDEX(DEBT!$F$82:$DV$82,1,MATCH(CY$24,DEBT!$F$64:$DV$64,0)))</f>
        <v>0</v>
      </c>
      <c r="CZ73" s="417">
        <f>IF(COUNTIF(DEBT!$F$64:$DV$64,CZ$24)=0,0,INDEX(DEBT!$F$82:$DV$82,1,MATCH(CZ$24,DEBT!$F$64:$DV$64,0)))</f>
        <v>0</v>
      </c>
      <c r="DA73" s="417">
        <f>IF(COUNTIF(DEBT!$F$64:$DV$64,DA$24)=0,0,INDEX(DEBT!$F$82:$DV$82,1,MATCH(DA$24,DEBT!$F$64:$DV$64,0)))</f>
        <v>0</v>
      </c>
      <c r="DB73" s="417">
        <f>IF(COUNTIF(DEBT!$F$64:$DV$64,DB$24)=0,0,INDEX(DEBT!$F$82:$DV$82,1,MATCH(DB$24,DEBT!$F$64:$DV$64,0)))</f>
        <v>0</v>
      </c>
      <c r="DC73" s="417">
        <f>IF(COUNTIF(DEBT!$F$64:$DV$64,DC$24)=0,0,INDEX(DEBT!$F$82:$DV$82,1,MATCH(DC$24,DEBT!$F$64:$DV$64,0)))</f>
        <v>0</v>
      </c>
      <c r="DD73" s="417">
        <f>IF(COUNTIF(DEBT!$F$64:$DV$64,DD$24)=0,0,INDEX(DEBT!$F$82:$DV$82,1,MATCH(DD$24,DEBT!$F$64:$DV$64,0)))</f>
        <v>0</v>
      </c>
      <c r="DE73" s="417">
        <f>IF(COUNTIF(DEBT!$F$64:$DV$64,DE$24)=0,0,INDEX(DEBT!$F$82:$DV$82,1,MATCH(DE$24,DEBT!$F$64:$DV$64,0)))</f>
        <v>0</v>
      </c>
      <c r="DF73" s="417">
        <f>IF(COUNTIF(DEBT!$F$64:$DV$64,DF$24)=0,0,INDEX(DEBT!$F$82:$DV$82,1,MATCH(DF$24,DEBT!$F$64:$DV$64,0)))</f>
        <v>0</v>
      </c>
      <c r="DG73" s="417">
        <f>IF(COUNTIF(DEBT!$F$64:$DV$64,DG$24)=0,0,INDEX(DEBT!$F$82:$DV$82,1,MATCH(DG$24,DEBT!$F$64:$DV$64,0)))</f>
        <v>0</v>
      </c>
      <c r="DH73" s="417">
        <f>IF(COUNTIF(DEBT!$F$64:$DV$64,DH$24)=0,0,INDEX(DEBT!$F$82:$DV$82,1,MATCH(DH$24,DEBT!$F$64:$DV$64,0)))</f>
        <v>0</v>
      </c>
      <c r="DI73" s="417">
        <f>IF(COUNTIF(DEBT!$F$64:$DV$64,DI$24)=0,0,INDEX(DEBT!$F$82:$DV$82,1,MATCH(DI$24,DEBT!$F$64:$DV$64,0)))</f>
        <v>0</v>
      </c>
      <c r="DJ73" s="417">
        <f>IF(COUNTIF(DEBT!$F$64:$DV$64,DJ$24)=0,0,INDEX(DEBT!$F$82:$DV$82,1,MATCH(DJ$24,DEBT!$F$64:$DV$64,0)))</f>
        <v>0</v>
      </c>
      <c r="DK73" s="417">
        <f>IF(COUNTIF(DEBT!$F$64:$DV$64,DK$24)=0,0,INDEX(DEBT!$F$82:$DV$82,1,MATCH(DK$24,DEBT!$F$64:$DV$64,0)))</f>
        <v>0</v>
      </c>
      <c r="DL73" s="417">
        <f>IF(COUNTIF(DEBT!$F$64:$DV$64,DL$24)=0,0,INDEX(DEBT!$F$82:$DV$82,1,MATCH(DL$24,DEBT!$F$64:$DV$64,0)))</f>
        <v>0</v>
      </c>
      <c r="DM73" s="417">
        <f>IF(COUNTIF(DEBT!$F$64:$DV$64,DM$24)=0,0,INDEX(DEBT!$F$82:$DV$82,1,MATCH(DM$24,DEBT!$F$64:$DV$64,0)))</f>
        <v>0</v>
      </c>
      <c r="DN73" s="417">
        <f>IF(COUNTIF(DEBT!$F$64:$DV$64,DN$24)=0,0,INDEX(DEBT!$F$82:$DV$82,1,MATCH(DN$24,DEBT!$F$64:$DV$64,0)))</f>
        <v>0</v>
      </c>
      <c r="DO73" s="417">
        <f>IF(COUNTIF(DEBT!$F$64:$DV$64,DO$24)=0,0,INDEX(DEBT!$F$82:$DV$82,1,MATCH(DO$24,DEBT!$F$64:$DV$64,0)))</f>
        <v>0</v>
      </c>
      <c r="DP73" s="417">
        <f>IF(COUNTIF(DEBT!$F$64:$DV$64,DP$24)=0,0,INDEX(DEBT!$F$82:$DV$82,1,MATCH(DP$24,DEBT!$F$64:$DV$64,0)))</f>
        <v>0</v>
      </c>
      <c r="DQ73" s="417">
        <f>IF(COUNTIF(DEBT!$F$64:$DV$64,DQ$24)=0,0,INDEX(DEBT!$F$82:$DV$82,1,MATCH(DQ$24,DEBT!$F$64:$DV$64,0)))</f>
        <v>0</v>
      </c>
      <c r="DR73" s="417">
        <f>IF(COUNTIF(DEBT!$F$64:$DV$64,DR$24)=0,0,INDEX(DEBT!$F$82:$DV$82,1,MATCH(DR$24,DEBT!$F$64:$DV$64,0)))</f>
        <v>0</v>
      </c>
      <c r="DS73" s="417">
        <f>IF(COUNTIF(DEBT!$F$64:$DV$64,DS$24)=0,0,INDEX(DEBT!$F$82:$DV$82,1,MATCH(DS$24,DEBT!$F$64:$DV$64,0)))</f>
        <v>0</v>
      </c>
      <c r="DT73" s="417">
        <f>IF(COUNTIF(DEBT!$F$64:$DV$64,DT$24)=0,0,INDEX(DEBT!$F$82:$DV$82,1,MATCH(DT$24,DEBT!$F$64:$DV$64,0)))</f>
        <v>0</v>
      </c>
      <c r="DU73" s="417">
        <f>IF(COUNTIF(DEBT!$F$64:$DV$64,DU$24)=0,0,INDEX(DEBT!$F$82:$DV$82,1,MATCH(DU$24,DEBT!$F$64:$DV$64,0)))</f>
        <v>0</v>
      </c>
      <c r="DV73" s="417">
        <f>IF(COUNTIF(DEBT!$F$64:$DV$64,DV$24)=0,0,INDEX(DEBT!$F$82:$DV$82,1,MATCH(DV$24,DEBT!$F$64:$DV$64,0)))</f>
        <v>0</v>
      </c>
      <c r="DW73" s="417">
        <f>IF(COUNTIF(DEBT!$F$64:$DV$64,DW$24)=0,0,INDEX(DEBT!$F$82:$DV$82,1,MATCH(DW$24,DEBT!$F$64:$DV$64,0)))</f>
        <v>0</v>
      </c>
      <c r="DX73" s="417">
        <f>IF(COUNTIF(DEBT!$F$64:$DV$64,DX$24)=0,0,INDEX(DEBT!$F$82:$DV$82,1,MATCH(DX$24,DEBT!$F$64:$DV$64,0)))</f>
        <v>0</v>
      </c>
      <c r="DY73" s="417">
        <f>IF(COUNTIF(DEBT!$F$64:$DV$64,DY$24)=0,0,INDEX(DEBT!$F$82:$DV$82,1,MATCH(DY$24,DEBT!$F$64:$DV$64,0)))</f>
        <v>0</v>
      </c>
      <c r="DZ73" s="417">
        <f>IF(COUNTIF(DEBT!$F$64:$DV$64,DZ$24)=0,0,INDEX(DEBT!$F$82:$DV$82,1,MATCH(DZ$24,DEBT!$F$64:$DV$64,0)))</f>
        <v>0</v>
      </c>
      <c r="EA73" s="417">
        <f>IF(COUNTIF(DEBT!$F$64:$DV$64,EA$24)=0,0,INDEX(DEBT!$F$82:$DV$82,1,MATCH(EA$24,DEBT!$F$64:$DV$64,0)))</f>
        <v>0</v>
      </c>
      <c r="EB73" s="417">
        <f>IF(COUNTIF(DEBT!$F$64:$DV$64,EB$24)=0,0,INDEX(DEBT!$F$82:$DV$82,1,MATCH(EB$24,DEBT!$F$64:$DV$64,0)))</f>
        <v>0</v>
      </c>
      <c r="EC73" s="417">
        <f>IF(COUNTIF(DEBT!$F$64:$DV$64,EC$24)=0,0,INDEX(DEBT!$F$82:$DV$82,1,MATCH(EC$24,DEBT!$F$64:$DV$64,0)))</f>
        <v>0</v>
      </c>
      <c r="ED73" s="417">
        <f>IF(COUNTIF(DEBT!$F$64:$DV$64,ED$24)=0,0,INDEX(DEBT!$F$82:$DV$82,1,MATCH(ED$24,DEBT!$F$64:$DV$64,0)))</f>
        <v>0</v>
      </c>
      <c r="EE73" s="417">
        <f>IF(COUNTIF(DEBT!$F$64:$DV$64,EE$24)=0,0,INDEX(DEBT!$F$82:$DV$82,1,MATCH(EE$24,DEBT!$F$64:$DV$64,0)))</f>
        <v>0</v>
      </c>
      <c r="EF73" s="417">
        <f>IF(COUNTIF(DEBT!$F$64:$DV$64,EF$24)=0,0,INDEX(DEBT!$F$82:$DV$82,1,MATCH(EF$24,DEBT!$F$64:$DV$64,0)))</f>
        <v>0</v>
      </c>
      <c r="EG73" s="417">
        <f>IF(COUNTIF(DEBT!$F$64:$DV$64,EG$24)=0,0,INDEX(DEBT!$F$82:$DV$82,1,MATCH(EG$24,DEBT!$F$64:$DV$64,0)))</f>
        <v>0</v>
      </c>
      <c r="EH73" s="417">
        <f>IF(COUNTIF(DEBT!$F$64:$DV$64,EH$24)=0,0,INDEX(DEBT!$F$82:$DV$82,1,MATCH(EH$24,DEBT!$F$64:$DV$64,0)))</f>
        <v>0</v>
      </c>
      <c r="EI73" s="417">
        <f>IF(COUNTIF(DEBT!$F$64:$DV$64,EI$24)=0,0,INDEX(DEBT!$F$82:$DV$82,1,MATCH(EI$24,DEBT!$F$64:$DV$64,0)))</f>
        <v>0</v>
      </c>
      <c r="EJ73" s="417">
        <f>IF(COUNTIF(DEBT!$F$64:$DV$64,EJ$24)=0,0,INDEX(DEBT!$F$82:$DV$82,1,MATCH(EJ$24,DEBT!$F$64:$DV$64,0)))</f>
        <v>0</v>
      </c>
      <c r="EK73" s="417">
        <f>IF(COUNTIF(DEBT!$F$64:$DV$64,EK$24)=0,0,INDEX(DEBT!$F$82:$DV$82,1,MATCH(EK$24,DEBT!$F$64:$DV$64,0)))</f>
        <v>0</v>
      </c>
      <c r="EL73" s="417">
        <f>IF(COUNTIF(DEBT!$F$64:$DV$64,EL$24)=0,0,INDEX(DEBT!$F$82:$DV$82,1,MATCH(EL$24,DEBT!$F$64:$DV$64,0)))</f>
        <v>0</v>
      </c>
      <c r="EM73" s="417">
        <f>IF(COUNTIF(DEBT!$F$64:$DV$64,EM$24)=0,0,INDEX(DEBT!$F$82:$DV$82,1,MATCH(EM$24,DEBT!$F$64:$DV$64,0)))</f>
        <v>0</v>
      </c>
      <c r="EN73" s="417">
        <f>IF(COUNTIF(DEBT!$F$64:$DV$64,EN$24)=0,0,INDEX(DEBT!$F$82:$DV$82,1,MATCH(EN$24,DEBT!$F$64:$DV$64,0)))</f>
        <v>0</v>
      </c>
      <c r="EO73"/>
      <c r="EP73" s="219" t="s">
        <v>167</v>
      </c>
      <c r="EQ73" s="18"/>
      <c r="ER73" s="18"/>
      <c r="ES73" s="18" t="str">
        <f>IF(MAX(EV73:JX73)=SUM(EV57:JX57),"OK","ERROR")</f>
        <v>OK</v>
      </c>
      <c r="ET73" s="18" t="s">
        <v>201</v>
      </c>
      <c r="EU73" s="20">
        <v>0</v>
      </c>
      <c r="EV73" s="20">
        <f t="shared" ref="EV73:GA73" si="271">(EV$55&lt;=Timing_Analysis_End_Month)*(EU73+EV57)</f>
        <v>0</v>
      </c>
      <c r="EW73" s="20">
        <f t="shared" si="271"/>
        <v>0</v>
      </c>
      <c r="EX73" s="20">
        <f t="shared" si="271"/>
        <v>0</v>
      </c>
      <c r="EY73" s="20">
        <f t="shared" si="271"/>
        <v>0</v>
      </c>
      <c r="EZ73" s="20">
        <f t="shared" si="271"/>
        <v>0</v>
      </c>
      <c r="FA73" s="20">
        <f t="shared" si="271"/>
        <v>0</v>
      </c>
      <c r="FB73" s="20">
        <f t="shared" si="271"/>
        <v>0</v>
      </c>
      <c r="FC73" s="20">
        <f t="shared" si="271"/>
        <v>0</v>
      </c>
      <c r="FD73" s="20">
        <f t="shared" si="271"/>
        <v>0</v>
      </c>
      <c r="FE73" s="20">
        <f t="shared" si="271"/>
        <v>0</v>
      </c>
      <c r="FF73" s="20">
        <f t="shared" si="271"/>
        <v>0</v>
      </c>
      <c r="FG73" s="20">
        <f t="shared" si="271"/>
        <v>0</v>
      </c>
      <c r="FH73" s="20">
        <f t="shared" si="271"/>
        <v>0</v>
      </c>
      <c r="FI73" s="20">
        <f t="shared" si="271"/>
        <v>0</v>
      </c>
      <c r="FJ73" s="20">
        <f t="shared" si="271"/>
        <v>0</v>
      </c>
      <c r="FK73" s="20">
        <f t="shared" si="271"/>
        <v>0</v>
      </c>
      <c r="FL73" s="20">
        <f t="shared" si="271"/>
        <v>21360206.561256509</v>
      </c>
      <c r="FM73" s="20">
        <f t="shared" si="271"/>
        <v>43640603.964302227</v>
      </c>
      <c r="FN73" s="20">
        <f t="shared" si="271"/>
        <v>66210197.431684226</v>
      </c>
      <c r="FO73" s="20">
        <f t="shared" si="271"/>
        <v>88490594.834729955</v>
      </c>
      <c r="FP73" s="20">
        <f t="shared" si="271"/>
        <v>109925824.08866289</v>
      </c>
      <c r="FQ73" s="20">
        <f t="shared" si="271"/>
        <v>130024301.33253765</v>
      </c>
      <c r="FR73" s="20">
        <f t="shared" si="271"/>
        <v>148392694.00045779</v>
      </c>
      <c r="FS73" s="20">
        <f t="shared" si="271"/>
        <v>164757861.69904444</v>
      </c>
      <c r="FT73" s="20">
        <f t="shared" si="271"/>
        <v>178975064.02290142</v>
      </c>
      <c r="FU73" s="20">
        <f t="shared" si="271"/>
        <v>191022790.81425288</v>
      </c>
      <c r="FV73" s="20">
        <f t="shared" si="271"/>
        <v>200986463.96344626</v>
      </c>
      <c r="FW73" s="20">
        <f t="shared" si="271"/>
        <v>209034548.80089176</v>
      </c>
      <c r="FX73" s="20">
        <f t="shared" si="271"/>
        <v>215391134.24429899</v>
      </c>
      <c r="FY73" s="20">
        <f t="shared" si="271"/>
        <v>220308815.54264042</v>
      </c>
      <c r="FZ73" s="20">
        <f t="shared" si="271"/>
        <v>224044914.3985315</v>
      </c>
      <c r="GA73" s="20">
        <f t="shared" si="271"/>
        <v>226842956.55604255</v>
      </c>
      <c r="GB73" s="20">
        <f t="shared" ref="GB73:HG73" si="272">(GB$55&lt;=Timing_Analysis_End_Month)*(GA73+GB57)</f>
        <v>228920165.22634688</v>
      </c>
      <c r="GC73" s="20">
        <f t="shared" si="272"/>
        <v>230460737.06635845</v>
      </c>
      <c r="GD73" s="20">
        <f t="shared" si="272"/>
        <v>231613975.82557228</v>
      </c>
      <c r="GE73" s="20">
        <f t="shared" si="272"/>
        <v>232496004.1876981</v>
      </c>
      <c r="GF73" s="20">
        <f t="shared" si="272"/>
        <v>233193718.27873397</v>
      </c>
      <c r="GG73" s="20">
        <f t="shared" si="272"/>
        <v>233193718.27873397</v>
      </c>
      <c r="GH73" s="20">
        <f t="shared" si="272"/>
        <v>233193718.27873397</v>
      </c>
      <c r="GI73" s="20">
        <f t="shared" si="272"/>
        <v>233193718.27873397</v>
      </c>
      <c r="GJ73" s="20">
        <f t="shared" si="272"/>
        <v>233193718.27873397</v>
      </c>
      <c r="GK73" s="20">
        <f t="shared" si="272"/>
        <v>233193718.27873397</v>
      </c>
      <c r="GL73" s="20">
        <f t="shared" si="272"/>
        <v>233193718.27873397</v>
      </c>
      <c r="GM73" s="20">
        <f t="shared" si="272"/>
        <v>233193718.27873397</v>
      </c>
      <c r="GN73" s="20">
        <f t="shared" si="272"/>
        <v>233193718.27873397</v>
      </c>
      <c r="GO73" s="20">
        <f t="shared" si="272"/>
        <v>233193718.27873397</v>
      </c>
      <c r="GP73" s="20">
        <f t="shared" si="272"/>
        <v>233193718.27873397</v>
      </c>
      <c r="GQ73" s="20">
        <f t="shared" si="272"/>
        <v>233193718.27873397</v>
      </c>
      <c r="GR73" s="20">
        <f t="shared" si="272"/>
        <v>233193718.27873397</v>
      </c>
      <c r="GS73" s="20">
        <f t="shared" si="272"/>
        <v>233193718.27873397</v>
      </c>
      <c r="GT73" s="20">
        <f t="shared" si="272"/>
        <v>233193718.27873397</v>
      </c>
      <c r="GU73" s="20">
        <f t="shared" si="272"/>
        <v>233193718.27873397</v>
      </c>
      <c r="GV73" s="20">
        <f t="shared" si="272"/>
        <v>233193718.27873397</v>
      </c>
      <c r="GW73" s="20">
        <f t="shared" si="272"/>
        <v>233193718.27873397</v>
      </c>
      <c r="GX73" s="20">
        <f t="shared" si="272"/>
        <v>233193718.27873397</v>
      </c>
      <c r="GY73" s="20">
        <f t="shared" si="272"/>
        <v>233193718.27873397</v>
      </c>
      <c r="GZ73" s="20">
        <f t="shared" si="272"/>
        <v>233193718.27873397</v>
      </c>
      <c r="HA73" s="20">
        <f t="shared" si="272"/>
        <v>233193718.27873397</v>
      </c>
      <c r="HB73" s="20">
        <f t="shared" si="272"/>
        <v>233193718.27873397</v>
      </c>
      <c r="HC73" s="20">
        <f t="shared" si="272"/>
        <v>233193718.27873397</v>
      </c>
      <c r="HD73" s="20">
        <f t="shared" si="272"/>
        <v>233193718.27873397</v>
      </c>
      <c r="HE73" s="20">
        <f t="shared" si="272"/>
        <v>233193718.27873397</v>
      </c>
      <c r="HF73" s="20">
        <f t="shared" si="272"/>
        <v>0</v>
      </c>
      <c r="HG73" s="20">
        <f t="shared" si="272"/>
        <v>0</v>
      </c>
      <c r="HH73" s="20">
        <f t="shared" ref="HH73:IM73" si="273">(HH$55&lt;=Timing_Analysis_End_Month)*(HG73+HH57)</f>
        <v>0</v>
      </c>
      <c r="HI73" s="20">
        <f t="shared" si="273"/>
        <v>0</v>
      </c>
      <c r="HJ73" s="20">
        <f t="shared" si="273"/>
        <v>0</v>
      </c>
      <c r="HK73" s="20">
        <f t="shared" si="273"/>
        <v>0</v>
      </c>
      <c r="HL73" s="20">
        <f t="shared" si="273"/>
        <v>0</v>
      </c>
      <c r="HM73" s="20">
        <f t="shared" si="273"/>
        <v>0</v>
      </c>
      <c r="HN73" s="20">
        <f t="shared" si="273"/>
        <v>0</v>
      </c>
      <c r="HO73" s="20">
        <f t="shared" si="273"/>
        <v>0</v>
      </c>
      <c r="HP73" s="20">
        <f t="shared" si="273"/>
        <v>0</v>
      </c>
      <c r="HQ73" s="20">
        <f t="shared" si="273"/>
        <v>0</v>
      </c>
      <c r="HR73" s="20">
        <f t="shared" si="273"/>
        <v>0</v>
      </c>
      <c r="HS73" s="20">
        <f t="shared" si="273"/>
        <v>0</v>
      </c>
      <c r="HT73" s="20">
        <f t="shared" si="273"/>
        <v>0</v>
      </c>
      <c r="HU73" s="20">
        <f t="shared" si="273"/>
        <v>0</v>
      </c>
      <c r="HV73" s="20">
        <f t="shared" si="273"/>
        <v>0</v>
      </c>
      <c r="HW73" s="20">
        <f t="shared" si="273"/>
        <v>0</v>
      </c>
      <c r="HX73" s="20">
        <f t="shared" si="273"/>
        <v>0</v>
      </c>
      <c r="HY73" s="20">
        <f t="shared" si="273"/>
        <v>0</v>
      </c>
      <c r="HZ73" s="20">
        <f t="shared" si="273"/>
        <v>0</v>
      </c>
      <c r="IA73" s="20">
        <f t="shared" si="273"/>
        <v>0</v>
      </c>
      <c r="IB73" s="20">
        <f t="shared" si="273"/>
        <v>0</v>
      </c>
      <c r="IC73" s="20">
        <f t="shared" si="273"/>
        <v>0</v>
      </c>
      <c r="ID73" s="20">
        <f t="shared" si="273"/>
        <v>0</v>
      </c>
      <c r="IE73" s="20">
        <f t="shared" si="273"/>
        <v>0</v>
      </c>
      <c r="IF73" s="20">
        <f t="shared" si="273"/>
        <v>0</v>
      </c>
      <c r="IG73" s="20">
        <f t="shared" si="273"/>
        <v>0</v>
      </c>
      <c r="IH73" s="20">
        <f t="shared" si="273"/>
        <v>0</v>
      </c>
      <c r="II73" s="20">
        <f t="shared" si="273"/>
        <v>0</v>
      </c>
      <c r="IJ73" s="20">
        <f t="shared" si="273"/>
        <v>0</v>
      </c>
      <c r="IK73" s="20">
        <f t="shared" si="273"/>
        <v>0</v>
      </c>
      <c r="IL73" s="20">
        <f t="shared" si="273"/>
        <v>0</v>
      </c>
      <c r="IM73" s="20">
        <f t="shared" si="273"/>
        <v>0</v>
      </c>
      <c r="IN73" s="20">
        <f t="shared" ref="IN73:JX73" si="274">(IN$55&lt;=Timing_Analysis_End_Month)*(IM73+IN57)</f>
        <v>0</v>
      </c>
      <c r="IO73" s="20">
        <f t="shared" si="274"/>
        <v>0</v>
      </c>
      <c r="IP73" s="20">
        <f t="shared" si="274"/>
        <v>0</v>
      </c>
      <c r="IQ73" s="20">
        <f t="shared" si="274"/>
        <v>0</v>
      </c>
      <c r="IR73" s="20">
        <f t="shared" si="274"/>
        <v>0</v>
      </c>
      <c r="IS73" s="20">
        <f t="shared" si="274"/>
        <v>0</v>
      </c>
      <c r="IT73" s="20">
        <f t="shared" si="274"/>
        <v>0</v>
      </c>
      <c r="IU73" s="20">
        <f t="shared" si="274"/>
        <v>0</v>
      </c>
      <c r="IV73" s="20">
        <f t="shared" si="274"/>
        <v>0</v>
      </c>
      <c r="IW73" s="20">
        <f t="shared" si="274"/>
        <v>0</v>
      </c>
      <c r="IX73" s="20">
        <f t="shared" si="274"/>
        <v>0</v>
      </c>
      <c r="IY73" s="20">
        <f t="shared" si="274"/>
        <v>0</v>
      </c>
      <c r="IZ73" s="20">
        <f t="shared" si="274"/>
        <v>0</v>
      </c>
      <c r="JA73" s="20">
        <f t="shared" si="274"/>
        <v>0</v>
      </c>
      <c r="JB73" s="20">
        <f t="shared" si="274"/>
        <v>0</v>
      </c>
      <c r="JC73" s="20">
        <f t="shared" si="274"/>
        <v>0</v>
      </c>
      <c r="JD73" s="20">
        <f t="shared" si="274"/>
        <v>0</v>
      </c>
      <c r="JE73" s="20">
        <f t="shared" si="274"/>
        <v>0</v>
      </c>
      <c r="JF73" s="20">
        <f t="shared" si="274"/>
        <v>0</v>
      </c>
      <c r="JG73" s="20">
        <f t="shared" si="274"/>
        <v>0</v>
      </c>
      <c r="JH73" s="20">
        <f t="shared" si="274"/>
        <v>0</v>
      </c>
      <c r="JI73" s="20">
        <f t="shared" si="274"/>
        <v>0</v>
      </c>
      <c r="JJ73" s="20">
        <f t="shared" si="274"/>
        <v>0</v>
      </c>
      <c r="JK73" s="20">
        <f t="shared" si="274"/>
        <v>0</v>
      </c>
      <c r="JL73" s="20">
        <f t="shared" si="274"/>
        <v>0</v>
      </c>
      <c r="JM73" s="20">
        <f t="shared" si="274"/>
        <v>0</v>
      </c>
      <c r="JN73" s="20">
        <f t="shared" si="274"/>
        <v>0</v>
      </c>
      <c r="JO73" s="20">
        <f t="shared" si="274"/>
        <v>0</v>
      </c>
      <c r="JP73" s="20">
        <f t="shared" si="274"/>
        <v>0</v>
      </c>
      <c r="JQ73" s="20">
        <f t="shared" si="274"/>
        <v>0</v>
      </c>
      <c r="JR73" s="20">
        <f t="shared" si="274"/>
        <v>0</v>
      </c>
      <c r="JS73" s="20">
        <f t="shared" si="274"/>
        <v>0</v>
      </c>
      <c r="JT73" s="20">
        <f t="shared" si="274"/>
        <v>0</v>
      </c>
      <c r="JU73" s="20">
        <f t="shared" si="274"/>
        <v>0</v>
      </c>
      <c r="JV73" s="20">
        <f t="shared" si="274"/>
        <v>0</v>
      </c>
      <c r="JW73" s="20">
        <f t="shared" si="274"/>
        <v>0</v>
      </c>
      <c r="JX73" s="20">
        <f t="shared" si="274"/>
        <v>0</v>
      </c>
      <c r="JY73"/>
      <c r="JZ73" s="262"/>
      <c r="KA73" s="262"/>
      <c r="KB73" s="262"/>
      <c r="KC73" s="262"/>
      <c r="KD73" s="262"/>
      <c r="KE73" s="262"/>
      <c r="KF73" s="262"/>
      <c r="KG73" s="262"/>
      <c r="KH73" s="262"/>
      <c r="KI73" s="262"/>
      <c r="KJ73" s="262"/>
      <c r="KK73" s="262"/>
      <c r="KL73" s="262"/>
      <c r="KM73" s="262"/>
      <c r="KN73" s="262"/>
      <c r="KO73" s="262"/>
      <c r="KP73" s="262"/>
      <c r="KQ73" s="262"/>
      <c r="KR73" s="262"/>
      <c r="KS73" s="262"/>
      <c r="KT73" s="262"/>
      <c r="KU73" s="262"/>
      <c r="KV73" s="262"/>
      <c r="KW73" s="262"/>
      <c r="KX73" s="262"/>
      <c r="KY73" s="262"/>
      <c r="KZ73" s="262"/>
      <c r="LA73" s="262"/>
      <c r="LB73" s="262"/>
      <c r="LC73" s="262"/>
      <c r="LD73" s="262"/>
      <c r="LE73" s="262"/>
      <c r="LF73" s="262"/>
      <c r="LG73" s="262"/>
      <c r="LH73" s="262"/>
      <c r="LI73" s="262"/>
      <c r="LJ73" s="262"/>
      <c r="LK73" s="262"/>
      <c r="LL73" s="262"/>
      <c r="LM73" s="262"/>
      <c r="LN73" s="262"/>
      <c r="LO73" s="262"/>
      <c r="LP73" s="262"/>
      <c r="LQ73" s="262"/>
      <c r="LR73" s="262"/>
      <c r="LS73" s="262"/>
      <c r="LT73" s="262"/>
      <c r="LU73" s="262"/>
      <c r="LV73" s="262"/>
      <c r="LW73" s="262"/>
      <c r="LX73" s="262"/>
      <c r="LY73" s="262"/>
      <c r="LZ73" s="262"/>
      <c r="MA73" s="262"/>
      <c r="MB73" s="262"/>
      <c r="MC73" s="262"/>
      <c r="MD73" s="262"/>
      <c r="ME73" s="262"/>
      <c r="MF73" s="262"/>
      <c r="MG73" s="262"/>
      <c r="MH73" s="262"/>
      <c r="MI73" s="262"/>
      <c r="MJ73" s="262"/>
      <c r="MK73" s="262"/>
      <c r="ML73" s="262"/>
      <c r="MM73" s="262"/>
      <c r="MN73" s="262"/>
      <c r="MO73" s="262"/>
      <c r="MP73" s="262"/>
      <c r="MQ73" s="262"/>
      <c r="MR73" s="262"/>
      <c r="MS73" s="262"/>
      <c r="MT73" s="262"/>
      <c r="MU73" s="262"/>
      <c r="MV73" s="262"/>
      <c r="MW73" s="262"/>
      <c r="MX73" s="262"/>
      <c r="MY73" s="262"/>
      <c r="MZ73" s="262"/>
      <c r="NA73" s="262"/>
      <c r="NB73" s="262"/>
      <c r="NC73" s="262"/>
      <c r="ND73" s="262"/>
      <c r="NE73" s="262"/>
      <c r="NF73" s="262"/>
      <c r="NG73" s="262"/>
      <c r="NH73" s="262"/>
      <c r="NI73" s="262"/>
      <c r="NJ73" s="262"/>
      <c r="NK73" s="262"/>
      <c r="NL73" s="262"/>
      <c r="NM73" s="262"/>
      <c r="NN73" s="262"/>
      <c r="NO73" s="262"/>
      <c r="NP73" s="262"/>
      <c r="NQ73" s="262"/>
      <c r="NR73" s="262"/>
      <c r="NS73" s="262"/>
      <c r="NT73" s="262"/>
      <c r="NU73" s="262"/>
      <c r="NV73" s="262"/>
      <c r="NW73" s="262"/>
      <c r="NX73" s="262"/>
      <c r="NY73" s="262"/>
      <c r="NZ73" s="262"/>
      <c r="OA73" s="262"/>
      <c r="OB73" s="262"/>
      <c r="OC73" s="262"/>
      <c r="OD73" s="262"/>
      <c r="OE73" s="262"/>
      <c r="OF73" s="262"/>
      <c r="OG73" s="262"/>
      <c r="OH73" s="262"/>
      <c r="OI73" s="262"/>
      <c r="OJ73" s="262"/>
      <c r="OK73" s="262"/>
      <c r="OL73" s="262"/>
      <c r="OM73" s="262"/>
      <c r="ON73" s="262"/>
      <c r="OO73" s="262"/>
      <c r="OP73" s="262"/>
      <c r="OQ73" s="262"/>
      <c r="OR73" s="262"/>
      <c r="OS73" s="262"/>
      <c r="OT73" s="262"/>
      <c r="OU73" s="262"/>
      <c r="OV73" s="262"/>
      <c r="OW73" s="262"/>
      <c r="OX73" s="262"/>
      <c r="OY73" s="262"/>
      <c r="OZ73" s="262"/>
      <c r="PA73" s="262"/>
      <c r="PB73" s="262"/>
      <c r="PC73" s="262"/>
      <c r="PD73" s="262"/>
      <c r="PE73" s="262"/>
      <c r="PF73" s="262"/>
      <c r="PG73" s="262"/>
      <c r="PH73" s="262"/>
    </row>
    <row r="74" spans="1:424" x14ac:dyDescent="0.35">
      <c r="A74"/>
      <c r="B74" s="444" t="s">
        <v>202</v>
      </c>
      <c r="C74" s="400"/>
      <c r="D74" s="400"/>
      <c r="E74" s="412" t="s">
        <v>203</v>
      </c>
      <c r="F74" s="54">
        <f>I74/Project_Cost_Total</f>
        <v>0</v>
      </c>
      <c r="G74" s="135"/>
      <c r="H74" s="428">
        <f>I74/Units_SF_M2</f>
        <v>0</v>
      </c>
      <c r="I74" s="420">
        <f>SUM(L74:EN74)</f>
        <v>0</v>
      </c>
      <c r="J74"/>
      <c r="K74"/>
      <c r="L74" s="422">
        <v>0</v>
      </c>
      <c r="M74" s="422">
        <v>0</v>
      </c>
      <c r="N74" s="422">
        <v>0</v>
      </c>
      <c r="O74" s="422">
        <v>0</v>
      </c>
      <c r="P74" s="422">
        <v>0</v>
      </c>
      <c r="Q74" s="422">
        <v>0</v>
      </c>
      <c r="R74" s="422">
        <v>0</v>
      </c>
      <c r="S74" s="422">
        <v>0</v>
      </c>
      <c r="T74" s="422">
        <v>0</v>
      </c>
      <c r="U74" s="422">
        <v>0</v>
      </c>
      <c r="V74" s="422">
        <v>0</v>
      </c>
      <c r="W74" s="422">
        <v>0</v>
      </c>
      <c r="X74" s="422">
        <v>0</v>
      </c>
      <c r="Y74" s="422">
        <v>0</v>
      </c>
      <c r="Z74" s="422">
        <v>0</v>
      </c>
      <c r="AA74" s="422">
        <v>0</v>
      </c>
      <c r="AB74" s="422">
        <v>0</v>
      </c>
      <c r="AC74" s="422">
        <v>0</v>
      </c>
      <c r="AD74" s="422">
        <v>0</v>
      </c>
      <c r="AE74" s="422">
        <v>0</v>
      </c>
      <c r="AF74" s="422">
        <v>0</v>
      </c>
      <c r="AG74" s="422">
        <v>0</v>
      </c>
      <c r="AH74" s="422">
        <v>0</v>
      </c>
      <c r="AI74" s="422">
        <v>0</v>
      </c>
      <c r="AJ74" s="422">
        <v>0</v>
      </c>
      <c r="AK74" s="422">
        <v>0</v>
      </c>
      <c r="AL74" s="422">
        <v>0</v>
      </c>
      <c r="AM74" s="422">
        <v>0</v>
      </c>
      <c r="AN74" s="422">
        <v>0</v>
      </c>
      <c r="AO74" s="422">
        <v>0</v>
      </c>
      <c r="AP74" s="422">
        <v>0</v>
      </c>
      <c r="AQ74" s="422">
        <v>0</v>
      </c>
      <c r="AR74" s="422">
        <v>0</v>
      </c>
      <c r="AS74" s="422">
        <v>0</v>
      </c>
      <c r="AT74" s="422">
        <v>0</v>
      </c>
      <c r="AU74" s="422">
        <v>0</v>
      </c>
      <c r="AV74" s="422">
        <v>0</v>
      </c>
      <c r="AW74" s="422">
        <v>0</v>
      </c>
      <c r="AX74" s="422">
        <v>0</v>
      </c>
      <c r="AY74" s="422">
        <v>0</v>
      </c>
      <c r="AZ74" s="422">
        <v>0</v>
      </c>
      <c r="BA74" s="422">
        <v>0</v>
      </c>
      <c r="BB74" s="422">
        <v>0</v>
      </c>
      <c r="BC74" s="422">
        <v>0</v>
      </c>
      <c r="BD74" s="422">
        <v>0</v>
      </c>
      <c r="BE74" s="422">
        <v>0</v>
      </c>
      <c r="BF74" s="422">
        <v>0</v>
      </c>
      <c r="BG74" s="422">
        <v>0</v>
      </c>
      <c r="BH74" s="422">
        <v>0</v>
      </c>
      <c r="BI74" s="422">
        <v>0</v>
      </c>
      <c r="BJ74" s="422">
        <v>0</v>
      </c>
      <c r="BK74" s="422">
        <v>0</v>
      </c>
      <c r="BL74" s="422">
        <v>0</v>
      </c>
      <c r="BM74" s="422">
        <v>0</v>
      </c>
      <c r="BN74" s="422">
        <v>0</v>
      </c>
      <c r="BO74" s="422">
        <v>0</v>
      </c>
      <c r="BP74" s="422">
        <v>0</v>
      </c>
      <c r="BQ74" s="422">
        <v>0</v>
      </c>
      <c r="BR74" s="422">
        <v>0</v>
      </c>
      <c r="BS74" s="422">
        <v>0</v>
      </c>
      <c r="BT74" s="422">
        <v>0</v>
      </c>
      <c r="BU74" s="422">
        <v>0</v>
      </c>
      <c r="BV74" s="422">
        <v>0</v>
      </c>
      <c r="BW74" s="422">
        <v>0</v>
      </c>
      <c r="BX74" s="422">
        <v>0</v>
      </c>
      <c r="BY74" s="422">
        <v>0</v>
      </c>
      <c r="BZ74" s="422">
        <v>0</v>
      </c>
      <c r="CA74" s="422">
        <v>0</v>
      </c>
      <c r="CB74" s="422">
        <v>0</v>
      </c>
      <c r="CC74" s="422">
        <v>0</v>
      </c>
      <c r="CD74" s="422">
        <v>0</v>
      </c>
      <c r="CE74" s="422">
        <v>0</v>
      </c>
      <c r="CF74" s="422">
        <v>0</v>
      </c>
      <c r="CG74" s="422">
        <v>0</v>
      </c>
      <c r="CH74" s="422">
        <v>0</v>
      </c>
      <c r="CI74" s="422">
        <v>0</v>
      </c>
      <c r="CJ74" s="422">
        <v>0</v>
      </c>
      <c r="CK74" s="422">
        <v>0</v>
      </c>
      <c r="CL74" s="422">
        <v>0</v>
      </c>
      <c r="CM74" s="422">
        <v>0</v>
      </c>
      <c r="CN74" s="422">
        <v>0</v>
      </c>
      <c r="CO74" s="422">
        <v>0</v>
      </c>
      <c r="CP74" s="422">
        <v>0</v>
      </c>
      <c r="CQ74" s="422">
        <v>0</v>
      </c>
      <c r="CR74" s="422">
        <v>0</v>
      </c>
      <c r="CS74" s="422">
        <v>0</v>
      </c>
      <c r="CT74" s="422">
        <v>0</v>
      </c>
      <c r="CU74" s="422">
        <v>0</v>
      </c>
      <c r="CV74" s="422">
        <v>0</v>
      </c>
      <c r="CW74" s="422">
        <v>0</v>
      </c>
      <c r="CX74" s="422">
        <v>0</v>
      </c>
      <c r="CY74" s="422">
        <v>0</v>
      </c>
      <c r="CZ74" s="422">
        <v>0</v>
      </c>
      <c r="DA74" s="422">
        <v>0</v>
      </c>
      <c r="DB74" s="422">
        <v>0</v>
      </c>
      <c r="DC74" s="422">
        <v>0</v>
      </c>
      <c r="DD74" s="422">
        <v>0</v>
      </c>
      <c r="DE74" s="422">
        <v>0</v>
      </c>
      <c r="DF74" s="422">
        <v>0</v>
      </c>
      <c r="DG74" s="422">
        <v>0</v>
      </c>
      <c r="DH74" s="422">
        <v>0</v>
      </c>
      <c r="DI74" s="422">
        <v>0</v>
      </c>
      <c r="DJ74" s="422">
        <v>0</v>
      </c>
      <c r="DK74" s="422">
        <v>0</v>
      </c>
      <c r="DL74" s="422">
        <v>0</v>
      </c>
      <c r="DM74" s="422">
        <v>0</v>
      </c>
      <c r="DN74" s="422">
        <v>0</v>
      </c>
      <c r="DO74" s="422">
        <v>0</v>
      </c>
      <c r="DP74" s="422">
        <v>0</v>
      </c>
      <c r="DQ74" s="422">
        <v>0</v>
      </c>
      <c r="DR74" s="422">
        <v>0</v>
      </c>
      <c r="DS74" s="422">
        <v>0</v>
      </c>
      <c r="DT74" s="422">
        <v>0</v>
      </c>
      <c r="DU74" s="422">
        <v>0</v>
      </c>
      <c r="DV74" s="422">
        <v>0</v>
      </c>
      <c r="DW74" s="422">
        <v>0</v>
      </c>
      <c r="DX74" s="422">
        <v>0</v>
      </c>
      <c r="DY74" s="422">
        <v>0</v>
      </c>
      <c r="DZ74" s="422">
        <v>0</v>
      </c>
      <c r="EA74" s="422">
        <v>0</v>
      </c>
      <c r="EB74" s="422">
        <v>0</v>
      </c>
      <c r="EC74" s="422">
        <v>0</v>
      </c>
      <c r="ED74" s="422">
        <v>0</v>
      </c>
      <c r="EE74" s="422">
        <v>0</v>
      </c>
      <c r="EF74" s="422">
        <v>0</v>
      </c>
      <c r="EG74" s="422">
        <v>0</v>
      </c>
      <c r="EH74" s="422">
        <v>0</v>
      </c>
      <c r="EI74" s="422">
        <v>0</v>
      </c>
      <c r="EJ74" s="422">
        <v>0</v>
      </c>
      <c r="EK74" s="422">
        <v>0</v>
      </c>
      <c r="EL74" s="422">
        <v>0</v>
      </c>
      <c r="EM74" s="422">
        <v>0</v>
      </c>
      <c r="EN74" s="422">
        <v>0</v>
      </c>
      <c r="EO74"/>
      <c r="EP74" s="219" t="s">
        <v>197</v>
      </c>
      <c r="EQ74" s="18"/>
      <c r="ER74" s="18"/>
      <c r="ES74" s="18" t="str">
        <f>IF(MAX(EV74:JX74)=SUM(EV58:JX58),"OK","ERROR")</f>
        <v>OK</v>
      </c>
      <c r="ET74" s="18" t="s">
        <v>201</v>
      </c>
      <c r="EU74" s="20">
        <v>0</v>
      </c>
      <c r="EV74" s="20">
        <f t="shared" ref="EV74:GA74" si="275">+EU74+EV58</f>
        <v>0</v>
      </c>
      <c r="EW74" s="20">
        <f t="shared" si="275"/>
        <v>0</v>
      </c>
      <c r="EX74" s="20">
        <f t="shared" si="275"/>
        <v>0</v>
      </c>
      <c r="EY74" s="20">
        <f t="shared" si="275"/>
        <v>0</v>
      </c>
      <c r="EZ74" s="20">
        <f t="shared" si="275"/>
        <v>0</v>
      </c>
      <c r="FA74" s="20">
        <f t="shared" si="275"/>
        <v>0</v>
      </c>
      <c r="FB74" s="20">
        <f t="shared" si="275"/>
        <v>0</v>
      </c>
      <c r="FC74" s="20">
        <f t="shared" si="275"/>
        <v>0</v>
      </c>
      <c r="FD74" s="20">
        <f t="shared" si="275"/>
        <v>0</v>
      </c>
      <c r="FE74" s="20">
        <f t="shared" si="275"/>
        <v>0</v>
      </c>
      <c r="FF74" s="20">
        <f t="shared" si="275"/>
        <v>0</v>
      </c>
      <c r="FG74" s="20">
        <f t="shared" si="275"/>
        <v>0</v>
      </c>
      <c r="FH74" s="20">
        <f t="shared" si="275"/>
        <v>0</v>
      </c>
      <c r="FI74" s="20">
        <f t="shared" si="275"/>
        <v>0</v>
      </c>
      <c r="FJ74" s="20">
        <f t="shared" si="275"/>
        <v>0</v>
      </c>
      <c r="FK74" s="20">
        <f t="shared" si="275"/>
        <v>0</v>
      </c>
      <c r="FL74" s="20">
        <f t="shared" si="275"/>
        <v>0</v>
      </c>
      <c r="FM74" s="20">
        <f t="shared" si="275"/>
        <v>115701.11887347278</v>
      </c>
      <c r="FN74" s="20">
        <f t="shared" si="275"/>
        <v>352714.4380740078</v>
      </c>
      <c r="FO74" s="20">
        <f t="shared" si="275"/>
        <v>713263.54403519828</v>
      </c>
      <c r="FP74" s="20">
        <f t="shared" si="275"/>
        <v>1196451.1102535096</v>
      </c>
      <c r="FQ74" s="20">
        <f t="shared" si="275"/>
        <v>1798363.43424764</v>
      </c>
      <c r="FR74" s="20">
        <f t="shared" si="275"/>
        <v>2512402.8684010603</v>
      </c>
      <c r="FS74" s="20">
        <f t="shared" si="275"/>
        <v>3329805.4764407128</v>
      </c>
      <c r="FT74" s="20">
        <f t="shared" si="275"/>
        <v>4240280.340307924</v>
      </c>
      <c r="FU74" s="20">
        <f t="shared" si="275"/>
        <v>5232696.7889419748</v>
      </c>
      <c r="FV74" s="20">
        <f t="shared" si="275"/>
        <v>6295747.3467926141</v>
      </c>
      <c r="FW74" s="20">
        <f t="shared" si="275"/>
        <v>7418525.9913897412</v>
      </c>
      <c r="FX74" s="20">
        <f t="shared" si="275"/>
        <v>8590980.1465146001</v>
      </c>
      <c r="FY74" s="20">
        <f t="shared" si="275"/>
        <v>9804216.5994648412</v>
      </c>
      <c r="FZ74" s="20">
        <f t="shared" si="275"/>
        <v>11050662.190234579</v>
      </c>
      <c r="GA74" s="20">
        <f t="shared" si="275"/>
        <v>12324096.563423729</v>
      </c>
      <c r="GB74" s="20">
        <f t="shared" ref="GB74:HG74" si="276">+GA74+GB58</f>
        <v>13619584.767820837</v>
      </c>
      <c r="GC74" s="20">
        <f t="shared" si="276"/>
        <v>14933341.746955913</v>
      </c>
      <c r="GD74" s="20">
        <f t="shared" si="276"/>
        <v>16262559.673861366</v>
      </c>
      <c r="GE74" s="20">
        <f t="shared" si="276"/>
        <v>17605224.241149966</v>
      </c>
      <c r="GF74" s="20">
        <f t="shared" si="276"/>
        <v>18959939.228472892</v>
      </c>
      <c r="GG74" s="20">
        <f t="shared" si="276"/>
        <v>20325771.539970264</v>
      </c>
      <c r="GH74" s="20">
        <f t="shared" si="276"/>
        <v>21699002.10982158</v>
      </c>
      <c r="GI74" s="20">
        <f t="shared" si="276"/>
        <v>23079671.011926256</v>
      </c>
      <c r="GJ74" s="20">
        <f t="shared" si="276"/>
        <v>24467818.537250664</v>
      </c>
      <c r="GK74" s="20">
        <f t="shared" si="276"/>
        <v>25863485.195003916</v>
      </c>
      <c r="GL74" s="20">
        <f t="shared" si="276"/>
        <v>27266711.713819996</v>
      </c>
      <c r="GM74" s="20">
        <f t="shared" si="276"/>
        <v>28677539.042946331</v>
      </c>
      <c r="GN74" s="20">
        <f t="shared" si="276"/>
        <v>30096008.353438765</v>
      </c>
      <c r="GO74" s="20">
        <f t="shared" si="276"/>
        <v>31522161.039363034</v>
      </c>
      <c r="GP74" s="20">
        <f t="shared" si="276"/>
        <v>32956038.719002727</v>
      </c>
      <c r="GQ74" s="20">
        <f t="shared" si="276"/>
        <v>34397683.236073799</v>
      </c>
      <c r="GR74" s="20">
        <f t="shared" si="276"/>
        <v>35847136.660945676</v>
      </c>
      <c r="GS74" s="20">
        <f t="shared" si="276"/>
        <v>37304441.29186894</v>
      </c>
      <c r="GT74" s="20">
        <f t="shared" si="276"/>
        <v>38769639.656209707</v>
      </c>
      <c r="GU74" s="20">
        <f t="shared" si="276"/>
        <v>40242774.511690654</v>
      </c>
      <c r="GV74" s="20">
        <f t="shared" si="276"/>
        <v>41723888.847638786</v>
      </c>
      <c r="GW74" s="20">
        <f t="shared" si="276"/>
        <v>43213025.886239968</v>
      </c>
      <c r="GX74" s="20">
        <f t="shared" si="276"/>
        <v>44710229.083800241</v>
      </c>
      <c r="GY74" s="20">
        <f t="shared" si="276"/>
        <v>46215542.132013969</v>
      </c>
      <c r="GZ74" s="20">
        <f t="shared" si="276"/>
        <v>47729008.959238857</v>
      </c>
      <c r="HA74" s="20">
        <f t="shared" si="276"/>
        <v>49250673.731777877</v>
      </c>
      <c r="HB74" s="20">
        <f t="shared" si="276"/>
        <v>50780580.855168149</v>
      </c>
      <c r="HC74" s="20">
        <f t="shared" si="276"/>
        <v>52318774.975476786</v>
      </c>
      <c r="HD74" s="20">
        <f t="shared" si="276"/>
        <v>53865300.980603762</v>
      </c>
      <c r="HE74" s="20">
        <f t="shared" si="276"/>
        <v>55420204.001591839</v>
      </c>
      <c r="HF74" s="20">
        <f t="shared" si="276"/>
        <v>55420204.001591839</v>
      </c>
      <c r="HG74" s="20">
        <f t="shared" si="276"/>
        <v>55420204.001591839</v>
      </c>
      <c r="HH74" s="20">
        <f t="shared" ref="HH74:IM74" si="277">+HG74+HH58</f>
        <v>55420204.001591839</v>
      </c>
      <c r="HI74" s="20">
        <f t="shared" si="277"/>
        <v>55420204.001591839</v>
      </c>
      <c r="HJ74" s="20">
        <f t="shared" si="277"/>
        <v>55420204.001591839</v>
      </c>
      <c r="HK74" s="20">
        <f t="shared" si="277"/>
        <v>55420204.001591839</v>
      </c>
      <c r="HL74" s="20">
        <f t="shared" si="277"/>
        <v>55420204.001591839</v>
      </c>
      <c r="HM74" s="20">
        <f t="shared" si="277"/>
        <v>55420204.001591839</v>
      </c>
      <c r="HN74" s="20">
        <f t="shared" si="277"/>
        <v>55420204.001591839</v>
      </c>
      <c r="HO74" s="20">
        <f t="shared" si="277"/>
        <v>55420204.001591839</v>
      </c>
      <c r="HP74" s="20">
        <f t="shared" si="277"/>
        <v>55420204.001591839</v>
      </c>
      <c r="HQ74" s="20">
        <f t="shared" si="277"/>
        <v>55420204.001591839</v>
      </c>
      <c r="HR74" s="20">
        <f t="shared" si="277"/>
        <v>55420204.001591839</v>
      </c>
      <c r="HS74" s="20">
        <f t="shared" si="277"/>
        <v>55420204.001591839</v>
      </c>
      <c r="HT74" s="20">
        <f t="shared" si="277"/>
        <v>55420204.001591839</v>
      </c>
      <c r="HU74" s="20">
        <f t="shared" si="277"/>
        <v>55420204.001591839</v>
      </c>
      <c r="HV74" s="20">
        <f t="shared" si="277"/>
        <v>55420204.001591839</v>
      </c>
      <c r="HW74" s="20">
        <f t="shared" si="277"/>
        <v>55420204.001591839</v>
      </c>
      <c r="HX74" s="20">
        <f t="shared" si="277"/>
        <v>55420204.001591839</v>
      </c>
      <c r="HY74" s="20">
        <f t="shared" si="277"/>
        <v>55420204.001591839</v>
      </c>
      <c r="HZ74" s="20">
        <f t="shared" si="277"/>
        <v>55420204.001591839</v>
      </c>
      <c r="IA74" s="20">
        <f t="shared" si="277"/>
        <v>55420204.001591839</v>
      </c>
      <c r="IB74" s="20">
        <f t="shared" si="277"/>
        <v>55420204.001591839</v>
      </c>
      <c r="IC74" s="20">
        <f t="shared" si="277"/>
        <v>55420204.001591839</v>
      </c>
      <c r="ID74" s="20">
        <f t="shared" si="277"/>
        <v>55420204.001591839</v>
      </c>
      <c r="IE74" s="20">
        <f t="shared" si="277"/>
        <v>55420204.001591839</v>
      </c>
      <c r="IF74" s="20">
        <f t="shared" si="277"/>
        <v>55420204.001591839</v>
      </c>
      <c r="IG74" s="20">
        <f t="shared" si="277"/>
        <v>55420204.001591839</v>
      </c>
      <c r="IH74" s="20">
        <f t="shared" si="277"/>
        <v>55420204.001591839</v>
      </c>
      <c r="II74" s="20">
        <f t="shared" si="277"/>
        <v>55420204.001591839</v>
      </c>
      <c r="IJ74" s="20">
        <f t="shared" si="277"/>
        <v>55420204.001591839</v>
      </c>
      <c r="IK74" s="20">
        <f t="shared" si="277"/>
        <v>55420204.001591839</v>
      </c>
      <c r="IL74" s="20">
        <f t="shared" si="277"/>
        <v>55420204.001591839</v>
      </c>
      <c r="IM74" s="20">
        <f t="shared" si="277"/>
        <v>55420204.001591839</v>
      </c>
      <c r="IN74" s="20">
        <f t="shared" ref="IN74:JX74" si="278">+IM74+IN58</f>
        <v>55420204.001591839</v>
      </c>
      <c r="IO74" s="20">
        <f t="shared" si="278"/>
        <v>55420204.001591839</v>
      </c>
      <c r="IP74" s="20">
        <f t="shared" si="278"/>
        <v>55420204.001591839</v>
      </c>
      <c r="IQ74" s="20">
        <f t="shared" si="278"/>
        <v>55420204.001591839</v>
      </c>
      <c r="IR74" s="20">
        <f t="shared" si="278"/>
        <v>55420204.001591839</v>
      </c>
      <c r="IS74" s="20">
        <f t="shared" si="278"/>
        <v>55420204.001591839</v>
      </c>
      <c r="IT74" s="20">
        <f t="shared" si="278"/>
        <v>55420204.001591839</v>
      </c>
      <c r="IU74" s="20">
        <f t="shared" si="278"/>
        <v>55420204.001591839</v>
      </c>
      <c r="IV74" s="20">
        <f t="shared" si="278"/>
        <v>55420204.001591839</v>
      </c>
      <c r="IW74" s="20">
        <f t="shared" si="278"/>
        <v>55420204.001591839</v>
      </c>
      <c r="IX74" s="20">
        <f t="shared" si="278"/>
        <v>55420204.001591839</v>
      </c>
      <c r="IY74" s="20">
        <f t="shared" si="278"/>
        <v>55420204.001591839</v>
      </c>
      <c r="IZ74" s="20">
        <f t="shared" si="278"/>
        <v>55420204.001591839</v>
      </c>
      <c r="JA74" s="20">
        <f t="shared" si="278"/>
        <v>55420204.001591839</v>
      </c>
      <c r="JB74" s="20">
        <f t="shared" si="278"/>
        <v>55420204.001591839</v>
      </c>
      <c r="JC74" s="20">
        <f t="shared" si="278"/>
        <v>55420204.001591839</v>
      </c>
      <c r="JD74" s="20">
        <f t="shared" si="278"/>
        <v>55420204.001591839</v>
      </c>
      <c r="JE74" s="20">
        <f t="shared" si="278"/>
        <v>55420204.001591839</v>
      </c>
      <c r="JF74" s="20">
        <f t="shared" si="278"/>
        <v>55420204.001591839</v>
      </c>
      <c r="JG74" s="20">
        <f t="shared" si="278"/>
        <v>55420204.001591839</v>
      </c>
      <c r="JH74" s="20">
        <f t="shared" si="278"/>
        <v>55420204.001591839</v>
      </c>
      <c r="JI74" s="20">
        <f t="shared" si="278"/>
        <v>55420204.001591839</v>
      </c>
      <c r="JJ74" s="20">
        <f t="shared" si="278"/>
        <v>55420204.001591839</v>
      </c>
      <c r="JK74" s="20">
        <f t="shared" si="278"/>
        <v>55420204.001591839</v>
      </c>
      <c r="JL74" s="20">
        <f t="shared" si="278"/>
        <v>55420204.001591839</v>
      </c>
      <c r="JM74" s="20">
        <f t="shared" si="278"/>
        <v>55420204.001591839</v>
      </c>
      <c r="JN74" s="20">
        <f t="shared" si="278"/>
        <v>55420204.001591839</v>
      </c>
      <c r="JO74" s="20">
        <f t="shared" si="278"/>
        <v>55420204.001591839</v>
      </c>
      <c r="JP74" s="20">
        <f t="shared" si="278"/>
        <v>55420204.001591839</v>
      </c>
      <c r="JQ74" s="20">
        <f t="shared" si="278"/>
        <v>55420204.001591839</v>
      </c>
      <c r="JR74" s="20">
        <f t="shared" si="278"/>
        <v>55420204.001591839</v>
      </c>
      <c r="JS74" s="20">
        <f t="shared" si="278"/>
        <v>55420204.001591839</v>
      </c>
      <c r="JT74" s="20">
        <f t="shared" si="278"/>
        <v>55420204.001591839</v>
      </c>
      <c r="JU74" s="20">
        <f t="shared" si="278"/>
        <v>55420204.001591839</v>
      </c>
      <c r="JV74" s="20">
        <f t="shared" si="278"/>
        <v>55420204.001591839</v>
      </c>
      <c r="JW74" s="20">
        <f t="shared" si="278"/>
        <v>55420204.001591839</v>
      </c>
      <c r="JX74" s="20">
        <f t="shared" si="278"/>
        <v>55420204.001591839</v>
      </c>
      <c r="JY74"/>
      <c r="JZ74" s="262"/>
      <c r="KA74" s="262"/>
      <c r="KB74" s="262"/>
      <c r="KC74" s="262"/>
      <c r="KD74" s="262"/>
      <c r="KE74" s="262"/>
      <c r="KF74" s="262"/>
      <c r="KG74" s="262"/>
      <c r="KH74" s="262"/>
      <c r="KI74" s="262"/>
      <c r="KJ74" s="262"/>
      <c r="KK74" s="262"/>
      <c r="KL74" s="262"/>
      <c r="KM74" s="262"/>
      <c r="KN74" s="262"/>
      <c r="KO74" s="262"/>
      <c r="KP74" s="262"/>
      <c r="KQ74" s="262"/>
      <c r="KR74" s="262"/>
      <c r="KS74" s="262"/>
      <c r="KT74" s="262"/>
      <c r="KU74" s="262"/>
      <c r="KV74" s="262"/>
      <c r="KW74" s="262"/>
      <c r="KX74" s="262"/>
      <c r="KY74" s="262"/>
      <c r="KZ74" s="262"/>
      <c r="LA74" s="262"/>
      <c r="LB74" s="262"/>
      <c r="LC74" s="262"/>
      <c r="LD74" s="262"/>
      <c r="LE74" s="262"/>
      <c r="LF74" s="262"/>
      <c r="LG74" s="262"/>
      <c r="LH74" s="262"/>
      <c r="LI74" s="262"/>
      <c r="LJ74" s="262"/>
      <c r="LK74" s="262"/>
      <c r="LL74" s="262"/>
      <c r="LM74" s="262"/>
      <c r="LN74" s="262"/>
      <c r="LO74" s="262"/>
      <c r="LP74" s="262"/>
      <c r="LQ74" s="262"/>
      <c r="LR74" s="262"/>
      <c r="LS74" s="262"/>
      <c r="LT74" s="262"/>
      <c r="LU74" s="262"/>
      <c r="LV74" s="262"/>
      <c r="LW74" s="262"/>
      <c r="LX74" s="262"/>
      <c r="LY74" s="262"/>
      <c r="LZ74" s="262"/>
      <c r="MA74" s="262"/>
      <c r="MB74" s="262"/>
      <c r="MC74" s="262"/>
      <c r="MD74" s="262"/>
      <c r="ME74" s="262"/>
      <c r="MF74" s="262"/>
      <c r="MG74" s="262"/>
      <c r="MH74" s="262"/>
      <c r="MI74" s="262"/>
      <c r="MJ74" s="262"/>
      <c r="MK74" s="262"/>
      <c r="ML74" s="262"/>
      <c r="MM74" s="262"/>
      <c r="MN74" s="262"/>
      <c r="MO74" s="262"/>
      <c r="MP74" s="262"/>
      <c r="MQ74" s="262"/>
      <c r="MR74" s="262"/>
      <c r="MS74" s="262"/>
      <c r="MT74" s="262"/>
      <c r="MU74" s="262"/>
      <c r="MV74" s="262"/>
      <c r="MW74" s="262"/>
      <c r="MX74" s="262"/>
      <c r="MY74" s="262"/>
      <c r="MZ74" s="262"/>
      <c r="NA74" s="262"/>
      <c r="NB74" s="262"/>
      <c r="NC74" s="262"/>
      <c r="ND74" s="262"/>
      <c r="NE74" s="262"/>
      <c r="NF74" s="262"/>
      <c r="NG74" s="262"/>
      <c r="NH74" s="262"/>
      <c r="NI74" s="262"/>
      <c r="NJ74" s="262"/>
      <c r="NK74" s="262"/>
      <c r="NL74" s="262"/>
      <c r="NM74" s="262"/>
      <c r="NN74" s="262"/>
      <c r="NO74" s="262"/>
      <c r="NP74" s="262"/>
      <c r="NQ74" s="262"/>
      <c r="NR74" s="262"/>
      <c r="NS74" s="262"/>
      <c r="NT74" s="262"/>
      <c r="NU74" s="262"/>
      <c r="NV74" s="262"/>
      <c r="NW74" s="262"/>
      <c r="NX74" s="262"/>
      <c r="NY74" s="262"/>
      <c r="NZ74" s="262"/>
      <c r="OA74" s="262"/>
      <c r="OB74" s="262"/>
      <c r="OC74" s="262"/>
      <c r="OD74" s="262"/>
      <c r="OE74" s="262"/>
      <c r="OF74" s="262"/>
      <c r="OG74" s="262"/>
      <c r="OH74" s="262"/>
      <c r="OI74" s="262"/>
      <c r="OJ74" s="262"/>
      <c r="OK74" s="262"/>
      <c r="OL74" s="262"/>
      <c r="OM74" s="262"/>
      <c r="ON74" s="262"/>
      <c r="OO74" s="262"/>
      <c r="OP74" s="262"/>
      <c r="OQ74" s="262"/>
      <c r="OR74" s="262"/>
      <c r="OS74" s="262"/>
      <c r="OT74" s="262"/>
      <c r="OU74" s="262"/>
      <c r="OV74" s="262"/>
      <c r="OW74" s="262"/>
      <c r="OX74" s="262"/>
      <c r="OY74" s="262"/>
      <c r="OZ74" s="262"/>
      <c r="PA74" s="262"/>
      <c r="PB74" s="262"/>
      <c r="PC74" s="262"/>
      <c r="PD74" s="262"/>
      <c r="PE74" s="262"/>
      <c r="PF74" s="262"/>
      <c r="PG74" s="262"/>
      <c r="PH74" s="262"/>
    </row>
    <row r="75" spans="1:424" x14ac:dyDescent="0.35">
      <c r="A75"/>
      <c r="B75" s="34" t="s">
        <v>204</v>
      </c>
      <c r="C75" s="400"/>
      <c r="D75" s="400"/>
      <c r="E75" s="46">
        <f>IF(Perm_Debt?=0,Timing_Reversion_Month,PermDebt_Fund)</f>
        <v>61</v>
      </c>
      <c r="F75" s="52">
        <f>I75/Project_Cost_Total</f>
        <v>0.52400395824069002</v>
      </c>
      <c r="G75" s="134"/>
      <c r="H75" s="415">
        <f>SUM(H72:H74)</f>
        <v>2997.3431186036514</v>
      </c>
      <c r="I75" s="445">
        <f>SUM(I72:I74)</f>
        <v>235202653.50721359</v>
      </c>
      <c r="J75"/>
      <c r="K75" s="22" t="str">
        <f>IF(AND(ROUND(SUM(L75:EN75),0)=ROUND(Debt_Total,0),ROUND(SUM(L61:EN62),0)=ROUND(SUM(I65:I66),0)),"","ERROR")</f>
        <v/>
      </c>
      <c r="L75" s="417">
        <f t="shared" ref="L75:AQ75" si="279">SUM(L72:L74)</f>
        <v>16628131.21831876</v>
      </c>
      <c r="M75" s="417">
        <f t="shared" si="279"/>
        <v>952590.63109591056</v>
      </c>
      <c r="N75" s="417">
        <f t="shared" si="279"/>
        <v>1153238.7592138182</v>
      </c>
      <c r="O75" s="417">
        <f t="shared" si="279"/>
        <v>1593255.3182424391</v>
      </c>
      <c r="P75" s="417">
        <f t="shared" si="279"/>
        <v>2151126.2631915766</v>
      </c>
      <c r="Q75" s="417">
        <f t="shared" si="279"/>
        <v>2898639.7829110157</v>
      </c>
      <c r="R75" s="417">
        <f t="shared" si="279"/>
        <v>3868810.0707379892</v>
      </c>
      <c r="S75" s="417">
        <f t="shared" si="279"/>
        <v>5087252.4296078607</v>
      </c>
      <c r="T75" s="417">
        <f t="shared" si="279"/>
        <v>6566224.3704085397</v>
      </c>
      <c r="U75" s="417">
        <f t="shared" si="279"/>
        <v>8298517.1205737963</v>
      </c>
      <c r="V75" s="417">
        <f t="shared" si="279"/>
        <v>10252240.165656256</v>
      </c>
      <c r="W75" s="417">
        <f t="shared" si="279"/>
        <v>12367698.147663975</v>
      </c>
      <c r="X75" s="417">
        <f t="shared" si="279"/>
        <v>14557484.657830048</v>
      </c>
      <c r="Y75" s="417">
        <f t="shared" si="279"/>
        <v>14432335.04440251</v>
      </c>
      <c r="Z75" s="417">
        <f t="shared" si="279"/>
        <v>9350243.9477226138</v>
      </c>
      <c r="AA75" s="417">
        <f t="shared" si="279"/>
        <v>10198571.003748894</v>
      </c>
      <c r="AB75" s="417">
        <f t="shared" si="279"/>
        <v>10840288.090406999</v>
      </c>
      <c r="AC75" s="417">
        <f t="shared" si="279"/>
        <v>11227475.507889703</v>
      </c>
      <c r="AD75" s="417">
        <f t="shared" si="279"/>
        <v>11330171.302228957</v>
      </c>
      <c r="AE75" s="417">
        <f t="shared" si="279"/>
        <v>11140198.701522857</v>
      </c>
      <c r="AF75" s="417">
        <f t="shared" si="279"/>
        <v>10717614.626966476</v>
      </c>
      <c r="AG75" s="417">
        <f t="shared" si="279"/>
        <v>10139987.759013325</v>
      </c>
      <c r="AH75" s="417">
        <f t="shared" si="279"/>
        <v>9358749.9466937482</v>
      </c>
      <c r="AI75" s="417">
        <f t="shared" si="279"/>
        <v>8427930.7761743367</v>
      </c>
      <c r="AJ75" s="417">
        <f t="shared" si="279"/>
        <v>7407265.9255515635</v>
      </c>
      <c r="AK75" s="417">
        <f t="shared" si="279"/>
        <v>6355958.6232007742</v>
      </c>
      <c r="AL75" s="417">
        <f t="shared" si="279"/>
        <v>5327231.8471754789</v>
      </c>
      <c r="AM75" s="417">
        <f t="shared" si="279"/>
        <v>4364324.7526958287</v>
      </c>
      <c r="AN75" s="417">
        <f t="shared" si="279"/>
        <v>3498264.0780161023</v>
      </c>
      <c r="AO75" s="417">
        <f t="shared" si="279"/>
        <v>2747407.6656336188</v>
      </c>
      <c r="AP75" s="417">
        <f t="shared" si="279"/>
        <v>1224305.0030850768</v>
      </c>
      <c r="AQ75" s="417">
        <f t="shared" si="279"/>
        <v>209638.92700129747</v>
      </c>
      <c r="AR75" s="417">
        <f t="shared" ref="AR75:BW75" si="280">SUM(AR72:AR74)</f>
        <v>169571.13126644492</v>
      </c>
      <c r="AS75" s="417">
        <f t="shared" si="280"/>
        <v>132711.21484693885</v>
      </c>
      <c r="AT75" s="417">
        <f t="shared" si="280"/>
        <v>100597.62539994717</v>
      </c>
      <c r="AU75" s="417">
        <f t="shared" si="280"/>
        <v>73917.592887252569</v>
      </c>
      <c r="AV75" s="417">
        <f t="shared" si="280"/>
        <v>52683.47823086381</v>
      </c>
      <c r="AW75" s="417">
        <f t="shared" si="280"/>
        <v>0</v>
      </c>
      <c r="AX75" s="417">
        <f t="shared" si="280"/>
        <v>0</v>
      </c>
      <c r="AY75" s="417">
        <f t="shared" si="280"/>
        <v>0</v>
      </c>
      <c r="AZ75" s="417">
        <f t="shared" si="280"/>
        <v>0</v>
      </c>
      <c r="BA75" s="417">
        <f t="shared" si="280"/>
        <v>0</v>
      </c>
      <c r="BB75" s="417">
        <f t="shared" si="280"/>
        <v>0</v>
      </c>
      <c r="BC75" s="417">
        <f t="shared" si="280"/>
        <v>0</v>
      </c>
      <c r="BD75" s="417">
        <f t="shared" si="280"/>
        <v>0</v>
      </c>
      <c r="BE75" s="417">
        <f t="shared" si="280"/>
        <v>0</v>
      </c>
      <c r="BF75" s="417">
        <f t="shared" si="280"/>
        <v>0</v>
      </c>
      <c r="BG75" s="417">
        <f t="shared" si="280"/>
        <v>0</v>
      </c>
      <c r="BH75" s="417">
        <f t="shared" si="280"/>
        <v>0</v>
      </c>
      <c r="BI75" s="417">
        <f t="shared" si="280"/>
        <v>0</v>
      </c>
      <c r="BJ75" s="417">
        <f t="shared" si="280"/>
        <v>0</v>
      </c>
      <c r="BK75" s="417">
        <f t="shared" si="280"/>
        <v>0</v>
      </c>
      <c r="BL75" s="417">
        <f t="shared" si="280"/>
        <v>0</v>
      </c>
      <c r="BM75" s="417">
        <f t="shared" si="280"/>
        <v>0</v>
      </c>
      <c r="BN75" s="417">
        <f t="shared" si="280"/>
        <v>0</v>
      </c>
      <c r="BO75" s="417">
        <f t="shared" si="280"/>
        <v>0</v>
      </c>
      <c r="BP75" s="417">
        <f t="shared" si="280"/>
        <v>0</v>
      </c>
      <c r="BQ75" s="417">
        <f t="shared" si="280"/>
        <v>0</v>
      </c>
      <c r="BR75" s="417">
        <f t="shared" si="280"/>
        <v>0</v>
      </c>
      <c r="BS75" s="417">
        <f t="shared" si="280"/>
        <v>0</v>
      </c>
      <c r="BT75" s="417">
        <f t="shared" si="280"/>
        <v>0</v>
      </c>
      <c r="BU75" s="417">
        <f t="shared" si="280"/>
        <v>0</v>
      </c>
      <c r="BV75" s="417">
        <f t="shared" si="280"/>
        <v>0</v>
      </c>
      <c r="BW75" s="417">
        <f t="shared" si="280"/>
        <v>0</v>
      </c>
      <c r="BX75" s="417">
        <f t="shared" ref="BX75:DC75" si="281">SUM(BX72:BX74)</f>
        <v>0</v>
      </c>
      <c r="BY75" s="417">
        <f t="shared" si="281"/>
        <v>0</v>
      </c>
      <c r="BZ75" s="417">
        <f t="shared" si="281"/>
        <v>0</v>
      </c>
      <c r="CA75" s="417">
        <f t="shared" si="281"/>
        <v>0</v>
      </c>
      <c r="CB75" s="417">
        <f t="shared" si="281"/>
        <v>0</v>
      </c>
      <c r="CC75" s="417">
        <f t="shared" si="281"/>
        <v>0</v>
      </c>
      <c r="CD75" s="417">
        <f t="shared" si="281"/>
        <v>0</v>
      </c>
      <c r="CE75" s="417">
        <f t="shared" si="281"/>
        <v>0</v>
      </c>
      <c r="CF75" s="417">
        <f t="shared" si="281"/>
        <v>0</v>
      </c>
      <c r="CG75" s="417">
        <f t="shared" si="281"/>
        <v>0</v>
      </c>
      <c r="CH75" s="417">
        <f t="shared" si="281"/>
        <v>0</v>
      </c>
      <c r="CI75" s="417">
        <f t="shared" si="281"/>
        <v>0</v>
      </c>
      <c r="CJ75" s="417">
        <f t="shared" si="281"/>
        <v>0</v>
      </c>
      <c r="CK75" s="417">
        <f t="shared" si="281"/>
        <v>0</v>
      </c>
      <c r="CL75" s="417">
        <f t="shared" si="281"/>
        <v>0</v>
      </c>
      <c r="CM75" s="417">
        <f t="shared" si="281"/>
        <v>0</v>
      </c>
      <c r="CN75" s="417">
        <f t="shared" si="281"/>
        <v>0</v>
      </c>
      <c r="CO75" s="417">
        <f t="shared" si="281"/>
        <v>0</v>
      </c>
      <c r="CP75" s="417">
        <f t="shared" si="281"/>
        <v>0</v>
      </c>
      <c r="CQ75" s="417">
        <f t="shared" si="281"/>
        <v>0</v>
      </c>
      <c r="CR75" s="417">
        <f t="shared" si="281"/>
        <v>0</v>
      </c>
      <c r="CS75" s="417">
        <f t="shared" si="281"/>
        <v>0</v>
      </c>
      <c r="CT75" s="417">
        <f t="shared" si="281"/>
        <v>0</v>
      </c>
      <c r="CU75" s="417">
        <f t="shared" si="281"/>
        <v>0</v>
      </c>
      <c r="CV75" s="417">
        <f t="shared" si="281"/>
        <v>0</v>
      </c>
      <c r="CW75" s="417">
        <f t="shared" si="281"/>
        <v>0</v>
      </c>
      <c r="CX75" s="417">
        <f t="shared" si="281"/>
        <v>0</v>
      </c>
      <c r="CY75" s="417">
        <f t="shared" si="281"/>
        <v>0</v>
      </c>
      <c r="CZ75" s="417">
        <f t="shared" si="281"/>
        <v>0</v>
      </c>
      <c r="DA75" s="417">
        <f t="shared" si="281"/>
        <v>0</v>
      </c>
      <c r="DB75" s="417">
        <f t="shared" si="281"/>
        <v>0</v>
      </c>
      <c r="DC75" s="417">
        <f t="shared" si="281"/>
        <v>0</v>
      </c>
      <c r="DD75" s="417">
        <f t="shared" ref="DD75:EI75" si="282">SUM(DD72:DD74)</f>
        <v>0</v>
      </c>
      <c r="DE75" s="417">
        <f t="shared" si="282"/>
        <v>0</v>
      </c>
      <c r="DF75" s="417">
        <f t="shared" si="282"/>
        <v>0</v>
      </c>
      <c r="DG75" s="417">
        <f t="shared" si="282"/>
        <v>0</v>
      </c>
      <c r="DH75" s="417">
        <f t="shared" si="282"/>
        <v>0</v>
      </c>
      <c r="DI75" s="417">
        <f t="shared" si="282"/>
        <v>0</v>
      </c>
      <c r="DJ75" s="417">
        <f t="shared" si="282"/>
        <v>0</v>
      </c>
      <c r="DK75" s="417">
        <f t="shared" si="282"/>
        <v>0</v>
      </c>
      <c r="DL75" s="417">
        <f t="shared" si="282"/>
        <v>0</v>
      </c>
      <c r="DM75" s="417">
        <f t="shared" si="282"/>
        <v>0</v>
      </c>
      <c r="DN75" s="417">
        <f t="shared" si="282"/>
        <v>0</v>
      </c>
      <c r="DO75" s="417">
        <f t="shared" si="282"/>
        <v>0</v>
      </c>
      <c r="DP75" s="417">
        <f t="shared" si="282"/>
        <v>0</v>
      </c>
      <c r="DQ75" s="417">
        <f t="shared" si="282"/>
        <v>0</v>
      </c>
      <c r="DR75" s="417">
        <f t="shared" si="282"/>
        <v>0</v>
      </c>
      <c r="DS75" s="417">
        <f t="shared" si="282"/>
        <v>0</v>
      </c>
      <c r="DT75" s="417">
        <f t="shared" si="282"/>
        <v>0</v>
      </c>
      <c r="DU75" s="417">
        <f t="shared" si="282"/>
        <v>0</v>
      </c>
      <c r="DV75" s="417">
        <f t="shared" si="282"/>
        <v>0</v>
      </c>
      <c r="DW75" s="417">
        <f t="shared" si="282"/>
        <v>0</v>
      </c>
      <c r="DX75" s="417">
        <f t="shared" si="282"/>
        <v>0</v>
      </c>
      <c r="DY75" s="417">
        <f t="shared" si="282"/>
        <v>0</v>
      </c>
      <c r="DZ75" s="417">
        <f t="shared" si="282"/>
        <v>0</v>
      </c>
      <c r="EA75" s="417">
        <f t="shared" si="282"/>
        <v>0</v>
      </c>
      <c r="EB75" s="417">
        <f t="shared" si="282"/>
        <v>0</v>
      </c>
      <c r="EC75" s="417">
        <f t="shared" si="282"/>
        <v>0</v>
      </c>
      <c r="ED75" s="417">
        <f t="shared" si="282"/>
        <v>0</v>
      </c>
      <c r="EE75" s="417">
        <f t="shared" si="282"/>
        <v>0</v>
      </c>
      <c r="EF75" s="417">
        <f t="shared" si="282"/>
        <v>0</v>
      </c>
      <c r="EG75" s="417">
        <f t="shared" si="282"/>
        <v>0</v>
      </c>
      <c r="EH75" s="417">
        <f t="shared" si="282"/>
        <v>0</v>
      </c>
      <c r="EI75" s="417">
        <f t="shared" si="282"/>
        <v>0</v>
      </c>
      <c r="EJ75" s="417">
        <f>SUM(EJ72:EJ74)</f>
        <v>0</v>
      </c>
      <c r="EK75" s="417">
        <f>SUM(EK72:EK74)</f>
        <v>0</v>
      </c>
      <c r="EL75" s="417">
        <f>SUM(EL72:EL74)</f>
        <v>0</v>
      </c>
      <c r="EM75" s="417">
        <f>SUM(EM72:EM74)</f>
        <v>0</v>
      </c>
      <c r="EN75" s="417">
        <f>SUM(EN72:EN74)</f>
        <v>0</v>
      </c>
      <c r="EO75"/>
      <c r="EP75" s="219" t="s">
        <v>199</v>
      </c>
      <c r="EQ75" s="18"/>
      <c r="ER75" s="18"/>
      <c r="ES75" s="18" t="str">
        <f>IF(MAX(EV75:JX75)=SUM(EV59:JX59),"OK","ERROR")</f>
        <v>OK</v>
      </c>
      <c r="ET75" s="18" t="s">
        <v>201</v>
      </c>
      <c r="EU75" s="20">
        <v>0</v>
      </c>
      <c r="EV75" s="20">
        <f t="shared" ref="EV75:GA75" si="283">+EU75+EV59</f>
        <v>0</v>
      </c>
      <c r="EW75" s="20">
        <f t="shared" si="283"/>
        <v>0</v>
      </c>
      <c r="EX75" s="20">
        <f t="shared" si="283"/>
        <v>0</v>
      </c>
      <c r="EY75" s="20">
        <f t="shared" si="283"/>
        <v>0</v>
      </c>
      <c r="EZ75" s="20">
        <f t="shared" si="283"/>
        <v>0</v>
      </c>
      <c r="FA75" s="20">
        <f t="shared" si="283"/>
        <v>0</v>
      </c>
      <c r="FB75" s="20">
        <f t="shared" si="283"/>
        <v>0</v>
      </c>
      <c r="FC75" s="20">
        <f t="shared" si="283"/>
        <v>0</v>
      </c>
      <c r="FD75" s="20">
        <f t="shared" si="283"/>
        <v>0</v>
      </c>
      <c r="FE75" s="20">
        <f t="shared" si="283"/>
        <v>0</v>
      </c>
      <c r="FF75" s="20">
        <f t="shared" si="283"/>
        <v>0</v>
      </c>
      <c r="FG75" s="20">
        <f t="shared" si="283"/>
        <v>0</v>
      </c>
      <c r="FH75" s="20">
        <f t="shared" si="283"/>
        <v>0</v>
      </c>
      <c r="FI75" s="20">
        <f t="shared" si="283"/>
        <v>0</v>
      </c>
      <c r="FJ75" s="20">
        <f t="shared" si="283"/>
        <v>0</v>
      </c>
      <c r="FK75" s="20">
        <f t="shared" si="283"/>
        <v>0</v>
      </c>
      <c r="FL75" s="20">
        <f t="shared" si="283"/>
        <v>0</v>
      </c>
      <c r="FM75" s="20">
        <f t="shared" si="283"/>
        <v>0</v>
      </c>
      <c r="FN75" s="20">
        <f t="shared" si="283"/>
        <v>0</v>
      </c>
      <c r="FO75" s="20">
        <f t="shared" si="283"/>
        <v>0</v>
      </c>
      <c r="FP75" s="20">
        <f t="shared" si="283"/>
        <v>0</v>
      </c>
      <c r="FQ75" s="20">
        <f t="shared" si="283"/>
        <v>0</v>
      </c>
      <c r="FR75" s="20">
        <f t="shared" si="283"/>
        <v>0</v>
      </c>
      <c r="FS75" s="20">
        <f t="shared" si="283"/>
        <v>0</v>
      </c>
      <c r="FT75" s="20">
        <f t="shared" si="283"/>
        <v>0</v>
      </c>
      <c r="FU75" s="20">
        <f t="shared" si="283"/>
        <v>0</v>
      </c>
      <c r="FV75" s="20">
        <f t="shared" si="283"/>
        <v>0</v>
      </c>
      <c r="FW75" s="20">
        <f t="shared" si="283"/>
        <v>0</v>
      </c>
      <c r="FX75" s="20">
        <f t="shared" si="283"/>
        <v>0</v>
      </c>
      <c r="FY75" s="20">
        <f t="shared" si="283"/>
        <v>0</v>
      </c>
      <c r="FZ75" s="20">
        <f t="shared" si="283"/>
        <v>0</v>
      </c>
      <c r="GA75" s="20">
        <f t="shared" si="283"/>
        <v>0</v>
      </c>
      <c r="GB75" s="20">
        <f t="shared" ref="GB75:HG75" si="284">+GA75+GB59</f>
        <v>0</v>
      </c>
      <c r="GC75" s="20">
        <f t="shared" si="284"/>
        <v>0</v>
      </c>
      <c r="GD75" s="20">
        <f t="shared" si="284"/>
        <v>0</v>
      </c>
      <c r="GE75" s="20">
        <f t="shared" si="284"/>
        <v>0</v>
      </c>
      <c r="GF75" s="20">
        <f t="shared" si="284"/>
        <v>0</v>
      </c>
      <c r="GG75" s="20">
        <f t="shared" si="284"/>
        <v>0</v>
      </c>
      <c r="GH75" s="20">
        <f t="shared" si="284"/>
        <v>0</v>
      </c>
      <c r="GI75" s="20">
        <f t="shared" si="284"/>
        <v>0</v>
      </c>
      <c r="GJ75" s="20">
        <f t="shared" si="284"/>
        <v>0</v>
      </c>
      <c r="GK75" s="20">
        <f t="shared" si="284"/>
        <v>0</v>
      </c>
      <c r="GL75" s="20">
        <f t="shared" si="284"/>
        <v>0</v>
      </c>
      <c r="GM75" s="20">
        <f t="shared" si="284"/>
        <v>0</v>
      </c>
      <c r="GN75" s="20">
        <f t="shared" si="284"/>
        <v>0</v>
      </c>
      <c r="GO75" s="20">
        <f t="shared" si="284"/>
        <v>0</v>
      </c>
      <c r="GP75" s="20">
        <f t="shared" si="284"/>
        <v>0</v>
      </c>
      <c r="GQ75" s="20">
        <f t="shared" si="284"/>
        <v>0</v>
      </c>
      <c r="GR75" s="20">
        <f t="shared" si="284"/>
        <v>0</v>
      </c>
      <c r="GS75" s="20">
        <f t="shared" si="284"/>
        <v>0</v>
      </c>
      <c r="GT75" s="20">
        <f t="shared" si="284"/>
        <v>0</v>
      </c>
      <c r="GU75" s="20">
        <f t="shared" si="284"/>
        <v>0</v>
      </c>
      <c r="GV75" s="20">
        <f t="shared" si="284"/>
        <v>0</v>
      </c>
      <c r="GW75" s="20">
        <f t="shared" si="284"/>
        <v>0</v>
      </c>
      <c r="GX75" s="20">
        <f t="shared" si="284"/>
        <v>0</v>
      </c>
      <c r="GY75" s="20">
        <f t="shared" si="284"/>
        <v>0</v>
      </c>
      <c r="GZ75" s="20">
        <f t="shared" si="284"/>
        <v>0</v>
      </c>
      <c r="HA75" s="20">
        <f t="shared" si="284"/>
        <v>0</v>
      </c>
      <c r="HB75" s="20">
        <f t="shared" si="284"/>
        <v>0</v>
      </c>
      <c r="HC75" s="20">
        <f t="shared" si="284"/>
        <v>0</v>
      </c>
      <c r="HD75" s="20">
        <f t="shared" si="284"/>
        <v>0</v>
      </c>
      <c r="HE75" s="20">
        <f t="shared" si="284"/>
        <v>0</v>
      </c>
      <c r="HF75" s="20">
        <f t="shared" si="284"/>
        <v>0</v>
      </c>
      <c r="HG75" s="20">
        <f t="shared" si="284"/>
        <v>0</v>
      </c>
      <c r="HH75" s="20">
        <f t="shared" ref="HH75:IM75" si="285">+HG75+HH59</f>
        <v>0</v>
      </c>
      <c r="HI75" s="20">
        <f t="shared" si="285"/>
        <v>0</v>
      </c>
      <c r="HJ75" s="20">
        <f t="shared" si="285"/>
        <v>0</v>
      </c>
      <c r="HK75" s="20">
        <f t="shared" si="285"/>
        <v>0</v>
      </c>
      <c r="HL75" s="20">
        <f t="shared" si="285"/>
        <v>0</v>
      </c>
      <c r="HM75" s="20">
        <f t="shared" si="285"/>
        <v>0</v>
      </c>
      <c r="HN75" s="20">
        <f t="shared" si="285"/>
        <v>0</v>
      </c>
      <c r="HO75" s="20">
        <f t="shared" si="285"/>
        <v>0</v>
      </c>
      <c r="HP75" s="20">
        <f t="shared" si="285"/>
        <v>0</v>
      </c>
      <c r="HQ75" s="20">
        <f t="shared" si="285"/>
        <v>0</v>
      </c>
      <c r="HR75" s="20">
        <f t="shared" si="285"/>
        <v>0</v>
      </c>
      <c r="HS75" s="20">
        <f t="shared" si="285"/>
        <v>0</v>
      </c>
      <c r="HT75" s="20">
        <f t="shared" si="285"/>
        <v>0</v>
      </c>
      <c r="HU75" s="20">
        <f t="shared" si="285"/>
        <v>0</v>
      </c>
      <c r="HV75" s="20">
        <f t="shared" si="285"/>
        <v>0</v>
      </c>
      <c r="HW75" s="20">
        <f t="shared" si="285"/>
        <v>0</v>
      </c>
      <c r="HX75" s="20">
        <f t="shared" si="285"/>
        <v>0</v>
      </c>
      <c r="HY75" s="20">
        <f t="shared" si="285"/>
        <v>0</v>
      </c>
      <c r="HZ75" s="20">
        <f t="shared" si="285"/>
        <v>0</v>
      </c>
      <c r="IA75" s="20">
        <f t="shared" si="285"/>
        <v>0</v>
      </c>
      <c r="IB75" s="20">
        <f t="shared" si="285"/>
        <v>0</v>
      </c>
      <c r="IC75" s="20">
        <f t="shared" si="285"/>
        <v>0</v>
      </c>
      <c r="ID75" s="20">
        <f t="shared" si="285"/>
        <v>0</v>
      </c>
      <c r="IE75" s="20">
        <f t="shared" si="285"/>
        <v>0</v>
      </c>
      <c r="IF75" s="20">
        <f t="shared" si="285"/>
        <v>0</v>
      </c>
      <c r="IG75" s="20">
        <f t="shared" si="285"/>
        <v>0</v>
      </c>
      <c r="IH75" s="20">
        <f t="shared" si="285"/>
        <v>0</v>
      </c>
      <c r="II75" s="20">
        <f t="shared" si="285"/>
        <v>0</v>
      </c>
      <c r="IJ75" s="20">
        <f t="shared" si="285"/>
        <v>0</v>
      </c>
      <c r="IK75" s="20">
        <f t="shared" si="285"/>
        <v>0</v>
      </c>
      <c r="IL75" s="20">
        <f t="shared" si="285"/>
        <v>0</v>
      </c>
      <c r="IM75" s="20">
        <f t="shared" si="285"/>
        <v>0</v>
      </c>
      <c r="IN75" s="20">
        <f t="shared" ref="IN75:JX75" si="286">+IM75+IN59</f>
        <v>0</v>
      </c>
      <c r="IO75" s="20">
        <f t="shared" si="286"/>
        <v>0</v>
      </c>
      <c r="IP75" s="20">
        <f t="shared" si="286"/>
        <v>0</v>
      </c>
      <c r="IQ75" s="20">
        <f t="shared" si="286"/>
        <v>0</v>
      </c>
      <c r="IR75" s="20">
        <f t="shared" si="286"/>
        <v>0</v>
      </c>
      <c r="IS75" s="20">
        <f t="shared" si="286"/>
        <v>0</v>
      </c>
      <c r="IT75" s="20">
        <f t="shared" si="286"/>
        <v>0</v>
      </c>
      <c r="IU75" s="20">
        <f t="shared" si="286"/>
        <v>0</v>
      </c>
      <c r="IV75" s="20">
        <f t="shared" si="286"/>
        <v>0</v>
      </c>
      <c r="IW75" s="20">
        <f t="shared" si="286"/>
        <v>0</v>
      </c>
      <c r="IX75" s="20">
        <f t="shared" si="286"/>
        <v>0</v>
      </c>
      <c r="IY75" s="20">
        <f t="shared" si="286"/>
        <v>0</v>
      </c>
      <c r="IZ75" s="20">
        <f t="shared" si="286"/>
        <v>0</v>
      </c>
      <c r="JA75" s="20">
        <f t="shared" si="286"/>
        <v>0</v>
      </c>
      <c r="JB75" s="20">
        <f t="shared" si="286"/>
        <v>0</v>
      </c>
      <c r="JC75" s="20">
        <f t="shared" si="286"/>
        <v>0</v>
      </c>
      <c r="JD75" s="20">
        <f t="shared" si="286"/>
        <v>0</v>
      </c>
      <c r="JE75" s="20">
        <f t="shared" si="286"/>
        <v>0</v>
      </c>
      <c r="JF75" s="20">
        <f t="shared" si="286"/>
        <v>0</v>
      </c>
      <c r="JG75" s="20">
        <f t="shared" si="286"/>
        <v>0</v>
      </c>
      <c r="JH75" s="20">
        <f t="shared" si="286"/>
        <v>0</v>
      </c>
      <c r="JI75" s="20">
        <f t="shared" si="286"/>
        <v>0</v>
      </c>
      <c r="JJ75" s="20">
        <f t="shared" si="286"/>
        <v>0</v>
      </c>
      <c r="JK75" s="20">
        <f t="shared" si="286"/>
        <v>0</v>
      </c>
      <c r="JL75" s="20">
        <f t="shared" si="286"/>
        <v>0</v>
      </c>
      <c r="JM75" s="20">
        <f t="shared" si="286"/>
        <v>0</v>
      </c>
      <c r="JN75" s="20">
        <f t="shared" si="286"/>
        <v>0</v>
      </c>
      <c r="JO75" s="20">
        <f t="shared" si="286"/>
        <v>0</v>
      </c>
      <c r="JP75" s="20">
        <f t="shared" si="286"/>
        <v>0</v>
      </c>
      <c r="JQ75" s="20">
        <f t="shared" si="286"/>
        <v>0</v>
      </c>
      <c r="JR75" s="20">
        <f t="shared" si="286"/>
        <v>0</v>
      </c>
      <c r="JS75" s="20">
        <f t="shared" si="286"/>
        <v>0</v>
      </c>
      <c r="JT75" s="20">
        <f t="shared" si="286"/>
        <v>0</v>
      </c>
      <c r="JU75" s="20">
        <f t="shared" si="286"/>
        <v>0</v>
      </c>
      <c r="JV75" s="20">
        <f t="shared" si="286"/>
        <v>0</v>
      </c>
      <c r="JW75" s="20">
        <f t="shared" si="286"/>
        <v>0</v>
      </c>
      <c r="JX75" s="20">
        <f t="shared" si="286"/>
        <v>0</v>
      </c>
      <c r="JY75"/>
      <c r="JZ75" s="262"/>
      <c r="KA75" s="262"/>
      <c r="KB75" s="262"/>
      <c r="KC75" s="262"/>
      <c r="KD75" s="262"/>
      <c r="KE75" s="262"/>
      <c r="KF75" s="262"/>
      <c r="KG75" s="262"/>
      <c r="KH75" s="262"/>
      <c r="KI75" s="262"/>
      <c r="KJ75" s="262"/>
      <c r="KK75" s="262"/>
      <c r="KL75" s="262"/>
      <c r="KM75" s="262"/>
      <c r="KN75" s="262"/>
      <c r="KO75" s="262"/>
      <c r="KP75" s="262"/>
      <c r="KQ75" s="262"/>
      <c r="KR75" s="262"/>
      <c r="KS75" s="262"/>
      <c r="KT75" s="262"/>
      <c r="KU75" s="262"/>
      <c r="KV75" s="262"/>
      <c r="KW75" s="262"/>
      <c r="KX75" s="262"/>
      <c r="KY75" s="262"/>
      <c r="KZ75" s="262"/>
      <c r="LA75" s="262"/>
      <c r="LB75" s="262"/>
      <c r="LC75" s="262"/>
      <c r="LD75" s="262"/>
      <c r="LE75" s="262"/>
      <c r="LF75" s="262"/>
      <c r="LG75" s="262"/>
      <c r="LH75" s="262"/>
      <c r="LI75" s="262"/>
      <c r="LJ75" s="262"/>
      <c r="LK75" s="262"/>
      <c r="LL75" s="262"/>
      <c r="LM75" s="262"/>
      <c r="LN75" s="262"/>
      <c r="LO75" s="262"/>
      <c r="LP75" s="262"/>
      <c r="LQ75" s="262"/>
      <c r="LR75" s="262"/>
      <c r="LS75" s="262"/>
      <c r="LT75" s="262"/>
      <c r="LU75" s="262"/>
      <c r="LV75" s="262"/>
      <c r="LW75" s="262"/>
      <c r="LX75" s="262"/>
      <c r="LY75" s="262"/>
      <c r="LZ75" s="262"/>
      <c r="MA75" s="262"/>
      <c r="MB75" s="262"/>
      <c r="MC75" s="262"/>
      <c r="MD75" s="262"/>
      <c r="ME75" s="262"/>
      <c r="MF75" s="262"/>
      <c r="MG75" s="262"/>
      <c r="MH75" s="262"/>
      <c r="MI75" s="262"/>
      <c r="MJ75" s="262"/>
      <c r="MK75" s="262"/>
      <c r="ML75" s="262"/>
      <c r="MM75" s="262"/>
      <c r="MN75" s="262"/>
      <c r="MO75" s="262"/>
      <c r="MP75" s="262"/>
      <c r="MQ75" s="262"/>
      <c r="MR75" s="262"/>
      <c r="MS75" s="262"/>
      <c r="MT75" s="262"/>
      <c r="MU75" s="262"/>
      <c r="MV75" s="262"/>
      <c r="MW75" s="262"/>
      <c r="MX75" s="262"/>
      <c r="MY75" s="262"/>
      <c r="MZ75" s="262"/>
      <c r="NA75" s="262"/>
      <c r="NB75" s="262"/>
      <c r="NC75" s="262"/>
      <c r="ND75" s="262"/>
      <c r="NE75" s="262"/>
      <c r="NF75" s="262"/>
      <c r="NG75" s="262"/>
      <c r="NH75" s="262"/>
      <c r="NI75" s="262"/>
      <c r="NJ75" s="262"/>
      <c r="NK75" s="262"/>
      <c r="NL75" s="262"/>
      <c r="NM75" s="262"/>
      <c r="NN75" s="262"/>
      <c r="NO75" s="262"/>
      <c r="NP75" s="262"/>
      <c r="NQ75" s="262"/>
      <c r="NR75" s="262"/>
      <c r="NS75" s="262"/>
      <c r="NT75" s="262"/>
      <c r="NU75" s="262"/>
      <c r="NV75" s="262"/>
      <c r="NW75" s="262"/>
      <c r="NX75" s="262"/>
      <c r="NY75" s="262"/>
      <c r="NZ75" s="262"/>
      <c r="OA75" s="262"/>
      <c r="OB75" s="262"/>
      <c r="OC75" s="262"/>
      <c r="OD75" s="262"/>
      <c r="OE75" s="262"/>
      <c r="OF75" s="262"/>
      <c r="OG75" s="262"/>
      <c r="OH75" s="262"/>
      <c r="OI75" s="262"/>
      <c r="OJ75" s="262"/>
      <c r="OK75" s="262"/>
      <c r="OL75" s="262"/>
      <c r="OM75" s="262"/>
      <c r="ON75" s="262"/>
      <c r="OO75" s="262"/>
      <c r="OP75" s="262"/>
      <c r="OQ75" s="262"/>
      <c r="OR75" s="262"/>
      <c r="OS75" s="262"/>
      <c r="OT75" s="262"/>
      <c r="OU75" s="262"/>
      <c r="OV75" s="262"/>
      <c r="OW75" s="262"/>
      <c r="OX75" s="262"/>
      <c r="OY75" s="262"/>
      <c r="OZ75" s="262"/>
      <c r="PA75" s="262"/>
      <c r="PB75" s="262"/>
      <c r="PC75" s="262"/>
      <c r="PD75" s="262"/>
      <c r="PE75" s="262"/>
      <c r="PF75" s="262"/>
      <c r="PG75" s="262"/>
      <c r="PH75" s="262"/>
    </row>
    <row r="76" spans="1:424" x14ac:dyDescent="0.35">
      <c r="A76"/>
      <c r="B76" s="34"/>
      <c r="C76" s="400"/>
      <c r="D76" s="400"/>
      <c r="E76" s="400"/>
      <c r="F76" s="400"/>
      <c r="G76" s="134"/>
      <c r="H76" s="134"/>
      <c r="I76" s="400"/>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s="219"/>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c r="GF76" s="18"/>
      <c r="GG76" s="18"/>
      <c r="GH76" s="18"/>
      <c r="GI76" s="18"/>
      <c r="GJ76" s="18"/>
      <c r="GK76" s="18"/>
      <c r="GL76" s="18"/>
      <c r="GM76" s="18"/>
      <c r="GN76" s="18"/>
      <c r="GO76" s="18"/>
      <c r="GP76" s="18"/>
      <c r="GQ76" s="18"/>
      <c r="GR76" s="18"/>
      <c r="GS76" s="18"/>
      <c r="GT76" s="18"/>
      <c r="GU76" s="18"/>
      <c r="GV76" s="18"/>
      <c r="GW76" s="18"/>
      <c r="GX76" s="18"/>
      <c r="GY76" s="18"/>
      <c r="GZ76" s="18"/>
      <c r="HA76" s="18"/>
      <c r="HB76" s="18"/>
      <c r="HC76" s="18"/>
      <c r="HD76" s="18"/>
      <c r="HE76" s="18"/>
      <c r="HF76" s="18"/>
      <c r="HG76" s="18"/>
      <c r="HH76" s="18"/>
      <c r="HI76" s="18"/>
      <c r="HJ76" s="18"/>
      <c r="HK76" s="18"/>
      <c r="HL76" s="18"/>
      <c r="HM76" s="18"/>
      <c r="HN76" s="18"/>
      <c r="HO76" s="18"/>
      <c r="HP76" s="18"/>
      <c r="HQ76" s="18"/>
      <c r="HR76" s="18"/>
      <c r="HS76" s="18"/>
      <c r="HT76" s="18"/>
      <c r="HU76" s="18"/>
      <c r="HV76" s="18"/>
      <c r="HW76" s="18"/>
      <c r="HX76" s="18"/>
      <c r="HY76" s="18"/>
      <c r="HZ76" s="18"/>
      <c r="IA76" s="18"/>
      <c r="IB76" s="18"/>
      <c r="IC76" s="18"/>
      <c r="ID76" s="18"/>
      <c r="IE76" s="18"/>
      <c r="IF76" s="18"/>
      <c r="IG76" s="18"/>
      <c r="IH76" s="18"/>
      <c r="II76" s="18"/>
      <c r="IJ76" s="18"/>
      <c r="IK76" s="18"/>
      <c r="IL76" s="18"/>
      <c r="IM76" s="18"/>
      <c r="IN76" s="18"/>
      <c r="IO76" s="18"/>
      <c r="IP76" s="18"/>
      <c r="IQ76" s="18"/>
      <c r="IR76" s="18"/>
      <c r="IS76" s="18"/>
      <c r="IT76" s="18"/>
      <c r="IU76" s="18"/>
      <c r="IV76" s="18"/>
      <c r="IW76" s="18"/>
      <c r="IX76" s="18"/>
      <c r="IY76" s="18"/>
      <c r="IZ76" s="18"/>
      <c r="JA76" s="18"/>
      <c r="JB76" s="18"/>
      <c r="JC76" s="18"/>
      <c r="JD76" s="18"/>
      <c r="JE76" s="18"/>
      <c r="JF76" s="18"/>
      <c r="JG76" s="18"/>
      <c r="JH76" s="18"/>
      <c r="JI76" s="18"/>
      <c r="JJ76" s="18"/>
      <c r="JK76" s="18"/>
      <c r="JL76" s="18"/>
      <c r="JM76" s="18"/>
      <c r="JN76" s="18"/>
      <c r="JO76" s="18"/>
      <c r="JP76" s="18"/>
      <c r="JQ76" s="18"/>
      <c r="JR76" s="18"/>
      <c r="JS76" s="18"/>
      <c r="JT76" s="18"/>
      <c r="JU76" s="18"/>
      <c r="JV76" s="18"/>
      <c r="JW76" s="18"/>
      <c r="JX76" s="18"/>
      <c r="JY76"/>
      <c r="JZ76" s="262"/>
      <c r="KA76" s="262"/>
      <c r="KB76" s="262"/>
      <c r="KC76" s="262"/>
      <c r="KD76" s="262"/>
      <c r="KE76" s="262"/>
      <c r="KF76" s="262"/>
      <c r="KG76" s="262"/>
      <c r="KH76" s="262"/>
      <c r="KI76" s="262"/>
      <c r="KJ76" s="262"/>
      <c r="KK76" s="262"/>
      <c r="KL76" s="262"/>
      <c r="KM76" s="262"/>
      <c r="KN76" s="262"/>
      <c r="KO76" s="262"/>
      <c r="KP76" s="262"/>
      <c r="KQ76" s="262"/>
      <c r="KR76" s="262"/>
      <c r="KS76" s="262"/>
      <c r="KT76" s="262"/>
      <c r="KU76" s="262"/>
      <c r="KV76" s="262"/>
      <c r="KW76" s="262"/>
      <c r="KX76" s="262"/>
      <c r="KY76" s="262"/>
      <c r="KZ76" s="262"/>
      <c r="LA76" s="262"/>
      <c r="LB76" s="262"/>
      <c r="LC76" s="262"/>
      <c r="LD76" s="262"/>
      <c r="LE76" s="262"/>
      <c r="LF76" s="262"/>
      <c r="LG76" s="262"/>
      <c r="LH76" s="262"/>
      <c r="LI76" s="262"/>
      <c r="LJ76" s="262"/>
      <c r="LK76" s="262"/>
      <c r="LL76" s="262"/>
      <c r="LM76" s="262"/>
      <c r="LN76" s="262"/>
      <c r="LO76" s="262"/>
      <c r="LP76" s="262"/>
      <c r="LQ76" s="262"/>
      <c r="LR76" s="262"/>
      <c r="LS76" s="262"/>
      <c r="LT76" s="262"/>
      <c r="LU76" s="262"/>
      <c r="LV76" s="262"/>
      <c r="LW76" s="262"/>
      <c r="LX76" s="262"/>
      <c r="LY76" s="262"/>
      <c r="LZ76" s="262"/>
      <c r="MA76" s="262"/>
      <c r="MB76" s="262"/>
      <c r="MC76" s="262"/>
      <c r="MD76" s="262"/>
      <c r="ME76" s="262"/>
      <c r="MF76" s="262"/>
      <c r="MG76" s="262"/>
      <c r="MH76" s="262"/>
      <c r="MI76" s="262"/>
      <c r="MJ76" s="262"/>
      <c r="MK76" s="262"/>
      <c r="ML76" s="262"/>
      <c r="MM76" s="262"/>
      <c r="MN76" s="262"/>
      <c r="MO76" s="262"/>
      <c r="MP76" s="262"/>
      <c r="MQ76" s="262"/>
      <c r="MR76" s="262"/>
      <c r="MS76" s="262"/>
      <c r="MT76" s="262"/>
      <c r="MU76" s="262"/>
      <c r="MV76" s="262"/>
      <c r="MW76" s="262"/>
      <c r="MX76" s="262"/>
      <c r="MY76" s="262"/>
      <c r="MZ76" s="262"/>
      <c r="NA76" s="262"/>
      <c r="NB76" s="262"/>
      <c r="NC76" s="262"/>
      <c r="ND76" s="262"/>
      <c r="NE76" s="262"/>
      <c r="NF76" s="262"/>
      <c r="NG76" s="262"/>
      <c r="NH76" s="262"/>
      <c r="NI76" s="262"/>
      <c r="NJ76" s="262"/>
      <c r="NK76" s="262"/>
      <c r="NL76" s="262"/>
      <c r="NM76" s="262"/>
      <c r="NN76" s="262"/>
      <c r="NO76" s="262"/>
      <c r="NP76" s="262"/>
      <c r="NQ76" s="262"/>
      <c r="NR76" s="262"/>
      <c r="NS76" s="262"/>
      <c r="NT76" s="262"/>
      <c r="NU76" s="262"/>
      <c r="NV76" s="262"/>
      <c r="NW76" s="262"/>
      <c r="NX76" s="262"/>
      <c r="NY76" s="262"/>
      <c r="NZ76" s="262"/>
      <c r="OA76" s="262"/>
      <c r="OB76" s="262"/>
      <c r="OC76" s="262"/>
      <c r="OD76" s="262"/>
      <c r="OE76" s="262"/>
      <c r="OF76" s="262"/>
      <c r="OG76" s="262"/>
      <c r="OH76" s="262"/>
      <c r="OI76" s="262"/>
      <c r="OJ76" s="262"/>
      <c r="OK76" s="262"/>
      <c r="OL76" s="262"/>
      <c r="OM76" s="262"/>
      <c r="ON76" s="262"/>
      <c r="OO76" s="262"/>
      <c r="OP76" s="262"/>
      <c r="OQ76" s="262"/>
      <c r="OR76" s="262"/>
      <c r="OS76" s="262"/>
      <c r="OT76" s="262"/>
      <c r="OU76" s="262"/>
      <c r="OV76" s="262"/>
      <c r="OW76" s="262"/>
      <c r="OX76" s="262"/>
      <c r="OY76" s="262"/>
      <c r="OZ76" s="262"/>
      <c r="PA76" s="262"/>
      <c r="PB76" s="262"/>
      <c r="PC76" s="262"/>
      <c r="PD76" s="262"/>
      <c r="PE76" s="262"/>
      <c r="PF76" s="262"/>
      <c r="PG76" s="262"/>
      <c r="PH76" s="262"/>
    </row>
    <row r="77" spans="1:424" s="24" customFormat="1" x14ac:dyDescent="0.35">
      <c r="A77" s="437"/>
      <c r="B77" s="61" t="s">
        <v>180</v>
      </c>
      <c r="C77" s="454"/>
      <c r="D77" s="454"/>
      <c r="E77" s="454"/>
      <c r="F77" s="62">
        <f>I77/Project_Cost_Total</f>
        <v>1.0044756723441481</v>
      </c>
      <c r="G77" s="136"/>
      <c r="H77" s="455">
        <f>H75+H69</f>
        <v>5745.678438029242</v>
      </c>
      <c r="I77" s="63">
        <f>I75+I69</f>
        <v>450865570.38996112</v>
      </c>
      <c r="J77"/>
      <c r="K77" s="440"/>
      <c r="L77" s="441">
        <f>+L75+L69</f>
        <v>93017714.091035873</v>
      </c>
      <c r="M77" s="441">
        <f t="shared" ref="M77:BX77" si="287">+M75+M69</f>
        <v>952590.63109591056</v>
      </c>
      <c r="N77" s="441">
        <f t="shared" si="287"/>
        <v>1153238.7592138182</v>
      </c>
      <c r="O77" s="441">
        <f t="shared" si="287"/>
        <v>1593255.3182424391</v>
      </c>
      <c r="P77" s="441">
        <f t="shared" si="287"/>
        <v>2151126.2631915766</v>
      </c>
      <c r="Q77" s="441">
        <f t="shared" si="287"/>
        <v>2898639.7829110157</v>
      </c>
      <c r="R77" s="441">
        <f t="shared" si="287"/>
        <v>3868810.0707379892</v>
      </c>
      <c r="S77" s="441">
        <f t="shared" si="287"/>
        <v>5087252.4296078607</v>
      </c>
      <c r="T77" s="441">
        <f t="shared" si="287"/>
        <v>6566224.3704085397</v>
      </c>
      <c r="U77" s="441">
        <f t="shared" si="287"/>
        <v>8298517.1205737963</v>
      </c>
      <c r="V77" s="441">
        <f t="shared" si="287"/>
        <v>10252240.165656256</v>
      </c>
      <c r="W77" s="441">
        <f t="shared" si="287"/>
        <v>12367698.147663975</v>
      </c>
      <c r="X77" s="441">
        <f t="shared" si="287"/>
        <v>14557484.657830048</v>
      </c>
      <c r="Y77" s="441">
        <f t="shared" si="287"/>
        <v>16365167.698586643</v>
      </c>
      <c r="Z77" s="441">
        <f t="shared" si="287"/>
        <v>18368392.667920161</v>
      </c>
      <c r="AA77" s="441">
        <f t="shared" si="287"/>
        <v>20098477.243874725</v>
      </c>
      <c r="AB77" s="441">
        <f t="shared" si="287"/>
        <v>21435229.253932979</v>
      </c>
      <c r="AC77" s="441">
        <f t="shared" si="287"/>
        <v>22280397.403045714</v>
      </c>
      <c r="AD77" s="441">
        <f t="shared" si="287"/>
        <v>22569593.467381995</v>
      </c>
      <c r="AE77" s="441">
        <f t="shared" si="287"/>
        <v>22280397.403045733</v>
      </c>
      <c r="AF77" s="441">
        <f t="shared" si="287"/>
        <v>21435229.253932942</v>
      </c>
      <c r="AG77" s="441">
        <f t="shared" si="287"/>
        <v>20098477.243874762</v>
      </c>
      <c r="AH77" s="441">
        <f t="shared" si="287"/>
        <v>18368392.667920135</v>
      </c>
      <c r="AI77" s="441">
        <f t="shared" si="287"/>
        <v>16365167.698586643</v>
      </c>
      <c r="AJ77" s="441">
        <f t="shared" si="287"/>
        <v>14217202.323856987</v>
      </c>
      <c r="AK77" s="441">
        <f t="shared" si="287"/>
        <v>12047726.791351464</v>
      </c>
      <c r="AL77" s="441">
        <f t="shared" si="287"/>
        <v>9963673.1491933651</v>
      </c>
      <c r="AM77" s="441">
        <f t="shared" si="287"/>
        <v>8048084.8374454975</v>
      </c>
      <c r="AN77" s="441">
        <f t="shared" si="287"/>
        <v>6356585.4434072273</v>
      </c>
      <c r="AO77" s="441">
        <f t="shared" si="287"/>
        <v>4917681.2983414317</v>
      </c>
      <c r="AP77" s="441">
        <f t="shared" si="287"/>
        <v>3736098.8558910657</v>
      </c>
      <c r="AQ77" s="441">
        <f t="shared" si="287"/>
        <v>2798042.157511042</v>
      </c>
      <c r="AR77" s="441">
        <f t="shared" si="287"/>
        <v>2077208.670304341</v>
      </c>
      <c r="AS77" s="441">
        <f t="shared" si="287"/>
        <v>1540571.8400115611</v>
      </c>
      <c r="AT77" s="441">
        <f t="shared" si="287"/>
        <v>1153238.7592138406</v>
      </c>
      <c r="AU77" s="441">
        <f t="shared" si="287"/>
        <v>882028.36212582723</v>
      </c>
      <c r="AV77" s="441">
        <f t="shared" si="287"/>
        <v>697714.0910358784</v>
      </c>
      <c r="AW77" s="441">
        <f t="shared" si="287"/>
        <v>0</v>
      </c>
      <c r="AX77" s="441">
        <f t="shared" si="287"/>
        <v>0</v>
      </c>
      <c r="AY77" s="441">
        <f t="shared" si="287"/>
        <v>0</v>
      </c>
      <c r="AZ77" s="441">
        <f t="shared" si="287"/>
        <v>0</v>
      </c>
      <c r="BA77" s="441">
        <f t="shared" si="287"/>
        <v>0</v>
      </c>
      <c r="BB77" s="441">
        <f t="shared" si="287"/>
        <v>0</v>
      </c>
      <c r="BC77" s="441">
        <f t="shared" si="287"/>
        <v>0</v>
      </c>
      <c r="BD77" s="441">
        <f t="shared" si="287"/>
        <v>0</v>
      </c>
      <c r="BE77" s="441">
        <f t="shared" si="287"/>
        <v>0</v>
      </c>
      <c r="BF77" s="441">
        <f t="shared" si="287"/>
        <v>0</v>
      </c>
      <c r="BG77" s="441">
        <f t="shared" si="287"/>
        <v>0</v>
      </c>
      <c r="BH77" s="441">
        <f t="shared" si="287"/>
        <v>0</v>
      </c>
      <c r="BI77" s="441">
        <f t="shared" si="287"/>
        <v>0</v>
      </c>
      <c r="BJ77" s="441">
        <f t="shared" si="287"/>
        <v>0</v>
      </c>
      <c r="BK77" s="441">
        <f t="shared" si="287"/>
        <v>0</v>
      </c>
      <c r="BL77" s="441">
        <f t="shared" si="287"/>
        <v>0</v>
      </c>
      <c r="BM77" s="441">
        <f t="shared" si="287"/>
        <v>0</v>
      </c>
      <c r="BN77" s="441">
        <f t="shared" si="287"/>
        <v>0</v>
      </c>
      <c r="BO77" s="441">
        <f t="shared" si="287"/>
        <v>0</v>
      </c>
      <c r="BP77" s="441">
        <f t="shared" si="287"/>
        <v>0</v>
      </c>
      <c r="BQ77" s="441">
        <f t="shared" si="287"/>
        <v>0</v>
      </c>
      <c r="BR77" s="441">
        <f t="shared" si="287"/>
        <v>0</v>
      </c>
      <c r="BS77" s="441">
        <f t="shared" si="287"/>
        <v>0</v>
      </c>
      <c r="BT77" s="441">
        <f t="shared" si="287"/>
        <v>0</v>
      </c>
      <c r="BU77" s="441">
        <f t="shared" si="287"/>
        <v>0</v>
      </c>
      <c r="BV77" s="441">
        <f t="shared" si="287"/>
        <v>0</v>
      </c>
      <c r="BW77" s="441">
        <f t="shared" si="287"/>
        <v>0</v>
      </c>
      <c r="BX77" s="441">
        <f t="shared" si="287"/>
        <v>0</v>
      </c>
      <c r="BY77" s="441">
        <f t="shared" ref="BY77:EJ77" si="288">+BY75+BY69</f>
        <v>0</v>
      </c>
      <c r="BZ77" s="441">
        <f t="shared" si="288"/>
        <v>0</v>
      </c>
      <c r="CA77" s="441">
        <f t="shared" si="288"/>
        <v>0</v>
      </c>
      <c r="CB77" s="441">
        <f t="shared" si="288"/>
        <v>0</v>
      </c>
      <c r="CC77" s="441">
        <f t="shared" si="288"/>
        <v>0</v>
      </c>
      <c r="CD77" s="441">
        <f t="shared" si="288"/>
        <v>0</v>
      </c>
      <c r="CE77" s="441">
        <f t="shared" si="288"/>
        <v>0</v>
      </c>
      <c r="CF77" s="441">
        <f t="shared" si="288"/>
        <v>0</v>
      </c>
      <c r="CG77" s="441">
        <f t="shared" si="288"/>
        <v>0</v>
      </c>
      <c r="CH77" s="441">
        <f t="shared" si="288"/>
        <v>0</v>
      </c>
      <c r="CI77" s="441">
        <f t="shared" si="288"/>
        <v>0</v>
      </c>
      <c r="CJ77" s="441">
        <f t="shared" si="288"/>
        <v>0</v>
      </c>
      <c r="CK77" s="441">
        <f t="shared" si="288"/>
        <v>0</v>
      </c>
      <c r="CL77" s="441">
        <f t="shared" si="288"/>
        <v>0</v>
      </c>
      <c r="CM77" s="441">
        <f t="shared" si="288"/>
        <v>0</v>
      </c>
      <c r="CN77" s="441">
        <f t="shared" si="288"/>
        <v>0</v>
      </c>
      <c r="CO77" s="441">
        <f t="shared" si="288"/>
        <v>0</v>
      </c>
      <c r="CP77" s="441">
        <f t="shared" si="288"/>
        <v>0</v>
      </c>
      <c r="CQ77" s="441">
        <f t="shared" si="288"/>
        <v>0</v>
      </c>
      <c r="CR77" s="441">
        <f t="shared" si="288"/>
        <v>0</v>
      </c>
      <c r="CS77" s="441">
        <f t="shared" si="288"/>
        <v>0</v>
      </c>
      <c r="CT77" s="441">
        <f t="shared" si="288"/>
        <v>0</v>
      </c>
      <c r="CU77" s="441">
        <f t="shared" si="288"/>
        <v>0</v>
      </c>
      <c r="CV77" s="441">
        <f t="shared" si="288"/>
        <v>0</v>
      </c>
      <c r="CW77" s="441">
        <f t="shared" si="288"/>
        <v>0</v>
      </c>
      <c r="CX77" s="441">
        <f t="shared" si="288"/>
        <v>0</v>
      </c>
      <c r="CY77" s="441">
        <f t="shared" si="288"/>
        <v>0</v>
      </c>
      <c r="CZ77" s="441">
        <f t="shared" si="288"/>
        <v>0</v>
      </c>
      <c r="DA77" s="441">
        <f t="shared" si="288"/>
        <v>0</v>
      </c>
      <c r="DB77" s="441">
        <f t="shared" si="288"/>
        <v>0</v>
      </c>
      <c r="DC77" s="441">
        <f t="shared" si="288"/>
        <v>0</v>
      </c>
      <c r="DD77" s="441">
        <f t="shared" si="288"/>
        <v>0</v>
      </c>
      <c r="DE77" s="441">
        <f t="shared" si="288"/>
        <v>0</v>
      </c>
      <c r="DF77" s="441">
        <f t="shared" si="288"/>
        <v>0</v>
      </c>
      <c r="DG77" s="441">
        <f t="shared" si="288"/>
        <v>0</v>
      </c>
      <c r="DH77" s="441">
        <f t="shared" si="288"/>
        <v>0</v>
      </c>
      <c r="DI77" s="441">
        <f t="shared" si="288"/>
        <v>0</v>
      </c>
      <c r="DJ77" s="441">
        <f t="shared" si="288"/>
        <v>0</v>
      </c>
      <c r="DK77" s="441">
        <f t="shared" si="288"/>
        <v>0</v>
      </c>
      <c r="DL77" s="441">
        <f t="shared" si="288"/>
        <v>0</v>
      </c>
      <c r="DM77" s="441">
        <f t="shared" si="288"/>
        <v>0</v>
      </c>
      <c r="DN77" s="441">
        <f t="shared" si="288"/>
        <v>0</v>
      </c>
      <c r="DO77" s="441">
        <f t="shared" si="288"/>
        <v>0</v>
      </c>
      <c r="DP77" s="441">
        <f t="shared" si="288"/>
        <v>0</v>
      </c>
      <c r="DQ77" s="441">
        <f t="shared" si="288"/>
        <v>0</v>
      </c>
      <c r="DR77" s="441">
        <f t="shared" si="288"/>
        <v>0</v>
      </c>
      <c r="DS77" s="441">
        <f t="shared" si="288"/>
        <v>0</v>
      </c>
      <c r="DT77" s="441">
        <f t="shared" si="288"/>
        <v>0</v>
      </c>
      <c r="DU77" s="441">
        <f t="shared" si="288"/>
        <v>0</v>
      </c>
      <c r="DV77" s="441">
        <f t="shared" si="288"/>
        <v>0</v>
      </c>
      <c r="DW77" s="441">
        <f t="shared" si="288"/>
        <v>0</v>
      </c>
      <c r="DX77" s="441">
        <f t="shared" si="288"/>
        <v>0</v>
      </c>
      <c r="DY77" s="441">
        <f t="shared" si="288"/>
        <v>0</v>
      </c>
      <c r="DZ77" s="441">
        <f t="shared" si="288"/>
        <v>0</v>
      </c>
      <c r="EA77" s="441">
        <f t="shared" si="288"/>
        <v>0</v>
      </c>
      <c r="EB77" s="441">
        <f t="shared" si="288"/>
        <v>0</v>
      </c>
      <c r="EC77" s="441">
        <f t="shared" si="288"/>
        <v>0</v>
      </c>
      <c r="ED77" s="441">
        <f t="shared" si="288"/>
        <v>0</v>
      </c>
      <c r="EE77" s="441">
        <f t="shared" si="288"/>
        <v>0</v>
      </c>
      <c r="EF77" s="441">
        <f t="shared" si="288"/>
        <v>0</v>
      </c>
      <c r="EG77" s="441">
        <f t="shared" si="288"/>
        <v>0</v>
      </c>
      <c r="EH77" s="441">
        <f t="shared" si="288"/>
        <v>0</v>
      </c>
      <c r="EI77" s="441">
        <f t="shared" si="288"/>
        <v>0</v>
      </c>
      <c r="EJ77" s="441">
        <f t="shared" si="288"/>
        <v>0</v>
      </c>
      <c r="EK77" s="441">
        <f>+EK75+EK69</f>
        <v>0</v>
      </c>
      <c r="EL77" s="441">
        <f>+EL75+EL69</f>
        <v>0</v>
      </c>
      <c r="EM77" s="441">
        <f>+EM75+EM69</f>
        <v>0</v>
      </c>
      <c r="EN77" s="441">
        <f>+EN75+EN69</f>
        <v>0</v>
      </c>
      <c r="EO77" s="440"/>
      <c r="EP77" s="219" t="s">
        <v>205</v>
      </c>
      <c r="EQ77" s="20">
        <f>MAX(EV77:JX77)</f>
        <v>16</v>
      </c>
      <c r="ER77" s="18"/>
      <c r="ES77" s="18"/>
      <c r="ET77" s="18"/>
      <c r="EU77" s="18"/>
      <c r="EV77" s="20">
        <f>AND(EV73&gt;0,SUM($EU$77:EU77)=0)*EV51</f>
        <v>0</v>
      </c>
      <c r="EW77" s="20">
        <f>AND(EW73&gt;0,SUM($EU$77:EV77)=0)*EW51</f>
        <v>0</v>
      </c>
      <c r="EX77" s="20">
        <f>AND(EX73&gt;0,SUM($EU$77:EW77)=0)*EX51</f>
        <v>0</v>
      </c>
      <c r="EY77" s="20">
        <f>AND(EY73&gt;0,SUM($EU$77:EX77)=0)*EY51</f>
        <v>0</v>
      </c>
      <c r="EZ77" s="20">
        <f>AND(EZ73&gt;0,SUM($EU$77:EY77)=0)*EZ51</f>
        <v>0</v>
      </c>
      <c r="FA77" s="20">
        <f>AND(FA73&gt;0,SUM($EU$77:EZ77)=0)*FA51</f>
        <v>0</v>
      </c>
      <c r="FB77" s="20">
        <f>AND(FB73&gt;0,SUM($EU$77:FA77)=0)*FB51</f>
        <v>0</v>
      </c>
      <c r="FC77" s="20">
        <f>AND(FC73&gt;0,SUM($EU$77:FB77)=0)*FC51</f>
        <v>0</v>
      </c>
      <c r="FD77" s="20">
        <f>AND(FD73&gt;0,SUM($EU$77:FC77)=0)*FD51</f>
        <v>0</v>
      </c>
      <c r="FE77" s="20">
        <f>AND(FE73&gt;0,SUM($EU$77:FD77)=0)*FE51</f>
        <v>0</v>
      </c>
      <c r="FF77" s="20">
        <f>AND(FF73&gt;0,SUM($EU$77:FE77)=0)*FF51</f>
        <v>0</v>
      </c>
      <c r="FG77" s="20">
        <f>AND(FG73&gt;0,SUM($EU$77:FF77)=0)*FG51</f>
        <v>0</v>
      </c>
      <c r="FH77" s="20">
        <f>AND(FH73&gt;0,SUM($EU$77:FG77)=0)*FH51</f>
        <v>0</v>
      </c>
      <c r="FI77" s="20">
        <f>AND(FI73&gt;0,SUM($EU$77:FH77)=0)*FI51</f>
        <v>0</v>
      </c>
      <c r="FJ77" s="20">
        <f>AND(FJ73&gt;0,SUM($EU$77:FI77)=0)*FJ51</f>
        <v>0</v>
      </c>
      <c r="FK77" s="20">
        <f>AND(FK73&gt;0,SUM($EU$77:FJ77)=0)*FK51</f>
        <v>0</v>
      </c>
      <c r="FL77" s="20">
        <f>AND(FL73&gt;0,SUM($EU$77:FK77)=0)*FL51</f>
        <v>16</v>
      </c>
      <c r="FM77" s="20">
        <f>AND(FM73&gt;0,SUM($EU$77:FL77)=0)*FM51</f>
        <v>0</v>
      </c>
      <c r="FN77" s="20">
        <f>AND(FN73&gt;0,SUM($EU$77:FM77)=0)*FN51</f>
        <v>0</v>
      </c>
      <c r="FO77" s="20">
        <f>AND(FO73&gt;0,SUM($EU$77:FN77)=0)*FO51</f>
        <v>0</v>
      </c>
      <c r="FP77" s="20">
        <f>AND(FP73&gt;0,SUM($EU$77:FO77)=0)*FP51</f>
        <v>0</v>
      </c>
      <c r="FQ77" s="20">
        <f>AND(FQ73&gt;0,SUM($EU$77:FP77)=0)*FQ51</f>
        <v>0</v>
      </c>
      <c r="FR77" s="20">
        <f>AND(FR73&gt;0,SUM($EU$77:FQ77)=0)*FR51</f>
        <v>0</v>
      </c>
      <c r="FS77" s="20">
        <f>AND(FS73&gt;0,SUM($EU$77:FR77)=0)*FS51</f>
        <v>0</v>
      </c>
      <c r="FT77" s="20">
        <f>AND(FT73&gt;0,SUM($EU$77:FS77)=0)*FT51</f>
        <v>0</v>
      </c>
      <c r="FU77" s="20">
        <f>AND(FU73&gt;0,SUM($EU$77:FT77)=0)*FU51</f>
        <v>0</v>
      </c>
      <c r="FV77" s="20">
        <f>AND(FV73&gt;0,SUM($EU$77:FU77)=0)*FV51</f>
        <v>0</v>
      </c>
      <c r="FW77" s="20">
        <f>AND(FW73&gt;0,SUM($EU$77:FV77)=0)*FW51</f>
        <v>0</v>
      </c>
      <c r="FX77" s="20">
        <f>AND(FX73&gt;0,SUM($EU$77:FW77)=0)*FX51</f>
        <v>0</v>
      </c>
      <c r="FY77" s="20">
        <f>AND(FY73&gt;0,SUM($EU$77:FX77)=0)*FY51</f>
        <v>0</v>
      </c>
      <c r="FZ77" s="20">
        <f>AND(FZ73&gt;0,SUM($EU$77:FY77)=0)*FZ51</f>
        <v>0</v>
      </c>
      <c r="GA77" s="20">
        <f>AND(GA73&gt;0,SUM($EU$77:FZ77)=0)*GA51</f>
        <v>0</v>
      </c>
      <c r="GB77" s="20">
        <f>AND(GB73&gt;0,SUM($EU$77:GA77)=0)*GB51</f>
        <v>0</v>
      </c>
      <c r="GC77" s="20">
        <f>AND(GC73&gt;0,SUM($EU$77:GB77)=0)*GC51</f>
        <v>0</v>
      </c>
      <c r="GD77" s="20">
        <f>AND(GD73&gt;0,SUM($EU$77:GC77)=0)*GD51</f>
        <v>0</v>
      </c>
      <c r="GE77" s="20">
        <f>AND(GE73&gt;0,SUM($EU$77:GD77)=0)*GE51</f>
        <v>0</v>
      </c>
      <c r="GF77" s="20">
        <f>AND(GF73&gt;0,SUM($EU$77:GE77)=0)*GF51</f>
        <v>0</v>
      </c>
      <c r="GG77" s="20">
        <f>AND(GG73&gt;0,SUM($EU$77:GF77)=0)*GG51</f>
        <v>0</v>
      </c>
      <c r="GH77" s="20">
        <f>AND(GH73&gt;0,SUM($EU$77:GG77)=0)*GH51</f>
        <v>0</v>
      </c>
      <c r="GI77" s="20">
        <f>AND(GI73&gt;0,SUM($EU$77:GH77)=0)*GI51</f>
        <v>0</v>
      </c>
      <c r="GJ77" s="20">
        <f>AND(GJ73&gt;0,SUM($EU$77:GI77)=0)*GJ51</f>
        <v>0</v>
      </c>
      <c r="GK77" s="20">
        <f>AND(GK73&gt;0,SUM($EU$77:GJ77)=0)*GK51</f>
        <v>0</v>
      </c>
      <c r="GL77" s="20">
        <f>AND(GL73&gt;0,SUM($EU$77:GK77)=0)*GL51</f>
        <v>0</v>
      </c>
      <c r="GM77" s="20">
        <f>AND(GM73&gt;0,SUM($EU$77:GL77)=0)*GM51</f>
        <v>0</v>
      </c>
      <c r="GN77" s="20">
        <f>AND(GN73&gt;0,SUM($EU$77:GM77)=0)*GN51</f>
        <v>0</v>
      </c>
      <c r="GO77" s="20">
        <f>AND(GO73&gt;0,SUM($EU$77:GN77)=0)*GO51</f>
        <v>0</v>
      </c>
      <c r="GP77" s="20">
        <f>AND(GP73&gt;0,SUM($EU$77:GO77)=0)*GP51</f>
        <v>0</v>
      </c>
      <c r="GQ77" s="20">
        <f>AND(GQ73&gt;0,SUM($EU$77:GP77)=0)*GQ51</f>
        <v>0</v>
      </c>
      <c r="GR77" s="20">
        <f>AND(GR73&gt;0,SUM($EU$77:GQ77)=0)*GR51</f>
        <v>0</v>
      </c>
      <c r="GS77" s="20">
        <f>AND(GS73&gt;0,SUM($EU$77:GR77)=0)*GS51</f>
        <v>0</v>
      </c>
      <c r="GT77" s="20">
        <f>AND(GT73&gt;0,SUM($EU$77:GS77)=0)*GT51</f>
        <v>0</v>
      </c>
      <c r="GU77" s="20">
        <f>AND(GU73&gt;0,SUM($EU$77:GT77)=0)*GU51</f>
        <v>0</v>
      </c>
      <c r="GV77" s="20">
        <f>AND(GV73&gt;0,SUM($EU$77:GU77)=0)*GV51</f>
        <v>0</v>
      </c>
      <c r="GW77" s="20">
        <f>AND(GW73&gt;0,SUM($EU$77:GV77)=0)*GW51</f>
        <v>0</v>
      </c>
      <c r="GX77" s="20">
        <f>AND(GX73&gt;0,SUM($EU$77:GW77)=0)*GX51</f>
        <v>0</v>
      </c>
      <c r="GY77" s="20">
        <f>AND(GY73&gt;0,SUM($EU$77:GX77)=0)*GY51</f>
        <v>0</v>
      </c>
      <c r="GZ77" s="20">
        <f>AND(GZ73&gt;0,SUM($EU$77:GY77)=0)*GZ51</f>
        <v>0</v>
      </c>
      <c r="HA77" s="20">
        <f>AND(HA73&gt;0,SUM($EU$77:GZ77)=0)*HA51</f>
        <v>0</v>
      </c>
      <c r="HB77" s="20">
        <f>AND(HB73&gt;0,SUM($EU$77:HA77)=0)*HB51</f>
        <v>0</v>
      </c>
      <c r="HC77" s="20">
        <f>AND(HC73&gt;0,SUM($EU$77:HB77)=0)*HC51</f>
        <v>0</v>
      </c>
      <c r="HD77" s="20">
        <f>AND(HD73&gt;0,SUM($EU$77:HC77)=0)*HD51</f>
        <v>0</v>
      </c>
      <c r="HE77" s="20">
        <f>AND(HE73&gt;0,SUM($EU$77:HD77)=0)*HE51</f>
        <v>0</v>
      </c>
      <c r="HF77" s="20">
        <f>AND(HF73&gt;0,SUM($EU$77:HE77)=0)*HF51</f>
        <v>0</v>
      </c>
      <c r="HG77" s="20">
        <f>AND(HG73&gt;0,SUM($EU$77:HF77)=0)*HG51</f>
        <v>0</v>
      </c>
      <c r="HH77" s="20">
        <f>AND(HH73&gt;0,SUM($EU$77:HG77)=0)*HH51</f>
        <v>0</v>
      </c>
      <c r="HI77" s="20">
        <f>AND(HI73&gt;0,SUM($EU$77:HH77)=0)*HI51</f>
        <v>0</v>
      </c>
      <c r="HJ77" s="20">
        <f>AND(HJ73&gt;0,SUM($EU$77:HI77)=0)*HJ51</f>
        <v>0</v>
      </c>
      <c r="HK77" s="20">
        <f>AND(HK73&gt;0,SUM($EU$77:HJ77)=0)*HK51</f>
        <v>0</v>
      </c>
      <c r="HL77" s="20">
        <f>AND(HL73&gt;0,SUM($EU$77:HK77)=0)*HL51</f>
        <v>0</v>
      </c>
      <c r="HM77" s="20">
        <f>AND(HM73&gt;0,SUM($EU$77:HL77)=0)*HM51</f>
        <v>0</v>
      </c>
      <c r="HN77" s="20">
        <f>AND(HN73&gt;0,SUM($EU$77:HM77)=0)*HN51</f>
        <v>0</v>
      </c>
      <c r="HO77" s="20">
        <f>AND(HO73&gt;0,SUM($EU$77:HN77)=0)*HO51</f>
        <v>0</v>
      </c>
      <c r="HP77" s="20">
        <f>AND(HP73&gt;0,SUM($EU$77:HO77)=0)*HP51</f>
        <v>0</v>
      </c>
      <c r="HQ77" s="20">
        <f>AND(HQ73&gt;0,SUM($EU$77:HP77)=0)*HQ51</f>
        <v>0</v>
      </c>
      <c r="HR77" s="20">
        <f>AND(HR73&gt;0,SUM($EU$77:HQ77)=0)*HR51</f>
        <v>0</v>
      </c>
      <c r="HS77" s="20">
        <f>AND(HS73&gt;0,SUM($EU$77:HR77)=0)*HS51</f>
        <v>0</v>
      </c>
      <c r="HT77" s="20">
        <f>AND(HT73&gt;0,SUM($EU$77:HS77)=0)*HT51</f>
        <v>0</v>
      </c>
      <c r="HU77" s="20">
        <f>AND(HU73&gt;0,SUM($EU$77:HT77)=0)*HU51</f>
        <v>0</v>
      </c>
      <c r="HV77" s="20">
        <f>AND(HV73&gt;0,SUM($EU$77:HU77)=0)*HV51</f>
        <v>0</v>
      </c>
      <c r="HW77" s="20">
        <f>AND(HW73&gt;0,SUM($EU$77:HV77)=0)*HW51</f>
        <v>0</v>
      </c>
      <c r="HX77" s="20">
        <f>AND(HX73&gt;0,SUM($EU$77:HW77)=0)*HX51</f>
        <v>0</v>
      </c>
      <c r="HY77" s="20">
        <f>AND(HY73&gt;0,SUM($EU$77:HX77)=0)*HY51</f>
        <v>0</v>
      </c>
      <c r="HZ77" s="20">
        <f>AND(HZ73&gt;0,SUM($EU$77:HY77)=0)*HZ51</f>
        <v>0</v>
      </c>
      <c r="IA77" s="20">
        <f>AND(IA73&gt;0,SUM($EU$77:HZ77)=0)*IA51</f>
        <v>0</v>
      </c>
      <c r="IB77" s="20">
        <f>AND(IB73&gt;0,SUM($EU$77:IA77)=0)*IB51</f>
        <v>0</v>
      </c>
      <c r="IC77" s="20">
        <f>AND(IC73&gt;0,SUM($EU$77:IB77)=0)*IC51</f>
        <v>0</v>
      </c>
      <c r="ID77" s="20">
        <f>AND(ID73&gt;0,SUM($EU$77:IC77)=0)*ID51</f>
        <v>0</v>
      </c>
      <c r="IE77" s="20">
        <f>AND(IE73&gt;0,SUM($EU$77:ID77)=0)*IE51</f>
        <v>0</v>
      </c>
      <c r="IF77" s="20">
        <f>AND(IF73&gt;0,SUM($EU$77:IE77)=0)*IF51</f>
        <v>0</v>
      </c>
      <c r="IG77" s="20">
        <f>AND(IG73&gt;0,SUM($EU$77:IF77)=0)*IG51</f>
        <v>0</v>
      </c>
      <c r="IH77" s="20">
        <f>AND(IH73&gt;0,SUM($EU$77:IG77)=0)*IH51</f>
        <v>0</v>
      </c>
      <c r="II77" s="20">
        <f>AND(II73&gt;0,SUM($EU$77:IH77)=0)*II51</f>
        <v>0</v>
      </c>
      <c r="IJ77" s="20">
        <f>AND(IJ73&gt;0,SUM($EU$77:II77)=0)*IJ51</f>
        <v>0</v>
      </c>
      <c r="IK77" s="20">
        <f>AND(IK73&gt;0,SUM($EU$77:IJ77)=0)*IK51</f>
        <v>0</v>
      </c>
      <c r="IL77" s="20">
        <f>AND(IL73&gt;0,SUM($EU$77:IK77)=0)*IL51</f>
        <v>0</v>
      </c>
      <c r="IM77" s="20">
        <f>AND(IM73&gt;0,SUM($EU$77:IL77)=0)*IM51</f>
        <v>0</v>
      </c>
      <c r="IN77" s="20">
        <f>AND(IN73&gt;0,SUM($EU$77:IM77)=0)*IN51</f>
        <v>0</v>
      </c>
      <c r="IO77" s="20">
        <f>AND(IO73&gt;0,SUM($EU$77:IN77)=0)*IO51</f>
        <v>0</v>
      </c>
      <c r="IP77" s="20">
        <f>AND(IP73&gt;0,SUM($EU$77:IO77)=0)*IP51</f>
        <v>0</v>
      </c>
      <c r="IQ77" s="20">
        <f>AND(IQ73&gt;0,SUM($EU$77:IP77)=0)*IQ51</f>
        <v>0</v>
      </c>
      <c r="IR77" s="20">
        <f>AND(IR73&gt;0,SUM($EU$77:IQ77)=0)*IR51</f>
        <v>0</v>
      </c>
      <c r="IS77" s="20">
        <f>AND(IS73&gt;0,SUM($EU$77:IR77)=0)*IS51</f>
        <v>0</v>
      </c>
      <c r="IT77" s="20">
        <f>AND(IT73&gt;0,SUM($EU$77:IS77)=0)*IT51</f>
        <v>0</v>
      </c>
      <c r="IU77" s="20">
        <f>AND(IU73&gt;0,SUM($EU$77:IT77)=0)*IU51</f>
        <v>0</v>
      </c>
      <c r="IV77" s="20">
        <f>AND(IV73&gt;0,SUM($EU$77:IU77)=0)*IV51</f>
        <v>0</v>
      </c>
      <c r="IW77" s="20">
        <f>AND(IW73&gt;0,SUM($EU$77:IV77)=0)*IW51</f>
        <v>0</v>
      </c>
      <c r="IX77" s="20">
        <f>AND(IX73&gt;0,SUM($EU$77:IW77)=0)*IX51</f>
        <v>0</v>
      </c>
      <c r="IY77" s="20">
        <f>AND(IY73&gt;0,SUM($EU$77:IX77)=0)*IY51</f>
        <v>0</v>
      </c>
      <c r="IZ77" s="20">
        <f>AND(IZ73&gt;0,SUM($EU$77:IY77)=0)*IZ51</f>
        <v>0</v>
      </c>
      <c r="JA77" s="20">
        <f>AND(JA73&gt;0,SUM($EU$77:IZ77)=0)*JA51</f>
        <v>0</v>
      </c>
      <c r="JB77" s="20">
        <f>AND(JB73&gt;0,SUM($EU$77:JA77)=0)*JB51</f>
        <v>0</v>
      </c>
      <c r="JC77" s="20">
        <f>AND(JC73&gt;0,SUM($EU$77:JB77)=0)*JC51</f>
        <v>0</v>
      </c>
      <c r="JD77" s="20">
        <f>AND(JD73&gt;0,SUM($EU$77:JC77)=0)*JD51</f>
        <v>0</v>
      </c>
      <c r="JE77" s="20">
        <f>AND(JE73&gt;0,SUM($EU$77:JD77)=0)*JE51</f>
        <v>0</v>
      </c>
      <c r="JF77" s="20">
        <f>AND(JF73&gt;0,SUM($EU$77:JE77)=0)*JF51</f>
        <v>0</v>
      </c>
      <c r="JG77" s="20">
        <f>AND(JG73&gt;0,SUM($EU$77:JF77)=0)*JG51</f>
        <v>0</v>
      </c>
      <c r="JH77" s="20">
        <f>AND(JH73&gt;0,SUM($EU$77:JG77)=0)*JH51</f>
        <v>0</v>
      </c>
      <c r="JI77" s="20">
        <f>AND(JI73&gt;0,SUM($EU$77:JH77)=0)*JI51</f>
        <v>0</v>
      </c>
      <c r="JJ77" s="20">
        <f>AND(JJ73&gt;0,SUM($EU$77:JI77)=0)*JJ51</f>
        <v>0</v>
      </c>
      <c r="JK77" s="20">
        <f>AND(JK73&gt;0,SUM($EU$77:JJ77)=0)*JK51</f>
        <v>0</v>
      </c>
      <c r="JL77" s="20">
        <f>AND(JL73&gt;0,SUM($EU$77:JK77)=0)*JL51</f>
        <v>0</v>
      </c>
      <c r="JM77" s="20">
        <f>AND(JM73&gt;0,SUM($EU$77:JL77)=0)*JM51</f>
        <v>0</v>
      </c>
      <c r="JN77" s="20">
        <f>AND(JN73&gt;0,SUM($EU$77:JM77)=0)*JN51</f>
        <v>0</v>
      </c>
      <c r="JO77" s="20">
        <f>AND(JO73&gt;0,SUM($EU$77:JN77)=0)*JO51</f>
        <v>0</v>
      </c>
      <c r="JP77" s="20">
        <f>AND(JP73&gt;0,SUM($EU$77:JO77)=0)*JP51</f>
        <v>0</v>
      </c>
      <c r="JQ77" s="20">
        <f>AND(JQ73&gt;0,SUM($EU$77:JP77)=0)*JQ51</f>
        <v>0</v>
      </c>
      <c r="JR77" s="20">
        <f>AND(JR73&gt;0,SUM($EU$77:JQ77)=0)*JR51</f>
        <v>0</v>
      </c>
      <c r="JS77" s="20">
        <f>AND(JS73&gt;0,SUM($EU$77:JR77)=0)*JS51</f>
        <v>0</v>
      </c>
      <c r="JT77" s="20">
        <f>AND(JT73&gt;0,SUM($EU$77:JS77)=0)*JT51</f>
        <v>0</v>
      </c>
      <c r="JU77" s="20">
        <f>AND(JU73&gt;0,SUM($EU$77:JT77)=0)*JU51</f>
        <v>0</v>
      </c>
      <c r="JV77" s="20">
        <f>AND(JV73&gt;0,SUM($EU$77:JU77)=0)*JV51</f>
        <v>0</v>
      </c>
      <c r="JW77" s="20">
        <f>AND(JW73&gt;0,SUM($EU$77:JV77)=0)*JW51</f>
        <v>0</v>
      </c>
      <c r="JX77" s="20">
        <f>AND(JX73&gt;0,SUM($EU$77:JW77)=0)*JX51</f>
        <v>0</v>
      </c>
      <c r="JY77"/>
      <c r="JZ77" s="442"/>
      <c r="KA77" s="442"/>
      <c r="KB77" s="442"/>
      <c r="KC77" s="442"/>
      <c r="KD77" s="442"/>
      <c r="KE77" s="442"/>
      <c r="KF77" s="442"/>
      <c r="KG77" s="442"/>
      <c r="KH77" s="442"/>
      <c r="KI77" s="442"/>
      <c r="KJ77" s="442"/>
      <c r="KK77" s="442"/>
      <c r="KL77" s="442"/>
      <c r="KM77" s="442"/>
      <c r="KN77" s="442"/>
      <c r="KO77" s="442"/>
      <c r="KP77" s="442"/>
      <c r="KQ77" s="442"/>
      <c r="KR77" s="442"/>
      <c r="KS77" s="442"/>
      <c r="KT77" s="442"/>
      <c r="KU77" s="442"/>
      <c r="KV77" s="442"/>
      <c r="KW77" s="442"/>
      <c r="KX77" s="442"/>
      <c r="KY77" s="442"/>
      <c r="KZ77" s="442"/>
      <c r="LA77" s="442"/>
      <c r="LB77" s="442"/>
      <c r="LC77" s="442"/>
      <c r="LD77" s="442"/>
      <c r="LE77" s="442"/>
      <c r="LF77" s="442"/>
      <c r="LG77" s="442"/>
      <c r="LH77" s="442"/>
      <c r="LI77" s="442"/>
      <c r="LJ77" s="442"/>
      <c r="LK77" s="442"/>
      <c r="LL77" s="442"/>
      <c r="LM77" s="442"/>
      <c r="LN77" s="442"/>
      <c r="LO77" s="442"/>
      <c r="LP77" s="442"/>
      <c r="LQ77" s="442"/>
      <c r="LR77" s="442"/>
      <c r="LS77" s="442"/>
      <c r="LT77" s="442"/>
      <c r="LU77" s="442"/>
      <c r="LV77" s="442"/>
      <c r="LW77" s="442"/>
      <c r="LX77" s="442"/>
      <c r="LY77" s="442"/>
      <c r="LZ77" s="442"/>
      <c r="MA77" s="442"/>
      <c r="MB77" s="442"/>
      <c r="MC77" s="442"/>
      <c r="MD77" s="442"/>
      <c r="ME77" s="442"/>
      <c r="MF77" s="442"/>
      <c r="MG77" s="442"/>
      <c r="MH77" s="442"/>
      <c r="MI77" s="442"/>
      <c r="MJ77" s="442"/>
      <c r="MK77" s="442"/>
      <c r="ML77" s="442"/>
      <c r="MM77" s="442"/>
      <c r="MN77" s="442"/>
      <c r="MO77" s="442"/>
      <c r="MP77" s="442"/>
      <c r="MQ77" s="442"/>
      <c r="MR77" s="442"/>
      <c r="MS77" s="442"/>
      <c r="MT77" s="442"/>
      <c r="MU77" s="442"/>
      <c r="MV77" s="442"/>
      <c r="MW77" s="442"/>
      <c r="MX77" s="442"/>
      <c r="MY77" s="442"/>
      <c r="MZ77" s="442"/>
      <c r="NA77" s="442"/>
      <c r="NB77" s="442"/>
      <c r="NC77" s="442"/>
      <c r="ND77" s="442"/>
      <c r="NE77" s="442"/>
      <c r="NF77" s="442"/>
      <c r="NG77" s="442"/>
      <c r="NH77" s="442"/>
      <c r="NI77" s="442"/>
      <c r="NJ77" s="442"/>
      <c r="NK77" s="442"/>
      <c r="NL77" s="442"/>
      <c r="NM77" s="442"/>
      <c r="NN77" s="442"/>
      <c r="NO77" s="442"/>
      <c r="NP77" s="442"/>
      <c r="NQ77" s="442"/>
      <c r="NR77" s="442"/>
      <c r="NS77" s="442"/>
      <c r="NT77" s="442"/>
      <c r="NU77" s="442"/>
      <c r="NV77" s="442"/>
      <c r="NW77" s="442"/>
      <c r="NX77" s="442"/>
      <c r="NY77" s="442"/>
      <c r="NZ77" s="442"/>
      <c r="OA77" s="442"/>
      <c r="OB77" s="442"/>
      <c r="OC77" s="442"/>
      <c r="OD77" s="442"/>
      <c r="OE77" s="442"/>
      <c r="OF77" s="442"/>
      <c r="OG77" s="442"/>
      <c r="OH77" s="442"/>
      <c r="OI77" s="442"/>
      <c r="OJ77" s="442"/>
      <c r="OK77" s="442"/>
      <c r="OL77" s="442"/>
      <c r="OM77" s="442"/>
      <c r="ON77" s="442"/>
      <c r="OO77" s="442"/>
      <c r="OP77" s="442"/>
      <c r="OQ77" s="442"/>
      <c r="OR77" s="442"/>
      <c r="OS77" s="442"/>
      <c r="OT77" s="442"/>
      <c r="OU77" s="442"/>
      <c r="OV77" s="442"/>
      <c r="OW77" s="442"/>
      <c r="OX77" s="442"/>
      <c r="OY77" s="442"/>
      <c r="OZ77" s="442"/>
      <c r="PA77" s="442"/>
      <c r="PB77" s="442"/>
      <c r="PC77" s="442"/>
      <c r="PD77" s="442"/>
      <c r="PE77" s="442"/>
      <c r="PF77" s="442"/>
      <c r="PG77" s="442"/>
      <c r="PH77" s="442"/>
    </row>
    <row r="78" spans="1:424" s="24" customFormat="1" x14ac:dyDescent="0.35">
      <c r="A78"/>
      <c r="B78" s="407" t="str">
        <f>IF(Perm_Debt?=0,"PERMANENT DEBT - NOT IN USE","PERMANENT DEBT - ACTIVE")</f>
        <v>PERMANENT DEBT - NOT IN USE</v>
      </c>
      <c r="C78" s="456"/>
      <c r="D78" s="456"/>
      <c r="E78" s="456"/>
      <c r="F78" s="456"/>
      <c r="G78" s="456"/>
      <c r="H78" s="452" t="s">
        <v>206</v>
      </c>
      <c r="I78" s="453" t="s">
        <v>207</v>
      </c>
      <c r="J78"/>
      <c r="K78" s="440"/>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c r="BF78" s="204"/>
      <c r="BG78" s="204"/>
      <c r="BH78" s="204"/>
      <c r="BI78" s="204"/>
      <c r="BJ78" s="204"/>
      <c r="BK78" s="204"/>
      <c r="BL78" s="204"/>
      <c r="BM78" s="204"/>
      <c r="BN78" s="204"/>
      <c r="BO78" s="204"/>
      <c r="BP78" s="204"/>
      <c r="BQ78" s="204"/>
      <c r="BR78" s="204"/>
      <c r="BS78" s="204"/>
      <c r="BT78" s="204"/>
      <c r="BU78" s="204"/>
      <c r="BV78" s="204"/>
      <c r="BW78" s="204"/>
      <c r="BX78" s="204"/>
      <c r="BY78" s="204"/>
      <c r="BZ78" s="204"/>
      <c r="CA78" s="204"/>
      <c r="CB78" s="204"/>
      <c r="CC78" s="204"/>
      <c r="CD78" s="204"/>
      <c r="CE78" s="204"/>
      <c r="CF78" s="204"/>
      <c r="CG78" s="204"/>
      <c r="CH78" s="204"/>
      <c r="CI78" s="204"/>
      <c r="CJ78" s="204"/>
      <c r="CK78" s="204"/>
      <c r="CL78" s="204"/>
      <c r="CM78" s="204"/>
      <c r="CN78" s="204"/>
      <c r="CO78" s="204"/>
      <c r="CP78" s="204"/>
      <c r="CQ78" s="204"/>
      <c r="CR78" s="204"/>
      <c r="CS78" s="204"/>
      <c r="CT78" s="204"/>
      <c r="CU78" s="204"/>
      <c r="CV78" s="204"/>
      <c r="CW78" s="204"/>
      <c r="CX78" s="204"/>
      <c r="CY78" s="204"/>
      <c r="CZ78" s="204"/>
      <c r="DA78" s="204"/>
      <c r="DB78" s="204"/>
      <c r="DC78" s="204"/>
      <c r="DD78" s="204"/>
      <c r="DE78" s="204"/>
      <c r="DF78" s="204"/>
      <c r="DG78" s="204"/>
      <c r="DH78" s="204"/>
      <c r="DI78" s="204"/>
      <c r="DJ78" s="204"/>
      <c r="DK78" s="204"/>
      <c r="DL78" s="204"/>
      <c r="DM78" s="204"/>
      <c r="DN78" s="204"/>
      <c r="DO78" s="204"/>
      <c r="DP78" s="204"/>
      <c r="DQ78" s="204"/>
      <c r="DR78" s="204"/>
      <c r="DS78" s="204"/>
      <c r="DT78" s="204"/>
      <c r="DU78" s="204"/>
      <c r="DV78" s="204"/>
      <c r="DW78" s="204"/>
      <c r="DX78" s="204"/>
      <c r="DY78" s="204"/>
      <c r="DZ78" s="204"/>
      <c r="EA78" s="204"/>
      <c r="EB78" s="204"/>
      <c r="EC78" s="204"/>
      <c r="ED78" s="204"/>
      <c r="EE78" s="204"/>
      <c r="EF78" s="204"/>
      <c r="EG78" s="204"/>
      <c r="EH78" s="204"/>
      <c r="EI78" s="204"/>
      <c r="EJ78" s="204"/>
      <c r="EK78" s="204"/>
      <c r="EL78" s="204"/>
      <c r="EM78" s="204"/>
      <c r="EN78" s="204"/>
      <c r="EO78" s="440"/>
      <c r="EP78" s="219"/>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c r="JZ78" s="442"/>
      <c r="KA78" s="442"/>
      <c r="KB78" s="442"/>
      <c r="KC78" s="442"/>
      <c r="KD78" s="442"/>
      <c r="KE78" s="442"/>
      <c r="KF78" s="442"/>
      <c r="KG78" s="442"/>
      <c r="KH78" s="442"/>
      <c r="KI78" s="442"/>
      <c r="KJ78" s="442"/>
      <c r="KK78" s="442"/>
      <c r="KL78" s="442"/>
      <c r="KM78" s="442"/>
      <c r="KN78" s="442"/>
      <c r="KO78" s="442"/>
      <c r="KP78" s="442"/>
      <c r="KQ78" s="442"/>
      <c r="KR78" s="442"/>
      <c r="KS78" s="442"/>
      <c r="KT78" s="442"/>
      <c r="KU78" s="442"/>
      <c r="KV78" s="442"/>
      <c r="KW78" s="442"/>
      <c r="KX78" s="442"/>
      <c r="KY78" s="442"/>
      <c r="KZ78" s="442"/>
      <c r="LA78" s="442"/>
      <c r="LB78" s="442"/>
      <c r="LC78" s="442"/>
      <c r="LD78" s="442"/>
      <c r="LE78" s="442"/>
      <c r="LF78" s="442"/>
      <c r="LG78" s="442"/>
      <c r="LH78" s="442"/>
      <c r="LI78" s="442"/>
      <c r="LJ78" s="442"/>
      <c r="LK78" s="442"/>
      <c r="LL78" s="442"/>
      <c r="LM78" s="442"/>
      <c r="LN78" s="442"/>
      <c r="LO78" s="442"/>
      <c r="LP78" s="442"/>
      <c r="LQ78" s="442"/>
      <c r="LR78" s="442"/>
      <c r="LS78" s="442"/>
      <c r="LT78" s="442"/>
      <c r="LU78" s="442"/>
      <c r="LV78" s="442"/>
      <c r="LW78" s="442"/>
      <c r="LX78" s="442"/>
      <c r="LY78" s="442"/>
      <c r="LZ78" s="442"/>
      <c r="MA78" s="442"/>
      <c r="MB78" s="442"/>
      <c r="MC78" s="442"/>
      <c r="MD78" s="442"/>
      <c r="ME78" s="442"/>
      <c r="MF78" s="442"/>
      <c r="MG78" s="442"/>
      <c r="MH78" s="442"/>
      <c r="MI78" s="442"/>
      <c r="MJ78" s="442"/>
      <c r="MK78" s="442"/>
      <c r="ML78" s="442"/>
      <c r="MM78" s="442"/>
      <c r="MN78" s="442"/>
      <c r="MO78" s="442"/>
      <c r="MP78" s="442"/>
      <c r="MQ78" s="442"/>
      <c r="MR78" s="442"/>
      <c r="MS78" s="442"/>
      <c r="MT78" s="442"/>
      <c r="MU78" s="442"/>
      <c r="MV78" s="442"/>
      <c r="MW78" s="442"/>
      <c r="MX78" s="442"/>
      <c r="MY78" s="442"/>
      <c r="MZ78" s="442"/>
      <c r="NA78" s="442"/>
      <c r="NB78" s="442"/>
      <c r="NC78" s="442"/>
      <c r="ND78" s="442"/>
      <c r="NE78" s="442"/>
      <c r="NF78" s="442"/>
      <c r="NG78" s="442"/>
      <c r="NH78" s="442"/>
      <c r="NI78" s="442"/>
      <c r="NJ78" s="442"/>
      <c r="NK78" s="442"/>
      <c r="NL78" s="442"/>
      <c r="NM78" s="442"/>
      <c r="NN78" s="442"/>
      <c r="NO78" s="442"/>
      <c r="NP78" s="442"/>
      <c r="NQ78" s="442"/>
      <c r="NR78" s="442"/>
      <c r="NS78" s="442"/>
      <c r="NT78" s="442"/>
      <c r="NU78" s="442"/>
      <c r="NV78" s="442"/>
      <c r="NW78" s="442"/>
      <c r="NX78" s="442"/>
      <c r="NY78" s="442"/>
      <c r="NZ78" s="442"/>
      <c r="OA78" s="442"/>
      <c r="OB78" s="442"/>
      <c r="OC78" s="442"/>
      <c r="OD78" s="442"/>
      <c r="OE78" s="442"/>
      <c r="OF78" s="442"/>
      <c r="OG78" s="442"/>
      <c r="OH78" s="442"/>
      <c r="OI78" s="442"/>
      <c r="OJ78" s="442"/>
      <c r="OK78" s="442"/>
      <c r="OL78" s="442"/>
      <c r="OM78" s="442"/>
      <c r="ON78" s="442"/>
      <c r="OO78" s="442"/>
      <c r="OP78" s="442"/>
      <c r="OQ78" s="442"/>
      <c r="OR78" s="442"/>
      <c r="OS78" s="442"/>
      <c r="OT78" s="442"/>
      <c r="OU78" s="442"/>
      <c r="OV78" s="442"/>
      <c r="OW78" s="442"/>
      <c r="OX78" s="442"/>
      <c r="OY78" s="442"/>
      <c r="OZ78" s="442"/>
      <c r="PA78" s="442"/>
      <c r="PB78" s="442"/>
      <c r="PC78" s="442"/>
      <c r="PD78" s="442"/>
      <c r="PE78" s="442"/>
      <c r="PF78" s="442"/>
      <c r="PG78" s="442"/>
      <c r="PH78" s="442"/>
    </row>
    <row r="79" spans="1:424" s="24" customFormat="1" x14ac:dyDescent="0.35">
      <c r="A79" s="457">
        <v>0</v>
      </c>
      <c r="B79" s="61"/>
      <c r="C79" s="454"/>
      <c r="D79" s="454"/>
      <c r="E79" s="454"/>
      <c r="F79" s="62"/>
      <c r="G79" s="136"/>
      <c r="H79" s="136"/>
      <c r="I79" s="63"/>
      <c r="J79"/>
      <c r="K79" s="440"/>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c r="BF79" s="204"/>
      <c r="BG79" s="204"/>
      <c r="BH79" s="204"/>
      <c r="BI79" s="204"/>
      <c r="BJ79" s="204"/>
      <c r="BK79" s="204"/>
      <c r="BL79" s="204"/>
      <c r="BM79" s="204"/>
      <c r="BN79" s="204"/>
      <c r="BO79" s="204"/>
      <c r="BP79" s="204"/>
      <c r="BQ79" s="204"/>
      <c r="BR79" s="204"/>
      <c r="BS79" s="204"/>
      <c r="BT79" s="204"/>
      <c r="BU79" s="204"/>
      <c r="BV79" s="204"/>
      <c r="BW79" s="204"/>
      <c r="BX79" s="204"/>
      <c r="BY79" s="204"/>
      <c r="BZ79" s="204"/>
      <c r="CA79" s="204"/>
      <c r="CB79" s="204"/>
      <c r="CC79" s="204"/>
      <c r="CD79" s="204"/>
      <c r="CE79" s="204"/>
      <c r="CF79" s="204"/>
      <c r="CG79" s="204"/>
      <c r="CH79" s="204"/>
      <c r="CI79" s="204"/>
      <c r="CJ79" s="204"/>
      <c r="CK79" s="204"/>
      <c r="CL79" s="204"/>
      <c r="CM79" s="204"/>
      <c r="CN79" s="204"/>
      <c r="CO79" s="204"/>
      <c r="CP79" s="204"/>
      <c r="CQ79" s="204"/>
      <c r="CR79" s="204"/>
      <c r="CS79" s="204"/>
      <c r="CT79" s="204"/>
      <c r="CU79" s="204"/>
      <c r="CV79" s="204"/>
      <c r="CW79" s="204"/>
      <c r="CX79" s="204"/>
      <c r="CY79" s="204"/>
      <c r="CZ79" s="204"/>
      <c r="DA79" s="204"/>
      <c r="DB79" s="204"/>
      <c r="DC79" s="204"/>
      <c r="DD79" s="204"/>
      <c r="DE79" s="204"/>
      <c r="DF79" s="204"/>
      <c r="DG79" s="204"/>
      <c r="DH79" s="204"/>
      <c r="DI79" s="204"/>
      <c r="DJ79" s="204"/>
      <c r="DK79" s="204"/>
      <c r="DL79" s="204"/>
      <c r="DM79" s="204"/>
      <c r="DN79" s="204"/>
      <c r="DO79" s="204"/>
      <c r="DP79" s="204"/>
      <c r="DQ79" s="204"/>
      <c r="DR79" s="204"/>
      <c r="DS79" s="204"/>
      <c r="DT79" s="204"/>
      <c r="DU79" s="204"/>
      <c r="DV79" s="204"/>
      <c r="DW79" s="204"/>
      <c r="DX79" s="204"/>
      <c r="DY79" s="204"/>
      <c r="DZ79" s="204"/>
      <c r="EA79" s="204"/>
      <c r="EB79" s="204"/>
      <c r="EC79" s="204"/>
      <c r="ED79" s="204"/>
      <c r="EE79" s="204"/>
      <c r="EF79" s="204"/>
      <c r="EG79" s="204"/>
      <c r="EH79" s="204"/>
      <c r="EI79" s="204"/>
      <c r="EJ79" s="204"/>
      <c r="EK79" s="204"/>
      <c r="EL79" s="204"/>
      <c r="EM79" s="204"/>
      <c r="EN79" s="204"/>
      <c r="EO79" s="440"/>
      <c r="EP79" s="219"/>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c r="GF79" s="18"/>
      <c r="GG79" s="18"/>
      <c r="GH79" s="18"/>
      <c r="GI79" s="18"/>
      <c r="GJ79" s="18"/>
      <c r="GK79" s="18"/>
      <c r="GL79" s="18"/>
      <c r="GM79" s="18"/>
      <c r="GN79" s="18"/>
      <c r="GO79" s="18"/>
      <c r="GP79" s="18"/>
      <c r="GQ79" s="18"/>
      <c r="GR79" s="18"/>
      <c r="GS79" s="18"/>
      <c r="GT79" s="18"/>
      <c r="GU79" s="18"/>
      <c r="GV79" s="18"/>
      <c r="GW79" s="18"/>
      <c r="GX79" s="18"/>
      <c r="GY79" s="18"/>
      <c r="GZ79" s="18"/>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c r="HY79" s="18"/>
      <c r="HZ79" s="18"/>
      <c r="IA79" s="18"/>
      <c r="IB79" s="18"/>
      <c r="IC79" s="18"/>
      <c r="ID79" s="18"/>
      <c r="IE79" s="18"/>
      <c r="IF79" s="18"/>
      <c r="IG79" s="18"/>
      <c r="IH79" s="18"/>
      <c r="II79" s="18"/>
      <c r="IJ79" s="18"/>
      <c r="IK79" s="18"/>
      <c r="IL79" s="18"/>
      <c r="IM79" s="18"/>
      <c r="IN79" s="18"/>
      <c r="IO79" s="18"/>
      <c r="IP79" s="18"/>
      <c r="IQ79" s="18"/>
      <c r="IR79" s="18"/>
      <c r="IS79" s="18"/>
      <c r="IT79" s="18"/>
      <c r="IU79" s="18"/>
      <c r="IV79" s="18"/>
      <c r="IW79" s="18"/>
      <c r="IX79" s="18"/>
      <c r="IY79" s="18"/>
      <c r="IZ79" s="18"/>
      <c r="JA79" s="18"/>
      <c r="JB79" s="18"/>
      <c r="JC79" s="18"/>
      <c r="JD79" s="18"/>
      <c r="JE79" s="18"/>
      <c r="JF79" s="18"/>
      <c r="JG79" s="18"/>
      <c r="JH79" s="18"/>
      <c r="JI79" s="18"/>
      <c r="JJ79" s="18"/>
      <c r="JK79" s="18"/>
      <c r="JL79" s="18"/>
      <c r="JM79" s="18"/>
      <c r="JN79" s="18"/>
      <c r="JO79" s="18"/>
      <c r="JP79" s="18"/>
      <c r="JQ79" s="18"/>
      <c r="JR79" s="18"/>
      <c r="JS79" s="18"/>
      <c r="JT79" s="18"/>
      <c r="JU79" s="18"/>
      <c r="JV79" s="18"/>
      <c r="JW79" s="18"/>
      <c r="JX79" s="18"/>
      <c r="JY79"/>
      <c r="JZ79" s="442"/>
      <c r="KA79" s="442"/>
      <c r="KB79" s="442"/>
      <c r="KC79" s="442"/>
      <c r="KD79" s="442"/>
      <c r="KE79" s="442"/>
      <c r="KF79" s="442"/>
      <c r="KG79" s="442"/>
      <c r="KH79" s="442"/>
      <c r="KI79" s="442"/>
      <c r="KJ79" s="442"/>
      <c r="KK79" s="442"/>
      <c r="KL79" s="442"/>
      <c r="KM79" s="442"/>
      <c r="KN79" s="442"/>
      <c r="KO79" s="442"/>
      <c r="KP79" s="442"/>
      <c r="KQ79" s="442"/>
      <c r="KR79" s="442"/>
      <c r="KS79" s="442"/>
      <c r="KT79" s="442"/>
      <c r="KU79" s="442"/>
      <c r="KV79" s="442"/>
      <c r="KW79" s="442"/>
      <c r="KX79" s="442"/>
      <c r="KY79" s="442"/>
      <c r="KZ79" s="442"/>
      <c r="LA79" s="442"/>
      <c r="LB79" s="442"/>
      <c r="LC79" s="442"/>
      <c r="LD79" s="442"/>
      <c r="LE79" s="442"/>
      <c r="LF79" s="442"/>
      <c r="LG79" s="442"/>
      <c r="LH79" s="442"/>
      <c r="LI79" s="442"/>
      <c r="LJ79" s="442"/>
      <c r="LK79" s="442"/>
      <c r="LL79" s="442"/>
      <c r="LM79" s="442"/>
      <c r="LN79" s="442"/>
      <c r="LO79" s="442"/>
      <c r="LP79" s="442"/>
      <c r="LQ79" s="442"/>
      <c r="LR79" s="442"/>
      <c r="LS79" s="442"/>
      <c r="LT79" s="442"/>
      <c r="LU79" s="442"/>
      <c r="LV79" s="442"/>
      <c r="LW79" s="442"/>
      <c r="LX79" s="442"/>
      <c r="LY79" s="442"/>
      <c r="LZ79" s="442"/>
      <c r="MA79" s="442"/>
      <c r="MB79" s="442"/>
      <c r="MC79" s="442"/>
      <c r="MD79" s="442"/>
      <c r="ME79" s="442"/>
      <c r="MF79" s="442"/>
      <c r="MG79" s="442"/>
      <c r="MH79" s="442"/>
      <c r="MI79" s="442"/>
      <c r="MJ79" s="442"/>
      <c r="MK79" s="442"/>
      <c r="ML79" s="442"/>
      <c r="MM79" s="442"/>
      <c r="MN79" s="442"/>
      <c r="MO79" s="442"/>
      <c r="MP79" s="442"/>
      <c r="MQ79" s="442"/>
      <c r="MR79" s="442"/>
      <c r="MS79" s="442"/>
      <c r="MT79" s="442"/>
      <c r="MU79" s="442"/>
      <c r="MV79" s="442"/>
      <c r="MW79" s="442"/>
      <c r="MX79" s="442"/>
      <c r="MY79" s="442"/>
      <c r="MZ79" s="442"/>
      <c r="NA79" s="442"/>
      <c r="NB79" s="442"/>
      <c r="NC79" s="442"/>
      <c r="ND79" s="442"/>
      <c r="NE79" s="442"/>
      <c r="NF79" s="442"/>
      <c r="NG79" s="442"/>
      <c r="NH79" s="442"/>
      <c r="NI79" s="442"/>
      <c r="NJ79" s="442"/>
      <c r="NK79" s="442"/>
      <c r="NL79" s="442"/>
      <c r="NM79" s="442"/>
      <c r="NN79" s="442"/>
      <c r="NO79" s="442"/>
      <c r="NP79" s="442"/>
      <c r="NQ79" s="442"/>
      <c r="NR79" s="442"/>
      <c r="NS79" s="442"/>
      <c r="NT79" s="442"/>
      <c r="NU79" s="442"/>
      <c r="NV79" s="442"/>
      <c r="NW79" s="442"/>
      <c r="NX79" s="442"/>
      <c r="NY79" s="442"/>
      <c r="NZ79" s="442"/>
      <c r="OA79" s="442"/>
      <c r="OB79" s="442"/>
      <c r="OC79" s="442"/>
      <c r="OD79" s="442"/>
      <c r="OE79" s="442"/>
      <c r="OF79" s="442"/>
      <c r="OG79" s="442"/>
      <c r="OH79" s="442"/>
      <c r="OI79" s="442"/>
      <c r="OJ79" s="442"/>
      <c r="OK79" s="442"/>
      <c r="OL79" s="442"/>
      <c r="OM79" s="442"/>
      <c r="ON79" s="442"/>
      <c r="OO79" s="442"/>
      <c r="OP79" s="442"/>
      <c r="OQ79" s="442"/>
      <c r="OR79" s="442"/>
      <c r="OS79" s="442"/>
      <c r="OT79" s="442"/>
      <c r="OU79" s="442"/>
      <c r="OV79" s="442"/>
      <c r="OW79" s="442"/>
      <c r="OX79" s="442"/>
      <c r="OY79" s="442"/>
      <c r="OZ79" s="442"/>
      <c r="PA79" s="442"/>
      <c r="PB79" s="442"/>
      <c r="PC79" s="442"/>
      <c r="PD79" s="442"/>
      <c r="PE79" s="442"/>
      <c r="PF79" s="442"/>
      <c r="PG79" s="442"/>
      <c r="PH79" s="442"/>
    </row>
    <row r="80" spans="1:424" s="24" customFormat="1" x14ac:dyDescent="0.35">
      <c r="A80" s="437"/>
      <c r="B80" s="423"/>
      <c r="C80" s="412" t="s">
        <v>208</v>
      </c>
      <c r="D80" s="412" t="s">
        <v>209</v>
      </c>
      <c r="E80" s="412" t="s">
        <v>171</v>
      </c>
      <c r="F80" s="135" t="s">
        <v>210</v>
      </c>
      <c r="G80" s="135" t="s">
        <v>211</v>
      </c>
      <c r="H80" s="412" t="s">
        <v>212</v>
      </c>
      <c r="I80" s="412" t="s">
        <v>135</v>
      </c>
      <c r="J80"/>
      <c r="K80" s="440"/>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c r="BF80" s="204"/>
      <c r="BG80" s="204"/>
      <c r="BH80" s="204"/>
      <c r="BI80" s="204"/>
      <c r="BJ80" s="204"/>
      <c r="BK80" s="204"/>
      <c r="BL80" s="204"/>
      <c r="BM80" s="204"/>
      <c r="BN80" s="204"/>
      <c r="BO80" s="204"/>
      <c r="BP80" s="204"/>
      <c r="BQ80" s="204"/>
      <c r="BR80" s="204"/>
      <c r="BS80" s="204"/>
      <c r="BT80" s="204"/>
      <c r="BU80" s="204"/>
      <c r="BV80" s="204"/>
      <c r="BW80" s="204"/>
      <c r="BX80" s="204"/>
      <c r="BY80" s="204"/>
      <c r="BZ80" s="204"/>
      <c r="CA80" s="204"/>
      <c r="CB80" s="204"/>
      <c r="CC80" s="204"/>
      <c r="CD80" s="204"/>
      <c r="CE80" s="204"/>
      <c r="CF80" s="204"/>
      <c r="CG80" s="204"/>
      <c r="CH80" s="204"/>
      <c r="CI80" s="204"/>
      <c r="CJ80" s="204"/>
      <c r="CK80" s="204"/>
      <c r="CL80" s="204"/>
      <c r="CM80" s="204"/>
      <c r="CN80" s="204"/>
      <c r="CO80" s="204"/>
      <c r="CP80" s="204"/>
      <c r="CQ80" s="204"/>
      <c r="CR80" s="204"/>
      <c r="CS80" s="204"/>
      <c r="CT80" s="204"/>
      <c r="CU80" s="204"/>
      <c r="CV80" s="204"/>
      <c r="CW80" s="204"/>
      <c r="CX80" s="204"/>
      <c r="CY80" s="204"/>
      <c r="CZ80" s="204"/>
      <c r="DA80" s="204"/>
      <c r="DB80" s="204"/>
      <c r="DC80" s="204"/>
      <c r="DD80" s="204"/>
      <c r="DE80" s="204"/>
      <c r="DF80" s="204"/>
      <c r="DG80" s="204"/>
      <c r="DH80" s="204"/>
      <c r="DI80" s="204"/>
      <c r="DJ80" s="204"/>
      <c r="DK80" s="204"/>
      <c r="DL80" s="204"/>
      <c r="DM80" s="204"/>
      <c r="DN80" s="204"/>
      <c r="DO80" s="204"/>
      <c r="DP80" s="204"/>
      <c r="DQ80" s="204"/>
      <c r="DR80" s="204"/>
      <c r="DS80" s="204"/>
      <c r="DT80" s="204"/>
      <c r="DU80" s="204"/>
      <c r="DV80" s="204"/>
      <c r="DW80" s="204"/>
      <c r="DX80" s="204"/>
      <c r="DY80" s="204"/>
      <c r="DZ80" s="204"/>
      <c r="EA80" s="204"/>
      <c r="EB80" s="204"/>
      <c r="EC80" s="204"/>
      <c r="ED80" s="204"/>
      <c r="EE80" s="204"/>
      <c r="EF80" s="204"/>
      <c r="EG80" s="204"/>
      <c r="EH80" s="204"/>
      <c r="EI80" s="204"/>
      <c r="EJ80" s="204"/>
      <c r="EK80" s="204"/>
      <c r="EL80" s="204"/>
      <c r="EM80" s="204"/>
      <c r="EN80" s="204"/>
      <c r="EO80" s="440"/>
      <c r="EP80" s="219"/>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c r="FP80" s="18"/>
      <c r="FQ80" s="18"/>
      <c r="FR80" s="18"/>
      <c r="FS80" s="18"/>
      <c r="FT80" s="18"/>
      <c r="FU80" s="18"/>
      <c r="FV80" s="18"/>
      <c r="FW80" s="18"/>
      <c r="FX80" s="18"/>
      <c r="FY80" s="18"/>
      <c r="FZ80" s="18"/>
      <c r="GA80" s="18"/>
      <c r="GB80" s="18"/>
      <c r="GC80" s="18"/>
      <c r="GD80" s="18"/>
      <c r="GE80" s="18"/>
      <c r="GF80" s="18"/>
      <c r="GG80" s="18"/>
      <c r="GH80" s="18"/>
      <c r="GI80" s="18"/>
      <c r="GJ80" s="18"/>
      <c r="GK80" s="18"/>
      <c r="GL80" s="18"/>
      <c r="GM80" s="18"/>
      <c r="GN80" s="18"/>
      <c r="GO80" s="18"/>
      <c r="GP80" s="18"/>
      <c r="GQ80" s="18"/>
      <c r="GR80" s="18"/>
      <c r="GS80" s="18"/>
      <c r="GT80" s="18"/>
      <c r="GU80" s="18"/>
      <c r="GV80" s="18"/>
      <c r="GW80" s="18"/>
      <c r="GX80" s="18"/>
      <c r="GY80" s="18"/>
      <c r="GZ80" s="18"/>
      <c r="HA80" s="18"/>
      <c r="HB80" s="18"/>
      <c r="HC80" s="18"/>
      <c r="HD80" s="18"/>
      <c r="HE80" s="18"/>
      <c r="HF80" s="18"/>
      <c r="HG80" s="18"/>
      <c r="HH80" s="18"/>
      <c r="HI80" s="18"/>
      <c r="HJ80" s="18"/>
      <c r="HK80" s="18"/>
      <c r="HL80" s="18"/>
      <c r="HM80" s="18"/>
      <c r="HN80" s="18"/>
      <c r="HO80" s="18"/>
      <c r="HP80" s="18"/>
      <c r="HQ80" s="18"/>
      <c r="HR80" s="18"/>
      <c r="HS80" s="18"/>
      <c r="HT80" s="18"/>
      <c r="HU80" s="18"/>
      <c r="HV80" s="18"/>
      <c r="HW80" s="18"/>
      <c r="HX80" s="18"/>
      <c r="HY80" s="18"/>
      <c r="HZ80" s="18"/>
      <c r="IA80" s="18"/>
      <c r="IB80" s="18"/>
      <c r="IC80" s="18"/>
      <c r="ID80" s="18"/>
      <c r="IE80" s="18"/>
      <c r="IF80" s="18"/>
      <c r="IG80" s="18"/>
      <c r="IH80" s="18"/>
      <c r="II80" s="18"/>
      <c r="IJ80" s="18"/>
      <c r="IK80" s="18"/>
      <c r="IL80" s="18"/>
      <c r="IM80" s="18"/>
      <c r="IN80" s="18"/>
      <c r="IO80" s="18"/>
      <c r="IP80" s="18"/>
      <c r="IQ80" s="18"/>
      <c r="IR80" s="18"/>
      <c r="IS80" s="18"/>
      <c r="IT80" s="18"/>
      <c r="IU80" s="18"/>
      <c r="IV80" s="18"/>
      <c r="IW80" s="18"/>
      <c r="IX80" s="18"/>
      <c r="IY80" s="18"/>
      <c r="IZ80" s="18"/>
      <c r="JA80" s="18"/>
      <c r="JB80" s="18"/>
      <c r="JC80" s="18"/>
      <c r="JD80" s="18"/>
      <c r="JE80" s="18"/>
      <c r="JF80" s="18"/>
      <c r="JG80" s="18"/>
      <c r="JH80" s="18"/>
      <c r="JI80" s="18"/>
      <c r="JJ80" s="18"/>
      <c r="JK80" s="18"/>
      <c r="JL80" s="18"/>
      <c r="JM80" s="18"/>
      <c r="JN80" s="18"/>
      <c r="JO80" s="18"/>
      <c r="JP80" s="18"/>
      <c r="JQ80" s="18"/>
      <c r="JR80" s="18"/>
      <c r="JS80" s="18"/>
      <c r="JT80" s="18"/>
      <c r="JU80" s="18"/>
      <c r="JV80" s="18"/>
      <c r="JW80" s="18"/>
      <c r="JX80" s="18"/>
      <c r="JY80"/>
      <c r="JZ80" s="442"/>
      <c r="KA80" s="442"/>
      <c r="KB80" s="442"/>
      <c r="KC80" s="442"/>
      <c r="KD80" s="442"/>
      <c r="KE80" s="442"/>
      <c r="KF80" s="442"/>
      <c r="KG80" s="442"/>
      <c r="KH80" s="442"/>
      <c r="KI80" s="442"/>
      <c r="KJ80" s="442"/>
      <c r="KK80" s="442"/>
      <c r="KL80" s="442"/>
      <c r="KM80" s="442"/>
      <c r="KN80" s="442"/>
      <c r="KO80" s="442"/>
      <c r="KP80" s="442"/>
      <c r="KQ80" s="442"/>
      <c r="KR80" s="442"/>
      <c r="KS80" s="442"/>
      <c r="KT80" s="442"/>
      <c r="KU80" s="442"/>
      <c r="KV80" s="442"/>
      <c r="KW80" s="442"/>
      <c r="KX80" s="442"/>
      <c r="KY80" s="442"/>
      <c r="KZ80" s="442"/>
      <c r="LA80" s="442"/>
      <c r="LB80" s="442"/>
      <c r="LC80" s="442"/>
      <c r="LD80" s="442"/>
      <c r="LE80" s="442"/>
      <c r="LF80" s="442"/>
      <c r="LG80" s="442"/>
      <c r="LH80" s="442"/>
      <c r="LI80" s="442"/>
      <c r="LJ80" s="442"/>
      <c r="LK80" s="442"/>
      <c r="LL80" s="442"/>
      <c r="LM80" s="442"/>
      <c r="LN80" s="442"/>
      <c r="LO80" s="442"/>
      <c r="LP80" s="442"/>
      <c r="LQ80" s="442"/>
      <c r="LR80" s="442"/>
      <c r="LS80" s="442"/>
      <c r="LT80" s="442"/>
      <c r="LU80" s="442"/>
      <c r="LV80" s="442"/>
      <c r="LW80" s="442"/>
      <c r="LX80" s="442"/>
      <c r="LY80" s="442"/>
      <c r="LZ80" s="442"/>
      <c r="MA80" s="442"/>
      <c r="MB80" s="442"/>
      <c r="MC80" s="442"/>
      <c r="MD80" s="442"/>
      <c r="ME80" s="442"/>
      <c r="MF80" s="442"/>
      <c r="MG80" s="442"/>
      <c r="MH80" s="442"/>
      <c r="MI80" s="442"/>
      <c r="MJ80" s="442"/>
      <c r="MK80" s="442"/>
      <c r="ML80" s="442"/>
      <c r="MM80" s="442"/>
      <c r="MN80" s="442"/>
      <c r="MO80" s="442"/>
      <c r="MP80" s="442"/>
      <c r="MQ80" s="442"/>
      <c r="MR80" s="442"/>
      <c r="MS80" s="442"/>
      <c r="MT80" s="442"/>
      <c r="MU80" s="442"/>
      <c r="MV80" s="442"/>
      <c r="MW80" s="442"/>
      <c r="MX80" s="442"/>
      <c r="MY80" s="442"/>
      <c r="MZ80" s="442"/>
      <c r="NA80" s="442"/>
      <c r="NB80" s="442"/>
      <c r="NC80" s="442"/>
      <c r="ND80" s="442"/>
      <c r="NE80" s="442"/>
      <c r="NF80" s="442"/>
      <c r="NG80" s="442"/>
      <c r="NH80" s="442"/>
      <c r="NI80" s="442"/>
      <c r="NJ80" s="442"/>
      <c r="NK80" s="442"/>
      <c r="NL80" s="442"/>
      <c r="NM80" s="442"/>
      <c r="NN80" s="442"/>
      <c r="NO80" s="442"/>
      <c r="NP80" s="442"/>
      <c r="NQ80" s="442"/>
      <c r="NR80" s="442"/>
      <c r="NS80" s="442"/>
      <c r="NT80" s="442"/>
      <c r="NU80" s="442"/>
      <c r="NV80" s="442"/>
      <c r="NW80" s="442"/>
      <c r="NX80" s="442"/>
      <c r="NY80" s="442"/>
      <c r="NZ80" s="442"/>
      <c r="OA80" s="442"/>
      <c r="OB80" s="442"/>
      <c r="OC80" s="442"/>
      <c r="OD80" s="442"/>
      <c r="OE80" s="442"/>
      <c r="OF80" s="442"/>
      <c r="OG80" s="442"/>
      <c r="OH80" s="442"/>
      <c r="OI80" s="442"/>
      <c r="OJ80" s="442"/>
      <c r="OK80" s="442"/>
      <c r="OL80" s="442"/>
      <c r="OM80" s="442"/>
      <c r="ON80" s="442"/>
      <c r="OO80" s="442"/>
      <c r="OP80" s="442"/>
      <c r="OQ80" s="442"/>
      <c r="OR80" s="442"/>
      <c r="OS80" s="442"/>
      <c r="OT80" s="442"/>
      <c r="OU80" s="442"/>
      <c r="OV80" s="442"/>
      <c r="OW80" s="442"/>
      <c r="OX80" s="442"/>
      <c r="OY80" s="442"/>
      <c r="OZ80" s="442"/>
      <c r="PA80" s="442"/>
      <c r="PB80" s="442"/>
      <c r="PC80" s="442"/>
      <c r="PD80" s="442"/>
      <c r="PE80" s="442"/>
      <c r="PF80" s="442"/>
      <c r="PG80" s="442"/>
      <c r="PH80" s="442"/>
    </row>
    <row r="81" spans="1:424" s="24" customFormat="1" x14ac:dyDescent="0.35">
      <c r="A81" s="437"/>
      <c r="B81" s="423" t="s">
        <v>213</v>
      </c>
      <c r="C81" s="52">
        <f>+I81/Valuation_Trended</f>
        <v>0.34956150491216981</v>
      </c>
      <c r="D81" s="52">
        <f>+I81/Project_Cost_Total</f>
        <v>0.52929692751584856</v>
      </c>
      <c r="E81" s="838">
        <f>'URWLD COMPANY INPUTS'!$F$766</f>
        <v>6.5000000000000002E-2</v>
      </c>
      <c r="F81" s="921" t="str">
        <f>IF('URWLD COMPANY INPUTS'!$F$770="","",IF('URWLD COMPANY INPUTS'!$F$770="Interest Only","Yes","No"))</f>
        <v>Yes</v>
      </c>
      <c r="G81" s="159">
        <v>30</v>
      </c>
      <c r="H81" s="445">
        <f>IF(F81="Yes",I81*E81,PMT(E81/12,G81*12,-I81)*12)</f>
        <v>15442598.462594831</v>
      </c>
      <c r="I81" s="416">
        <f>+I75/(1-H82)</f>
        <v>237578437.88607433</v>
      </c>
      <c r="J81"/>
      <c r="K81" s="440"/>
      <c r="L81" s="269">
        <f t="shared" ref="L81:AQ81" si="289">+L3</f>
        <v>0</v>
      </c>
      <c r="M81" s="269">
        <f t="shared" si="289"/>
        <v>1</v>
      </c>
      <c r="N81" s="269">
        <f t="shared" si="289"/>
        <v>2</v>
      </c>
      <c r="O81" s="269">
        <f t="shared" si="289"/>
        <v>3</v>
      </c>
      <c r="P81" s="269">
        <f t="shared" si="289"/>
        <v>4</v>
      </c>
      <c r="Q81" s="269">
        <f t="shared" si="289"/>
        <v>5</v>
      </c>
      <c r="R81" s="269">
        <f t="shared" si="289"/>
        <v>6</v>
      </c>
      <c r="S81" s="269">
        <f t="shared" si="289"/>
        <v>7</v>
      </c>
      <c r="T81" s="269">
        <f t="shared" si="289"/>
        <v>8</v>
      </c>
      <c r="U81" s="269">
        <f t="shared" si="289"/>
        <v>9</v>
      </c>
      <c r="V81" s="269">
        <f t="shared" si="289"/>
        <v>10</v>
      </c>
      <c r="W81" s="269">
        <f t="shared" si="289"/>
        <v>11</v>
      </c>
      <c r="X81" s="269">
        <f t="shared" si="289"/>
        <v>12</v>
      </c>
      <c r="Y81" s="269">
        <f t="shared" si="289"/>
        <v>13</v>
      </c>
      <c r="Z81" s="269">
        <f t="shared" si="289"/>
        <v>14</v>
      </c>
      <c r="AA81" s="269">
        <f t="shared" si="289"/>
        <v>15</v>
      </c>
      <c r="AB81" s="269">
        <f t="shared" si="289"/>
        <v>16</v>
      </c>
      <c r="AC81" s="269">
        <f t="shared" si="289"/>
        <v>17</v>
      </c>
      <c r="AD81" s="269">
        <f t="shared" si="289"/>
        <v>18</v>
      </c>
      <c r="AE81" s="269">
        <f t="shared" si="289"/>
        <v>19</v>
      </c>
      <c r="AF81" s="269">
        <f t="shared" si="289"/>
        <v>20</v>
      </c>
      <c r="AG81" s="269">
        <f t="shared" si="289"/>
        <v>21</v>
      </c>
      <c r="AH81" s="269">
        <f t="shared" si="289"/>
        <v>22</v>
      </c>
      <c r="AI81" s="269">
        <f t="shared" si="289"/>
        <v>23</v>
      </c>
      <c r="AJ81" s="269">
        <f t="shared" si="289"/>
        <v>24</v>
      </c>
      <c r="AK81" s="269">
        <f t="shared" si="289"/>
        <v>25</v>
      </c>
      <c r="AL81" s="269">
        <f t="shared" si="289"/>
        <v>26</v>
      </c>
      <c r="AM81" s="269">
        <f t="shared" si="289"/>
        <v>27</v>
      </c>
      <c r="AN81" s="269">
        <f t="shared" si="289"/>
        <v>28</v>
      </c>
      <c r="AO81" s="269">
        <f t="shared" si="289"/>
        <v>29</v>
      </c>
      <c r="AP81" s="269">
        <f t="shared" si="289"/>
        <v>30</v>
      </c>
      <c r="AQ81" s="269">
        <f t="shared" si="289"/>
        <v>31</v>
      </c>
      <c r="AR81" s="269">
        <f t="shared" ref="AR81:BW81" si="290">+AR3</f>
        <v>32</v>
      </c>
      <c r="AS81" s="269">
        <f t="shared" si="290"/>
        <v>33</v>
      </c>
      <c r="AT81" s="269">
        <f t="shared" si="290"/>
        <v>34</v>
      </c>
      <c r="AU81" s="269">
        <f t="shared" si="290"/>
        <v>35</v>
      </c>
      <c r="AV81" s="269">
        <f t="shared" si="290"/>
        <v>36</v>
      </c>
      <c r="AW81" s="269">
        <f t="shared" si="290"/>
        <v>37</v>
      </c>
      <c r="AX81" s="269">
        <f t="shared" si="290"/>
        <v>38</v>
      </c>
      <c r="AY81" s="269">
        <f t="shared" si="290"/>
        <v>39</v>
      </c>
      <c r="AZ81" s="269">
        <f t="shared" si="290"/>
        <v>40</v>
      </c>
      <c r="BA81" s="269">
        <f t="shared" si="290"/>
        <v>41</v>
      </c>
      <c r="BB81" s="269">
        <f t="shared" si="290"/>
        <v>42</v>
      </c>
      <c r="BC81" s="269">
        <f t="shared" si="290"/>
        <v>43</v>
      </c>
      <c r="BD81" s="269">
        <f t="shared" si="290"/>
        <v>44</v>
      </c>
      <c r="BE81" s="269">
        <f t="shared" si="290"/>
        <v>45</v>
      </c>
      <c r="BF81" s="269">
        <f t="shared" si="290"/>
        <v>46</v>
      </c>
      <c r="BG81" s="269">
        <f t="shared" si="290"/>
        <v>47</v>
      </c>
      <c r="BH81" s="269">
        <f t="shared" si="290"/>
        <v>48</v>
      </c>
      <c r="BI81" s="269">
        <f t="shared" si="290"/>
        <v>49</v>
      </c>
      <c r="BJ81" s="269">
        <f t="shared" si="290"/>
        <v>50</v>
      </c>
      <c r="BK81" s="269">
        <f t="shared" si="290"/>
        <v>51</v>
      </c>
      <c r="BL81" s="269">
        <f t="shared" si="290"/>
        <v>52</v>
      </c>
      <c r="BM81" s="269">
        <f t="shared" si="290"/>
        <v>53</v>
      </c>
      <c r="BN81" s="269">
        <f t="shared" si="290"/>
        <v>54</v>
      </c>
      <c r="BO81" s="269">
        <f t="shared" si="290"/>
        <v>55</v>
      </c>
      <c r="BP81" s="269">
        <f t="shared" si="290"/>
        <v>56</v>
      </c>
      <c r="BQ81" s="269">
        <f t="shared" si="290"/>
        <v>57</v>
      </c>
      <c r="BR81" s="269">
        <f t="shared" si="290"/>
        <v>58</v>
      </c>
      <c r="BS81" s="269">
        <f t="shared" si="290"/>
        <v>59</v>
      </c>
      <c r="BT81" s="269">
        <f t="shared" si="290"/>
        <v>60</v>
      </c>
      <c r="BU81" s="269">
        <f t="shared" si="290"/>
        <v>61</v>
      </c>
      <c r="BV81" s="269">
        <f t="shared" si="290"/>
        <v>62</v>
      </c>
      <c r="BW81" s="269">
        <f t="shared" si="290"/>
        <v>63</v>
      </c>
      <c r="BX81" s="269">
        <f t="shared" ref="BX81:DC81" si="291">+BX3</f>
        <v>64</v>
      </c>
      <c r="BY81" s="269">
        <f t="shared" si="291"/>
        <v>65</v>
      </c>
      <c r="BZ81" s="269">
        <f t="shared" si="291"/>
        <v>66</v>
      </c>
      <c r="CA81" s="269">
        <f t="shared" si="291"/>
        <v>67</v>
      </c>
      <c r="CB81" s="269">
        <f t="shared" si="291"/>
        <v>68</v>
      </c>
      <c r="CC81" s="269">
        <f t="shared" si="291"/>
        <v>69</v>
      </c>
      <c r="CD81" s="269">
        <f t="shared" si="291"/>
        <v>70</v>
      </c>
      <c r="CE81" s="269">
        <f t="shared" si="291"/>
        <v>71</v>
      </c>
      <c r="CF81" s="269">
        <f t="shared" si="291"/>
        <v>72</v>
      </c>
      <c r="CG81" s="269">
        <f t="shared" si="291"/>
        <v>73</v>
      </c>
      <c r="CH81" s="269">
        <f t="shared" si="291"/>
        <v>74</v>
      </c>
      <c r="CI81" s="269">
        <f t="shared" si="291"/>
        <v>75</v>
      </c>
      <c r="CJ81" s="269">
        <f t="shared" si="291"/>
        <v>76</v>
      </c>
      <c r="CK81" s="269">
        <f t="shared" si="291"/>
        <v>77</v>
      </c>
      <c r="CL81" s="269">
        <f t="shared" si="291"/>
        <v>78</v>
      </c>
      <c r="CM81" s="269">
        <f t="shared" si="291"/>
        <v>79</v>
      </c>
      <c r="CN81" s="269">
        <f t="shared" si="291"/>
        <v>80</v>
      </c>
      <c r="CO81" s="269">
        <f t="shared" si="291"/>
        <v>81</v>
      </c>
      <c r="CP81" s="269">
        <f t="shared" si="291"/>
        <v>82</v>
      </c>
      <c r="CQ81" s="269">
        <f t="shared" si="291"/>
        <v>83</v>
      </c>
      <c r="CR81" s="269">
        <f t="shared" si="291"/>
        <v>84</v>
      </c>
      <c r="CS81" s="269">
        <f t="shared" si="291"/>
        <v>85</v>
      </c>
      <c r="CT81" s="269">
        <f t="shared" si="291"/>
        <v>86</v>
      </c>
      <c r="CU81" s="269">
        <f t="shared" si="291"/>
        <v>87</v>
      </c>
      <c r="CV81" s="269">
        <f t="shared" si="291"/>
        <v>88</v>
      </c>
      <c r="CW81" s="269">
        <f t="shared" si="291"/>
        <v>89</v>
      </c>
      <c r="CX81" s="269">
        <f t="shared" si="291"/>
        <v>90</v>
      </c>
      <c r="CY81" s="269">
        <f t="shared" si="291"/>
        <v>91</v>
      </c>
      <c r="CZ81" s="269">
        <f t="shared" si="291"/>
        <v>92</v>
      </c>
      <c r="DA81" s="269">
        <f t="shared" si="291"/>
        <v>93</v>
      </c>
      <c r="DB81" s="269">
        <f t="shared" si="291"/>
        <v>94</v>
      </c>
      <c r="DC81" s="269">
        <f t="shared" si="291"/>
        <v>95</v>
      </c>
      <c r="DD81" s="269">
        <f t="shared" ref="DD81:EN81" si="292">+DD3</f>
        <v>96</v>
      </c>
      <c r="DE81" s="269">
        <f t="shared" si="292"/>
        <v>97</v>
      </c>
      <c r="DF81" s="269">
        <f t="shared" si="292"/>
        <v>98</v>
      </c>
      <c r="DG81" s="269">
        <f t="shared" si="292"/>
        <v>99</v>
      </c>
      <c r="DH81" s="269">
        <f t="shared" si="292"/>
        <v>100</v>
      </c>
      <c r="DI81" s="269">
        <f t="shared" si="292"/>
        <v>101</v>
      </c>
      <c r="DJ81" s="269">
        <f t="shared" si="292"/>
        <v>102</v>
      </c>
      <c r="DK81" s="269">
        <f t="shared" si="292"/>
        <v>103</v>
      </c>
      <c r="DL81" s="269">
        <f t="shared" si="292"/>
        <v>104</v>
      </c>
      <c r="DM81" s="269">
        <f t="shared" si="292"/>
        <v>105</v>
      </c>
      <c r="DN81" s="269">
        <f t="shared" si="292"/>
        <v>106</v>
      </c>
      <c r="DO81" s="269">
        <f t="shared" si="292"/>
        <v>107</v>
      </c>
      <c r="DP81" s="269">
        <f t="shared" si="292"/>
        <v>108</v>
      </c>
      <c r="DQ81" s="269">
        <f t="shared" si="292"/>
        <v>109</v>
      </c>
      <c r="DR81" s="269">
        <f t="shared" si="292"/>
        <v>110</v>
      </c>
      <c r="DS81" s="269">
        <f t="shared" si="292"/>
        <v>111</v>
      </c>
      <c r="DT81" s="269">
        <f t="shared" si="292"/>
        <v>112</v>
      </c>
      <c r="DU81" s="269">
        <f t="shared" si="292"/>
        <v>113</v>
      </c>
      <c r="DV81" s="269">
        <f t="shared" si="292"/>
        <v>114</v>
      </c>
      <c r="DW81" s="269">
        <f t="shared" si="292"/>
        <v>115</v>
      </c>
      <c r="DX81" s="269">
        <f t="shared" si="292"/>
        <v>116</v>
      </c>
      <c r="DY81" s="269">
        <f t="shared" si="292"/>
        <v>117</v>
      </c>
      <c r="DZ81" s="269">
        <f t="shared" si="292"/>
        <v>118</v>
      </c>
      <c r="EA81" s="269">
        <f t="shared" si="292"/>
        <v>119</v>
      </c>
      <c r="EB81" s="269">
        <f t="shared" si="292"/>
        <v>120</v>
      </c>
      <c r="EC81" s="269">
        <f t="shared" si="292"/>
        <v>121</v>
      </c>
      <c r="ED81" s="269">
        <f t="shared" si="292"/>
        <v>122</v>
      </c>
      <c r="EE81" s="269">
        <f t="shared" si="292"/>
        <v>123</v>
      </c>
      <c r="EF81" s="269">
        <f t="shared" si="292"/>
        <v>124</v>
      </c>
      <c r="EG81" s="269">
        <f t="shared" si="292"/>
        <v>125</v>
      </c>
      <c r="EH81" s="269">
        <f t="shared" si="292"/>
        <v>126</v>
      </c>
      <c r="EI81" s="269">
        <f t="shared" si="292"/>
        <v>127</v>
      </c>
      <c r="EJ81" s="269">
        <f t="shared" si="292"/>
        <v>128</v>
      </c>
      <c r="EK81" s="269">
        <f t="shared" si="292"/>
        <v>129</v>
      </c>
      <c r="EL81" s="269">
        <f t="shared" si="292"/>
        <v>130</v>
      </c>
      <c r="EM81" s="269">
        <f t="shared" si="292"/>
        <v>131</v>
      </c>
      <c r="EN81" s="269">
        <f t="shared" si="292"/>
        <v>132</v>
      </c>
      <c r="EO81" s="440"/>
      <c r="EP81" s="219"/>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8"/>
      <c r="GV81" s="18"/>
      <c r="GW81" s="18"/>
      <c r="GX81" s="18"/>
      <c r="GY81" s="18"/>
      <c r="GZ81" s="18"/>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c r="HY81" s="18"/>
      <c r="HZ81" s="18"/>
      <c r="IA81" s="18"/>
      <c r="IB81" s="18"/>
      <c r="IC81" s="18"/>
      <c r="ID81" s="18"/>
      <c r="IE81" s="18"/>
      <c r="IF81" s="18"/>
      <c r="IG81" s="18"/>
      <c r="IH81" s="18"/>
      <c r="II81" s="18"/>
      <c r="IJ81" s="18"/>
      <c r="IK81" s="18"/>
      <c r="IL81" s="18"/>
      <c r="IM81" s="18"/>
      <c r="IN81" s="18"/>
      <c r="IO81" s="18"/>
      <c r="IP81" s="18"/>
      <c r="IQ81" s="18"/>
      <c r="IR81" s="18"/>
      <c r="IS81" s="18"/>
      <c r="IT81" s="18"/>
      <c r="IU81" s="18"/>
      <c r="IV81" s="18"/>
      <c r="IW81" s="18"/>
      <c r="IX81" s="18"/>
      <c r="IY81" s="18"/>
      <c r="IZ81" s="18"/>
      <c r="JA81" s="18"/>
      <c r="JB81" s="18"/>
      <c r="JC81" s="18"/>
      <c r="JD81" s="18"/>
      <c r="JE81" s="18"/>
      <c r="JF81" s="18"/>
      <c r="JG81" s="18"/>
      <c r="JH81" s="18"/>
      <c r="JI81" s="18"/>
      <c r="JJ81" s="18"/>
      <c r="JK81" s="18"/>
      <c r="JL81" s="18"/>
      <c r="JM81" s="18"/>
      <c r="JN81" s="18"/>
      <c r="JO81" s="18"/>
      <c r="JP81" s="18"/>
      <c r="JQ81" s="18"/>
      <c r="JR81" s="18"/>
      <c r="JS81" s="18"/>
      <c r="JT81" s="18"/>
      <c r="JU81" s="18"/>
      <c r="JV81" s="18"/>
      <c r="JW81" s="18"/>
      <c r="JX81" s="18"/>
      <c r="JY81"/>
      <c r="JZ81" s="442"/>
      <c r="KA81" s="442"/>
      <c r="KB81" s="442"/>
      <c r="KC81" s="442"/>
      <c r="KD81" s="442"/>
      <c r="KE81" s="442"/>
      <c r="KF81" s="442"/>
      <c r="KG81" s="442"/>
      <c r="KH81" s="442"/>
      <c r="KI81" s="442"/>
      <c r="KJ81" s="442"/>
      <c r="KK81" s="442"/>
      <c r="KL81" s="442"/>
      <c r="KM81" s="442"/>
      <c r="KN81" s="442"/>
      <c r="KO81" s="442"/>
      <c r="KP81" s="442"/>
      <c r="KQ81" s="442"/>
      <c r="KR81" s="442"/>
      <c r="KS81" s="442"/>
      <c r="KT81" s="442"/>
      <c r="KU81" s="442"/>
      <c r="KV81" s="442"/>
      <c r="KW81" s="442"/>
      <c r="KX81" s="442"/>
      <c r="KY81" s="442"/>
      <c r="KZ81" s="442"/>
      <c r="LA81" s="442"/>
      <c r="LB81" s="442"/>
      <c r="LC81" s="442"/>
      <c r="LD81" s="442"/>
      <c r="LE81" s="442"/>
      <c r="LF81" s="442"/>
      <c r="LG81" s="442"/>
      <c r="LH81" s="442"/>
      <c r="LI81" s="442"/>
      <c r="LJ81" s="442"/>
      <c r="LK81" s="442"/>
      <c r="LL81" s="442"/>
      <c r="LM81" s="442"/>
      <c r="LN81" s="442"/>
      <c r="LO81" s="442"/>
      <c r="LP81" s="442"/>
      <c r="LQ81" s="442"/>
      <c r="LR81" s="442"/>
      <c r="LS81" s="442"/>
      <c r="LT81" s="442"/>
      <c r="LU81" s="442"/>
      <c r="LV81" s="442"/>
      <c r="LW81" s="442"/>
      <c r="LX81" s="442"/>
      <c r="LY81" s="442"/>
      <c r="LZ81" s="442"/>
      <c r="MA81" s="442"/>
      <c r="MB81" s="442"/>
      <c r="MC81" s="442"/>
      <c r="MD81" s="442"/>
      <c r="ME81" s="442"/>
      <c r="MF81" s="442"/>
      <c r="MG81" s="442"/>
      <c r="MH81" s="442"/>
      <c r="MI81" s="442"/>
      <c r="MJ81" s="442"/>
      <c r="MK81" s="442"/>
      <c r="ML81" s="442"/>
      <c r="MM81" s="442"/>
      <c r="MN81" s="442"/>
      <c r="MO81" s="442"/>
      <c r="MP81" s="442"/>
      <c r="MQ81" s="442"/>
      <c r="MR81" s="442"/>
      <c r="MS81" s="442"/>
      <c r="MT81" s="442"/>
      <c r="MU81" s="442"/>
      <c r="MV81" s="442"/>
      <c r="MW81" s="442"/>
      <c r="MX81" s="442"/>
      <c r="MY81" s="442"/>
      <c r="MZ81" s="442"/>
      <c r="NA81" s="442"/>
      <c r="NB81" s="442"/>
      <c r="NC81" s="442"/>
      <c r="ND81" s="442"/>
      <c r="NE81" s="442"/>
      <c r="NF81" s="442"/>
      <c r="NG81" s="442"/>
      <c r="NH81" s="442"/>
      <c r="NI81" s="442"/>
      <c r="NJ81" s="442"/>
      <c r="NK81" s="442"/>
      <c r="NL81" s="442"/>
      <c r="NM81" s="442"/>
      <c r="NN81" s="442"/>
      <c r="NO81" s="442"/>
      <c r="NP81" s="442"/>
      <c r="NQ81" s="442"/>
      <c r="NR81" s="442"/>
      <c r="NS81" s="442"/>
      <c r="NT81" s="442"/>
      <c r="NU81" s="442"/>
      <c r="NV81" s="442"/>
      <c r="NW81" s="442"/>
      <c r="NX81" s="442"/>
      <c r="NY81" s="442"/>
      <c r="NZ81" s="442"/>
      <c r="OA81" s="442"/>
      <c r="OB81" s="442"/>
      <c r="OC81" s="442"/>
      <c r="OD81" s="442"/>
      <c r="OE81" s="442"/>
      <c r="OF81" s="442"/>
      <c r="OG81" s="442"/>
      <c r="OH81" s="442"/>
      <c r="OI81" s="442"/>
      <c r="OJ81" s="442"/>
      <c r="OK81" s="442"/>
      <c r="OL81" s="442"/>
      <c r="OM81" s="442"/>
      <c r="ON81" s="442"/>
      <c r="OO81" s="442"/>
      <c r="OP81" s="442"/>
      <c r="OQ81" s="442"/>
      <c r="OR81" s="442"/>
      <c r="OS81" s="442"/>
      <c r="OT81" s="442"/>
      <c r="OU81" s="442"/>
      <c r="OV81" s="442"/>
      <c r="OW81" s="442"/>
      <c r="OX81" s="442"/>
      <c r="OY81" s="442"/>
      <c r="OZ81" s="442"/>
      <c r="PA81" s="442"/>
      <c r="PB81" s="442"/>
      <c r="PC81" s="442"/>
      <c r="PD81" s="442"/>
      <c r="PE81" s="442"/>
      <c r="PF81" s="442"/>
      <c r="PG81" s="442"/>
      <c r="PH81" s="442"/>
    </row>
    <row r="82" spans="1:424" s="24" customFormat="1" x14ac:dyDescent="0.35">
      <c r="A82" s="437"/>
      <c r="B82" s="427" t="s">
        <v>214</v>
      </c>
      <c r="C82" s="45">
        <f>Stabilization_1st_Month</f>
        <v>49</v>
      </c>
      <c r="D82" s="454"/>
      <c r="E82" s="454"/>
      <c r="F82" s="62"/>
      <c r="G82" s="52" t="s">
        <v>215</v>
      </c>
      <c r="H82" s="890">
        <f>'DATA MAP'!$E$84</f>
        <v>0.01</v>
      </c>
      <c r="I82" s="445">
        <f>-H82*I81</f>
        <v>-2375784.3788607433</v>
      </c>
      <c r="J82"/>
      <c r="K82" s="440"/>
      <c r="L82" s="458">
        <f t="shared" ref="L82:AQ82" si="293">(PermDebt_Fund=L3)*Perm_Debt?*$I81*(1-$H$82)</f>
        <v>0</v>
      </c>
      <c r="M82" s="458">
        <f t="shared" si="293"/>
        <v>0</v>
      </c>
      <c r="N82" s="458">
        <f t="shared" si="293"/>
        <v>0</v>
      </c>
      <c r="O82" s="458">
        <f t="shared" si="293"/>
        <v>0</v>
      </c>
      <c r="P82" s="458">
        <f t="shared" si="293"/>
        <v>0</v>
      </c>
      <c r="Q82" s="458">
        <f t="shared" si="293"/>
        <v>0</v>
      </c>
      <c r="R82" s="458">
        <f t="shared" si="293"/>
        <v>0</v>
      </c>
      <c r="S82" s="458">
        <f t="shared" si="293"/>
        <v>0</v>
      </c>
      <c r="T82" s="458">
        <f t="shared" si="293"/>
        <v>0</v>
      </c>
      <c r="U82" s="458">
        <f t="shared" si="293"/>
        <v>0</v>
      </c>
      <c r="V82" s="458">
        <f t="shared" si="293"/>
        <v>0</v>
      </c>
      <c r="W82" s="458">
        <f t="shared" si="293"/>
        <v>0</v>
      </c>
      <c r="X82" s="458">
        <f t="shared" si="293"/>
        <v>0</v>
      </c>
      <c r="Y82" s="458">
        <f t="shared" si="293"/>
        <v>0</v>
      </c>
      <c r="Z82" s="458">
        <f t="shared" si="293"/>
        <v>0</v>
      </c>
      <c r="AA82" s="458">
        <f t="shared" si="293"/>
        <v>0</v>
      </c>
      <c r="AB82" s="458">
        <f t="shared" si="293"/>
        <v>0</v>
      </c>
      <c r="AC82" s="458">
        <f t="shared" si="293"/>
        <v>0</v>
      </c>
      <c r="AD82" s="458">
        <f t="shared" si="293"/>
        <v>0</v>
      </c>
      <c r="AE82" s="458">
        <f t="shared" si="293"/>
        <v>0</v>
      </c>
      <c r="AF82" s="458">
        <f t="shared" si="293"/>
        <v>0</v>
      </c>
      <c r="AG82" s="458">
        <f t="shared" si="293"/>
        <v>0</v>
      </c>
      <c r="AH82" s="458">
        <f t="shared" si="293"/>
        <v>0</v>
      </c>
      <c r="AI82" s="458">
        <f t="shared" si="293"/>
        <v>0</v>
      </c>
      <c r="AJ82" s="458">
        <f t="shared" si="293"/>
        <v>0</v>
      </c>
      <c r="AK82" s="458">
        <f t="shared" si="293"/>
        <v>0</v>
      </c>
      <c r="AL82" s="458">
        <f t="shared" si="293"/>
        <v>0</v>
      </c>
      <c r="AM82" s="458">
        <f t="shared" si="293"/>
        <v>0</v>
      </c>
      <c r="AN82" s="458">
        <f t="shared" si="293"/>
        <v>0</v>
      </c>
      <c r="AO82" s="458">
        <f t="shared" si="293"/>
        <v>0</v>
      </c>
      <c r="AP82" s="458">
        <f t="shared" si="293"/>
        <v>0</v>
      </c>
      <c r="AQ82" s="458">
        <f t="shared" si="293"/>
        <v>0</v>
      </c>
      <c r="AR82" s="458">
        <f t="shared" ref="AR82:BW82" si="294">(PermDebt_Fund=AR3)*Perm_Debt?*$I81*(1-$H$82)</f>
        <v>0</v>
      </c>
      <c r="AS82" s="458">
        <f t="shared" si="294"/>
        <v>0</v>
      </c>
      <c r="AT82" s="458">
        <f t="shared" si="294"/>
        <v>0</v>
      </c>
      <c r="AU82" s="458">
        <f t="shared" si="294"/>
        <v>0</v>
      </c>
      <c r="AV82" s="458">
        <f t="shared" si="294"/>
        <v>0</v>
      </c>
      <c r="AW82" s="458">
        <f t="shared" si="294"/>
        <v>0</v>
      </c>
      <c r="AX82" s="458">
        <f t="shared" si="294"/>
        <v>0</v>
      </c>
      <c r="AY82" s="458">
        <f t="shared" si="294"/>
        <v>0</v>
      </c>
      <c r="AZ82" s="458">
        <f t="shared" si="294"/>
        <v>0</v>
      </c>
      <c r="BA82" s="458">
        <f t="shared" si="294"/>
        <v>0</v>
      </c>
      <c r="BB82" s="458">
        <f t="shared" si="294"/>
        <v>0</v>
      </c>
      <c r="BC82" s="458">
        <f t="shared" si="294"/>
        <v>0</v>
      </c>
      <c r="BD82" s="458">
        <f t="shared" si="294"/>
        <v>0</v>
      </c>
      <c r="BE82" s="458">
        <f t="shared" si="294"/>
        <v>0</v>
      </c>
      <c r="BF82" s="458">
        <f t="shared" si="294"/>
        <v>0</v>
      </c>
      <c r="BG82" s="458">
        <f t="shared" si="294"/>
        <v>0</v>
      </c>
      <c r="BH82" s="458">
        <f t="shared" si="294"/>
        <v>0</v>
      </c>
      <c r="BI82" s="458">
        <f t="shared" si="294"/>
        <v>0</v>
      </c>
      <c r="BJ82" s="458">
        <f t="shared" si="294"/>
        <v>0</v>
      </c>
      <c r="BK82" s="458">
        <f t="shared" si="294"/>
        <v>0</v>
      </c>
      <c r="BL82" s="458">
        <f t="shared" si="294"/>
        <v>0</v>
      </c>
      <c r="BM82" s="458">
        <f t="shared" si="294"/>
        <v>0</v>
      </c>
      <c r="BN82" s="458">
        <f t="shared" si="294"/>
        <v>0</v>
      </c>
      <c r="BO82" s="458">
        <f t="shared" si="294"/>
        <v>0</v>
      </c>
      <c r="BP82" s="458">
        <f t="shared" si="294"/>
        <v>0</v>
      </c>
      <c r="BQ82" s="458">
        <f t="shared" si="294"/>
        <v>0</v>
      </c>
      <c r="BR82" s="458">
        <f t="shared" si="294"/>
        <v>0</v>
      </c>
      <c r="BS82" s="458">
        <f t="shared" si="294"/>
        <v>0</v>
      </c>
      <c r="BT82" s="458">
        <f t="shared" si="294"/>
        <v>0</v>
      </c>
      <c r="BU82" s="458">
        <f t="shared" si="294"/>
        <v>0</v>
      </c>
      <c r="BV82" s="458">
        <f t="shared" si="294"/>
        <v>0</v>
      </c>
      <c r="BW82" s="458">
        <f t="shared" si="294"/>
        <v>0</v>
      </c>
      <c r="BX82" s="458">
        <f t="shared" ref="BX82:DC82" si="295">(PermDebt_Fund=BX3)*Perm_Debt?*$I81*(1-$H$82)</f>
        <v>0</v>
      </c>
      <c r="BY82" s="458">
        <f t="shared" si="295"/>
        <v>0</v>
      </c>
      <c r="BZ82" s="458">
        <f t="shared" si="295"/>
        <v>0</v>
      </c>
      <c r="CA82" s="458">
        <f t="shared" si="295"/>
        <v>0</v>
      </c>
      <c r="CB82" s="458">
        <f t="shared" si="295"/>
        <v>0</v>
      </c>
      <c r="CC82" s="458">
        <f t="shared" si="295"/>
        <v>0</v>
      </c>
      <c r="CD82" s="458">
        <f t="shared" si="295"/>
        <v>0</v>
      </c>
      <c r="CE82" s="458">
        <f t="shared" si="295"/>
        <v>0</v>
      </c>
      <c r="CF82" s="458">
        <f t="shared" si="295"/>
        <v>0</v>
      </c>
      <c r="CG82" s="458">
        <f t="shared" si="295"/>
        <v>0</v>
      </c>
      <c r="CH82" s="458">
        <f t="shared" si="295"/>
        <v>0</v>
      </c>
      <c r="CI82" s="458">
        <f t="shared" si="295"/>
        <v>0</v>
      </c>
      <c r="CJ82" s="458">
        <f t="shared" si="295"/>
        <v>0</v>
      </c>
      <c r="CK82" s="458">
        <f t="shared" si="295"/>
        <v>0</v>
      </c>
      <c r="CL82" s="458">
        <f t="shared" si="295"/>
        <v>0</v>
      </c>
      <c r="CM82" s="458">
        <f t="shared" si="295"/>
        <v>0</v>
      </c>
      <c r="CN82" s="458">
        <f t="shared" si="295"/>
        <v>0</v>
      </c>
      <c r="CO82" s="458">
        <f t="shared" si="295"/>
        <v>0</v>
      </c>
      <c r="CP82" s="458">
        <f t="shared" si="295"/>
        <v>0</v>
      </c>
      <c r="CQ82" s="458">
        <f t="shared" si="295"/>
        <v>0</v>
      </c>
      <c r="CR82" s="458">
        <f t="shared" si="295"/>
        <v>0</v>
      </c>
      <c r="CS82" s="458">
        <f t="shared" si="295"/>
        <v>0</v>
      </c>
      <c r="CT82" s="458">
        <f t="shared" si="295"/>
        <v>0</v>
      </c>
      <c r="CU82" s="458">
        <f t="shared" si="295"/>
        <v>0</v>
      </c>
      <c r="CV82" s="458">
        <f t="shared" si="295"/>
        <v>0</v>
      </c>
      <c r="CW82" s="458">
        <f t="shared" si="295"/>
        <v>0</v>
      </c>
      <c r="CX82" s="458">
        <f t="shared" si="295"/>
        <v>0</v>
      </c>
      <c r="CY82" s="458">
        <f t="shared" si="295"/>
        <v>0</v>
      </c>
      <c r="CZ82" s="458">
        <f t="shared" si="295"/>
        <v>0</v>
      </c>
      <c r="DA82" s="458">
        <f t="shared" si="295"/>
        <v>0</v>
      </c>
      <c r="DB82" s="458">
        <f t="shared" si="295"/>
        <v>0</v>
      </c>
      <c r="DC82" s="458">
        <f t="shared" si="295"/>
        <v>0</v>
      </c>
      <c r="DD82" s="458">
        <f t="shared" ref="DD82:EI82" si="296">(PermDebt_Fund=DD3)*Perm_Debt?*$I81*(1-$H$82)</f>
        <v>0</v>
      </c>
      <c r="DE82" s="458">
        <f t="shared" si="296"/>
        <v>0</v>
      </c>
      <c r="DF82" s="458">
        <f t="shared" si="296"/>
        <v>0</v>
      </c>
      <c r="DG82" s="458">
        <f t="shared" si="296"/>
        <v>0</v>
      </c>
      <c r="DH82" s="458">
        <f t="shared" si="296"/>
        <v>0</v>
      </c>
      <c r="DI82" s="458">
        <f t="shared" si="296"/>
        <v>0</v>
      </c>
      <c r="DJ82" s="458">
        <f t="shared" si="296"/>
        <v>0</v>
      </c>
      <c r="DK82" s="458">
        <f t="shared" si="296"/>
        <v>0</v>
      </c>
      <c r="DL82" s="458">
        <f t="shared" si="296"/>
        <v>0</v>
      </c>
      <c r="DM82" s="458">
        <f t="shared" si="296"/>
        <v>0</v>
      </c>
      <c r="DN82" s="458">
        <f t="shared" si="296"/>
        <v>0</v>
      </c>
      <c r="DO82" s="458">
        <f t="shared" si="296"/>
        <v>0</v>
      </c>
      <c r="DP82" s="458">
        <f t="shared" si="296"/>
        <v>0</v>
      </c>
      <c r="DQ82" s="458">
        <f t="shared" si="296"/>
        <v>0</v>
      </c>
      <c r="DR82" s="458">
        <f t="shared" si="296"/>
        <v>0</v>
      </c>
      <c r="DS82" s="458">
        <f t="shared" si="296"/>
        <v>0</v>
      </c>
      <c r="DT82" s="458">
        <f t="shared" si="296"/>
        <v>0</v>
      </c>
      <c r="DU82" s="458">
        <f t="shared" si="296"/>
        <v>0</v>
      </c>
      <c r="DV82" s="458">
        <f t="shared" si="296"/>
        <v>0</v>
      </c>
      <c r="DW82" s="458">
        <f t="shared" si="296"/>
        <v>0</v>
      </c>
      <c r="DX82" s="458">
        <f t="shared" si="296"/>
        <v>0</v>
      </c>
      <c r="DY82" s="458">
        <f t="shared" si="296"/>
        <v>0</v>
      </c>
      <c r="DZ82" s="458">
        <f t="shared" si="296"/>
        <v>0</v>
      </c>
      <c r="EA82" s="458">
        <f t="shared" si="296"/>
        <v>0</v>
      </c>
      <c r="EB82" s="458">
        <f t="shared" si="296"/>
        <v>0</v>
      </c>
      <c r="EC82" s="458">
        <f t="shared" si="296"/>
        <v>0</v>
      </c>
      <c r="ED82" s="458">
        <f t="shared" si="296"/>
        <v>0</v>
      </c>
      <c r="EE82" s="458">
        <f t="shared" si="296"/>
        <v>0</v>
      </c>
      <c r="EF82" s="458">
        <f t="shared" si="296"/>
        <v>0</v>
      </c>
      <c r="EG82" s="458">
        <f t="shared" si="296"/>
        <v>0</v>
      </c>
      <c r="EH82" s="458">
        <f t="shared" si="296"/>
        <v>0</v>
      </c>
      <c r="EI82" s="458">
        <f t="shared" si="296"/>
        <v>0</v>
      </c>
      <c r="EJ82" s="458">
        <f>(PermDebt_Fund=EJ3)*Perm_Debt?*$I81*(1-$H$82)</f>
        <v>0</v>
      </c>
      <c r="EK82" s="458">
        <f>(PermDebt_Fund=EK3)*Perm_Debt?*$I81*(1-$H$82)</f>
        <v>0</v>
      </c>
      <c r="EL82" s="458">
        <f>(PermDebt_Fund=EL3)*Perm_Debt?*$I81*(1-$H$82)</f>
        <v>0</v>
      </c>
      <c r="EM82" s="458">
        <f>(PermDebt_Fund=EM3)*Perm_Debt?*$I81*(1-$H$82)</f>
        <v>0</v>
      </c>
      <c r="EN82" s="458">
        <f>(PermDebt_Fund=EN3)*Perm_Debt?*$I81*(1-$H$82)</f>
        <v>0</v>
      </c>
      <c r="EO82" s="440"/>
      <c r="EP82" s="219"/>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c r="GF82" s="18"/>
      <c r="GG82" s="18"/>
      <c r="GH82" s="18"/>
      <c r="GI82" s="18"/>
      <c r="GJ82" s="18"/>
      <c r="GK82" s="18"/>
      <c r="GL82" s="18"/>
      <c r="GM82" s="18"/>
      <c r="GN82" s="18"/>
      <c r="GO82" s="18"/>
      <c r="GP82" s="18"/>
      <c r="GQ82" s="18"/>
      <c r="GR82" s="18"/>
      <c r="GS82" s="18"/>
      <c r="GT82" s="18"/>
      <c r="GU82" s="18"/>
      <c r="GV82" s="18"/>
      <c r="GW82" s="18"/>
      <c r="GX82" s="18"/>
      <c r="GY82" s="18"/>
      <c r="GZ82" s="18"/>
      <c r="HA82" s="18"/>
      <c r="HB82" s="18"/>
      <c r="HC82" s="18"/>
      <c r="HD82" s="18"/>
      <c r="HE82" s="18"/>
      <c r="HF82" s="18"/>
      <c r="HG82" s="18"/>
      <c r="HH82" s="18"/>
      <c r="HI82" s="18"/>
      <c r="HJ82" s="18"/>
      <c r="HK82" s="18"/>
      <c r="HL82" s="18"/>
      <c r="HM82" s="18"/>
      <c r="HN82" s="18"/>
      <c r="HO82" s="18"/>
      <c r="HP82" s="18"/>
      <c r="HQ82" s="18"/>
      <c r="HR82" s="18"/>
      <c r="HS82" s="18"/>
      <c r="HT82" s="18"/>
      <c r="HU82" s="18"/>
      <c r="HV82" s="18"/>
      <c r="HW82" s="18"/>
      <c r="HX82" s="18"/>
      <c r="HY82" s="18"/>
      <c r="HZ82" s="18"/>
      <c r="IA82" s="18"/>
      <c r="IB82" s="18"/>
      <c r="IC82" s="18"/>
      <c r="ID82" s="18"/>
      <c r="IE82" s="18"/>
      <c r="IF82" s="18"/>
      <c r="IG82" s="18"/>
      <c r="IH82" s="18"/>
      <c r="II82" s="18"/>
      <c r="IJ82" s="18"/>
      <c r="IK82" s="18"/>
      <c r="IL82" s="18"/>
      <c r="IM82" s="18"/>
      <c r="IN82" s="18"/>
      <c r="IO82" s="18"/>
      <c r="IP82" s="18"/>
      <c r="IQ82" s="18"/>
      <c r="IR82" s="18"/>
      <c r="IS82" s="18"/>
      <c r="IT82" s="18"/>
      <c r="IU82" s="18"/>
      <c r="IV82" s="18"/>
      <c r="IW82" s="18"/>
      <c r="IX82" s="18"/>
      <c r="IY82" s="18"/>
      <c r="IZ82" s="18"/>
      <c r="JA82" s="18"/>
      <c r="JB82" s="18"/>
      <c r="JC82" s="18"/>
      <c r="JD82" s="18"/>
      <c r="JE82" s="18"/>
      <c r="JF82" s="18"/>
      <c r="JG82" s="18"/>
      <c r="JH82" s="18"/>
      <c r="JI82" s="18"/>
      <c r="JJ82" s="18"/>
      <c r="JK82" s="18"/>
      <c r="JL82" s="18"/>
      <c r="JM82" s="18"/>
      <c r="JN82" s="18"/>
      <c r="JO82" s="18"/>
      <c r="JP82" s="18"/>
      <c r="JQ82" s="18"/>
      <c r="JR82" s="18"/>
      <c r="JS82" s="18"/>
      <c r="JT82" s="18"/>
      <c r="JU82" s="18"/>
      <c r="JV82" s="18"/>
      <c r="JW82" s="18"/>
      <c r="JX82" s="18"/>
      <c r="JY82"/>
      <c r="JZ82" s="442"/>
      <c r="KA82" s="442"/>
      <c r="KB82" s="442"/>
      <c r="KC82" s="442"/>
      <c r="KD82" s="442"/>
      <c r="KE82" s="442"/>
      <c r="KF82" s="442"/>
      <c r="KG82" s="442"/>
      <c r="KH82" s="442"/>
      <c r="KI82" s="442"/>
      <c r="KJ82" s="442"/>
      <c r="KK82" s="442"/>
      <c r="KL82" s="442"/>
      <c r="KM82" s="442"/>
      <c r="KN82" s="442"/>
      <c r="KO82" s="442"/>
      <c r="KP82" s="442"/>
      <c r="KQ82" s="442"/>
      <c r="KR82" s="442"/>
      <c r="KS82" s="442"/>
      <c r="KT82" s="442"/>
      <c r="KU82" s="442"/>
      <c r="KV82" s="442"/>
      <c r="KW82" s="442"/>
      <c r="KX82" s="442"/>
      <c r="KY82" s="442"/>
      <c r="KZ82" s="442"/>
      <c r="LA82" s="442"/>
      <c r="LB82" s="442"/>
      <c r="LC82" s="442"/>
      <c r="LD82" s="442"/>
      <c r="LE82" s="442"/>
      <c r="LF82" s="442"/>
      <c r="LG82" s="442"/>
      <c r="LH82" s="442"/>
      <c r="LI82" s="442"/>
      <c r="LJ82" s="442"/>
      <c r="LK82" s="442"/>
      <c r="LL82" s="442"/>
      <c r="LM82" s="442"/>
      <c r="LN82" s="442"/>
      <c r="LO82" s="442"/>
      <c r="LP82" s="442"/>
      <c r="LQ82" s="442"/>
      <c r="LR82" s="442"/>
      <c r="LS82" s="442"/>
      <c r="LT82" s="442"/>
      <c r="LU82" s="442"/>
      <c r="LV82" s="442"/>
      <c r="LW82" s="442"/>
      <c r="LX82" s="442"/>
      <c r="LY82" s="442"/>
      <c r="LZ82" s="442"/>
      <c r="MA82" s="442"/>
      <c r="MB82" s="442"/>
      <c r="MC82" s="442"/>
      <c r="MD82" s="442"/>
      <c r="ME82" s="442"/>
      <c r="MF82" s="442"/>
      <c r="MG82" s="442"/>
      <c r="MH82" s="442"/>
      <c r="MI82" s="442"/>
      <c r="MJ82" s="442"/>
      <c r="MK82" s="442"/>
      <c r="ML82" s="442"/>
      <c r="MM82" s="442"/>
      <c r="MN82" s="442"/>
      <c r="MO82" s="442"/>
      <c r="MP82" s="442"/>
      <c r="MQ82" s="442"/>
      <c r="MR82" s="442"/>
      <c r="MS82" s="442"/>
      <c r="MT82" s="442"/>
      <c r="MU82" s="442"/>
      <c r="MV82" s="442"/>
      <c r="MW82" s="442"/>
      <c r="MX82" s="442"/>
      <c r="MY82" s="442"/>
      <c r="MZ82" s="442"/>
      <c r="NA82" s="442"/>
      <c r="NB82" s="442"/>
      <c r="NC82" s="442"/>
      <c r="ND82" s="442"/>
      <c r="NE82" s="442"/>
      <c r="NF82" s="442"/>
      <c r="NG82" s="442"/>
      <c r="NH82" s="442"/>
      <c r="NI82" s="442"/>
      <c r="NJ82" s="442"/>
      <c r="NK82" s="442"/>
      <c r="NL82" s="442"/>
      <c r="NM82" s="442"/>
      <c r="NN82" s="442"/>
      <c r="NO82" s="442"/>
      <c r="NP82" s="442"/>
      <c r="NQ82" s="442"/>
      <c r="NR82" s="442"/>
      <c r="NS82" s="442"/>
      <c r="NT82" s="442"/>
      <c r="NU82" s="442"/>
      <c r="NV82" s="442"/>
      <c r="NW82" s="442"/>
      <c r="NX82" s="442"/>
      <c r="NY82" s="442"/>
      <c r="NZ82" s="442"/>
      <c r="OA82" s="442"/>
      <c r="OB82" s="442"/>
      <c r="OC82" s="442"/>
      <c r="OD82" s="442"/>
      <c r="OE82" s="442"/>
      <c r="OF82" s="442"/>
      <c r="OG82" s="442"/>
      <c r="OH82" s="442"/>
      <c r="OI82" s="442"/>
      <c r="OJ82" s="442"/>
      <c r="OK82" s="442"/>
      <c r="OL82" s="442"/>
      <c r="OM82" s="442"/>
      <c r="ON82" s="442"/>
      <c r="OO82" s="442"/>
      <c r="OP82" s="442"/>
      <c r="OQ82" s="442"/>
      <c r="OR82" s="442"/>
      <c r="OS82" s="442"/>
      <c r="OT82" s="442"/>
      <c r="OU82" s="442"/>
      <c r="OV82" s="442"/>
      <c r="OW82" s="442"/>
      <c r="OX82" s="442"/>
      <c r="OY82" s="442"/>
      <c r="OZ82" s="442"/>
      <c r="PA82" s="442"/>
      <c r="PB82" s="442"/>
      <c r="PC82" s="442"/>
      <c r="PD82" s="442"/>
      <c r="PE82" s="442"/>
      <c r="PF82" s="442"/>
      <c r="PG82" s="442"/>
      <c r="PH82" s="442"/>
    </row>
    <row r="83" spans="1:424" s="24" customFormat="1" x14ac:dyDescent="0.35">
      <c r="A83" s="437"/>
      <c r="B83" s="427" t="s">
        <v>216</v>
      </c>
      <c r="C83" s="46">
        <f>Timing_Reversion_Month</f>
        <v>61</v>
      </c>
      <c r="D83" s="454"/>
      <c r="E83" s="454"/>
      <c r="F83" s="62"/>
      <c r="G83" s="134" t="str">
        <f>"Debt Service Coverage Ratio (Month "&amp;PermDebt_Fund+1&amp;"):"</f>
        <v>Debt Service Coverage Ratio (Month 50):</v>
      </c>
      <c r="H83" s="268" t="str">
        <f>IF(Perm_Debt?=0,"",SUM(INDEX($M$140:$EN$140,1,PermDebt_Fund+1):INDEX($M$140:$EN$140,1,PermDebt_Fund+12))/H81)</f>
        <v/>
      </c>
      <c r="I83" s="445">
        <f>IF(F81="No",PV(E81/12,G81*12-(PermDebt_Payoff-PermDebt_Fund),H81/12),-I81)</f>
        <v>-237578437.88607433</v>
      </c>
      <c r="J83"/>
      <c r="K83" s="440"/>
      <c r="L83" s="458">
        <f t="shared" ref="L83:AQ83" si="297">(PermDebt_Payoff=L3)*Perm_Debt?*$I83</f>
        <v>0</v>
      </c>
      <c r="M83" s="458">
        <f t="shared" si="297"/>
        <v>0</v>
      </c>
      <c r="N83" s="458">
        <f t="shared" si="297"/>
        <v>0</v>
      </c>
      <c r="O83" s="458">
        <f t="shared" si="297"/>
        <v>0</v>
      </c>
      <c r="P83" s="458">
        <f t="shared" si="297"/>
        <v>0</v>
      </c>
      <c r="Q83" s="458">
        <f t="shared" si="297"/>
        <v>0</v>
      </c>
      <c r="R83" s="458">
        <f t="shared" si="297"/>
        <v>0</v>
      </c>
      <c r="S83" s="458">
        <f t="shared" si="297"/>
        <v>0</v>
      </c>
      <c r="T83" s="458">
        <f t="shared" si="297"/>
        <v>0</v>
      </c>
      <c r="U83" s="458">
        <f t="shared" si="297"/>
        <v>0</v>
      </c>
      <c r="V83" s="458">
        <f t="shared" si="297"/>
        <v>0</v>
      </c>
      <c r="W83" s="458">
        <f t="shared" si="297"/>
        <v>0</v>
      </c>
      <c r="X83" s="458">
        <f t="shared" si="297"/>
        <v>0</v>
      </c>
      <c r="Y83" s="458">
        <f t="shared" si="297"/>
        <v>0</v>
      </c>
      <c r="Z83" s="458">
        <f t="shared" si="297"/>
        <v>0</v>
      </c>
      <c r="AA83" s="458">
        <f t="shared" si="297"/>
        <v>0</v>
      </c>
      <c r="AB83" s="458">
        <f t="shared" si="297"/>
        <v>0</v>
      </c>
      <c r="AC83" s="458">
        <f t="shared" si="297"/>
        <v>0</v>
      </c>
      <c r="AD83" s="458">
        <f t="shared" si="297"/>
        <v>0</v>
      </c>
      <c r="AE83" s="458">
        <f t="shared" si="297"/>
        <v>0</v>
      </c>
      <c r="AF83" s="458">
        <f t="shared" si="297"/>
        <v>0</v>
      </c>
      <c r="AG83" s="458">
        <f t="shared" si="297"/>
        <v>0</v>
      </c>
      <c r="AH83" s="458">
        <f t="shared" si="297"/>
        <v>0</v>
      </c>
      <c r="AI83" s="458">
        <f t="shared" si="297"/>
        <v>0</v>
      </c>
      <c r="AJ83" s="458">
        <f t="shared" si="297"/>
        <v>0</v>
      </c>
      <c r="AK83" s="458">
        <f t="shared" si="297"/>
        <v>0</v>
      </c>
      <c r="AL83" s="458">
        <f t="shared" si="297"/>
        <v>0</v>
      </c>
      <c r="AM83" s="458">
        <f t="shared" si="297"/>
        <v>0</v>
      </c>
      <c r="AN83" s="458">
        <f t="shared" si="297"/>
        <v>0</v>
      </c>
      <c r="AO83" s="458">
        <f t="shared" si="297"/>
        <v>0</v>
      </c>
      <c r="AP83" s="458">
        <f t="shared" si="297"/>
        <v>0</v>
      </c>
      <c r="AQ83" s="458">
        <f t="shared" si="297"/>
        <v>0</v>
      </c>
      <c r="AR83" s="458">
        <f t="shared" ref="AR83:BW83" si="298">(PermDebt_Payoff=AR3)*Perm_Debt?*$I83</f>
        <v>0</v>
      </c>
      <c r="AS83" s="458">
        <f t="shared" si="298"/>
        <v>0</v>
      </c>
      <c r="AT83" s="458">
        <f t="shared" si="298"/>
        <v>0</v>
      </c>
      <c r="AU83" s="458">
        <f t="shared" si="298"/>
        <v>0</v>
      </c>
      <c r="AV83" s="458">
        <f t="shared" si="298"/>
        <v>0</v>
      </c>
      <c r="AW83" s="458">
        <f t="shared" si="298"/>
        <v>0</v>
      </c>
      <c r="AX83" s="458">
        <f t="shared" si="298"/>
        <v>0</v>
      </c>
      <c r="AY83" s="458">
        <f t="shared" si="298"/>
        <v>0</v>
      </c>
      <c r="AZ83" s="458">
        <f t="shared" si="298"/>
        <v>0</v>
      </c>
      <c r="BA83" s="458">
        <f t="shared" si="298"/>
        <v>0</v>
      </c>
      <c r="BB83" s="458">
        <f t="shared" si="298"/>
        <v>0</v>
      </c>
      <c r="BC83" s="458">
        <f t="shared" si="298"/>
        <v>0</v>
      </c>
      <c r="BD83" s="458">
        <f t="shared" si="298"/>
        <v>0</v>
      </c>
      <c r="BE83" s="458">
        <f t="shared" si="298"/>
        <v>0</v>
      </c>
      <c r="BF83" s="458">
        <f t="shared" si="298"/>
        <v>0</v>
      </c>
      <c r="BG83" s="458">
        <f t="shared" si="298"/>
        <v>0</v>
      </c>
      <c r="BH83" s="458">
        <f t="shared" si="298"/>
        <v>0</v>
      </c>
      <c r="BI83" s="458">
        <f t="shared" si="298"/>
        <v>0</v>
      </c>
      <c r="BJ83" s="458">
        <f t="shared" si="298"/>
        <v>0</v>
      </c>
      <c r="BK83" s="458">
        <f t="shared" si="298"/>
        <v>0</v>
      </c>
      <c r="BL83" s="458">
        <f t="shared" si="298"/>
        <v>0</v>
      </c>
      <c r="BM83" s="458">
        <f t="shared" si="298"/>
        <v>0</v>
      </c>
      <c r="BN83" s="458">
        <f t="shared" si="298"/>
        <v>0</v>
      </c>
      <c r="BO83" s="458">
        <f t="shared" si="298"/>
        <v>0</v>
      </c>
      <c r="BP83" s="458">
        <f t="shared" si="298"/>
        <v>0</v>
      </c>
      <c r="BQ83" s="458">
        <f t="shared" si="298"/>
        <v>0</v>
      </c>
      <c r="BR83" s="458">
        <f t="shared" si="298"/>
        <v>0</v>
      </c>
      <c r="BS83" s="458">
        <f t="shared" si="298"/>
        <v>0</v>
      </c>
      <c r="BT83" s="458">
        <f t="shared" si="298"/>
        <v>0</v>
      </c>
      <c r="BU83" s="458">
        <f t="shared" si="298"/>
        <v>0</v>
      </c>
      <c r="BV83" s="458">
        <f t="shared" si="298"/>
        <v>0</v>
      </c>
      <c r="BW83" s="458">
        <f t="shared" si="298"/>
        <v>0</v>
      </c>
      <c r="BX83" s="458">
        <f t="shared" ref="BX83:DC83" si="299">(PermDebt_Payoff=BX3)*Perm_Debt?*$I83</f>
        <v>0</v>
      </c>
      <c r="BY83" s="458">
        <f t="shared" si="299"/>
        <v>0</v>
      </c>
      <c r="BZ83" s="458">
        <f t="shared" si="299"/>
        <v>0</v>
      </c>
      <c r="CA83" s="458">
        <f t="shared" si="299"/>
        <v>0</v>
      </c>
      <c r="CB83" s="458">
        <f t="shared" si="299"/>
        <v>0</v>
      </c>
      <c r="CC83" s="458">
        <f t="shared" si="299"/>
        <v>0</v>
      </c>
      <c r="CD83" s="458">
        <f t="shared" si="299"/>
        <v>0</v>
      </c>
      <c r="CE83" s="458">
        <f t="shared" si="299"/>
        <v>0</v>
      </c>
      <c r="CF83" s="458">
        <f t="shared" si="299"/>
        <v>0</v>
      </c>
      <c r="CG83" s="458">
        <f t="shared" si="299"/>
        <v>0</v>
      </c>
      <c r="CH83" s="458">
        <f t="shared" si="299"/>
        <v>0</v>
      </c>
      <c r="CI83" s="458">
        <f t="shared" si="299"/>
        <v>0</v>
      </c>
      <c r="CJ83" s="458">
        <f t="shared" si="299"/>
        <v>0</v>
      </c>
      <c r="CK83" s="458">
        <f t="shared" si="299"/>
        <v>0</v>
      </c>
      <c r="CL83" s="458">
        <f t="shared" si="299"/>
        <v>0</v>
      </c>
      <c r="CM83" s="458">
        <f t="shared" si="299"/>
        <v>0</v>
      </c>
      <c r="CN83" s="458">
        <f t="shared" si="299"/>
        <v>0</v>
      </c>
      <c r="CO83" s="458">
        <f t="shared" si="299"/>
        <v>0</v>
      </c>
      <c r="CP83" s="458">
        <f t="shared" si="299"/>
        <v>0</v>
      </c>
      <c r="CQ83" s="458">
        <f t="shared" si="299"/>
        <v>0</v>
      </c>
      <c r="CR83" s="458">
        <f t="shared" si="299"/>
        <v>0</v>
      </c>
      <c r="CS83" s="458">
        <f t="shared" si="299"/>
        <v>0</v>
      </c>
      <c r="CT83" s="458">
        <f t="shared" si="299"/>
        <v>0</v>
      </c>
      <c r="CU83" s="458">
        <f t="shared" si="299"/>
        <v>0</v>
      </c>
      <c r="CV83" s="458">
        <f t="shared" si="299"/>
        <v>0</v>
      </c>
      <c r="CW83" s="458">
        <f t="shared" si="299"/>
        <v>0</v>
      </c>
      <c r="CX83" s="458">
        <f t="shared" si="299"/>
        <v>0</v>
      </c>
      <c r="CY83" s="458">
        <f t="shared" si="299"/>
        <v>0</v>
      </c>
      <c r="CZ83" s="458">
        <f t="shared" si="299"/>
        <v>0</v>
      </c>
      <c r="DA83" s="458">
        <f t="shared" si="299"/>
        <v>0</v>
      </c>
      <c r="DB83" s="458">
        <f t="shared" si="299"/>
        <v>0</v>
      </c>
      <c r="DC83" s="458">
        <f t="shared" si="299"/>
        <v>0</v>
      </c>
      <c r="DD83" s="458">
        <f t="shared" ref="DD83:EN83" si="300">(PermDebt_Payoff=DD3)*Perm_Debt?*$I83</f>
        <v>0</v>
      </c>
      <c r="DE83" s="458">
        <f t="shared" si="300"/>
        <v>0</v>
      </c>
      <c r="DF83" s="458">
        <f t="shared" si="300"/>
        <v>0</v>
      </c>
      <c r="DG83" s="458">
        <f t="shared" si="300"/>
        <v>0</v>
      </c>
      <c r="DH83" s="458">
        <f t="shared" si="300"/>
        <v>0</v>
      </c>
      <c r="DI83" s="458">
        <f t="shared" si="300"/>
        <v>0</v>
      </c>
      <c r="DJ83" s="458">
        <f t="shared" si="300"/>
        <v>0</v>
      </c>
      <c r="DK83" s="458">
        <f t="shared" si="300"/>
        <v>0</v>
      </c>
      <c r="DL83" s="458">
        <f t="shared" si="300"/>
        <v>0</v>
      </c>
      <c r="DM83" s="458">
        <f t="shared" si="300"/>
        <v>0</v>
      </c>
      <c r="DN83" s="458">
        <f t="shared" si="300"/>
        <v>0</v>
      </c>
      <c r="DO83" s="458">
        <f t="shared" si="300"/>
        <v>0</v>
      </c>
      <c r="DP83" s="458">
        <f t="shared" si="300"/>
        <v>0</v>
      </c>
      <c r="DQ83" s="458">
        <f t="shared" si="300"/>
        <v>0</v>
      </c>
      <c r="DR83" s="458">
        <f t="shared" si="300"/>
        <v>0</v>
      </c>
      <c r="DS83" s="458">
        <f t="shared" si="300"/>
        <v>0</v>
      </c>
      <c r="DT83" s="458">
        <f t="shared" si="300"/>
        <v>0</v>
      </c>
      <c r="DU83" s="458">
        <f t="shared" si="300"/>
        <v>0</v>
      </c>
      <c r="DV83" s="458">
        <f t="shared" si="300"/>
        <v>0</v>
      </c>
      <c r="DW83" s="458">
        <f t="shared" si="300"/>
        <v>0</v>
      </c>
      <c r="DX83" s="458">
        <f t="shared" si="300"/>
        <v>0</v>
      </c>
      <c r="DY83" s="458">
        <f t="shared" si="300"/>
        <v>0</v>
      </c>
      <c r="DZ83" s="458">
        <f t="shared" si="300"/>
        <v>0</v>
      </c>
      <c r="EA83" s="458">
        <f t="shared" si="300"/>
        <v>0</v>
      </c>
      <c r="EB83" s="458">
        <f t="shared" si="300"/>
        <v>0</v>
      </c>
      <c r="EC83" s="458">
        <f t="shared" si="300"/>
        <v>0</v>
      </c>
      <c r="ED83" s="458">
        <f t="shared" si="300"/>
        <v>0</v>
      </c>
      <c r="EE83" s="458">
        <f t="shared" si="300"/>
        <v>0</v>
      </c>
      <c r="EF83" s="458">
        <f t="shared" si="300"/>
        <v>0</v>
      </c>
      <c r="EG83" s="458">
        <f t="shared" si="300"/>
        <v>0</v>
      </c>
      <c r="EH83" s="458">
        <f t="shared" si="300"/>
        <v>0</v>
      </c>
      <c r="EI83" s="458">
        <f t="shared" si="300"/>
        <v>0</v>
      </c>
      <c r="EJ83" s="458">
        <f t="shared" si="300"/>
        <v>0</v>
      </c>
      <c r="EK83" s="458">
        <f t="shared" si="300"/>
        <v>0</v>
      </c>
      <c r="EL83" s="458">
        <f t="shared" si="300"/>
        <v>0</v>
      </c>
      <c r="EM83" s="458">
        <f t="shared" si="300"/>
        <v>0</v>
      </c>
      <c r="EN83" s="458">
        <f t="shared" si="300"/>
        <v>0</v>
      </c>
      <c r="EO83" s="440"/>
      <c r="EP83" s="219"/>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c r="GF83" s="18"/>
      <c r="GG83" s="18"/>
      <c r="GH83" s="18"/>
      <c r="GI83" s="18"/>
      <c r="GJ83" s="18"/>
      <c r="GK83" s="18"/>
      <c r="GL83" s="18"/>
      <c r="GM83" s="18"/>
      <c r="GN83" s="18"/>
      <c r="GO83" s="18"/>
      <c r="GP83" s="18"/>
      <c r="GQ83" s="18"/>
      <c r="GR83" s="18"/>
      <c r="GS83" s="18"/>
      <c r="GT83" s="18"/>
      <c r="GU83" s="18"/>
      <c r="GV83" s="18"/>
      <c r="GW83" s="18"/>
      <c r="GX83" s="18"/>
      <c r="GY83" s="18"/>
      <c r="GZ83" s="18"/>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c r="HY83" s="18"/>
      <c r="HZ83" s="18"/>
      <c r="IA83" s="18"/>
      <c r="IB83" s="18"/>
      <c r="IC83" s="18"/>
      <c r="ID83" s="18"/>
      <c r="IE83" s="18"/>
      <c r="IF83" s="18"/>
      <c r="IG83" s="18"/>
      <c r="IH83" s="18"/>
      <c r="II83" s="18"/>
      <c r="IJ83" s="18"/>
      <c r="IK83" s="18"/>
      <c r="IL83" s="18"/>
      <c r="IM83" s="18"/>
      <c r="IN83" s="18"/>
      <c r="IO83" s="18"/>
      <c r="IP83" s="18"/>
      <c r="IQ83" s="18"/>
      <c r="IR83" s="18"/>
      <c r="IS83" s="18"/>
      <c r="IT83" s="18"/>
      <c r="IU83" s="18"/>
      <c r="IV83" s="18"/>
      <c r="IW83" s="18"/>
      <c r="IX83" s="18"/>
      <c r="IY83" s="18"/>
      <c r="IZ83" s="18"/>
      <c r="JA83" s="18"/>
      <c r="JB83" s="18"/>
      <c r="JC83" s="18"/>
      <c r="JD83" s="18"/>
      <c r="JE83" s="18"/>
      <c r="JF83" s="18"/>
      <c r="JG83" s="18"/>
      <c r="JH83" s="18"/>
      <c r="JI83" s="18"/>
      <c r="JJ83" s="18"/>
      <c r="JK83" s="18"/>
      <c r="JL83" s="18"/>
      <c r="JM83" s="18"/>
      <c r="JN83" s="18"/>
      <c r="JO83" s="18"/>
      <c r="JP83" s="18"/>
      <c r="JQ83" s="18"/>
      <c r="JR83" s="18"/>
      <c r="JS83" s="18"/>
      <c r="JT83" s="18"/>
      <c r="JU83" s="18"/>
      <c r="JV83" s="18"/>
      <c r="JW83" s="18"/>
      <c r="JX83" s="18"/>
      <c r="JY83"/>
      <c r="JZ83" s="442"/>
      <c r="KA83" s="442"/>
      <c r="KB83" s="442"/>
      <c r="KC83" s="442"/>
      <c r="KD83" s="442"/>
      <c r="KE83" s="442"/>
      <c r="KF83" s="442"/>
      <c r="KG83" s="442"/>
      <c r="KH83" s="442"/>
      <c r="KI83" s="442"/>
      <c r="KJ83" s="442"/>
      <c r="KK83" s="442"/>
      <c r="KL83" s="442"/>
      <c r="KM83" s="442"/>
      <c r="KN83" s="442"/>
      <c r="KO83" s="442"/>
      <c r="KP83" s="442"/>
      <c r="KQ83" s="442"/>
      <c r="KR83" s="442"/>
      <c r="KS83" s="442"/>
      <c r="KT83" s="442"/>
      <c r="KU83" s="442"/>
      <c r="KV83" s="442"/>
      <c r="KW83" s="442"/>
      <c r="KX83" s="442"/>
      <c r="KY83" s="442"/>
      <c r="KZ83" s="442"/>
      <c r="LA83" s="442"/>
      <c r="LB83" s="442"/>
      <c r="LC83" s="442"/>
      <c r="LD83" s="442"/>
      <c r="LE83" s="442"/>
      <c r="LF83" s="442"/>
      <c r="LG83" s="442"/>
      <c r="LH83" s="442"/>
      <c r="LI83" s="442"/>
      <c r="LJ83" s="442"/>
      <c r="LK83" s="442"/>
      <c r="LL83" s="442"/>
      <c r="LM83" s="442"/>
      <c r="LN83" s="442"/>
      <c r="LO83" s="442"/>
      <c r="LP83" s="442"/>
      <c r="LQ83" s="442"/>
      <c r="LR83" s="442"/>
      <c r="LS83" s="442"/>
      <c r="LT83" s="442"/>
      <c r="LU83" s="442"/>
      <c r="LV83" s="442"/>
      <c r="LW83" s="442"/>
      <c r="LX83" s="442"/>
      <c r="LY83" s="442"/>
      <c r="LZ83" s="442"/>
      <c r="MA83" s="442"/>
      <c r="MB83" s="442"/>
      <c r="MC83" s="442"/>
      <c r="MD83" s="442"/>
      <c r="ME83" s="442"/>
      <c r="MF83" s="442"/>
      <c r="MG83" s="442"/>
      <c r="MH83" s="442"/>
      <c r="MI83" s="442"/>
      <c r="MJ83" s="442"/>
      <c r="MK83" s="442"/>
      <c r="ML83" s="442"/>
      <c r="MM83" s="442"/>
      <c r="MN83" s="442"/>
      <c r="MO83" s="442"/>
      <c r="MP83" s="442"/>
      <c r="MQ83" s="442"/>
      <c r="MR83" s="442"/>
      <c r="MS83" s="442"/>
      <c r="MT83" s="442"/>
      <c r="MU83" s="442"/>
      <c r="MV83" s="442"/>
      <c r="MW83" s="442"/>
      <c r="MX83" s="442"/>
      <c r="MY83" s="442"/>
      <c r="MZ83" s="442"/>
      <c r="NA83" s="442"/>
      <c r="NB83" s="442"/>
      <c r="NC83" s="442"/>
      <c r="ND83" s="442"/>
      <c r="NE83" s="442"/>
      <c r="NF83" s="442"/>
      <c r="NG83" s="442"/>
      <c r="NH83" s="442"/>
      <c r="NI83" s="442"/>
      <c r="NJ83" s="442"/>
      <c r="NK83" s="442"/>
      <c r="NL83" s="442"/>
      <c r="NM83" s="442"/>
      <c r="NN83" s="442"/>
      <c r="NO83" s="442"/>
      <c r="NP83" s="442"/>
      <c r="NQ83" s="442"/>
      <c r="NR83" s="442"/>
      <c r="NS83" s="442"/>
      <c r="NT83" s="442"/>
      <c r="NU83" s="442"/>
      <c r="NV83" s="442"/>
      <c r="NW83" s="442"/>
      <c r="NX83" s="442"/>
      <c r="NY83" s="442"/>
      <c r="NZ83" s="442"/>
      <c r="OA83" s="442"/>
      <c r="OB83" s="442"/>
      <c r="OC83" s="442"/>
      <c r="OD83" s="442"/>
      <c r="OE83" s="442"/>
      <c r="OF83" s="442"/>
      <c r="OG83" s="442"/>
      <c r="OH83" s="442"/>
      <c r="OI83" s="442"/>
      <c r="OJ83" s="442"/>
      <c r="OK83" s="442"/>
      <c r="OL83" s="442"/>
      <c r="OM83" s="442"/>
      <c r="ON83" s="442"/>
      <c r="OO83" s="442"/>
      <c r="OP83" s="442"/>
      <c r="OQ83" s="442"/>
      <c r="OR83" s="442"/>
      <c r="OS83" s="442"/>
      <c r="OT83" s="442"/>
      <c r="OU83" s="442"/>
      <c r="OV83" s="442"/>
      <c r="OW83" s="442"/>
      <c r="OX83" s="442"/>
      <c r="OY83" s="442"/>
      <c r="OZ83" s="442"/>
      <c r="PA83" s="442"/>
      <c r="PB83" s="442"/>
      <c r="PC83" s="442"/>
      <c r="PD83" s="442"/>
      <c r="PE83" s="442"/>
      <c r="PF83" s="442"/>
      <c r="PG83" s="442"/>
      <c r="PH83" s="442"/>
    </row>
    <row r="84" spans="1:424" s="24" customFormat="1" x14ac:dyDescent="0.35">
      <c r="A84" s="437"/>
      <c r="B84" s="61"/>
      <c r="C84" s="454"/>
      <c r="D84" s="454"/>
      <c r="E84" s="454"/>
      <c r="F84" s="62"/>
      <c r="G84" s="134" t="str">
        <f>"Debt Yield (Month "&amp;PermDebt_Fund+1&amp;"):"</f>
        <v>Debt Yield (Month 50):</v>
      </c>
      <c r="H84" s="272" t="str">
        <f>IF(Perm_Debt?=0,"",SUM(INDEX($M$140:$EN$140,1,PermDebt_Fund+1):INDEX($M$140:$EN$140,1,PermDebt_Fund+12))/I81)</f>
        <v/>
      </c>
      <c r="I84" s="63"/>
      <c r="J84"/>
      <c r="K84" s="440"/>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c r="BF84" s="204"/>
      <c r="BG84" s="204"/>
      <c r="BH84" s="204"/>
      <c r="BI84" s="204"/>
      <c r="BJ84" s="204"/>
      <c r="BK84" s="204"/>
      <c r="BL84" s="204"/>
      <c r="BM84" s="204"/>
      <c r="BN84" s="204"/>
      <c r="BO84" s="204"/>
      <c r="BP84" s="204"/>
      <c r="BQ84" s="204"/>
      <c r="BR84" s="204"/>
      <c r="BS84" s="204"/>
      <c r="BT84" s="204"/>
      <c r="BU84" s="204"/>
      <c r="BV84" s="204"/>
      <c r="BW84" s="204"/>
      <c r="BX84" s="204"/>
      <c r="BY84" s="204"/>
      <c r="BZ84" s="204"/>
      <c r="CA84" s="204"/>
      <c r="CB84" s="204"/>
      <c r="CC84" s="204"/>
      <c r="CD84" s="204"/>
      <c r="CE84" s="204"/>
      <c r="CF84" s="204"/>
      <c r="CG84" s="204"/>
      <c r="CH84" s="204"/>
      <c r="CI84" s="204"/>
      <c r="CJ84" s="204"/>
      <c r="CK84" s="204"/>
      <c r="CL84" s="204"/>
      <c r="CM84" s="204"/>
      <c r="CN84" s="204"/>
      <c r="CO84" s="204"/>
      <c r="CP84" s="204"/>
      <c r="CQ84" s="204"/>
      <c r="CR84" s="204"/>
      <c r="CS84" s="204"/>
      <c r="CT84" s="204"/>
      <c r="CU84" s="204"/>
      <c r="CV84" s="204"/>
      <c r="CW84" s="204"/>
      <c r="CX84" s="204"/>
      <c r="CY84" s="204"/>
      <c r="CZ84" s="204"/>
      <c r="DA84" s="204"/>
      <c r="DB84" s="204"/>
      <c r="DC84" s="204"/>
      <c r="DD84" s="204"/>
      <c r="DE84" s="204"/>
      <c r="DF84" s="204"/>
      <c r="DG84" s="204"/>
      <c r="DH84" s="204"/>
      <c r="DI84" s="204"/>
      <c r="DJ84" s="204"/>
      <c r="DK84" s="204"/>
      <c r="DL84" s="204"/>
      <c r="DM84" s="204"/>
      <c r="DN84" s="204"/>
      <c r="DO84" s="204"/>
      <c r="DP84" s="204"/>
      <c r="DQ84" s="204"/>
      <c r="DR84" s="204"/>
      <c r="DS84" s="204"/>
      <c r="DT84" s="204"/>
      <c r="DU84" s="204"/>
      <c r="DV84" s="204"/>
      <c r="DW84" s="204"/>
      <c r="DX84" s="204"/>
      <c r="DY84" s="204"/>
      <c r="DZ84" s="204"/>
      <c r="EA84" s="204"/>
      <c r="EB84" s="204"/>
      <c r="EC84" s="204"/>
      <c r="ED84" s="204"/>
      <c r="EE84" s="204"/>
      <c r="EF84" s="204"/>
      <c r="EG84" s="204"/>
      <c r="EH84" s="204"/>
      <c r="EI84" s="204"/>
      <c r="EJ84" s="204"/>
      <c r="EK84" s="204"/>
      <c r="EL84" s="204"/>
      <c r="EM84" s="204"/>
      <c r="EN84" s="204"/>
      <c r="EO84" s="440"/>
      <c r="EP84" s="219"/>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c r="FP84" s="18"/>
      <c r="FQ84" s="18"/>
      <c r="FR84" s="18"/>
      <c r="FS84" s="18"/>
      <c r="FT84" s="18"/>
      <c r="FU84" s="18"/>
      <c r="FV84" s="18"/>
      <c r="FW84" s="18"/>
      <c r="FX84" s="18"/>
      <c r="FY84" s="18"/>
      <c r="FZ84" s="18"/>
      <c r="GA84" s="18"/>
      <c r="GB84" s="18"/>
      <c r="GC84" s="18"/>
      <c r="GD84" s="18"/>
      <c r="GE84" s="18"/>
      <c r="GF84" s="18"/>
      <c r="GG84" s="18"/>
      <c r="GH84" s="18"/>
      <c r="GI84" s="18"/>
      <c r="GJ84" s="18"/>
      <c r="GK84" s="18"/>
      <c r="GL84" s="18"/>
      <c r="GM84" s="18"/>
      <c r="GN84" s="18"/>
      <c r="GO84" s="18"/>
      <c r="GP84" s="18"/>
      <c r="GQ84" s="18"/>
      <c r="GR84" s="18"/>
      <c r="GS84" s="18"/>
      <c r="GT84" s="18"/>
      <c r="GU84" s="18"/>
      <c r="GV84" s="18"/>
      <c r="GW84" s="18"/>
      <c r="GX84" s="18"/>
      <c r="GY84" s="18"/>
      <c r="GZ84" s="18"/>
      <c r="HA84" s="18"/>
      <c r="HB84" s="18"/>
      <c r="HC84" s="18"/>
      <c r="HD84" s="18"/>
      <c r="HE84" s="18"/>
      <c r="HF84" s="18"/>
      <c r="HG84" s="18"/>
      <c r="HH84" s="18"/>
      <c r="HI84" s="18"/>
      <c r="HJ84" s="18"/>
      <c r="HK84" s="18"/>
      <c r="HL84" s="18"/>
      <c r="HM84" s="18"/>
      <c r="HN84" s="18"/>
      <c r="HO84" s="18"/>
      <c r="HP84" s="18"/>
      <c r="HQ84" s="18"/>
      <c r="HR84" s="18"/>
      <c r="HS84" s="18"/>
      <c r="HT84" s="18"/>
      <c r="HU84" s="18"/>
      <c r="HV84" s="18"/>
      <c r="HW84" s="18"/>
      <c r="HX84" s="18"/>
      <c r="HY84" s="18"/>
      <c r="HZ84" s="18"/>
      <c r="IA84" s="18"/>
      <c r="IB84" s="18"/>
      <c r="IC84" s="18"/>
      <c r="ID84" s="18"/>
      <c r="IE84" s="18"/>
      <c r="IF84" s="18"/>
      <c r="IG84" s="18"/>
      <c r="IH84" s="18"/>
      <c r="II84" s="18"/>
      <c r="IJ84" s="18"/>
      <c r="IK84" s="18"/>
      <c r="IL84" s="18"/>
      <c r="IM84" s="18"/>
      <c r="IN84" s="18"/>
      <c r="IO84" s="18"/>
      <c r="IP84" s="18"/>
      <c r="IQ84" s="18"/>
      <c r="IR84" s="18"/>
      <c r="IS84" s="18"/>
      <c r="IT84" s="18"/>
      <c r="IU84" s="18"/>
      <c r="IV84" s="18"/>
      <c r="IW84" s="18"/>
      <c r="IX84" s="18"/>
      <c r="IY84" s="18"/>
      <c r="IZ84" s="18"/>
      <c r="JA84" s="18"/>
      <c r="JB84" s="18"/>
      <c r="JC84" s="18"/>
      <c r="JD84" s="18"/>
      <c r="JE84" s="18"/>
      <c r="JF84" s="18"/>
      <c r="JG84" s="18"/>
      <c r="JH84" s="18"/>
      <c r="JI84" s="18"/>
      <c r="JJ84" s="18"/>
      <c r="JK84" s="18"/>
      <c r="JL84" s="18"/>
      <c r="JM84" s="18"/>
      <c r="JN84" s="18"/>
      <c r="JO84" s="18"/>
      <c r="JP84" s="18"/>
      <c r="JQ84" s="18"/>
      <c r="JR84" s="18"/>
      <c r="JS84" s="18"/>
      <c r="JT84" s="18"/>
      <c r="JU84" s="18"/>
      <c r="JV84" s="18"/>
      <c r="JW84" s="18"/>
      <c r="JX84" s="18"/>
      <c r="JY84"/>
      <c r="JZ84" s="442"/>
      <c r="KA84" s="442"/>
      <c r="KB84" s="442"/>
      <c r="KC84" s="442"/>
      <c r="KD84" s="442"/>
      <c r="KE84" s="442"/>
      <c r="KF84" s="442"/>
      <c r="KG84" s="442"/>
      <c r="KH84" s="442"/>
      <c r="KI84" s="442"/>
      <c r="KJ84" s="442"/>
      <c r="KK84" s="442"/>
      <c r="KL84" s="442"/>
      <c r="KM84" s="442"/>
      <c r="KN84" s="442"/>
      <c r="KO84" s="442"/>
      <c r="KP84" s="442"/>
      <c r="KQ84" s="442"/>
      <c r="KR84" s="442"/>
      <c r="KS84" s="442"/>
      <c r="KT84" s="442"/>
      <c r="KU84" s="442"/>
      <c r="KV84" s="442"/>
      <c r="KW84" s="442"/>
      <c r="KX84" s="442"/>
      <c r="KY84" s="442"/>
      <c r="KZ84" s="442"/>
      <c r="LA84" s="442"/>
      <c r="LB84" s="442"/>
      <c r="LC84" s="442"/>
      <c r="LD84" s="442"/>
      <c r="LE84" s="442"/>
      <c r="LF84" s="442"/>
      <c r="LG84" s="442"/>
      <c r="LH84" s="442"/>
      <c r="LI84" s="442"/>
      <c r="LJ84" s="442"/>
      <c r="LK84" s="442"/>
      <c r="LL84" s="442"/>
      <c r="LM84" s="442"/>
      <c r="LN84" s="442"/>
      <c r="LO84" s="442"/>
      <c r="LP84" s="442"/>
      <c r="LQ84" s="442"/>
      <c r="LR84" s="442"/>
      <c r="LS84" s="442"/>
      <c r="LT84" s="442"/>
      <c r="LU84" s="442"/>
      <c r="LV84" s="442"/>
      <c r="LW84" s="442"/>
      <c r="LX84" s="442"/>
      <c r="LY84" s="442"/>
      <c r="LZ84" s="442"/>
      <c r="MA84" s="442"/>
      <c r="MB84" s="442"/>
      <c r="MC84" s="442"/>
      <c r="MD84" s="442"/>
      <c r="ME84" s="442"/>
      <c r="MF84" s="442"/>
      <c r="MG84" s="442"/>
      <c r="MH84" s="442"/>
      <c r="MI84" s="442"/>
      <c r="MJ84" s="442"/>
      <c r="MK84" s="442"/>
      <c r="ML84" s="442"/>
      <c r="MM84" s="442"/>
      <c r="MN84" s="442"/>
      <c r="MO84" s="442"/>
      <c r="MP84" s="442"/>
      <c r="MQ84" s="442"/>
      <c r="MR84" s="442"/>
      <c r="MS84" s="442"/>
      <c r="MT84" s="442"/>
      <c r="MU84" s="442"/>
      <c r="MV84" s="442"/>
      <c r="MW84" s="442"/>
      <c r="MX84" s="442"/>
      <c r="MY84" s="442"/>
      <c r="MZ84" s="442"/>
      <c r="NA84" s="442"/>
      <c r="NB84" s="442"/>
      <c r="NC84" s="442"/>
      <c r="ND84" s="442"/>
      <c r="NE84" s="442"/>
      <c r="NF84" s="442"/>
      <c r="NG84" s="442"/>
      <c r="NH84" s="442"/>
      <c r="NI84" s="442"/>
      <c r="NJ84" s="442"/>
      <c r="NK84" s="442"/>
      <c r="NL84" s="442"/>
      <c r="NM84" s="442"/>
      <c r="NN84" s="442"/>
      <c r="NO84" s="442"/>
      <c r="NP84" s="442"/>
      <c r="NQ84" s="442"/>
      <c r="NR84" s="442"/>
      <c r="NS84" s="442"/>
      <c r="NT84" s="442"/>
      <c r="NU84" s="442"/>
      <c r="NV84" s="442"/>
      <c r="NW84" s="442"/>
      <c r="NX84" s="442"/>
      <c r="NY84" s="442"/>
      <c r="NZ84" s="442"/>
      <c r="OA84" s="442"/>
      <c r="OB84" s="442"/>
      <c r="OC84" s="442"/>
      <c r="OD84" s="442"/>
      <c r="OE84" s="442"/>
      <c r="OF84" s="442"/>
      <c r="OG84" s="442"/>
      <c r="OH84" s="442"/>
      <c r="OI84" s="442"/>
      <c r="OJ84" s="442"/>
      <c r="OK84" s="442"/>
      <c r="OL84" s="442"/>
      <c r="OM84" s="442"/>
      <c r="ON84" s="442"/>
      <c r="OO84" s="442"/>
      <c r="OP84" s="442"/>
      <c r="OQ84" s="442"/>
      <c r="OR84" s="442"/>
      <c r="OS84" s="442"/>
      <c r="OT84" s="442"/>
      <c r="OU84" s="442"/>
      <c r="OV84" s="442"/>
      <c r="OW84" s="442"/>
      <c r="OX84" s="442"/>
      <c r="OY84" s="442"/>
      <c r="OZ84" s="442"/>
      <c r="PA84" s="442"/>
      <c r="PB84" s="442"/>
      <c r="PC84" s="442"/>
      <c r="PD84" s="442"/>
      <c r="PE84" s="442"/>
      <c r="PF84" s="442"/>
      <c r="PG84" s="442"/>
      <c r="PH84" s="442"/>
    </row>
    <row r="85" spans="1:424" x14ac:dyDescent="0.35">
      <c r="A85"/>
      <c r="B85" s="6"/>
      <c r="C85" s="387"/>
      <c r="D85" s="387"/>
      <c r="E85" s="387"/>
      <c r="F85" s="387"/>
      <c r="G85" s="387"/>
      <c r="H85" s="387"/>
      <c r="I85" s="387"/>
      <c r="J85" s="387"/>
      <c r="K85" s="388"/>
      <c r="L85" s="388"/>
      <c r="M85" s="388"/>
      <c r="N85" s="388"/>
      <c r="O85" s="388"/>
      <c r="P85" s="388"/>
      <c r="Q85" s="388"/>
      <c r="R85" s="388"/>
      <c r="S85" s="388"/>
      <c r="T85" s="388"/>
      <c r="U85" s="388"/>
      <c r="V85" s="388"/>
      <c r="W85" s="388"/>
      <c r="X85" s="388"/>
      <c r="Y85" s="388"/>
      <c r="Z85" s="388"/>
      <c r="AA85" s="388"/>
      <c r="AB85" s="388"/>
      <c r="AC85" s="388"/>
      <c r="AD85" s="388"/>
      <c r="AE85" s="388"/>
      <c r="AF85" s="388"/>
      <c r="AG85" s="388"/>
      <c r="AH85" s="388"/>
      <c r="AI85" s="388"/>
      <c r="AJ85" s="388"/>
      <c r="AK85" s="388"/>
      <c r="AL85" s="388"/>
      <c r="AM85" s="388"/>
      <c r="AN85" s="388"/>
      <c r="AO85" s="388"/>
      <c r="AP85" s="388"/>
      <c r="AQ85" s="388"/>
      <c r="AR85" s="388"/>
      <c r="AS85" s="388"/>
      <c r="AT85" s="388"/>
      <c r="AU85" s="388"/>
      <c r="AV85" s="388"/>
      <c r="AW85" s="388"/>
      <c r="AX85" s="388"/>
      <c r="AY85" s="388"/>
      <c r="AZ85" s="388"/>
      <c r="BA85" s="388"/>
      <c r="BB85" s="388"/>
      <c r="BC85" s="388"/>
      <c r="BD85" s="388"/>
      <c r="BE85" s="388"/>
      <c r="BF85" s="388"/>
      <c r="BG85" s="388"/>
      <c r="BH85" s="388"/>
      <c r="BI85" s="388"/>
      <c r="BJ85" s="388"/>
      <c r="BK85" s="388"/>
      <c r="BL85" s="388"/>
      <c r="BM85" s="388"/>
      <c r="BN85" s="388"/>
      <c r="BO85" s="388"/>
      <c r="BP85" s="388"/>
      <c r="BQ85" s="388"/>
      <c r="BR85" s="388"/>
      <c r="BS85" s="388"/>
      <c r="BT85" s="388"/>
      <c r="BU85" s="388"/>
      <c r="BV85" s="388"/>
      <c r="BW85" s="388"/>
      <c r="BX85" s="388"/>
      <c r="BY85" s="388"/>
      <c r="BZ85" s="388"/>
      <c r="CA85" s="388"/>
      <c r="CB85" s="388"/>
      <c r="CC85" s="388"/>
      <c r="CD85" s="388"/>
      <c r="CE85" s="388"/>
      <c r="CF85" s="388"/>
      <c r="CG85" s="388"/>
      <c r="CH85" s="388"/>
      <c r="CI85" s="388"/>
      <c r="CJ85" s="388"/>
      <c r="CK85" s="388"/>
      <c r="CL85" s="388"/>
      <c r="CM85" s="388"/>
      <c r="CN85" s="388"/>
      <c r="CO85" s="388"/>
      <c r="CP85" s="388"/>
      <c r="CQ85" s="388"/>
      <c r="CR85" s="388"/>
      <c r="CS85" s="388"/>
      <c r="CT85" s="388"/>
      <c r="CU85" s="388"/>
      <c r="CV85" s="388"/>
      <c r="CW85" s="388"/>
      <c r="CX85" s="388"/>
      <c r="CY85" s="388"/>
      <c r="CZ85" s="388"/>
      <c r="DA85" s="388"/>
      <c r="DB85" s="388"/>
      <c r="DC85" s="388"/>
      <c r="DD85" s="388"/>
      <c r="DE85" s="388"/>
      <c r="DF85" s="388"/>
      <c r="DG85" s="388"/>
      <c r="DH85" s="388"/>
      <c r="DI85" s="388"/>
      <c r="DJ85" s="388"/>
      <c r="DK85" s="388"/>
      <c r="DL85" s="388"/>
      <c r="DM85" s="388"/>
      <c r="DN85" s="388"/>
      <c r="DO85" s="388"/>
      <c r="DP85" s="388"/>
      <c r="DQ85" s="388"/>
      <c r="DR85" s="388"/>
      <c r="DS85" s="388"/>
      <c r="DT85" s="388"/>
      <c r="DU85" s="388"/>
      <c r="DV85" s="388"/>
      <c r="DW85" s="388"/>
      <c r="DX85" s="388"/>
      <c r="DY85" s="388"/>
      <c r="DZ85" s="388"/>
      <c r="EA85" s="388"/>
      <c r="EB85" s="388"/>
      <c r="EC85" s="388"/>
      <c r="ED85" s="388"/>
      <c r="EE85" s="388"/>
      <c r="EF85" s="388"/>
      <c r="EG85" s="388"/>
      <c r="EH85" s="388"/>
      <c r="EI85" s="388"/>
      <c r="EJ85" s="388"/>
      <c r="EK85" s="388"/>
      <c r="EL85" s="388"/>
      <c r="EM85" s="388"/>
      <c r="EN85" s="388"/>
      <c r="EO85" s="388"/>
      <c r="EP85" s="262"/>
      <c r="EQ85" s="262"/>
      <c r="ER85" s="410"/>
      <c r="ES85" s="410" t="s">
        <v>174</v>
      </c>
      <c r="ET85" s="410" t="s">
        <v>217</v>
      </c>
      <c r="EU85" s="410" t="s">
        <v>218</v>
      </c>
      <c r="EV85" s="262"/>
      <c r="EW85" s="262"/>
      <c r="EX85" s="262"/>
      <c r="EY85" s="262"/>
      <c r="EZ85" s="262"/>
      <c r="FA85" s="262"/>
      <c r="FB85" s="262"/>
      <c r="FC85" s="262"/>
      <c r="FD85" s="262"/>
      <c r="FE85" s="262"/>
      <c r="FF85" s="262"/>
      <c r="FG85" s="262"/>
      <c r="FH85" s="262"/>
      <c r="FI85" s="262"/>
      <c r="FJ85" s="262"/>
      <c r="FK85" s="262"/>
      <c r="FL85" s="262"/>
      <c r="FM85" s="262"/>
      <c r="FN85" s="262"/>
      <c r="FO85" s="262"/>
      <c r="FP85" s="262"/>
      <c r="FQ85" s="262"/>
      <c r="FR85" s="262"/>
      <c r="FS85" s="262"/>
      <c r="FT85" s="262"/>
      <c r="FU85" s="262"/>
      <c r="FV85" s="262"/>
      <c r="FW85" s="262"/>
      <c r="FX85" s="262"/>
      <c r="FY85" s="262"/>
      <c r="FZ85" s="262"/>
      <c r="GA85" s="262"/>
      <c r="GB85" s="262"/>
      <c r="GC85" s="262"/>
      <c r="GD85" s="262"/>
      <c r="GE85" s="262"/>
      <c r="GF85" s="262"/>
      <c r="GG85" s="262"/>
      <c r="GH85" s="262"/>
      <c r="GI85" s="262"/>
      <c r="GJ85" s="262"/>
      <c r="GK85" s="262"/>
      <c r="GL85" s="262"/>
      <c r="GM85" s="262"/>
      <c r="GN85" s="262"/>
      <c r="GO85" s="262"/>
      <c r="GP85" s="262"/>
      <c r="GQ85" s="262"/>
      <c r="GR85" s="262"/>
      <c r="GS85" s="262"/>
      <c r="GT85" s="262"/>
      <c r="GU85" s="262"/>
      <c r="GV85" s="262"/>
      <c r="GW85" s="262"/>
      <c r="GX85" s="262"/>
      <c r="GY85" s="262"/>
      <c r="GZ85" s="262"/>
      <c r="HA85" s="262"/>
      <c r="HB85" s="262"/>
      <c r="HC85" s="262"/>
      <c r="HD85" s="262"/>
      <c r="HE85" s="262"/>
      <c r="HF85" s="262"/>
      <c r="HG85" s="262"/>
      <c r="HH85" s="262"/>
      <c r="HI85" s="262"/>
      <c r="HJ85" s="262"/>
      <c r="HK85" s="262"/>
      <c r="HL85" s="262"/>
      <c r="HM85" s="262"/>
      <c r="HN85" s="262"/>
      <c r="HO85" s="262"/>
      <c r="HP85" s="262"/>
      <c r="HQ85" s="262"/>
      <c r="HR85" s="262"/>
      <c r="HS85" s="262"/>
      <c r="HT85" s="262"/>
      <c r="HU85" s="262"/>
      <c r="HV85" s="262"/>
      <c r="HW85" s="262"/>
      <c r="HX85" s="262"/>
      <c r="HY85" s="262"/>
      <c r="HZ85" s="262"/>
      <c r="IA85" s="262"/>
      <c r="IB85" s="262"/>
      <c r="IC85" s="262"/>
      <c r="ID85" s="262"/>
      <c r="IE85" s="262"/>
      <c r="IF85" s="262"/>
      <c r="IG85" s="262"/>
      <c r="IH85" s="262"/>
      <c r="II85" s="262"/>
      <c r="IJ85" s="262"/>
      <c r="IK85" s="262"/>
      <c r="IL85" s="262"/>
      <c r="IM85" s="262"/>
      <c r="IN85" s="262"/>
      <c r="IO85" s="262"/>
      <c r="IP85" s="262"/>
      <c r="IQ85" s="262"/>
      <c r="IR85" s="262"/>
      <c r="IS85" s="262"/>
      <c r="IT85" s="262"/>
      <c r="IU85" s="262"/>
      <c r="IV85" s="262"/>
      <c r="IW85" s="262"/>
      <c r="IX85" s="262"/>
      <c r="IY85" s="262"/>
      <c r="IZ85" s="262"/>
      <c r="JA85" s="262"/>
      <c r="JB85" s="262"/>
      <c r="JC85" s="262"/>
      <c r="JD85" s="262"/>
      <c r="JE85" s="262"/>
      <c r="JF85" s="262"/>
      <c r="JG85" s="262"/>
      <c r="JH85" s="262"/>
      <c r="JI85" s="262"/>
      <c r="JJ85" s="262"/>
      <c r="JK85" s="262"/>
      <c r="JL85" s="262"/>
      <c r="JM85" s="262"/>
      <c r="JN85" s="262"/>
      <c r="JO85" s="262"/>
      <c r="JP85" s="262"/>
      <c r="JQ85" s="262"/>
      <c r="JR85" s="262"/>
      <c r="JS85" s="262"/>
      <c r="JT85" s="262"/>
      <c r="JU85" s="262"/>
      <c r="JV85" s="262"/>
      <c r="JW85" s="262"/>
      <c r="JX85" s="262"/>
      <c r="JY85"/>
      <c r="JZ85" s="262"/>
      <c r="KA85" s="262"/>
      <c r="KB85" s="262"/>
      <c r="KC85" s="262"/>
      <c r="KD85" s="262"/>
      <c r="KE85" s="262"/>
      <c r="KF85" s="262"/>
      <c r="KG85" s="262"/>
      <c r="KH85" s="262"/>
      <c r="KI85" s="262"/>
      <c r="KJ85" s="262"/>
      <c r="KK85" s="262"/>
      <c r="KL85" s="262"/>
      <c r="KM85" s="262"/>
      <c r="KN85" s="262"/>
      <c r="KO85" s="262"/>
      <c r="KP85" s="262"/>
      <c r="KQ85" s="262"/>
      <c r="KR85" s="262"/>
      <c r="KS85" s="262"/>
      <c r="KT85" s="262"/>
      <c r="KU85" s="262"/>
      <c r="KV85" s="262"/>
      <c r="KW85" s="262"/>
      <c r="KX85" s="262"/>
      <c r="KY85" s="262"/>
      <c r="KZ85" s="262"/>
      <c r="LA85" s="262"/>
      <c r="LB85" s="262"/>
      <c r="LC85" s="262"/>
      <c r="LD85" s="262"/>
      <c r="LE85" s="262"/>
      <c r="LF85" s="262"/>
      <c r="LG85" s="262"/>
      <c r="LH85" s="262"/>
      <c r="LI85" s="262"/>
      <c r="LJ85" s="262"/>
      <c r="LK85" s="262"/>
      <c r="LL85" s="262"/>
      <c r="LM85" s="262"/>
      <c r="LN85" s="262"/>
      <c r="LO85" s="262"/>
      <c r="LP85" s="262"/>
      <c r="LQ85" s="262"/>
      <c r="LR85" s="262"/>
      <c r="LS85" s="262"/>
      <c r="LT85" s="262"/>
      <c r="LU85" s="262"/>
      <c r="LV85" s="262"/>
      <c r="LW85" s="262"/>
      <c r="LX85" s="262"/>
      <c r="LY85" s="262"/>
      <c r="LZ85" s="262"/>
      <c r="MA85" s="262"/>
      <c r="MB85" s="262"/>
      <c r="MC85" s="262"/>
      <c r="MD85" s="262"/>
      <c r="ME85" s="262"/>
      <c r="MF85" s="262"/>
      <c r="MG85" s="262"/>
      <c r="MH85" s="262"/>
      <c r="MI85" s="262"/>
      <c r="MJ85" s="262"/>
      <c r="MK85" s="262"/>
      <c r="ML85" s="262"/>
      <c r="MM85" s="262"/>
      <c r="MN85" s="262"/>
      <c r="MO85" s="262"/>
      <c r="MP85" s="262"/>
      <c r="MQ85" s="262"/>
      <c r="MR85" s="262"/>
      <c r="MS85" s="262"/>
      <c r="MT85" s="262"/>
      <c r="MU85" s="262"/>
      <c r="MV85" s="262"/>
      <c r="MW85" s="262"/>
      <c r="MX85" s="262"/>
      <c r="MY85" s="262"/>
      <c r="MZ85" s="262"/>
      <c r="NA85" s="262"/>
      <c r="NB85" s="262"/>
      <c r="NC85" s="262"/>
      <c r="ND85" s="262"/>
      <c r="NE85" s="262"/>
      <c r="NF85" s="262"/>
      <c r="NG85" s="262"/>
      <c r="NH85" s="262"/>
      <c r="NI85" s="262"/>
      <c r="NJ85" s="262"/>
      <c r="NK85" s="262"/>
      <c r="NL85" s="262"/>
      <c r="NM85" s="262"/>
      <c r="NN85" s="262"/>
      <c r="NO85" s="262"/>
      <c r="NP85" s="262"/>
      <c r="NQ85" s="262"/>
      <c r="NR85" s="262"/>
      <c r="NS85" s="262"/>
      <c r="NT85" s="262"/>
      <c r="NU85" s="262"/>
      <c r="NV85" s="262"/>
      <c r="NW85" s="262"/>
      <c r="NX85" s="262"/>
      <c r="NY85" s="262"/>
      <c r="NZ85" s="262"/>
      <c r="OA85" s="262"/>
      <c r="OB85" s="262"/>
      <c r="OC85" s="262"/>
      <c r="OD85" s="262"/>
      <c r="OE85" s="262"/>
      <c r="OF85" s="262"/>
      <c r="OG85" s="262"/>
      <c r="OH85" s="262"/>
      <c r="OI85" s="262"/>
      <c r="OJ85" s="262"/>
      <c r="OK85" s="262"/>
      <c r="OL85" s="262"/>
      <c r="OM85" s="262"/>
      <c r="ON85" s="262"/>
      <c r="OO85" s="262"/>
      <c r="OP85" s="262"/>
      <c r="OQ85" s="262"/>
      <c r="OR85" s="262"/>
      <c r="OS85" s="262"/>
      <c r="OT85" s="262"/>
      <c r="OU85" s="262"/>
      <c r="OV85" s="262"/>
      <c r="OW85" s="262"/>
      <c r="OX85" s="262"/>
      <c r="OY85" s="262"/>
      <c r="OZ85" s="262"/>
      <c r="PA85" s="262"/>
      <c r="PB85" s="262"/>
      <c r="PC85" s="262"/>
      <c r="PD85" s="262"/>
      <c r="PE85" s="262"/>
      <c r="PF85" s="262"/>
      <c r="PG85" s="262"/>
      <c r="PH85" s="262"/>
    </row>
    <row r="86" spans="1:424" x14ac:dyDescent="0.35">
      <c r="A86"/>
      <c r="B86" s="2" t="s">
        <v>219</v>
      </c>
      <c r="C86" s="387"/>
      <c r="D86" s="387"/>
      <c r="E86" s="387"/>
      <c r="F86" s="387"/>
      <c r="G86" s="387"/>
      <c r="H86" s="387"/>
      <c r="I86" s="387"/>
      <c r="J86" s="161"/>
      <c r="K86" s="161" t="s">
        <v>94</v>
      </c>
      <c r="L86" s="198">
        <f t="shared" ref="L86:AQ86" si="301">L23</f>
        <v>0</v>
      </c>
      <c r="M86" s="198">
        <f t="shared" si="301"/>
        <v>1</v>
      </c>
      <c r="N86" s="198">
        <f t="shared" si="301"/>
        <v>2</v>
      </c>
      <c r="O86" s="198">
        <f t="shared" si="301"/>
        <v>3</v>
      </c>
      <c r="P86" s="198">
        <f t="shared" si="301"/>
        <v>4</v>
      </c>
      <c r="Q86" s="198">
        <f t="shared" si="301"/>
        <v>5</v>
      </c>
      <c r="R86" s="198">
        <f t="shared" si="301"/>
        <v>6</v>
      </c>
      <c r="S86" s="198">
        <f t="shared" si="301"/>
        <v>7</v>
      </c>
      <c r="T86" s="198">
        <f t="shared" si="301"/>
        <v>8</v>
      </c>
      <c r="U86" s="198">
        <f t="shared" si="301"/>
        <v>9</v>
      </c>
      <c r="V86" s="198">
        <f t="shared" si="301"/>
        <v>10</v>
      </c>
      <c r="W86" s="198">
        <f t="shared" si="301"/>
        <v>11</v>
      </c>
      <c r="X86" s="198">
        <f t="shared" si="301"/>
        <v>12</v>
      </c>
      <c r="Y86" s="198">
        <f t="shared" si="301"/>
        <v>13</v>
      </c>
      <c r="Z86" s="198">
        <f t="shared" si="301"/>
        <v>14</v>
      </c>
      <c r="AA86" s="198">
        <f t="shared" si="301"/>
        <v>15</v>
      </c>
      <c r="AB86" s="198">
        <f t="shared" si="301"/>
        <v>16</v>
      </c>
      <c r="AC86" s="198">
        <f t="shared" si="301"/>
        <v>17</v>
      </c>
      <c r="AD86" s="198">
        <f t="shared" si="301"/>
        <v>18</v>
      </c>
      <c r="AE86" s="198">
        <f t="shared" si="301"/>
        <v>19</v>
      </c>
      <c r="AF86" s="198">
        <f t="shared" si="301"/>
        <v>20</v>
      </c>
      <c r="AG86" s="198">
        <f t="shared" si="301"/>
        <v>21</v>
      </c>
      <c r="AH86" s="198">
        <f t="shared" si="301"/>
        <v>22</v>
      </c>
      <c r="AI86" s="198">
        <f t="shared" si="301"/>
        <v>23</v>
      </c>
      <c r="AJ86" s="198">
        <f t="shared" si="301"/>
        <v>24</v>
      </c>
      <c r="AK86" s="198">
        <f t="shared" si="301"/>
        <v>25</v>
      </c>
      <c r="AL86" s="198">
        <f t="shared" si="301"/>
        <v>26</v>
      </c>
      <c r="AM86" s="198">
        <f t="shared" si="301"/>
        <v>27</v>
      </c>
      <c r="AN86" s="198">
        <f t="shared" si="301"/>
        <v>28</v>
      </c>
      <c r="AO86" s="198">
        <f t="shared" si="301"/>
        <v>29</v>
      </c>
      <c r="AP86" s="198">
        <f t="shared" si="301"/>
        <v>30</v>
      </c>
      <c r="AQ86" s="198">
        <f t="shared" si="301"/>
        <v>31</v>
      </c>
      <c r="AR86" s="198">
        <f t="shared" ref="AR86:BW86" si="302">AR23</f>
        <v>32</v>
      </c>
      <c r="AS86" s="198">
        <f t="shared" si="302"/>
        <v>33</v>
      </c>
      <c r="AT86" s="198">
        <f t="shared" si="302"/>
        <v>34</v>
      </c>
      <c r="AU86" s="198">
        <f t="shared" si="302"/>
        <v>35</v>
      </c>
      <c r="AV86" s="198">
        <f t="shared" si="302"/>
        <v>36</v>
      </c>
      <c r="AW86" s="198">
        <f t="shared" si="302"/>
        <v>37</v>
      </c>
      <c r="AX86" s="198">
        <f t="shared" si="302"/>
        <v>38</v>
      </c>
      <c r="AY86" s="198">
        <f t="shared" si="302"/>
        <v>39</v>
      </c>
      <c r="AZ86" s="198">
        <f t="shared" si="302"/>
        <v>40</v>
      </c>
      <c r="BA86" s="198">
        <f t="shared" si="302"/>
        <v>41</v>
      </c>
      <c r="BB86" s="198">
        <f t="shared" si="302"/>
        <v>42</v>
      </c>
      <c r="BC86" s="198">
        <f t="shared" si="302"/>
        <v>43</v>
      </c>
      <c r="BD86" s="198">
        <f t="shared" si="302"/>
        <v>44</v>
      </c>
      <c r="BE86" s="198">
        <f t="shared" si="302"/>
        <v>45</v>
      </c>
      <c r="BF86" s="198">
        <f t="shared" si="302"/>
        <v>46</v>
      </c>
      <c r="BG86" s="198">
        <f t="shared" si="302"/>
        <v>47</v>
      </c>
      <c r="BH86" s="198">
        <f t="shared" si="302"/>
        <v>48</v>
      </c>
      <c r="BI86" s="198">
        <f t="shared" si="302"/>
        <v>49</v>
      </c>
      <c r="BJ86" s="198">
        <f t="shared" si="302"/>
        <v>50</v>
      </c>
      <c r="BK86" s="198">
        <f t="shared" si="302"/>
        <v>51</v>
      </c>
      <c r="BL86" s="198">
        <f t="shared" si="302"/>
        <v>52</v>
      </c>
      <c r="BM86" s="198">
        <f t="shared" si="302"/>
        <v>53</v>
      </c>
      <c r="BN86" s="198">
        <f t="shared" si="302"/>
        <v>54</v>
      </c>
      <c r="BO86" s="198">
        <f t="shared" si="302"/>
        <v>55</v>
      </c>
      <c r="BP86" s="198">
        <f t="shared" si="302"/>
        <v>56</v>
      </c>
      <c r="BQ86" s="198">
        <f t="shared" si="302"/>
        <v>57</v>
      </c>
      <c r="BR86" s="198">
        <f t="shared" si="302"/>
        <v>58</v>
      </c>
      <c r="BS86" s="198">
        <f t="shared" si="302"/>
        <v>59</v>
      </c>
      <c r="BT86" s="198">
        <f t="shared" si="302"/>
        <v>60</v>
      </c>
      <c r="BU86" s="198">
        <f t="shared" si="302"/>
        <v>61</v>
      </c>
      <c r="BV86" s="198">
        <f t="shared" si="302"/>
        <v>62</v>
      </c>
      <c r="BW86" s="198">
        <f t="shared" si="302"/>
        <v>63</v>
      </c>
      <c r="BX86" s="198">
        <f t="shared" ref="BX86:DC86" si="303">BX23</f>
        <v>64</v>
      </c>
      <c r="BY86" s="198">
        <f t="shared" si="303"/>
        <v>65</v>
      </c>
      <c r="BZ86" s="198">
        <f t="shared" si="303"/>
        <v>66</v>
      </c>
      <c r="CA86" s="198">
        <f t="shared" si="303"/>
        <v>67</v>
      </c>
      <c r="CB86" s="198">
        <f t="shared" si="303"/>
        <v>68</v>
      </c>
      <c r="CC86" s="198">
        <f t="shared" si="303"/>
        <v>69</v>
      </c>
      <c r="CD86" s="198">
        <f t="shared" si="303"/>
        <v>70</v>
      </c>
      <c r="CE86" s="198">
        <f t="shared" si="303"/>
        <v>71</v>
      </c>
      <c r="CF86" s="198">
        <f t="shared" si="303"/>
        <v>72</v>
      </c>
      <c r="CG86" s="198">
        <f t="shared" si="303"/>
        <v>73</v>
      </c>
      <c r="CH86" s="198">
        <f t="shared" si="303"/>
        <v>74</v>
      </c>
      <c r="CI86" s="198">
        <f t="shared" si="303"/>
        <v>75</v>
      </c>
      <c r="CJ86" s="198">
        <f t="shared" si="303"/>
        <v>76</v>
      </c>
      <c r="CK86" s="198">
        <f t="shared" si="303"/>
        <v>77</v>
      </c>
      <c r="CL86" s="198">
        <f t="shared" si="303"/>
        <v>78</v>
      </c>
      <c r="CM86" s="198">
        <f t="shared" si="303"/>
        <v>79</v>
      </c>
      <c r="CN86" s="198">
        <f t="shared" si="303"/>
        <v>80</v>
      </c>
      <c r="CO86" s="198">
        <f t="shared" si="303"/>
        <v>81</v>
      </c>
      <c r="CP86" s="198">
        <f t="shared" si="303"/>
        <v>82</v>
      </c>
      <c r="CQ86" s="198">
        <f t="shared" si="303"/>
        <v>83</v>
      </c>
      <c r="CR86" s="198">
        <f t="shared" si="303"/>
        <v>84</v>
      </c>
      <c r="CS86" s="198">
        <f t="shared" si="303"/>
        <v>85</v>
      </c>
      <c r="CT86" s="198">
        <f t="shared" si="303"/>
        <v>86</v>
      </c>
      <c r="CU86" s="198">
        <f t="shared" si="303"/>
        <v>87</v>
      </c>
      <c r="CV86" s="198">
        <f t="shared" si="303"/>
        <v>88</v>
      </c>
      <c r="CW86" s="198">
        <f t="shared" si="303"/>
        <v>89</v>
      </c>
      <c r="CX86" s="198">
        <f t="shared" si="303"/>
        <v>90</v>
      </c>
      <c r="CY86" s="198">
        <f t="shared" si="303"/>
        <v>91</v>
      </c>
      <c r="CZ86" s="198">
        <f t="shared" si="303"/>
        <v>92</v>
      </c>
      <c r="DA86" s="198">
        <f t="shared" si="303"/>
        <v>93</v>
      </c>
      <c r="DB86" s="198">
        <f t="shared" si="303"/>
        <v>94</v>
      </c>
      <c r="DC86" s="198">
        <f t="shared" si="303"/>
        <v>95</v>
      </c>
      <c r="DD86" s="198">
        <f t="shared" ref="DD86:EN86" si="304">DD23</f>
        <v>96</v>
      </c>
      <c r="DE86" s="198">
        <f t="shared" si="304"/>
        <v>97</v>
      </c>
      <c r="DF86" s="198">
        <f t="shared" si="304"/>
        <v>98</v>
      </c>
      <c r="DG86" s="198">
        <f t="shared" si="304"/>
        <v>99</v>
      </c>
      <c r="DH86" s="198">
        <f t="shared" si="304"/>
        <v>100</v>
      </c>
      <c r="DI86" s="198">
        <f t="shared" si="304"/>
        <v>101</v>
      </c>
      <c r="DJ86" s="198">
        <f t="shared" si="304"/>
        <v>102</v>
      </c>
      <c r="DK86" s="198">
        <f t="shared" si="304"/>
        <v>103</v>
      </c>
      <c r="DL86" s="198">
        <f t="shared" si="304"/>
        <v>104</v>
      </c>
      <c r="DM86" s="198">
        <f t="shared" si="304"/>
        <v>105</v>
      </c>
      <c r="DN86" s="198">
        <f t="shared" si="304"/>
        <v>106</v>
      </c>
      <c r="DO86" s="198">
        <f t="shared" si="304"/>
        <v>107</v>
      </c>
      <c r="DP86" s="198">
        <f t="shared" si="304"/>
        <v>108</v>
      </c>
      <c r="DQ86" s="198">
        <f t="shared" si="304"/>
        <v>109</v>
      </c>
      <c r="DR86" s="198">
        <f t="shared" si="304"/>
        <v>110</v>
      </c>
      <c r="DS86" s="198">
        <f t="shared" si="304"/>
        <v>111</v>
      </c>
      <c r="DT86" s="198">
        <f t="shared" si="304"/>
        <v>112</v>
      </c>
      <c r="DU86" s="198">
        <f t="shared" si="304"/>
        <v>113</v>
      </c>
      <c r="DV86" s="198">
        <f t="shared" si="304"/>
        <v>114</v>
      </c>
      <c r="DW86" s="198">
        <f t="shared" si="304"/>
        <v>115</v>
      </c>
      <c r="DX86" s="198">
        <f t="shared" si="304"/>
        <v>116</v>
      </c>
      <c r="DY86" s="198">
        <f t="shared" si="304"/>
        <v>117</v>
      </c>
      <c r="DZ86" s="198">
        <f t="shared" si="304"/>
        <v>118</v>
      </c>
      <c r="EA86" s="198">
        <f t="shared" si="304"/>
        <v>119</v>
      </c>
      <c r="EB86" s="198">
        <f t="shared" si="304"/>
        <v>120</v>
      </c>
      <c r="EC86" s="198">
        <f t="shared" si="304"/>
        <v>121</v>
      </c>
      <c r="ED86" s="198">
        <f t="shared" si="304"/>
        <v>122</v>
      </c>
      <c r="EE86" s="198">
        <f t="shared" si="304"/>
        <v>123</v>
      </c>
      <c r="EF86" s="198">
        <f t="shared" si="304"/>
        <v>124</v>
      </c>
      <c r="EG86" s="198">
        <f t="shared" si="304"/>
        <v>125</v>
      </c>
      <c r="EH86" s="198">
        <f t="shared" si="304"/>
        <v>126</v>
      </c>
      <c r="EI86" s="198">
        <f t="shared" si="304"/>
        <v>127</v>
      </c>
      <c r="EJ86" s="198">
        <f t="shared" si="304"/>
        <v>128</v>
      </c>
      <c r="EK86" s="198">
        <f t="shared" si="304"/>
        <v>129</v>
      </c>
      <c r="EL86" s="198">
        <f t="shared" si="304"/>
        <v>130</v>
      </c>
      <c r="EM86" s="198">
        <f t="shared" si="304"/>
        <v>131</v>
      </c>
      <c r="EN86" s="198">
        <f t="shared" si="304"/>
        <v>132</v>
      </c>
      <c r="EO86"/>
      <c r="EP86" s="262" t="s">
        <v>220</v>
      </c>
      <c r="EQ86" s="262"/>
      <c r="ER86" s="20"/>
      <c r="ES86" s="20" t="str">
        <f>IF(ROUND(MAX(EV86:JX86),0)=ROUND(EU86,0),"OK","ERROR")</f>
        <v>ERROR</v>
      </c>
      <c r="ET86" s="304">
        <f>+C65/Debt_LTC_Target</f>
        <v>1</v>
      </c>
      <c r="EU86" s="267">
        <f>+$I$72*ET86</f>
        <v>235202653.50721359</v>
      </c>
      <c r="EV86" s="267">
        <f t="shared" ref="EV86:HG86" si="305">MIN(EV73,$EU$86)</f>
        <v>0</v>
      </c>
      <c r="EW86" s="267">
        <f t="shared" si="305"/>
        <v>0</v>
      </c>
      <c r="EX86" s="267">
        <f t="shared" si="305"/>
        <v>0</v>
      </c>
      <c r="EY86" s="267">
        <f t="shared" si="305"/>
        <v>0</v>
      </c>
      <c r="EZ86" s="267">
        <f t="shared" si="305"/>
        <v>0</v>
      </c>
      <c r="FA86" s="267">
        <f t="shared" si="305"/>
        <v>0</v>
      </c>
      <c r="FB86" s="267">
        <f t="shared" si="305"/>
        <v>0</v>
      </c>
      <c r="FC86" s="267">
        <f t="shared" si="305"/>
        <v>0</v>
      </c>
      <c r="FD86" s="267">
        <f t="shared" si="305"/>
        <v>0</v>
      </c>
      <c r="FE86" s="267">
        <f t="shared" si="305"/>
        <v>0</v>
      </c>
      <c r="FF86" s="267">
        <f t="shared" si="305"/>
        <v>0</v>
      </c>
      <c r="FG86" s="267">
        <f t="shared" si="305"/>
        <v>0</v>
      </c>
      <c r="FH86" s="267">
        <f t="shared" si="305"/>
        <v>0</v>
      </c>
      <c r="FI86" s="267">
        <f t="shared" si="305"/>
        <v>0</v>
      </c>
      <c r="FJ86" s="267">
        <f t="shared" si="305"/>
        <v>0</v>
      </c>
      <c r="FK86" s="267">
        <f t="shared" si="305"/>
        <v>0</v>
      </c>
      <c r="FL86" s="267">
        <f t="shared" si="305"/>
        <v>21360206.561256509</v>
      </c>
      <c r="FM86" s="267">
        <f t="shared" si="305"/>
        <v>43640603.964302227</v>
      </c>
      <c r="FN86" s="267">
        <f t="shared" si="305"/>
        <v>66210197.431684226</v>
      </c>
      <c r="FO86" s="267">
        <f t="shared" si="305"/>
        <v>88490594.834729955</v>
      </c>
      <c r="FP86" s="267">
        <f t="shared" si="305"/>
        <v>109925824.08866289</v>
      </c>
      <c r="FQ86" s="267">
        <f t="shared" si="305"/>
        <v>130024301.33253765</v>
      </c>
      <c r="FR86" s="267">
        <f t="shared" si="305"/>
        <v>148392694.00045779</v>
      </c>
      <c r="FS86" s="267">
        <f t="shared" si="305"/>
        <v>164757861.69904444</v>
      </c>
      <c r="FT86" s="267">
        <f t="shared" si="305"/>
        <v>178975064.02290142</v>
      </c>
      <c r="FU86" s="267">
        <f t="shared" si="305"/>
        <v>191022790.81425288</v>
      </c>
      <c r="FV86" s="267">
        <f t="shared" si="305"/>
        <v>200986463.96344626</v>
      </c>
      <c r="FW86" s="267">
        <f t="shared" si="305"/>
        <v>209034548.80089176</v>
      </c>
      <c r="FX86" s="267">
        <f t="shared" si="305"/>
        <v>215391134.24429899</v>
      </c>
      <c r="FY86" s="267">
        <f t="shared" si="305"/>
        <v>220308815.54264042</v>
      </c>
      <c r="FZ86" s="267">
        <f t="shared" si="305"/>
        <v>224044914.3985315</v>
      </c>
      <c r="GA86" s="267">
        <f t="shared" si="305"/>
        <v>226842956.55604255</v>
      </c>
      <c r="GB86" s="267">
        <f t="shared" si="305"/>
        <v>228920165.22634688</v>
      </c>
      <c r="GC86" s="267">
        <f t="shared" si="305"/>
        <v>230460737.06635845</v>
      </c>
      <c r="GD86" s="267">
        <f t="shared" si="305"/>
        <v>231613975.82557228</v>
      </c>
      <c r="GE86" s="267">
        <f t="shared" si="305"/>
        <v>232496004.1876981</v>
      </c>
      <c r="GF86" s="267">
        <f t="shared" si="305"/>
        <v>233193718.27873397</v>
      </c>
      <c r="GG86" s="267">
        <f t="shared" si="305"/>
        <v>233193718.27873397</v>
      </c>
      <c r="GH86" s="267">
        <f t="shared" si="305"/>
        <v>233193718.27873397</v>
      </c>
      <c r="GI86" s="267">
        <f t="shared" si="305"/>
        <v>233193718.27873397</v>
      </c>
      <c r="GJ86" s="267">
        <f t="shared" si="305"/>
        <v>233193718.27873397</v>
      </c>
      <c r="GK86" s="267">
        <f t="shared" si="305"/>
        <v>233193718.27873397</v>
      </c>
      <c r="GL86" s="267">
        <f t="shared" si="305"/>
        <v>233193718.27873397</v>
      </c>
      <c r="GM86" s="267">
        <f t="shared" si="305"/>
        <v>233193718.27873397</v>
      </c>
      <c r="GN86" s="267">
        <f t="shared" si="305"/>
        <v>233193718.27873397</v>
      </c>
      <c r="GO86" s="267">
        <f t="shared" si="305"/>
        <v>233193718.27873397</v>
      </c>
      <c r="GP86" s="267">
        <f t="shared" si="305"/>
        <v>233193718.27873397</v>
      </c>
      <c r="GQ86" s="267">
        <f t="shared" si="305"/>
        <v>233193718.27873397</v>
      </c>
      <c r="GR86" s="267">
        <f t="shared" si="305"/>
        <v>233193718.27873397</v>
      </c>
      <c r="GS86" s="267">
        <f t="shared" si="305"/>
        <v>233193718.27873397</v>
      </c>
      <c r="GT86" s="267">
        <f t="shared" si="305"/>
        <v>233193718.27873397</v>
      </c>
      <c r="GU86" s="267">
        <f t="shared" si="305"/>
        <v>233193718.27873397</v>
      </c>
      <c r="GV86" s="267">
        <f t="shared" si="305"/>
        <v>233193718.27873397</v>
      </c>
      <c r="GW86" s="267">
        <f t="shared" si="305"/>
        <v>233193718.27873397</v>
      </c>
      <c r="GX86" s="267">
        <f t="shared" si="305"/>
        <v>233193718.27873397</v>
      </c>
      <c r="GY86" s="267">
        <f t="shared" si="305"/>
        <v>233193718.27873397</v>
      </c>
      <c r="GZ86" s="267">
        <f t="shared" si="305"/>
        <v>233193718.27873397</v>
      </c>
      <c r="HA86" s="267">
        <f t="shared" si="305"/>
        <v>233193718.27873397</v>
      </c>
      <c r="HB86" s="267">
        <f t="shared" si="305"/>
        <v>233193718.27873397</v>
      </c>
      <c r="HC86" s="267">
        <f t="shared" si="305"/>
        <v>233193718.27873397</v>
      </c>
      <c r="HD86" s="267">
        <f t="shared" si="305"/>
        <v>233193718.27873397</v>
      </c>
      <c r="HE86" s="267">
        <f t="shared" si="305"/>
        <v>233193718.27873397</v>
      </c>
      <c r="HF86" s="267">
        <f t="shared" si="305"/>
        <v>0</v>
      </c>
      <c r="HG86" s="267">
        <f t="shared" si="305"/>
        <v>0</v>
      </c>
      <c r="HH86" s="267">
        <f t="shared" ref="HH86:JS86" si="306">MIN(HH73,$EU$86)</f>
        <v>0</v>
      </c>
      <c r="HI86" s="267">
        <f t="shared" si="306"/>
        <v>0</v>
      </c>
      <c r="HJ86" s="267">
        <f t="shared" si="306"/>
        <v>0</v>
      </c>
      <c r="HK86" s="267">
        <f t="shared" si="306"/>
        <v>0</v>
      </c>
      <c r="HL86" s="267">
        <f t="shared" si="306"/>
        <v>0</v>
      </c>
      <c r="HM86" s="267">
        <f t="shared" si="306"/>
        <v>0</v>
      </c>
      <c r="HN86" s="267">
        <f t="shared" si="306"/>
        <v>0</v>
      </c>
      <c r="HO86" s="267">
        <f t="shared" si="306"/>
        <v>0</v>
      </c>
      <c r="HP86" s="267">
        <f t="shared" si="306"/>
        <v>0</v>
      </c>
      <c r="HQ86" s="267">
        <f t="shared" si="306"/>
        <v>0</v>
      </c>
      <c r="HR86" s="267">
        <f t="shared" si="306"/>
        <v>0</v>
      </c>
      <c r="HS86" s="267">
        <f t="shared" si="306"/>
        <v>0</v>
      </c>
      <c r="HT86" s="267">
        <f t="shared" si="306"/>
        <v>0</v>
      </c>
      <c r="HU86" s="267">
        <f t="shared" si="306"/>
        <v>0</v>
      </c>
      <c r="HV86" s="267">
        <f t="shared" si="306"/>
        <v>0</v>
      </c>
      <c r="HW86" s="267">
        <f t="shared" si="306"/>
        <v>0</v>
      </c>
      <c r="HX86" s="267">
        <f t="shared" si="306"/>
        <v>0</v>
      </c>
      <c r="HY86" s="267">
        <f t="shared" si="306"/>
        <v>0</v>
      </c>
      <c r="HZ86" s="267">
        <f t="shared" si="306"/>
        <v>0</v>
      </c>
      <c r="IA86" s="267">
        <f t="shared" si="306"/>
        <v>0</v>
      </c>
      <c r="IB86" s="267">
        <f t="shared" si="306"/>
        <v>0</v>
      </c>
      <c r="IC86" s="267">
        <f t="shared" si="306"/>
        <v>0</v>
      </c>
      <c r="ID86" s="267">
        <f t="shared" si="306"/>
        <v>0</v>
      </c>
      <c r="IE86" s="267">
        <f t="shared" si="306"/>
        <v>0</v>
      </c>
      <c r="IF86" s="267">
        <f t="shared" si="306"/>
        <v>0</v>
      </c>
      <c r="IG86" s="267">
        <f t="shared" si="306"/>
        <v>0</v>
      </c>
      <c r="IH86" s="267">
        <f t="shared" si="306"/>
        <v>0</v>
      </c>
      <c r="II86" s="267">
        <f t="shared" si="306"/>
        <v>0</v>
      </c>
      <c r="IJ86" s="267">
        <f t="shared" si="306"/>
        <v>0</v>
      </c>
      <c r="IK86" s="267">
        <f t="shared" si="306"/>
        <v>0</v>
      </c>
      <c r="IL86" s="267">
        <f t="shared" si="306"/>
        <v>0</v>
      </c>
      <c r="IM86" s="267">
        <f t="shared" si="306"/>
        <v>0</v>
      </c>
      <c r="IN86" s="267">
        <f t="shared" si="306"/>
        <v>0</v>
      </c>
      <c r="IO86" s="267">
        <f t="shared" si="306"/>
        <v>0</v>
      </c>
      <c r="IP86" s="267">
        <f t="shared" si="306"/>
        <v>0</v>
      </c>
      <c r="IQ86" s="267">
        <f t="shared" si="306"/>
        <v>0</v>
      </c>
      <c r="IR86" s="267">
        <f t="shared" si="306"/>
        <v>0</v>
      </c>
      <c r="IS86" s="267">
        <f t="shared" si="306"/>
        <v>0</v>
      </c>
      <c r="IT86" s="267">
        <f t="shared" si="306"/>
        <v>0</v>
      </c>
      <c r="IU86" s="267">
        <f t="shared" si="306"/>
        <v>0</v>
      </c>
      <c r="IV86" s="267">
        <f t="shared" si="306"/>
        <v>0</v>
      </c>
      <c r="IW86" s="267">
        <f t="shared" si="306"/>
        <v>0</v>
      </c>
      <c r="IX86" s="267">
        <f t="shared" si="306"/>
        <v>0</v>
      </c>
      <c r="IY86" s="267">
        <f t="shared" si="306"/>
        <v>0</v>
      </c>
      <c r="IZ86" s="267">
        <f t="shared" si="306"/>
        <v>0</v>
      </c>
      <c r="JA86" s="267">
        <f t="shared" si="306"/>
        <v>0</v>
      </c>
      <c r="JB86" s="267">
        <f t="shared" si="306"/>
        <v>0</v>
      </c>
      <c r="JC86" s="267">
        <f t="shared" si="306"/>
        <v>0</v>
      </c>
      <c r="JD86" s="267">
        <f t="shared" si="306"/>
        <v>0</v>
      </c>
      <c r="JE86" s="267">
        <f t="shared" si="306"/>
        <v>0</v>
      </c>
      <c r="JF86" s="267">
        <f t="shared" si="306"/>
        <v>0</v>
      </c>
      <c r="JG86" s="267">
        <f t="shared" si="306"/>
        <v>0</v>
      </c>
      <c r="JH86" s="267">
        <f t="shared" si="306"/>
        <v>0</v>
      </c>
      <c r="JI86" s="267">
        <f t="shared" si="306"/>
        <v>0</v>
      </c>
      <c r="JJ86" s="267">
        <f t="shared" si="306"/>
        <v>0</v>
      </c>
      <c r="JK86" s="267">
        <f t="shared" si="306"/>
        <v>0</v>
      </c>
      <c r="JL86" s="267">
        <f t="shared" si="306"/>
        <v>0</v>
      </c>
      <c r="JM86" s="267">
        <f t="shared" si="306"/>
        <v>0</v>
      </c>
      <c r="JN86" s="267">
        <f t="shared" si="306"/>
        <v>0</v>
      </c>
      <c r="JO86" s="267">
        <f t="shared" si="306"/>
        <v>0</v>
      </c>
      <c r="JP86" s="267">
        <f t="shared" si="306"/>
        <v>0</v>
      </c>
      <c r="JQ86" s="267">
        <f t="shared" si="306"/>
        <v>0</v>
      </c>
      <c r="JR86" s="267">
        <f t="shared" si="306"/>
        <v>0</v>
      </c>
      <c r="JS86" s="267">
        <f t="shared" si="306"/>
        <v>0</v>
      </c>
      <c r="JT86" s="267">
        <f>MIN(JT73,$EU$86)</f>
        <v>0</v>
      </c>
      <c r="JU86" s="267">
        <f>MIN(JU73,$EU$86)</f>
        <v>0</v>
      </c>
      <c r="JV86" s="267">
        <f>MIN(JV73,$EU$86)</f>
        <v>0</v>
      </c>
      <c r="JW86" s="267">
        <f>MIN(JW73,$EU$86)</f>
        <v>0</v>
      </c>
      <c r="JX86" s="267">
        <f>MIN(JX73,$EU$86)</f>
        <v>0</v>
      </c>
      <c r="JY86"/>
      <c r="JZ86" s="262"/>
      <c r="KA86" s="262"/>
      <c r="KB86" s="262"/>
      <c r="KC86" s="262"/>
      <c r="KD86" s="262"/>
      <c r="KE86" s="262"/>
      <c r="KF86" s="262"/>
      <c r="KG86" s="262"/>
      <c r="KH86" s="262"/>
      <c r="KI86" s="262"/>
      <c r="KJ86" s="262"/>
      <c r="KK86" s="262"/>
      <c r="KL86" s="262"/>
      <c r="KM86" s="262"/>
      <c r="KN86" s="262"/>
      <c r="KO86" s="262"/>
      <c r="KP86" s="262"/>
      <c r="KQ86" s="262"/>
      <c r="KR86" s="262"/>
      <c r="KS86" s="262"/>
      <c r="KT86" s="262"/>
      <c r="KU86" s="262"/>
      <c r="KV86" s="262"/>
      <c r="KW86" s="262"/>
      <c r="KX86" s="262"/>
      <c r="KY86" s="262"/>
      <c r="KZ86" s="262"/>
      <c r="LA86" s="262"/>
      <c r="LB86" s="262"/>
      <c r="LC86" s="262"/>
      <c r="LD86" s="262"/>
      <c r="LE86" s="262"/>
      <c r="LF86" s="262"/>
      <c r="LG86" s="262"/>
      <c r="LH86" s="262"/>
      <c r="LI86" s="262"/>
      <c r="LJ86" s="262"/>
      <c r="LK86" s="262"/>
      <c r="LL86" s="262"/>
      <c r="LM86" s="262"/>
      <c r="LN86" s="262"/>
      <c r="LO86" s="262"/>
      <c r="LP86" s="262"/>
      <c r="LQ86" s="262"/>
      <c r="LR86" s="262"/>
      <c r="LS86" s="262"/>
      <c r="LT86" s="262"/>
      <c r="LU86" s="262"/>
      <c r="LV86" s="262"/>
      <c r="LW86" s="262"/>
      <c r="LX86" s="262"/>
      <c r="LY86" s="262"/>
      <c r="LZ86" s="262"/>
      <c r="MA86" s="262"/>
      <c r="MB86" s="262"/>
      <c r="MC86" s="262"/>
      <c r="MD86" s="262"/>
      <c r="ME86" s="262"/>
      <c r="MF86" s="262"/>
      <c r="MG86" s="262"/>
      <c r="MH86" s="262"/>
      <c r="MI86" s="262"/>
      <c r="MJ86" s="262"/>
      <c r="MK86" s="262"/>
      <c r="ML86" s="262"/>
      <c r="MM86" s="262"/>
      <c r="MN86" s="262"/>
      <c r="MO86" s="262"/>
      <c r="MP86" s="262"/>
      <c r="MQ86" s="262"/>
      <c r="MR86" s="262"/>
      <c r="MS86" s="262"/>
      <c r="MT86" s="262"/>
      <c r="MU86" s="262"/>
      <c r="MV86" s="262"/>
      <c r="MW86" s="262"/>
      <c r="MX86" s="262"/>
      <c r="MY86" s="262"/>
      <c r="MZ86" s="262"/>
      <c r="NA86" s="262"/>
      <c r="NB86" s="262"/>
      <c r="NC86" s="262"/>
      <c r="ND86" s="262"/>
      <c r="NE86" s="262"/>
      <c r="NF86" s="262"/>
      <c r="NG86" s="262"/>
      <c r="NH86" s="262"/>
      <c r="NI86" s="262"/>
      <c r="NJ86" s="262"/>
      <c r="NK86" s="262"/>
      <c r="NL86" s="262"/>
      <c r="NM86" s="262"/>
      <c r="NN86" s="262"/>
      <c r="NO86" s="262"/>
      <c r="NP86" s="262"/>
      <c r="NQ86" s="262"/>
      <c r="NR86" s="262"/>
      <c r="NS86" s="262"/>
      <c r="NT86" s="262"/>
      <c r="NU86" s="262"/>
      <c r="NV86" s="262"/>
      <c r="NW86" s="262"/>
      <c r="NX86" s="262"/>
      <c r="NY86" s="262"/>
      <c r="NZ86" s="262"/>
      <c r="OA86" s="262"/>
      <c r="OB86" s="262"/>
      <c r="OC86" s="262"/>
      <c r="OD86" s="262"/>
      <c r="OE86" s="262"/>
      <c r="OF86" s="262"/>
      <c r="OG86" s="262"/>
      <c r="OH86" s="262"/>
      <c r="OI86" s="262"/>
      <c r="OJ86" s="262"/>
      <c r="OK86" s="262"/>
      <c r="OL86" s="262"/>
      <c r="OM86" s="262"/>
      <c r="ON86" s="262"/>
      <c r="OO86" s="262"/>
      <c r="OP86" s="262"/>
      <c r="OQ86" s="262"/>
      <c r="OR86" s="262"/>
      <c r="OS86" s="262"/>
      <c r="OT86" s="262"/>
      <c r="OU86" s="262"/>
      <c r="OV86" s="262"/>
      <c r="OW86" s="262"/>
      <c r="OX86" s="262"/>
      <c r="OY86" s="262"/>
      <c r="OZ86" s="262"/>
      <c r="PA86" s="262"/>
      <c r="PB86" s="262"/>
      <c r="PC86" s="262"/>
      <c r="PD86" s="262"/>
      <c r="PE86" s="262"/>
      <c r="PF86" s="262"/>
      <c r="PG86" s="262"/>
      <c r="PH86" s="262"/>
    </row>
    <row r="87" spans="1:424" x14ac:dyDescent="0.35">
      <c r="A87"/>
      <c r="B87" s="407" t="s">
        <v>221</v>
      </c>
      <c r="C87" s="456"/>
      <c r="D87" s="456"/>
      <c r="E87" s="456"/>
      <c r="F87" s="456" t="s">
        <v>222</v>
      </c>
      <c r="G87" s="456"/>
      <c r="H87" s="456"/>
      <c r="I87" s="456"/>
      <c r="J87" s="374"/>
      <c r="K87" s="22" t="s">
        <v>126</v>
      </c>
      <c r="L87" s="200">
        <f t="shared" ref="L87:AQ87" si="307">L24</f>
        <v>46203</v>
      </c>
      <c r="M87" s="200">
        <f t="shared" si="307"/>
        <v>46234</v>
      </c>
      <c r="N87" s="200">
        <f t="shared" si="307"/>
        <v>46265</v>
      </c>
      <c r="O87" s="200">
        <f t="shared" si="307"/>
        <v>46295</v>
      </c>
      <c r="P87" s="200">
        <f t="shared" si="307"/>
        <v>46326</v>
      </c>
      <c r="Q87" s="200">
        <f t="shared" si="307"/>
        <v>46356</v>
      </c>
      <c r="R87" s="200">
        <f t="shared" si="307"/>
        <v>46387</v>
      </c>
      <c r="S87" s="200">
        <f t="shared" si="307"/>
        <v>46418</v>
      </c>
      <c r="T87" s="200">
        <f t="shared" si="307"/>
        <v>46446</v>
      </c>
      <c r="U87" s="200">
        <f t="shared" si="307"/>
        <v>46477</v>
      </c>
      <c r="V87" s="200">
        <f t="shared" si="307"/>
        <v>46507</v>
      </c>
      <c r="W87" s="200">
        <f t="shared" si="307"/>
        <v>46538</v>
      </c>
      <c r="X87" s="200">
        <f t="shared" si="307"/>
        <v>46568</v>
      </c>
      <c r="Y87" s="200">
        <f t="shared" si="307"/>
        <v>46599</v>
      </c>
      <c r="Z87" s="200">
        <f t="shared" si="307"/>
        <v>46630</v>
      </c>
      <c r="AA87" s="200">
        <f t="shared" si="307"/>
        <v>46660</v>
      </c>
      <c r="AB87" s="200">
        <f t="shared" si="307"/>
        <v>46691</v>
      </c>
      <c r="AC87" s="200">
        <f t="shared" si="307"/>
        <v>46721</v>
      </c>
      <c r="AD87" s="200">
        <f t="shared" si="307"/>
        <v>46752</v>
      </c>
      <c r="AE87" s="200">
        <f t="shared" si="307"/>
        <v>46783</v>
      </c>
      <c r="AF87" s="200">
        <f t="shared" si="307"/>
        <v>46812</v>
      </c>
      <c r="AG87" s="200">
        <f t="shared" si="307"/>
        <v>46843</v>
      </c>
      <c r="AH87" s="200">
        <f t="shared" si="307"/>
        <v>46873</v>
      </c>
      <c r="AI87" s="200">
        <f t="shared" si="307"/>
        <v>46904</v>
      </c>
      <c r="AJ87" s="200">
        <f t="shared" si="307"/>
        <v>46934</v>
      </c>
      <c r="AK87" s="200">
        <f t="shared" si="307"/>
        <v>46965</v>
      </c>
      <c r="AL87" s="200">
        <f t="shared" si="307"/>
        <v>46996</v>
      </c>
      <c r="AM87" s="200">
        <f t="shared" si="307"/>
        <v>47026</v>
      </c>
      <c r="AN87" s="200">
        <f t="shared" si="307"/>
        <v>47057</v>
      </c>
      <c r="AO87" s="200">
        <f t="shared" si="307"/>
        <v>47087</v>
      </c>
      <c r="AP87" s="200">
        <f t="shared" si="307"/>
        <v>47118</v>
      </c>
      <c r="AQ87" s="200">
        <f t="shared" si="307"/>
        <v>47149</v>
      </c>
      <c r="AR87" s="200">
        <f t="shared" ref="AR87:BW87" si="308">AR24</f>
        <v>47177</v>
      </c>
      <c r="AS87" s="200">
        <f t="shared" si="308"/>
        <v>47208</v>
      </c>
      <c r="AT87" s="200">
        <f t="shared" si="308"/>
        <v>47238</v>
      </c>
      <c r="AU87" s="200">
        <f t="shared" si="308"/>
        <v>47269</v>
      </c>
      <c r="AV87" s="200">
        <f t="shared" si="308"/>
        <v>47299</v>
      </c>
      <c r="AW87" s="200">
        <f t="shared" si="308"/>
        <v>47330</v>
      </c>
      <c r="AX87" s="200">
        <f t="shared" si="308"/>
        <v>47361</v>
      </c>
      <c r="AY87" s="200">
        <f t="shared" si="308"/>
        <v>47391</v>
      </c>
      <c r="AZ87" s="200">
        <f t="shared" si="308"/>
        <v>47422</v>
      </c>
      <c r="BA87" s="200">
        <f t="shared" si="308"/>
        <v>47452</v>
      </c>
      <c r="BB87" s="200">
        <f t="shared" si="308"/>
        <v>47483</v>
      </c>
      <c r="BC87" s="200">
        <f t="shared" si="308"/>
        <v>47514</v>
      </c>
      <c r="BD87" s="200">
        <f t="shared" si="308"/>
        <v>47542</v>
      </c>
      <c r="BE87" s="200">
        <f t="shared" si="308"/>
        <v>47573</v>
      </c>
      <c r="BF87" s="200">
        <f t="shared" si="308"/>
        <v>47603</v>
      </c>
      <c r="BG87" s="200">
        <f t="shared" si="308"/>
        <v>47634</v>
      </c>
      <c r="BH87" s="200">
        <f t="shared" si="308"/>
        <v>47664</v>
      </c>
      <c r="BI87" s="200">
        <f t="shared" si="308"/>
        <v>47695</v>
      </c>
      <c r="BJ87" s="200">
        <f t="shared" si="308"/>
        <v>47726</v>
      </c>
      <c r="BK87" s="200">
        <f t="shared" si="308"/>
        <v>47756</v>
      </c>
      <c r="BL87" s="200">
        <f t="shared" si="308"/>
        <v>47787</v>
      </c>
      <c r="BM87" s="200">
        <f t="shared" si="308"/>
        <v>47817</v>
      </c>
      <c r="BN87" s="200">
        <f t="shared" si="308"/>
        <v>47848</v>
      </c>
      <c r="BO87" s="200">
        <f t="shared" si="308"/>
        <v>47879</v>
      </c>
      <c r="BP87" s="200">
        <f t="shared" si="308"/>
        <v>47907</v>
      </c>
      <c r="BQ87" s="200">
        <f t="shared" si="308"/>
        <v>47938</v>
      </c>
      <c r="BR87" s="200">
        <f t="shared" si="308"/>
        <v>47968</v>
      </c>
      <c r="BS87" s="200">
        <f t="shared" si="308"/>
        <v>47999</v>
      </c>
      <c r="BT87" s="200">
        <f t="shared" si="308"/>
        <v>48029</v>
      </c>
      <c r="BU87" s="200">
        <f t="shared" si="308"/>
        <v>48060</v>
      </c>
      <c r="BV87" s="200">
        <f t="shared" si="308"/>
        <v>48091</v>
      </c>
      <c r="BW87" s="200">
        <f t="shared" si="308"/>
        <v>48121</v>
      </c>
      <c r="BX87" s="200">
        <f t="shared" ref="BX87:DC87" si="309">BX24</f>
        <v>48152</v>
      </c>
      <c r="BY87" s="200">
        <f t="shared" si="309"/>
        <v>48182</v>
      </c>
      <c r="BZ87" s="200">
        <f t="shared" si="309"/>
        <v>48213</v>
      </c>
      <c r="CA87" s="200">
        <f t="shared" si="309"/>
        <v>48244</v>
      </c>
      <c r="CB87" s="200">
        <f t="shared" si="309"/>
        <v>48273</v>
      </c>
      <c r="CC87" s="200">
        <f t="shared" si="309"/>
        <v>48304</v>
      </c>
      <c r="CD87" s="200">
        <f t="shared" si="309"/>
        <v>48334</v>
      </c>
      <c r="CE87" s="200">
        <f t="shared" si="309"/>
        <v>48365</v>
      </c>
      <c r="CF87" s="200">
        <f t="shared" si="309"/>
        <v>48395</v>
      </c>
      <c r="CG87" s="200">
        <f t="shared" si="309"/>
        <v>48426</v>
      </c>
      <c r="CH87" s="200">
        <f t="shared" si="309"/>
        <v>48457</v>
      </c>
      <c r="CI87" s="200">
        <f t="shared" si="309"/>
        <v>48487</v>
      </c>
      <c r="CJ87" s="200">
        <f t="shared" si="309"/>
        <v>48518</v>
      </c>
      <c r="CK87" s="200">
        <f t="shared" si="309"/>
        <v>48548</v>
      </c>
      <c r="CL87" s="200">
        <f t="shared" si="309"/>
        <v>48579</v>
      </c>
      <c r="CM87" s="200">
        <f t="shared" si="309"/>
        <v>48610</v>
      </c>
      <c r="CN87" s="200">
        <f t="shared" si="309"/>
        <v>48638</v>
      </c>
      <c r="CO87" s="200">
        <f t="shared" si="309"/>
        <v>48669</v>
      </c>
      <c r="CP87" s="200">
        <f t="shared" si="309"/>
        <v>48699</v>
      </c>
      <c r="CQ87" s="200">
        <f t="shared" si="309"/>
        <v>48730</v>
      </c>
      <c r="CR87" s="200">
        <f t="shared" si="309"/>
        <v>48760</v>
      </c>
      <c r="CS87" s="200">
        <f t="shared" si="309"/>
        <v>48791</v>
      </c>
      <c r="CT87" s="200">
        <f t="shared" si="309"/>
        <v>48822</v>
      </c>
      <c r="CU87" s="200">
        <f t="shared" si="309"/>
        <v>48852</v>
      </c>
      <c r="CV87" s="200">
        <f t="shared" si="309"/>
        <v>48883</v>
      </c>
      <c r="CW87" s="200">
        <f t="shared" si="309"/>
        <v>48913</v>
      </c>
      <c r="CX87" s="200">
        <f t="shared" si="309"/>
        <v>48944</v>
      </c>
      <c r="CY87" s="200">
        <f t="shared" si="309"/>
        <v>48975</v>
      </c>
      <c r="CZ87" s="200">
        <f t="shared" si="309"/>
        <v>49003</v>
      </c>
      <c r="DA87" s="200">
        <f t="shared" si="309"/>
        <v>49034</v>
      </c>
      <c r="DB87" s="200">
        <f t="shared" si="309"/>
        <v>49064</v>
      </c>
      <c r="DC87" s="200">
        <f t="shared" si="309"/>
        <v>49095</v>
      </c>
      <c r="DD87" s="200">
        <f t="shared" ref="DD87:EN87" si="310">DD24</f>
        <v>49125</v>
      </c>
      <c r="DE87" s="200">
        <f t="shared" si="310"/>
        <v>49156</v>
      </c>
      <c r="DF87" s="200">
        <f t="shared" si="310"/>
        <v>49187</v>
      </c>
      <c r="DG87" s="200">
        <f t="shared" si="310"/>
        <v>49217</v>
      </c>
      <c r="DH87" s="200">
        <f t="shared" si="310"/>
        <v>49248</v>
      </c>
      <c r="DI87" s="200">
        <f t="shared" si="310"/>
        <v>49278</v>
      </c>
      <c r="DJ87" s="200">
        <f t="shared" si="310"/>
        <v>49309</v>
      </c>
      <c r="DK87" s="200">
        <f t="shared" si="310"/>
        <v>49340</v>
      </c>
      <c r="DL87" s="200">
        <f t="shared" si="310"/>
        <v>49368</v>
      </c>
      <c r="DM87" s="200">
        <f t="shared" si="310"/>
        <v>49399</v>
      </c>
      <c r="DN87" s="200">
        <f t="shared" si="310"/>
        <v>49429</v>
      </c>
      <c r="DO87" s="200">
        <f t="shared" si="310"/>
        <v>49460</v>
      </c>
      <c r="DP87" s="200">
        <f t="shared" si="310"/>
        <v>49490</v>
      </c>
      <c r="DQ87" s="200">
        <f t="shared" si="310"/>
        <v>49521</v>
      </c>
      <c r="DR87" s="200">
        <f t="shared" si="310"/>
        <v>49552</v>
      </c>
      <c r="DS87" s="200">
        <f t="shared" si="310"/>
        <v>49582</v>
      </c>
      <c r="DT87" s="200">
        <f t="shared" si="310"/>
        <v>49613</v>
      </c>
      <c r="DU87" s="200">
        <f t="shared" si="310"/>
        <v>49643</v>
      </c>
      <c r="DV87" s="200">
        <f t="shared" si="310"/>
        <v>49674</v>
      </c>
      <c r="DW87" s="200">
        <f t="shared" si="310"/>
        <v>49705</v>
      </c>
      <c r="DX87" s="200">
        <f t="shared" si="310"/>
        <v>49734</v>
      </c>
      <c r="DY87" s="200">
        <f t="shared" si="310"/>
        <v>49765</v>
      </c>
      <c r="DZ87" s="200">
        <f t="shared" si="310"/>
        <v>49795</v>
      </c>
      <c r="EA87" s="200">
        <f t="shared" si="310"/>
        <v>49826</v>
      </c>
      <c r="EB87" s="200">
        <f t="shared" si="310"/>
        <v>49856</v>
      </c>
      <c r="EC87" s="200">
        <f t="shared" si="310"/>
        <v>49887</v>
      </c>
      <c r="ED87" s="200">
        <f t="shared" si="310"/>
        <v>49918</v>
      </c>
      <c r="EE87" s="200">
        <f t="shared" si="310"/>
        <v>49948</v>
      </c>
      <c r="EF87" s="200">
        <f t="shared" si="310"/>
        <v>49979</v>
      </c>
      <c r="EG87" s="200">
        <f t="shared" si="310"/>
        <v>50009</v>
      </c>
      <c r="EH87" s="200">
        <f t="shared" si="310"/>
        <v>50040</v>
      </c>
      <c r="EI87" s="200">
        <f t="shared" si="310"/>
        <v>50071</v>
      </c>
      <c r="EJ87" s="200">
        <f t="shared" si="310"/>
        <v>50099</v>
      </c>
      <c r="EK87" s="200">
        <f t="shared" si="310"/>
        <v>50130</v>
      </c>
      <c r="EL87" s="200">
        <f t="shared" si="310"/>
        <v>50160</v>
      </c>
      <c r="EM87" s="200">
        <f t="shared" si="310"/>
        <v>50191</v>
      </c>
      <c r="EN87" s="200">
        <f t="shared" si="310"/>
        <v>50221</v>
      </c>
      <c r="EO87"/>
      <c r="EP87" s="262" t="s">
        <v>223</v>
      </c>
      <c r="EQ87" s="262"/>
      <c r="ER87" s="20"/>
      <c r="ES87" s="20" t="str">
        <f>IF(ROUND(MAX(EV87:JX87),0)=ROUND(EU87,0),"OK","ERROR")</f>
        <v>OK</v>
      </c>
      <c r="ET87" s="304">
        <f>1-ET86</f>
        <v>0</v>
      </c>
      <c r="EU87" s="267">
        <f>+$I$72*ET87</f>
        <v>0</v>
      </c>
      <c r="EV87" s="267">
        <f>EV73-EV86</f>
        <v>0</v>
      </c>
      <c r="EW87" s="267">
        <f t="shared" ref="EW87:HH87" si="311">EW73-EW86</f>
        <v>0</v>
      </c>
      <c r="EX87" s="267">
        <f t="shared" si="311"/>
        <v>0</v>
      </c>
      <c r="EY87" s="267">
        <f t="shared" si="311"/>
        <v>0</v>
      </c>
      <c r="EZ87" s="267">
        <f t="shared" si="311"/>
        <v>0</v>
      </c>
      <c r="FA87" s="267">
        <f t="shared" si="311"/>
        <v>0</v>
      </c>
      <c r="FB87" s="267">
        <f t="shared" si="311"/>
        <v>0</v>
      </c>
      <c r="FC87" s="267">
        <f t="shared" si="311"/>
        <v>0</v>
      </c>
      <c r="FD87" s="267">
        <f t="shared" si="311"/>
        <v>0</v>
      </c>
      <c r="FE87" s="267">
        <f t="shared" si="311"/>
        <v>0</v>
      </c>
      <c r="FF87" s="267">
        <f t="shared" si="311"/>
        <v>0</v>
      </c>
      <c r="FG87" s="267">
        <f t="shared" si="311"/>
        <v>0</v>
      </c>
      <c r="FH87" s="267">
        <f t="shared" si="311"/>
        <v>0</v>
      </c>
      <c r="FI87" s="267">
        <f t="shared" si="311"/>
        <v>0</v>
      </c>
      <c r="FJ87" s="267">
        <f t="shared" si="311"/>
        <v>0</v>
      </c>
      <c r="FK87" s="267">
        <f t="shared" si="311"/>
        <v>0</v>
      </c>
      <c r="FL87" s="267">
        <f t="shared" si="311"/>
        <v>0</v>
      </c>
      <c r="FM87" s="267">
        <f t="shared" si="311"/>
        <v>0</v>
      </c>
      <c r="FN87" s="267">
        <f t="shared" si="311"/>
        <v>0</v>
      </c>
      <c r="FO87" s="267">
        <f t="shared" si="311"/>
        <v>0</v>
      </c>
      <c r="FP87" s="267">
        <f t="shared" si="311"/>
        <v>0</v>
      </c>
      <c r="FQ87" s="267">
        <f t="shared" si="311"/>
        <v>0</v>
      </c>
      <c r="FR87" s="267">
        <f t="shared" si="311"/>
        <v>0</v>
      </c>
      <c r="FS87" s="267">
        <f t="shared" si="311"/>
        <v>0</v>
      </c>
      <c r="FT87" s="267">
        <f t="shared" si="311"/>
        <v>0</v>
      </c>
      <c r="FU87" s="267">
        <f t="shared" si="311"/>
        <v>0</v>
      </c>
      <c r="FV87" s="267">
        <f t="shared" si="311"/>
        <v>0</v>
      </c>
      <c r="FW87" s="267">
        <f t="shared" si="311"/>
        <v>0</v>
      </c>
      <c r="FX87" s="267">
        <f t="shared" si="311"/>
        <v>0</v>
      </c>
      <c r="FY87" s="267">
        <f t="shared" si="311"/>
        <v>0</v>
      </c>
      <c r="FZ87" s="267">
        <f t="shared" si="311"/>
        <v>0</v>
      </c>
      <c r="GA87" s="267">
        <f t="shared" si="311"/>
        <v>0</v>
      </c>
      <c r="GB87" s="267">
        <f t="shared" si="311"/>
        <v>0</v>
      </c>
      <c r="GC87" s="267">
        <f t="shared" si="311"/>
        <v>0</v>
      </c>
      <c r="GD87" s="267">
        <f t="shared" si="311"/>
        <v>0</v>
      </c>
      <c r="GE87" s="267">
        <f t="shared" si="311"/>
        <v>0</v>
      </c>
      <c r="GF87" s="267">
        <f t="shared" si="311"/>
        <v>0</v>
      </c>
      <c r="GG87" s="267">
        <f t="shared" si="311"/>
        <v>0</v>
      </c>
      <c r="GH87" s="267">
        <f t="shared" si="311"/>
        <v>0</v>
      </c>
      <c r="GI87" s="267">
        <f t="shared" si="311"/>
        <v>0</v>
      </c>
      <c r="GJ87" s="267">
        <f t="shared" si="311"/>
        <v>0</v>
      </c>
      <c r="GK87" s="267">
        <f t="shared" si="311"/>
        <v>0</v>
      </c>
      <c r="GL87" s="267">
        <f t="shared" si="311"/>
        <v>0</v>
      </c>
      <c r="GM87" s="267">
        <f t="shared" si="311"/>
        <v>0</v>
      </c>
      <c r="GN87" s="267">
        <f t="shared" si="311"/>
        <v>0</v>
      </c>
      <c r="GO87" s="267">
        <f t="shared" si="311"/>
        <v>0</v>
      </c>
      <c r="GP87" s="267">
        <f t="shared" si="311"/>
        <v>0</v>
      </c>
      <c r="GQ87" s="267">
        <f t="shared" si="311"/>
        <v>0</v>
      </c>
      <c r="GR87" s="267">
        <f t="shared" si="311"/>
        <v>0</v>
      </c>
      <c r="GS87" s="267">
        <f t="shared" si="311"/>
        <v>0</v>
      </c>
      <c r="GT87" s="267">
        <f t="shared" si="311"/>
        <v>0</v>
      </c>
      <c r="GU87" s="267">
        <f t="shared" si="311"/>
        <v>0</v>
      </c>
      <c r="GV87" s="267">
        <f t="shared" si="311"/>
        <v>0</v>
      </c>
      <c r="GW87" s="267">
        <f t="shared" si="311"/>
        <v>0</v>
      </c>
      <c r="GX87" s="267">
        <f t="shared" si="311"/>
        <v>0</v>
      </c>
      <c r="GY87" s="267">
        <f t="shared" si="311"/>
        <v>0</v>
      </c>
      <c r="GZ87" s="267">
        <f t="shared" si="311"/>
        <v>0</v>
      </c>
      <c r="HA87" s="267">
        <f t="shared" si="311"/>
        <v>0</v>
      </c>
      <c r="HB87" s="267">
        <f t="shared" si="311"/>
        <v>0</v>
      </c>
      <c r="HC87" s="267">
        <f t="shared" si="311"/>
        <v>0</v>
      </c>
      <c r="HD87" s="267">
        <f t="shared" si="311"/>
        <v>0</v>
      </c>
      <c r="HE87" s="267">
        <f t="shared" si="311"/>
        <v>0</v>
      </c>
      <c r="HF87" s="267">
        <f t="shared" si="311"/>
        <v>0</v>
      </c>
      <c r="HG87" s="267">
        <f t="shared" si="311"/>
        <v>0</v>
      </c>
      <c r="HH87" s="267">
        <f t="shared" si="311"/>
        <v>0</v>
      </c>
      <c r="HI87" s="267">
        <f t="shared" ref="HI87:JT87" si="312">HI73-HI86</f>
        <v>0</v>
      </c>
      <c r="HJ87" s="267">
        <f t="shared" si="312"/>
        <v>0</v>
      </c>
      <c r="HK87" s="267">
        <f t="shared" si="312"/>
        <v>0</v>
      </c>
      <c r="HL87" s="267">
        <f t="shared" si="312"/>
        <v>0</v>
      </c>
      <c r="HM87" s="267">
        <f t="shared" si="312"/>
        <v>0</v>
      </c>
      <c r="HN87" s="267">
        <f t="shared" si="312"/>
        <v>0</v>
      </c>
      <c r="HO87" s="267">
        <f t="shared" si="312"/>
        <v>0</v>
      </c>
      <c r="HP87" s="267">
        <f t="shared" si="312"/>
        <v>0</v>
      </c>
      <c r="HQ87" s="267">
        <f t="shared" si="312"/>
        <v>0</v>
      </c>
      <c r="HR87" s="267">
        <f t="shared" si="312"/>
        <v>0</v>
      </c>
      <c r="HS87" s="267">
        <f t="shared" si="312"/>
        <v>0</v>
      </c>
      <c r="HT87" s="267">
        <f t="shared" si="312"/>
        <v>0</v>
      </c>
      <c r="HU87" s="267">
        <f t="shared" si="312"/>
        <v>0</v>
      </c>
      <c r="HV87" s="267">
        <f t="shared" si="312"/>
        <v>0</v>
      </c>
      <c r="HW87" s="267">
        <f t="shared" si="312"/>
        <v>0</v>
      </c>
      <c r="HX87" s="267">
        <f t="shared" si="312"/>
        <v>0</v>
      </c>
      <c r="HY87" s="267">
        <f t="shared" si="312"/>
        <v>0</v>
      </c>
      <c r="HZ87" s="267">
        <f t="shared" si="312"/>
        <v>0</v>
      </c>
      <c r="IA87" s="267">
        <f t="shared" si="312"/>
        <v>0</v>
      </c>
      <c r="IB87" s="267">
        <f t="shared" si="312"/>
        <v>0</v>
      </c>
      <c r="IC87" s="267">
        <f t="shared" si="312"/>
        <v>0</v>
      </c>
      <c r="ID87" s="267">
        <f t="shared" si="312"/>
        <v>0</v>
      </c>
      <c r="IE87" s="267">
        <f t="shared" si="312"/>
        <v>0</v>
      </c>
      <c r="IF87" s="267">
        <f t="shared" si="312"/>
        <v>0</v>
      </c>
      <c r="IG87" s="267">
        <f t="shared" si="312"/>
        <v>0</v>
      </c>
      <c r="IH87" s="267">
        <f t="shared" si="312"/>
        <v>0</v>
      </c>
      <c r="II87" s="267">
        <f t="shared" si="312"/>
        <v>0</v>
      </c>
      <c r="IJ87" s="267">
        <f t="shared" si="312"/>
        <v>0</v>
      </c>
      <c r="IK87" s="267">
        <f t="shared" si="312"/>
        <v>0</v>
      </c>
      <c r="IL87" s="267">
        <f t="shared" si="312"/>
        <v>0</v>
      </c>
      <c r="IM87" s="267">
        <f t="shared" si="312"/>
        <v>0</v>
      </c>
      <c r="IN87" s="267">
        <f t="shared" si="312"/>
        <v>0</v>
      </c>
      <c r="IO87" s="267">
        <f t="shared" si="312"/>
        <v>0</v>
      </c>
      <c r="IP87" s="267">
        <f t="shared" si="312"/>
        <v>0</v>
      </c>
      <c r="IQ87" s="267">
        <f t="shared" si="312"/>
        <v>0</v>
      </c>
      <c r="IR87" s="267">
        <f t="shared" si="312"/>
        <v>0</v>
      </c>
      <c r="IS87" s="267">
        <f t="shared" si="312"/>
        <v>0</v>
      </c>
      <c r="IT87" s="267">
        <f t="shared" si="312"/>
        <v>0</v>
      </c>
      <c r="IU87" s="267">
        <f t="shared" si="312"/>
        <v>0</v>
      </c>
      <c r="IV87" s="267">
        <f t="shared" si="312"/>
        <v>0</v>
      </c>
      <c r="IW87" s="267">
        <f t="shared" si="312"/>
        <v>0</v>
      </c>
      <c r="IX87" s="267">
        <f t="shared" si="312"/>
        <v>0</v>
      </c>
      <c r="IY87" s="267">
        <f t="shared" si="312"/>
        <v>0</v>
      </c>
      <c r="IZ87" s="267">
        <f t="shared" si="312"/>
        <v>0</v>
      </c>
      <c r="JA87" s="267">
        <f t="shared" si="312"/>
        <v>0</v>
      </c>
      <c r="JB87" s="267">
        <f t="shared" si="312"/>
        <v>0</v>
      </c>
      <c r="JC87" s="267">
        <f t="shared" si="312"/>
        <v>0</v>
      </c>
      <c r="JD87" s="267">
        <f t="shared" si="312"/>
        <v>0</v>
      </c>
      <c r="JE87" s="267">
        <f t="shared" si="312"/>
        <v>0</v>
      </c>
      <c r="JF87" s="267">
        <f t="shared" si="312"/>
        <v>0</v>
      </c>
      <c r="JG87" s="267">
        <f t="shared" si="312"/>
        <v>0</v>
      </c>
      <c r="JH87" s="267">
        <f t="shared" si="312"/>
        <v>0</v>
      </c>
      <c r="JI87" s="267">
        <f t="shared" si="312"/>
        <v>0</v>
      </c>
      <c r="JJ87" s="267">
        <f t="shared" si="312"/>
        <v>0</v>
      </c>
      <c r="JK87" s="267">
        <f t="shared" si="312"/>
        <v>0</v>
      </c>
      <c r="JL87" s="267">
        <f t="shared" si="312"/>
        <v>0</v>
      </c>
      <c r="JM87" s="267">
        <f t="shared" si="312"/>
        <v>0</v>
      </c>
      <c r="JN87" s="267">
        <f t="shared" si="312"/>
        <v>0</v>
      </c>
      <c r="JO87" s="267">
        <f t="shared" si="312"/>
        <v>0</v>
      </c>
      <c r="JP87" s="267">
        <f t="shared" si="312"/>
        <v>0</v>
      </c>
      <c r="JQ87" s="267">
        <f t="shared" si="312"/>
        <v>0</v>
      </c>
      <c r="JR87" s="267">
        <f t="shared" si="312"/>
        <v>0</v>
      </c>
      <c r="JS87" s="267">
        <f t="shared" si="312"/>
        <v>0</v>
      </c>
      <c r="JT87" s="267">
        <f t="shared" si="312"/>
        <v>0</v>
      </c>
      <c r="JU87" s="267">
        <f>JU73-JU86</f>
        <v>0</v>
      </c>
      <c r="JV87" s="267">
        <f>JV73-JV86</f>
        <v>0</v>
      </c>
      <c r="JW87" s="267">
        <f>JW73-JW86</f>
        <v>0</v>
      </c>
      <c r="JX87" s="267">
        <f>JX73-JX86</f>
        <v>0</v>
      </c>
      <c r="JY87"/>
      <c r="JZ87" s="262"/>
      <c r="KA87" s="262"/>
      <c r="KB87" s="262"/>
      <c r="KC87" s="262"/>
      <c r="KD87" s="262"/>
      <c r="KE87" s="262"/>
      <c r="KF87" s="262"/>
      <c r="KG87" s="262"/>
      <c r="KH87" s="262"/>
      <c r="KI87" s="262"/>
      <c r="KJ87" s="262"/>
      <c r="KK87" s="262"/>
      <c r="KL87" s="262"/>
      <c r="KM87" s="262"/>
      <c r="KN87" s="262"/>
      <c r="KO87" s="262"/>
      <c r="KP87" s="262"/>
      <c r="KQ87" s="262"/>
      <c r="KR87" s="262"/>
      <c r="KS87" s="262"/>
      <c r="KT87" s="262"/>
      <c r="KU87" s="262"/>
      <c r="KV87" s="262"/>
      <c r="KW87" s="262"/>
      <c r="KX87" s="262"/>
      <c r="KY87" s="262"/>
      <c r="KZ87" s="262"/>
      <c r="LA87" s="262"/>
      <c r="LB87" s="262"/>
      <c r="LC87" s="262"/>
      <c r="LD87" s="262"/>
      <c r="LE87" s="262"/>
      <c r="LF87" s="262"/>
      <c r="LG87" s="262"/>
      <c r="LH87" s="262"/>
      <c r="LI87" s="262"/>
      <c r="LJ87" s="262"/>
      <c r="LK87" s="262"/>
      <c r="LL87" s="262"/>
      <c r="LM87" s="262"/>
      <c r="LN87" s="262"/>
      <c r="LO87" s="262"/>
      <c r="LP87" s="262"/>
      <c r="LQ87" s="262"/>
      <c r="LR87" s="262"/>
      <c r="LS87" s="262"/>
      <c r="LT87" s="262"/>
      <c r="LU87" s="262"/>
      <c r="LV87" s="262"/>
      <c r="LW87" s="262"/>
      <c r="LX87" s="262"/>
      <c r="LY87" s="262"/>
      <c r="LZ87" s="262"/>
      <c r="MA87" s="262"/>
      <c r="MB87" s="262"/>
      <c r="MC87" s="262"/>
      <c r="MD87" s="262"/>
      <c r="ME87" s="262"/>
      <c r="MF87" s="262"/>
      <c r="MG87" s="262"/>
      <c r="MH87" s="262"/>
      <c r="MI87" s="262"/>
      <c r="MJ87" s="262"/>
      <c r="MK87" s="262"/>
      <c r="ML87" s="262"/>
      <c r="MM87" s="262"/>
      <c r="MN87" s="262"/>
      <c r="MO87" s="262"/>
      <c r="MP87" s="262"/>
      <c r="MQ87" s="262"/>
      <c r="MR87" s="262"/>
      <c r="MS87" s="262"/>
      <c r="MT87" s="262"/>
      <c r="MU87" s="262"/>
      <c r="MV87" s="262"/>
      <c r="MW87" s="262"/>
      <c r="MX87" s="262"/>
      <c r="MY87" s="262"/>
      <c r="MZ87" s="262"/>
      <c r="NA87" s="262"/>
      <c r="NB87" s="262"/>
      <c r="NC87" s="262"/>
      <c r="ND87" s="262"/>
      <c r="NE87" s="262"/>
      <c r="NF87" s="262"/>
      <c r="NG87" s="262"/>
      <c r="NH87" s="262"/>
      <c r="NI87" s="262"/>
      <c r="NJ87" s="262"/>
      <c r="NK87" s="262"/>
      <c r="NL87" s="262"/>
      <c r="NM87" s="262"/>
      <c r="NN87" s="262"/>
      <c r="NO87" s="262"/>
      <c r="NP87" s="262"/>
      <c r="NQ87" s="262"/>
      <c r="NR87" s="262"/>
      <c r="NS87" s="262"/>
      <c r="NT87" s="262"/>
      <c r="NU87" s="262"/>
      <c r="NV87" s="262"/>
      <c r="NW87" s="262"/>
      <c r="NX87" s="262"/>
      <c r="NY87" s="262"/>
      <c r="NZ87" s="262"/>
      <c r="OA87" s="262"/>
      <c r="OB87" s="262"/>
      <c r="OC87" s="262"/>
      <c r="OD87" s="262"/>
      <c r="OE87" s="262"/>
      <c r="OF87" s="262"/>
      <c r="OG87" s="262"/>
      <c r="OH87" s="262"/>
      <c r="OI87" s="262"/>
      <c r="OJ87" s="262"/>
      <c r="OK87" s="262"/>
      <c r="OL87" s="262"/>
      <c r="OM87" s="262"/>
      <c r="ON87" s="262"/>
      <c r="OO87" s="262"/>
      <c r="OP87" s="262"/>
      <c r="OQ87" s="262"/>
      <c r="OR87" s="262"/>
      <c r="OS87" s="262"/>
      <c r="OT87" s="262"/>
      <c r="OU87" s="262"/>
      <c r="OV87" s="262"/>
      <c r="OW87" s="262"/>
      <c r="OX87" s="262"/>
      <c r="OY87" s="262"/>
      <c r="OZ87" s="262"/>
      <c r="PA87" s="262"/>
      <c r="PB87" s="262"/>
      <c r="PC87" s="262"/>
      <c r="PD87" s="262"/>
      <c r="PE87" s="262"/>
      <c r="PF87" s="262"/>
      <c r="PG87" s="262"/>
      <c r="PH87" s="262"/>
    </row>
    <row r="88" spans="1:424" x14ac:dyDescent="0.35">
      <c r="A88" s="448">
        <v>0</v>
      </c>
      <c r="B88" s="34" t="s">
        <v>224</v>
      </c>
      <c r="C88" s="397"/>
      <c r="D88" s="841">
        <f>(VALUE(RIGHT('URWLD COMPANY INPUTS'!$F$47,4))-VALUE(RIGHT('URWLD COMPANY INPUTS'!$F$45,4)))*12+(VALUE(MID('URWLD COMPANY INPUTS'!$F$47,2,1))-VALUE(MID('URWLD COMPANY INPUTS'!$F$45,2,1)))*3+1</f>
        <v>37</v>
      </c>
      <c r="E88" s="397"/>
      <c r="F88" s="459" t="s">
        <v>225</v>
      </c>
      <c r="G88" s="460">
        <v>0.5</v>
      </c>
      <c r="H88" s="459" t="s">
        <v>226</v>
      </c>
      <c r="I88" s="461">
        <v>1</v>
      </c>
      <c r="J88"/>
      <c r="K88" s="446" t="s">
        <v>227</v>
      </c>
      <c r="L88" s="22" t="str">
        <f t="shared" ref="L88:AQ88" si="313">IF(L86&lt;Timing_Operation_Begin_Month,"Const.",IF(L89&lt;1,"Lease-Up","Stabilized"))</f>
        <v>Const.</v>
      </c>
      <c r="M88" s="22" t="str">
        <f t="shared" si="313"/>
        <v>Const.</v>
      </c>
      <c r="N88" s="22" t="str">
        <f t="shared" si="313"/>
        <v>Const.</v>
      </c>
      <c r="O88" s="22" t="str">
        <f t="shared" si="313"/>
        <v>Const.</v>
      </c>
      <c r="P88" s="22" t="str">
        <f t="shared" si="313"/>
        <v>Const.</v>
      </c>
      <c r="Q88" s="22" t="str">
        <f t="shared" si="313"/>
        <v>Const.</v>
      </c>
      <c r="R88" s="22" t="str">
        <f t="shared" si="313"/>
        <v>Const.</v>
      </c>
      <c r="S88" s="22" t="str">
        <f t="shared" si="313"/>
        <v>Const.</v>
      </c>
      <c r="T88" s="22" t="str">
        <f t="shared" si="313"/>
        <v>Const.</v>
      </c>
      <c r="U88" s="22" t="str">
        <f t="shared" si="313"/>
        <v>Const.</v>
      </c>
      <c r="V88" s="22" t="str">
        <f t="shared" si="313"/>
        <v>Const.</v>
      </c>
      <c r="W88" s="22" t="str">
        <f t="shared" si="313"/>
        <v>Const.</v>
      </c>
      <c r="X88" s="22" t="str">
        <f t="shared" si="313"/>
        <v>Const.</v>
      </c>
      <c r="Y88" s="22" t="str">
        <f t="shared" si="313"/>
        <v>Const.</v>
      </c>
      <c r="Z88" s="22" t="str">
        <f t="shared" si="313"/>
        <v>Const.</v>
      </c>
      <c r="AA88" s="22" t="str">
        <f t="shared" si="313"/>
        <v>Const.</v>
      </c>
      <c r="AB88" s="22" t="str">
        <f t="shared" si="313"/>
        <v>Const.</v>
      </c>
      <c r="AC88" s="22" t="str">
        <f t="shared" si="313"/>
        <v>Const.</v>
      </c>
      <c r="AD88" s="22" t="str">
        <f t="shared" si="313"/>
        <v>Const.</v>
      </c>
      <c r="AE88" s="22" t="str">
        <f t="shared" si="313"/>
        <v>Const.</v>
      </c>
      <c r="AF88" s="22" t="str">
        <f t="shared" si="313"/>
        <v>Const.</v>
      </c>
      <c r="AG88" s="22" t="str">
        <f t="shared" si="313"/>
        <v>Const.</v>
      </c>
      <c r="AH88" s="22" t="str">
        <f t="shared" si="313"/>
        <v>Const.</v>
      </c>
      <c r="AI88" s="22" t="str">
        <f t="shared" si="313"/>
        <v>Const.</v>
      </c>
      <c r="AJ88" s="22" t="str">
        <f t="shared" si="313"/>
        <v>Const.</v>
      </c>
      <c r="AK88" s="22" t="str">
        <f t="shared" si="313"/>
        <v>Const.</v>
      </c>
      <c r="AL88" s="22" t="str">
        <f t="shared" si="313"/>
        <v>Const.</v>
      </c>
      <c r="AM88" s="22" t="str">
        <f t="shared" si="313"/>
        <v>Const.</v>
      </c>
      <c r="AN88" s="22" t="str">
        <f t="shared" si="313"/>
        <v>Const.</v>
      </c>
      <c r="AO88" s="22" t="str">
        <f t="shared" si="313"/>
        <v>Const.</v>
      </c>
      <c r="AP88" s="22" t="str">
        <f t="shared" si="313"/>
        <v>Const.</v>
      </c>
      <c r="AQ88" s="22" t="str">
        <f t="shared" si="313"/>
        <v>Const.</v>
      </c>
      <c r="AR88" s="22" t="str">
        <f t="shared" ref="AR88:BW88" si="314">IF(AR86&lt;Timing_Operation_Begin_Month,"Const.",IF(AR89&lt;1,"Lease-Up","Stabilized"))</f>
        <v>Const.</v>
      </c>
      <c r="AS88" s="22" t="str">
        <f t="shared" si="314"/>
        <v>Const.</v>
      </c>
      <c r="AT88" s="22" t="str">
        <f t="shared" si="314"/>
        <v>Const.</v>
      </c>
      <c r="AU88" s="22" t="str">
        <f t="shared" si="314"/>
        <v>Const.</v>
      </c>
      <c r="AV88" s="22" t="str">
        <f t="shared" si="314"/>
        <v>Const.</v>
      </c>
      <c r="AW88" s="22" t="str">
        <f t="shared" si="314"/>
        <v>Lease-Up</v>
      </c>
      <c r="AX88" s="22" t="str">
        <f t="shared" si="314"/>
        <v>Lease-Up</v>
      </c>
      <c r="AY88" s="22" t="str">
        <f t="shared" si="314"/>
        <v>Lease-Up</v>
      </c>
      <c r="AZ88" s="22" t="str">
        <f t="shared" si="314"/>
        <v>Lease-Up</v>
      </c>
      <c r="BA88" s="22" t="str">
        <f t="shared" si="314"/>
        <v>Lease-Up</v>
      </c>
      <c r="BB88" s="22" t="str">
        <f t="shared" si="314"/>
        <v>Lease-Up</v>
      </c>
      <c r="BC88" s="22" t="str">
        <f t="shared" si="314"/>
        <v>Lease-Up</v>
      </c>
      <c r="BD88" s="22" t="str">
        <f t="shared" si="314"/>
        <v>Lease-Up</v>
      </c>
      <c r="BE88" s="22" t="str">
        <f t="shared" si="314"/>
        <v>Lease-Up</v>
      </c>
      <c r="BF88" s="22" t="str">
        <f t="shared" si="314"/>
        <v>Lease-Up</v>
      </c>
      <c r="BG88" s="22" t="str">
        <f t="shared" si="314"/>
        <v>Lease-Up</v>
      </c>
      <c r="BH88" s="22" t="str">
        <f t="shared" si="314"/>
        <v>Lease-Up</v>
      </c>
      <c r="BI88" s="22" t="str">
        <f t="shared" si="314"/>
        <v>Stabilized</v>
      </c>
      <c r="BJ88" s="22" t="str">
        <f t="shared" si="314"/>
        <v>Stabilized</v>
      </c>
      <c r="BK88" s="22" t="str">
        <f t="shared" si="314"/>
        <v>Stabilized</v>
      </c>
      <c r="BL88" s="22" t="str">
        <f t="shared" si="314"/>
        <v>Stabilized</v>
      </c>
      <c r="BM88" s="22" t="str">
        <f t="shared" si="314"/>
        <v>Stabilized</v>
      </c>
      <c r="BN88" s="22" t="str">
        <f t="shared" si="314"/>
        <v>Stabilized</v>
      </c>
      <c r="BO88" s="22" t="str">
        <f t="shared" si="314"/>
        <v>Stabilized</v>
      </c>
      <c r="BP88" s="22" t="str">
        <f t="shared" si="314"/>
        <v>Stabilized</v>
      </c>
      <c r="BQ88" s="22" t="str">
        <f t="shared" si="314"/>
        <v>Stabilized</v>
      </c>
      <c r="BR88" s="22" t="str">
        <f t="shared" si="314"/>
        <v>Stabilized</v>
      </c>
      <c r="BS88" s="22" t="str">
        <f t="shared" si="314"/>
        <v>Stabilized</v>
      </c>
      <c r="BT88" s="22" t="str">
        <f t="shared" si="314"/>
        <v>Stabilized</v>
      </c>
      <c r="BU88" s="22" t="str">
        <f t="shared" si="314"/>
        <v>Stabilized</v>
      </c>
      <c r="BV88" s="22" t="str">
        <f t="shared" si="314"/>
        <v>Stabilized</v>
      </c>
      <c r="BW88" s="22" t="str">
        <f t="shared" si="314"/>
        <v>Stabilized</v>
      </c>
      <c r="BX88" s="22" t="str">
        <f t="shared" ref="BX88:DC88" si="315">IF(BX86&lt;Timing_Operation_Begin_Month,"Const.",IF(BX89&lt;1,"Lease-Up","Stabilized"))</f>
        <v>Stabilized</v>
      </c>
      <c r="BY88" s="22" t="str">
        <f t="shared" si="315"/>
        <v>Stabilized</v>
      </c>
      <c r="BZ88" s="22" t="str">
        <f t="shared" si="315"/>
        <v>Stabilized</v>
      </c>
      <c r="CA88" s="22" t="str">
        <f t="shared" si="315"/>
        <v>Stabilized</v>
      </c>
      <c r="CB88" s="22" t="str">
        <f t="shared" si="315"/>
        <v>Stabilized</v>
      </c>
      <c r="CC88" s="22" t="str">
        <f t="shared" si="315"/>
        <v>Stabilized</v>
      </c>
      <c r="CD88" s="22" t="str">
        <f t="shared" si="315"/>
        <v>Stabilized</v>
      </c>
      <c r="CE88" s="22" t="str">
        <f t="shared" si="315"/>
        <v>Stabilized</v>
      </c>
      <c r="CF88" s="22" t="str">
        <f t="shared" si="315"/>
        <v>Stabilized</v>
      </c>
      <c r="CG88" s="22" t="str">
        <f t="shared" si="315"/>
        <v>Stabilized</v>
      </c>
      <c r="CH88" s="22" t="str">
        <f t="shared" si="315"/>
        <v>Stabilized</v>
      </c>
      <c r="CI88" s="22" t="str">
        <f t="shared" si="315"/>
        <v>Stabilized</v>
      </c>
      <c r="CJ88" s="22" t="str">
        <f t="shared" si="315"/>
        <v>Stabilized</v>
      </c>
      <c r="CK88" s="22" t="str">
        <f t="shared" si="315"/>
        <v>Stabilized</v>
      </c>
      <c r="CL88" s="22" t="str">
        <f t="shared" si="315"/>
        <v>Stabilized</v>
      </c>
      <c r="CM88" s="22" t="str">
        <f t="shared" si="315"/>
        <v>Stabilized</v>
      </c>
      <c r="CN88" s="22" t="str">
        <f t="shared" si="315"/>
        <v>Stabilized</v>
      </c>
      <c r="CO88" s="22" t="str">
        <f t="shared" si="315"/>
        <v>Stabilized</v>
      </c>
      <c r="CP88" s="22" t="str">
        <f t="shared" si="315"/>
        <v>Stabilized</v>
      </c>
      <c r="CQ88" s="22" t="str">
        <f t="shared" si="315"/>
        <v>Stabilized</v>
      </c>
      <c r="CR88" s="22" t="str">
        <f t="shared" si="315"/>
        <v>Stabilized</v>
      </c>
      <c r="CS88" s="22" t="str">
        <f t="shared" si="315"/>
        <v>Stabilized</v>
      </c>
      <c r="CT88" s="22" t="str">
        <f t="shared" si="315"/>
        <v>Stabilized</v>
      </c>
      <c r="CU88" s="22" t="str">
        <f t="shared" si="315"/>
        <v>Stabilized</v>
      </c>
      <c r="CV88" s="22" t="str">
        <f t="shared" si="315"/>
        <v>Stabilized</v>
      </c>
      <c r="CW88" s="22" t="str">
        <f t="shared" si="315"/>
        <v>Stabilized</v>
      </c>
      <c r="CX88" s="22" t="str">
        <f t="shared" si="315"/>
        <v>Stabilized</v>
      </c>
      <c r="CY88" s="22" t="str">
        <f t="shared" si="315"/>
        <v>Stabilized</v>
      </c>
      <c r="CZ88" s="22" t="str">
        <f t="shared" si="315"/>
        <v>Stabilized</v>
      </c>
      <c r="DA88" s="22" t="str">
        <f t="shared" si="315"/>
        <v>Stabilized</v>
      </c>
      <c r="DB88" s="22" t="str">
        <f t="shared" si="315"/>
        <v>Stabilized</v>
      </c>
      <c r="DC88" s="22" t="str">
        <f t="shared" si="315"/>
        <v>Stabilized</v>
      </c>
      <c r="DD88" s="22" t="str">
        <f t="shared" ref="DD88:EI88" si="316">IF(DD86&lt;Timing_Operation_Begin_Month,"Const.",IF(DD89&lt;1,"Lease-Up","Stabilized"))</f>
        <v>Stabilized</v>
      </c>
      <c r="DE88" s="22" t="str">
        <f t="shared" si="316"/>
        <v>Stabilized</v>
      </c>
      <c r="DF88" s="22" t="str">
        <f t="shared" si="316"/>
        <v>Stabilized</v>
      </c>
      <c r="DG88" s="22" t="str">
        <f t="shared" si="316"/>
        <v>Stabilized</v>
      </c>
      <c r="DH88" s="22" t="str">
        <f t="shared" si="316"/>
        <v>Stabilized</v>
      </c>
      <c r="DI88" s="22" t="str">
        <f t="shared" si="316"/>
        <v>Stabilized</v>
      </c>
      <c r="DJ88" s="22" t="str">
        <f t="shared" si="316"/>
        <v>Stabilized</v>
      </c>
      <c r="DK88" s="22" t="str">
        <f t="shared" si="316"/>
        <v>Stabilized</v>
      </c>
      <c r="DL88" s="22" t="str">
        <f t="shared" si="316"/>
        <v>Stabilized</v>
      </c>
      <c r="DM88" s="22" t="str">
        <f t="shared" si="316"/>
        <v>Stabilized</v>
      </c>
      <c r="DN88" s="22" t="str">
        <f t="shared" si="316"/>
        <v>Stabilized</v>
      </c>
      <c r="DO88" s="22" t="str">
        <f t="shared" si="316"/>
        <v>Stabilized</v>
      </c>
      <c r="DP88" s="22" t="str">
        <f t="shared" si="316"/>
        <v>Stabilized</v>
      </c>
      <c r="DQ88" s="22" t="str">
        <f t="shared" si="316"/>
        <v>Stabilized</v>
      </c>
      <c r="DR88" s="22" t="str">
        <f t="shared" si="316"/>
        <v>Stabilized</v>
      </c>
      <c r="DS88" s="22" t="str">
        <f t="shared" si="316"/>
        <v>Stabilized</v>
      </c>
      <c r="DT88" s="22" t="str">
        <f t="shared" si="316"/>
        <v>Stabilized</v>
      </c>
      <c r="DU88" s="22" t="str">
        <f t="shared" si="316"/>
        <v>Stabilized</v>
      </c>
      <c r="DV88" s="22" t="str">
        <f t="shared" si="316"/>
        <v>Stabilized</v>
      </c>
      <c r="DW88" s="22" t="str">
        <f t="shared" si="316"/>
        <v>Stabilized</v>
      </c>
      <c r="DX88" s="22" t="str">
        <f t="shared" si="316"/>
        <v>Stabilized</v>
      </c>
      <c r="DY88" s="22" t="str">
        <f t="shared" si="316"/>
        <v>Stabilized</v>
      </c>
      <c r="DZ88" s="22" t="str">
        <f t="shared" si="316"/>
        <v>Stabilized</v>
      </c>
      <c r="EA88" s="22" t="str">
        <f t="shared" si="316"/>
        <v>Stabilized</v>
      </c>
      <c r="EB88" s="22" t="str">
        <f t="shared" si="316"/>
        <v>Stabilized</v>
      </c>
      <c r="EC88" s="22" t="str">
        <f t="shared" si="316"/>
        <v>Stabilized</v>
      </c>
      <c r="ED88" s="22" t="str">
        <f t="shared" si="316"/>
        <v>Stabilized</v>
      </c>
      <c r="EE88" s="22" t="str">
        <f t="shared" si="316"/>
        <v>Stabilized</v>
      </c>
      <c r="EF88" s="22" t="str">
        <f t="shared" si="316"/>
        <v>Stabilized</v>
      </c>
      <c r="EG88" s="22" t="str">
        <f t="shared" si="316"/>
        <v>Stabilized</v>
      </c>
      <c r="EH88" s="22" t="str">
        <f t="shared" si="316"/>
        <v>Stabilized</v>
      </c>
      <c r="EI88" s="22" t="str">
        <f t="shared" si="316"/>
        <v>Stabilized</v>
      </c>
      <c r="EJ88" s="22" t="str">
        <f>IF(EJ86&lt;Timing_Operation_Begin_Month,"Const.",IF(EJ89&lt;1,"Lease-Up","Stabilized"))</f>
        <v>Stabilized</v>
      </c>
      <c r="EK88" s="22" t="str">
        <f>IF(EK86&lt;Timing_Operation_Begin_Month,"Const.",IF(EK89&lt;1,"Lease-Up","Stabilized"))</f>
        <v>Stabilized</v>
      </c>
      <c r="EL88" s="22" t="str">
        <f>IF(EL86&lt;Timing_Operation_Begin_Month,"Const.",IF(EL89&lt;1,"Lease-Up","Stabilized"))</f>
        <v>Stabilized</v>
      </c>
      <c r="EM88" s="22" t="str">
        <f>IF(EM86&lt;Timing_Operation_Begin_Month,"Const.",IF(EM89&lt;1,"Lease-Up","Stabilized"))</f>
        <v>Stabilized</v>
      </c>
      <c r="EN88" s="22" t="str">
        <f>IF(EN86&lt;Timing_Operation_Begin_Month,"Const.",IF(EN89&lt;1,"Lease-Up","Stabilized"))</f>
        <v>Stabilized</v>
      </c>
      <c r="EO88"/>
      <c r="EP88" s="262" t="s">
        <v>228</v>
      </c>
      <c r="EQ88" s="262"/>
      <c r="ER88" s="262"/>
      <c r="ES88" s="262"/>
      <c r="ET88" s="262"/>
      <c r="EU88" s="18"/>
      <c r="EV88" s="462">
        <f>IFERROR(EV86/EV57,0)</f>
        <v>0</v>
      </c>
      <c r="EW88" s="463">
        <f>IFERROR((EW86-EV86)/EW57,0)</f>
        <v>0</v>
      </c>
      <c r="EX88" s="463">
        <f t="shared" ref="EX88:HI88" si="317">IFERROR((EX86-EW86)/EX57,0)</f>
        <v>0</v>
      </c>
      <c r="EY88" s="463">
        <f t="shared" si="317"/>
        <v>0</v>
      </c>
      <c r="EZ88" s="463">
        <f t="shared" si="317"/>
        <v>0</v>
      </c>
      <c r="FA88" s="463">
        <f t="shared" si="317"/>
        <v>0</v>
      </c>
      <c r="FB88" s="463">
        <f t="shared" si="317"/>
        <v>0</v>
      </c>
      <c r="FC88" s="463">
        <f t="shared" si="317"/>
        <v>0</v>
      </c>
      <c r="FD88" s="463">
        <f t="shared" si="317"/>
        <v>0</v>
      </c>
      <c r="FE88" s="463">
        <f t="shared" si="317"/>
        <v>0</v>
      </c>
      <c r="FF88" s="463">
        <f t="shared" si="317"/>
        <v>0</v>
      </c>
      <c r="FG88" s="463">
        <f t="shared" si="317"/>
        <v>0</v>
      </c>
      <c r="FH88" s="463">
        <f t="shared" si="317"/>
        <v>0</v>
      </c>
      <c r="FI88" s="463">
        <f t="shared" si="317"/>
        <v>0</v>
      </c>
      <c r="FJ88" s="463">
        <f t="shared" si="317"/>
        <v>0</v>
      </c>
      <c r="FK88" s="463">
        <f t="shared" si="317"/>
        <v>0</v>
      </c>
      <c r="FL88" s="463">
        <f t="shared" si="317"/>
        <v>1</v>
      </c>
      <c r="FM88" s="463">
        <f t="shared" si="317"/>
        <v>1.0000000000000002</v>
      </c>
      <c r="FN88" s="463">
        <f t="shared" si="317"/>
        <v>1.0000000000000002</v>
      </c>
      <c r="FO88" s="463">
        <f t="shared" si="317"/>
        <v>0.99999999999999978</v>
      </c>
      <c r="FP88" s="463">
        <f t="shared" si="317"/>
        <v>0.99999999999999978</v>
      </c>
      <c r="FQ88" s="463">
        <f t="shared" si="317"/>
        <v>0.99999999999999978</v>
      </c>
      <c r="FR88" s="463">
        <f t="shared" si="317"/>
        <v>1.0000000000000004</v>
      </c>
      <c r="FS88" s="463">
        <f t="shared" si="317"/>
        <v>1</v>
      </c>
      <c r="FT88" s="463">
        <f t="shared" si="317"/>
        <v>0.99999999999999944</v>
      </c>
      <c r="FU88" s="463">
        <f t="shared" si="317"/>
        <v>1.0000000000000002</v>
      </c>
      <c r="FV88" s="463">
        <f t="shared" si="317"/>
        <v>1.0000000000000011</v>
      </c>
      <c r="FW88" s="463">
        <f t="shared" si="317"/>
        <v>1</v>
      </c>
      <c r="FX88" s="463">
        <f t="shared" si="317"/>
        <v>1.0000000000000016</v>
      </c>
      <c r="FY88" s="463">
        <f t="shared" si="317"/>
        <v>0.99999999999999833</v>
      </c>
      <c r="FZ88" s="463">
        <f t="shared" si="317"/>
        <v>1.0000000000000036</v>
      </c>
      <c r="GA88" s="463">
        <f t="shared" si="317"/>
        <v>1.0000000000000049</v>
      </c>
      <c r="GB88" s="463">
        <f t="shared" si="317"/>
        <v>0.99999999999999378</v>
      </c>
      <c r="GC88" s="463">
        <f t="shared" si="317"/>
        <v>1.0000000000000038</v>
      </c>
      <c r="GD88" s="463">
        <f t="shared" si="317"/>
        <v>0.99999999999999512</v>
      </c>
      <c r="GE88" s="463">
        <f t="shared" si="317"/>
        <v>0.9999999999999849</v>
      </c>
      <c r="GF88" s="463">
        <f t="shared" si="317"/>
        <v>0.99999999999999178</v>
      </c>
      <c r="GG88" s="463">
        <f t="shared" si="317"/>
        <v>0</v>
      </c>
      <c r="GH88" s="463">
        <f t="shared" si="317"/>
        <v>0</v>
      </c>
      <c r="GI88" s="463">
        <f t="shared" si="317"/>
        <v>0</v>
      </c>
      <c r="GJ88" s="463">
        <f t="shared" si="317"/>
        <v>0</v>
      </c>
      <c r="GK88" s="463">
        <f t="shared" si="317"/>
        <v>0</v>
      </c>
      <c r="GL88" s="463">
        <f t="shared" si="317"/>
        <v>0</v>
      </c>
      <c r="GM88" s="463">
        <f t="shared" si="317"/>
        <v>0</v>
      </c>
      <c r="GN88" s="463">
        <f t="shared" si="317"/>
        <v>0</v>
      </c>
      <c r="GO88" s="463">
        <f t="shared" si="317"/>
        <v>0</v>
      </c>
      <c r="GP88" s="463">
        <f t="shared" si="317"/>
        <v>0</v>
      </c>
      <c r="GQ88" s="463">
        <f t="shared" si="317"/>
        <v>0</v>
      </c>
      <c r="GR88" s="463">
        <f t="shared" si="317"/>
        <v>0</v>
      </c>
      <c r="GS88" s="463">
        <f t="shared" si="317"/>
        <v>0</v>
      </c>
      <c r="GT88" s="463">
        <f t="shared" si="317"/>
        <v>0</v>
      </c>
      <c r="GU88" s="463">
        <f t="shared" si="317"/>
        <v>0</v>
      </c>
      <c r="GV88" s="463">
        <f t="shared" si="317"/>
        <v>0</v>
      </c>
      <c r="GW88" s="463">
        <f t="shared" si="317"/>
        <v>0</v>
      </c>
      <c r="GX88" s="463">
        <f t="shared" si="317"/>
        <v>0</v>
      </c>
      <c r="GY88" s="463">
        <f t="shared" si="317"/>
        <v>0</v>
      </c>
      <c r="GZ88" s="463">
        <f t="shared" si="317"/>
        <v>0</v>
      </c>
      <c r="HA88" s="463">
        <f t="shared" si="317"/>
        <v>0</v>
      </c>
      <c r="HB88" s="463">
        <f t="shared" si="317"/>
        <v>0</v>
      </c>
      <c r="HC88" s="463">
        <f t="shared" si="317"/>
        <v>0</v>
      </c>
      <c r="HD88" s="463">
        <f t="shared" si="317"/>
        <v>0</v>
      </c>
      <c r="HE88" s="463">
        <f t="shared" si="317"/>
        <v>0</v>
      </c>
      <c r="HF88" s="463">
        <f t="shared" si="317"/>
        <v>0</v>
      </c>
      <c r="HG88" s="463">
        <f t="shared" si="317"/>
        <v>0</v>
      </c>
      <c r="HH88" s="463">
        <f t="shared" si="317"/>
        <v>0</v>
      </c>
      <c r="HI88" s="463">
        <f t="shared" si="317"/>
        <v>0</v>
      </c>
      <c r="HJ88" s="463">
        <f t="shared" ref="HJ88:JU88" si="318">IFERROR((HJ86-HI86)/HJ57,0)</f>
        <v>0</v>
      </c>
      <c r="HK88" s="463">
        <f t="shared" si="318"/>
        <v>0</v>
      </c>
      <c r="HL88" s="463">
        <f t="shared" si="318"/>
        <v>0</v>
      </c>
      <c r="HM88" s="463">
        <f t="shared" si="318"/>
        <v>0</v>
      </c>
      <c r="HN88" s="463">
        <f t="shared" si="318"/>
        <v>0</v>
      </c>
      <c r="HO88" s="463">
        <f t="shared" si="318"/>
        <v>0</v>
      </c>
      <c r="HP88" s="463">
        <f t="shared" si="318"/>
        <v>0</v>
      </c>
      <c r="HQ88" s="463">
        <f t="shared" si="318"/>
        <v>0</v>
      </c>
      <c r="HR88" s="463">
        <f t="shared" si="318"/>
        <v>0</v>
      </c>
      <c r="HS88" s="463">
        <f t="shared" si="318"/>
        <v>0</v>
      </c>
      <c r="HT88" s="463">
        <f t="shared" si="318"/>
        <v>0</v>
      </c>
      <c r="HU88" s="463">
        <f t="shared" si="318"/>
        <v>0</v>
      </c>
      <c r="HV88" s="463">
        <f t="shared" si="318"/>
        <v>0</v>
      </c>
      <c r="HW88" s="463">
        <f t="shared" si="318"/>
        <v>0</v>
      </c>
      <c r="HX88" s="463">
        <f t="shared" si="318"/>
        <v>0</v>
      </c>
      <c r="HY88" s="463">
        <f t="shared" si="318"/>
        <v>0</v>
      </c>
      <c r="HZ88" s="463">
        <f t="shared" si="318"/>
        <v>0</v>
      </c>
      <c r="IA88" s="463">
        <f t="shared" si="318"/>
        <v>0</v>
      </c>
      <c r="IB88" s="463">
        <f t="shared" si="318"/>
        <v>0</v>
      </c>
      <c r="IC88" s="463">
        <f t="shared" si="318"/>
        <v>0</v>
      </c>
      <c r="ID88" s="463">
        <f t="shared" si="318"/>
        <v>0</v>
      </c>
      <c r="IE88" s="463">
        <f t="shared" si="318"/>
        <v>0</v>
      </c>
      <c r="IF88" s="463">
        <f t="shared" si="318"/>
        <v>0</v>
      </c>
      <c r="IG88" s="463">
        <f t="shared" si="318"/>
        <v>0</v>
      </c>
      <c r="IH88" s="463">
        <f t="shared" si="318"/>
        <v>0</v>
      </c>
      <c r="II88" s="463">
        <f t="shared" si="318"/>
        <v>0</v>
      </c>
      <c r="IJ88" s="463">
        <f t="shared" si="318"/>
        <v>0</v>
      </c>
      <c r="IK88" s="463">
        <f t="shared" si="318"/>
        <v>0</v>
      </c>
      <c r="IL88" s="463">
        <f t="shared" si="318"/>
        <v>0</v>
      </c>
      <c r="IM88" s="463">
        <f t="shared" si="318"/>
        <v>0</v>
      </c>
      <c r="IN88" s="463">
        <f t="shared" si="318"/>
        <v>0</v>
      </c>
      <c r="IO88" s="463">
        <f t="shared" si="318"/>
        <v>0</v>
      </c>
      <c r="IP88" s="463">
        <f t="shared" si="318"/>
        <v>0</v>
      </c>
      <c r="IQ88" s="463">
        <f t="shared" si="318"/>
        <v>0</v>
      </c>
      <c r="IR88" s="463">
        <f t="shared" si="318"/>
        <v>0</v>
      </c>
      <c r="IS88" s="463">
        <f t="shared" si="318"/>
        <v>0</v>
      </c>
      <c r="IT88" s="463">
        <f t="shared" si="318"/>
        <v>0</v>
      </c>
      <c r="IU88" s="463">
        <f t="shared" si="318"/>
        <v>0</v>
      </c>
      <c r="IV88" s="463">
        <f t="shared" si="318"/>
        <v>0</v>
      </c>
      <c r="IW88" s="463">
        <f t="shared" si="318"/>
        <v>0</v>
      </c>
      <c r="IX88" s="463">
        <f t="shared" si="318"/>
        <v>0</v>
      </c>
      <c r="IY88" s="463">
        <f t="shared" si="318"/>
        <v>0</v>
      </c>
      <c r="IZ88" s="463">
        <f t="shared" si="318"/>
        <v>0</v>
      </c>
      <c r="JA88" s="463">
        <f t="shared" si="318"/>
        <v>0</v>
      </c>
      <c r="JB88" s="463">
        <f t="shared" si="318"/>
        <v>0</v>
      </c>
      <c r="JC88" s="463">
        <f t="shared" si="318"/>
        <v>0</v>
      </c>
      <c r="JD88" s="463">
        <f t="shared" si="318"/>
        <v>0</v>
      </c>
      <c r="JE88" s="463">
        <f t="shared" si="318"/>
        <v>0</v>
      </c>
      <c r="JF88" s="463">
        <f t="shared" si="318"/>
        <v>0</v>
      </c>
      <c r="JG88" s="463">
        <f t="shared" si="318"/>
        <v>0</v>
      </c>
      <c r="JH88" s="463">
        <f t="shared" si="318"/>
        <v>0</v>
      </c>
      <c r="JI88" s="463">
        <f t="shared" si="318"/>
        <v>0</v>
      </c>
      <c r="JJ88" s="463">
        <f t="shared" si="318"/>
        <v>0</v>
      </c>
      <c r="JK88" s="463">
        <f t="shared" si="318"/>
        <v>0</v>
      </c>
      <c r="JL88" s="463">
        <f t="shared" si="318"/>
        <v>0</v>
      </c>
      <c r="JM88" s="463">
        <f t="shared" si="318"/>
        <v>0</v>
      </c>
      <c r="JN88" s="463">
        <f t="shared" si="318"/>
        <v>0</v>
      </c>
      <c r="JO88" s="463">
        <f t="shared" si="318"/>
        <v>0</v>
      </c>
      <c r="JP88" s="463">
        <f t="shared" si="318"/>
        <v>0</v>
      </c>
      <c r="JQ88" s="463">
        <f t="shared" si="318"/>
        <v>0</v>
      </c>
      <c r="JR88" s="463">
        <f t="shared" si="318"/>
        <v>0</v>
      </c>
      <c r="JS88" s="463">
        <f t="shared" si="318"/>
        <v>0</v>
      </c>
      <c r="JT88" s="463">
        <f t="shared" si="318"/>
        <v>0</v>
      </c>
      <c r="JU88" s="463">
        <f t="shared" si="318"/>
        <v>0</v>
      </c>
      <c r="JV88" s="463">
        <f>IFERROR((JV86-JU86)/JV57,0)</f>
        <v>0</v>
      </c>
      <c r="JW88" s="463">
        <f>IFERROR((JW86-JV86)/JW57,0)</f>
        <v>0</v>
      </c>
      <c r="JX88" s="463">
        <f>IFERROR((JX86-JW86)/JX57,0)</f>
        <v>0</v>
      </c>
      <c r="JY88"/>
      <c r="JZ88" s="262"/>
      <c r="KA88" s="262"/>
      <c r="KB88" s="262"/>
      <c r="KC88" s="262"/>
      <c r="KD88" s="262"/>
      <c r="KE88" s="262"/>
      <c r="KF88" s="18"/>
      <c r="KG88" s="288"/>
      <c r="KH88" s="288"/>
      <c r="KI88" s="288"/>
      <c r="KJ88" s="288"/>
      <c r="KK88" s="288"/>
      <c r="KL88" s="288"/>
      <c r="KM88" s="288"/>
      <c r="KN88" s="288"/>
      <c r="KO88" s="288"/>
      <c r="KP88" s="288"/>
      <c r="KQ88" s="288"/>
      <c r="KR88" s="288"/>
      <c r="KS88" s="288"/>
      <c r="KT88" s="288"/>
      <c r="KU88" s="288"/>
      <c r="KV88" s="288"/>
      <c r="KW88" s="288"/>
      <c r="KX88" s="288"/>
      <c r="KY88" s="288"/>
      <c r="KZ88" s="288"/>
      <c r="LA88" s="288"/>
      <c r="LB88" s="288"/>
      <c r="LC88" s="288"/>
      <c r="LD88" s="288"/>
      <c r="LE88" s="288"/>
      <c r="LF88" s="288"/>
      <c r="LG88" s="288"/>
      <c r="LH88" s="288"/>
      <c r="LI88" s="288"/>
      <c r="LJ88" s="288"/>
      <c r="LK88" s="288"/>
      <c r="LL88" s="288"/>
      <c r="LM88" s="288"/>
      <c r="LN88" s="288"/>
      <c r="LO88" s="288"/>
      <c r="LP88" s="288"/>
      <c r="LQ88" s="288"/>
      <c r="LR88" s="288"/>
      <c r="LS88" s="288"/>
      <c r="LT88" s="288"/>
      <c r="LU88" s="288"/>
      <c r="LV88" s="288"/>
      <c r="LW88" s="288"/>
      <c r="LX88" s="288"/>
      <c r="LY88" s="288"/>
      <c r="LZ88" s="288"/>
      <c r="MA88" s="288"/>
      <c r="MB88" s="288"/>
      <c r="MC88" s="288"/>
      <c r="MD88" s="288"/>
      <c r="ME88" s="288"/>
      <c r="MF88" s="288"/>
      <c r="MG88" s="288"/>
      <c r="MH88" s="288"/>
      <c r="MI88" s="288"/>
      <c r="MJ88" s="288"/>
      <c r="MK88" s="288"/>
      <c r="ML88" s="288"/>
      <c r="MM88" s="288"/>
      <c r="MN88" s="288"/>
      <c r="MO88" s="288"/>
      <c r="MP88" s="288"/>
      <c r="MQ88" s="288"/>
      <c r="MR88" s="288"/>
      <c r="MS88" s="288"/>
      <c r="MT88" s="288"/>
      <c r="MU88" s="288"/>
      <c r="MV88" s="288"/>
      <c r="MW88" s="288"/>
      <c r="MX88" s="288"/>
      <c r="MY88" s="288"/>
      <c r="MZ88" s="288"/>
      <c r="NA88" s="288"/>
      <c r="NB88" s="288"/>
      <c r="NC88" s="288"/>
      <c r="ND88" s="288"/>
      <c r="NE88" s="288"/>
      <c r="NF88" s="288"/>
      <c r="NG88" s="288"/>
      <c r="NH88" s="288"/>
      <c r="NI88" s="288"/>
      <c r="NJ88" s="288"/>
      <c r="NK88" s="288"/>
      <c r="NL88" s="288"/>
      <c r="NM88" s="288"/>
      <c r="NN88" s="288"/>
      <c r="NO88" s="288"/>
      <c r="NP88" s="288"/>
      <c r="NQ88" s="288"/>
      <c r="NR88" s="288"/>
      <c r="NS88" s="288"/>
      <c r="NT88" s="288"/>
      <c r="NU88" s="288"/>
      <c r="NV88" s="288"/>
      <c r="NW88" s="288"/>
      <c r="NX88" s="288"/>
      <c r="NY88" s="288"/>
      <c r="NZ88" s="288"/>
      <c r="OA88" s="288"/>
      <c r="OB88" s="288"/>
      <c r="OC88" s="288"/>
      <c r="OD88" s="288"/>
      <c r="OE88" s="288"/>
      <c r="OF88" s="288"/>
      <c r="OG88" s="288"/>
      <c r="OH88" s="288"/>
      <c r="OI88" s="288"/>
      <c r="OJ88" s="288"/>
      <c r="OK88" s="288"/>
      <c r="OL88" s="288"/>
      <c r="OM88" s="288"/>
      <c r="ON88" s="288"/>
      <c r="OO88" s="288"/>
      <c r="OP88" s="288"/>
      <c r="OQ88" s="288"/>
      <c r="OR88" s="288"/>
      <c r="OS88" s="288"/>
      <c r="OT88" s="288"/>
      <c r="OU88" s="288"/>
      <c r="OV88" s="288"/>
      <c r="OW88" s="288"/>
      <c r="OX88" s="288"/>
      <c r="OY88" s="288"/>
      <c r="OZ88" s="288"/>
      <c r="PA88" s="288"/>
      <c r="PB88" s="288"/>
      <c r="PC88" s="288"/>
      <c r="PD88" s="288"/>
      <c r="PE88" s="288"/>
      <c r="PF88" s="288"/>
      <c r="PG88" s="288"/>
      <c r="PH88" s="288"/>
    </row>
    <row r="89" spans="1:424" x14ac:dyDescent="0.35">
      <c r="A89"/>
      <c r="B89" s="34" t="s">
        <v>229</v>
      </c>
      <c r="C89" s="397"/>
      <c r="D89" s="891">
        <f>$D$88+12</f>
        <v>49</v>
      </c>
      <c r="E89" s="160"/>
      <c r="F89" s="459" t="s">
        <v>230</v>
      </c>
      <c r="G89" s="460">
        <v>0.75</v>
      </c>
      <c r="H89" s="459" t="s">
        <v>231</v>
      </c>
      <c r="I89" s="82">
        <v>1</v>
      </c>
      <c r="J89"/>
      <c r="K89" s="446" t="s">
        <v>232</v>
      </c>
      <c r="L89" s="912">
        <f t="shared" ref="L89:AQ89" si="319">IF(L$86&lt;Timing_Operation_Begin_Month,0,MIN(1,MAX(0,(L$86-Timing_Operation_Begin_Month)/MAX(1,Stabilization_1st_Month-Timing_Operation_Begin_Month))))</f>
        <v>0</v>
      </c>
      <c r="M89" s="912">
        <f t="shared" si="319"/>
        <v>0</v>
      </c>
      <c r="N89" s="912">
        <f t="shared" si="319"/>
        <v>0</v>
      </c>
      <c r="O89" s="912">
        <f t="shared" si="319"/>
        <v>0</v>
      </c>
      <c r="P89" s="912">
        <f t="shared" si="319"/>
        <v>0</v>
      </c>
      <c r="Q89" s="912">
        <f t="shared" si="319"/>
        <v>0</v>
      </c>
      <c r="R89" s="912">
        <f t="shared" si="319"/>
        <v>0</v>
      </c>
      <c r="S89" s="912">
        <f t="shared" si="319"/>
        <v>0</v>
      </c>
      <c r="T89" s="912">
        <f t="shared" si="319"/>
        <v>0</v>
      </c>
      <c r="U89" s="912">
        <f t="shared" si="319"/>
        <v>0</v>
      </c>
      <c r="V89" s="912">
        <f t="shared" si="319"/>
        <v>0</v>
      </c>
      <c r="W89" s="912">
        <f t="shared" si="319"/>
        <v>0</v>
      </c>
      <c r="X89" s="912">
        <f t="shared" si="319"/>
        <v>0</v>
      </c>
      <c r="Y89" s="912">
        <f t="shared" si="319"/>
        <v>0</v>
      </c>
      <c r="Z89" s="912">
        <f t="shared" si="319"/>
        <v>0</v>
      </c>
      <c r="AA89" s="912">
        <f t="shared" si="319"/>
        <v>0</v>
      </c>
      <c r="AB89" s="912">
        <f t="shared" si="319"/>
        <v>0</v>
      </c>
      <c r="AC89" s="912">
        <f t="shared" si="319"/>
        <v>0</v>
      </c>
      <c r="AD89" s="912">
        <f t="shared" si="319"/>
        <v>0</v>
      </c>
      <c r="AE89" s="912">
        <f t="shared" si="319"/>
        <v>0</v>
      </c>
      <c r="AF89" s="912">
        <f t="shared" si="319"/>
        <v>0</v>
      </c>
      <c r="AG89" s="912">
        <f t="shared" si="319"/>
        <v>0</v>
      </c>
      <c r="AH89" s="912">
        <f t="shared" si="319"/>
        <v>0</v>
      </c>
      <c r="AI89" s="912">
        <f t="shared" si="319"/>
        <v>0</v>
      </c>
      <c r="AJ89" s="912">
        <f t="shared" si="319"/>
        <v>0</v>
      </c>
      <c r="AK89" s="912">
        <f t="shared" si="319"/>
        <v>0</v>
      </c>
      <c r="AL89" s="912">
        <f t="shared" si="319"/>
        <v>0</v>
      </c>
      <c r="AM89" s="912">
        <f t="shared" si="319"/>
        <v>0</v>
      </c>
      <c r="AN89" s="912">
        <f t="shared" si="319"/>
        <v>0</v>
      </c>
      <c r="AO89" s="912">
        <f t="shared" si="319"/>
        <v>0</v>
      </c>
      <c r="AP89" s="912">
        <f t="shared" si="319"/>
        <v>0</v>
      </c>
      <c r="AQ89" s="912">
        <f t="shared" si="319"/>
        <v>0</v>
      </c>
      <c r="AR89" s="912">
        <f t="shared" ref="AR89:BW89" si="320">IF(AR$86&lt;Timing_Operation_Begin_Month,0,MIN(1,MAX(0,(AR$86-Timing_Operation_Begin_Month)/MAX(1,Stabilization_1st_Month-Timing_Operation_Begin_Month))))</f>
        <v>0</v>
      </c>
      <c r="AS89" s="912">
        <f t="shared" si="320"/>
        <v>0</v>
      </c>
      <c r="AT89" s="912">
        <f t="shared" si="320"/>
        <v>0</v>
      </c>
      <c r="AU89" s="912">
        <f t="shared" si="320"/>
        <v>0</v>
      </c>
      <c r="AV89" s="912">
        <f t="shared" si="320"/>
        <v>0</v>
      </c>
      <c r="AW89" s="912">
        <f t="shared" si="320"/>
        <v>0</v>
      </c>
      <c r="AX89" s="912">
        <f t="shared" si="320"/>
        <v>8.3333333333333329E-2</v>
      </c>
      <c r="AY89" s="912">
        <f t="shared" si="320"/>
        <v>0.16666666666666666</v>
      </c>
      <c r="AZ89" s="912">
        <f t="shared" si="320"/>
        <v>0.25</v>
      </c>
      <c r="BA89" s="912">
        <f t="shared" si="320"/>
        <v>0.33333333333333331</v>
      </c>
      <c r="BB89" s="912">
        <f t="shared" si="320"/>
        <v>0.41666666666666669</v>
      </c>
      <c r="BC89" s="912">
        <f t="shared" si="320"/>
        <v>0.5</v>
      </c>
      <c r="BD89" s="912">
        <f t="shared" si="320"/>
        <v>0.58333333333333337</v>
      </c>
      <c r="BE89" s="912">
        <f t="shared" si="320"/>
        <v>0.66666666666666663</v>
      </c>
      <c r="BF89" s="912">
        <f t="shared" si="320"/>
        <v>0.75</v>
      </c>
      <c r="BG89" s="912">
        <f t="shared" si="320"/>
        <v>0.83333333333333337</v>
      </c>
      <c r="BH89" s="912">
        <f t="shared" si="320"/>
        <v>0.91666666666666663</v>
      </c>
      <c r="BI89" s="912">
        <f t="shared" si="320"/>
        <v>1</v>
      </c>
      <c r="BJ89" s="912">
        <f t="shared" si="320"/>
        <v>1</v>
      </c>
      <c r="BK89" s="912">
        <f t="shared" si="320"/>
        <v>1</v>
      </c>
      <c r="BL89" s="912">
        <f t="shared" si="320"/>
        <v>1</v>
      </c>
      <c r="BM89" s="912">
        <f t="shared" si="320"/>
        <v>1</v>
      </c>
      <c r="BN89" s="912">
        <f t="shared" si="320"/>
        <v>1</v>
      </c>
      <c r="BO89" s="912">
        <f t="shared" si="320"/>
        <v>1</v>
      </c>
      <c r="BP89" s="912">
        <f t="shared" si="320"/>
        <v>1</v>
      </c>
      <c r="BQ89" s="912">
        <f t="shared" si="320"/>
        <v>1</v>
      </c>
      <c r="BR89" s="912">
        <f t="shared" si="320"/>
        <v>1</v>
      </c>
      <c r="BS89" s="912">
        <f t="shared" si="320"/>
        <v>1</v>
      </c>
      <c r="BT89" s="912">
        <f t="shared" si="320"/>
        <v>1</v>
      </c>
      <c r="BU89" s="912">
        <f t="shared" si="320"/>
        <v>1</v>
      </c>
      <c r="BV89" s="912">
        <f t="shared" si="320"/>
        <v>1</v>
      </c>
      <c r="BW89" s="912">
        <f t="shared" si="320"/>
        <v>1</v>
      </c>
      <c r="BX89" s="912">
        <f t="shared" ref="BX89:DC89" si="321">IF(BX$86&lt;Timing_Operation_Begin_Month,0,MIN(1,MAX(0,(BX$86-Timing_Operation_Begin_Month)/MAX(1,Stabilization_1st_Month-Timing_Operation_Begin_Month))))</f>
        <v>1</v>
      </c>
      <c r="BY89" s="912">
        <f t="shared" si="321"/>
        <v>1</v>
      </c>
      <c r="BZ89" s="912">
        <f t="shared" si="321"/>
        <v>1</v>
      </c>
      <c r="CA89" s="912">
        <f t="shared" si="321"/>
        <v>1</v>
      </c>
      <c r="CB89" s="912">
        <f t="shared" si="321"/>
        <v>1</v>
      </c>
      <c r="CC89" s="912">
        <f t="shared" si="321"/>
        <v>1</v>
      </c>
      <c r="CD89" s="912">
        <f t="shared" si="321"/>
        <v>1</v>
      </c>
      <c r="CE89" s="912">
        <f t="shared" si="321"/>
        <v>1</v>
      </c>
      <c r="CF89" s="912">
        <f t="shared" si="321"/>
        <v>1</v>
      </c>
      <c r="CG89" s="912">
        <f t="shared" si="321"/>
        <v>1</v>
      </c>
      <c r="CH89" s="912">
        <f t="shared" si="321"/>
        <v>1</v>
      </c>
      <c r="CI89" s="912">
        <f t="shared" si="321"/>
        <v>1</v>
      </c>
      <c r="CJ89" s="912">
        <f t="shared" si="321"/>
        <v>1</v>
      </c>
      <c r="CK89" s="912">
        <f t="shared" si="321"/>
        <v>1</v>
      </c>
      <c r="CL89" s="912">
        <f t="shared" si="321"/>
        <v>1</v>
      </c>
      <c r="CM89" s="912">
        <f t="shared" si="321"/>
        <v>1</v>
      </c>
      <c r="CN89" s="912">
        <f t="shared" si="321"/>
        <v>1</v>
      </c>
      <c r="CO89" s="912">
        <f t="shared" si="321"/>
        <v>1</v>
      </c>
      <c r="CP89" s="912">
        <f t="shared" si="321"/>
        <v>1</v>
      </c>
      <c r="CQ89" s="912">
        <f t="shared" si="321"/>
        <v>1</v>
      </c>
      <c r="CR89" s="912">
        <f t="shared" si="321"/>
        <v>1</v>
      </c>
      <c r="CS89" s="912">
        <f t="shared" si="321"/>
        <v>1</v>
      </c>
      <c r="CT89" s="912">
        <f t="shared" si="321"/>
        <v>1</v>
      </c>
      <c r="CU89" s="912">
        <f t="shared" si="321"/>
        <v>1</v>
      </c>
      <c r="CV89" s="912">
        <f t="shared" si="321"/>
        <v>1</v>
      </c>
      <c r="CW89" s="912">
        <f t="shared" si="321"/>
        <v>1</v>
      </c>
      <c r="CX89" s="912">
        <f t="shared" si="321"/>
        <v>1</v>
      </c>
      <c r="CY89" s="912">
        <f t="shared" si="321"/>
        <v>1</v>
      </c>
      <c r="CZ89" s="912">
        <f t="shared" si="321"/>
        <v>1</v>
      </c>
      <c r="DA89" s="912">
        <f t="shared" si="321"/>
        <v>1</v>
      </c>
      <c r="DB89" s="912">
        <f t="shared" si="321"/>
        <v>1</v>
      </c>
      <c r="DC89" s="912">
        <f t="shared" si="321"/>
        <v>1</v>
      </c>
      <c r="DD89" s="912">
        <f t="shared" ref="DD89:EI89" si="322">IF(DD$86&lt;Timing_Operation_Begin_Month,0,MIN(1,MAX(0,(DD$86-Timing_Operation_Begin_Month)/MAX(1,Stabilization_1st_Month-Timing_Operation_Begin_Month))))</f>
        <v>1</v>
      </c>
      <c r="DE89" s="912">
        <f t="shared" si="322"/>
        <v>1</v>
      </c>
      <c r="DF89" s="912">
        <f t="shared" si="322"/>
        <v>1</v>
      </c>
      <c r="DG89" s="912">
        <f t="shared" si="322"/>
        <v>1</v>
      </c>
      <c r="DH89" s="912">
        <f t="shared" si="322"/>
        <v>1</v>
      </c>
      <c r="DI89" s="912">
        <f t="shared" si="322"/>
        <v>1</v>
      </c>
      <c r="DJ89" s="912">
        <f t="shared" si="322"/>
        <v>1</v>
      </c>
      <c r="DK89" s="912">
        <f t="shared" si="322"/>
        <v>1</v>
      </c>
      <c r="DL89" s="912">
        <f t="shared" si="322"/>
        <v>1</v>
      </c>
      <c r="DM89" s="912">
        <f t="shared" si="322"/>
        <v>1</v>
      </c>
      <c r="DN89" s="912">
        <f t="shared" si="322"/>
        <v>1</v>
      </c>
      <c r="DO89" s="912">
        <f t="shared" si="322"/>
        <v>1</v>
      </c>
      <c r="DP89" s="912">
        <f t="shared" si="322"/>
        <v>1</v>
      </c>
      <c r="DQ89" s="912">
        <f t="shared" si="322"/>
        <v>1</v>
      </c>
      <c r="DR89" s="912">
        <f t="shared" si="322"/>
        <v>1</v>
      </c>
      <c r="DS89" s="912">
        <f t="shared" si="322"/>
        <v>1</v>
      </c>
      <c r="DT89" s="912">
        <f t="shared" si="322"/>
        <v>1</v>
      </c>
      <c r="DU89" s="912">
        <f t="shared" si="322"/>
        <v>1</v>
      </c>
      <c r="DV89" s="912">
        <f t="shared" si="322"/>
        <v>1</v>
      </c>
      <c r="DW89" s="912">
        <f t="shared" si="322"/>
        <v>1</v>
      </c>
      <c r="DX89" s="912">
        <f t="shared" si="322"/>
        <v>1</v>
      </c>
      <c r="DY89" s="912">
        <f t="shared" si="322"/>
        <v>1</v>
      </c>
      <c r="DZ89" s="912">
        <f t="shared" si="322"/>
        <v>1</v>
      </c>
      <c r="EA89" s="912">
        <f t="shared" si="322"/>
        <v>1</v>
      </c>
      <c r="EB89" s="912">
        <f t="shared" si="322"/>
        <v>1</v>
      </c>
      <c r="EC89" s="912">
        <f t="shared" si="322"/>
        <v>1</v>
      </c>
      <c r="ED89" s="912">
        <f t="shared" si="322"/>
        <v>1</v>
      </c>
      <c r="EE89" s="912">
        <f t="shared" si="322"/>
        <v>1</v>
      </c>
      <c r="EF89" s="912">
        <f t="shared" si="322"/>
        <v>1</v>
      </c>
      <c r="EG89" s="912">
        <f t="shared" si="322"/>
        <v>1</v>
      </c>
      <c r="EH89" s="912">
        <f t="shared" si="322"/>
        <v>1</v>
      </c>
      <c r="EI89" s="912">
        <f t="shared" si="322"/>
        <v>1</v>
      </c>
      <c r="EJ89" s="912">
        <f>IF(EJ$86&lt;Timing_Operation_Begin_Month,0,MIN(1,MAX(0,(EJ$86-Timing_Operation_Begin_Month)/MAX(1,Stabilization_1st_Month-Timing_Operation_Begin_Month))))</f>
        <v>1</v>
      </c>
      <c r="EK89" s="912">
        <f>IF(EK$86&lt;Timing_Operation_Begin_Month,0,MIN(1,MAX(0,(EK$86-Timing_Operation_Begin_Month)/MAX(1,Stabilization_1st_Month-Timing_Operation_Begin_Month))))</f>
        <v>1</v>
      </c>
      <c r="EL89" s="912">
        <f>IF(EL$86&lt;Timing_Operation_Begin_Month,0,MIN(1,MAX(0,(EL$86-Timing_Operation_Begin_Month)/MAX(1,Stabilization_1st_Month-Timing_Operation_Begin_Month))))</f>
        <v>1</v>
      </c>
      <c r="EM89" s="912">
        <f>IF(EM$86&lt;Timing_Operation_Begin_Month,0,MIN(1,MAX(0,(EM$86-Timing_Operation_Begin_Month)/MAX(1,Stabilization_1st_Month-Timing_Operation_Begin_Month))))</f>
        <v>1</v>
      </c>
      <c r="EN89" s="912">
        <f>IF(EN$86&lt;Timing_Operation_Begin_Month,0,MIN(1,MAX(0,(EN$86-Timing_Operation_Begin_Month)/MAX(1,Stabilization_1st_Month-Timing_Operation_Begin_Month))))</f>
        <v>1</v>
      </c>
      <c r="EO89"/>
      <c r="EP89" s="219"/>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c r="FY89" s="18"/>
      <c r="FZ89" s="18"/>
      <c r="GA89" s="18"/>
      <c r="GB89" s="18"/>
      <c r="GC89" s="18"/>
      <c r="GD89" s="18"/>
      <c r="GE89" s="18"/>
      <c r="GF89" s="18"/>
      <c r="GG89" s="18"/>
      <c r="GH89" s="18"/>
      <c r="GI89" s="18"/>
      <c r="GJ89" s="18"/>
      <c r="GK89" s="18"/>
      <c r="GL89" s="18"/>
      <c r="GM89" s="18"/>
      <c r="GN89" s="18"/>
      <c r="GO89" s="18"/>
      <c r="GP89" s="18"/>
      <c r="GQ89" s="18"/>
      <c r="GR89" s="18"/>
      <c r="GS89" s="18"/>
      <c r="GT89" s="18"/>
      <c r="GU89" s="18"/>
      <c r="GV89" s="18"/>
      <c r="GW89" s="18"/>
      <c r="GX89" s="18"/>
      <c r="GY89" s="18"/>
      <c r="GZ89" s="18"/>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c r="HY89" s="18"/>
      <c r="HZ89" s="18"/>
      <c r="IA89" s="18"/>
      <c r="IB89" s="18"/>
      <c r="IC89" s="18"/>
      <c r="ID89" s="18"/>
      <c r="IE89" s="18"/>
      <c r="IF89" s="18"/>
      <c r="IG89" s="18"/>
      <c r="IH89" s="18"/>
      <c r="II89" s="18"/>
      <c r="IJ89" s="18"/>
      <c r="IK89" s="18"/>
      <c r="IL89" s="18"/>
      <c r="IM89" s="18"/>
      <c r="IN89" s="18"/>
      <c r="IO89" s="18"/>
      <c r="IP89" s="18"/>
      <c r="IQ89" s="18"/>
      <c r="IR89" s="18"/>
      <c r="IS89" s="18"/>
      <c r="IT89" s="18"/>
      <c r="IU89" s="18"/>
      <c r="IV89" s="18"/>
      <c r="IW89" s="18"/>
      <c r="IX89" s="18"/>
      <c r="IY89" s="18"/>
      <c r="IZ89" s="18"/>
      <c r="JA89" s="18"/>
      <c r="JB89" s="18"/>
      <c r="JC89" s="18"/>
      <c r="JD89" s="18"/>
      <c r="JE89" s="18"/>
      <c r="JF89" s="18"/>
      <c r="JG89" s="18"/>
      <c r="JH89" s="18"/>
      <c r="JI89" s="18"/>
      <c r="JJ89" s="18"/>
      <c r="JK89" s="18"/>
      <c r="JL89" s="18"/>
      <c r="JM89" s="18"/>
      <c r="JN89" s="18"/>
      <c r="JO89" s="18"/>
      <c r="JP89" s="18"/>
      <c r="JQ89" s="18"/>
      <c r="JR89" s="18"/>
      <c r="JS89" s="18"/>
      <c r="JT89" s="18"/>
      <c r="JU89" s="18"/>
      <c r="JV89" s="18"/>
      <c r="JW89" s="18"/>
      <c r="JX89" s="18"/>
      <c r="JY89"/>
      <c r="JZ89" s="262"/>
      <c r="KA89" s="262"/>
      <c r="KB89" s="262"/>
      <c r="KC89" s="262"/>
      <c r="KD89" s="262"/>
      <c r="KE89" s="262"/>
      <c r="KF89" s="18"/>
      <c r="KG89" s="288"/>
      <c r="KH89" s="288"/>
      <c r="KI89" s="288"/>
      <c r="KJ89" s="288"/>
      <c r="KK89" s="288"/>
      <c r="KL89" s="288"/>
      <c r="KM89" s="288"/>
      <c r="KN89" s="288"/>
      <c r="KO89" s="288"/>
      <c r="KP89" s="288"/>
      <c r="KQ89" s="288"/>
      <c r="KR89" s="288"/>
      <c r="KS89" s="288"/>
      <c r="KT89" s="288"/>
      <c r="KU89" s="288"/>
      <c r="KV89" s="288"/>
      <c r="KW89" s="288"/>
      <c r="KX89" s="288"/>
      <c r="KY89" s="288"/>
      <c r="KZ89" s="288"/>
      <c r="LA89" s="288"/>
      <c r="LB89" s="288"/>
      <c r="LC89" s="288"/>
      <c r="LD89" s="288"/>
      <c r="LE89" s="288"/>
      <c r="LF89" s="288"/>
      <c r="LG89" s="288"/>
      <c r="LH89" s="288"/>
      <c r="LI89" s="288"/>
      <c r="LJ89" s="288"/>
      <c r="LK89" s="288"/>
      <c r="LL89" s="288"/>
      <c r="LM89" s="288"/>
      <c r="LN89" s="288"/>
      <c r="LO89" s="288"/>
      <c r="LP89" s="288"/>
      <c r="LQ89" s="288"/>
      <c r="LR89" s="288"/>
      <c r="LS89" s="288"/>
      <c r="LT89" s="288"/>
      <c r="LU89" s="288"/>
      <c r="LV89" s="288"/>
      <c r="LW89" s="288"/>
      <c r="LX89" s="288"/>
      <c r="LY89" s="288"/>
      <c r="LZ89" s="288"/>
      <c r="MA89" s="288"/>
      <c r="MB89" s="288"/>
      <c r="MC89" s="288"/>
      <c r="MD89" s="288"/>
      <c r="ME89" s="288"/>
      <c r="MF89" s="288"/>
      <c r="MG89" s="288"/>
      <c r="MH89" s="288"/>
      <c r="MI89" s="288"/>
      <c r="MJ89" s="288"/>
      <c r="MK89" s="288"/>
      <c r="ML89" s="288"/>
      <c r="MM89" s="288"/>
      <c r="MN89" s="288"/>
      <c r="MO89" s="288"/>
      <c r="MP89" s="288"/>
      <c r="MQ89" s="288"/>
      <c r="MR89" s="288"/>
      <c r="MS89" s="288"/>
      <c r="MT89" s="288"/>
      <c r="MU89" s="288"/>
      <c r="MV89" s="288"/>
      <c r="MW89" s="288"/>
      <c r="MX89" s="288"/>
      <c r="MY89" s="288"/>
      <c r="MZ89" s="288"/>
      <c r="NA89" s="288"/>
      <c r="NB89" s="288"/>
      <c r="NC89" s="288"/>
      <c r="ND89" s="288"/>
      <c r="NE89" s="288"/>
      <c r="NF89" s="288"/>
      <c r="NG89" s="288"/>
      <c r="NH89" s="288"/>
      <c r="NI89" s="288"/>
      <c r="NJ89" s="288"/>
      <c r="NK89" s="288"/>
      <c r="NL89" s="288"/>
      <c r="NM89" s="288"/>
      <c r="NN89" s="288"/>
      <c r="NO89" s="288"/>
      <c r="NP89" s="288"/>
      <c r="NQ89" s="288"/>
      <c r="NR89" s="288"/>
      <c r="NS89" s="288"/>
      <c r="NT89" s="288"/>
      <c r="NU89" s="288"/>
      <c r="NV89" s="288"/>
      <c r="NW89" s="288"/>
      <c r="NX89" s="288"/>
      <c r="NY89" s="288"/>
      <c r="NZ89" s="288"/>
      <c r="OA89" s="288"/>
      <c r="OB89" s="288"/>
      <c r="OC89" s="288"/>
      <c r="OD89" s="288"/>
      <c r="OE89" s="288"/>
      <c r="OF89" s="288"/>
      <c r="OG89" s="288"/>
      <c r="OH89" s="288"/>
      <c r="OI89" s="288"/>
      <c r="OJ89" s="288"/>
      <c r="OK89" s="288"/>
      <c r="OL89" s="288"/>
      <c r="OM89" s="288"/>
      <c r="ON89" s="288"/>
      <c r="OO89" s="288"/>
      <c r="OP89" s="288"/>
      <c r="OQ89" s="288"/>
      <c r="OR89" s="288"/>
      <c r="OS89" s="288"/>
      <c r="OT89" s="288"/>
      <c r="OU89" s="288"/>
      <c r="OV89" s="288"/>
      <c r="OW89" s="288"/>
      <c r="OX89" s="288"/>
      <c r="OY89" s="288"/>
      <c r="OZ89" s="288"/>
      <c r="PA89" s="288"/>
      <c r="PB89" s="288"/>
      <c r="PC89" s="288"/>
      <c r="PD89" s="288"/>
      <c r="PE89" s="288"/>
      <c r="PF89" s="288"/>
      <c r="PG89" s="288"/>
      <c r="PH89" s="288"/>
    </row>
    <row r="90" spans="1:424" x14ac:dyDescent="0.35">
      <c r="A90"/>
      <c r="B90" s="34"/>
      <c r="C90" s="397"/>
      <c r="D90" s="36"/>
      <c r="E90" s="397"/>
      <c r="F90" s="397"/>
      <c r="G90" s="34"/>
      <c r="H90" s="459"/>
      <c r="I90" s="35"/>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s="219"/>
      <c r="EQ90" s="18"/>
      <c r="ER90" s="18"/>
      <c r="ES90" s="18"/>
      <c r="ET90" s="18"/>
      <c r="EU90" s="18"/>
      <c r="EV90" s="197"/>
      <c r="EW90" s="197"/>
      <c r="EX90" s="197"/>
      <c r="EY90" s="197"/>
      <c r="EZ90" s="197"/>
      <c r="FA90" s="197"/>
      <c r="FB90" s="197"/>
      <c r="FC90" s="197"/>
      <c r="FD90" s="197"/>
      <c r="FE90" s="197"/>
      <c r="FF90" s="197"/>
      <c r="FG90" s="197"/>
      <c r="FH90" s="197"/>
      <c r="FI90" s="197"/>
      <c r="FJ90" s="197"/>
      <c r="FK90" s="197"/>
      <c r="FL90" s="197"/>
      <c r="FM90" s="197"/>
      <c r="FN90" s="197"/>
      <c r="FO90" s="197"/>
      <c r="FP90" s="197"/>
      <c r="FQ90" s="197"/>
      <c r="FR90" s="197"/>
      <c r="FS90" s="197"/>
      <c r="FT90" s="197"/>
      <c r="FU90" s="197"/>
      <c r="FV90" s="197"/>
      <c r="FW90" s="197"/>
      <c r="FX90" s="197"/>
      <c r="FY90" s="197"/>
      <c r="FZ90" s="197"/>
      <c r="GA90" s="197"/>
      <c r="GB90" s="197"/>
      <c r="GC90" s="197"/>
      <c r="GD90" s="197"/>
      <c r="GE90" s="197"/>
      <c r="GF90" s="197"/>
      <c r="GG90" s="197"/>
      <c r="GH90" s="197"/>
      <c r="GI90" s="197"/>
      <c r="GJ90" s="197"/>
      <c r="GK90" s="197"/>
      <c r="GL90" s="197"/>
      <c r="GM90" s="197"/>
      <c r="GN90" s="197"/>
      <c r="GO90" s="197"/>
      <c r="GP90" s="197"/>
      <c r="GQ90" s="197"/>
      <c r="GR90" s="197"/>
      <c r="GS90" s="197"/>
      <c r="GT90" s="197"/>
      <c r="GU90" s="197"/>
      <c r="GV90" s="197"/>
      <c r="GW90" s="197"/>
      <c r="GX90" s="197"/>
      <c r="GY90" s="197"/>
      <c r="GZ90" s="197"/>
      <c r="HA90" s="197"/>
      <c r="HB90" s="197"/>
      <c r="HC90" s="197"/>
      <c r="HD90" s="197"/>
      <c r="HE90" s="197"/>
      <c r="HF90" s="197"/>
      <c r="HG90" s="197"/>
      <c r="HH90" s="197"/>
      <c r="HI90" s="197"/>
      <c r="HJ90" s="197"/>
      <c r="HK90" s="197"/>
      <c r="HL90" s="197"/>
      <c r="HM90" s="197"/>
      <c r="HN90" s="197"/>
      <c r="HO90" s="197"/>
      <c r="HP90" s="197"/>
      <c r="HQ90" s="197"/>
      <c r="HR90" s="197"/>
      <c r="HS90" s="197"/>
      <c r="HT90" s="197"/>
      <c r="HU90" s="197"/>
      <c r="HV90" s="197"/>
      <c r="HW90" s="197"/>
      <c r="HX90" s="197"/>
      <c r="HY90" s="197"/>
      <c r="HZ90" s="197"/>
      <c r="IA90" s="197"/>
      <c r="IB90" s="197"/>
      <c r="IC90" s="197"/>
      <c r="ID90" s="197"/>
      <c r="IE90" s="197"/>
      <c r="IF90" s="197"/>
      <c r="IG90" s="197"/>
      <c r="IH90" s="197"/>
      <c r="II90" s="197"/>
      <c r="IJ90" s="197"/>
      <c r="IK90" s="197"/>
      <c r="IL90" s="197"/>
      <c r="IM90" s="197"/>
      <c r="IN90" s="197"/>
      <c r="IO90" s="197"/>
      <c r="IP90" s="197"/>
      <c r="IQ90" s="197"/>
      <c r="IR90" s="197"/>
      <c r="IS90" s="197"/>
      <c r="IT90" s="197"/>
      <c r="IU90" s="197"/>
      <c r="IV90" s="197"/>
      <c r="IW90" s="197"/>
      <c r="IX90" s="197"/>
      <c r="IY90" s="197"/>
      <c r="IZ90" s="197"/>
      <c r="JA90" s="197"/>
      <c r="JB90" s="197"/>
      <c r="JC90" s="197"/>
      <c r="JD90" s="197"/>
      <c r="JE90" s="197"/>
      <c r="JF90" s="197"/>
      <c r="JG90" s="197"/>
      <c r="JH90" s="197"/>
      <c r="JI90" s="197"/>
      <c r="JJ90" s="197"/>
      <c r="JK90" s="197"/>
      <c r="JL90" s="197"/>
      <c r="JM90" s="197"/>
      <c r="JN90" s="197"/>
      <c r="JO90" s="197"/>
      <c r="JP90" s="197"/>
      <c r="JQ90" s="197"/>
      <c r="JR90" s="197"/>
      <c r="JS90" s="197"/>
      <c r="JT90" s="197"/>
      <c r="JU90" s="197"/>
      <c r="JV90" s="197"/>
      <c r="JW90" s="197"/>
      <c r="JX90" s="197"/>
      <c r="JY90"/>
      <c r="JZ90" s="262"/>
      <c r="KA90" s="262"/>
      <c r="KB90" s="262"/>
      <c r="KC90" s="262"/>
      <c r="KD90" s="262"/>
      <c r="KE90" s="262"/>
      <c r="KF90" s="262"/>
      <c r="KG90" s="262"/>
      <c r="KH90" s="262"/>
      <c r="KI90" s="262"/>
      <c r="KJ90" s="262"/>
      <c r="KK90" s="262"/>
      <c r="KL90" s="262"/>
      <c r="KM90" s="262"/>
      <c r="KN90" s="262"/>
      <c r="KO90" s="262"/>
      <c r="KP90" s="262"/>
      <c r="KQ90" s="262"/>
      <c r="KR90" s="262"/>
      <c r="KS90" s="262"/>
      <c r="KT90" s="262"/>
      <c r="KU90" s="262"/>
      <c r="KV90" s="262"/>
      <c r="KW90" s="262"/>
      <c r="KX90" s="262"/>
      <c r="KY90" s="262"/>
      <c r="KZ90" s="262"/>
      <c r="LA90" s="262"/>
      <c r="LB90" s="262"/>
      <c r="LC90" s="262"/>
      <c r="LD90" s="262"/>
      <c r="LE90" s="262"/>
      <c r="LF90" s="262"/>
      <c r="LG90" s="262"/>
      <c r="LH90" s="262"/>
      <c r="LI90" s="262"/>
      <c r="LJ90" s="262"/>
      <c r="LK90" s="262"/>
      <c r="LL90" s="262"/>
      <c r="LM90" s="262"/>
      <c r="LN90" s="262"/>
      <c r="LO90" s="262"/>
      <c r="LP90" s="262"/>
      <c r="LQ90" s="262"/>
      <c r="LR90" s="262"/>
      <c r="LS90" s="262"/>
      <c r="LT90" s="262"/>
      <c r="LU90" s="262"/>
      <c r="LV90" s="262"/>
      <c r="LW90" s="262"/>
      <c r="LX90" s="262"/>
      <c r="LY90" s="262"/>
      <c r="LZ90" s="262"/>
      <c r="MA90" s="262"/>
      <c r="MB90" s="262"/>
      <c r="MC90" s="262"/>
      <c r="MD90" s="262"/>
      <c r="ME90" s="262"/>
      <c r="MF90" s="262"/>
      <c r="MG90" s="262"/>
      <c r="MH90" s="262"/>
      <c r="MI90" s="262"/>
      <c r="MJ90" s="262"/>
      <c r="MK90" s="262"/>
      <c r="ML90" s="262"/>
      <c r="MM90" s="262"/>
      <c r="MN90" s="262"/>
      <c r="MO90" s="262"/>
      <c r="MP90" s="262"/>
      <c r="MQ90" s="262"/>
      <c r="MR90" s="262"/>
      <c r="MS90" s="262"/>
      <c r="MT90" s="262"/>
      <c r="MU90" s="262"/>
      <c r="MV90" s="262"/>
      <c r="MW90" s="262"/>
      <c r="MX90" s="262"/>
      <c r="MY90" s="262"/>
      <c r="MZ90" s="262"/>
      <c r="NA90" s="262"/>
      <c r="NB90" s="262"/>
      <c r="NC90" s="262"/>
      <c r="ND90" s="262"/>
      <c r="NE90" s="262"/>
      <c r="NF90" s="262"/>
      <c r="NG90" s="262"/>
      <c r="NH90" s="262"/>
      <c r="NI90" s="262"/>
      <c r="NJ90" s="262"/>
      <c r="NK90" s="262"/>
      <c r="NL90" s="262"/>
      <c r="NM90" s="262"/>
      <c r="NN90" s="262"/>
      <c r="NO90" s="262"/>
      <c r="NP90" s="262"/>
      <c r="NQ90" s="262"/>
      <c r="NR90" s="262"/>
      <c r="NS90" s="262"/>
      <c r="NT90" s="262"/>
      <c r="NU90" s="262"/>
      <c r="NV90" s="262"/>
      <c r="NW90" s="262"/>
      <c r="NX90" s="262"/>
      <c r="NY90" s="262"/>
      <c r="NZ90" s="262"/>
      <c r="OA90" s="262"/>
      <c r="OB90" s="262"/>
      <c r="OC90" s="262"/>
      <c r="OD90" s="262"/>
      <c r="OE90" s="262"/>
      <c r="OF90" s="262"/>
      <c r="OG90" s="262"/>
      <c r="OH90" s="262"/>
      <c r="OI90" s="262"/>
      <c r="OJ90" s="262"/>
      <c r="OK90" s="262"/>
      <c r="OL90" s="262"/>
      <c r="OM90" s="262"/>
      <c r="ON90" s="262"/>
      <c r="OO90" s="262"/>
      <c r="OP90" s="262"/>
      <c r="OQ90" s="262"/>
      <c r="OR90" s="262"/>
      <c r="OS90" s="262"/>
      <c r="OT90" s="262"/>
      <c r="OU90" s="262"/>
      <c r="OV90" s="262"/>
      <c r="OW90" s="262"/>
      <c r="OX90" s="262"/>
      <c r="OY90" s="262"/>
      <c r="OZ90" s="262"/>
      <c r="PA90" s="262"/>
      <c r="PB90" s="262"/>
      <c r="PC90" s="262"/>
      <c r="PD90" s="262"/>
      <c r="PE90" s="262"/>
      <c r="PF90" s="262"/>
      <c r="PG90" s="262"/>
      <c r="PH90" s="262"/>
    </row>
    <row r="91" spans="1:424" x14ac:dyDescent="0.35">
      <c r="A91"/>
      <c r="B91" s="449" t="s">
        <v>233</v>
      </c>
      <c r="C91" s="425"/>
      <c r="D91" s="34"/>
      <c r="E91" s="34"/>
      <c r="F91" s="34"/>
      <c r="G91" s="34"/>
      <c r="H91" s="34"/>
      <c r="I91" s="142">
        <f>COUNTA(I93:I104)</f>
        <v>12</v>
      </c>
      <c r="J91"/>
      <c r="K91" s="23" t="s">
        <v>234</v>
      </c>
      <c r="L91" s="196">
        <f t="shared" ref="L91:AQ91" si="323">MAX(L3-Timing_Operation_Begin_Month+1,0)</f>
        <v>0</v>
      </c>
      <c r="M91" s="196">
        <f t="shared" si="323"/>
        <v>0</v>
      </c>
      <c r="N91" s="196">
        <f t="shared" si="323"/>
        <v>0</v>
      </c>
      <c r="O91" s="196">
        <f t="shared" si="323"/>
        <v>0</v>
      </c>
      <c r="P91" s="196">
        <f t="shared" si="323"/>
        <v>0</v>
      </c>
      <c r="Q91" s="196">
        <f t="shared" si="323"/>
        <v>0</v>
      </c>
      <c r="R91" s="196">
        <f t="shared" si="323"/>
        <v>0</v>
      </c>
      <c r="S91" s="196">
        <f t="shared" si="323"/>
        <v>0</v>
      </c>
      <c r="T91" s="196">
        <f t="shared" si="323"/>
        <v>0</v>
      </c>
      <c r="U91" s="196">
        <f t="shared" si="323"/>
        <v>0</v>
      </c>
      <c r="V91" s="196">
        <f t="shared" si="323"/>
        <v>0</v>
      </c>
      <c r="W91" s="196">
        <f t="shared" si="323"/>
        <v>0</v>
      </c>
      <c r="X91" s="196">
        <f t="shared" si="323"/>
        <v>0</v>
      </c>
      <c r="Y91" s="196">
        <f t="shared" si="323"/>
        <v>0</v>
      </c>
      <c r="Z91" s="196">
        <f t="shared" si="323"/>
        <v>0</v>
      </c>
      <c r="AA91" s="196">
        <f t="shared" si="323"/>
        <v>0</v>
      </c>
      <c r="AB91" s="196">
        <f t="shared" si="323"/>
        <v>0</v>
      </c>
      <c r="AC91" s="196">
        <f t="shared" si="323"/>
        <v>0</v>
      </c>
      <c r="AD91" s="196">
        <f t="shared" si="323"/>
        <v>0</v>
      </c>
      <c r="AE91" s="196">
        <f t="shared" si="323"/>
        <v>0</v>
      </c>
      <c r="AF91" s="196">
        <f t="shared" si="323"/>
        <v>0</v>
      </c>
      <c r="AG91" s="196">
        <f t="shared" si="323"/>
        <v>0</v>
      </c>
      <c r="AH91" s="196">
        <f t="shared" si="323"/>
        <v>0</v>
      </c>
      <c r="AI91" s="196">
        <f t="shared" si="323"/>
        <v>0</v>
      </c>
      <c r="AJ91" s="196">
        <f t="shared" si="323"/>
        <v>0</v>
      </c>
      <c r="AK91" s="196">
        <f t="shared" si="323"/>
        <v>0</v>
      </c>
      <c r="AL91" s="196">
        <f t="shared" si="323"/>
        <v>0</v>
      </c>
      <c r="AM91" s="196">
        <f t="shared" si="323"/>
        <v>0</v>
      </c>
      <c r="AN91" s="196">
        <f t="shared" si="323"/>
        <v>0</v>
      </c>
      <c r="AO91" s="196">
        <f t="shared" si="323"/>
        <v>0</v>
      </c>
      <c r="AP91" s="196">
        <f t="shared" si="323"/>
        <v>0</v>
      </c>
      <c r="AQ91" s="196">
        <f t="shared" si="323"/>
        <v>0</v>
      </c>
      <c r="AR91" s="196">
        <f t="shared" ref="AR91:BW91" si="324">MAX(AR3-Timing_Operation_Begin_Month+1,0)</f>
        <v>0</v>
      </c>
      <c r="AS91" s="196">
        <f t="shared" si="324"/>
        <v>0</v>
      </c>
      <c r="AT91" s="196">
        <f t="shared" si="324"/>
        <v>0</v>
      </c>
      <c r="AU91" s="196">
        <f t="shared" si="324"/>
        <v>0</v>
      </c>
      <c r="AV91" s="196">
        <f t="shared" si="324"/>
        <v>0</v>
      </c>
      <c r="AW91" s="196">
        <f t="shared" si="324"/>
        <v>1</v>
      </c>
      <c r="AX91" s="196">
        <f t="shared" si="324"/>
        <v>2</v>
      </c>
      <c r="AY91" s="196">
        <f t="shared" si="324"/>
        <v>3</v>
      </c>
      <c r="AZ91" s="196">
        <f t="shared" si="324"/>
        <v>4</v>
      </c>
      <c r="BA91" s="196">
        <f t="shared" si="324"/>
        <v>5</v>
      </c>
      <c r="BB91" s="196">
        <f t="shared" si="324"/>
        <v>6</v>
      </c>
      <c r="BC91" s="196">
        <f t="shared" si="324"/>
        <v>7</v>
      </c>
      <c r="BD91" s="196">
        <f t="shared" si="324"/>
        <v>8</v>
      </c>
      <c r="BE91" s="196">
        <f t="shared" si="324"/>
        <v>9</v>
      </c>
      <c r="BF91" s="196">
        <f t="shared" si="324"/>
        <v>10</v>
      </c>
      <c r="BG91" s="196">
        <f t="shared" si="324"/>
        <v>11</v>
      </c>
      <c r="BH91" s="196">
        <f t="shared" si="324"/>
        <v>12</v>
      </c>
      <c r="BI91" s="196">
        <f t="shared" si="324"/>
        <v>13</v>
      </c>
      <c r="BJ91" s="196">
        <f t="shared" si="324"/>
        <v>14</v>
      </c>
      <c r="BK91" s="196">
        <f t="shared" si="324"/>
        <v>15</v>
      </c>
      <c r="BL91" s="196">
        <f t="shared" si="324"/>
        <v>16</v>
      </c>
      <c r="BM91" s="196">
        <f t="shared" si="324"/>
        <v>17</v>
      </c>
      <c r="BN91" s="196">
        <f t="shared" si="324"/>
        <v>18</v>
      </c>
      <c r="BO91" s="196">
        <f t="shared" si="324"/>
        <v>19</v>
      </c>
      <c r="BP91" s="196">
        <f t="shared" si="324"/>
        <v>20</v>
      </c>
      <c r="BQ91" s="196">
        <f t="shared" si="324"/>
        <v>21</v>
      </c>
      <c r="BR91" s="196">
        <f t="shared" si="324"/>
        <v>22</v>
      </c>
      <c r="BS91" s="196">
        <f t="shared" si="324"/>
        <v>23</v>
      </c>
      <c r="BT91" s="196">
        <f t="shared" si="324"/>
        <v>24</v>
      </c>
      <c r="BU91" s="196">
        <f t="shared" si="324"/>
        <v>25</v>
      </c>
      <c r="BV91" s="196">
        <f t="shared" si="324"/>
        <v>26</v>
      </c>
      <c r="BW91" s="196">
        <f t="shared" si="324"/>
        <v>27</v>
      </c>
      <c r="BX91" s="196">
        <f t="shared" ref="BX91:DC91" si="325">MAX(BX3-Timing_Operation_Begin_Month+1,0)</f>
        <v>28</v>
      </c>
      <c r="BY91" s="196">
        <f t="shared" si="325"/>
        <v>29</v>
      </c>
      <c r="BZ91" s="196">
        <f t="shared" si="325"/>
        <v>30</v>
      </c>
      <c r="CA91" s="196">
        <f t="shared" si="325"/>
        <v>31</v>
      </c>
      <c r="CB91" s="196">
        <f t="shared" si="325"/>
        <v>32</v>
      </c>
      <c r="CC91" s="196">
        <f t="shared" si="325"/>
        <v>33</v>
      </c>
      <c r="CD91" s="196">
        <f t="shared" si="325"/>
        <v>34</v>
      </c>
      <c r="CE91" s="196">
        <f t="shared" si="325"/>
        <v>35</v>
      </c>
      <c r="CF91" s="196">
        <f t="shared" si="325"/>
        <v>36</v>
      </c>
      <c r="CG91" s="196">
        <f t="shared" si="325"/>
        <v>37</v>
      </c>
      <c r="CH91" s="196">
        <f t="shared" si="325"/>
        <v>38</v>
      </c>
      <c r="CI91" s="196">
        <f t="shared" si="325"/>
        <v>39</v>
      </c>
      <c r="CJ91" s="196">
        <f t="shared" si="325"/>
        <v>40</v>
      </c>
      <c r="CK91" s="196">
        <f t="shared" si="325"/>
        <v>41</v>
      </c>
      <c r="CL91" s="196">
        <f t="shared" si="325"/>
        <v>42</v>
      </c>
      <c r="CM91" s="196">
        <f t="shared" si="325"/>
        <v>43</v>
      </c>
      <c r="CN91" s="196">
        <f t="shared" si="325"/>
        <v>44</v>
      </c>
      <c r="CO91" s="196">
        <f t="shared" si="325"/>
        <v>45</v>
      </c>
      <c r="CP91" s="196">
        <f t="shared" si="325"/>
        <v>46</v>
      </c>
      <c r="CQ91" s="196">
        <f t="shared" si="325"/>
        <v>47</v>
      </c>
      <c r="CR91" s="196">
        <f t="shared" si="325"/>
        <v>48</v>
      </c>
      <c r="CS91" s="196">
        <f t="shared" si="325"/>
        <v>49</v>
      </c>
      <c r="CT91" s="196">
        <f t="shared" si="325"/>
        <v>50</v>
      </c>
      <c r="CU91" s="196">
        <f t="shared" si="325"/>
        <v>51</v>
      </c>
      <c r="CV91" s="196">
        <f t="shared" si="325"/>
        <v>52</v>
      </c>
      <c r="CW91" s="196">
        <f t="shared" si="325"/>
        <v>53</v>
      </c>
      <c r="CX91" s="196">
        <f t="shared" si="325"/>
        <v>54</v>
      </c>
      <c r="CY91" s="196">
        <f t="shared" si="325"/>
        <v>55</v>
      </c>
      <c r="CZ91" s="196">
        <f t="shared" si="325"/>
        <v>56</v>
      </c>
      <c r="DA91" s="196">
        <f t="shared" si="325"/>
        <v>57</v>
      </c>
      <c r="DB91" s="196">
        <f t="shared" si="325"/>
        <v>58</v>
      </c>
      <c r="DC91" s="196">
        <f t="shared" si="325"/>
        <v>59</v>
      </c>
      <c r="DD91" s="196">
        <f t="shared" ref="DD91:EN91" si="326">MAX(DD3-Timing_Operation_Begin_Month+1,0)</f>
        <v>60</v>
      </c>
      <c r="DE91" s="196">
        <f t="shared" si="326"/>
        <v>61</v>
      </c>
      <c r="DF91" s="196">
        <f t="shared" si="326"/>
        <v>62</v>
      </c>
      <c r="DG91" s="196">
        <f t="shared" si="326"/>
        <v>63</v>
      </c>
      <c r="DH91" s="196">
        <f t="shared" si="326"/>
        <v>64</v>
      </c>
      <c r="DI91" s="196">
        <f t="shared" si="326"/>
        <v>65</v>
      </c>
      <c r="DJ91" s="196">
        <f t="shared" si="326"/>
        <v>66</v>
      </c>
      <c r="DK91" s="196">
        <f t="shared" si="326"/>
        <v>67</v>
      </c>
      <c r="DL91" s="196">
        <f t="shared" si="326"/>
        <v>68</v>
      </c>
      <c r="DM91" s="196">
        <f t="shared" si="326"/>
        <v>69</v>
      </c>
      <c r="DN91" s="196">
        <f t="shared" si="326"/>
        <v>70</v>
      </c>
      <c r="DO91" s="196">
        <f t="shared" si="326"/>
        <v>71</v>
      </c>
      <c r="DP91" s="196">
        <f t="shared" si="326"/>
        <v>72</v>
      </c>
      <c r="DQ91" s="196">
        <f t="shared" si="326"/>
        <v>73</v>
      </c>
      <c r="DR91" s="196">
        <f t="shared" si="326"/>
        <v>74</v>
      </c>
      <c r="DS91" s="196">
        <f t="shared" si="326"/>
        <v>75</v>
      </c>
      <c r="DT91" s="196">
        <f t="shared" si="326"/>
        <v>76</v>
      </c>
      <c r="DU91" s="196">
        <f t="shared" si="326"/>
        <v>77</v>
      </c>
      <c r="DV91" s="196">
        <f t="shared" si="326"/>
        <v>78</v>
      </c>
      <c r="DW91" s="196">
        <f t="shared" si="326"/>
        <v>79</v>
      </c>
      <c r="DX91" s="196">
        <f t="shared" si="326"/>
        <v>80</v>
      </c>
      <c r="DY91" s="196">
        <f t="shared" si="326"/>
        <v>81</v>
      </c>
      <c r="DZ91" s="196">
        <f t="shared" si="326"/>
        <v>82</v>
      </c>
      <c r="EA91" s="196">
        <f t="shared" si="326"/>
        <v>83</v>
      </c>
      <c r="EB91" s="196">
        <f t="shared" si="326"/>
        <v>84</v>
      </c>
      <c r="EC91" s="196">
        <f t="shared" si="326"/>
        <v>85</v>
      </c>
      <c r="ED91" s="196">
        <f t="shared" si="326"/>
        <v>86</v>
      </c>
      <c r="EE91" s="196">
        <f t="shared" si="326"/>
        <v>87</v>
      </c>
      <c r="EF91" s="196">
        <f t="shared" si="326"/>
        <v>88</v>
      </c>
      <c r="EG91" s="196">
        <f t="shared" si="326"/>
        <v>89</v>
      </c>
      <c r="EH91" s="196">
        <f t="shared" si="326"/>
        <v>90</v>
      </c>
      <c r="EI91" s="196">
        <f t="shared" si="326"/>
        <v>91</v>
      </c>
      <c r="EJ91" s="196">
        <f t="shared" si="326"/>
        <v>92</v>
      </c>
      <c r="EK91" s="196">
        <f t="shared" si="326"/>
        <v>93</v>
      </c>
      <c r="EL91" s="196">
        <f t="shared" si="326"/>
        <v>94</v>
      </c>
      <c r="EM91" s="196">
        <f t="shared" si="326"/>
        <v>95</v>
      </c>
      <c r="EN91" s="196">
        <f t="shared" si="326"/>
        <v>96</v>
      </c>
      <c r="EO91"/>
      <c r="EP91" s="464"/>
      <c r="EQ91" s="465"/>
      <c r="ER91" s="465"/>
      <c r="ES91" s="465"/>
      <c r="ET91" s="465"/>
      <c r="EU91" s="465"/>
      <c r="EV91" s="465"/>
      <c r="EW91" s="465"/>
      <c r="EX91" s="465"/>
      <c r="EY91" s="465"/>
      <c r="EZ91" s="465"/>
      <c r="FA91" s="465"/>
      <c r="FB91" s="465"/>
      <c r="FC91" s="465"/>
      <c r="FD91" s="465"/>
      <c r="FE91" s="465"/>
      <c r="FF91" s="465"/>
      <c r="FG91" s="465"/>
      <c r="FH91" s="465"/>
      <c r="FI91" s="465"/>
      <c r="FJ91" s="465"/>
      <c r="FK91" s="465"/>
      <c r="FL91" s="465"/>
      <c r="FM91" s="465"/>
      <c r="FN91" s="465"/>
      <c r="FO91" s="465"/>
      <c r="FP91" s="465"/>
      <c r="FQ91" s="465"/>
      <c r="FR91" s="465"/>
      <c r="FS91" s="465"/>
      <c r="FT91" s="465"/>
      <c r="FU91" s="465"/>
      <c r="FV91" s="465"/>
      <c r="FW91" s="465"/>
      <c r="FX91" s="465"/>
      <c r="FY91" s="465"/>
      <c r="FZ91" s="465"/>
      <c r="GA91" s="465"/>
      <c r="GB91" s="465"/>
      <c r="GC91" s="465"/>
      <c r="GD91" s="465"/>
      <c r="GE91" s="465"/>
      <c r="GF91" s="465"/>
      <c r="GG91" s="465"/>
      <c r="GH91" s="465"/>
      <c r="GI91" s="465"/>
      <c r="GJ91" s="465"/>
      <c r="GK91" s="465"/>
      <c r="GL91" s="465"/>
      <c r="GM91" s="465"/>
      <c r="GN91" s="465"/>
      <c r="GO91" s="465"/>
      <c r="GP91" s="465"/>
      <c r="GQ91" s="465"/>
      <c r="GR91" s="465"/>
      <c r="GS91" s="465"/>
      <c r="GT91" s="465"/>
      <c r="GU91" s="465"/>
      <c r="GV91" s="465"/>
      <c r="GW91" s="465"/>
      <c r="GX91" s="465"/>
      <c r="GY91" s="465"/>
      <c r="GZ91" s="465"/>
      <c r="HA91" s="465"/>
      <c r="HB91" s="465"/>
      <c r="HC91" s="465"/>
      <c r="HD91" s="465"/>
      <c r="HE91" s="465"/>
      <c r="HF91" s="465"/>
      <c r="HG91" s="465"/>
      <c r="HH91" s="465"/>
      <c r="HI91" s="465"/>
      <c r="HJ91" s="465"/>
      <c r="HK91" s="465"/>
      <c r="HL91" s="465"/>
      <c r="HM91" s="465"/>
      <c r="HN91" s="465"/>
      <c r="HO91" s="465"/>
      <c r="HP91" s="465"/>
      <c r="HQ91" s="465"/>
      <c r="HR91" s="465"/>
      <c r="HS91" s="465"/>
      <c r="HT91" s="465"/>
      <c r="HU91" s="465"/>
      <c r="HV91" s="465"/>
      <c r="HW91" s="465"/>
      <c r="HX91" s="465"/>
      <c r="HY91" s="465"/>
      <c r="HZ91" s="465"/>
      <c r="IA91" s="465"/>
      <c r="IB91" s="465"/>
      <c r="IC91" s="465"/>
      <c r="ID91" s="465"/>
      <c r="IE91" s="465"/>
      <c r="IF91" s="465"/>
      <c r="IG91" s="465"/>
      <c r="IH91" s="465"/>
      <c r="II91" s="465"/>
      <c r="IJ91" s="465"/>
      <c r="IK91" s="465"/>
      <c r="IL91" s="465"/>
      <c r="IM91" s="465"/>
      <c r="IN91" s="465"/>
      <c r="IO91" s="465"/>
      <c r="IP91" s="465"/>
      <c r="IQ91" s="465"/>
      <c r="IR91" s="465"/>
      <c r="IS91" s="465"/>
      <c r="IT91" s="465"/>
      <c r="IU91" s="465"/>
      <c r="IV91" s="465"/>
      <c r="IW91" s="465"/>
      <c r="IX91" s="465"/>
      <c r="IY91" s="465"/>
      <c r="IZ91" s="465"/>
      <c r="JA91" s="465"/>
      <c r="JB91" s="465"/>
      <c r="JC91" s="465"/>
      <c r="JD91" s="465"/>
      <c r="JE91" s="465"/>
      <c r="JF91" s="465"/>
      <c r="JG91" s="465"/>
      <c r="JH91" s="465"/>
      <c r="JI91" s="465"/>
      <c r="JJ91" s="465"/>
      <c r="JK91" s="465"/>
      <c r="JL91" s="465"/>
      <c r="JM91" s="465"/>
      <c r="JN91" s="465"/>
      <c r="JO91" s="465"/>
      <c r="JP91" s="465"/>
      <c r="JQ91" s="465"/>
      <c r="JR91" s="465"/>
      <c r="JS91" s="465"/>
      <c r="JT91" s="465"/>
      <c r="JU91" s="465"/>
      <c r="JV91" s="465"/>
      <c r="JW91" s="465"/>
      <c r="JX91" s="20"/>
      <c r="JY91"/>
      <c r="JZ91" s="466"/>
      <c r="KA91" s="466"/>
      <c r="KB91" s="466"/>
      <c r="KC91" s="466"/>
      <c r="KD91" s="466"/>
      <c r="KE91" s="466"/>
      <c r="KF91" s="466"/>
      <c r="KG91" s="466"/>
      <c r="KH91" s="466"/>
      <c r="KI91" s="466"/>
      <c r="KJ91" s="466"/>
      <c r="KK91" s="466"/>
      <c r="KL91" s="466"/>
      <c r="KM91" s="466"/>
      <c r="KN91" s="466"/>
      <c r="KO91" s="466"/>
      <c r="KP91" s="466"/>
      <c r="KQ91" s="466"/>
      <c r="KR91" s="466"/>
      <c r="KS91" s="466"/>
      <c r="KT91" s="466"/>
      <c r="KU91" s="466"/>
      <c r="KV91" s="466"/>
      <c r="KW91" s="466"/>
      <c r="KX91" s="466"/>
      <c r="KY91" s="466"/>
      <c r="KZ91" s="466"/>
      <c r="LA91" s="466"/>
      <c r="LB91" s="466"/>
      <c r="LC91" s="466"/>
      <c r="LD91" s="466"/>
      <c r="LE91" s="466"/>
      <c r="LF91" s="466"/>
      <c r="LG91" s="466"/>
      <c r="LH91" s="466"/>
      <c r="LI91" s="466"/>
      <c r="LJ91" s="466"/>
      <c r="LK91" s="466"/>
      <c r="LL91" s="466"/>
      <c r="LM91" s="466"/>
      <c r="LN91" s="466"/>
      <c r="LO91" s="466"/>
      <c r="LP91" s="466"/>
      <c r="LQ91" s="466"/>
      <c r="LR91" s="466"/>
      <c r="LS91" s="466"/>
      <c r="LT91" s="466"/>
      <c r="LU91" s="466"/>
      <c r="LV91" s="466"/>
      <c r="LW91" s="466"/>
      <c r="LX91" s="466"/>
      <c r="LY91" s="466"/>
      <c r="LZ91" s="466"/>
      <c r="MA91" s="466"/>
      <c r="MB91" s="466"/>
      <c r="MC91" s="466"/>
      <c r="MD91" s="466"/>
      <c r="ME91" s="466"/>
      <c r="MF91" s="466"/>
      <c r="MG91" s="466"/>
      <c r="MH91" s="466"/>
      <c r="MI91" s="466"/>
      <c r="MJ91" s="466"/>
      <c r="MK91" s="466"/>
      <c r="ML91" s="466"/>
      <c r="MM91" s="466"/>
      <c r="MN91" s="466"/>
      <c r="MO91" s="466"/>
      <c r="MP91" s="466"/>
      <c r="MQ91" s="466"/>
      <c r="MR91" s="466"/>
      <c r="MS91" s="466"/>
      <c r="MT91" s="466"/>
      <c r="MU91" s="466"/>
      <c r="MV91" s="466"/>
      <c r="MW91" s="466"/>
      <c r="MX91" s="466"/>
      <c r="MY91" s="466"/>
      <c r="MZ91" s="466"/>
      <c r="NA91" s="466"/>
      <c r="NB91" s="466"/>
      <c r="NC91" s="466"/>
      <c r="ND91" s="466"/>
      <c r="NE91" s="466"/>
      <c r="NF91" s="466"/>
      <c r="NG91" s="466"/>
      <c r="NH91" s="466"/>
      <c r="NI91" s="466"/>
      <c r="NJ91" s="466"/>
      <c r="NK91" s="466"/>
      <c r="NL91" s="466"/>
      <c r="NM91" s="466"/>
      <c r="NN91" s="466"/>
      <c r="NO91" s="466"/>
      <c r="NP91" s="466"/>
      <c r="NQ91" s="466"/>
      <c r="NR91" s="466"/>
      <c r="NS91" s="466"/>
      <c r="NT91" s="466"/>
      <c r="NU91" s="466"/>
      <c r="NV91" s="466"/>
      <c r="NW91" s="466"/>
      <c r="NX91" s="466"/>
      <c r="NY91" s="466"/>
      <c r="NZ91" s="466"/>
      <c r="OA91" s="466"/>
      <c r="OB91" s="466"/>
      <c r="OC91" s="466"/>
      <c r="OD91" s="466"/>
      <c r="OE91" s="466"/>
      <c r="OF91" s="466"/>
      <c r="OG91" s="466"/>
      <c r="OH91" s="466"/>
      <c r="OI91" s="466"/>
      <c r="OJ91" s="466"/>
      <c r="OK91" s="466"/>
      <c r="OL91" s="466"/>
      <c r="OM91" s="466"/>
      <c r="ON91" s="466"/>
      <c r="OO91" s="466"/>
      <c r="OP91" s="466"/>
      <c r="OQ91" s="466"/>
      <c r="OR91" s="466"/>
      <c r="OS91" s="466"/>
      <c r="OT91" s="466"/>
      <c r="OU91" s="466"/>
      <c r="OV91" s="466"/>
      <c r="OW91" s="466"/>
      <c r="OX91" s="466"/>
      <c r="OY91" s="466"/>
      <c r="OZ91" s="466"/>
      <c r="PA91" s="466"/>
      <c r="PB91" s="466"/>
      <c r="PC91" s="466"/>
      <c r="PD91" s="466"/>
      <c r="PE91" s="466"/>
      <c r="PF91" s="466"/>
      <c r="PG91" s="466"/>
      <c r="PH91" s="466"/>
    </row>
    <row r="92" spans="1:424" x14ac:dyDescent="0.35">
      <c r="A92"/>
      <c r="B92" s="467" t="s">
        <v>235</v>
      </c>
      <c r="C92" s="467" t="s">
        <v>236</v>
      </c>
      <c r="D92" s="412" t="s">
        <v>237</v>
      </c>
      <c r="E92" s="412" t="str">
        <f>Unit_Type</f>
        <v>M2</v>
      </c>
      <c r="F92" s="468" t="s">
        <v>238</v>
      </c>
      <c r="G92" s="468" t="s">
        <v>239</v>
      </c>
      <c r="H92" s="468" t="str">
        <f>"RENT/"&amp;Unit_Type&amp;"/YR"</f>
        <v>RENT/M2/YR</v>
      </c>
      <c r="I92" s="468" t="s">
        <v>240</v>
      </c>
      <c r="J92"/>
      <c r="K92" s="167" t="s">
        <v>241</v>
      </c>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8"/>
      <c r="BG92" s="208"/>
      <c r="BH92" s="208"/>
      <c r="BI92" s="208"/>
      <c r="BJ92" s="208"/>
      <c r="BK92" s="208"/>
      <c r="BL92" s="208"/>
      <c r="BM92" s="208"/>
      <c r="BN92" s="208"/>
      <c r="BO92" s="208"/>
      <c r="BP92" s="208"/>
      <c r="BQ92" s="208"/>
      <c r="BR92" s="208"/>
      <c r="BS92" s="208"/>
      <c r="BT92" s="208"/>
      <c r="BU92" s="208"/>
      <c r="BV92" s="208"/>
      <c r="BW92" s="208"/>
      <c r="BX92" s="208"/>
      <c r="BY92" s="208"/>
      <c r="BZ92" s="208"/>
      <c r="CA92" s="208"/>
      <c r="CB92" s="208"/>
      <c r="CC92" s="208"/>
      <c r="CD92" s="208"/>
      <c r="CE92" s="208"/>
      <c r="CF92" s="208"/>
      <c r="CG92" s="208"/>
      <c r="CH92" s="208"/>
      <c r="CI92" s="208"/>
      <c r="CJ92" s="208"/>
      <c r="CK92" s="208"/>
      <c r="CL92" s="208"/>
      <c r="CM92" s="208"/>
      <c r="CN92" s="208"/>
      <c r="CO92" s="208"/>
      <c r="CP92" s="208"/>
      <c r="CQ92" s="208"/>
      <c r="CR92" s="208"/>
      <c r="CS92" s="208"/>
      <c r="CT92" s="208"/>
      <c r="CU92" s="208"/>
      <c r="CV92" s="208"/>
      <c r="CW92" s="208"/>
      <c r="CX92" s="208"/>
      <c r="CY92" s="208"/>
      <c r="CZ92" s="208"/>
      <c r="DA92" s="208"/>
      <c r="DB92" s="208"/>
      <c r="DC92" s="208"/>
      <c r="DD92" s="208"/>
      <c r="DE92" s="208"/>
      <c r="DF92" s="208"/>
      <c r="DG92" s="208"/>
      <c r="DH92" s="208"/>
      <c r="DI92" s="208"/>
      <c r="DJ92" s="208"/>
      <c r="DK92" s="208"/>
      <c r="DL92" s="208"/>
      <c r="DM92" s="208"/>
      <c r="DN92" s="208"/>
      <c r="DO92" s="208"/>
      <c r="DP92" s="208"/>
      <c r="DQ92" s="208"/>
      <c r="DR92" s="208"/>
      <c r="DS92" s="208"/>
      <c r="DT92" s="208"/>
      <c r="DU92" s="208"/>
      <c r="DV92" s="208"/>
      <c r="DW92" s="208"/>
      <c r="DX92" s="208"/>
      <c r="DY92" s="208"/>
      <c r="DZ92" s="208"/>
      <c r="EA92" s="208"/>
      <c r="EB92" s="208"/>
      <c r="EC92" s="208"/>
      <c r="ED92" s="208"/>
      <c r="EE92" s="208"/>
      <c r="EF92" s="208"/>
      <c r="EG92" s="208"/>
      <c r="EH92" s="208"/>
      <c r="EI92" s="208"/>
      <c r="EJ92" s="208"/>
      <c r="EK92" s="208"/>
      <c r="EL92" s="208"/>
      <c r="EM92" s="208"/>
      <c r="EN92" s="208"/>
      <c r="EO92"/>
      <c r="EP92" s="464" t="s">
        <v>242</v>
      </c>
      <c r="EQ92" s="18" t="s">
        <v>243</v>
      </c>
      <c r="ER92" s="18" t="s">
        <v>237</v>
      </c>
      <c r="ES92" s="465"/>
      <c r="ET92" s="465"/>
      <c r="EU92" s="465" t="s">
        <v>83</v>
      </c>
      <c r="EV92" s="465"/>
      <c r="EW92" s="465"/>
      <c r="EX92" s="465"/>
      <c r="EY92" s="465"/>
      <c r="EZ92" s="465"/>
      <c r="FA92" s="465"/>
      <c r="FB92" s="465"/>
      <c r="FC92" s="465"/>
      <c r="FD92" s="465"/>
      <c r="FE92" s="465"/>
      <c r="FF92" s="465"/>
      <c r="FG92" s="465"/>
      <c r="FH92" s="465"/>
      <c r="FI92" s="465"/>
      <c r="FJ92" s="465"/>
      <c r="FK92" s="465"/>
      <c r="FL92" s="465"/>
      <c r="FM92" s="465"/>
      <c r="FN92" s="465"/>
      <c r="FO92" s="465"/>
      <c r="FP92" s="465"/>
      <c r="FQ92" s="465"/>
      <c r="FR92" s="465"/>
      <c r="FS92" s="465"/>
      <c r="FT92" s="465"/>
      <c r="FU92" s="465"/>
      <c r="FV92" s="465"/>
      <c r="FW92" s="465"/>
      <c r="FX92" s="465"/>
      <c r="FY92" s="465"/>
      <c r="FZ92" s="465"/>
      <c r="GA92" s="465"/>
      <c r="GB92" s="465"/>
      <c r="GC92" s="465"/>
      <c r="GD92" s="465"/>
      <c r="GE92" s="465"/>
      <c r="GF92" s="465"/>
      <c r="GG92" s="465"/>
      <c r="GH92" s="465"/>
      <c r="GI92" s="465"/>
      <c r="GJ92" s="465"/>
      <c r="GK92" s="465"/>
      <c r="GL92" s="465"/>
      <c r="GM92" s="465"/>
      <c r="GN92" s="465"/>
      <c r="GO92" s="465"/>
      <c r="GP92" s="465"/>
      <c r="GQ92" s="465"/>
      <c r="GR92" s="465"/>
      <c r="GS92" s="465"/>
      <c r="GT92" s="465"/>
      <c r="GU92" s="465"/>
      <c r="GV92" s="465"/>
      <c r="GW92" s="465"/>
      <c r="GX92" s="465"/>
      <c r="GY92" s="465"/>
      <c r="GZ92" s="465"/>
      <c r="HA92" s="465"/>
      <c r="HB92" s="465"/>
      <c r="HC92" s="465"/>
      <c r="HD92" s="465"/>
      <c r="HE92" s="465"/>
      <c r="HF92" s="465"/>
      <c r="HG92" s="465"/>
      <c r="HH92" s="465"/>
      <c r="HI92" s="465"/>
      <c r="HJ92" s="465"/>
      <c r="HK92" s="465"/>
      <c r="HL92" s="465"/>
      <c r="HM92" s="465"/>
      <c r="HN92" s="465"/>
      <c r="HO92" s="465"/>
      <c r="HP92" s="465"/>
      <c r="HQ92" s="465"/>
      <c r="HR92" s="465"/>
      <c r="HS92" s="465"/>
      <c r="HT92" s="465"/>
      <c r="HU92" s="465"/>
      <c r="HV92" s="465"/>
      <c r="HW92" s="465"/>
      <c r="HX92" s="465"/>
      <c r="HY92" s="465"/>
      <c r="HZ92" s="465"/>
      <c r="IA92" s="465"/>
      <c r="IB92" s="465"/>
      <c r="IC92" s="465"/>
      <c r="ID92" s="465"/>
      <c r="IE92" s="465"/>
      <c r="IF92" s="465"/>
      <c r="IG92" s="465"/>
      <c r="IH92" s="465"/>
      <c r="II92" s="465"/>
      <c r="IJ92" s="465"/>
      <c r="IK92" s="465"/>
      <c r="IL92" s="465"/>
      <c r="IM92" s="465"/>
      <c r="IN92" s="465"/>
      <c r="IO92" s="465"/>
      <c r="IP92" s="465"/>
      <c r="IQ92" s="465"/>
      <c r="IR92" s="465"/>
      <c r="IS92" s="465"/>
      <c r="IT92" s="465"/>
      <c r="IU92" s="465"/>
      <c r="IV92" s="465"/>
      <c r="IW92" s="465"/>
      <c r="IX92" s="465"/>
      <c r="IY92" s="465"/>
      <c r="IZ92" s="465"/>
      <c r="JA92" s="465"/>
      <c r="JB92" s="465"/>
      <c r="JC92" s="465"/>
      <c r="JD92" s="465"/>
      <c r="JE92" s="465"/>
      <c r="JF92" s="465"/>
      <c r="JG92" s="465"/>
      <c r="JH92" s="465"/>
      <c r="JI92" s="465"/>
      <c r="JJ92" s="465"/>
      <c r="JK92" s="465"/>
      <c r="JL92" s="465"/>
      <c r="JM92" s="465"/>
      <c r="JN92" s="465"/>
      <c r="JO92" s="465"/>
      <c r="JP92" s="465"/>
      <c r="JQ92" s="465"/>
      <c r="JR92" s="465"/>
      <c r="JS92" s="465"/>
      <c r="JT92" s="465"/>
      <c r="JU92" s="465"/>
      <c r="JV92" s="465"/>
      <c r="JW92" s="465"/>
      <c r="JX92" s="20"/>
      <c r="JY92"/>
      <c r="JZ92" s="464" t="s">
        <v>244</v>
      </c>
      <c r="KA92" s="410" t="str">
        <f>I92</f>
        <v>ANNUAL RENT (YR 1)</v>
      </c>
      <c r="KB92" s="410" t="str">
        <f>F92</f>
        <v>RENT START</v>
      </c>
      <c r="KC92" s="410" t="str">
        <f>G92</f>
        <v>RENT GROWTH %</v>
      </c>
      <c r="KD92" s="410" t="str">
        <f t="shared" ref="KD92:KD104" si="327">K92</f>
        <v>RENT STEPS</v>
      </c>
      <c r="KE92" s="410" t="s">
        <v>245</v>
      </c>
      <c r="KF92" s="287"/>
      <c r="KG92" s="287">
        <f t="shared" ref="KG92:LL92" si="328">KG3</f>
        <v>1</v>
      </c>
      <c r="KH92" s="287">
        <f t="shared" si="328"/>
        <v>2</v>
      </c>
      <c r="KI92" s="287">
        <f t="shared" si="328"/>
        <v>3</v>
      </c>
      <c r="KJ92" s="287">
        <f t="shared" si="328"/>
        <v>4</v>
      </c>
      <c r="KK92" s="287">
        <f t="shared" si="328"/>
        <v>5</v>
      </c>
      <c r="KL92" s="287">
        <f t="shared" si="328"/>
        <v>6</v>
      </c>
      <c r="KM92" s="287">
        <f t="shared" si="328"/>
        <v>7</v>
      </c>
      <c r="KN92" s="287">
        <f t="shared" si="328"/>
        <v>8</v>
      </c>
      <c r="KO92" s="287">
        <f t="shared" si="328"/>
        <v>9</v>
      </c>
      <c r="KP92" s="287">
        <f t="shared" si="328"/>
        <v>10</v>
      </c>
      <c r="KQ92" s="287">
        <f t="shared" si="328"/>
        <v>11</v>
      </c>
      <c r="KR92" s="287">
        <f t="shared" si="328"/>
        <v>12</v>
      </c>
      <c r="KS92" s="287">
        <f t="shared" si="328"/>
        <v>13</v>
      </c>
      <c r="KT92" s="287">
        <f t="shared" si="328"/>
        <v>14</v>
      </c>
      <c r="KU92" s="287">
        <f t="shared" si="328"/>
        <v>15</v>
      </c>
      <c r="KV92" s="287">
        <f t="shared" si="328"/>
        <v>16</v>
      </c>
      <c r="KW92" s="287">
        <f t="shared" si="328"/>
        <v>17</v>
      </c>
      <c r="KX92" s="287">
        <f t="shared" si="328"/>
        <v>18</v>
      </c>
      <c r="KY92" s="287">
        <f t="shared" si="328"/>
        <v>19</v>
      </c>
      <c r="KZ92" s="287">
        <f t="shared" si="328"/>
        <v>20</v>
      </c>
      <c r="LA92" s="287">
        <f t="shared" si="328"/>
        <v>21</v>
      </c>
      <c r="LB92" s="287">
        <f t="shared" si="328"/>
        <v>22</v>
      </c>
      <c r="LC92" s="287">
        <f t="shared" si="328"/>
        <v>23</v>
      </c>
      <c r="LD92" s="287">
        <f t="shared" si="328"/>
        <v>24</v>
      </c>
      <c r="LE92" s="287">
        <f t="shared" si="328"/>
        <v>25</v>
      </c>
      <c r="LF92" s="287">
        <f t="shared" si="328"/>
        <v>26</v>
      </c>
      <c r="LG92" s="287">
        <f t="shared" si="328"/>
        <v>27</v>
      </c>
      <c r="LH92" s="287">
        <f t="shared" si="328"/>
        <v>28</v>
      </c>
      <c r="LI92" s="287">
        <f t="shared" si="328"/>
        <v>29</v>
      </c>
      <c r="LJ92" s="287">
        <f t="shared" si="328"/>
        <v>30</v>
      </c>
      <c r="LK92" s="287">
        <f t="shared" si="328"/>
        <v>31</v>
      </c>
      <c r="LL92" s="287">
        <f t="shared" si="328"/>
        <v>32</v>
      </c>
      <c r="LM92" s="287">
        <f t="shared" ref="LM92:MR92" si="329">LM3</f>
        <v>33</v>
      </c>
      <c r="LN92" s="287">
        <f t="shared" si="329"/>
        <v>34</v>
      </c>
      <c r="LO92" s="287">
        <f t="shared" si="329"/>
        <v>35</v>
      </c>
      <c r="LP92" s="287">
        <f t="shared" si="329"/>
        <v>36</v>
      </c>
      <c r="LQ92" s="287">
        <f t="shared" si="329"/>
        <v>37</v>
      </c>
      <c r="LR92" s="287">
        <f t="shared" si="329"/>
        <v>38</v>
      </c>
      <c r="LS92" s="287">
        <f t="shared" si="329"/>
        <v>39</v>
      </c>
      <c r="LT92" s="287">
        <f t="shared" si="329"/>
        <v>40</v>
      </c>
      <c r="LU92" s="287">
        <f t="shared" si="329"/>
        <v>41</v>
      </c>
      <c r="LV92" s="287">
        <f t="shared" si="329"/>
        <v>42</v>
      </c>
      <c r="LW92" s="287">
        <f t="shared" si="329"/>
        <v>43</v>
      </c>
      <c r="LX92" s="287">
        <f t="shared" si="329"/>
        <v>44</v>
      </c>
      <c r="LY92" s="287">
        <f t="shared" si="329"/>
        <v>45</v>
      </c>
      <c r="LZ92" s="287">
        <f t="shared" si="329"/>
        <v>46</v>
      </c>
      <c r="MA92" s="287">
        <f t="shared" si="329"/>
        <v>47</v>
      </c>
      <c r="MB92" s="287">
        <f t="shared" si="329"/>
        <v>48</v>
      </c>
      <c r="MC92" s="287">
        <f t="shared" si="329"/>
        <v>49</v>
      </c>
      <c r="MD92" s="287">
        <f t="shared" si="329"/>
        <v>50</v>
      </c>
      <c r="ME92" s="287">
        <f t="shared" si="329"/>
        <v>51</v>
      </c>
      <c r="MF92" s="287">
        <f t="shared" si="329"/>
        <v>52</v>
      </c>
      <c r="MG92" s="287">
        <f t="shared" si="329"/>
        <v>53</v>
      </c>
      <c r="MH92" s="287">
        <f t="shared" si="329"/>
        <v>54</v>
      </c>
      <c r="MI92" s="287">
        <f t="shared" si="329"/>
        <v>55</v>
      </c>
      <c r="MJ92" s="287">
        <f t="shared" si="329"/>
        <v>56</v>
      </c>
      <c r="MK92" s="287">
        <f t="shared" si="329"/>
        <v>57</v>
      </c>
      <c r="ML92" s="287">
        <f t="shared" si="329"/>
        <v>58</v>
      </c>
      <c r="MM92" s="287">
        <f t="shared" si="329"/>
        <v>59</v>
      </c>
      <c r="MN92" s="287">
        <f t="shared" si="329"/>
        <v>60</v>
      </c>
      <c r="MO92" s="287">
        <f t="shared" si="329"/>
        <v>61</v>
      </c>
      <c r="MP92" s="287">
        <f t="shared" si="329"/>
        <v>62</v>
      </c>
      <c r="MQ92" s="287">
        <f t="shared" si="329"/>
        <v>63</v>
      </c>
      <c r="MR92" s="287">
        <f t="shared" si="329"/>
        <v>64</v>
      </c>
      <c r="MS92" s="287">
        <f t="shared" ref="MS92:NX92" si="330">MS3</f>
        <v>65</v>
      </c>
      <c r="MT92" s="287">
        <f t="shared" si="330"/>
        <v>66</v>
      </c>
      <c r="MU92" s="287">
        <f t="shared" si="330"/>
        <v>67</v>
      </c>
      <c r="MV92" s="287">
        <f t="shared" si="330"/>
        <v>68</v>
      </c>
      <c r="MW92" s="287">
        <f t="shared" si="330"/>
        <v>69</v>
      </c>
      <c r="MX92" s="287">
        <f t="shared" si="330"/>
        <v>70</v>
      </c>
      <c r="MY92" s="287">
        <f t="shared" si="330"/>
        <v>71</v>
      </c>
      <c r="MZ92" s="287">
        <f t="shared" si="330"/>
        <v>72</v>
      </c>
      <c r="NA92" s="287">
        <f t="shared" si="330"/>
        <v>73</v>
      </c>
      <c r="NB92" s="287">
        <f t="shared" si="330"/>
        <v>74</v>
      </c>
      <c r="NC92" s="287">
        <f t="shared" si="330"/>
        <v>75</v>
      </c>
      <c r="ND92" s="287">
        <f t="shared" si="330"/>
        <v>76</v>
      </c>
      <c r="NE92" s="287">
        <f t="shared" si="330"/>
        <v>77</v>
      </c>
      <c r="NF92" s="287">
        <f t="shared" si="330"/>
        <v>78</v>
      </c>
      <c r="NG92" s="287">
        <f t="shared" si="330"/>
        <v>79</v>
      </c>
      <c r="NH92" s="287">
        <f t="shared" si="330"/>
        <v>80</v>
      </c>
      <c r="NI92" s="287">
        <f t="shared" si="330"/>
        <v>81</v>
      </c>
      <c r="NJ92" s="287">
        <f t="shared" si="330"/>
        <v>82</v>
      </c>
      <c r="NK92" s="287">
        <f t="shared" si="330"/>
        <v>83</v>
      </c>
      <c r="NL92" s="287">
        <f t="shared" si="330"/>
        <v>84</v>
      </c>
      <c r="NM92" s="287">
        <f t="shared" si="330"/>
        <v>85</v>
      </c>
      <c r="NN92" s="287">
        <f t="shared" si="330"/>
        <v>86</v>
      </c>
      <c r="NO92" s="287">
        <f t="shared" si="330"/>
        <v>87</v>
      </c>
      <c r="NP92" s="287">
        <f t="shared" si="330"/>
        <v>88</v>
      </c>
      <c r="NQ92" s="287">
        <f t="shared" si="330"/>
        <v>89</v>
      </c>
      <c r="NR92" s="287">
        <f t="shared" si="330"/>
        <v>90</v>
      </c>
      <c r="NS92" s="287">
        <f t="shared" si="330"/>
        <v>91</v>
      </c>
      <c r="NT92" s="287">
        <f t="shared" si="330"/>
        <v>92</v>
      </c>
      <c r="NU92" s="287">
        <f t="shared" si="330"/>
        <v>93</v>
      </c>
      <c r="NV92" s="287">
        <f t="shared" si="330"/>
        <v>94</v>
      </c>
      <c r="NW92" s="287">
        <f t="shared" si="330"/>
        <v>95</v>
      </c>
      <c r="NX92" s="287">
        <f t="shared" si="330"/>
        <v>96</v>
      </c>
      <c r="NY92" s="287">
        <f t="shared" ref="NY92:PH92" si="331">NY3</f>
        <v>97</v>
      </c>
      <c r="NZ92" s="287">
        <f t="shared" si="331"/>
        <v>98</v>
      </c>
      <c r="OA92" s="287">
        <f t="shared" si="331"/>
        <v>99</v>
      </c>
      <c r="OB92" s="287">
        <f t="shared" si="331"/>
        <v>100</v>
      </c>
      <c r="OC92" s="287">
        <f t="shared" si="331"/>
        <v>101</v>
      </c>
      <c r="OD92" s="287">
        <f t="shared" si="331"/>
        <v>102</v>
      </c>
      <c r="OE92" s="287">
        <f t="shared" si="331"/>
        <v>103</v>
      </c>
      <c r="OF92" s="287">
        <f t="shared" si="331"/>
        <v>104</v>
      </c>
      <c r="OG92" s="287">
        <f t="shared" si="331"/>
        <v>105</v>
      </c>
      <c r="OH92" s="287">
        <f t="shared" si="331"/>
        <v>106</v>
      </c>
      <c r="OI92" s="287">
        <f t="shared" si="331"/>
        <v>107</v>
      </c>
      <c r="OJ92" s="287">
        <f t="shared" si="331"/>
        <v>108</v>
      </c>
      <c r="OK92" s="287">
        <f t="shared" si="331"/>
        <v>109</v>
      </c>
      <c r="OL92" s="287">
        <f t="shared" si="331"/>
        <v>110</v>
      </c>
      <c r="OM92" s="287">
        <f t="shared" si="331"/>
        <v>111</v>
      </c>
      <c r="ON92" s="287">
        <f t="shared" si="331"/>
        <v>112</v>
      </c>
      <c r="OO92" s="287">
        <f t="shared" si="331"/>
        <v>113</v>
      </c>
      <c r="OP92" s="287">
        <f t="shared" si="331"/>
        <v>114</v>
      </c>
      <c r="OQ92" s="287">
        <f t="shared" si="331"/>
        <v>115</v>
      </c>
      <c r="OR92" s="287">
        <f t="shared" si="331"/>
        <v>116</v>
      </c>
      <c r="OS92" s="287">
        <f t="shared" si="331"/>
        <v>117</v>
      </c>
      <c r="OT92" s="287">
        <f t="shared" si="331"/>
        <v>118</v>
      </c>
      <c r="OU92" s="287">
        <f t="shared" si="331"/>
        <v>119</v>
      </c>
      <c r="OV92" s="287">
        <f t="shared" si="331"/>
        <v>120</v>
      </c>
      <c r="OW92" s="287">
        <f t="shared" si="331"/>
        <v>121</v>
      </c>
      <c r="OX92" s="287">
        <f t="shared" si="331"/>
        <v>122</v>
      </c>
      <c r="OY92" s="287">
        <f t="shared" si="331"/>
        <v>123</v>
      </c>
      <c r="OZ92" s="287">
        <f t="shared" si="331"/>
        <v>124</v>
      </c>
      <c r="PA92" s="287">
        <f t="shared" si="331"/>
        <v>125</v>
      </c>
      <c r="PB92" s="287">
        <f t="shared" si="331"/>
        <v>126</v>
      </c>
      <c r="PC92" s="287">
        <f t="shared" si="331"/>
        <v>127</v>
      </c>
      <c r="PD92" s="287">
        <f t="shared" si="331"/>
        <v>128</v>
      </c>
      <c r="PE92" s="287">
        <f t="shared" si="331"/>
        <v>129</v>
      </c>
      <c r="PF92" s="287">
        <f t="shared" si="331"/>
        <v>130</v>
      </c>
      <c r="PG92" s="287">
        <f t="shared" si="331"/>
        <v>131</v>
      </c>
      <c r="PH92" s="287">
        <f t="shared" si="331"/>
        <v>132</v>
      </c>
    </row>
    <row r="93" spans="1:424" x14ac:dyDescent="0.35">
      <c r="A93"/>
      <c r="B93" s="469" t="s">
        <v>246</v>
      </c>
      <c r="C93" s="469" t="s">
        <v>246</v>
      </c>
      <c r="D93" s="45">
        <v>19</v>
      </c>
      <c r="E93" s="837">
        <f>'URWLD COMPANY INPUTS'!$F$134</f>
        <v>21500</v>
      </c>
      <c r="F93" s="45">
        <f t="shared" ref="F93:F104" si="332">D93+3</f>
        <v>22</v>
      </c>
      <c r="G93" s="838">
        <f>IF('INPUT REGISTER'!$F$223="","",'INPUT REGISTER'!$F$223)</f>
        <v>3.5000000000000003E-2</v>
      </c>
      <c r="H93" s="843">
        <f>'INPUT REGISTER'!$F$672</f>
        <v>400</v>
      </c>
      <c r="I93" s="424">
        <f t="shared" ref="I93:I104" si="333">IF(OR(E93="",H93=""),0,E93*H93)</f>
        <v>8600000</v>
      </c>
      <c r="J93"/>
      <c r="K93" s="286" t="s">
        <v>247</v>
      </c>
      <c r="L93" s="75">
        <f t="shared" ref="L93:U104" si="334">IF(OR(L$3&lt;$F93,$E93="",$H93=""),0,$E93*$H93/12*(1+$G93)^INT(MAX(0,L$3-$F93)/12))</f>
        <v>0</v>
      </c>
      <c r="M93" s="417">
        <f t="shared" si="334"/>
        <v>0</v>
      </c>
      <c r="N93" s="417">
        <f t="shared" si="334"/>
        <v>0</v>
      </c>
      <c r="O93" s="417">
        <f t="shared" si="334"/>
        <v>0</v>
      </c>
      <c r="P93" s="417">
        <f t="shared" si="334"/>
        <v>0</v>
      </c>
      <c r="Q93" s="417">
        <f t="shared" si="334"/>
        <v>0</v>
      </c>
      <c r="R93" s="417">
        <f t="shared" si="334"/>
        <v>0</v>
      </c>
      <c r="S93" s="417">
        <f t="shared" si="334"/>
        <v>0</v>
      </c>
      <c r="T93" s="417">
        <f t="shared" si="334"/>
        <v>0</v>
      </c>
      <c r="U93" s="417">
        <f t="shared" si="334"/>
        <v>0</v>
      </c>
      <c r="V93" s="417">
        <f t="shared" ref="V93:AE104" si="335">IF(OR(V$3&lt;$F93,$E93="",$H93=""),0,$E93*$H93/12*(1+$G93)^INT(MAX(0,V$3-$F93)/12))</f>
        <v>0</v>
      </c>
      <c r="W93" s="417">
        <f t="shared" si="335"/>
        <v>0</v>
      </c>
      <c r="X93" s="417">
        <f t="shared" si="335"/>
        <v>0</v>
      </c>
      <c r="Y93" s="417">
        <f t="shared" si="335"/>
        <v>0</v>
      </c>
      <c r="Z93" s="417">
        <f t="shared" si="335"/>
        <v>0</v>
      </c>
      <c r="AA93" s="417">
        <f t="shared" si="335"/>
        <v>0</v>
      </c>
      <c r="AB93" s="417">
        <f t="shared" si="335"/>
        <v>0</v>
      </c>
      <c r="AC93" s="417">
        <f t="shared" si="335"/>
        <v>0</v>
      </c>
      <c r="AD93" s="417">
        <f t="shared" si="335"/>
        <v>0</v>
      </c>
      <c r="AE93" s="417">
        <f t="shared" si="335"/>
        <v>0</v>
      </c>
      <c r="AF93" s="417">
        <f t="shared" ref="AF93:AO104" si="336">IF(OR(AF$3&lt;$F93,$E93="",$H93=""),0,$E93*$H93/12*(1+$G93)^INT(MAX(0,AF$3-$F93)/12))</f>
        <v>0</v>
      </c>
      <c r="AG93" s="417">
        <f t="shared" si="336"/>
        <v>0</v>
      </c>
      <c r="AH93" s="417">
        <f t="shared" si="336"/>
        <v>716666.66666666663</v>
      </c>
      <c r="AI93" s="417">
        <f t="shared" si="336"/>
        <v>716666.66666666663</v>
      </c>
      <c r="AJ93" s="417">
        <f t="shared" si="336"/>
        <v>716666.66666666663</v>
      </c>
      <c r="AK93" s="417">
        <f t="shared" si="336"/>
        <v>716666.66666666663</v>
      </c>
      <c r="AL93" s="417">
        <f t="shared" si="336"/>
        <v>716666.66666666663</v>
      </c>
      <c r="AM93" s="417">
        <f t="shared" si="336"/>
        <v>716666.66666666663</v>
      </c>
      <c r="AN93" s="417">
        <f t="shared" si="336"/>
        <v>716666.66666666663</v>
      </c>
      <c r="AO93" s="417">
        <f t="shared" si="336"/>
        <v>716666.66666666663</v>
      </c>
      <c r="AP93" s="417">
        <f t="shared" ref="AP93:AY104" si="337">IF(OR(AP$3&lt;$F93,$E93="",$H93=""),0,$E93*$H93/12*(1+$G93)^INT(MAX(0,AP$3-$F93)/12))</f>
        <v>716666.66666666663</v>
      </c>
      <c r="AQ93" s="417">
        <f t="shared" si="337"/>
        <v>716666.66666666663</v>
      </c>
      <c r="AR93" s="417">
        <f t="shared" si="337"/>
        <v>716666.66666666663</v>
      </c>
      <c r="AS93" s="417">
        <f t="shared" si="337"/>
        <v>716666.66666666663</v>
      </c>
      <c r="AT93" s="417">
        <f t="shared" si="337"/>
        <v>741749.99999999988</v>
      </c>
      <c r="AU93" s="417">
        <f t="shared" si="337"/>
        <v>741749.99999999988</v>
      </c>
      <c r="AV93" s="417">
        <f t="shared" si="337"/>
        <v>741749.99999999988</v>
      </c>
      <c r="AW93" s="417">
        <f t="shared" si="337"/>
        <v>741749.99999999988</v>
      </c>
      <c r="AX93" s="417">
        <f t="shared" si="337"/>
        <v>741749.99999999988</v>
      </c>
      <c r="AY93" s="417">
        <f t="shared" si="337"/>
        <v>741749.99999999988</v>
      </c>
      <c r="AZ93" s="417">
        <f t="shared" ref="AZ93:BI104" si="338">IF(OR(AZ$3&lt;$F93,$E93="",$H93=""),0,$E93*$H93/12*(1+$G93)^INT(MAX(0,AZ$3-$F93)/12))</f>
        <v>741749.99999999988</v>
      </c>
      <c r="BA93" s="417">
        <f t="shared" si="338"/>
        <v>741749.99999999988</v>
      </c>
      <c r="BB93" s="417">
        <f t="shared" si="338"/>
        <v>741749.99999999988</v>
      </c>
      <c r="BC93" s="417">
        <f t="shared" si="338"/>
        <v>741749.99999999988</v>
      </c>
      <c r="BD93" s="417">
        <f t="shared" si="338"/>
        <v>741749.99999999988</v>
      </c>
      <c r="BE93" s="417">
        <f t="shared" si="338"/>
        <v>741749.99999999988</v>
      </c>
      <c r="BF93" s="417">
        <f t="shared" si="338"/>
        <v>767711.24999999988</v>
      </c>
      <c r="BG93" s="417">
        <f t="shared" si="338"/>
        <v>767711.24999999988</v>
      </c>
      <c r="BH93" s="417">
        <f t="shared" si="338"/>
        <v>767711.24999999988</v>
      </c>
      <c r="BI93" s="417">
        <f t="shared" si="338"/>
        <v>767711.24999999988</v>
      </c>
      <c r="BJ93" s="417">
        <f t="shared" ref="BJ93:BS104" si="339">IF(OR(BJ$3&lt;$F93,$E93="",$H93=""),0,$E93*$H93/12*(1+$G93)^INT(MAX(0,BJ$3-$F93)/12))</f>
        <v>767711.24999999988</v>
      </c>
      <c r="BK93" s="417">
        <f t="shared" si="339"/>
        <v>767711.24999999988</v>
      </c>
      <c r="BL93" s="417">
        <f t="shared" si="339"/>
        <v>767711.24999999988</v>
      </c>
      <c r="BM93" s="417">
        <f t="shared" si="339"/>
        <v>767711.24999999988</v>
      </c>
      <c r="BN93" s="417">
        <f t="shared" si="339"/>
        <v>767711.24999999988</v>
      </c>
      <c r="BO93" s="417">
        <f t="shared" si="339"/>
        <v>767711.24999999988</v>
      </c>
      <c r="BP93" s="417">
        <f t="shared" si="339"/>
        <v>767711.24999999988</v>
      </c>
      <c r="BQ93" s="417">
        <f t="shared" si="339"/>
        <v>767711.24999999988</v>
      </c>
      <c r="BR93" s="417">
        <f t="shared" si="339"/>
        <v>794581.14374999981</v>
      </c>
      <c r="BS93" s="417">
        <f t="shared" si="339"/>
        <v>794581.14374999981</v>
      </c>
      <c r="BT93" s="417">
        <f t="shared" ref="BT93:CC104" si="340">IF(OR(BT$3&lt;$F93,$E93="",$H93=""),0,$E93*$H93/12*(1+$G93)^INT(MAX(0,BT$3-$F93)/12))</f>
        <v>794581.14374999981</v>
      </c>
      <c r="BU93" s="417">
        <f t="shared" si="340"/>
        <v>794581.14374999981</v>
      </c>
      <c r="BV93" s="417">
        <f t="shared" si="340"/>
        <v>794581.14374999981</v>
      </c>
      <c r="BW93" s="417">
        <f t="shared" si="340"/>
        <v>794581.14374999981</v>
      </c>
      <c r="BX93" s="417">
        <f t="shared" si="340"/>
        <v>794581.14374999981</v>
      </c>
      <c r="BY93" s="417">
        <f t="shared" si="340"/>
        <v>794581.14374999981</v>
      </c>
      <c r="BZ93" s="417">
        <f t="shared" si="340"/>
        <v>794581.14374999981</v>
      </c>
      <c r="CA93" s="417">
        <f t="shared" si="340"/>
        <v>794581.14374999981</v>
      </c>
      <c r="CB93" s="417">
        <f t="shared" si="340"/>
        <v>794581.14374999981</v>
      </c>
      <c r="CC93" s="417">
        <f t="shared" si="340"/>
        <v>794581.14374999981</v>
      </c>
      <c r="CD93" s="417">
        <f t="shared" ref="CD93:CM104" si="341">IF(OR(CD$3&lt;$F93,$E93="",$H93=""),0,$E93*$H93/12*(1+$G93)^INT(MAX(0,CD$3-$F93)/12))</f>
        <v>822391.48378124973</v>
      </c>
      <c r="CE93" s="417">
        <f t="shared" si="341"/>
        <v>822391.48378124973</v>
      </c>
      <c r="CF93" s="417">
        <f t="shared" si="341"/>
        <v>822391.48378124973</v>
      </c>
      <c r="CG93" s="417">
        <f t="shared" si="341"/>
        <v>822391.48378124973</v>
      </c>
      <c r="CH93" s="417">
        <f t="shared" si="341"/>
        <v>822391.48378124973</v>
      </c>
      <c r="CI93" s="417">
        <f t="shared" si="341"/>
        <v>822391.48378124973</v>
      </c>
      <c r="CJ93" s="417">
        <f t="shared" si="341"/>
        <v>822391.48378124973</v>
      </c>
      <c r="CK93" s="417">
        <f t="shared" si="341"/>
        <v>822391.48378124973</v>
      </c>
      <c r="CL93" s="417">
        <f t="shared" si="341"/>
        <v>822391.48378124973</v>
      </c>
      <c r="CM93" s="417">
        <f t="shared" si="341"/>
        <v>822391.48378124973</v>
      </c>
      <c r="CN93" s="417">
        <f t="shared" ref="CN93:CW104" si="342">IF(OR(CN$3&lt;$F93,$E93="",$H93=""),0,$E93*$H93/12*(1+$G93)^INT(MAX(0,CN$3-$F93)/12))</f>
        <v>822391.48378124973</v>
      </c>
      <c r="CO93" s="417">
        <f t="shared" si="342"/>
        <v>822391.48378124973</v>
      </c>
      <c r="CP93" s="417">
        <f t="shared" si="342"/>
        <v>851175.18571359338</v>
      </c>
      <c r="CQ93" s="417">
        <f t="shared" si="342"/>
        <v>851175.18571359338</v>
      </c>
      <c r="CR93" s="417">
        <f t="shared" si="342"/>
        <v>851175.18571359338</v>
      </c>
      <c r="CS93" s="417">
        <f t="shared" si="342"/>
        <v>851175.18571359338</v>
      </c>
      <c r="CT93" s="417">
        <f t="shared" si="342"/>
        <v>851175.18571359338</v>
      </c>
      <c r="CU93" s="417">
        <f t="shared" si="342"/>
        <v>851175.18571359338</v>
      </c>
      <c r="CV93" s="417">
        <f t="shared" si="342"/>
        <v>851175.18571359338</v>
      </c>
      <c r="CW93" s="417">
        <f t="shared" si="342"/>
        <v>851175.18571359338</v>
      </c>
      <c r="CX93" s="417">
        <f t="shared" ref="CX93:DG104" si="343">IF(OR(CX$3&lt;$F93,$E93="",$H93=""),0,$E93*$H93/12*(1+$G93)^INT(MAX(0,CX$3-$F93)/12))</f>
        <v>851175.18571359338</v>
      </c>
      <c r="CY93" s="417">
        <f t="shared" si="343"/>
        <v>851175.18571359338</v>
      </c>
      <c r="CZ93" s="417">
        <f t="shared" si="343"/>
        <v>851175.18571359338</v>
      </c>
      <c r="DA93" s="417">
        <f t="shared" si="343"/>
        <v>851175.18571359338</v>
      </c>
      <c r="DB93" s="417">
        <f t="shared" si="343"/>
        <v>880966.31721356919</v>
      </c>
      <c r="DC93" s="417">
        <f t="shared" si="343"/>
        <v>880966.31721356919</v>
      </c>
      <c r="DD93" s="417">
        <f t="shared" si="343"/>
        <v>880966.31721356919</v>
      </c>
      <c r="DE93" s="417">
        <f t="shared" si="343"/>
        <v>880966.31721356919</v>
      </c>
      <c r="DF93" s="417">
        <f t="shared" si="343"/>
        <v>880966.31721356919</v>
      </c>
      <c r="DG93" s="417">
        <f t="shared" si="343"/>
        <v>880966.31721356919</v>
      </c>
      <c r="DH93" s="417">
        <f t="shared" ref="DH93:DQ104" si="344">IF(OR(DH$3&lt;$F93,$E93="",$H93=""),0,$E93*$H93/12*(1+$G93)^INT(MAX(0,DH$3-$F93)/12))</f>
        <v>880966.31721356919</v>
      </c>
      <c r="DI93" s="417">
        <f t="shared" si="344"/>
        <v>880966.31721356919</v>
      </c>
      <c r="DJ93" s="417">
        <f t="shared" si="344"/>
        <v>880966.31721356919</v>
      </c>
      <c r="DK93" s="417">
        <f t="shared" si="344"/>
        <v>880966.31721356919</v>
      </c>
      <c r="DL93" s="417">
        <f t="shared" si="344"/>
        <v>880966.31721356919</v>
      </c>
      <c r="DM93" s="417">
        <f t="shared" si="344"/>
        <v>880966.31721356919</v>
      </c>
      <c r="DN93" s="417">
        <f t="shared" si="344"/>
        <v>911800.138316044</v>
      </c>
      <c r="DO93" s="417">
        <f t="shared" si="344"/>
        <v>911800.138316044</v>
      </c>
      <c r="DP93" s="417">
        <f t="shared" si="344"/>
        <v>911800.138316044</v>
      </c>
      <c r="DQ93" s="417">
        <f t="shared" si="344"/>
        <v>911800.138316044</v>
      </c>
      <c r="DR93" s="417">
        <f t="shared" ref="DR93:EA104" si="345">IF(OR(DR$3&lt;$F93,$E93="",$H93=""),0,$E93*$H93/12*(1+$G93)^INT(MAX(0,DR$3-$F93)/12))</f>
        <v>911800.138316044</v>
      </c>
      <c r="DS93" s="417">
        <f t="shared" si="345"/>
        <v>911800.138316044</v>
      </c>
      <c r="DT93" s="417">
        <f t="shared" si="345"/>
        <v>911800.138316044</v>
      </c>
      <c r="DU93" s="417">
        <f t="shared" si="345"/>
        <v>911800.138316044</v>
      </c>
      <c r="DV93" s="417">
        <f t="shared" si="345"/>
        <v>911800.138316044</v>
      </c>
      <c r="DW93" s="417">
        <f t="shared" si="345"/>
        <v>911800.138316044</v>
      </c>
      <c r="DX93" s="417">
        <f t="shared" si="345"/>
        <v>911800.138316044</v>
      </c>
      <c r="DY93" s="417">
        <f t="shared" si="345"/>
        <v>911800.138316044</v>
      </c>
      <c r="DZ93" s="417">
        <f t="shared" si="345"/>
        <v>943713.14315710531</v>
      </c>
      <c r="EA93" s="417">
        <f t="shared" si="345"/>
        <v>943713.14315710531</v>
      </c>
      <c r="EB93" s="417">
        <f t="shared" ref="EB93:EN104" si="346">IF(OR(EB$3&lt;$F93,$E93="",$H93=""),0,$E93*$H93/12*(1+$G93)^INT(MAX(0,EB$3-$F93)/12))</f>
        <v>943713.14315710531</v>
      </c>
      <c r="EC93" s="417">
        <f t="shared" si="346"/>
        <v>943713.14315710531</v>
      </c>
      <c r="ED93" s="417">
        <f t="shared" si="346"/>
        <v>943713.14315710531</v>
      </c>
      <c r="EE93" s="417">
        <f t="shared" si="346"/>
        <v>943713.14315710531</v>
      </c>
      <c r="EF93" s="417">
        <f t="shared" si="346"/>
        <v>943713.14315710531</v>
      </c>
      <c r="EG93" s="417">
        <f t="shared" si="346"/>
        <v>943713.14315710531</v>
      </c>
      <c r="EH93" s="417">
        <f t="shared" si="346"/>
        <v>943713.14315710531</v>
      </c>
      <c r="EI93" s="417">
        <f t="shared" si="346"/>
        <v>943713.14315710531</v>
      </c>
      <c r="EJ93" s="417">
        <f t="shared" si="346"/>
        <v>943713.14315710531</v>
      </c>
      <c r="EK93" s="417">
        <f t="shared" si="346"/>
        <v>943713.14315710531</v>
      </c>
      <c r="EL93" s="417">
        <f t="shared" si="346"/>
        <v>976743.10316760396</v>
      </c>
      <c r="EM93" s="417">
        <f t="shared" si="346"/>
        <v>976743.10316760396</v>
      </c>
      <c r="EN93" s="417">
        <f t="shared" si="346"/>
        <v>976743.10316760396</v>
      </c>
      <c r="EO93"/>
      <c r="EP93" s="219" t="str">
        <f>$B93</f>
        <v>URWLD</v>
      </c>
      <c r="EQ93" s="913">
        <f>N($E93)</f>
        <v>21500</v>
      </c>
      <c r="ER93" s="197">
        <f>$D93</f>
        <v>19</v>
      </c>
      <c r="ES93" s="18"/>
      <c r="ET93" s="18"/>
      <c r="EU93" s="18"/>
      <c r="EV93" s="418">
        <f>(EV$3&gt;=$ER93)*$EQ93</f>
        <v>0</v>
      </c>
      <c r="EW93" s="418">
        <f t="shared" ref="EW93:HH94" si="347">(EW$3&gt;=$ER93)*$EQ93</f>
        <v>0</v>
      </c>
      <c r="EX93" s="418">
        <f t="shared" si="347"/>
        <v>0</v>
      </c>
      <c r="EY93" s="418">
        <f t="shared" si="347"/>
        <v>0</v>
      </c>
      <c r="EZ93" s="418">
        <f t="shared" si="347"/>
        <v>0</v>
      </c>
      <c r="FA93" s="418">
        <f t="shared" si="347"/>
        <v>0</v>
      </c>
      <c r="FB93" s="418">
        <f t="shared" si="347"/>
        <v>0</v>
      </c>
      <c r="FC93" s="418">
        <f t="shared" si="347"/>
        <v>0</v>
      </c>
      <c r="FD93" s="418">
        <f t="shared" si="347"/>
        <v>0</v>
      </c>
      <c r="FE93" s="418">
        <f t="shared" si="347"/>
        <v>0</v>
      </c>
      <c r="FF93" s="418">
        <f t="shared" si="347"/>
        <v>0</v>
      </c>
      <c r="FG93" s="418">
        <f t="shared" si="347"/>
        <v>0</v>
      </c>
      <c r="FH93" s="418">
        <f t="shared" si="347"/>
        <v>0</v>
      </c>
      <c r="FI93" s="418">
        <f t="shared" si="347"/>
        <v>0</v>
      </c>
      <c r="FJ93" s="418">
        <f t="shared" si="347"/>
        <v>0</v>
      </c>
      <c r="FK93" s="418">
        <f t="shared" si="347"/>
        <v>0</v>
      </c>
      <c r="FL93" s="418">
        <f t="shared" si="347"/>
        <v>0</v>
      </c>
      <c r="FM93" s="418">
        <f t="shared" si="347"/>
        <v>0</v>
      </c>
      <c r="FN93" s="418">
        <f t="shared" si="347"/>
        <v>0</v>
      </c>
      <c r="FO93" s="418">
        <f t="shared" si="347"/>
        <v>21500</v>
      </c>
      <c r="FP93" s="418">
        <f t="shared" si="347"/>
        <v>21500</v>
      </c>
      <c r="FQ93" s="418">
        <f t="shared" si="347"/>
        <v>21500</v>
      </c>
      <c r="FR93" s="418">
        <f t="shared" si="347"/>
        <v>21500</v>
      </c>
      <c r="FS93" s="418">
        <f t="shared" si="347"/>
        <v>21500</v>
      </c>
      <c r="FT93" s="418">
        <f t="shared" si="347"/>
        <v>21500</v>
      </c>
      <c r="FU93" s="418">
        <f t="shared" si="347"/>
        <v>21500</v>
      </c>
      <c r="FV93" s="418">
        <f t="shared" si="347"/>
        <v>21500</v>
      </c>
      <c r="FW93" s="418">
        <f t="shared" si="347"/>
        <v>21500</v>
      </c>
      <c r="FX93" s="418">
        <f t="shared" si="347"/>
        <v>21500</v>
      </c>
      <c r="FY93" s="418">
        <f t="shared" si="347"/>
        <v>21500</v>
      </c>
      <c r="FZ93" s="418">
        <f t="shared" si="347"/>
        <v>21500</v>
      </c>
      <c r="GA93" s="418">
        <f t="shared" si="347"/>
        <v>21500</v>
      </c>
      <c r="GB93" s="418">
        <f t="shared" si="347"/>
        <v>21500</v>
      </c>
      <c r="GC93" s="418">
        <f t="shared" si="347"/>
        <v>21500</v>
      </c>
      <c r="GD93" s="418">
        <f t="shared" si="347"/>
        <v>21500</v>
      </c>
      <c r="GE93" s="418">
        <f t="shared" si="347"/>
        <v>21500</v>
      </c>
      <c r="GF93" s="418">
        <f t="shared" si="347"/>
        <v>21500</v>
      </c>
      <c r="GG93" s="418">
        <f t="shared" si="347"/>
        <v>21500</v>
      </c>
      <c r="GH93" s="418">
        <f t="shared" si="347"/>
        <v>21500</v>
      </c>
      <c r="GI93" s="418">
        <f t="shared" si="347"/>
        <v>21500</v>
      </c>
      <c r="GJ93" s="418">
        <f t="shared" si="347"/>
        <v>21500</v>
      </c>
      <c r="GK93" s="418">
        <f t="shared" si="347"/>
        <v>21500</v>
      </c>
      <c r="GL93" s="418">
        <f t="shared" si="347"/>
        <v>21500</v>
      </c>
      <c r="GM93" s="418">
        <f t="shared" si="347"/>
        <v>21500</v>
      </c>
      <c r="GN93" s="418">
        <f t="shared" si="347"/>
        <v>21500</v>
      </c>
      <c r="GO93" s="418">
        <f t="shared" si="347"/>
        <v>21500</v>
      </c>
      <c r="GP93" s="418">
        <f t="shared" si="347"/>
        <v>21500</v>
      </c>
      <c r="GQ93" s="418">
        <f t="shared" si="347"/>
        <v>21500</v>
      </c>
      <c r="GR93" s="418">
        <f t="shared" si="347"/>
        <v>21500</v>
      </c>
      <c r="GS93" s="418">
        <f t="shared" si="347"/>
        <v>21500</v>
      </c>
      <c r="GT93" s="418">
        <f t="shared" si="347"/>
        <v>21500</v>
      </c>
      <c r="GU93" s="418">
        <f t="shared" si="347"/>
        <v>21500</v>
      </c>
      <c r="GV93" s="418">
        <f t="shared" si="347"/>
        <v>21500</v>
      </c>
      <c r="GW93" s="418">
        <f t="shared" si="347"/>
        <v>21500</v>
      </c>
      <c r="GX93" s="418">
        <f t="shared" si="347"/>
        <v>21500</v>
      </c>
      <c r="GY93" s="418">
        <f t="shared" si="347"/>
        <v>21500</v>
      </c>
      <c r="GZ93" s="418">
        <f t="shared" si="347"/>
        <v>21500</v>
      </c>
      <c r="HA93" s="418">
        <f t="shared" si="347"/>
        <v>21500</v>
      </c>
      <c r="HB93" s="418">
        <f t="shared" si="347"/>
        <v>21500</v>
      </c>
      <c r="HC93" s="418">
        <f t="shared" si="347"/>
        <v>21500</v>
      </c>
      <c r="HD93" s="418">
        <f t="shared" si="347"/>
        <v>21500</v>
      </c>
      <c r="HE93" s="418">
        <f t="shared" si="347"/>
        <v>21500</v>
      </c>
      <c r="HF93" s="418">
        <f t="shared" si="347"/>
        <v>21500</v>
      </c>
      <c r="HG93" s="418">
        <f t="shared" si="347"/>
        <v>21500</v>
      </c>
      <c r="HH93" s="418">
        <f t="shared" si="347"/>
        <v>21500</v>
      </c>
      <c r="HI93" s="418">
        <f t="shared" ref="HI93:HR95" si="348">(HI$3&gt;=$ER93)*$EQ93</f>
        <v>21500</v>
      </c>
      <c r="HJ93" s="418">
        <f t="shared" si="348"/>
        <v>21500</v>
      </c>
      <c r="HK93" s="418">
        <f t="shared" si="348"/>
        <v>21500</v>
      </c>
      <c r="HL93" s="418">
        <f t="shared" si="348"/>
        <v>21500</v>
      </c>
      <c r="HM93" s="418">
        <f t="shared" si="348"/>
        <v>21500</v>
      </c>
      <c r="HN93" s="418">
        <f t="shared" si="348"/>
        <v>21500</v>
      </c>
      <c r="HO93" s="418">
        <f t="shared" si="348"/>
        <v>21500</v>
      </c>
      <c r="HP93" s="418">
        <f t="shared" si="348"/>
        <v>21500</v>
      </c>
      <c r="HQ93" s="418">
        <f t="shared" si="348"/>
        <v>21500</v>
      </c>
      <c r="HR93" s="418">
        <f t="shared" si="348"/>
        <v>21500</v>
      </c>
      <c r="HS93" s="418">
        <f t="shared" ref="HS93:IB95" si="349">(HS$3&gt;=$ER93)*$EQ93</f>
        <v>21500</v>
      </c>
      <c r="HT93" s="418">
        <f t="shared" si="349"/>
        <v>21500</v>
      </c>
      <c r="HU93" s="418">
        <f t="shared" si="349"/>
        <v>21500</v>
      </c>
      <c r="HV93" s="418">
        <f t="shared" si="349"/>
        <v>21500</v>
      </c>
      <c r="HW93" s="418">
        <f t="shared" si="349"/>
        <v>21500</v>
      </c>
      <c r="HX93" s="418">
        <f t="shared" si="349"/>
        <v>21500</v>
      </c>
      <c r="HY93" s="418">
        <f t="shared" si="349"/>
        <v>21500</v>
      </c>
      <c r="HZ93" s="418">
        <f t="shared" si="349"/>
        <v>21500</v>
      </c>
      <c r="IA93" s="418">
        <f t="shared" si="349"/>
        <v>21500</v>
      </c>
      <c r="IB93" s="418">
        <f t="shared" si="349"/>
        <v>21500</v>
      </c>
      <c r="IC93" s="418">
        <f t="shared" ref="IC93:IL95" si="350">(IC$3&gt;=$ER93)*$EQ93</f>
        <v>21500</v>
      </c>
      <c r="ID93" s="418">
        <f t="shared" si="350"/>
        <v>21500</v>
      </c>
      <c r="IE93" s="418">
        <f t="shared" si="350"/>
        <v>21500</v>
      </c>
      <c r="IF93" s="418">
        <f t="shared" si="350"/>
        <v>21500</v>
      </c>
      <c r="IG93" s="418">
        <f t="shared" si="350"/>
        <v>21500</v>
      </c>
      <c r="IH93" s="418">
        <f t="shared" si="350"/>
        <v>21500</v>
      </c>
      <c r="II93" s="418">
        <f t="shared" si="350"/>
        <v>21500</v>
      </c>
      <c r="IJ93" s="418">
        <f t="shared" si="350"/>
        <v>21500</v>
      </c>
      <c r="IK93" s="418">
        <f t="shared" si="350"/>
        <v>21500</v>
      </c>
      <c r="IL93" s="418">
        <f t="shared" si="350"/>
        <v>21500</v>
      </c>
      <c r="IM93" s="418">
        <f t="shared" ref="IM93:IV95" si="351">(IM$3&gt;=$ER93)*$EQ93</f>
        <v>21500</v>
      </c>
      <c r="IN93" s="418">
        <f t="shared" si="351"/>
        <v>21500</v>
      </c>
      <c r="IO93" s="418">
        <f t="shared" si="351"/>
        <v>21500</v>
      </c>
      <c r="IP93" s="418">
        <f t="shared" si="351"/>
        <v>21500</v>
      </c>
      <c r="IQ93" s="418">
        <f t="shared" si="351"/>
        <v>21500</v>
      </c>
      <c r="IR93" s="418">
        <f t="shared" si="351"/>
        <v>21500</v>
      </c>
      <c r="IS93" s="418">
        <f t="shared" si="351"/>
        <v>21500</v>
      </c>
      <c r="IT93" s="418">
        <f t="shared" si="351"/>
        <v>21500</v>
      </c>
      <c r="IU93" s="418">
        <f t="shared" si="351"/>
        <v>21500</v>
      </c>
      <c r="IV93" s="418">
        <f t="shared" si="351"/>
        <v>21500</v>
      </c>
      <c r="IW93" s="418">
        <f t="shared" ref="IW93:JF95" si="352">(IW$3&gt;=$ER93)*$EQ93</f>
        <v>21500</v>
      </c>
      <c r="IX93" s="418">
        <f t="shared" si="352"/>
        <v>21500</v>
      </c>
      <c r="IY93" s="418">
        <f t="shared" si="352"/>
        <v>21500</v>
      </c>
      <c r="IZ93" s="418">
        <f t="shared" si="352"/>
        <v>21500</v>
      </c>
      <c r="JA93" s="418">
        <f t="shared" si="352"/>
        <v>21500</v>
      </c>
      <c r="JB93" s="418">
        <f t="shared" si="352"/>
        <v>21500</v>
      </c>
      <c r="JC93" s="418">
        <f t="shared" si="352"/>
        <v>21500</v>
      </c>
      <c r="JD93" s="418">
        <f t="shared" si="352"/>
        <v>21500</v>
      </c>
      <c r="JE93" s="418">
        <f t="shared" si="352"/>
        <v>21500</v>
      </c>
      <c r="JF93" s="418">
        <f t="shared" si="352"/>
        <v>21500</v>
      </c>
      <c r="JG93" s="418">
        <f t="shared" ref="JG93:JT95" si="353">(JG$3&gt;=$ER93)*$EQ93</f>
        <v>21500</v>
      </c>
      <c r="JH93" s="418">
        <f t="shared" si="353"/>
        <v>21500</v>
      </c>
      <c r="JI93" s="418">
        <f t="shared" si="353"/>
        <v>21500</v>
      </c>
      <c r="JJ93" s="418">
        <f t="shared" si="353"/>
        <v>21500</v>
      </c>
      <c r="JK93" s="418">
        <f t="shared" si="353"/>
        <v>21500</v>
      </c>
      <c r="JL93" s="418">
        <f t="shared" si="353"/>
        <v>21500</v>
      </c>
      <c r="JM93" s="418">
        <f t="shared" si="353"/>
        <v>21500</v>
      </c>
      <c r="JN93" s="418">
        <f t="shared" si="353"/>
        <v>21500</v>
      </c>
      <c r="JO93" s="418">
        <f t="shared" si="353"/>
        <v>21500</v>
      </c>
      <c r="JP93" s="418">
        <f t="shared" si="353"/>
        <v>21500</v>
      </c>
      <c r="JQ93" s="418">
        <f t="shared" si="353"/>
        <v>21500</v>
      </c>
      <c r="JR93" s="418">
        <f t="shared" si="353"/>
        <v>21500</v>
      </c>
      <c r="JS93" s="418">
        <f t="shared" si="353"/>
        <v>21500</v>
      </c>
      <c r="JT93" s="418">
        <f t="shared" si="353"/>
        <v>21500</v>
      </c>
      <c r="JU93" s="418">
        <f t="shared" ref="JU93:JX104" si="354">(JU$3&gt;=$ER93)*$EQ93</f>
        <v>21500</v>
      </c>
      <c r="JV93" s="418">
        <f t="shared" si="354"/>
        <v>21500</v>
      </c>
      <c r="JW93" s="418">
        <f t="shared" si="354"/>
        <v>21500</v>
      </c>
      <c r="JX93" s="418">
        <f t="shared" si="354"/>
        <v>21500</v>
      </c>
      <c r="JY93"/>
      <c r="JZ93" s="219" t="str">
        <f>$B93</f>
        <v>URWLD</v>
      </c>
      <c r="KA93" s="418">
        <f t="shared" ref="KA93:KA104" si="355">I93</f>
        <v>8600000</v>
      </c>
      <c r="KB93" s="197">
        <f t="shared" ref="KB93:KB104" si="356">F93</f>
        <v>22</v>
      </c>
      <c r="KC93" s="206">
        <f t="shared" ref="KC93:KC104" si="357">G93</f>
        <v>3.5000000000000003E-2</v>
      </c>
      <c r="KD93" s="213" t="str">
        <f t="shared" si="327"/>
        <v>Annual</v>
      </c>
      <c r="KE93" s="470">
        <f>IF(KD93="",1,IFERROR(MAX(1,INDEX(Data!$H$24:$H$33,MATCH(KD93,Data!$G$24:$G$33,0))),1))</f>
        <v>1</v>
      </c>
      <c r="KF93" s="263"/>
      <c r="KG93" s="471">
        <f>IF(OR($KA93="",$KB93="",$KE93=""),0,($KB93&lt;=KG$3)*($KA93/12)*(1+$KC93)^(ROUNDUP(MAX(KG$3-$KB93+1,0)/($KE93*12),0)-1))</f>
        <v>0</v>
      </c>
      <c r="KH93" s="471">
        <f t="shared" ref="KH93:KW104" si="358">IF(OR($KA93="",$KB93="",$KE93=""),0,($KB93&lt;=KH$3)*($KA93/12)*(1+$KC93)^(ROUNDUP(MAX(KH$3-$KB93+1,0)/($KE93*12),0)-1))</f>
        <v>0</v>
      </c>
      <c r="KI93" s="471">
        <f t="shared" si="358"/>
        <v>0</v>
      </c>
      <c r="KJ93" s="471">
        <f t="shared" si="358"/>
        <v>0</v>
      </c>
      <c r="KK93" s="471">
        <f t="shared" si="358"/>
        <v>0</v>
      </c>
      <c r="KL93" s="471">
        <f t="shared" si="358"/>
        <v>0</v>
      </c>
      <c r="KM93" s="471">
        <f t="shared" si="358"/>
        <v>0</v>
      </c>
      <c r="KN93" s="471">
        <f t="shared" si="358"/>
        <v>0</v>
      </c>
      <c r="KO93" s="471">
        <f t="shared" si="358"/>
        <v>0</v>
      </c>
      <c r="KP93" s="471">
        <f t="shared" si="358"/>
        <v>0</v>
      </c>
      <c r="KQ93" s="471">
        <f t="shared" si="358"/>
        <v>0</v>
      </c>
      <c r="KR93" s="471">
        <f t="shared" si="358"/>
        <v>0</v>
      </c>
      <c r="KS93" s="471">
        <f t="shared" si="358"/>
        <v>0</v>
      </c>
      <c r="KT93" s="471">
        <f t="shared" si="358"/>
        <v>0</v>
      </c>
      <c r="KU93" s="471">
        <f t="shared" si="358"/>
        <v>0</v>
      </c>
      <c r="KV93" s="471">
        <f t="shared" si="358"/>
        <v>0</v>
      </c>
      <c r="KW93" s="471">
        <f t="shared" si="358"/>
        <v>0</v>
      </c>
      <c r="KX93" s="471">
        <f t="shared" ref="KX93:LM104" si="359">IF(OR($KA93="",$KB93="",$KE93=""),0,($KB93&lt;=KX$3)*($KA93/12)*(1+$KC93)^(ROUNDUP(MAX(KX$3-$KB93+1,0)/($KE93*12),0)-1))</f>
        <v>0</v>
      </c>
      <c r="KY93" s="471">
        <f t="shared" si="359"/>
        <v>0</v>
      </c>
      <c r="KZ93" s="471">
        <f t="shared" si="359"/>
        <v>0</v>
      </c>
      <c r="LA93" s="471">
        <f t="shared" si="359"/>
        <v>0</v>
      </c>
      <c r="LB93" s="471">
        <f t="shared" si="359"/>
        <v>716666.66666666663</v>
      </c>
      <c r="LC93" s="471">
        <f t="shared" si="359"/>
        <v>716666.66666666663</v>
      </c>
      <c r="LD93" s="471">
        <f t="shared" si="359"/>
        <v>716666.66666666663</v>
      </c>
      <c r="LE93" s="471">
        <f t="shared" si="359"/>
        <v>716666.66666666663</v>
      </c>
      <c r="LF93" s="471">
        <f t="shared" si="359"/>
        <v>716666.66666666663</v>
      </c>
      <c r="LG93" s="471">
        <f t="shared" si="359"/>
        <v>716666.66666666663</v>
      </c>
      <c r="LH93" s="471">
        <f t="shared" si="359"/>
        <v>716666.66666666663</v>
      </c>
      <c r="LI93" s="471">
        <f t="shared" si="359"/>
        <v>716666.66666666663</v>
      </c>
      <c r="LJ93" s="471">
        <f t="shared" si="359"/>
        <v>716666.66666666663</v>
      </c>
      <c r="LK93" s="471">
        <f t="shared" si="359"/>
        <v>716666.66666666663</v>
      </c>
      <c r="LL93" s="471">
        <f t="shared" si="359"/>
        <v>716666.66666666663</v>
      </c>
      <c r="LM93" s="471">
        <f t="shared" si="359"/>
        <v>716666.66666666663</v>
      </c>
      <c r="LN93" s="471">
        <f t="shared" ref="LN93:MC104" si="360">IF(OR($KA93="",$KB93="",$KE93=""),0,($KB93&lt;=LN$3)*($KA93/12)*(1+$KC93)^(ROUNDUP(MAX(LN$3-$KB93+1,0)/($KE93*12),0)-1))</f>
        <v>741749.99999999988</v>
      </c>
      <c r="LO93" s="471">
        <f t="shared" si="360"/>
        <v>741749.99999999988</v>
      </c>
      <c r="LP93" s="471">
        <f t="shared" si="360"/>
        <v>741749.99999999988</v>
      </c>
      <c r="LQ93" s="471">
        <f t="shared" si="360"/>
        <v>741749.99999999988</v>
      </c>
      <c r="LR93" s="471">
        <f t="shared" si="360"/>
        <v>741749.99999999988</v>
      </c>
      <c r="LS93" s="471">
        <f t="shared" si="360"/>
        <v>741749.99999999988</v>
      </c>
      <c r="LT93" s="471">
        <f t="shared" si="360"/>
        <v>741749.99999999988</v>
      </c>
      <c r="LU93" s="471">
        <f t="shared" si="360"/>
        <v>741749.99999999988</v>
      </c>
      <c r="LV93" s="471">
        <f t="shared" si="360"/>
        <v>741749.99999999988</v>
      </c>
      <c r="LW93" s="471">
        <f t="shared" si="360"/>
        <v>741749.99999999988</v>
      </c>
      <c r="LX93" s="471">
        <f t="shared" si="360"/>
        <v>741749.99999999988</v>
      </c>
      <c r="LY93" s="471">
        <f t="shared" si="360"/>
        <v>741749.99999999988</v>
      </c>
      <c r="LZ93" s="471">
        <f t="shared" si="360"/>
        <v>767711.24999999988</v>
      </c>
      <c r="MA93" s="471">
        <f t="shared" si="360"/>
        <v>767711.24999999988</v>
      </c>
      <c r="MB93" s="471">
        <f t="shared" si="360"/>
        <v>767711.24999999988</v>
      </c>
      <c r="MC93" s="471">
        <f t="shared" si="360"/>
        <v>767711.24999999988</v>
      </c>
      <c r="MD93" s="471">
        <f t="shared" ref="MD93:MS104" si="361">IF(OR($KA93="",$KB93="",$KE93=""),0,($KB93&lt;=MD$3)*($KA93/12)*(1+$KC93)^(ROUNDUP(MAX(MD$3-$KB93+1,0)/($KE93*12),0)-1))</f>
        <v>767711.24999999988</v>
      </c>
      <c r="ME93" s="471">
        <f t="shared" si="361"/>
        <v>767711.24999999988</v>
      </c>
      <c r="MF93" s="471">
        <f t="shared" si="361"/>
        <v>767711.24999999988</v>
      </c>
      <c r="MG93" s="471">
        <f t="shared" si="361"/>
        <v>767711.24999999988</v>
      </c>
      <c r="MH93" s="471">
        <f t="shared" si="361"/>
        <v>767711.24999999988</v>
      </c>
      <c r="MI93" s="471">
        <f t="shared" si="361"/>
        <v>767711.24999999988</v>
      </c>
      <c r="MJ93" s="471">
        <f t="shared" si="361"/>
        <v>767711.24999999988</v>
      </c>
      <c r="MK93" s="471">
        <f t="shared" si="361"/>
        <v>767711.24999999988</v>
      </c>
      <c r="ML93" s="471">
        <f t="shared" si="361"/>
        <v>794581.14374999981</v>
      </c>
      <c r="MM93" s="471">
        <f t="shared" si="361"/>
        <v>794581.14374999981</v>
      </c>
      <c r="MN93" s="471">
        <f t="shared" si="361"/>
        <v>794581.14374999981</v>
      </c>
      <c r="MO93" s="471">
        <f t="shared" si="361"/>
        <v>794581.14374999981</v>
      </c>
      <c r="MP93" s="471">
        <f t="shared" si="361"/>
        <v>794581.14374999981</v>
      </c>
      <c r="MQ93" s="471">
        <f t="shared" si="361"/>
        <v>794581.14374999981</v>
      </c>
      <c r="MR93" s="471">
        <f t="shared" si="361"/>
        <v>794581.14374999981</v>
      </c>
      <c r="MS93" s="471">
        <f t="shared" si="361"/>
        <v>794581.14374999981</v>
      </c>
      <c r="MT93" s="471">
        <f t="shared" ref="MT93:NI104" si="362">IF(OR($KA93="",$KB93="",$KE93=""),0,($KB93&lt;=MT$3)*($KA93/12)*(1+$KC93)^(ROUNDUP(MAX(MT$3-$KB93+1,0)/($KE93*12),0)-1))</f>
        <v>794581.14374999981</v>
      </c>
      <c r="MU93" s="471">
        <f t="shared" si="362"/>
        <v>794581.14374999981</v>
      </c>
      <c r="MV93" s="471">
        <f t="shared" si="362"/>
        <v>794581.14374999981</v>
      </c>
      <c r="MW93" s="471">
        <f t="shared" si="362"/>
        <v>794581.14374999981</v>
      </c>
      <c r="MX93" s="471">
        <f t="shared" si="362"/>
        <v>822391.48378124973</v>
      </c>
      <c r="MY93" s="471">
        <f t="shared" si="362"/>
        <v>822391.48378124973</v>
      </c>
      <c r="MZ93" s="471">
        <f t="shared" si="362"/>
        <v>822391.48378124973</v>
      </c>
      <c r="NA93" s="471">
        <f t="shared" si="362"/>
        <v>822391.48378124973</v>
      </c>
      <c r="NB93" s="471">
        <f t="shared" si="362"/>
        <v>822391.48378124973</v>
      </c>
      <c r="NC93" s="471">
        <f t="shared" si="362"/>
        <v>822391.48378124973</v>
      </c>
      <c r="ND93" s="471">
        <f t="shared" si="362"/>
        <v>822391.48378124973</v>
      </c>
      <c r="NE93" s="471">
        <f t="shared" si="362"/>
        <v>822391.48378124973</v>
      </c>
      <c r="NF93" s="471">
        <f t="shared" si="362"/>
        <v>822391.48378124973</v>
      </c>
      <c r="NG93" s="471">
        <f t="shared" si="362"/>
        <v>822391.48378124973</v>
      </c>
      <c r="NH93" s="471">
        <f t="shared" si="362"/>
        <v>822391.48378124973</v>
      </c>
      <c r="NI93" s="471">
        <f t="shared" si="362"/>
        <v>822391.48378124973</v>
      </c>
      <c r="NJ93" s="471">
        <f t="shared" ref="NJ93:NY104" si="363">IF(OR($KA93="",$KB93="",$KE93=""),0,($KB93&lt;=NJ$3)*($KA93/12)*(1+$KC93)^(ROUNDUP(MAX(NJ$3-$KB93+1,0)/($KE93*12),0)-1))</f>
        <v>851175.18571359338</v>
      </c>
      <c r="NK93" s="471">
        <f t="shared" si="363"/>
        <v>851175.18571359338</v>
      </c>
      <c r="NL93" s="471">
        <f t="shared" si="363"/>
        <v>851175.18571359338</v>
      </c>
      <c r="NM93" s="471">
        <f t="shared" si="363"/>
        <v>851175.18571359338</v>
      </c>
      <c r="NN93" s="471">
        <f t="shared" si="363"/>
        <v>851175.18571359338</v>
      </c>
      <c r="NO93" s="471">
        <f t="shared" si="363"/>
        <v>851175.18571359338</v>
      </c>
      <c r="NP93" s="471">
        <f t="shared" si="363"/>
        <v>851175.18571359338</v>
      </c>
      <c r="NQ93" s="471">
        <f t="shared" si="363"/>
        <v>851175.18571359338</v>
      </c>
      <c r="NR93" s="471">
        <f t="shared" si="363"/>
        <v>851175.18571359338</v>
      </c>
      <c r="NS93" s="471">
        <f t="shared" si="363"/>
        <v>851175.18571359338</v>
      </c>
      <c r="NT93" s="471">
        <f t="shared" si="363"/>
        <v>851175.18571359338</v>
      </c>
      <c r="NU93" s="471">
        <f t="shared" si="363"/>
        <v>851175.18571359338</v>
      </c>
      <c r="NV93" s="471">
        <f t="shared" si="363"/>
        <v>880966.31721356919</v>
      </c>
      <c r="NW93" s="471">
        <f t="shared" si="363"/>
        <v>880966.31721356919</v>
      </c>
      <c r="NX93" s="471">
        <f t="shared" si="363"/>
        <v>880966.31721356919</v>
      </c>
      <c r="NY93" s="471">
        <f t="shared" si="363"/>
        <v>880966.31721356919</v>
      </c>
      <c r="NZ93" s="471">
        <f t="shared" ref="NZ93:OO104" si="364">IF(OR($KA93="",$KB93="",$KE93=""),0,($KB93&lt;=NZ$3)*($KA93/12)*(1+$KC93)^(ROUNDUP(MAX(NZ$3-$KB93+1,0)/($KE93*12),0)-1))</f>
        <v>880966.31721356919</v>
      </c>
      <c r="OA93" s="471">
        <f t="shared" si="364"/>
        <v>880966.31721356919</v>
      </c>
      <c r="OB93" s="471">
        <f t="shared" si="364"/>
        <v>880966.31721356919</v>
      </c>
      <c r="OC93" s="471">
        <f t="shared" si="364"/>
        <v>880966.31721356919</v>
      </c>
      <c r="OD93" s="471">
        <f t="shared" si="364"/>
        <v>880966.31721356919</v>
      </c>
      <c r="OE93" s="471">
        <f t="shared" si="364"/>
        <v>880966.31721356919</v>
      </c>
      <c r="OF93" s="471">
        <f t="shared" si="364"/>
        <v>880966.31721356919</v>
      </c>
      <c r="OG93" s="471">
        <f t="shared" si="364"/>
        <v>880966.31721356919</v>
      </c>
      <c r="OH93" s="471">
        <f t="shared" si="364"/>
        <v>911800.138316044</v>
      </c>
      <c r="OI93" s="471">
        <f t="shared" si="364"/>
        <v>911800.138316044</v>
      </c>
      <c r="OJ93" s="471">
        <f t="shared" si="364"/>
        <v>911800.138316044</v>
      </c>
      <c r="OK93" s="471">
        <f t="shared" si="364"/>
        <v>911800.138316044</v>
      </c>
      <c r="OL93" s="471">
        <f t="shared" si="364"/>
        <v>911800.138316044</v>
      </c>
      <c r="OM93" s="471">
        <f t="shared" si="364"/>
        <v>911800.138316044</v>
      </c>
      <c r="ON93" s="471">
        <f t="shared" si="364"/>
        <v>911800.138316044</v>
      </c>
      <c r="OO93" s="471">
        <f t="shared" si="364"/>
        <v>911800.138316044</v>
      </c>
      <c r="OP93" s="471">
        <f t="shared" ref="OP93:PE104" si="365">IF(OR($KA93="",$KB93="",$KE93=""),0,($KB93&lt;=OP$3)*($KA93/12)*(1+$KC93)^(ROUNDUP(MAX(OP$3-$KB93+1,0)/($KE93*12),0)-1))</f>
        <v>911800.138316044</v>
      </c>
      <c r="OQ93" s="471">
        <f t="shared" si="365"/>
        <v>911800.138316044</v>
      </c>
      <c r="OR93" s="471">
        <f t="shared" si="365"/>
        <v>911800.138316044</v>
      </c>
      <c r="OS93" s="471">
        <f t="shared" si="365"/>
        <v>911800.138316044</v>
      </c>
      <c r="OT93" s="471">
        <f t="shared" si="365"/>
        <v>943713.14315710531</v>
      </c>
      <c r="OU93" s="471">
        <f t="shared" si="365"/>
        <v>943713.14315710531</v>
      </c>
      <c r="OV93" s="471">
        <f t="shared" si="365"/>
        <v>943713.14315710531</v>
      </c>
      <c r="OW93" s="471">
        <f t="shared" si="365"/>
        <v>943713.14315710531</v>
      </c>
      <c r="OX93" s="471">
        <f t="shared" si="365"/>
        <v>943713.14315710531</v>
      </c>
      <c r="OY93" s="471">
        <f t="shared" si="365"/>
        <v>943713.14315710531</v>
      </c>
      <c r="OZ93" s="471">
        <f t="shared" si="365"/>
        <v>943713.14315710531</v>
      </c>
      <c r="PA93" s="471">
        <f t="shared" si="365"/>
        <v>943713.14315710531</v>
      </c>
      <c r="PB93" s="471">
        <f t="shared" si="365"/>
        <v>943713.14315710531</v>
      </c>
      <c r="PC93" s="471">
        <f t="shared" si="365"/>
        <v>943713.14315710531</v>
      </c>
      <c r="PD93" s="471">
        <f t="shared" si="365"/>
        <v>943713.14315710531</v>
      </c>
      <c r="PE93" s="471">
        <f t="shared" si="365"/>
        <v>943713.14315710531</v>
      </c>
      <c r="PF93" s="471">
        <f t="shared" ref="PF93:PH104" si="366">IF(OR($KA93="",$KB93="",$KE93=""),0,($KB93&lt;=PF$3)*($KA93/12)*(1+$KC93)^(ROUNDUP(MAX(PF$3-$KB93+1,0)/($KE93*12),0)-1))</f>
        <v>976743.10316760396</v>
      </c>
      <c r="PG93" s="471">
        <f t="shared" si="366"/>
        <v>976743.10316760396</v>
      </c>
      <c r="PH93" s="471">
        <f t="shared" si="366"/>
        <v>976743.10316760396</v>
      </c>
    </row>
    <row r="94" spans="1:424" x14ac:dyDescent="0.35">
      <c r="A94"/>
      <c r="B94" s="469" t="s">
        <v>248</v>
      </c>
      <c r="C94" s="469" t="s">
        <v>249</v>
      </c>
      <c r="D94" s="45">
        <v>22</v>
      </c>
      <c r="E94" s="837">
        <f>'URWLD COMPANY INPUTS'!$F$409</f>
        <v>20000</v>
      </c>
      <c r="F94" s="45">
        <f t="shared" si="332"/>
        <v>25</v>
      </c>
      <c r="G94" s="838">
        <f>IF('URWLD COMPANY INPUTS'!$F$113="","",'URWLD COMPANY INPUTS'!$F$113)</f>
        <v>3.5000000000000003E-2</v>
      </c>
      <c r="H94" s="843">
        <f>'INPUT REGISTER'!$F$673</f>
        <v>0</v>
      </c>
      <c r="I94" s="424">
        <f t="shared" si="333"/>
        <v>0</v>
      </c>
      <c r="J94"/>
      <c r="K94" s="286" t="s">
        <v>247</v>
      </c>
      <c r="L94" s="75">
        <f t="shared" si="334"/>
        <v>0</v>
      </c>
      <c r="M94" s="417">
        <f t="shared" si="334"/>
        <v>0</v>
      </c>
      <c r="N94" s="417">
        <f t="shared" si="334"/>
        <v>0</v>
      </c>
      <c r="O94" s="417">
        <f t="shared" si="334"/>
        <v>0</v>
      </c>
      <c r="P94" s="417">
        <f t="shared" si="334"/>
        <v>0</v>
      </c>
      <c r="Q94" s="417">
        <f t="shared" si="334"/>
        <v>0</v>
      </c>
      <c r="R94" s="417">
        <f t="shared" si="334"/>
        <v>0</v>
      </c>
      <c r="S94" s="417">
        <f t="shared" si="334"/>
        <v>0</v>
      </c>
      <c r="T94" s="417">
        <f t="shared" si="334"/>
        <v>0</v>
      </c>
      <c r="U94" s="417">
        <f t="shared" si="334"/>
        <v>0</v>
      </c>
      <c r="V94" s="417">
        <f t="shared" si="335"/>
        <v>0</v>
      </c>
      <c r="W94" s="417">
        <f t="shared" si="335"/>
        <v>0</v>
      </c>
      <c r="X94" s="417">
        <f t="shared" si="335"/>
        <v>0</v>
      </c>
      <c r="Y94" s="417">
        <f t="shared" si="335"/>
        <v>0</v>
      </c>
      <c r="Z94" s="417">
        <f t="shared" si="335"/>
        <v>0</v>
      </c>
      <c r="AA94" s="417">
        <f t="shared" si="335"/>
        <v>0</v>
      </c>
      <c r="AB94" s="417">
        <f t="shared" si="335"/>
        <v>0</v>
      </c>
      <c r="AC94" s="417">
        <f t="shared" si="335"/>
        <v>0</v>
      </c>
      <c r="AD94" s="417">
        <f t="shared" si="335"/>
        <v>0</v>
      </c>
      <c r="AE94" s="417">
        <f t="shared" si="335"/>
        <v>0</v>
      </c>
      <c r="AF94" s="417">
        <f t="shared" si="336"/>
        <v>0</v>
      </c>
      <c r="AG94" s="417">
        <f t="shared" si="336"/>
        <v>0</v>
      </c>
      <c r="AH94" s="417">
        <f t="shared" si="336"/>
        <v>0</v>
      </c>
      <c r="AI94" s="417">
        <f t="shared" si="336"/>
        <v>0</v>
      </c>
      <c r="AJ94" s="417">
        <f t="shared" si="336"/>
        <v>0</v>
      </c>
      <c r="AK94" s="417">
        <f t="shared" si="336"/>
        <v>0</v>
      </c>
      <c r="AL94" s="417">
        <f t="shared" si="336"/>
        <v>0</v>
      </c>
      <c r="AM94" s="417">
        <f t="shared" si="336"/>
        <v>0</v>
      </c>
      <c r="AN94" s="417">
        <f t="shared" si="336"/>
        <v>0</v>
      </c>
      <c r="AO94" s="417">
        <f t="shared" si="336"/>
        <v>0</v>
      </c>
      <c r="AP94" s="417">
        <f t="shared" si="337"/>
        <v>0</v>
      </c>
      <c r="AQ94" s="417">
        <f t="shared" si="337"/>
        <v>0</v>
      </c>
      <c r="AR94" s="417">
        <f t="shared" si="337"/>
        <v>0</v>
      </c>
      <c r="AS94" s="417">
        <f t="shared" si="337"/>
        <v>0</v>
      </c>
      <c r="AT94" s="417">
        <f t="shared" si="337"/>
        <v>0</v>
      </c>
      <c r="AU94" s="417">
        <f t="shared" si="337"/>
        <v>0</v>
      </c>
      <c r="AV94" s="417">
        <f t="shared" si="337"/>
        <v>0</v>
      </c>
      <c r="AW94" s="417">
        <f t="shared" si="337"/>
        <v>0</v>
      </c>
      <c r="AX94" s="417">
        <f t="shared" si="337"/>
        <v>0</v>
      </c>
      <c r="AY94" s="417">
        <f t="shared" si="337"/>
        <v>0</v>
      </c>
      <c r="AZ94" s="417">
        <f t="shared" si="338"/>
        <v>0</v>
      </c>
      <c r="BA94" s="417">
        <f t="shared" si="338"/>
        <v>0</v>
      </c>
      <c r="BB94" s="417">
        <f t="shared" si="338"/>
        <v>0</v>
      </c>
      <c r="BC94" s="417">
        <f t="shared" si="338"/>
        <v>0</v>
      </c>
      <c r="BD94" s="417">
        <f t="shared" si="338"/>
        <v>0</v>
      </c>
      <c r="BE94" s="417">
        <f t="shared" si="338"/>
        <v>0</v>
      </c>
      <c r="BF94" s="417">
        <f t="shared" si="338"/>
        <v>0</v>
      </c>
      <c r="BG94" s="417">
        <f t="shared" si="338"/>
        <v>0</v>
      </c>
      <c r="BH94" s="417">
        <f t="shared" si="338"/>
        <v>0</v>
      </c>
      <c r="BI94" s="417">
        <f t="shared" si="338"/>
        <v>0</v>
      </c>
      <c r="BJ94" s="417">
        <f t="shared" si="339"/>
        <v>0</v>
      </c>
      <c r="BK94" s="417">
        <f t="shared" si="339"/>
        <v>0</v>
      </c>
      <c r="BL94" s="417">
        <f t="shared" si="339"/>
        <v>0</v>
      </c>
      <c r="BM94" s="417">
        <f t="shared" si="339"/>
        <v>0</v>
      </c>
      <c r="BN94" s="417">
        <f t="shared" si="339"/>
        <v>0</v>
      </c>
      <c r="BO94" s="417">
        <f t="shared" si="339"/>
        <v>0</v>
      </c>
      <c r="BP94" s="417">
        <f t="shared" si="339"/>
        <v>0</v>
      </c>
      <c r="BQ94" s="417">
        <f t="shared" si="339"/>
        <v>0</v>
      </c>
      <c r="BR94" s="417">
        <f t="shared" si="339"/>
        <v>0</v>
      </c>
      <c r="BS94" s="417">
        <f t="shared" si="339"/>
        <v>0</v>
      </c>
      <c r="BT94" s="417">
        <f t="shared" si="340"/>
        <v>0</v>
      </c>
      <c r="BU94" s="417">
        <f t="shared" si="340"/>
        <v>0</v>
      </c>
      <c r="BV94" s="417">
        <f t="shared" si="340"/>
        <v>0</v>
      </c>
      <c r="BW94" s="417">
        <f t="shared" si="340"/>
        <v>0</v>
      </c>
      <c r="BX94" s="417">
        <f t="shared" si="340"/>
        <v>0</v>
      </c>
      <c r="BY94" s="417">
        <f t="shared" si="340"/>
        <v>0</v>
      </c>
      <c r="BZ94" s="417">
        <f t="shared" si="340"/>
        <v>0</v>
      </c>
      <c r="CA94" s="417">
        <f t="shared" si="340"/>
        <v>0</v>
      </c>
      <c r="CB94" s="417">
        <f t="shared" si="340"/>
        <v>0</v>
      </c>
      <c r="CC94" s="417">
        <f t="shared" si="340"/>
        <v>0</v>
      </c>
      <c r="CD94" s="417">
        <f t="shared" si="341"/>
        <v>0</v>
      </c>
      <c r="CE94" s="417">
        <f t="shared" si="341"/>
        <v>0</v>
      </c>
      <c r="CF94" s="417">
        <f t="shared" si="341"/>
        <v>0</v>
      </c>
      <c r="CG94" s="417">
        <f t="shared" si="341"/>
        <v>0</v>
      </c>
      <c r="CH94" s="417">
        <f t="shared" si="341"/>
        <v>0</v>
      </c>
      <c r="CI94" s="417">
        <f t="shared" si="341"/>
        <v>0</v>
      </c>
      <c r="CJ94" s="417">
        <f t="shared" si="341"/>
        <v>0</v>
      </c>
      <c r="CK94" s="417">
        <f t="shared" si="341"/>
        <v>0</v>
      </c>
      <c r="CL94" s="417">
        <f t="shared" si="341"/>
        <v>0</v>
      </c>
      <c r="CM94" s="417">
        <f t="shared" si="341"/>
        <v>0</v>
      </c>
      <c r="CN94" s="417">
        <f t="shared" si="342"/>
        <v>0</v>
      </c>
      <c r="CO94" s="417">
        <f t="shared" si="342"/>
        <v>0</v>
      </c>
      <c r="CP94" s="417">
        <f t="shared" si="342"/>
        <v>0</v>
      </c>
      <c r="CQ94" s="417">
        <f t="shared" si="342"/>
        <v>0</v>
      </c>
      <c r="CR94" s="417">
        <f t="shared" si="342"/>
        <v>0</v>
      </c>
      <c r="CS94" s="417">
        <f t="shared" si="342"/>
        <v>0</v>
      </c>
      <c r="CT94" s="417">
        <f t="shared" si="342"/>
        <v>0</v>
      </c>
      <c r="CU94" s="417">
        <f t="shared" si="342"/>
        <v>0</v>
      </c>
      <c r="CV94" s="417">
        <f t="shared" si="342"/>
        <v>0</v>
      </c>
      <c r="CW94" s="417">
        <f t="shared" si="342"/>
        <v>0</v>
      </c>
      <c r="CX94" s="417">
        <f t="shared" si="343"/>
        <v>0</v>
      </c>
      <c r="CY94" s="417">
        <f t="shared" si="343"/>
        <v>0</v>
      </c>
      <c r="CZ94" s="417">
        <f t="shared" si="343"/>
        <v>0</v>
      </c>
      <c r="DA94" s="417">
        <f t="shared" si="343"/>
        <v>0</v>
      </c>
      <c r="DB94" s="417">
        <f t="shared" si="343"/>
        <v>0</v>
      </c>
      <c r="DC94" s="417">
        <f t="shared" si="343"/>
        <v>0</v>
      </c>
      <c r="DD94" s="417">
        <f t="shared" si="343"/>
        <v>0</v>
      </c>
      <c r="DE94" s="417">
        <f t="shared" si="343"/>
        <v>0</v>
      </c>
      <c r="DF94" s="417">
        <f t="shared" si="343"/>
        <v>0</v>
      </c>
      <c r="DG94" s="417">
        <f t="shared" si="343"/>
        <v>0</v>
      </c>
      <c r="DH94" s="417">
        <f t="shared" si="344"/>
        <v>0</v>
      </c>
      <c r="DI94" s="417">
        <f t="shared" si="344"/>
        <v>0</v>
      </c>
      <c r="DJ94" s="417">
        <f t="shared" si="344"/>
        <v>0</v>
      </c>
      <c r="DK94" s="417">
        <f t="shared" si="344"/>
        <v>0</v>
      </c>
      <c r="DL94" s="417">
        <f t="shared" si="344"/>
        <v>0</v>
      </c>
      <c r="DM94" s="417">
        <f t="shared" si="344"/>
        <v>0</v>
      </c>
      <c r="DN94" s="417">
        <f t="shared" si="344"/>
        <v>0</v>
      </c>
      <c r="DO94" s="417">
        <f t="shared" si="344"/>
        <v>0</v>
      </c>
      <c r="DP94" s="417">
        <f t="shared" si="344"/>
        <v>0</v>
      </c>
      <c r="DQ94" s="417">
        <f t="shared" si="344"/>
        <v>0</v>
      </c>
      <c r="DR94" s="417">
        <f t="shared" si="345"/>
        <v>0</v>
      </c>
      <c r="DS94" s="417">
        <f t="shared" si="345"/>
        <v>0</v>
      </c>
      <c r="DT94" s="417">
        <f t="shared" si="345"/>
        <v>0</v>
      </c>
      <c r="DU94" s="417">
        <f t="shared" si="345"/>
        <v>0</v>
      </c>
      <c r="DV94" s="417">
        <f t="shared" si="345"/>
        <v>0</v>
      </c>
      <c r="DW94" s="417">
        <f t="shared" si="345"/>
        <v>0</v>
      </c>
      <c r="DX94" s="417">
        <f t="shared" si="345"/>
        <v>0</v>
      </c>
      <c r="DY94" s="417">
        <f t="shared" si="345"/>
        <v>0</v>
      </c>
      <c r="DZ94" s="417">
        <f t="shared" si="345"/>
        <v>0</v>
      </c>
      <c r="EA94" s="417">
        <f t="shared" si="345"/>
        <v>0</v>
      </c>
      <c r="EB94" s="417">
        <f t="shared" si="346"/>
        <v>0</v>
      </c>
      <c r="EC94" s="417">
        <f t="shared" si="346"/>
        <v>0</v>
      </c>
      <c r="ED94" s="417">
        <f t="shared" si="346"/>
        <v>0</v>
      </c>
      <c r="EE94" s="417">
        <f t="shared" si="346"/>
        <v>0</v>
      </c>
      <c r="EF94" s="417">
        <f t="shared" si="346"/>
        <v>0</v>
      </c>
      <c r="EG94" s="417">
        <f t="shared" si="346"/>
        <v>0</v>
      </c>
      <c r="EH94" s="417">
        <f t="shared" si="346"/>
        <v>0</v>
      </c>
      <c r="EI94" s="417">
        <f t="shared" si="346"/>
        <v>0</v>
      </c>
      <c r="EJ94" s="417">
        <f t="shared" si="346"/>
        <v>0</v>
      </c>
      <c r="EK94" s="417">
        <f t="shared" si="346"/>
        <v>0</v>
      </c>
      <c r="EL94" s="417">
        <f t="shared" si="346"/>
        <v>0</v>
      </c>
      <c r="EM94" s="417">
        <f t="shared" si="346"/>
        <v>0</v>
      </c>
      <c r="EN94" s="417">
        <f t="shared" si="346"/>
        <v>0</v>
      </c>
      <c r="EO94"/>
      <c r="EP94" s="219" t="str">
        <f t="shared" ref="EP94:EP104" si="367">$B94</f>
        <v>Student Accommodation</v>
      </c>
      <c r="EQ94" s="913">
        <f t="shared" ref="EQ94:EQ104" si="368">N($E94)</f>
        <v>20000</v>
      </c>
      <c r="ER94" s="197">
        <f t="shared" ref="ER94:ER104" si="369">$D94</f>
        <v>22</v>
      </c>
      <c r="ES94" s="18"/>
      <c r="ET94" s="18"/>
      <c r="EU94" s="18"/>
      <c r="EV94" s="418">
        <f t="shared" ref="EV94:FK104" si="370">(EV$3&gt;=$ER94)*$EQ94</f>
        <v>0</v>
      </c>
      <c r="EW94" s="418">
        <f t="shared" si="370"/>
        <v>0</v>
      </c>
      <c r="EX94" s="418">
        <f t="shared" si="370"/>
        <v>0</v>
      </c>
      <c r="EY94" s="418">
        <f t="shared" si="370"/>
        <v>0</v>
      </c>
      <c r="EZ94" s="418">
        <f t="shared" si="370"/>
        <v>0</v>
      </c>
      <c r="FA94" s="418">
        <f t="shared" si="370"/>
        <v>0</v>
      </c>
      <c r="FB94" s="418">
        <f t="shared" si="370"/>
        <v>0</v>
      </c>
      <c r="FC94" s="418">
        <f t="shared" si="370"/>
        <v>0</v>
      </c>
      <c r="FD94" s="418">
        <f t="shared" si="370"/>
        <v>0</v>
      </c>
      <c r="FE94" s="418">
        <f t="shared" si="370"/>
        <v>0</v>
      </c>
      <c r="FF94" s="418">
        <f t="shared" si="370"/>
        <v>0</v>
      </c>
      <c r="FG94" s="418">
        <f t="shared" si="370"/>
        <v>0</v>
      </c>
      <c r="FH94" s="418">
        <f t="shared" si="370"/>
        <v>0</v>
      </c>
      <c r="FI94" s="418">
        <f t="shared" si="370"/>
        <v>0</v>
      </c>
      <c r="FJ94" s="418">
        <f t="shared" si="370"/>
        <v>0</v>
      </c>
      <c r="FK94" s="418">
        <f t="shared" si="370"/>
        <v>0</v>
      </c>
      <c r="FL94" s="418">
        <f t="shared" si="347"/>
        <v>0</v>
      </c>
      <c r="FM94" s="418">
        <f t="shared" si="347"/>
        <v>0</v>
      </c>
      <c r="FN94" s="418">
        <f t="shared" si="347"/>
        <v>0</v>
      </c>
      <c r="FO94" s="418">
        <f t="shared" si="347"/>
        <v>0</v>
      </c>
      <c r="FP94" s="418">
        <f t="shared" si="347"/>
        <v>0</v>
      </c>
      <c r="FQ94" s="418">
        <f t="shared" si="347"/>
        <v>0</v>
      </c>
      <c r="FR94" s="418">
        <f t="shared" si="347"/>
        <v>20000</v>
      </c>
      <c r="FS94" s="418">
        <f t="shared" si="347"/>
        <v>20000</v>
      </c>
      <c r="FT94" s="418">
        <f t="shared" si="347"/>
        <v>20000</v>
      </c>
      <c r="FU94" s="418">
        <f t="shared" si="347"/>
        <v>20000</v>
      </c>
      <c r="FV94" s="418">
        <f t="shared" si="347"/>
        <v>20000</v>
      </c>
      <c r="FW94" s="418">
        <f t="shared" si="347"/>
        <v>20000</v>
      </c>
      <c r="FX94" s="418">
        <f t="shared" si="347"/>
        <v>20000</v>
      </c>
      <c r="FY94" s="418">
        <f t="shared" si="347"/>
        <v>20000</v>
      </c>
      <c r="FZ94" s="418">
        <f t="shared" si="347"/>
        <v>20000</v>
      </c>
      <c r="GA94" s="418">
        <f t="shared" si="347"/>
        <v>20000</v>
      </c>
      <c r="GB94" s="418">
        <f t="shared" si="347"/>
        <v>20000</v>
      </c>
      <c r="GC94" s="418">
        <f t="shared" si="347"/>
        <v>20000</v>
      </c>
      <c r="GD94" s="418">
        <f t="shared" si="347"/>
        <v>20000</v>
      </c>
      <c r="GE94" s="418">
        <f t="shared" si="347"/>
        <v>20000</v>
      </c>
      <c r="GF94" s="418">
        <f t="shared" si="347"/>
        <v>20000</v>
      </c>
      <c r="GG94" s="418">
        <f t="shared" si="347"/>
        <v>20000</v>
      </c>
      <c r="GH94" s="418">
        <f t="shared" si="347"/>
        <v>20000</v>
      </c>
      <c r="GI94" s="418">
        <f t="shared" si="347"/>
        <v>20000</v>
      </c>
      <c r="GJ94" s="418">
        <f t="shared" si="347"/>
        <v>20000</v>
      </c>
      <c r="GK94" s="418">
        <f t="shared" si="347"/>
        <v>20000</v>
      </c>
      <c r="GL94" s="418">
        <f t="shared" si="347"/>
        <v>20000</v>
      </c>
      <c r="GM94" s="418">
        <f t="shared" si="347"/>
        <v>20000</v>
      </c>
      <c r="GN94" s="418">
        <f t="shared" si="347"/>
        <v>20000</v>
      </c>
      <c r="GO94" s="418">
        <f t="shared" si="347"/>
        <v>20000</v>
      </c>
      <c r="GP94" s="418">
        <f t="shared" si="347"/>
        <v>20000</v>
      </c>
      <c r="GQ94" s="418">
        <f t="shared" si="347"/>
        <v>20000</v>
      </c>
      <c r="GR94" s="418">
        <f t="shared" si="347"/>
        <v>20000</v>
      </c>
      <c r="GS94" s="418">
        <f t="shared" si="347"/>
        <v>20000</v>
      </c>
      <c r="GT94" s="418">
        <f t="shared" si="347"/>
        <v>20000</v>
      </c>
      <c r="GU94" s="418">
        <f t="shared" si="347"/>
        <v>20000</v>
      </c>
      <c r="GV94" s="418">
        <f t="shared" si="347"/>
        <v>20000</v>
      </c>
      <c r="GW94" s="418">
        <f t="shared" si="347"/>
        <v>20000</v>
      </c>
      <c r="GX94" s="418">
        <f t="shared" si="347"/>
        <v>20000</v>
      </c>
      <c r="GY94" s="418">
        <f t="shared" si="347"/>
        <v>20000</v>
      </c>
      <c r="GZ94" s="418">
        <f t="shared" si="347"/>
        <v>20000</v>
      </c>
      <c r="HA94" s="418">
        <f t="shared" si="347"/>
        <v>20000</v>
      </c>
      <c r="HB94" s="418">
        <f t="shared" si="347"/>
        <v>20000</v>
      </c>
      <c r="HC94" s="418">
        <f t="shared" si="347"/>
        <v>20000</v>
      </c>
      <c r="HD94" s="418">
        <f t="shared" si="347"/>
        <v>20000</v>
      </c>
      <c r="HE94" s="418">
        <f t="shared" si="347"/>
        <v>20000</v>
      </c>
      <c r="HF94" s="418">
        <f t="shared" si="347"/>
        <v>20000</v>
      </c>
      <c r="HG94" s="418">
        <f t="shared" si="347"/>
        <v>20000</v>
      </c>
      <c r="HH94" s="418">
        <f t="shared" si="347"/>
        <v>20000</v>
      </c>
      <c r="HI94" s="418">
        <f t="shared" si="348"/>
        <v>20000</v>
      </c>
      <c r="HJ94" s="418">
        <f t="shared" si="348"/>
        <v>20000</v>
      </c>
      <c r="HK94" s="418">
        <f t="shared" si="348"/>
        <v>20000</v>
      </c>
      <c r="HL94" s="418">
        <f t="shared" si="348"/>
        <v>20000</v>
      </c>
      <c r="HM94" s="418">
        <f t="shared" si="348"/>
        <v>20000</v>
      </c>
      <c r="HN94" s="418">
        <f t="shared" si="348"/>
        <v>20000</v>
      </c>
      <c r="HO94" s="418">
        <f t="shared" si="348"/>
        <v>20000</v>
      </c>
      <c r="HP94" s="418">
        <f t="shared" si="348"/>
        <v>20000</v>
      </c>
      <c r="HQ94" s="418">
        <f t="shared" si="348"/>
        <v>20000</v>
      </c>
      <c r="HR94" s="418">
        <f t="shared" si="348"/>
        <v>20000</v>
      </c>
      <c r="HS94" s="418">
        <f t="shared" si="349"/>
        <v>20000</v>
      </c>
      <c r="HT94" s="418">
        <f t="shared" si="349"/>
        <v>20000</v>
      </c>
      <c r="HU94" s="418">
        <f t="shared" si="349"/>
        <v>20000</v>
      </c>
      <c r="HV94" s="418">
        <f t="shared" si="349"/>
        <v>20000</v>
      </c>
      <c r="HW94" s="418">
        <f t="shared" si="349"/>
        <v>20000</v>
      </c>
      <c r="HX94" s="418">
        <f t="shared" si="349"/>
        <v>20000</v>
      </c>
      <c r="HY94" s="418">
        <f t="shared" si="349"/>
        <v>20000</v>
      </c>
      <c r="HZ94" s="418">
        <f t="shared" si="349"/>
        <v>20000</v>
      </c>
      <c r="IA94" s="418">
        <f t="shared" si="349"/>
        <v>20000</v>
      </c>
      <c r="IB94" s="418">
        <f t="shared" si="349"/>
        <v>20000</v>
      </c>
      <c r="IC94" s="418">
        <f t="shared" si="350"/>
        <v>20000</v>
      </c>
      <c r="ID94" s="418">
        <f t="shared" si="350"/>
        <v>20000</v>
      </c>
      <c r="IE94" s="418">
        <f t="shared" si="350"/>
        <v>20000</v>
      </c>
      <c r="IF94" s="418">
        <f t="shared" si="350"/>
        <v>20000</v>
      </c>
      <c r="IG94" s="418">
        <f t="shared" si="350"/>
        <v>20000</v>
      </c>
      <c r="IH94" s="418">
        <f t="shared" si="350"/>
        <v>20000</v>
      </c>
      <c r="II94" s="418">
        <f t="shared" si="350"/>
        <v>20000</v>
      </c>
      <c r="IJ94" s="418">
        <f t="shared" si="350"/>
        <v>20000</v>
      </c>
      <c r="IK94" s="418">
        <f t="shared" si="350"/>
        <v>20000</v>
      </c>
      <c r="IL94" s="418">
        <f t="shared" si="350"/>
        <v>20000</v>
      </c>
      <c r="IM94" s="418">
        <f t="shared" si="351"/>
        <v>20000</v>
      </c>
      <c r="IN94" s="418">
        <f t="shared" si="351"/>
        <v>20000</v>
      </c>
      <c r="IO94" s="418">
        <f t="shared" si="351"/>
        <v>20000</v>
      </c>
      <c r="IP94" s="418">
        <f t="shared" si="351"/>
        <v>20000</v>
      </c>
      <c r="IQ94" s="418">
        <f t="shared" si="351"/>
        <v>20000</v>
      </c>
      <c r="IR94" s="418">
        <f t="shared" si="351"/>
        <v>20000</v>
      </c>
      <c r="IS94" s="418">
        <f t="shared" si="351"/>
        <v>20000</v>
      </c>
      <c r="IT94" s="418">
        <f t="shared" si="351"/>
        <v>20000</v>
      </c>
      <c r="IU94" s="418">
        <f t="shared" si="351"/>
        <v>20000</v>
      </c>
      <c r="IV94" s="418">
        <f t="shared" si="351"/>
        <v>20000</v>
      </c>
      <c r="IW94" s="418">
        <f t="shared" si="352"/>
        <v>20000</v>
      </c>
      <c r="IX94" s="418">
        <f t="shared" si="352"/>
        <v>20000</v>
      </c>
      <c r="IY94" s="418">
        <f t="shared" si="352"/>
        <v>20000</v>
      </c>
      <c r="IZ94" s="418">
        <f t="shared" si="352"/>
        <v>20000</v>
      </c>
      <c r="JA94" s="418">
        <f t="shared" si="352"/>
        <v>20000</v>
      </c>
      <c r="JB94" s="418">
        <f t="shared" si="352"/>
        <v>20000</v>
      </c>
      <c r="JC94" s="418">
        <f t="shared" si="352"/>
        <v>20000</v>
      </c>
      <c r="JD94" s="418">
        <f t="shared" si="352"/>
        <v>20000</v>
      </c>
      <c r="JE94" s="418">
        <f t="shared" si="352"/>
        <v>20000</v>
      </c>
      <c r="JF94" s="418">
        <f t="shared" si="352"/>
        <v>20000</v>
      </c>
      <c r="JG94" s="418">
        <f t="shared" si="353"/>
        <v>20000</v>
      </c>
      <c r="JH94" s="418">
        <f t="shared" si="353"/>
        <v>20000</v>
      </c>
      <c r="JI94" s="418">
        <f t="shared" si="353"/>
        <v>20000</v>
      </c>
      <c r="JJ94" s="418">
        <f t="shared" si="353"/>
        <v>20000</v>
      </c>
      <c r="JK94" s="418">
        <f t="shared" si="353"/>
        <v>20000</v>
      </c>
      <c r="JL94" s="418">
        <f t="shared" si="353"/>
        <v>20000</v>
      </c>
      <c r="JM94" s="418">
        <f t="shared" si="353"/>
        <v>20000</v>
      </c>
      <c r="JN94" s="418">
        <f t="shared" si="353"/>
        <v>20000</v>
      </c>
      <c r="JO94" s="418">
        <f t="shared" si="353"/>
        <v>20000</v>
      </c>
      <c r="JP94" s="418">
        <f t="shared" si="353"/>
        <v>20000</v>
      </c>
      <c r="JQ94" s="418">
        <f t="shared" si="353"/>
        <v>20000</v>
      </c>
      <c r="JR94" s="418">
        <f t="shared" si="353"/>
        <v>20000</v>
      </c>
      <c r="JS94" s="418">
        <f t="shared" si="353"/>
        <v>20000</v>
      </c>
      <c r="JT94" s="418">
        <f t="shared" si="353"/>
        <v>20000</v>
      </c>
      <c r="JU94" s="418">
        <f t="shared" si="354"/>
        <v>20000</v>
      </c>
      <c r="JV94" s="418">
        <f t="shared" si="354"/>
        <v>20000</v>
      </c>
      <c r="JW94" s="418">
        <f t="shared" si="354"/>
        <v>20000</v>
      </c>
      <c r="JX94" s="418">
        <f t="shared" si="354"/>
        <v>20000</v>
      </c>
      <c r="JY94"/>
      <c r="JZ94" s="219" t="str">
        <f t="shared" ref="JZ94:JZ104" si="371">$B94</f>
        <v>Student Accommodation</v>
      </c>
      <c r="KA94" s="418">
        <f t="shared" si="355"/>
        <v>0</v>
      </c>
      <c r="KB94" s="197">
        <f t="shared" si="356"/>
        <v>25</v>
      </c>
      <c r="KC94" s="206">
        <f t="shared" si="357"/>
        <v>3.5000000000000003E-2</v>
      </c>
      <c r="KD94" s="213" t="str">
        <f t="shared" si="327"/>
        <v>Annual</v>
      </c>
      <c r="KE94" s="470">
        <f>IF(KD94="",1,IFERROR(MAX(1,INDEX(Data!$H$24:$H$33,MATCH(KD94,Data!$G$24:$G$33,0))),1))</f>
        <v>1</v>
      </c>
      <c r="KF94" s="263"/>
      <c r="KG94" s="471">
        <f t="shared" ref="KG94:KG104" si="372">IF(OR($KA94="",$KB94="",$KE94=""),0,($KB94&lt;=KG$3)*($KA94/12)*(1+$KC94)^(ROUNDUP(MAX(KG$3-$KB94+1,0)/($KE94*12),0)-1))</f>
        <v>0</v>
      </c>
      <c r="KH94" s="471">
        <f t="shared" si="358"/>
        <v>0</v>
      </c>
      <c r="KI94" s="471">
        <f t="shared" si="358"/>
        <v>0</v>
      </c>
      <c r="KJ94" s="471">
        <f t="shared" si="358"/>
        <v>0</v>
      </c>
      <c r="KK94" s="471">
        <f t="shared" si="358"/>
        <v>0</v>
      </c>
      <c r="KL94" s="471">
        <f t="shared" si="358"/>
        <v>0</v>
      </c>
      <c r="KM94" s="471">
        <f t="shared" si="358"/>
        <v>0</v>
      </c>
      <c r="KN94" s="471">
        <f t="shared" si="358"/>
        <v>0</v>
      </c>
      <c r="KO94" s="471">
        <f t="shared" si="358"/>
        <v>0</v>
      </c>
      <c r="KP94" s="471">
        <f t="shared" si="358"/>
        <v>0</v>
      </c>
      <c r="KQ94" s="471">
        <f t="shared" si="358"/>
        <v>0</v>
      </c>
      <c r="KR94" s="471">
        <f t="shared" si="358"/>
        <v>0</v>
      </c>
      <c r="KS94" s="471">
        <f t="shared" si="358"/>
        <v>0</v>
      </c>
      <c r="KT94" s="471">
        <f t="shared" si="358"/>
        <v>0</v>
      </c>
      <c r="KU94" s="471">
        <f t="shared" si="358"/>
        <v>0</v>
      </c>
      <c r="KV94" s="471">
        <f t="shared" si="358"/>
        <v>0</v>
      </c>
      <c r="KW94" s="471">
        <f t="shared" si="358"/>
        <v>0</v>
      </c>
      <c r="KX94" s="471">
        <f t="shared" si="359"/>
        <v>0</v>
      </c>
      <c r="KY94" s="471">
        <f t="shared" si="359"/>
        <v>0</v>
      </c>
      <c r="KZ94" s="471">
        <f t="shared" si="359"/>
        <v>0</v>
      </c>
      <c r="LA94" s="471">
        <f t="shared" si="359"/>
        <v>0</v>
      </c>
      <c r="LB94" s="471">
        <f t="shared" si="359"/>
        <v>0</v>
      </c>
      <c r="LC94" s="471">
        <f t="shared" si="359"/>
        <v>0</v>
      </c>
      <c r="LD94" s="471">
        <f t="shared" si="359"/>
        <v>0</v>
      </c>
      <c r="LE94" s="471">
        <f t="shared" si="359"/>
        <v>0</v>
      </c>
      <c r="LF94" s="471">
        <f t="shared" si="359"/>
        <v>0</v>
      </c>
      <c r="LG94" s="471">
        <f t="shared" si="359"/>
        <v>0</v>
      </c>
      <c r="LH94" s="471">
        <f t="shared" si="359"/>
        <v>0</v>
      </c>
      <c r="LI94" s="471">
        <f t="shared" si="359"/>
        <v>0</v>
      </c>
      <c r="LJ94" s="471">
        <f t="shared" si="359"/>
        <v>0</v>
      </c>
      <c r="LK94" s="471">
        <f t="shared" si="359"/>
        <v>0</v>
      </c>
      <c r="LL94" s="471">
        <f t="shared" si="359"/>
        <v>0</v>
      </c>
      <c r="LM94" s="471">
        <f t="shared" si="359"/>
        <v>0</v>
      </c>
      <c r="LN94" s="471">
        <f t="shared" si="360"/>
        <v>0</v>
      </c>
      <c r="LO94" s="471">
        <f t="shared" si="360"/>
        <v>0</v>
      </c>
      <c r="LP94" s="471">
        <f t="shared" si="360"/>
        <v>0</v>
      </c>
      <c r="LQ94" s="471">
        <f t="shared" si="360"/>
        <v>0</v>
      </c>
      <c r="LR94" s="471">
        <f t="shared" si="360"/>
        <v>0</v>
      </c>
      <c r="LS94" s="471">
        <f t="shared" si="360"/>
        <v>0</v>
      </c>
      <c r="LT94" s="471">
        <f t="shared" si="360"/>
        <v>0</v>
      </c>
      <c r="LU94" s="471">
        <f t="shared" si="360"/>
        <v>0</v>
      </c>
      <c r="LV94" s="471">
        <f t="shared" si="360"/>
        <v>0</v>
      </c>
      <c r="LW94" s="471">
        <f t="shared" si="360"/>
        <v>0</v>
      </c>
      <c r="LX94" s="471">
        <f t="shared" si="360"/>
        <v>0</v>
      </c>
      <c r="LY94" s="471">
        <f t="shared" si="360"/>
        <v>0</v>
      </c>
      <c r="LZ94" s="471">
        <f t="shared" si="360"/>
        <v>0</v>
      </c>
      <c r="MA94" s="471">
        <f t="shared" si="360"/>
        <v>0</v>
      </c>
      <c r="MB94" s="471">
        <f t="shared" si="360"/>
        <v>0</v>
      </c>
      <c r="MC94" s="471">
        <f t="shared" si="360"/>
        <v>0</v>
      </c>
      <c r="MD94" s="471">
        <f t="shared" si="361"/>
        <v>0</v>
      </c>
      <c r="ME94" s="471">
        <f t="shared" si="361"/>
        <v>0</v>
      </c>
      <c r="MF94" s="471">
        <f t="shared" si="361"/>
        <v>0</v>
      </c>
      <c r="MG94" s="471">
        <f t="shared" si="361"/>
        <v>0</v>
      </c>
      <c r="MH94" s="471">
        <f t="shared" si="361"/>
        <v>0</v>
      </c>
      <c r="MI94" s="471">
        <f t="shared" si="361"/>
        <v>0</v>
      </c>
      <c r="MJ94" s="471">
        <f t="shared" si="361"/>
        <v>0</v>
      </c>
      <c r="MK94" s="471">
        <f t="shared" si="361"/>
        <v>0</v>
      </c>
      <c r="ML94" s="471">
        <f t="shared" si="361"/>
        <v>0</v>
      </c>
      <c r="MM94" s="471">
        <f t="shared" si="361"/>
        <v>0</v>
      </c>
      <c r="MN94" s="471">
        <f t="shared" si="361"/>
        <v>0</v>
      </c>
      <c r="MO94" s="471">
        <f t="shared" si="361"/>
        <v>0</v>
      </c>
      <c r="MP94" s="471">
        <f t="shared" si="361"/>
        <v>0</v>
      </c>
      <c r="MQ94" s="471">
        <f t="shared" si="361"/>
        <v>0</v>
      </c>
      <c r="MR94" s="471">
        <f t="shared" si="361"/>
        <v>0</v>
      </c>
      <c r="MS94" s="471">
        <f t="shared" si="361"/>
        <v>0</v>
      </c>
      <c r="MT94" s="471">
        <f t="shared" si="362"/>
        <v>0</v>
      </c>
      <c r="MU94" s="471">
        <f t="shared" si="362"/>
        <v>0</v>
      </c>
      <c r="MV94" s="471">
        <f t="shared" si="362"/>
        <v>0</v>
      </c>
      <c r="MW94" s="471">
        <f t="shared" si="362"/>
        <v>0</v>
      </c>
      <c r="MX94" s="471">
        <f t="shared" si="362"/>
        <v>0</v>
      </c>
      <c r="MY94" s="471">
        <f t="shared" si="362"/>
        <v>0</v>
      </c>
      <c r="MZ94" s="471">
        <f t="shared" si="362"/>
        <v>0</v>
      </c>
      <c r="NA94" s="471">
        <f t="shared" si="362"/>
        <v>0</v>
      </c>
      <c r="NB94" s="471">
        <f t="shared" si="362"/>
        <v>0</v>
      </c>
      <c r="NC94" s="471">
        <f t="shared" si="362"/>
        <v>0</v>
      </c>
      <c r="ND94" s="471">
        <f t="shared" si="362"/>
        <v>0</v>
      </c>
      <c r="NE94" s="471">
        <f t="shared" si="362"/>
        <v>0</v>
      </c>
      <c r="NF94" s="471">
        <f t="shared" si="362"/>
        <v>0</v>
      </c>
      <c r="NG94" s="471">
        <f t="shared" si="362"/>
        <v>0</v>
      </c>
      <c r="NH94" s="471">
        <f t="shared" si="362"/>
        <v>0</v>
      </c>
      <c r="NI94" s="471">
        <f t="shared" si="362"/>
        <v>0</v>
      </c>
      <c r="NJ94" s="471">
        <f t="shared" si="363"/>
        <v>0</v>
      </c>
      <c r="NK94" s="471">
        <f t="shared" si="363"/>
        <v>0</v>
      </c>
      <c r="NL94" s="471">
        <f t="shared" si="363"/>
        <v>0</v>
      </c>
      <c r="NM94" s="471">
        <f t="shared" si="363"/>
        <v>0</v>
      </c>
      <c r="NN94" s="471">
        <f t="shared" si="363"/>
        <v>0</v>
      </c>
      <c r="NO94" s="471">
        <f t="shared" si="363"/>
        <v>0</v>
      </c>
      <c r="NP94" s="471">
        <f t="shared" si="363"/>
        <v>0</v>
      </c>
      <c r="NQ94" s="471">
        <f t="shared" si="363"/>
        <v>0</v>
      </c>
      <c r="NR94" s="471">
        <f t="shared" si="363"/>
        <v>0</v>
      </c>
      <c r="NS94" s="471">
        <f t="shared" si="363"/>
        <v>0</v>
      </c>
      <c r="NT94" s="471">
        <f t="shared" si="363"/>
        <v>0</v>
      </c>
      <c r="NU94" s="471">
        <f t="shared" si="363"/>
        <v>0</v>
      </c>
      <c r="NV94" s="471">
        <f t="shared" si="363"/>
        <v>0</v>
      </c>
      <c r="NW94" s="471">
        <f t="shared" si="363"/>
        <v>0</v>
      </c>
      <c r="NX94" s="471">
        <f t="shared" si="363"/>
        <v>0</v>
      </c>
      <c r="NY94" s="471">
        <f t="shared" si="363"/>
        <v>0</v>
      </c>
      <c r="NZ94" s="471">
        <f t="shared" si="364"/>
        <v>0</v>
      </c>
      <c r="OA94" s="471">
        <f t="shared" si="364"/>
        <v>0</v>
      </c>
      <c r="OB94" s="471">
        <f t="shared" si="364"/>
        <v>0</v>
      </c>
      <c r="OC94" s="471">
        <f t="shared" si="364"/>
        <v>0</v>
      </c>
      <c r="OD94" s="471">
        <f t="shared" si="364"/>
        <v>0</v>
      </c>
      <c r="OE94" s="471">
        <f t="shared" si="364"/>
        <v>0</v>
      </c>
      <c r="OF94" s="471">
        <f t="shared" si="364"/>
        <v>0</v>
      </c>
      <c r="OG94" s="471">
        <f t="shared" si="364"/>
        <v>0</v>
      </c>
      <c r="OH94" s="471">
        <f t="shared" si="364"/>
        <v>0</v>
      </c>
      <c r="OI94" s="471">
        <f t="shared" si="364"/>
        <v>0</v>
      </c>
      <c r="OJ94" s="471">
        <f t="shared" si="364"/>
        <v>0</v>
      </c>
      <c r="OK94" s="471">
        <f t="shared" si="364"/>
        <v>0</v>
      </c>
      <c r="OL94" s="471">
        <f t="shared" si="364"/>
        <v>0</v>
      </c>
      <c r="OM94" s="471">
        <f t="shared" si="364"/>
        <v>0</v>
      </c>
      <c r="ON94" s="471">
        <f t="shared" si="364"/>
        <v>0</v>
      </c>
      <c r="OO94" s="471">
        <f t="shared" si="364"/>
        <v>0</v>
      </c>
      <c r="OP94" s="471">
        <f t="shared" si="365"/>
        <v>0</v>
      </c>
      <c r="OQ94" s="471">
        <f t="shared" si="365"/>
        <v>0</v>
      </c>
      <c r="OR94" s="471">
        <f t="shared" si="365"/>
        <v>0</v>
      </c>
      <c r="OS94" s="471">
        <f t="shared" si="365"/>
        <v>0</v>
      </c>
      <c r="OT94" s="471">
        <f t="shared" si="365"/>
        <v>0</v>
      </c>
      <c r="OU94" s="471">
        <f t="shared" si="365"/>
        <v>0</v>
      </c>
      <c r="OV94" s="471">
        <f t="shared" si="365"/>
        <v>0</v>
      </c>
      <c r="OW94" s="471">
        <f t="shared" si="365"/>
        <v>0</v>
      </c>
      <c r="OX94" s="471">
        <f t="shared" si="365"/>
        <v>0</v>
      </c>
      <c r="OY94" s="471">
        <f t="shared" si="365"/>
        <v>0</v>
      </c>
      <c r="OZ94" s="471">
        <f t="shared" si="365"/>
        <v>0</v>
      </c>
      <c r="PA94" s="471">
        <f t="shared" si="365"/>
        <v>0</v>
      </c>
      <c r="PB94" s="471">
        <f t="shared" si="365"/>
        <v>0</v>
      </c>
      <c r="PC94" s="471">
        <f t="shared" si="365"/>
        <v>0</v>
      </c>
      <c r="PD94" s="471">
        <f t="shared" si="365"/>
        <v>0</v>
      </c>
      <c r="PE94" s="471">
        <f t="shared" si="365"/>
        <v>0</v>
      </c>
      <c r="PF94" s="471">
        <f t="shared" si="366"/>
        <v>0</v>
      </c>
      <c r="PG94" s="471">
        <f t="shared" si="366"/>
        <v>0</v>
      </c>
      <c r="PH94" s="471">
        <f t="shared" si="366"/>
        <v>0</v>
      </c>
    </row>
    <row r="95" spans="1:424" x14ac:dyDescent="0.35">
      <c r="A95"/>
      <c r="B95" s="469" t="s">
        <v>250</v>
      </c>
      <c r="C95" s="469" t="s">
        <v>250</v>
      </c>
      <c r="D95" s="45">
        <v>22</v>
      </c>
      <c r="E95" s="837">
        <f>'URWLD COMPANY INPUTS'!$F$595</f>
        <v>6500</v>
      </c>
      <c r="F95" s="45">
        <f t="shared" si="332"/>
        <v>25</v>
      </c>
      <c r="G95" s="838">
        <f>IF('INPUT REGISTER'!$F$374="","",'INPUT REGISTER'!$F$374)</f>
        <v>3.5000000000000003E-2</v>
      </c>
      <c r="H95" s="843">
        <f>'INPUT REGISTER'!$F$674</f>
        <v>400</v>
      </c>
      <c r="I95" s="424">
        <f t="shared" si="333"/>
        <v>2600000</v>
      </c>
      <c r="J95"/>
      <c r="K95" s="286" t="s">
        <v>247</v>
      </c>
      <c r="L95" s="75">
        <f t="shared" si="334"/>
        <v>0</v>
      </c>
      <c r="M95" s="417">
        <f t="shared" si="334"/>
        <v>0</v>
      </c>
      <c r="N95" s="417">
        <f t="shared" si="334"/>
        <v>0</v>
      </c>
      <c r="O95" s="417">
        <f t="shared" si="334"/>
        <v>0</v>
      </c>
      <c r="P95" s="417">
        <f t="shared" si="334"/>
        <v>0</v>
      </c>
      <c r="Q95" s="417">
        <f t="shared" si="334"/>
        <v>0</v>
      </c>
      <c r="R95" s="417">
        <f t="shared" si="334"/>
        <v>0</v>
      </c>
      <c r="S95" s="417">
        <f t="shared" si="334"/>
        <v>0</v>
      </c>
      <c r="T95" s="417">
        <f t="shared" si="334"/>
        <v>0</v>
      </c>
      <c r="U95" s="417">
        <f t="shared" si="334"/>
        <v>0</v>
      </c>
      <c r="V95" s="417">
        <f t="shared" si="335"/>
        <v>0</v>
      </c>
      <c r="W95" s="417">
        <f t="shared" si="335"/>
        <v>0</v>
      </c>
      <c r="X95" s="417">
        <f t="shared" si="335"/>
        <v>0</v>
      </c>
      <c r="Y95" s="417">
        <f t="shared" si="335"/>
        <v>0</v>
      </c>
      <c r="Z95" s="417">
        <f t="shared" si="335"/>
        <v>0</v>
      </c>
      <c r="AA95" s="417">
        <f t="shared" si="335"/>
        <v>0</v>
      </c>
      <c r="AB95" s="417">
        <f t="shared" si="335"/>
        <v>0</v>
      </c>
      <c r="AC95" s="417">
        <f t="shared" si="335"/>
        <v>0</v>
      </c>
      <c r="AD95" s="417">
        <f t="shared" si="335"/>
        <v>0</v>
      </c>
      <c r="AE95" s="417">
        <f t="shared" si="335"/>
        <v>0</v>
      </c>
      <c r="AF95" s="417">
        <f t="shared" si="336"/>
        <v>0</v>
      </c>
      <c r="AG95" s="417">
        <f t="shared" si="336"/>
        <v>0</v>
      </c>
      <c r="AH95" s="417">
        <f t="shared" si="336"/>
        <v>0</v>
      </c>
      <c r="AI95" s="417">
        <f t="shared" si="336"/>
        <v>0</v>
      </c>
      <c r="AJ95" s="417">
        <f t="shared" si="336"/>
        <v>0</v>
      </c>
      <c r="AK95" s="417">
        <f t="shared" si="336"/>
        <v>216666.66666666666</v>
      </c>
      <c r="AL95" s="417">
        <f t="shared" si="336"/>
        <v>216666.66666666666</v>
      </c>
      <c r="AM95" s="417">
        <f t="shared" si="336"/>
        <v>216666.66666666666</v>
      </c>
      <c r="AN95" s="417">
        <f t="shared" si="336"/>
        <v>216666.66666666666</v>
      </c>
      <c r="AO95" s="417">
        <f t="shared" si="336"/>
        <v>216666.66666666666</v>
      </c>
      <c r="AP95" s="417">
        <f t="shared" si="337"/>
        <v>216666.66666666666</v>
      </c>
      <c r="AQ95" s="417">
        <f t="shared" si="337"/>
        <v>216666.66666666666</v>
      </c>
      <c r="AR95" s="417">
        <f t="shared" si="337"/>
        <v>216666.66666666666</v>
      </c>
      <c r="AS95" s="417">
        <f t="shared" si="337"/>
        <v>216666.66666666666</v>
      </c>
      <c r="AT95" s="417">
        <f t="shared" si="337"/>
        <v>216666.66666666666</v>
      </c>
      <c r="AU95" s="417">
        <f t="shared" si="337"/>
        <v>216666.66666666666</v>
      </c>
      <c r="AV95" s="417">
        <f t="shared" si="337"/>
        <v>216666.66666666666</v>
      </c>
      <c r="AW95" s="417">
        <f t="shared" si="337"/>
        <v>224249.99999999997</v>
      </c>
      <c r="AX95" s="417">
        <f t="shared" si="337"/>
        <v>224249.99999999997</v>
      </c>
      <c r="AY95" s="417">
        <f t="shared" si="337"/>
        <v>224249.99999999997</v>
      </c>
      <c r="AZ95" s="417">
        <f t="shared" si="338"/>
        <v>224249.99999999997</v>
      </c>
      <c r="BA95" s="417">
        <f t="shared" si="338"/>
        <v>224249.99999999997</v>
      </c>
      <c r="BB95" s="417">
        <f t="shared" si="338"/>
        <v>224249.99999999997</v>
      </c>
      <c r="BC95" s="417">
        <f t="shared" si="338"/>
        <v>224249.99999999997</v>
      </c>
      <c r="BD95" s="417">
        <f t="shared" si="338"/>
        <v>224249.99999999997</v>
      </c>
      <c r="BE95" s="417">
        <f t="shared" si="338"/>
        <v>224249.99999999997</v>
      </c>
      <c r="BF95" s="417">
        <f t="shared" si="338"/>
        <v>224249.99999999997</v>
      </c>
      <c r="BG95" s="417">
        <f t="shared" si="338"/>
        <v>224249.99999999997</v>
      </c>
      <c r="BH95" s="417">
        <f t="shared" si="338"/>
        <v>224249.99999999997</v>
      </c>
      <c r="BI95" s="417">
        <f t="shared" si="338"/>
        <v>232098.74999999997</v>
      </c>
      <c r="BJ95" s="417">
        <f t="shared" si="339"/>
        <v>232098.74999999997</v>
      </c>
      <c r="BK95" s="417">
        <f t="shared" si="339"/>
        <v>232098.74999999997</v>
      </c>
      <c r="BL95" s="417">
        <f t="shared" si="339"/>
        <v>232098.74999999997</v>
      </c>
      <c r="BM95" s="417">
        <f t="shared" si="339"/>
        <v>232098.74999999997</v>
      </c>
      <c r="BN95" s="417">
        <f t="shared" si="339"/>
        <v>232098.74999999997</v>
      </c>
      <c r="BO95" s="417">
        <f t="shared" si="339"/>
        <v>232098.74999999997</v>
      </c>
      <c r="BP95" s="417">
        <f t="shared" si="339"/>
        <v>232098.74999999997</v>
      </c>
      <c r="BQ95" s="417">
        <f t="shared" si="339"/>
        <v>232098.74999999997</v>
      </c>
      <c r="BR95" s="417">
        <f t="shared" si="339"/>
        <v>232098.74999999997</v>
      </c>
      <c r="BS95" s="417">
        <f t="shared" si="339"/>
        <v>232098.74999999997</v>
      </c>
      <c r="BT95" s="417">
        <f t="shared" si="340"/>
        <v>232098.74999999997</v>
      </c>
      <c r="BU95" s="417">
        <f t="shared" si="340"/>
        <v>240222.20624999993</v>
      </c>
      <c r="BV95" s="417">
        <f t="shared" si="340"/>
        <v>240222.20624999993</v>
      </c>
      <c r="BW95" s="417">
        <f t="shared" si="340"/>
        <v>240222.20624999993</v>
      </c>
      <c r="BX95" s="417">
        <f t="shared" si="340"/>
        <v>240222.20624999993</v>
      </c>
      <c r="BY95" s="417">
        <f t="shared" si="340"/>
        <v>240222.20624999993</v>
      </c>
      <c r="BZ95" s="417">
        <f t="shared" si="340"/>
        <v>240222.20624999993</v>
      </c>
      <c r="CA95" s="417">
        <f t="shared" si="340"/>
        <v>240222.20624999993</v>
      </c>
      <c r="CB95" s="417">
        <f t="shared" si="340"/>
        <v>240222.20624999993</v>
      </c>
      <c r="CC95" s="417">
        <f t="shared" si="340"/>
        <v>240222.20624999993</v>
      </c>
      <c r="CD95" s="417">
        <f t="shared" si="341"/>
        <v>240222.20624999993</v>
      </c>
      <c r="CE95" s="417">
        <f t="shared" si="341"/>
        <v>240222.20624999993</v>
      </c>
      <c r="CF95" s="417">
        <f t="shared" si="341"/>
        <v>240222.20624999993</v>
      </c>
      <c r="CG95" s="417">
        <f t="shared" si="341"/>
        <v>248629.98346874991</v>
      </c>
      <c r="CH95" s="417">
        <f t="shared" si="341"/>
        <v>248629.98346874991</v>
      </c>
      <c r="CI95" s="417">
        <f t="shared" si="341"/>
        <v>248629.98346874991</v>
      </c>
      <c r="CJ95" s="417">
        <f t="shared" si="341"/>
        <v>248629.98346874991</v>
      </c>
      <c r="CK95" s="417">
        <f t="shared" si="341"/>
        <v>248629.98346874991</v>
      </c>
      <c r="CL95" s="417">
        <f t="shared" si="341"/>
        <v>248629.98346874991</v>
      </c>
      <c r="CM95" s="417">
        <f t="shared" si="341"/>
        <v>248629.98346874991</v>
      </c>
      <c r="CN95" s="417">
        <f t="shared" si="342"/>
        <v>248629.98346874991</v>
      </c>
      <c r="CO95" s="417">
        <f t="shared" si="342"/>
        <v>248629.98346874991</v>
      </c>
      <c r="CP95" s="417">
        <f t="shared" si="342"/>
        <v>248629.98346874991</v>
      </c>
      <c r="CQ95" s="417">
        <f t="shared" si="342"/>
        <v>248629.98346874991</v>
      </c>
      <c r="CR95" s="417">
        <f t="shared" si="342"/>
        <v>248629.98346874991</v>
      </c>
      <c r="CS95" s="417">
        <f t="shared" si="342"/>
        <v>257332.03289015612</v>
      </c>
      <c r="CT95" s="417">
        <f t="shared" si="342"/>
        <v>257332.03289015612</v>
      </c>
      <c r="CU95" s="417">
        <f t="shared" si="342"/>
        <v>257332.03289015612</v>
      </c>
      <c r="CV95" s="417">
        <f t="shared" si="342"/>
        <v>257332.03289015612</v>
      </c>
      <c r="CW95" s="417">
        <f t="shared" si="342"/>
        <v>257332.03289015612</v>
      </c>
      <c r="CX95" s="417">
        <f t="shared" si="343"/>
        <v>257332.03289015612</v>
      </c>
      <c r="CY95" s="417">
        <f t="shared" si="343"/>
        <v>257332.03289015612</v>
      </c>
      <c r="CZ95" s="417">
        <f t="shared" si="343"/>
        <v>257332.03289015612</v>
      </c>
      <c r="DA95" s="417">
        <f t="shared" si="343"/>
        <v>257332.03289015612</v>
      </c>
      <c r="DB95" s="417">
        <f t="shared" si="343"/>
        <v>257332.03289015612</v>
      </c>
      <c r="DC95" s="417">
        <f t="shared" si="343"/>
        <v>257332.03289015612</v>
      </c>
      <c r="DD95" s="417">
        <f t="shared" si="343"/>
        <v>257332.03289015612</v>
      </c>
      <c r="DE95" s="417">
        <f t="shared" si="343"/>
        <v>266338.65404131159</v>
      </c>
      <c r="DF95" s="417">
        <f t="shared" si="343"/>
        <v>266338.65404131159</v>
      </c>
      <c r="DG95" s="417">
        <f t="shared" si="343"/>
        <v>266338.65404131159</v>
      </c>
      <c r="DH95" s="417">
        <f t="shared" si="344"/>
        <v>266338.65404131159</v>
      </c>
      <c r="DI95" s="417">
        <f t="shared" si="344"/>
        <v>266338.65404131159</v>
      </c>
      <c r="DJ95" s="417">
        <f t="shared" si="344"/>
        <v>266338.65404131159</v>
      </c>
      <c r="DK95" s="417">
        <f t="shared" si="344"/>
        <v>266338.65404131159</v>
      </c>
      <c r="DL95" s="417">
        <f t="shared" si="344"/>
        <v>266338.65404131159</v>
      </c>
      <c r="DM95" s="417">
        <f t="shared" si="344"/>
        <v>266338.65404131159</v>
      </c>
      <c r="DN95" s="417">
        <f t="shared" si="344"/>
        <v>266338.65404131159</v>
      </c>
      <c r="DO95" s="417">
        <f t="shared" si="344"/>
        <v>266338.65404131159</v>
      </c>
      <c r="DP95" s="417">
        <f t="shared" si="344"/>
        <v>266338.65404131159</v>
      </c>
      <c r="DQ95" s="417">
        <f t="shared" si="344"/>
        <v>275660.5069327575</v>
      </c>
      <c r="DR95" s="417">
        <f t="shared" si="345"/>
        <v>275660.5069327575</v>
      </c>
      <c r="DS95" s="417">
        <f t="shared" si="345"/>
        <v>275660.5069327575</v>
      </c>
      <c r="DT95" s="417">
        <f t="shared" si="345"/>
        <v>275660.5069327575</v>
      </c>
      <c r="DU95" s="417">
        <f t="shared" si="345"/>
        <v>275660.5069327575</v>
      </c>
      <c r="DV95" s="417">
        <f t="shared" si="345"/>
        <v>275660.5069327575</v>
      </c>
      <c r="DW95" s="417">
        <f t="shared" si="345"/>
        <v>275660.5069327575</v>
      </c>
      <c r="DX95" s="417">
        <f t="shared" si="345"/>
        <v>275660.5069327575</v>
      </c>
      <c r="DY95" s="417">
        <f t="shared" si="345"/>
        <v>275660.5069327575</v>
      </c>
      <c r="DZ95" s="417">
        <f t="shared" si="345"/>
        <v>275660.5069327575</v>
      </c>
      <c r="EA95" s="417">
        <f t="shared" si="345"/>
        <v>275660.5069327575</v>
      </c>
      <c r="EB95" s="417">
        <f t="shared" si="346"/>
        <v>275660.5069327575</v>
      </c>
      <c r="EC95" s="417">
        <f t="shared" si="346"/>
        <v>285308.62467540393</v>
      </c>
      <c r="ED95" s="417">
        <f t="shared" si="346"/>
        <v>285308.62467540393</v>
      </c>
      <c r="EE95" s="417">
        <f t="shared" si="346"/>
        <v>285308.62467540393</v>
      </c>
      <c r="EF95" s="417">
        <f t="shared" si="346"/>
        <v>285308.62467540393</v>
      </c>
      <c r="EG95" s="417">
        <f t="shared" si="346"/>
        <v>285308.62467540393</v>
      </c>
      <c r="EH95" s="417">
        <f t="shared" si="346"/>
        <v>285308.62467540393</v>
      </c>
      <c r="EI95" s="417">
        <f t="shared" si="346"/>
        <v>285308.62467540393</v>
      </c>
      <c r="EJ95" s="417">
        <f t="shared" si="346"/>
        <v>285308.62467540393</v>
      </c>
      <c r="EK95" s="417">
        <f t="shared" si="346"/>
        <v>285308.62467540393</v>
      </c>
      <c r="EL95" s="417">
        <f t="shared" si="346"/>
        <v>285308.62467540393</v>
      </c>
      <c r="EM95" s="417">
        <f t="shared" si="346"/>
        <v>285308.62467540393</v>
      </c>
      <c r="EN95" s="417">
        <f t="shared" si="346"/>
        <v>285308.62467540393</v>
      </c>
      <c r="EO95"/>
      <c r="EP95" s="219" t="str">
        <f t="shared" si="367"/>
        <v>LiveHouse</v>
      </c>
      <c r="EQ95" s="913">
        <f t="shared" si="368"/>
        <v>6500</v>
      </c>
      <c r="ER95" s="197">
        <f t="shared" si="369"/>
        <v>22</v>
      </c>
      <c r="ES95" s="18"/>
      <c r="ET95" s="18"/>
      <c r="EU95" s="18"/>
      <c r="EV95" s="418">
        <f t="shared" si="370"/>
        <v>0</v>
      </c>
      <c r="EW95" s="418">
        <f t="shared" ref="EW95:FF97" si="373">(EW$3&gt;=$ER95)*$EQ95</f>
        <v>0</v>
      </c>
      <c r="EX95" s="418">
        <f t="shared" si="373"/>
        <v>0</v>
      </c>
      <c r="EY95" s="418">
        <f t="shared" si="373"/>
        <v>0</v>
      </c>
      <c r="EZ95" s="418">
        <f t="shared" si="373"/>
        <v>0</v>
      </c>
      <c r="FA95" s="418">
        <f t="shared" si="373"/>
        <v>0</v>
      </c>
      <c r="FB95" s="418">
        <f t="shared" si="373"/>
        <v>0</v>
      </c>
      <c r="FC95" s="418">
        <f t="shared" si="373"/>
        <v>0</v>
      </c>
      <c r="FD95" s="418">
        <f t="shared" si="373"/>
        <v>0</v>
      </c>
      <c r="FE95" s="418">
        <f t="shared" si="373"/>
        <v>0</v>
      </c>
      <c r="FF95" s="418">
        <f t="shared" si="373"/>
        <v>0</v>
      </c>
      <c r="FG95" s="418">
        <f t="shared" si="370"/>
        <v>0</v>
      </c>
      <c r="FH95" s="418">
        <f t="shared" si="370"/>
        <v>0</v>
      </c>
      <c r="FI95" s="418">
        <f t="shared" si="370"/>
        <v>0</v>
      </c>
      <c r="FJ95" s="418">
        <f t="shared" si="370"/>
        <v>0</v>
      </c>
      <c r="FK95" s="418">
        <f t="shared" si="370"/>
        <v>0</v>
      </c>
      <c r="FL95" s="418">
        <f t="shared" ref="FL95:FU97" si="374">(FL$3&gt;=$ER95)*$EQ95</f>
        <v>0</v>
      </c>
      <c r="FM95" s="418">
        <f t="shared" si="374"/>
        <v>0</v>
      </c>
      <c r="FN95" s="418">
        <f t="shared" si="374"/>
        <v>0</v>
      </c>
      <c r="FO95" s="418">
        <f t="shared" si="374"/>
        <v>0</v>
      </c>
      <c r="FP95" s="418">
        <f t="shared" si="374"/>
        <v>0</v>
      </c>
      <c r="FQ95" s="418">
        <f t="shared" si="374"/>
        <v>0</v>
      </c>
      <c r="FR95" s="418">
        <f t="shared" si="374"/>
        <v>6500</v>
      </c>
      <c r="FS95" s="418">
        <f t="shared" si="374"/>
        <v>6500</v>
      </c>
      <c r="FT95" s="418">
        <f t="shared" si="374"/>
        <v>6500</v>
      </c>
      <c r="FU95" s="418">
        <f t="shared" si="374"/>
        <v>6500</v>
      </c>
      <c r="FV95" s="418">
        <f t="shared" ref="FV95:GE97" si="375">(FV$3&gt;=$ER95)*$EQ95</f>
        <v>6500</v>
      </c>
      <c r="FW95" s="418">
        <f t="shared" si="375"/>
        <v>6500</v>
      </c>
      <c r="FX95" s="418">
        <f t="shared" si="375"/>
        <v>6500</v>
      </c>
      <c r="FY95" s="418">
        <f t="shared" si="375"/>
        <v>6500</v>
      </c>
      <c r="FZ95" s="418">
        <f t="shared" si="375"/>
        <v>6500</v>
      </c>
      <c r="GA95" s="418">
        <f t="shared" si="375"/>
        <v>6500</v>
      </c>
      <c r="GB95" s="418">
        <f t="shared" si="375"/>
        <v>6500</v>
      </c>
      <c r="GC95" s="418">
        <f t="shared" si="375"/>
        <v>6500</v>
      </c>
      <c r="GD95" s="418">
        <f t="shared" si="375"/>
        <v>6500</v>
      </c>
      <c r="GE95" s="418">
        <f t="shared" si="375"/>
        <v>6500</v>
      </c>
      <c r="GF95" s="418">
        <f t="shared" ref="GF95:GO97" si="376">(GF$3&gt;=$ER95)*$EQ95</f>
        <v>6500</v>
      </c>
      <c r="GG95" s="418">
        <f t="shared" si="376"/>
        <v>6500</v>
      </c>
      <c r="GH95" s="418">
        <f t="shared" si="376"/>
        <v>6500</v>
      </c>
      <c r="GI95" s="418">
        <f t="shared" si="376"/>
        <v>6500</v>
      </c>
      <c r="GJ95" s="418">
        <f t="shared" si="376"/>
        <v>6500</v>
      </c>
      <c r="GK95" s="418">
        <f t="shared" si="376"/>
        <v>6500</v>
      </c>
      <c r="GL95" s="418">
        <f t="shared" si="376"/>
        <v>6500</v>
      </c>
      <c r="GM95" s="418">
        <f t="shared" si="376"/>
        <v>6500</v>
      </c>
      <c r="GN95" s="418">
        <f t="shared" si="376"/>
        <v>6500</v>
      </c>
      <c r="GO95" s="418">
        <f t="shared" si="376"/>
        <v>6500</v>
      </c>
      <c r="GP95" s="418">
        <f t="shared" ref="GP95:GY97" si="377">(GP$3&gt;=$ER95)*$EQ95</f>
        <v>6500</v>
      </c>
      <c r="GQ95" s="418">
        <f t="shared" si="377"/>
        <v>6500</v>
      </c>
      <c r="GR95" s="418">
        <f t="shared" si="377"/>
        <v>6500</v>
      </c>
      <c r="GS95" s="418">
        <f t="shared" si="377"/>
        <v>6500</v>
      </c>
      <c r="GT95" s="418">
        <f t="shared" si="377"/>
        <v>6500</v>
      </c>
      <c r="GU95" s="418">
        <f t="shared" si="377"/>
        <v>6500</v>
      </c>
      <c r="GV95" s="418">
        <f t="shared" si="377"/>
        <v>6500</v>
      </c>
      <c r="GW95" s="418">
        <f t="shared" si="377"/>
        <v>6500</v>
      </c>
      <c r="GX95" s="418">
        <f t="shared" si="377"/>
        <v>6500</v>
      </c>
      <c r="GY95" s="418">
        <f t="shared" si="377"/>
        <v>6500</v>
      </c>
      <c r="GZ95" s="418">
        <f t="shared" ref="GZ95:HH97" si="378">(GZ$3&gt;=$ER95)*$EQ95</f>
        <v>6500</v>
      </c>
      <c r="HA95" s="418">
        <f t="shared" si="378"/>
        <v>6500</v>
      </c>
      <c r="HB95" s="418">
        <f t="shared" si="378"/>
        <v>6500</v>
      </c>
      <c r="HC95" s="418">
        <f t="shared" si="378"/>
        <v>6500</v>
      </c>
      <c r="HD95" s="418">
        <f t="shared" si="378"/>
        <v>6500</v>
      </c>
      <c r="HE95" s="418">
        <f t="shared" si="378"/>
        <v>6500</v>
      </c>
      <c r="HF95" s="418">
        <f t="shared" si="378"/>
        <v>6500</v>
      </c>
      <c r="HG95" s="418">
        <f t="shared" si="378"/>
        <v>6500</v>
      </c>
      <c r="HH95" s="418">
        <f t="shared" si="378"/>
        <v>6500</v>
      </c>
      <c r="HI95" s="418">
        <f t="shared" si="348"/>
        <v>6500</v>
      </c>
      <c r="HJ95" s="418">
        <f t="shared" si="348"/>
        <v>6500</v>
      </c>
      <c r="HK95" s="418">
        <f t="shared" si="348"/>
        <v>6500</v>
      </c>
      <c r="HL95" s="418">
        <f t="shared" si="348"/>
        <v>6500</v>
      </c>
      <c r="HM95" s="418">
        <f t="shared" si="348"/>
        <v>6500</v>
      </c>
      <c r="HN95" s="418">
        <f t="shared" si="348"/>
        <v>6500</v>
      </c>
      <c r="HO95" s="418">
        <f t="shared" si="348"/>
        <v>6500</v>
      </c>
      <c r="HP95" s="418">
        <f t="shared" si="348"/>
        <v>6500</v>
      </c>
      <c r="HQ95" s="418">
        <f t="shared" si="348"/>
        <v>6500</v>
      </c>
      <c r="HR95" s="418">
        <f t="shared" si="348"/>
        <v>6500</v>
      </c>
      <c r="HS95" s="418">
        <f t="shared" si="349"/>
        <v>6500</v>
      </c>
      <c r="HT95" s="418">
        <f t="shared" si="349"/>
        <v>6500</v>
      </c>
      <c r="HU95" s="418">
        <f t="shared" si="349"/>
        <v>6500</v>
      </c>
      <c r="HV95" s="418">
        <f t="shared" si="349"/>
        <v>6500</v>
      </c>
      <c r="HW95" s="418">
        <f t="shared" si="349"/>
        <v>6500</v>
      </c>
      <c r="HX95" s="418">
        <f t="shared" si="349"/>
        <v>6500</v>
      </c>
      <c r="HY95" s="418">
        <f t="shared" si="349"/>
        <v>6500</v>
      </c>
      <c r="HZ95" s="418">
        <f t="shared" si="349"/>
        <v>6500</v>
      </c>
      <c r="IA95" s="418">
        <f t="shared" si="349"/>
        <v>6500</v>
      </c>
      <c r="IB95" s="418">
        <f t="shared" si="349"/>
        <v>6500</v>
      </c>
      <c r="IC95" s="418">
        <f t="shared" si="350"/>
        <v>6500</v>
      </c>
      <c r="ID95" s="418">
        <f t="shared" si="350"/>
        <v>6500</v>
      </c>
      <c r="IE95" s="418">
        <f t="shared" si="350"/>
        <v>6500</v>
      </c>
      <c r="IF95" s="418">
        <f t="shared" si="350"/>
        <v>6500</v>
      </c>
      <c r="IG95" s="418">
        <f t="shared" si="350"/>
        <v>6500</v>
      </c>
      <c r="IH95" s="418">
        <f t="shared" si="350"/>
        <v>6500</v>
      </c>
      <c r="II95" s="418">
        <f t="shared" si="350"/>
        <v>6500</v>
      </c>
      <c r="IJ95" s="418">
        <f t="shared" si="350"/>
        <v>6500</v>
      </c>
      <c r="IK95" s="418">
        <f t="shared" si="350"/>
        <v>6500</v>
      </c>
      <c r="IL95" s="418">
        <f t="shared" si="350"/>
        <v>6500</v>
      </c>
      <c r="IM95" s="418">
        <f t="shared" si="351"/>
        <v>6500</v>
      </c>
      <c r="IN95" s="418">
        <f t="shared" si="351"/>
        <v>6500</v>
      </c>
      <c r="IO95" s="418">
        <f t="shared" si="351"/>
        <v>6500</v>
      </c>
      <c r="IP95" s="418">
        <f t="shared" si="351"/>
        <v>6500</v>
      </c>
      <c r="IQ95" s="418">
        <f t="shared" si="351"/>
        <v>6500</v>
      </c>
      <c r="IR95" s="418">
        <f t="shared" si="351"/>
        <v>6500</v>
      </c>
      <c r="IS95" s="418">
        <f t="shared" si="351"/>
        <v>6500</v>
      </c>
      <c r="IT95" s="418">
        <f t="shared" si="351"/>
        <v>6500</v>
      </c>
      <c r="IU95" s="418">
        <f t="shared" si="351"/>
        <v>6500</v>
      </c>
      <c r="IV95" s="418">
        <f t="shared" si="351"/>
        <v>6500</v>
      </c>
      <c r="IW95" s="418">
        <f t="shared" si="352"/>
        <v>6500</v>
      </c>
      <c r="IX95" s="418">
        <f t="shared" si="352"/>
        <v>6500</v>
      </c>
      <c r="IY95" s="418">
        <f t="shared" si="352"/>
        <v>6500</v>
      </c>
      <c r="IZ95" s="418">
        <f t="shared" si="352"/>
        <v>6500</v>
      </c>
      <c r="JA95" s="418">
        <f t="shared" si="352"/>
        <v>6500</v>
      </c>
      <c r="JB95" s="418">
        <f t="shared" si="352"/>
        <v>6500</v>
      </c>
      <c r="JC95" s="418">
        <f t="shared" si="352"/>
        <v>6500</v>
      </c>
      <c r="JD95" s="418">
        <f t="shared" si="352"/>
        <v>6500</v>
      </c>
      <c r="JE95" s="418">
        <f t="shared" si="352"/>
        <v>6500</v>
      </c>
      <c r="JF95" s="418">
        <f t="shared" si="352"/>
        <v>6500</v>
      </c>
      <c r="JG95" s="418">
        <f t="shared" si="353"/>
        <v>6500</v>
      </c>
      <c r="JH95" s="418">
        <f t="shared" si="353"/>
        <v>6500</v>
      </c>
      <c r="JI95" s="418">
        <f t="shared" si="353"/>
        <v>6500</v>
      </c>
      <c r="JJ95" s="418">
        <f t="shared" si="353"/>
        <v>6500</v>
      </c>
      <c r="JK95" s="418">
        <f t="shared" si="353"/>
        <v>6500</v>
      </c>
      <c r="JL95" s="418">
        <f t="shared" si="353"/>
        <v>6500</v>
      </c>
      <c r="JM95" s="418">
        <f t="shared" si="353"/>
        <v>6500</v>
      </c>
      <c r="JN95" s="418">
        <f t="shared" si="353"/>
        <v>6500</v>
      </c>
      <c r="JO95" s="418">
        <f t="shared" si="353"/>
        <v>6500</v>
      </c>
      <c r="JP95" s="418">
        <f t="shared" si="353"/>
        <v>6500</v>
      </c>
      <c r="JQ95" s="418">
        <f t="shared" si="353"/>
        <v>6500</v>
      </c>
      <c r="JR95" s="418">
        <f t="shared" si="353"/>
        <v>6500</v>
      </c>
      <c r="JS95" s="418">
        <f t="shared" si="353"/>
        <v>6500</v>
      </c>
      <c r="JT95" s="418">
        <f t="shared" si="353"/>
        <v>6500</v>
      </c>
      <c r="JU95" s="418">
        <f t="shared" si="354"/>
        <v>6500</v>
      </c>
      <c r="JV95" s="418">
        <f t="shared" si="354"/>
        <v>6500</v>
      </c>
      <c r="JW95" s="418">
        <f t="shared" si="354"/>
        <v>6500</v>
      </c>
      <c r="JX95" s="418">
        <f t="shared" si="354"/>
        <v>6500</v>
      </c>
      <c r="JY95"/>
      <c r="JZ95" s="219" t="str">
        <f t="shared" si="371"/>
        <v>LiveHouse</v>
      </c>
      <c r="KA95" s="418">
        <f t="shared" si="355"/>
        <v>2600000</v>
      </c>
      <c r="KB95" s="197">
        <f t="shared" si="356"/>
        <v>25</v>
      </c>
      <c r="KC95" s="206">
        <f t="shared" si="357"/>
        <v>3.5000000000000003E-2</v>
      </c>
      <c r="KD95" s="213" t="str">
        <f t="shared" si="327"/>
        <v>Annual</v>
      </c>
      <c r="KE95" s="470">
        <f>IF(KD95="",1,IFERROR(MAX(1,INDEX(Data!$H$24:$H$33,MATCH(KD95,Data!$G$24:$G$33,0))),1))</f>
        <v>1</v>
      </c>
      <c r="KF95" s="263"/>
      <c r="KG95" s="471">
        <f t="shared" si="372"/>
        <v>0</v>
      </c>
      <c r="KH95" s="471">
        <f t="shared" si="358"/>
        <v>0</v>
      </c>
      <c r="KI95" s="471">
        <f t="shared" si="358"/>
        <v>0</v>
      </c>
      <c r="KJ95" s="471">
        <f t="shared" si="358"/>
        <v>0</v>
      </c>
      <c r="KK95" s="471">
        <f t="shared" si="358"/>
        <v>0</v>
      </c>
      <c r="KL95" s="471">
        <f t="shared" si="358"/>
        <v>0</v>
      </c>
      <c r="KM95" s="471">
        <f t="shared" si="358"/>
        <v>0</v>
      </c>
      <c r="KN95" s="471">
        <f t="shared" si="358"/>
        <v>0</v>
      </c>
      <c r="KO95" s="471">
        <f t="shared" si="358"/>
        <v>0</v>
      </c>
      <c r="KP95" s="471">
        <f t="shared" si="358"/>
        <v>0</v>
      </c>
      <c r="KQ95" s="471">
        <f t="shared" si="358"/>
        <v>0</v>
      </c>
      <c r="KR95" s="471">
        <f t="shared" si="358"/>
        <v>0</v>
      </c>
      <c r="KS95" s="471">
        <f t="shared" si="358"/>
        <v>0</v>
      </c>
      <c r="KT95" s="471">
        <f t="shared" si="358"/>
        <v>0</v>
      </c>
      <c r="KU95" s="471">
        <f t="shared" si="358"/>
        <v>0</v>
      </c>
      <c r="KV95" s="471">
        <f t="shared" si="358"/>
        <v>0</v>
      </c>
      <c r="KW95" s="471">
        <f t="shared" si="358"/>
        <v>0</v>
      </c>
      <c r="KX95" s="471">
        <f t="shared" si="359"/>
        <v>0</v>
      </c>
      <c r="KY95" s="471">
        <f t="shared" si="359"/>
        <v>0</v>
      </c>
      <c r="KZ95" s="471">
        <f t="shared" si="359"/>
        <v>0</v>
      </c>
      <c r="LA95" s="471">
        <f t="shared" si="359"/>
        <v>0</v>
      </c>
      <c r="LB95" s="471">
        <f t="shared" si="359"/>
        <v>0</v>
      </c>
      <c r="LC95" s="471">
        <f t="shared" si="359"/>
        <v>0</v>
      </c>
      <c r="LD95" s="471">
        <f t="shared" si="359"/>
        <v>0</v>
      </c>
      <c r="LE95" s="471">
        <f t="shared" si="359"/>
        <v>216666.66666666666</v>
      </c>
      <c r="LF95" s="471">
        <f t="shared" si="359"/>
        <v>216666.66666666666</v>
      </c>
      <c r="LG95" s="471">
        <f t="shared" si="359"/>
        <v>216666.66666666666</v>
      </c>
      <c r="LH95" s="471">
        <f t="shared" si="359"/>
        <v>216666.66666666666</v>
      </c>
      <c r="LI95" s="471">
        <f t="shared" si="359"/>
        <v>216666.66666666666</v>
      </c>
      <c r="LJ95" s="471">
        <f t="shared" si="359"/>
        <v>216666.66666666666</v>
      </c>
      <c r="LK95" s="471">
        <f t="shared" si="359"/>
        <v>216666.66666666666</v>
      </c>
      <c r="LL95" s="471">
        <f t="shared" si="359"/>
        <v>216666.66666666666</v>
      </c>
      <c r="LM95" s="471">
        <f t="shared" si="359"/>
        <v>216666.66666666666</v>
      </c>
      <c r="LN95" s="471">
        <f t="shared" si="360"/>
        <v>216666.66666666666</v>
      </c>
      <c r="LO95" s="471">
        <f t="shared" si="360"/>
        <v>216666.66666666666</v>
      </c>
      <c r="LP95" s="471">
        <f t="shared" si="360"/>
        <v>216666.66666666666</v>
      </c>
      <c r="LQ95" s="471">
        <f t="shared" si="360"/>
        <v>224249.99999999997</v>
      </c>
      <c r="LR95" s="471">
        <f t="shared" si="360"/>
        <v>224249.99999999997</v>
      </c>
      <c r="LS95" s="471">
        <f t="shared" si="360"/>
        <v>224249.99999999997</v>
      </c>
      <c r="LT95" s="471">
        <f t="shared" si="360"/>
        <v>224249.99999999997</v>
      </c>
      <c r="LU95" s="471">
        <f t="shared" si="360"/>
        <v>224249.99999999997</v>
      </c>
      <c r="LV95" s="471">
        <f t="shared" si="360"/>
        <v>224249.99999999997</v>
      </c>
      <c r="LW95" s="471">
        <f t="shared" si="360"/>
        <v>224249.99999999997</v>
      </c>
      <c r="LX95" s="471">
        <f t="shared" si="360"/>
        <v>224249.99999999997</v>
      </c>
      <c r="LY95" s="471">
        <f t="shared" si="360"/>
        <v>224249.99999999997</v>
      </c>
      <c r="LZ95" s="471">
        <f t="shared" si="360"/>
        <v>224249.99999999997</v>
      </c>
      <c r="MA95" s="471">
        <f t="shared" si="360"/>
        <v>224249.99999999997</v>
      </c>
      <c r="MB95" s="471">
        <f t="shared" si="360"/>
        <v>224249.99999999997</v>
      </c>
      <c r="MC95" s="471">
        <f t="shared" si="360"/>
        <v>232098.74999999997</v>
      </c>
      <c r="MD95" s="471">
        <f t="shared" si="361"/>
        <v>232098.74999999997</v>
      </c>
      <c r="ME95" s="471">
        <f t="shared" si="361"/>
        <v>232098.74999999997</v>
      </c>
      <c r="MF95" s="471">
        <f t="shared" si="361"/>
        <v>232098.74999999997</v>
      </c>
      <c r="MG95" s="471">
        <f t="shared" si="361"/>
        <v>232098.74999999997</v>
      </c>
      <c r="MH95" s="471">
        <f t="shared" si="361"/>
        <v>232098.74999999997</v>
      </c>
      <c r="MI95" s="471">
        <f t="shared" si="361"/>
        <v>232098.74999999997</v>
      </c>
      <c r="MJ95" s="471">
        <f t="shared" si="361"/>
        <v>232098.74999999997</v>
      </c>
      <c r="MK95" s="471">
        <f t="shared" si="361"/>
        <v>232098.74999999997</v>
      </c>
      <c r="ML95" s="471">
        <f t="shared" si="361"/>
        <v>232098.74999999997</v>
      </c>
      <c r="MM95" s="471">
        <f t="shared" si="361"/>
        <v>232098.74999999997</v>
      </c>
      <c r="MN95" s="471">
        <f t="shared" si="361"/>
        <v>232098.74999999997</v>
      </c>
      <c r="MO95" s="471">
        <f t="shared" si="361"/>
        <v>240222.20624999993</v>
      </c>
      <c r="MP95" s="471">
        <f t="shared" si="361"/>
        <v>240222.20624999993</v>
      </c>
      <c r="MQ95" s="471">
        <f t="shared" si="361"/>
        <v>240222.20624999993</v>
      </c>
      <c r="MR95" s="471">
        <f t="shared" si="361"/>
        <v>240222.20624999993</v>
      </c>
      <c r="MS95" s="471">
        <f t="shared" si="361"/>
        <v>240222.20624999993</v>
      </c>
      <c r="MT95" s="471">
        <f t="shared" si="362"/>
        <v>240222.20624999993</v>
      </c>
      <c r="MU95" s="471">
        <f t="shared" si="362"/>
        <v>240222.20624999993</v>
      </c>
      <c r="MV95" s="471">
        <f t="shared" si="362"/>
        <v>240222.20624999993</v>
      </c>
      <c r="MW95" s="471">
        <f t="shared" si="362"/>
        <v>240222.20624999993</v>
      </c>
      <c r="MX95" s="471">
        <f t="shared" si="362"/>
        <v>240222.20624999993</v>
      </c>
      <c r="MY95" s="471">
        <f t="shared" si="362"/>
        <v>240222.20624999993</v>
      </c>
      <c r="MZ95" s="471">
        <f t="shared" si="362"/>
        <v>240222.20624999993</v>
      </c>
      <c r="NA95" s="471">
        <f t="shared" si="362"/>
        <v>248629.98346874991</v>
      </c>
      <c r="NB95" s="471">
        <f t="shared" si="362"/>
        <v>248629.98346874991</v>
      </c>
      <c r="NC95" s="471">
        <f t="shared" si="362"/>
        <v>248629.98346874991</v>
      </c>
      <c r="ND95" s="471">
        <f t="shared" si="362"/>
        <v>248629.98346874991</v>
      </c>
      <c r="NE95" s="471">
        <f t="shared" si="362"/>
        <v>248629.98346874991</v>
      </c>
      <c r="NF95" s="471">
        <f t="shared" si="362"/>
        <v>248629.98346874991</v>
      </c>
      <c r="NG95" s="471">
        <f t="shared" si="362"/>
        <v>248629.98346874991</v>
      </c>
      <c r="NH95" s="471">
        <f t="shared" si="362"/>
        <v>248629.98346874991</v>
      </c>
      <c r="NI95" s="471">
        <f t="shared" si="362"/>
        <v>248629.98346874991</v>
      </c>
      <c r="NJ95" s="471">
        <f t="shared" si="363"/>
        <v>248629.98346874991</v>
      </c>
      <c r="NK95" s="471">
        <f t="shared" si="363"/>
        <v>248629.98346874991</v>
      </c>
      <c r="NL95" s="471">
        <f t="shared" si="363"/>
        <v>248629.98346874991</v>
      </c>
      <c r="NM95" s="471">
        <f t="shared" si="363"/>
        <v>257332.03289015612</v>
      </c>
      <c r="NN95" s="471">
        <f t="shared" si="363"/>
        <v>257332.03289015612</v>
      </c>
      <c r="NO95" s="471">
        <f t="shared" si="363"/>
        <v>257332.03289015612</v>
      </c>
      <c r="NP95" s="471">
        <f t="shared" si="363"/>
        <v>257332.03289015612</v>
      </c>
      <c r="NQ95" s="471">
        <f t="shared" si="363"/>
        <v>257332.03289015612</v>
      </c>
      <c r="NR95" s="471">
        <f t="shared" si="363"/>
        <v>257332.03289015612</v>
      </c>
      <c r="NS95" s="471">
        <f t="shared" si="363"/>
        <v>257332.03289015612</v>
      </c>
      <c r="NT95" s="471">
        <f t="shared" si="363"/>
        <v>257332.03289015612</v>
      </c>
      <c r="NU95" s="471">
        <f t="shared" si="363"/>
        <v>257332.03289015612</v>
      </c>
      <c r="NV95" s="471">
        <f t="shared" si="363"/>
        <v>257332.03289015612</v>
      </c>
      <c r="NW95" s="471">
        <f t="shared" si="363"/>
        <v>257332.03289015612</v>
      </c>
      <c r="NX95" s="471">
        <f t="shared" si="363"/>
        <v>257332.03289015612</v>
      </c>
      <c r="NY95" s="471">
        <f t="shared" si="363"/>
        <v>266338.65404131159</v>
      </c>
      <c r="NZ95" s="471">
        <f t="shared" si="364"/>
        <v>266338.65404131159</v>
      </c>
      <c r="OA95" s="471">
        <f t="shared" si="364"/>
        <v>266338.65404131159</v>
      </c>
      <c r="OB95" s="471">
        <f t="shared" si="364"/>
        <v>266338.65404131159</v>
      </c>
      <c r="OC95" s="471">
        <f t="shared" si="364"/>
        <v>266338.65404131159</v>
      </c>
      <c r="OD95" s="471">
        <f t="shared" si="364"/>
        <v>266338.65404131159</v>
      </c>
      <c r="OE95" s="471">
        <f t="shared" si="364"/>
        <v>266338.65404131159</v>
      </c>
      <c r="OF95" s="471">
        <f t="shared" si="364"/>
        <v>266338.65404131159</v>
      </c>
      <c r="OG95" s="471">
        <f t="shared" si="364"/>
        <v>266338.65404131159</v>
      </c>
      <c r="OH95" s="471">
        <f t="shared" si="364"/>
        <v>266338.65404131159</v>
      </c>
      <c r="OI95" s="471">
        <f t="shared" si="364"/>
        <v>266338.65404131159</v>
      </c>
      <c r="OJ95" s="471">
        <f t="shared" si="364"/>
        <v>266338.65404131159</v>
      </c>
      <c r="OK95" s="471">
        <f t="shared" si="364"/>
        <v>275660.5069327575</v>
      </c>
      <c r="OL95" s="471">
        <f t="shared" si="364"/>
        <v>275660.5069327575</v>
      </c>
      <c r="OM95" s="471">
        <f t="shared" si="364"/>
        <v>275660.5069327575</v>
      </c>
      <c r="ON95" s="471">
        <f t="shared" si="364"/>
        <v>275660.5069327575</v>
      </c>
      <c r="OO95" s="471">
        <f t="shared" si="364"/>
        <v>275660.5069327575</v>
      </c>
      <c r="OP95" s="471">
        <f t="shared" si="365"/>
        <v>275660.5069327575</v>
      </c>
      <c r="OQ95" s="471">
        <f t="shared" si="365"/>
        <v>275660.5069327575</v>
      </c>
      <c r="OR95" s="471">
        <f t="shared" si="365"/>
        <v>275660.5069327575</v>
      </c>
      <c r="OS95" s="471">
        <f t="shared" si="365"/>
        <v>275660.5069327575</v>
      </c>
      <c r="OT95" s="471">
        <f t="shared" si="365"/>
        <v>275660.5069327575</v>
      </c>
      <c r="OU95" s="471">
        <f t="shared" si="365"/>
        <v>275660.5069327575</v>
      </c>
      <c r="OV95" s="471">
        <f t="shared" si="365"/>
        <v>275660.5069327575</v>
      </c>
      <c r="OW95" s="471">
        <f t="shared" si="365"/>
        <v>285308.62467540393</v>
      </c>
      <c r="OX95" s="471">
        <f t="shared" si="365"/>
        <v>285308.62467540393</v>
      </c>
      <c r="OY95" s="471">
        <f t="shared" si="365"/>
        <v>285308.62467540393</v>
      </c>
      <c r="OZ95" s="471">
        <f t="shared" si="365"/>
        <v>285308.62467540393</v>
      </c>
      <c r="PA95" s="471">
        <f t="shared" si="365"/>
        <v>285308.62467540393</v>
      </c>
      <c r="PB95" s="471">
        <f t="shared" si="365"/>
        <v>285308.62467540393</v>
      </c>
      <c r="PC95" s="471">
        <f t="shared" si="365"/>
        <v>285308.62467540393</v>
      </c>
      <c r="PD95" s="471">
        <f t="shared" si="365"/>
        <v>285308.62467540393</v>
      </c>
      <c r="PE95" s="471">
        <f t="shared" si="365"/>
        <v>285308.62467540393</v>
      </c>
      <c r="PF95" s="471">
        <f t="shared" si="366"/>
        <v>285308.62467540393</v>
      </c>
      <c r="PG95" s="471">
        <f t="shared" si="366"/>
        <v>285308.62467540393</v>
      </c>
      <c r="PH95" s="471">
        <f t="shared" si="366"/>
        <v>285308.62467540393</v>
      </c>
    </row>
    <row r="96" spans="1:424" x14ac:dyDescent="0.35">
      <c r="A96"/>
      <c r="B96" s="469" t="s">
        <v>251</v>
      </c>
      <c r="C96" s="469" t="s">
        <v>252</v>
      </c>
      <c r="D96" s="45">
        <v>25</v>
      </c>
      <c r="E96" s="837">
        <f>'URWLD COMPANY INPUTS'!$F$626</f>
        <v>150</v>
      </c>
      <c r="F96" s="45">
        <f t="shared" si="332"/>
        <v>28</v>
      </c>
      <c r="G96" s="838">
        <f>IF('INPUT REGISTER'!$F$481="","",'INPUT REGISTER'!$F$481)</f>
        <v>3.5000000000000003E-2</v>
      </c>
      <c r="H96" s="843">
        <f>'INPUT REGISTER'!$F$675</f>
        <v>600</v>
      </c>
      <c r="I96" s="424">
        <f t="shared" si="333"/>
        <v>90000</v>
      </c>
      <c r="J96"/>
      <c r="K96" s="286" t="s">
        <v>247</v>
      </c>
      <c r="L96" s="75">
        <f t="shared" si="334"/>
        <v>0</v>
      </c>
      <c r="M96" s="417">
        <f t="shared" si="334"/>
        <v>0</v>
      </c>
      <c r="N96" s="417">
        <f t="shared" si="334"/>
        <v>0</v>
      </c>
      <c r="O96" s="417">
        <f t="shared" si="334"/>
        <v>0</v>
      </c>
      <c r="P96" s="417">
        <f t="shared" si="334"/>
        <v>0</v>
      </c>
      <c r="Q96" s="417">
        <f t="shared" si="334"/>
        <v>0</v>
      </c>
      <c r="R96" s="417">
        <f t="shared" si="334"/>
        <v>0</v>
      </c>
      <c r="S96" s="417">
        <f t="shared" si="334"/>
        <v>0</v>
      </c>
      <c r="T96" s="417">
        <f t="shared" si="334"/>
        <v>0</v>
      </c>
      <c r="U96" s="417">
        <f t="shared" si="334"/>
        <v>0</v>
      </c>
      <c r="V96" s="417">
        <f t="shared" si="335"/>
        <v>0</v>
      </c>
      <c r="W96" s="417">
        <f t="shared" si="335"/>
        <v>0</v>
      </c>
      <c r="X96" s="417">
        <f t="shared" si="335"/>
        <v>0</v>
      </c>
      <c r="Y96" s="417">
        <f t="shared" si="335"/>
        <v>0</v>
      </c>
      <c r="Z96" s="417">
        <f t="shared" si="335"/>
        <v>0</v>
      </c>
      <c r="AA96" s="417">
        <f t="shared" si="335"/>
        <v>0</v>
      </c>
      <c r="AB96" s="417">
        <f t="shared" si="335"/>
        <v>0</v>
      </c>
      <c r="AC96" s="417">
        <f t="shared" si="335"/>
        <v>0</v>
      </c>
      <c r="AD96" s="417">
        <f t="shared" si="335"/>
        <v>0</v>
      </c>
      <c r="AE96" s="417">
        <f t="shared" si="335"/>
        <v>0</v>
      </c>
      <c r="AF96" s="417">
        <f t="shared" si="336"/>
        <v>0</v>
      </c>
      <c r="AG96" s="417">
        <f t="shared" si="336"/>
        <v>0</v>
      </c>
      <c r="AH96" s="417">
        <f t="shared" si="336"/>
        <v>0</v>
      </c>
      <c r="AI96" s="417">
        <f t="shared" si="336"/>
        <v>0</v>
      </c>
      <c r="AJ96" s="417">
        <f t="shared" si="336"/>
        <v>0</v>
      </c>
      <c r="AK96" s="417">
        <f t="shared" si="336"/>
        <v>0</v>
      </c>
      <c r="AL96" s="417">
        <f t="shared" si="336"/>
        <v>0</v>
      </c>
      <c r="AM96" s="417">
        <f t="shared" si="336"/>
        <v>0</v>
      </c>
      <c r="AN96" s="417">
        <f t="shared" si="336"/>
        <v>7500</v>
      </c>
      <c r="AO96" s="417">
        <f t="shared" si="336"/>
        <v>7500</v>
      </c>
      <c r="AP96" s="417">
        <f t="shared" si="337"/>
        <v>7500</v>
      </c>
      <c r="AQ96" s="417">
        <f t="shared" si="337"/>
        <v>7500</v>
      </c>
      <c r="AR96" s="417">
        <f t="shared" si="337"/>
        <v>7500</v>
      </c>
      <c r="AS96" s="417">
        <f t="shared" si="337"/>
        <v>7500</v>
      </c>
      <c r="AT96" s="417">
        <f t="shared" si="337"/>
        <v>7500</v>
      </c>
      <c r="AU96" s="417">
        <f t="shared" si="337"/>
        <v>7500</v>
      </c>
      <c r="AV96" s="417">
        <f t="shared" si="337"/>
        <v>7500</v>
      </c>
      <c r="AW96" s="417">
        <f t="shared" si="337"/>
        <v>7500</v>
      </c>
      <c r="AX96" s="417">
        <f t="shared" si="337"/>
        <v>7500</v>
      </c>
      <c r="AY96" s="417">
        <f t="shared" si="337"/>
        <v>7500</v>
      </c>
      <c r="AZ96" s="417">
        <f t="shared" si="338"/>
        <v>7762.4999999999991</v>
      </c>
      <c r="BA96" s="417">
        <f t="shared" si="338"/>
        <v>7762.4999999999991</v>
      </c>
      <c r="BB96" s="417">
        <f t="shared" si="338"/>
        <v>7762.4999999999991</v>
      </c>
      <c r="BC96" s="417">
        <f t="shared" si="338"/>
        <v>7762.4999999999991</v>
      </c>
      <c r="BD96" s="417">
        <f t="shared" si="338"/>
        <v>7762.4999999999991</v>
      </c>
      <c r="BE96" s="417">
        <f t="shared" si="338"/>
        <v>7762.4999999999991</v>
      </c>
      <c r="BF96" s="417">
        <f t="shared" si="338"/>
        <v>7762.4999999999991</v>
      </c>
      <c r="BG96" s="417">
        <f t="shared" si="338"/>
        <v>7762.4999999999991</v>
      </c>
      <c r="BH96" s="417">
        <f t="shared" si="338"/>
        <v>7762.4999999999991</v>
      </c>
      <c r="BI96" s="417">
        <f t="shared" si="338"/>
        <v>7762.4999999999991</v>
      </c>
      <c r="BJ96" s="417">
        <f t="shared" si="339"/>
        <v>7762.4999999999991</v>
      </c>
      <c r="BK96" s="417">
        <f t="shared" si="339"/>
        <v>7762.4999999999991</v>
      </c>
      <c r="BL96" s="417">
        <f t="shared" si="339"/>
        <v>8034.1874999999991</v>
      </c>
      <c r="BM96" s="417">
        <f t="shared" si="339"/>
        <v>8034.1874999999991</v>
      </c>
      <c r="BN96" s="417">
        <f t="shared" si="339"/>
        <v>8034.1874999999991</v>
      </c>
      <c r="BO96" s="417">
        <f t="shared" si="339"/>
        <v>8034.1874999999991</v>
      </c>
      <c r="BP96" s="417">
        <f t="shared" si="339"/>
        <v>8034.1874999999991</v>
      </c>
      <c r="BQ96" s="417">
        <f t="shared" si="339"/>
        <v>8034.1874999999991</v>
      </c>
      <c r="BR96" s="417">
        <f t="shared" si="339"/>
        <v>8034.1874999999991</v>
      </c>
      <c r="BS96" s="417">
        <f t="shared" si="339"/>
        <v>8034.1874999999991</v>
      </c>
      <c r="BT96" s="417">
        <f t="shared" si="340"/>
        <v>8034.1874999999991</v>
      </c>
      <c r="BU96" s="417">
        <f t="shared" si="340"/>
        <v>8034.1874999999991</v>
      </c>
      <c r="BV96" s="417">
        <f t="shared" si="340"/>
        <v>8034.1874999999991</v>
      </c>
      <c r="BW96" s="417">
        <f t="shared" si="340"/>
        <v>8034.1874999999991</v>
      </c>
      <c r="BX96" s="417">
        <f t="shared" si="340"/>
        <v>8315.3840624999975</v>
      </c>
      <c r="BY96" s="417">
        <f t="shared" si="340"/>
        <v>8315.3840624999975</v>
      </c>
      <c r="BZ96" s="417">
        <f t="shared" si="340"/>
        <v>8315.3840624999975</v>
      </c>
      <c r="CA96" s="417">
        <f t="shared" si="340"/>
        <v>8315.3840624999975</v>
      </c>
      <c r="CB96" s="417">
        <f t="shared" si="340"/>
        <v>8315.3840624999975</v>
      </c>
      <c r="CC96" s="417">
        <f t="shared" si="340"/>
        <v>8315.3840624999975</v>
      </c>
      <c r="CD96" s="417">
        <f t="shared" si="341"/>
        <v>8315.3840624999975</v>
      </c>
      <c r="CE96" s="417">
        <f t="shared" si="341"/>
        <v>8315.3840624999975</v>
      </c>
      <c r="CF96" s="417">
        <f t="shared" si="341"/>
        <v>8315.3840624999975</v>
      </c>
      <c r="CG96" s="417">
        <f t="shared" si="341"/>
        <v>8315.3840624999975</v>
      </c>
      <c r="CH96" s="417">
        <f t="shared" si="341"/>
        <v>8315.3840624999975</v>
      </c>
      <c r="CI96" s="417">
        <f t="shared" si="341"/>
        <v>8315.3840624999975</v>
      </c>
      <c r="CJ96" s="417">
        <f t="shared" si="341"/>
        <v>8606.4225046874981</v>
      </c>
      <c r="CK96" s="417">
        <f t="shared" si="341"/>
        <v>8606.4225046874981</v>
      </c>
      <c r="CL96" s="417">
        <f t="shared" si="341"/>
        <v>8606.4225046874981</v>
      </c>
      <c r="CM96" s="417">
        <f t="shared" si="341"/>
        <v>8606.4225046874981</v>
      </c>
      <c r="CN96" s="417">
        <f t="shared" si="342"/>
        <v>8606.4225046874981</v>
      </c>
      <c r="CO96" s="417">
        <f t="shared" si="342"/>
        <v>8606.4225046874981</v>
      </c>
      <c r="CP96" s="417">
        <f t="shared" si="342"/>
        <v>8606.4225046874981</v>
      </c>
      <c r="CQ96" s="417">
        <f t="shared" si="342"/>
        <v>8606.4225046874981</v>
      </c>
      <c r="CR96" s="417">
        <f t="shared" si="342"/>
        <v>8606.4225046874981</v>
      </c>
      <c r="CS96" s="417">
        <f t="shared" si="342"/>
        <v>8606.4225046874981</v>
      </c>
      <c r="CT96" s="417">
        <f t="shared" si="342"/>
        <v>8606.4225046874981</v>
      </c>
      <c r="CU96" s="417">
        <f t="shared" si="342"/>
        <v>8606.4225046874981</v>
      </c>
      <c r="CV96" s="417">
        <f t="shared" si="342"/>
        <v>8907.6472923515594</v>
      </c>
      <c r="CW96" s="417">
        <f t="shared" si="342"/>
        <v>8907.6472923515594</v>
      </c>
      <c r="CX96" s="417">
        <f t="shared" si="343"/>
        <v>8907.6472923515594</v>
      </c>
      <c r="CY96" s="417">
        <f t="shared" si="343"/>
        <v>8907.6472923515594</v>
      </c>
      <c r="CZ96" s="417">
        <f t="shared" si="343"/>
        <v>8907.6472923515594</v>
      </c>
      <c r="DA96" s="417">
        <f t="shared" si="343"/>
        <v>8907.6472923515594</v>
      </c>
      <c r="DB96" s="417">
        <f t="shared" si="343"/>
        <v>8907.6472923515594</v>
      </c>
      <c r="DC96" s="417">
        <f t="shared" si="343"/>
        <v>8907.6472923515594</v>
      </c>
      <c r="DD96" s="417">
        <f t="shared" si="343"/>
        <v>8907.6472923515594</v>
      </c>
      <c r="DE96" s="417">
        <f t="shared" si="343"/>
        <v>8907.6472923515594</v>
      </c>
      <c r="DF96" s="417">
        <f t="shared" si="343"/>
        <v>8907.6472923515594</v>
      </c>
      <c r="DG96" s="417">
        <f t="shared" si="343"/>
        <v>8907.6472923515594</v>
      </c>
      <c r="DH96" s="417">
        <f t="shared" si="344"/>
        <v>9219.414947583864</v>
      </c>
      <c r="DI96" s="417">
        <f t="shared" si="344"/>
        <v>9219.414947583864</v>
      </c>
      <c r="DJ96" s="417">
        <f t="shared" si="344"/>
        <v>9219.414947583864</v>
      </c>
      <c r="DK96" s="417">
        <f t="shared" si="344"/>
        <v>9219.414947583864</v>
      </c>
      <c r="DL96" s="417">
        <f t="shared" si="344"/>
        <v>9219.414947583864</v>
      </c>
      <c r="DM96" s="417">
        <f t="shared" si="344"/>
        <v>9219.414947583864</v>
      </c>
      <c r="DN96" s="417">
        <f t="shared" si="344"/>
        <v>9219.414947583864</v>
      </c>
      <c r="DO96" s="417">
        <f t="shared" si="344"/>
        <v>9219.414947583864</v>
      </c>
      <c r="DP96" s="417">
        <f t="shared" si="344"/>
        <v>9219.414947583864</v>
      </c>
      <c r="DQ96" s="417">
        <f t="shared" si="344"/>
        <v>9219.414947583864</v>
      </c>
      <c r="DR96" s="417">
        <f t="shared" si="345"/>
        <v>9219.414947583864</v>
      </c>
      <c r="DS96" s="417">
        <f t="shared" si="345"/>
        <v>9219.414947583864</v>
      </c>
      <c r="DT96" s="417">
        <f t="shared" si="345"/>
        <v>9542.0944707492981</v>
      </c>
      <c r="DU96" s="417">
        <f t="shared" si="345"/>
        <v>9542.0944707492981</v>
      </c>
      <c r="DV96" s="417">
        <f t="shared" si="345"/>
        <v>9542.0944707492981</v>
      </c>
      <c r="DW96" s="417">
        <f t="shared" si="345"/>
        <v>9542.0944707492981</v>
      </c>
      <c r="DX96" s="417">
        <f t="shared" si="345"/>
        <v>9542.0944707492981</v>
      </c>
      <c r="DY96" s="417">
        <f t="shared" si="345"/>
        <v>9542.0944707492981</v>
      </c>
      <c r="DZ96" s="417">
        <f t="shared" si="345"/>
        <v>9542.0944707492981</v>
      </c>
      <c r="EA96" s="417">
        <f t="shared" si="345"/>
        <v>9542.0944707492981</v>
      </c>
      <c r="EB96" s="417">
        <f t="shared" si="346"/>
        <v>9542.0944707492981</v>
      </c>
      <c r="EC96" s="417">
        <f t="shared" si="346"/>
        <v>9542.0944707492981</v>
      </c>
      <c r="ED96" s="417">
        <f t="shared" si="346"/>
        <v>9542.0944707492981</v>
      </c>
      <c r="EE96" s="417">
        <f t="shared" si="346"/>
        <v>9542.0944707492981</v>
      </c>
      <c r="EF96" s="417">
        <f t="shared" si="346"/>
        <v>9876.0677772255221</v>
      </c>
      <c r="EG96" s="417">
        <f t="shared" si="346"/>
        <v>9876.0677772255221</v>
      </c>
      <c r="EH96" s="417">
        <f t="shared" si="346"/>
        <v>9876.0677772255221</v>
      </c>
      <c r="EI96" s="417">
        <f t="shared" si="346"/>
        <v>9876.0677772255221</v>
      </c>
      <c r="EJ96" s="417">
        <f t="shared" si="346"/>
        <v>9876.0677772255221</v>
      </c>
      <c r="EK96" s="417">
        <f t="shared" si="346"/>
        <v>9876.0677772255221</v>
      </c>
      <c r="EL96" s="417">
        <f t="shared" si="346"/>
        <v>9876.0677772255221</v>
      </c>
      <c r="EM96" s="417">
        <f t="shared" si="346"/>
        <v>9876.0677772255221</v>
      </c>
      <c r="EN96" s="417">
        <f t="shared" si="346"/>
        <v>9876.0677772255221</v>
      </c>
      <c r="EO96"/>
      <c r="EP96" s="219" t="str">
        <f t="shared" si="367"/>
        <v>Flexible Retail/F&amp;B</v>
      </c>
      <c r="EQ96" s="913">
        <f t="shared" si="368"/>
        <v>150</v>
      </c>
      <c r="ER96" s="197">
        <f t="shared" si="369"/>
        <v>25</v>
      </c>
      <c r="ES96" s="18"/>
      <c r="ET96" s="18"/>
      <c r="EU96" s="18"/>
      <c r="EV96" s="418">
        <f t="shared" si="370"/>
        <v>0</v>
      </c>
      <c r="EW96" s="418">
        <f t="shared" si="373"/>
        <v>0</v>
      </c>
      <c r="EX96" s="418">
        <f t="shared" si="373"/>
        <v>0</v>
      </c>
      <c r="EY96" s="418">
        <f t="shared" si="373"/>
        <v>0</v>
      </c>
      <c r="EZ96" s="418">
        <f t="shared" si="373"/>
        <v>0</v>
      </c>
      <c r="FA96" s="418">
        <f t="shared" si="373"/>
        <v>0</v>
      </c>
      <c r="FB96" s="418">
        <f t="shared" si="373"/>
        <v>0</v>
      </c>
      <c r="FC96" s="418">
        <f t="shared" si="373"/>
        <v>0</v>
      </c>
      <c r="FD96" s="418">
        <f t="shared" si="373"/>
        <v>0</v>
      </c>
      <c r="FE96" s="418">
        <f t="shared" si="373"/>
        <v>0</v>
      </c>
      <c r="FF96" s="418">
        <f t="shared" si="373"/>
        <v>0</v>
      </c>
      <c r="FG96" s="418">
        <f t="shared" si="370"/>
        <v>0</v>
      </c>
      <c r="FH96" s="418">
        <f t="shared" si="370"/>
        <v>0</v>
      </c>
      <c r="FI96" s="418">
        <f t="shared" si="370"/>
        <v>0</v>
      </c>
      <c r="FJ96" s="418">
        <f t="shared" si="370"/>
        <v>0</v>
      </c>
      <c r="FK96" s="418">
        <f t="shared" si="370"/>
        <v>0</v>
      </c>
      <c r="FL96" s="418">
        <f t="shared" si="374"/>
        <v>0</v>
      </c>
      <c r="FM96" s="418">
        <f t="shared" si="374"/>
        <v>0</v>
      </c>
      <c r="FN96" s="418">
        <f t="shared" si="374"/>
        <v>0</v>
      </c>
      <c r="FO96" s="418">
        <f t="shared" si="374"/>
        <v>0</v>
      </c>
      <c r="FP96" s="418">
        <f t="shared" si="374"/>
        <v>0</v>
      </c>
      <c r="FQ96" s="418">
        <f t="shared" si="374"/>
        <v>0</v>
      </c>
      <c r="FR96" s="418">
        <f t="shared" si="374"/>
        <v>0</v>
      </c>
      <c r="FS96" s="418">
        <f t="shared" si="374"/>
        <v>0</v>
      </c>
      <c r="FT96" s="418">
        <f t="shared" si="374"/>
        <v>0</v>
      </c>
      <c r="FU96" s="418">
        <f t="shared" si="374"/>
        <v>150</v>
      </c>
      <c r="FV96" s="418">
        <f t="shared" si="375"/>
        <v>150</v>
      </c>
      <c r="FW96" s="418">
        <f t="shared" si="375"/>
        <v>150</v>
      </c>
      <c r="FX96" s="418">
        <f t="shared" si="375"/>
        <v>150</v>
      </c>
      <c r="FY96" s="418">
        <f t="shared" si="375"/>
        <v>150</v>
      </c>
      <c r="FZ96" s="418">
        <f t="shared" si="375"/>
        <v>150</v>
      </c>
      <c r="GA96" s="418">
        <f t="shared" si="375"/>
        <v>150</v>
      </c>
      <c r="GB96" s="418">
        <f t="shared" si="375"/>
        <v>150</v>
      </c>
      <c r="GC96" s="418">
        <f t="shared" si="375"/>
        <v>150</v>
      </c>
      <c r="GD96" s="418">
        <f t="shared" si="375"/>
        <v>150</v>
      </c>
      <c r="GE96" s="418">
        <f t="shared" si="375"/>
        <v>150</v>
      </c>
      <c r="GF96" s="418">
        <f t="shared" si="376"/>
        <v>150</v>
      </c>
      <c r="GG96" s="418">
        <f t="shared" si="376"/>
        <v>150</v>
      </c>
      <c r="GH96" s="418">
        <f t="shared" si="376"/>
        <v>150</v>
      </c>
      <c r="GI96" s="418">
        <f t="shared" si="376"/>
        <v>150</v>
      </c>
      <c r="GJ96" s="418">
        <f t="shared" si="376"/>
        <v>150</v>
      </c>
      <c r="GK96" s="418">
        <f t="shared" si="376"/>
        <v>150</v>
      </c>
      <c r="GL96" s="418">
        <f t="shared" si="376"/>
        <v>150</v>
      </c>
      <c r="GM96" s="418">
        <f t="shared" si="376"/>
        <v>150</v>
      </c>
      <c r="GN96" s="418">
        <f t="shared" si="376"/>
        <v>150</v>
      </c>
      <c r="GO96" s="418">
        <f t="shared" si="376"/>
        <v>150</v>
      </c>
      <c r="GP96" s="418">
        <f t="shared" si="377"/>
        <v>150</v>
      </c>
      <c r="GQ96" s="418">
        <f t="shared" si="377"/>
        <v>150</v>
      </c>
      <c r="GR96" s="418">
        <f t="shared" si="377"/>
        <v>150</v>
      </c>
      <c r="GS96" s="418">
        <f t="shared" si="377"/>
        <v>150</v>
      </c>
      <c r="GT96" s="418">
        <f t="shared" si="377"/>
        <v>150</v>
      </c>
      <c r="GU96" s="418">
        <f t="shared" si="377"/>
        <v>150</v>
      </c>
      <c r="GV96" s="418">
        <f t="shared" si="377"/>
        <v>150</v>
      </c>
      <c r="GW96" s="418">
        <f t="shared" si="377"/>
        <v>150</v>
      </c>
      <c r="GX96" s="418">
        <f t="shared" si="377"/>
        <v>150</v>
      </c>
      <c r="GY96" s="418">
        <f t="shared" si="377"/>
        <v>150</v>
      </c>
      <c r="GZ96" s="418">
        <f t="shared" si="378"/>
        <v>150</v>
      </c>
      <c r="HA96" s="418">
        <f t="shared" si="378"/>
        <v>150</v>
      </c>
      <c r="HB96" s="418">
        <f t="shared" si="378"/>
        <v>150</v>
      </c>
      <c r="HC96" s="418">
        <f t="shared" si="378"/>
        <v>150</v>
      </c>
      <c r="HD96" s="418">
        <f t="shared" si="378"/>
        <v>150</v>
      </c>
      <c r="HE96" s="418">
        <f t="shared" si="378"/>
        <v>150</v>
      </c>
      <c r="HF96" s="418">
        <f t="shared" si="378"/>
        <v>150</v>
      </c>
      <c r="HG96" s="418">
        <f t="shared" si="378"/>
        <v>150</v>
      </c>
      <c r="HH96" s="418">
        <f t="shared" si="378"/>
        <v>150</v>
      </c>
      <c r="HI96" s="418">
        <f t="shared" ref="HI96:JT99" si="379">(HI$3&gt;=$ER96)*$EQ96</f>
        <v>150</v>
      </c>
      <c r="HJ96" s="418">
        <f t="shared" si="379"/>
        <v>150</v>
      </c>
      <c r="HK96" s="418">
        <f t="shared" si="379"/>
        <v>150</v>
      </c>
      <c r="HL96" s="418">
        <f t="shared" si="379"/>
        <v>150</v>
      </c>
      <c r="HM96" s="418">
        <f t="shared" si="379"/>
        <v>150</v>
      </c>
      <c r="HN96" s="418">
        <f t="shared" si="379"/>
        <v>150</v>
      </c>
      <c r="HO96" s="418">
        <f t="shared" si="379"/>
        <v>150</v>
      </c>
      <c r="HP96" s="418">
        <f t="shared" si="379"/>
        <v>150</v>
      </c>
      <c r="HQ96" s="418">
        <f t="shared" si="379"/>
        <v>150</v>
      </c>
      <c r="HR96" s="418">
        <f t="shared" si="379"/>
        <v>150</v>
      </c>
      <c r="HS96" s="418">
        <f t="shared" si="379"/>
        <v>150</v>
      </c>
      <c r="HT96" s="418">
        <f t="shared" si="379"/>
        <v>150</v>
      </c>
      <c r="HU96" s="418">
        <f t="shared" si="379"/>
        <v>150</v>
      </c>
      <c r="HV96" s="418">
        <f t="shared" si="379"/>
        <v>150</v>
      </c>
      <c r="HW96" s="418">
        <f t="shared" si="379"/>
        <v>150</v>
      </c>
      <c r="HX96" s="418">
        <f t="shared" si="379"/>
        <v>150</v>
      </c>
      <c r="HY96" s="418">
        <f t="shared" si="379"/>
        <v>150</v>
      </c>
      <c r="HZ96" s="418">
        <f t="shared" si="379"/>
        <v>150</v>
      </c>
      <c r="IA96" s="418">
        <f t="shared" si="379"/>
        <v>150</v>
      </c>
      <c r="IB96" s="418">
        <f t="shared" si="379"/>
        <v>150</v>
      </c>
      <c r="IC96" s="418">
        <f t="shared" si="379"/>
        <v>150</v>
      </c>
      <c r="ID96" s="418">
        <f t="shared" si="379"/>
        <v>150</v>
      </c>
      <c r="IE96" s="418">
        <f t="shared" si="379"/>
        <v>150</v>
      </c>
      <c r="IF96" s="418">
        <f t="shared" si="379"/>
        <v>150</v>
      </c>
      <c r="IG96" s="418">
        <f t="shared" si="379"/>
        <v>150</v>
      </c>
      <c r="IH96" s="418">
        <f t="shared" si="379"/>
        <v>150</v>
      </c>
      <c r="II96" s="418">
        <f t="shared" si="379"/>
        <v>150</v>
      </c>
      <c r="IJ96" s="418">
        <f t="shared" si="379"/>
        <v>150</v>
      </c>
      <c r="IK96" s="418">
        <f t="shared" si="379"/>
        <v>150</v>
      </c>
      <c r="IL96" s="418">
        <f t="shared" si="379"/>
        <v>150</v>
      </c>
      <c r="IM96" s="418">
        <f t="shared" si="379"/>
        <v>150</v>
      </c>
      <c r="IN96" s="418">
        <f t="shared" si="379"/>
        <v>150</v>
      </c>
      <c r="IO96" s="418">
        <f t="shared" si="379"/>
        <v>150</v>
      </c>
      <c r="IP96" s="418">
        <f t="shared" si="379"/>
        <v>150</v>
      </c>
      <c r="IQ96" s="418">
        <f t="shared" si="379"/>
        <v>150</v>
      </c>
      <c r="IR96" s="418">
        <f t="shared" si="379"/>
        <v>150</v>
      </c>
      <c r="IS96" s="418">
        <f t="shared" si="379"/>
        <v>150</v>
      </c>
      <c r="IT96" s="418">
        <f t="shared" si="379"/>
        <v>150</v>
      </c>
      <c r="IU96" s="418">
        <f t="shared" si="379"/>
        <v>150</v>
      </c>
      <c r="IV96" s="418">
        <f t="shared" si="379"/>
        <v>150</v>
      </c>
      <c r="IW96" s="418">
        <f t="shared" si="379"/>
        <v>150</v>
      </c>
      <c r="IX96" s="418">
        <f t="shared" si="379"/>
        <v>150</v>
      </c>
      <c r="IY96" s="418">
        <f t="shared" si="379"/>
        <v>150</v>
      </c>
      <c r="IZ96" s="418">
        <f t="shared" si="379"/>
        <v>150</v>
      </c>
      <c r="JA96" s="418">
        <f t="shared" si="379"/>
        <v>150</v>
      </c>
      <c r="JB96" s="418">
        <f t="shared" si="379"/>
        <v>150</v>
      </c>
      <c r="JC96" s="418">
        <f t="shared" si="379"/>
        <v>150</v>
      </c>
      <c r="JD96" s="418">
        <f t="shared" si="379"/>
        <v>150</v>
      </c>
      <c r="JE96" s="418">
        <f t="shared" si="379"/>
        <v>150</v>
      </c>
      <c r="JF96" s="418">
        <f t="shared" si="379"/>
        <v>150</v>
      </c>
      <c r="JG96" s="418">
        <f t="shared" si="379"/>
        <v>150</v>
      </c>
      <c r="JH96" s="418">
        <f t="shared" si="379"/>
        <v>150</v>
      </c>
      <c r="JI96" s="418">
        <f t="shared" si="379"/>
        <v>150</v>
      </c>
      <c r="JJ96" s="418">
        <f t="shared" si="379"/>
        <v>150</v>
      </c>
      <c r="JK96" s="418">
        <f t="shared" si="379"/>
        <v>150</v>
      </c>
      <c r="JL96" s="418">
        <f t="shared" si="379"/>
        <v>150</v>
      </c>
      <c r="JM96" s="418">
        <f t="shared" si="379"/>
        <v>150</v>
      </c>
      <c r="JN96" s="418">
        <f t="shared" si="379"/>
        <v>150</v>
      </c>
      <c r="JO96" s="418">
        <f t="shared" si="379"/>
        <v>150</v>
      </c>
      <c r="JP96" s="418">
        <f t="shared" si="379"/>
        <v>150</v>
      </c>
      <c r="JQ96" s="418">
        <f t="shared" si="379"/>
        <v>150</v>
      </c>
      <c r="JR96" s="418">
        <f t="shared" si="379"/>
        <v>150</v>
      </c>
      <c r="JS96" s="418">
        <f t="shared" si="379"/>
        <v>150</v>
      </c>
      <c r="JT96" s="418">
        <f t="shared" si="379"/>
        <v>150</v>
      </c>
      <c r="JU96" s="418">
        <f t="shared" si="354"/>
        <v>150</v>
      </c>
      <c r="JV96" s="418">
        <f t="shared" si="354"/>
        <v>150</v>
      </c>
      <c r="JW96" s="418">
        <f t="shared" si="354"/>
        <v>150</v>
      </c>
      <c r="JX96" s="418">
        <f t="shared" si="354"/>
        <v>150</v>
      </c>
      <c r="JY96"/>
      <c r="JZ96" s="219" t="str">
        <f t="shared" si="371"/>
        <v>Flexible Retail/F&amp;B</v>
      </c>
      <c r="KA96" s="418">
        <f t="shared" si="355"/>
        <v>90000</v>
      </c>
      <c r="KB96" s="197">
        <f t="shared" si="356"/>
        <v>28</v>
      </c>
      <c r="KC96" s="206">
        <f t="shared" si="357"/>
        <v>3.5000000000000003E-2</v>
      </c>
      <c r="KD96" s="213" t="str">
        <f t="shared" si="327"/>
        <v>Annual</v>
      </c>
      <c r="KE96" s="470">
        <f>IF(KD96="",1,IFERROR(MAX(1,INDEX(Data!$H$24:$H$33,MATCH(KD96,Data!$G$24:$G$33,0))),1))</f>
        <v>1</v>
      </c>
      <c r="KF96" s="263"/>
      <c r="KG96" s="471">
        <f t="shared" si="372"/>
        <v>0</v>
      </c>
      <c r="KH96" s="471">
        <f t="shared" si="358"/>
        <v>0</v>
      </c>
      <c r="KI96" s="471">
        <f t="shared" si="358"/>
        <v>0</v>
      </c>
      <c r="KJ96" s="471">
        <f t="shared" si="358"/>
        <v>0</v>
      </c>
      <c r="KK96" s="471">
        <f t="shared" si="358"/>
        <v>0</v>
      </c>
      <c r="KL96" s="471">
        <f t="shared" si="358"/>
        <v>0</v>
      </c>
      <c r="KM96" s="471">
        <f t="shared" si="358"/>
        <v>0</v>
      </c>
      <c r="KN96" s="471">
        <f t="shared" si="358"/>
        <v>0</v>
      </c>
      <c r="KO96" s="471">
        <f t="shared" si="358"/>
        <v>0</v>
      </c>
      <c r="KP96" s="471">
        <f t="shared" si="358"/>
        <v>0</v>
      </c>
      <c r="KQ96" s="471">
        <f t="shared" si="358"/>
        <v>0</v>
      </c>
      <c r="KR96" s="471">
        <f t="shared" si="358"/>
        <v>0</v>
      </c>
      <c r="KS96" s="471">
        <f t="shared" si="358"/>
        <v>0</v>
      </c>
      <c r="KT96" s="471">
        <f t="shared" si="358"/>
        <v>0</v>
      </c>
      <c r="KU96" s="471">
        <f t="shared" si="358"/>
        <v>0</v>
      </c>
      <c r="KV96" s="471">
        <f t="shared" si="358"/>
        <v>0</v>
      </c>
      <c r="KW96" s="471">
        <f t="shared" si="358"/>
        <v>0</v>
      </c>
      <c r="KX96" s="471">
        <f t="shared" si="359"/>
        <v>0</v>
      </c>
      <c r="KY96" s="471">
        <f t="shared" si="359"/>
        <v>0</v>
      </c>
      <c r="KZ96" s="471">
        <f t="shared" si="359"/>
        <v>0</v>
      </c>
      <c r="LA96" s="471">
        <f t="shared" si="359"/>
        <v>0</v>
      </c>
      <c r="LB96" s="471">
        <f t="shared" si="359"/>
        <v>0</v>
      </c>
      <c r="LC96" s="471">
        <f t="shared" si="359"/>
        <v>0</v>
      </c>
      <c r="LD96" s="471">
        <f t="shared" si="359"/>
        <v>0</v>
      </c>
      <c r="LE96" s="471">
        <f t="shared" si="359"/>
        <v>0</v>
      </c>
      <c r="LF96" s="471">
        <f t="shared" si="359"/>
        <v>0</v>
      </c>
      <c r="LG96" s="471">
        <f t="shared" si="359"/>
        <v>0</v>
      </c>
      <c r="LH96" s="471">
        <f t="shared" si="359"/>
        <v>7500</v>
      </c>
      <c r="LI96" s="471">
        <f t="shared" si="359"/>
        <v>7500</v>
      </c>
      <c r="LJ96" s="471">
        <f t="shared" si="359"/>
        <v>7500</v>
      </c>
      <c r="LK96" s="471">
        <f t="shared" si="359"/>
        <v>7500</v>
      </c>
      <c r="LL96" s="471">
        <f t="shared" si="359"/>
        <v>7500</v>
      </c>
      <c r="LM96" s="471">
        <f t="shared" si="359"/>
        <v>7500</v>
      </c>
      <c r="LN96" s="471">
        <f t="shared" si="360"/>
        <v>7500</v>
      </c>
      <c r="LO96" s="471">
        <f t="shared" si="360"/>
        <v>7500</v>
      </c>
      <c r="LP96" s="471">
        <f t="shared" si="360"/>
        <v>7500</v>
      </c>
      <c r="LQ96" s="471">
        <f t="shared" si="360"/>
        <v>7500</v>
      </c>
      <c r="LR96" s="471">
        <f t="shared" si="360"/>
        <v>7500</v>
      </c>
      <c r="LS96" s="471">
        <f t="shared" si="360"/>
        <v>7500</v>
      </c>
      <c r="LT96" s="471">
        <f t="shared" si="360"/>
        <v>7762.4999999999991</v>
      </c>
      <c r="LU96" s="471">
        <f t="shared" si="360"/>
        <v>7762.4999999999991</v>
      </c>
      <c r="LV96" s="471">
        <f t="shared" si="360"/>
        <v>7762.4999999999991</v>
      </c>
      <c r="LW96" s="471">
        <f t="shared" si="360"/>
        <v>7762.4999999999991</v>
      </c>
      <c r="LX96" s="471">
        <f t="shared" si="360"/>
        <v>7762.4999999999991</v>
      </c>
      <c r="LY96" s="471">
        <f t="shared" si="360"/>
        <v>7762.4999999999991</v>
      </c>
      <c r="LZ96" s="471">
        <f t="shared" si="360"/>
        <v>7762.4999999999991</v>
      </c>
      <c r="MA96" s="471">
        <f t="shared" si="360"/>
        <v>7762.4999999999991</v>
      </c>
      <c r="MB96" s="471">
        <f t="shared" si="360"/>
        <v>7762.4999999999991</v>
      </c>
      <c r="MC96" s="471">
        <f t="shared" si="360"/>
        <v>7762.4999999999991</v>
      </c>
      <c r="MD96" s="471">
        <f t="shared" si="361"/>
        <v>7762.4999999999991</v>
      </c>
      <c r="ME96" s="471">
        <f t="shared" si="361"/>
        <v>7762.4999999999991</v>
      </c>
      <c r="MF96" s="471">
        <f t="shared" si="361"/>
        <v>8034.1874999999991</v>
      </c>
      <c r="MG96" s="471">
        <f t="shared" si="361"/>
        <v>8034.1874999999991</v>
      </c>
      <c r="MH96" s="471">
        <f t="shared" si="361"/>
        <v>8034.1874999999991</v>
      </c>
      <c r="MI96" s="471">
        <f t="shared" si="361"/>
        <v>8034.1874999999991</v>
      </c>
      <c r="MJ96" s="471">
        <f t="shared" si="361"/>
        <v>8034.1874999999991</v>
      </c>
      <c r="MK96" s="471">
        <f t="shared" si="361"/>
        <v>8034.1874999999991</v>
      </c>
      <c r="ML96" s="471">
        <f t="shared" si="361"/>
        <v>8034.1874999999991</v>
      </c>
      <c r="MM96" s="471">
        <f t="shared" si="361"/>
        <v>8034.1874999999991</v>
      </c>
      <c r="MN96" s="471">
        <f t="shared" si="361"/>
        <v>8034.1874999999991</v>
      </c>
      <c r="MO96" s="471">
        <f t="shared" si="361"/>
        <v>8034.1874999999991</v>
      </c>
      <c r="MP96" s="471">
        <f t="shared" si="361"/>
        <v>8034.1874999999991</v>
      </c>
      <c r="MQ96" s="471">
        <f t="shared" si="361"/>
        <v>8034.1874999999991</v>
      </c>
      <c r="MR96" s="471">
        <f t="shared" si="361"/>
        <v>8315.3840624999975</v>
      </c>
      <c r="MS96" s="471">
        <f t="shared" si="361"/>
        <v>8315.3840624999975</v>
      </c>
      <c r="MT96" s="471">
        <f t="shared" si="362"/>
        <v>8315.3840624999975</v>
      </c>
      <c r="MU96" s="471">
        <f t="shared" si="362"/>
        <v>8315.3840624999975</v>
      </c>
      <c r="MV96" s="471">
        <f t="shared" si="362"/>
        <v>8315.3840624999975</v>
      </c>
      <c r="MW96" s="471">
        <f t="shared" si="362"/>
        <v>8315.3840624999975</v>
      </c>
      <c r="MX96" s="471">
        <f t="shared" si="362"/>
        <v>8315.3840624999975</v>
      </c>
      <c r="MY96" s="471">
        <f t="shared" si="362"/>
        <v>8315.3840624999975</v>
      </c>
      <c r="MZ96" s="471">
        <f t="shared" si="362"/>
        <v>8315.3840624999975</v>
      </c>
      <c r="NA96" s="471">
        <f t="shared" si="362"/>
        <v>8315.3840624999975</v>
      </c>
      <c r="NB96" s="471">
        <f t="shared" si="362"/>
        <v>8315.3840624999975</v>
      </c>
      <c r="NC96" s="471">
        <f t="shared" si="362"/>
        <v>8315.3840624999975</v>
      </c>
      <c r="ND96" s="471">
        <f t="shared" si="362"/>
        <v>8606.4225046874981</v>
      </c>
      <c r="NE96" s="471">
        <f t="shared" si="362"/>
        <v>8606.4225046874981</v>
      </c>
      <c r="NF96" s="471">
        <f t="shared" si="362"/>
        <v>8606.4225046874981</v>
      </c>
      <c r="NG96" s="471">
        <f t="shared" si="362"/>
        <v>8606.4225046874981</v>
      </c>
      <c r="NH96" s="471">
        <f t="shared" si="362"/>
        <v>8606.4225046874981</v>
      </c>
      <c r="NI96" s="471">
        <f t="shared" si="362"/>
        <v>8606.4225046874981</v>
      </c>
      <c r="NJ96" s="471">
        <f t="shared" si="363"/>
        <v>8606.4225046874981</v>
      </c>
      <c r="NK96" s="471">
        <f t="shared" si="363"/>
        <v>8606.4225046874981</v>
      </c>
      <c r="NL96" s="471">
        <f t="shared" si="363"/>
        <v>8606.4225046874981</v>
      </c>
      <c r="NM96" s="471">
        <f t="shared" si="363"/>
        <v>8606.4225046874981</v>
      </c>
      <c r="NN96" s="471">
        <f t="shared" si="363"/>
        <v>8606.4225046874981</v>
      </c>
      <c r="NO96" s="471">
        <f t="shared" si="363"/>
        <v>8606.4225046874981</v>
      </c>
      <c r="NP96" s="471">
        <f t="shared" si="363"/>
        <v>8907.6472923515594</v>
      </c>
      <c r="NQ96" s="471">
        <f t="shared" si="363"/>
        <v>8907.6472923515594</v>
      </c>
      <c r="NR96" s="471">
        <f t="shared" si="363"/>
        <v>8907.6472923515594</v>
      </c>
      <c r="NS96" s="471">
        <f t="shared" si="363"/>
        <v>8907.6472923515594</v>
      </c>
      <c r="NT96" s="471">
        <f t="shared" si="363"/>
        <v>8907.6472923515594</v>
      </c>
      <c r="NU96" s="471">
        <f t="shared" si="363"/>
        <v>8907.6472923515594</v>
      </c>
      <c r="NV96" s="471">
        <f t="shared" si="363"/>
        <v>8907.6472923515594</v>
      </c>
      <c r="NW96" s="471">
        <f t="shared" si="363"/>
        <v>8907.6472923515594</v>
      </c>
      <c r="NX96" s="471">
        <f t="shared" si="363"/>
        <v>8907.6472923515594</v>
      </c>
      <c r="NY96" s="471">
        <f t="shared" si="363"/>
        <v>8907.6472923515594</v>
      </c>
      <c r="NZ96" s="471">
        <f t="shared" si="364"/>
        <v>8907.6472923515594</v>
      </c>
      <c r="OA96" s="471">
        <f t="shared" si="364"/>
        <v>8907.6472923515594</v>
      </c>
      <c r="OB96" s="471">
        <f t="shared" si="364"/>
        <v>9219.414947583864</v>
      </c>
      <c r="OC96" s="471">
        <f t="shared" si="364"/>
        <v>9219.414947583864</v>
      </c>
      <c r="OD96" s="471">
        <f t="shared" si="364"/>
        <v>9219.414947583864</v>
      </c>
      <c r="OE96" s="471">
        <f t="shared" si="364"/>
        <v>9219.414947583864</v>
      </c>
      <c r="OF96" s="471">
        <f t="shared" si="364"/>
        <v>9219.414947583864</v>
      </c>
      <c r="OG96" s="471">
        <f t="shared" si="364"/>
        <v>9219.414947583864</v>
      </c>
      <c r="OH96" s="471">
        <f t="shared" si="364"/>
        <v>9219.414947583864</v>
      </c>
      <c r="OI96" s="471">
        <f t="shared" si="364"/>
        <v>9219.414947583864</v>
      </c>
      <c r="OJ96" s="471">
        <f t="shared" si="364"/>
        <v>9219.414947583864</v>
      </c>
      <c r="OK96" s="471">
        <f t="shared" si="364"/>
        <v>9219.414947583864</v>
      </c>
      <c r="OL96" s="471">
        <f t="shared" si="364"/>
        <v>9219.414947583864</v>
      </c>
      <c r="OM96" s="471">
        <f t="shared" si="364"/>
        <v>9219.414947583864</v>
      </c>
      <c r="ON96" s="471">
        <f t="shared" si="364"/>
        <v>9542.0944707492981</v>
      </c>
      <c r="OO96" s="471">
        <f t="shared" si="364"/>
        <v>9542.0944707492981</v>
      </c>
      <c r="OP96" s="471">
        <f t="shared" si="365"/>
        <v>9542.0944707492981</v>
      </c>
      <c r="OQ96" s="471">
        <f t="shared" si="365"/>
        <v>9542.0944707492981</v>
      </c>
      <c r="OR96" s="471">
        <f t="shared" si="365"/>
        <v>9542.0944707492981</v>
      </c>
      <c r="OS96" s="471">
        <f t="shared" si="365"/>
        <v>9542.0944707492981</v>
      </c>
      <c r="OT96" s="471">
        <f t="shared" si="365"/>
        <v>9542.0944707492981</v>
      </c>
      <c r="OU96" s="471">
        <f t="shared" si="365"/>
        <v>9542.0944707492981</v>
      </c>
      <c r="OV96" s="471">
        <f t="shared" si="365"/>
        <v>9542.0944707492981</v>
      </c>
      <c r="OW96" s="471">
        <f t="shared" si="365"/>
        <v>9542.0944707492981</v>
      </c>
      <c r="OX96" s="471">
        <f t="shared" si="365"/>
        <v>9542.0944707492981</v>
      </c>
      <c r="OY96" s="471">
        <f t="shared" si="365"/>
        <v>9542.0944707492981</v>
      </c>
      <c r="OZ96" s="471">
        <f t="shared" si="365"/>
        <v>9876.0677772255221</v>
      </c>
      <c r="PA96" s="471">
        <f t="shared" si="365"/>
        <v>9876.0677772255221</v>
      </c>
      <c r="PB96" s="471">
        <f t="shared" si="365"/>
        <v>9876.0677772255221</v>
      </c>
      <c r="PC96" s="471">
        <f t="shared" si="365"/>
        <v>9876.0677772255221</v>
      </c>
      <c r="PD96" s="471">
        <f t="shared" si="365"/>
        <v>9876.0677772255221</v>
      </c>
      <c r="PE96" s="471">
        <f t="shared" si="365"/>
        <v>9876.0677772255221</v>
      </c>
      <c r="PF96" s="471">
        <f t="shared" si="366"/>
        <v>9876.0677772255221</v>
      </c>
      <c r="PG96" s="471">
        <f t="shared" si="366"/>
        <v>9876.0677772255221</v>
      </c>
      <c r="PH96" s="471">
        <f t="shared" si="366"/>
        <v>9876.0677772255221</v>
      </c>
    </row>
    <row r="97" spans="1:424" x14ac:dyDescent="0.35">
      <c r="A97"/>
      <c r="B97" s="469" t="s">
        <v>253</v>
      </c>
      <c r="C97" s="469" t="s">
        <v>253</v>
      </c>
      <c r="D97" s="45">
        <v>25</v>
      </c>
      <c r="E97" s="837">
        <f>'URWLD COMPANY INPUTS'!$F$398</f>
        <v>4000</v>
      </c>
      <c r="F97" s="45">
        <f t="shared" si="332"/>
        <v>28</v>
      </c>
      <c r="G97" s="838">
        <f>IF('INPUT REGISTER'!$F$290="","",'INPUT REGISTER'!$F$290)</f>
        <v>3.5000000000000003E-2</v>
      </c>
      <c r="H97" s="843">
        <f>'INPUT REGISTER'!$F$676</f>
        <v>500</v>
      </c>
      <c r="I97" s="424">
        <f t="shared" si="333"/>
        <v>2000000</v>
      </c>
      <c r="J97"/>
      <c r="K97" s="286" t="s">
        <v>247</v>
      </c>
      <c r="L97" s="75">
        <f t="shared" si="334"/>
        <v>0</v>
      </c>
      <c r="M97" s="417">
        <f t="shared" si="334"/>
        <v>0</v>
      </c>
      <c r="N97" s="417">
        <f t="shared" si="334"/>
        <v>0</v>
      </c>
      <c r="O97" s="417">
        <f t="shared" si="334"/>
        <v>0</v>
      </c>
      <c r="P97" s="417">
        <f t="shared" si="334"/>
        <v>0</v>
      </c>
      <c r="Q97" s="417">
        <f t="shared" si="334"/>
        <v>0</v>
      </c>
      <c r="R97" s="417">
        <f t="shared" si="334"/>
        <v>0</v>
      </c>
      <c r="S97" s="417">
        <f t="shared" si="334"/>
        <v>0</v>
      </c>
      <c r="T97" s="417">
        <f t="shared" si="334"/>
        <v>0</v>
      </c>
      <c r="U97" s="417">
        <f t="shared" si="334"/>
        <v>0</v>
      </c>
      <c r="V97" s="417">
        <f t="shared" si="335"/>
        <v>0</v>
      </c>
      <c r="W97" s="417">
        <f t="shared" si="335"/>
        <v>0</v>
      </c>
      <c r="X97" s="417">
        <f t="shared" si="335"/>
        <v>0</v>
      </c>
      <c r="Y97" s="417">
        <f t="shared" si="335"/>
        <v>0</v>
      </c>
      <c r="Z97" s="417">
        <f t="shared" si="335"/>
        <v>0</v>
      </c>
      <c r="AA97" s="417">
        <f t="shared" si="335"/>
        <v>0</v>
      </c>
      <c r="AB97" s="417">
        <f t="shared" si="335"/>
        <v>0</v>
      </c>
      <c r="AC97" s="417">
        <f t="shared" si="335"/>
        <v>0</v>
      </c>
      <c r="AD97" s="417">
        <f t="shared" si="335"/>
        <v>0</v>
      </c>
      <c r="AE97" s="417">
        <f t="shared" si="335"/>
        <v>0</v>
      </c>
      <c r="AF97" s="417">
        <f t="shared" si="336"/>
        <v>0</v>
      </c>
      <c r="AG97" s="417">
        <f t="shared" si="336"/>
        <v>0</v>
      </c>
      <c r="AH97" s="417">
        <f t="shared" si="336"/>
        <v>0</v>
      </c>
      <c r="AI97" s="417">
        <f t="shared" si="336"/>
        <v>0</v>
      </c>
      <c r="AJ97" s="417">
        <f t="shared" si="336"/>
        <v>0</v>
      </c>
      <c r="AK97" s="417">
        <f t="shared" si="336"/>
        <v>0</v>
      </c>
      <c r="AL97" s="417">
        <f t="shared" si="336"/>
        <v>0</v>
      </c>
      <c r="AM97" s="417">
        <f t="shared" si="336"/>
        <v>0</v>
      </c>
      <c r="AN97" s="417">
        <f t="shared" si="336"/>
        <v>166666.66666666666</v>
      </c>
      <c r="AO97" s="417">
        <f t="shared" si="336"/>
        <v>166666.66666666666</v>
      </c>
      <c r="AP97" s="417">
        <f t="shared" si="337"/>
        <v>166666.66666666666</v>
      </c>
      <c r="AQ97" s="417">
        <f t="shared" si="337"/>
        <v>166666.66666666666</v>
      </c>
      <c r="AR97" s="417">
        <f t="shared" si="337"/>
        <v>166666.66666666666</v>
      </c>
      <c r="AS97" s="417">
        <f t="shared" si="337"/>
        <v>166666.66666666666</v>
      </c>
      <c r="AT97" s="417">
        <f t="shared" si="337"/>
        <v>166666.66666666666</v>
      </c>
      <c r="AU97" s="417">
        <f t="shared" si="337"/>
        <v>166666.66666666666</v>
      </c>
      <c r="AV97" s="417">
        <f t="shared" si="337"/>
        <v>166666.66666666666</v>
      </c>
      <c r="AW97" s="417">
        <f t="shared" si="337"/>
        <v>166666.66666666666</v>
      </c>
      <c r="AX97" s="417">
        <f t="shared" si="337"/>
        <v>166666.66666666666</v>
      </c>
      <c r="AY97" s="417">
        <f t="shared" si="337"/>
        <v>166666.66666666666</v>
      </c>
      <c r="AZ97" s="417">
        <f t="shared" si="338"/>
        <v>172499.99999999997</v>
      </c>
      <c r="BA97" s="417">
        <f t="shared" si="338"/>
        <v>172499.99999999997</v>
      </c>
      <c r="BB97" s="417">
        <f t="shared" si="338"/>
        <v>172499.99999999997</v>
      </c>
      <c r="BC97" s="417">
        <f t="shared" si="338"/>
        <v>172499.99999999997</v>
      </c>
      <c r="BD97" s="417">
        <f t="shared" si="338"/>
        <v>172499.99999999997</v>
      </c>
      <c r="BE97" s="417">
        <f t="shared" si="338"/>
        <v>172499.99999999997</v>
      </c>
      <c r="BF97" s="417">
        <f t="shared" si="338"/>
        <v>172499.99999999997</v>
      </c>
      <c r="BG97" s="417">
        <f t="shared" si="338"/>
        <v>172499.99999999997</v>
      </c>
      <c r="BH97" s="417">
        <f t="shared" si="338"/>
        <v>172499.99999999997</v>
      </c>
      <c r="BI97" s="417">
        <f t="shared" si="338"/>
        <v>172499.99999999997</v>
      </c>
      <c r="BJ97" s="417">
        <f t="shared" si="339"/>
        <v>172499.99999999997</v>
      </c>
      <c r="BK97" s="417">
        <f t="shared" si="339"/>
        <v>172499.99999999997</v>
      </c>
      <c r="BL97" s="417">
        <f t="shared" si="339"/>
        <v>178537.49999999997</v>
      </c>
      <c r="BM97" s="417">
        <f t="shared" si="339"/>
        <v>178537.49999999997</v>
      </c>
      <c r="BN97" s="417">
        <f t="shared" si="339"/>
        <v>178537.49999999997</v>
      </c>
      <c r="BO97" s="417">
        <f t="shared" si="339"/>
        <v>178537.49999999997</v>
      </c>
      <c r="BP97" s="417">
        <f t="shared" si="339"/>
        <v>178537.49999999997</v>
      </c>
      <c r="BQ97" s="417">
        <f t="shared" si="339"/>
        <v>178537.49999999997</v>
      </c>
      <c r="BR97" s="417">
        <f t="shared" si="339"/>
        <v>178537.49999999997</v>
      </c>
      <c r="BS97" s="417">
        <f t="shared" si="339"/>
        <v>178537.49999999997</v>
      </c>
      <c r="BT97" s="417">
        <f t="shared" si="340"/>
        <v>178537.49999999997</v>
      </c>
      <c r="BU97" s="417">
        <f t="shared" si="340"/>
        <v>178537.49999999997</v>
      </c>
      <c r="BV97" s="417">
        <f t="shared" si="340"/>
        <v>178537.49999999997</v>
      </c>
      <c r="BW97" s="417">
        <f t="shared" si="340"/>
        <v>178537.49999999997</v>
      </c>
      <c r="BX97" s="417">
        <f t="shared" si="340"/>
        <v>184786.31249999994</v>
      </c>
      <c r="BY97" s="417">
        <f t="shared" si="340"/>
        <v>184786.31249999994</v>
      </c>
      <c r="BZ97" s="417">
        <f t="shared" si="340"/>
        <v>184786.31249999994</v>
      </c>
      <c r="CA97" s="417">
        <f t="shared" si="340"/>
        <v>184786.31249999994</v>
      </c>
      <c r="CB97" s="417">
        <f t="shared" si="340"/>
        <v>184786.31249999994</v>
      </c>
      <c r="CC97" s="417">
        <f t="shared" si="340"/>
        <v>184786.31249999994</v>
      </c>
      <c r="CD97" s="417">
        <f t="shared" si="341"/>
        <v>184786.31249999994</v>
      </c>
      <c r="CE97" s="417">
        <f t="shared" si="341"/>
        <v>184786.31249999994</v>
      </c>
      <c r="CF97" s="417">
        <f t="shared" si="341"/>
        <v>184786.31249999994</v>
      </c>
      <c r="CG97" s="417">
        <f t="shared" si="341"/>
        <v>184786.31249999994</v>
      </c>
      <c r="CH97" s="417">
        <f t="shared" si="341"/>
        <v>184786.31249999994</v>
      </c>
      <c r="CI97" s="417">
        <f t="shared" si="341"/>
        <v>184786.31249999994</v>
      </c>
      <c r="CJ97" s="417">
        <f t="shared" si="341"/>
        <v>191253.83343749994</v>
      </c>
      <c r="CK97" s="417">
        <f t="shared" si="341"/>
        <v>191253.83343749994</v>
      </c>
      <c r="CL97" s="417">
        <f t="shared" si="341"/>
        <v>191253.83343749994</v>
      </c>
      <c r="CM97" s="417">
        <f t="shared" si="341"/>
        <v>191253.83343749994</v>
      </c>
      <c r="CN97" s="417">
        <f t="shared" si="342"/>
        <v>191253.83343749994</v>
      </c>
      <c r="CO97" s="417">
        <f t="shared" si="342"/>
        <v>191253.83343749994</v>
      </c>
      <c r="CP97" s="417">
        <f t="shared" si="342"/>
        <v>191253.83343749994</v>
      </c>
      <c r="CQ97" s="417">
        <f t="shared" si="342"/>
        <v>191253.83343749994</v>
      </c>
      <c r="CR97" s="417">
        <f t="shared" si="342"/>
        <v>191253.83343749994</v>
      </c>
      <c r="CS97" s="417">
        <f t="shared" si="342"/>
        <v>191253.83343749994</v>
      </c>
      <c r="CT97" s="417">
        <f t="shared" si="342"/>
        <v>191253.83343749994</v>
      </c>
      <c r="CU97" s="417">
        <f t="shared" si="342"/>
        <v>191253.83343749994</v>
      </c>
      <c r="CV97" s="417">
        <f t="shared" si="342"/>
        <v>197947.7176078124</v>
      </c>
      <c r="CW97" s="417">
        <f t="shared" si="342"/>
        <v>197947.7176078124</v>
      </c>
      <c r="CX97" s="417">
        <f t="shared" si="343"/>
        <v>197947.7176078124</v>
      </c>
      <c r="CY97" s="417">
        <f t="shared" si="343"/>
        <v>197947.7176078124</v>
      </c>
      <c r="CZ97" s="417">
        <f t="shared" si="343"/>
        <v>197947.7176078124</v>
      </c>
      <c r="DA97" s="417">
        <f t="shared" si="343"/>
        <v>197947.7176078124</v>
      </c>
      <c r="DB97" s="417">
        <f t="shared" si="343"/>
        <v>197947.7176078124</v>
      </c>
      <c r="DC97" s="417">
        <f t="shared" si="343"/>
        <v>197947.7176078124</v>
      </c>
      <c r="DD97" s="417">
        <f t="shared" si="343"/>
        <v>197947.7176078124</v>
      </c>
      <c r="DE97" s="417">
        <f t="shared" si="343"/>
        <v>197947.7176078124</v>
      </c>
      <c r="DF97" s="417">
        <f t="shared" si="343"/>
        <v>197947.7176078124</v>
      </c>
      <c r="DG97" s="417">
        <f t="shared" si="343"/>
        <v>197947.7176078124</v>
      </c>
      <c r="DH97" s="417">
        <f t="shared" si="344"/>
        <v>204875.88772408586</v>
      </c>
      <c r="DI97" s="417">
        <f t="shared" si="344"/>
        <v>204875.88772408586</v>
      </c>
      <c r="DJ97" s="417">
        <f t="shared" si="344"/>
        <v>204875.88772408586</v>
      </c>
      <c r="DK97" s="417">
        <f t="shared" si="344"/>
        <v>204875.88772408586</v>
      </c>
      <c r="DL97" s="417">
        <f t="shared" si="344"/>
        <v>204875.88772408586</v>
      </c>
      <c r="DM97" s="417">
        <f t="shared" si="344"/>
        <v>204875.88772408586</v>
      </c>
      <c r="DN97" s="417">
        <f t="shared" si="344"/>
        <v>204875.88772408586</v>
      </c>
      <c r="DO97" s="417">
        <f t="shared" si="344"/>
        <v>204875.88772408586</v>
      </c>
      <c r="DP97" s="417">
        <f t="shared" si="344"/>
        <v>204875.88772408586</v>
      </c>
      <c r="DQ97" s="417">
        <f t="shared" si="344"/>
        <v>204875.88772408586</v>
      </c>
      <c r="DR97" s="417">
        <f t="shared" si="345"/>
        <v>204875.88772408586</v>
      </c>
      <c r="DS97" s="417">
        <f t="shared" si="345"/>
        <v>204875.88772408586</v>
      </c>
      <c r="DT97" s="417">
        <f t="shared" si="345"/>
        <v>212046.54379442884</v>
      </c>
      <c r="DU97" s="417">
        <f t="shared" si="345"/>
        <v>212046.54379442884</v>
      </c>
      <c r="DV97" s="417">
        <f t="shared" si="345"/>
        <v>212046.54379442884</v>
      </c>
      <c r="DW97" s="417">
        <f t="shared" si="345"/>
        <v>212046.54379442884</v>
      </c>
      <c r="DX97" s="417">
        <f t="shared" si="345"/>
        <v>212046.54379442884</v>
      </c>
      <c r="DY97" s="417">
        <f t="shared" si="345"/>
        <v>212046.54379442884</v>
      </c>
      <c r="DZ97" s="417">
        <f t="shared" si="345"/>
        <v>212046.54379442884</v>
      </c>
      <c r="EA97" s="417">
        <f t="shared" si="345"/>
        <v>212046.54379442884</v>
      </c>
      <c r="EB97" s="417">
        <f t="shared" si="346"/>
        <v>212046.54379442884</v>
      </c>
      <c r="EC97" s="417">
        <f t="shared" si="346"/>
        <v>212046.54379442884</v>
      </c>
      <c r="ED97" s="417">
        <f t="shared" si="346"/>
        <v>212046.54379442884</v>
      </c>
      <c r="EE97" s="417">
        <f t="shared" si="346"/>
        <v>212046.54379442884</v>
      </c>
      <c r="EF97" s="417">
        <f t="shared" si="346"/>
        <v>219468.17282723379</v>
      </c>
      <c r="EG97" s="417">
        <f t="shared" si="346"/>
        <v>219468.17282723379</v>
      </c>
      <c r="EH97" s="417">
        <f t="shared" si="346"/>
        <v>219468.17282723379</v>
      </c>
      <c r="EI97" s="417">
        <f t="shared" si="346"/>
        <v>219468.17282723379</v>
      </c>
      <c r="EJ97" s="417">
        <f t="shared" si="346"/>
        <v>219468.17282723379</v>
      </c>
      <c r="EK97" s="417">
        <f t="shared" si="346"/>
        <v>219468.17282723379</v>
      </c>
      <c r="EL97" s="417">
        <f t="shared" si="346"/>
        <v>219468.17282723379</v>
      </c>
      <c r="EM97" s="417">
        <f t="shared" si="346"/>
        <v>219468.17282723379</v>
      </c>
      <c r="EN97" s="417">
        <f t="shared" si="346"/>
        <v>219468.17282723379</v>
      </c>
      <c r="EO97"/>
      <c r="EP97" s="219" t="str">
        <f t="shared" si="367"/>
        <v>Genesis Health &amp; Fitness</v>
      </c>
      <c r="EQ97" s="913">
        <f t="shared" si="368"/>
        <v>4000</v>
      </c>
      <c r="ER97" s="197">
        <f t="shared" si="369"/>
        <v>25</v>
      </c>
      <c r="ES97" s="18"/>
      <c r="ET97" s="18"/>
      <c r="EU97" s="18"/>
      <c r="EV97" s="418">
        <f t="shared" si="370"/>
        <v>0</v>
      </c>
      <c r="EW97" s="418">
        <f t="shared" si="373"/>
        <v>0</v>
      </c>
      <c r="EX97" s="418">
        <f t="shared" si="373"/>
        <v>0</v>
      </c>
      <c r="EY97" s="418">
        <f t="shared" si="373"/>
        <v>0</v>
      </c>
      <c r="EZ97" s="418">
        <f t="shared" si="373"/>
        <v>0</v>
      </c>
      <c r="FA97" s="418">
        <f t="shared" si="373"/>
        <v>0</v>
      </c>
      <c r="FB97" s="418">
        <f t="shared" si="373"/>
        <v>0</v>
      </c>
      <c r="FC97" s="418">
        <f t="shared" si="373"/>
        <v>0</v>
      </c>
      <c r="FD97" s="418">
        <f t="shared" si="373"/>
        <v>0</v>
      </c>
      <c r="FE97" s="418">
        <f t="shared" si="373"/>
        <v>0</v>
      </c>
      <c r="FF97" s="418">
        <f t="shared" si="373"/>
        <v>0</v>
      </c>
      <c r="FG97" s="418">
        <f t="shared" si="370"/>
        <v>0</v>
      </c>
      <c r="FH97" s="418">
        <f t="shared" si="370"/>
        <v>0</v>
      </c>
      <c r="FI97" s="418">
        <f t="shared" si="370"/>
        <v>0</v>
      </c>
      <c r="FJ97" s="418">
        <f t="shared" si="370"/>
        <v>0</v>
      </c>
      <c r="FK97" s="418">
        <f t="shared" si="370"/>
        <v>0</v>
      </c>
      <c r="FL97" s="418">
        <f t="shared" si="374"/>
        <v>0</v>
      </c>
      <c r="FM97" s="418">
        <f t="shared" si="374"/>
        <v>0</v>
      </c>
      <c r="FN97" s="418">
        <f t="shared" si="374"/>
        <v>0</v>
      </c>
      <c r="FO97" s="418">
        <f t="shared" si="374"/>
        <v>0</v>
      </c>
      <c r="FP97" s="418">
        <f t="shared" si="374"/>
        <v>0</v>
      </c>
      <c r="FQ97" s="418">
        <f t="shared" si="374"/>
        <v>0</v>
      </c>
      <c r="FR97" s="418">
        <f t="shared" si="374"/>
        <v>0</v>
      </c>
      <c r="FS97" s="418">
        <f t="shared" si="374"/>
        <v>0</v>
      </c>
      <c r="FT97" s="418">
        <f t="shared" si="374"/>
        <v>0</v>
      </c>
      <c r="FU97" s="418">
        <f t="shared" si="374"/>
        <v>4000</v>
      </c>
      <c r="FV97" s="418">
        <f t="shared" si="375"/>
        <v>4000</v>
      </c>
      <c r="FW97" s="418">
        <f t="shared" si="375"/>
        <v>4000</v>
      </c>
      <c r="FX97" s="418">
        <f t="shared" si="375"/>
        <v>4000</v>
      </c>
      <c r="FY97" s="418">
        <f t="shared" si="375"/>
        <v>4000</v>
      </c>
      <c r="FZ97" s="418">
        <f t="shared" si="375"/>
        <v>4000</v>
      </c>
      <c r="GA97" s="418">
        <f t="shared" si="375"/>
        <v>4000</v>
      </c>
      <c r="GB97" s="418">
        <f t="shared" si="375"/>
        <v>4000</v>
      </c>
      <c r="GC97" s="418">
        <f t="shared" si="375"/>
        <v>4000</v>
      </c>
      <c r="GD97" s="418">
        <f t="shared" si="375"/>
        <v>4000</v>
      </c>
      <c r="GE97" s="418">
        <f t="shared" si="375"/>
        <v>4000</v>
      </c>
      <c r="GF97" s="418">
        <f t="shared" si="376"/>
        <v>4000</v>
      </c>
      <c r="GG97" s="418">
        <f t="shared" si="376"/>
        <v>4000</v>
      </c>
      <c r="GH97" s="418">
        <f t="shared" si="376"/>
        <v>4000</v>
      </c>
      <c r="GI97" s="418">
        <f t="shared" si="376"/>
        <v>4000</v>
      </c>
      <c r="GJ97" s="418">
        <f t="shared" si="376"/>
        <v>4000</v>
      </c>
      <c r="GK97" s="418">
        <f t="shared" si="376"/>
        <v>4000</v>
      </c>
      <c r="GL97" s="418">
        <f t="shared" si="376"/>
        <v>4000</v>
      </c>
      <c r="GM97" s="418">
        <f t="shared" si="376"/>
        <v>4000</v>
      </c>
      <c r="GN97" s="418">
        <f t="shared" si="376"/>
        <v>4000</v>
      </c>
      <c r="GO97" s="418">
        <f t="shared" si="376"/>
        <v>4000</v>
      </c>
      <c r="GP97" s="418">
        <f t="shared" si="377"/>
        <v>4000</v>
      </c>
      <c r="GQ97" s="418">
        <f t="shared" si="377"/>
        <v>4000</v>
      </c>
      <c r="GR97" s="418">
        <f t="shared" si="377"/>
        <v>4000</v>
      </c>
      <c r="GS97" s="418">
        <f t="shared" si="377"/>
        <v>4000</v>
      </c>
      <c r="GT97" s="418">
        <f t="shared" si="377"/>
        <v>4000</v>
      </c>
      <c r="GU97" s="418">
        <f t="shared" si="377"/>
        <v>4000</v>
      </c>
      <c r="GV97" s="418">
        <f t="shared" si="377"/>
        <v>4000</v>
      </c>
      <c r="GW97" s="418">
        <f t="shared" si="377"/>
        <v>4000</v>
      </c>
      <c r="GX97" s="418">
        <f t="shared" si="377"/>
        <v>4000</v>
      </c>
      <c r="GY97" s="418">
        <f t="shared" si="377"/>
        <v>4000</v>
      </c>
      <c r="GZ97" s="418">
        <f t="shared" si="378"/>
        <v>4000</v>
      </c>
      <c r="HA97" s="418">
        <f t="shared" si="378"/>
        <v>4000</v>
      </c>
      <c r="HB97" s="418">
        <f t="shared" si="378"/>
        <v>4000</v>
      </c>
      <c r="HC97" s="418">
        <f t="shared" si="378"/>
        <v>4000</v>
      </c>
      <c r="HD97" s="418">
        <f t="shared" si="378"/>
        <v>4000</v>
      </c>
      <c r="HE97" s="418">
        <f t="shared" si="378"/>
        <v>4000</v>
      </c>
      <c r="HF97" s="418">
        <f t="shared" si="378"/>
        <v>4000</v>
      </c>
      <c r="HG97" s="418">
        <f t="shared" si="378"/>
        <v>4000</v>
      </c>
      <c r="HH97" s="418">
        <f t="shared" si="378"/>
        <v>4000</v>
      </c>
      <c r="HI97" s="418">
        <f t="shared" si="379"/>
        <v>4000</v>
      </c>
      <c r="HJ97" s="418">
        <f t="shared" si="379"/>
        <v>4000</v>
      </c>
      <c r="HK97" s="418">
        <f t="shared" si="379"/>
        <v>4000</v>
      </c>
      <c r="HL97" s="418">
        <f t="shared" si="379"/>
        <v>4000</v>
      </c>
      <c r="HM97" s="418">
        <f t="shared" si="379"/>
        <v>4000</v>
      </c>
      <c r="HN97" s="418">
        <f t="shared" si="379"/>
        <v>4000</v>
      </c>
      <c r="HO97" s="418">
        <f t="shared" si="379"/>
        <v>4000</v>
      </c>
      <c r="HP97" s="418">
        <f t="shared" si="379"/>
        <v>4000</v>
      </c>
      <c r="HQ97" s="418">
        <f t="shared" si="379"/>
        <v>4000</v>
      </c>
      <c r="HR97" s="418">
        <f t="shared" si="379"/>
        <v>4000</v>
      </c>
      <c r="HS97" s="418">
        <f t="shared" si="379"/>
        <v>4000</v>
      </c>
      <c r="HT97" s="418">
        <f t="shared" si="379"/>
        <v>4000</v>
      </c>
      <c r="HU97" s="418">
        <f t="shared" si="379"/>
        <v>4000</v>
      </c>
      <c r="HV97" s="418">
        <f t="shared" si="379"/>
        <v>4000</v>
      </c>
      <c r="HW97" s="418">
        <f t="shared" si="379"/>
        <v>4000</v>
      </c>
      <c r="HX97" s="418">
        <f t="shared" si="379"/>
        <v>4000</v>
      </c>
      <c r="HY97" s="418">
        <f t="shared" si="379"/>
        <v>4000</v>
      </c>
      <c r="HZ97" s="418">
        <f t="shared" si="379"/>
        <v>4000</v>
      </c>
      <c r="IA97" s="418">
        <f t="shared" si="379"/>
        <v>4000</v>
      </c>
      <c r="IB97" s="418">
        <f t="shared" si="379"/>
        <v>4000</v>
      </c>
      <c r="IC97" s="418">
        <f t="shared" si="379"/>
        <v>4000</v>
      </c>
      <c r="ID97" s="418">
        <f t="shared" si="379"/>
        <v>4000</v>
      </c>
      <c r="IE97" s="418">
        <f t="shared" si="379"/>
        <v>4000</v>
      </c>
      <c r="IF97" s="418">
        <f t="shared" si="379"/>
        <v>4000</v>
      </c>
      <c r="IG97" s="418">
        <f t="shared" si="379"/>
        <v>4000</v>
      </c>
      <c r="IH97" s="418">
        <f t="shared" si="379"/>
        <v>4000</v>
      </c>
      <c r="II97" s="418">
        <f t="shared" si="379"/>
        <v>4000</v>
      </c>
      <c r="IJ97" s="418">
        <f t="shared" si="379"/>
        <v>4000</v>
      </c>
      <c r="IK97" s="418">
        <f t="shared" si="379"/>
        <v>4000</v>
      </c>
      <c r="IL97" s="418">
        <f t="shared" si="379"/>
        <v>4000</v>
      </c>
      <c r="IM97" s="418">
        <f t="shared" si="379"/>
        <v>4000</v>
      </c>
      <c r="IN97" s="418">
        <f t="shared" si="379"/>
        <v>4000</v>
      </c>
      <c r="IO97" s="418">
        <f t="shared" si="379"/>
        <v>4000</v>
      </c>
      <c r="IP97" s="418">
        <f t="shared" si="379"/>
        <v>4000</v>
      </c>
      <c r="IQ97" s="418">
        <f t="shared" si="379"/>
        <v>4000</v>
      </c>
      <c r="IR97" s="418">
        <f t="shared" si="379"/>
        <v>4000</v>
      </c>
      <c r="IS97" s="418">
        <f t="shared" si="379"/>
        <v>4000</v>
      </c>
      <c r="IT97" s="418">
        <f t="shared" si="379"/>
        <v>4000</v>
      </c>
      <c r="IU97" s="418">
        <f t="shared" si="379"/>
        <v>4000</v>
      </c>
      <c r="IV97" s="418">
        <f t="shared" si="379"/>
        <v>4000</v>
      </c>
      <c r="IW97" s="418">
        <f t="shared" si="379"/>
        <v>4000</v>
      </c>
      <c r="IX97" s="418">
        <f t="shared" si="379"/>
        <v>4000</v>
      </c>
      <c r="IY97" s="418">
        <f t="shared" si="379"/>
        <v>4000</v>
      </c>
      <c r="IZ97" s="418">
        <f t="shared" si="379"/>
        <v>4000</v>
      </c>
      <c r="JA97" s="418">
        <f t="shared" si="379"/>
        <v>4000</v>
      </c>
      <c r="JB97" s="418">
        <f t="shared" si="379"/>
        <v>4000</v>
      </c>
      <c r="JC97" s="418">
        <f t="shared" si="379"/>
        <v>4000</v>
      </c>
      <c r="JD97" s="418">
        <f t="shared" si="379"/>
        <v>4000</v>
      </c>
      <c r="JE97" s="418">
        <f t="shared" si="379"/>
        <v>4000</v>
      </c>
      <c r="JF97" s="418">
        <f t="shared" si="379"/>
        <v>4000</v>
      </c>
      <c r="JG97" s="418">
        <f t="shared" si="379"/>
        <v>4000</v>
      </c>
      <c r="JH97" s="418">
        <f t="shared" si="379"/>
        <v>4000</v>
      </c>
      <c r="JI97" s="418">
        <f t="shared" si="379"/>
        <v>4000</v>
      </c>
      <c r="JJ97" s="418">
        <f t="shared" si="379"/>
        <v>4000</v>
      </c>
      <c r="JK97" s="418">
        <f t="shared" si="379"/>
        <v>4000</v>
      </c>
      <c r="JL97" s="418">
        <f t="shared" si="379"/>
        <v>4000</v>
      </c>
      <c r="JM97" s="418">
        <f t="shared" si="379"/>
        <v>4000</v>
      </c>
      <c r="JN97" s="418">
        <f t="shared" si="379"/>
        <v>4000</v>
      </c>
      <c r="JO97" s="418">
        <f t="shared" si="379"/>
        <v>4000</v>
      </c>
      <c r="JP97" s="418">
        <f t="shared" si="379"/>
        <v>4000</v>
      </c>
      <c r="JQ97" s="418">
        <f t="shared" si="379"/>
        <v>4000</v>
      </c>
      <c r="JR97" s="418">
        <f t="shared" si="379"/>
        <v>4000</v>
      </c>
      <c r="JS97" s="418">
        <f t="shared" si="379"/>
        <v>4000</v>
      </c>
      <c r="JT97" s="418">
        <f t="shared" si="379"/>
        <v>4000</v>
      </c>
      <c r="JU97" s="418">
        <f t="shared" si="354"/>
        <v>4000</v>
      </c>
      <c r="JV97" s="418">
        <f t="shared" si="354"/>
        <v>4000</v>
      </c>
      <c r="JW97" s="418">
        <f t="shared" si="354"/>
        <v>4000</v>
      </c>
      <c r="JX97" s="418">
        <f t="shared" si="354"/>
        <v>4000</v>
      </c>
      <c r="JY97"/>
      <c r="JZ97" s="219" t="str">
        <f t="shared" si="371"/>
        <v>Genesis Health &amp; Fitness</v>
      </c>
      <c r="KA97" s="418">
        <f t="shared" si="355"/>
        <v>2000000</v>
      </c>
      <c r="KB97" s="197">
        <f t="shared" si="356"/>
        <v>28</v>
      </c>
      <c r="KC97" s="206">
        <f t="shared" si="357"/>
        <v>3.5000000000000003E-2</v>
      </c>
      <c r="KD97" s="213" t="str">
        <f t="shared" si="327"/>
        <v>Annual</v>
      </c>
      <c r="KE97" s="470">
        <f>IF(KD97="",1,IFERROR(MAX(1,INDEX(Data!$H$24:$H$33,MATCH(KD97,Data!$G$24:$G$33,0))),1))</f>
        <v>1</v>
      </c>
      <c r="KF97" s="263"/>
      <c r="KG97" s="471">
        <f t="shared" si="372"/>
        <v>0</v>
      </c>
      <c r="KH97" s="471">
        <f t="shared" si="358"/>
        <v>0</v>
      </c>
      <c r="KI97" s="471">
        <f t="shared" si="358"/>
        <v>0</v>
      </c>
      <c r="KJ97" s="471">
        <f t="shared" si="358"/>
        <v>0</v>
      </c>
      <c r="KK97" s="471">
        <f t="shared" si="358"/>
        <v>0</v>
      </c>
      <c r="KL97" s="471">
        <f t="shared" si="358"/>
        <v>0</v>
      </c>
      <c r="KM97" s="471">
        <f t="shared" si="358"/>
        <v>0</v>
      </c>
      <c r="KN97" s="471">
        <f t="shared" si="358"/>
        <v>0</v>
      </c>
      <c r="KO97" s="471">
        <f t="shared" si="358"/>
        <v>0</v>
      </c>
      <c r="KP97" s="471">
        <f t="shared" si="358"/>
        <v>0</v>
      </c>
      <c r="KQ97" s="471">
        <f t="shared" si="358"/>
        <v>0</v>
      </c>
      <c r="KR97" s="471">
        <f t="shared" si="358"/>
        <v>0</v>
      </c>
      <c r="KS97" s="471">
        <f t="shared" si="358"/>
        <v>0</v>
      </c>
      <c r="KT97" s="471">
        <f t="shared" si="358"/>
        <v>0</v>
      </c>
      <c r="KU97" s="471">
        <f t="shared" si="358"/>
        <v>0</v>
      </c>
      <c r="KV97" s="471">
        <f t="shared" si="358"/>
        <v>0</v>
      </c>
      <c r="KW97" s="471">
        <f t="shared" si="358"/>
        <v>0</v>
      </c>
      <c r="KX97" s="471">
        <f t="shared" si="359"/>
        <v>0</v>
      </c>
      <c r="KY97" s="471">
        <f t="shared" si="359"/>
        <v>0</v>
      </c>
      <c r="KZ97" s="471">
        <f t="shared" si="359"/>
        <v>0</v>
      </c>
      <c r="LA97" s="471">
        <f t="shared" si="359"/>
        <v>0</v>
      </c>
      <c r="LB97" s="471">
        <f t="shared" si="359"/>
        <v>0</v>
      </c>
      <c r="LC97" s="471">
        <f t="shared" si="359"/>
        <v>0</v>
      </c>
      <c r="LD97" s="471">
        <f t="shared" si="359"/>
        <v>0</v>
      </c>
      <c r="LE97" s="471">
        <f t="shared" si="359"/>
        <v>0</v>
      </c>
      <c r="LF97" s="471">
        <f t="shared" si="359"/>
        <v>0</v>
      </c>
      <c r="LG97" s="471">
        <f t="shared" si="359"/>
        <v>0</v>
      </c>
      <c r="LH97" s="471">
        <f t="shared" si="359"/>
        <v>166666.66666666666</v>
      </c>
      <c r="LI97" s="471">
        <f t="shared" si="359"/>
        <v>166666.66666666666</v>
      </c>
      <c r="LJ97" s="471">
        <f t="shared" si="359"/>
        <v>166666.66666666666</v>
      </c>
      <c r="LK97" s="471">
        <f t="shared" si="359"/>
        <v>166666.66666666666</v>
      </c>
      <c r="LL97" s="471">
        <f t="shared" si="359"/>
        <v>166666.66666666666</v>
      </c>
      <c r="LM97" s="471">
        <f t="shared" si="359"/>
        <v>166666.66666666666</v>
      </c>
      <c r="LN97" s="471">
        <f t="shared" si="360"/>
        <v>166666.66666666666</v>
      </c>
      <c r="LO97" s="471">
        <f t="shared" si="360"/>
        <v>166666.66666666666</v>
      </c>
      <c r="LP97" s="471">
        <f t="shared" si="360"/>
        <v>166666.66666666666</v>
      </c>
      <c r="LQ97" s="471">
        <f t="shared" si="360"/>
        <v>166666.66666666666</v>
      </c>
      <c r="LR97" s="471">
        <f t="shared" si="360"/>
        <v>166666.66666666666</v>
      </c>
      <c r="LS97" s="471">
        <f t="shared" si="360"/>
        <v>166666.66666666666</v>
      </c>
      <c r="LT97" s="471">
        <f t="shared" si="360"/>
        <v>172499.99999999997</v>
      </c>
      <c r="LU97" s="471">
        <f t="shared" si="360"/>
        <v>172499.99999999997</v>
      </c>
      <c r="LV97" s="471">
        <f t="shared" si="360"/>
        <v>172499.99999999997</v>
      </c>
      <c r="LW97" s="471">
        <f t="shared" si="360"/>
        <v>172499.99999999997</v>
      </c>
      <c r="LX97" s="471">
        <f t="shared" si="360"/>
        <v>172499.99999999997</v>
      </c>
      <c r="LY97" s="471">
        <f t="shared" si="360"/>
        <v>172499.99999999997</v>
      </c>
      <c r="LZ97" s="471">
        <f t="shared" si="360"/>
        <v>172499.99999999997</v>
      </c>
      <c r="MA97" s="471">
        <f t="shared" si="360"/>
        <v>172499.99999999997</v>
      </c>
      <c r="MB97" s="471">
        <f t="shared" si="360"/>
        <v>172499.99999999997</v>
      </c>
      <c r="MC97" s="471">
        <f t="shared" si="360"/>
        <v>172499.99999999997</v>
      </c>
      <c r="MD97" s="471">
        <f t="shared" si="361"/>
        <v>172499.99999999997</v>
      </c>
      <c r="ME97" s="471">
        <f t="shared" si="361"/>
        <v>172499.99999999997</v>
      </c>
      <c r="MF97" s="471">
        <f t="shared" si="361"/>
        <v>178537.49999999997</v>
      </c>
      <c r="MG97" s="471">
        <f t="shared" si="361"/>
        <v>178537.49999999997</v>
      </c>
      <c r="MH97" s="471">
        <f t="shared" si="361"/>
        <v>178537.49999999997</v>
      </c>
      <c r="MI97" s="471">
        <f t="shared" si="361"/>
        <v>178537.49999999997</v>
      </c>
      <c r="MJ97" s="471">
        <f t="shared" si="361"/>
        <v>178537.49999999997</v>
      </c>
      <c r="MK97" s="471">
        <f t="shared" si="361"/>
        <v>178537.49999999997</v>
      </c>
      <c r="ML97" s="471">
        <f t="shared" si="361"/>
        <v>178537.49999999997</v>
      </c>
      <c r="MM97" s="471">
        <f t="shared" si="361"/>
        <v>178537.49999999997</v>
      </c>
      <c r="MN97" s="471">
        <f t="shared" si="361"/>
        <v>178537.49999999997</v>
      </c>
      <c r="MO97" s="471">
        <f t="shared" si="361"/>
        <v>178537.49999999997</v>
      </c>
      <c r="MP97" s="471">
        <f t="shared" si="361"/>
        <v>178537.49999999997</v>
      </c>
      <c r="MQ97" s="471">
        <f t="shared" si="361"/>
        <v>178537.49999999997</v>
      </c>
      <c r="MR97" s="471">
        <f t="shared" si="361"/>
        <v>184786.31249999994</v>
      </c>
      <c r="MS97" s="471">
        <f t="shared" si="361"/>
        <v>184786.31249999994</v>
      </c>
      <c r="MT97" s="471">
        <f t="shared" si="362"/>
        <v>184786.31249999994</v>
      </c>
      <c r="MU97" s="471">
        <f t="shared" si="362"/>
        <v>184786.31249999994</v>
      </c>
      <c r="MV97" s="471">
        <f t="shared" si="362"/>
        <v>184786.31249999994</v>
      </c>
      <c r="MW97" s="471">
        <f t="shared" si="362"/>
        <v>184786.31249999994</v>
      </c>
      <c r="MX97" s="471">
        <f t="shared" si="362"/>
        <v>184786.31249999994</v>
      </c>
      <c r="MY97" s="471">
        <f t="shared" si="362"/>
        <v>184786.31249999994</v>
      </c>
      <c r="MZ97" s="471">
        <f t="shared" si="362"/>
        <v>184786.31249999994</v>
      </c>
      <c r="NA97" s="471">
        <f t="shared" si="362"/>
        <v>184786.31249999994</v>
      </c>
      <c r="NB97" s="471">
        <f t="shared" si="362"/>
        <v>184786.31249999994</v>
      </c>
      <c r="NC97" s="471">
        <f t="shared" si="362"/>
        <v>184786.31249999994</v>
      </c>
      <c r="ND97" s="471">
        <f t="shared" si="362"/>
        <v>191253.83343749994</v>
      </c>
      <c r="NE97" s="471">
        <f t="shared" si="362"/>
        <v>191253.83343749994</v>
      </c>
      <c r="NF97" s="471">
        <f t="shared" si="362"/>
        <v>191253.83343749994</v>
      </c>
      <c r="NG97" s="471">
        <f t="shared" si="362"/>
        <v>191253.83343749994</v>
      </c>
      <c r="NH97" s="471">
        <f t="shared" si="362"/>
        <v>191253.83343749994</v>
      </c>
      <c r="NI97" s="471">
        <f t="shared" si="362"/>
        <v>191253.83343749994</v>
      </c>
      <c r="NJ97" s="471">
        <f t="shared" si="363"/>
        <v>191253.83343749994</v>
      </c>
      <c r="NK97" s="471">
        <f t="shared" si="363"/>
        <v>191253.83343749994</v>
      </c>
      <c r="NL97" s="471">
        <f t="shared" si="363"/>
        <v>191253.83343749994</v>
      </c>
      <c r="NM97" s="471">
        <f t="shared" si="363"/>
        <v>191253.83343749994</v>
      </c>
      <c r="NN97" s="471">
        <f t="shared" si="363"/>
        <v>191253.83343749994</v>
      </c>
      <c r="NO97" s="471">
        <f t="shared" si="363"/>
        <v>191253.83343749994</v>
      </c>
      <c r="NP97" s="471">
        <f t="shared" si="363"/>
        <v>197947.7176078124</v>
      </c>
      <c r="NQ97" s="471">
        <f t="shared" si="363"/>
        <v>197947.7176078124</v>
      </c>
      <c r="NR97" s="471">
        <f t="shared" si="363"/>
        <v>197947.7176078124</v>
      </c>
      <c r="NS97" s="471">
        <f t="shared" si="363"/>
        <v>197947.7176078124</v>
      </c>
      <c r="NT97" s="471">
        <f t="shared" si="363"/>
        <v>197947.7176078124</v>
      </c>
      <c r="NU97" s="471">
        <f t="shared" si="363"/>
        <v>197947.7176078124</v>
      </c>
      <c r="NV97" s="471">
        <f t="shared" si="363"/>
        <v>197947.7176078124</v>
      </c>
      <c r="NW97" s="471">
        <f t="shared" si="363"/>
        <v>197947.7176078124</v>
      </c>
      <c r="NX97" s="471">
        <f t="shared" si="363"/>
        <v>197947.7176078124</v>
      </c>
      <c r="NY97" s="471">
        <f t="shared" si="363"/>
        <v>197947.7176078124</v>
      </c>
      <c r="NZ97" s="471">
        <f t="shared" si="364"/>
        <v>197947.7176078124</v>
      </c>
      <c r="OA97" s="471">
        <f t="shared" si="364"/>
        <v>197947.7176078124</v>
      </c>
      <c r="OB97" s="471">
        <f t="shared" si="364"/>
        <v>204875.88772408586</v>
      </c>
      <c r="OC97" s="471">
        <f t="shared" si="364"/>
        <v>204875.88772408586</v>
      </c>
      <c r="OD97" s="471">
        <f t="shared" si="364"/>
        <v>204875.88772408586</v>
      </c>
      <c r="OE97" s="471">
        <f t="shared" si="364"/>
        <v>204875.88772408586</v>
      </c>
      <c r="OF97" s="471">
        <f t="shared" si="364"/>
        <v>204875.88772408586</v>
      </c>
      <c r="OG97" s="471">
        <f t="shared" si="364"/>
        <v>204875.88772408586</v>
      </c>
      <c r="OH97" s="471">
        <f t="shared" si="364"/>
        <v>204875.88772408586</v>
      </c>
      <c r="OI97" s="471">
        <f t="shared" si="364"/>
        <v>204875.88772408586</v>
      </c>
      <c r="OJ97" s="471">
        <f t="shared" si="364"/>
        <v>204875.88772408586</v>
      </c>
      <c r="OK97" s="471">
        <f t="shared" si="364"/>
        <v>204875.88772408586</v>
      </c>
      <c r="OL97" s="471">
        <f t="shared" si="364"/>
        <v>204875.88772408586</v>
      </c>
      <c r="OM97" s="471">
        <f t="shared" si="364"/>
        <v>204875.88772408586</v>
      </c>
      <c r="ON97" s="471">
        <f t="shared" si="364"/>
        <v>212046.54379442884</v>
      </c>
      <c r="OO97" s="471">
        <f t="shared" si="364"/>
        <v>212046.54379442884</v>
      </c>
      <c r="OP97" s="471">
        <f t="shared" si="365"/>
        <v>212046.54379442884</v>
      </c>
      <c r="OQ97" s="471">
        <f t="shared" si="365"/>
        <v>212046.54379442884</v>
      </c>
      <c r="OR97" s="471">
        <f t="shared" si="365"/>
        <v>212046.54379442884</v>
      </c>
      <c r="OS97" s="471">
        <f t="shared" si="365"/>
        <v>212046.54379442884</v>
      </c>
      <c r="OT97" s="471">
        <f t="shared" si="365"/>
        <v>212046.54379442884</v>
      </c>
      <c r="OU97" s="471">
        <f t="shared" si="365"/>
        <v>212046.54379442884</v>
      </c>
      <c r="OV97" s="471">
        <f t="shared" si="365"/>
        <v>212046.54379442884</v>
      </c>
      <c r="OW97" s="471">
        <f t="shared" si="365"/>
        <v>212046.54379442884</v>
      </c>
      <c r="OX97" s="471">
        <f t="shared" si="365"/>
        <v>212046.54379442884</v>
      </c>
      <c r="OY97" s="471">
        <f t="shared" si="365"/>
        <v>212046.54379442884</v>
      </c>
      <c r="OZ97" s="471">
        <f t="shared" si="365"/>
        <v>219468.17282723379</v>
      </c>
      <c r="PA97" s="471">
        <f t="shared" si="365"/>
        <v>219468.17282723379</v>
      </c>
      <c r="PB97" s="471">
        <f t="shared" si="365"/>
        <v>219468.17282723379</v>
      </c>
      <c r="PC97" s="471">
        <f t="shared" si="365"/>
        <v>219468.17282723379</v>
      </c>
      <c r="PD97" s="471">
        <f t="shared" si="365"/>
        <v>219468.17282723379</v>
      </c>
      <c r="PE97" s="471">
        <f t="shared" si="365"/>
        <v>219468.17282723379</v>
      </c>
      <c r="PF97" s="471">
        <f t="shared" si="366"/>
        <v>219468.17282723379</v>
      </c>
      <c r="PG97" s="471">
        <f t="shared" si="366"/>
        <v>219468.17282723379</v>
      </c>
      <c r="PH97" s="471">
        <f t="shared" si="366"/>
        <v>219468.17282723379</v>
      </c>
    </row>
    <row r="98" spans="1:424" x14ac:dyDescent="0.35">
      <c r="A98"/>
      <c r="B98" s="469" t="s">
        <v>254</v>
      </c>
      <c r="C98" s="469" t="s">
        <v>255</v>
      </c>
      <c r="D98" s="45">
        <v>28</v>
      </c>
      <c r="E98" s="837">
        <f>'URWLD COMPANY INPUTS'!$F$421</f>
        <v>19500.38</v>
      </c>
      <c r="F98" s="45">
        <f t="shared" si="332"/>
        <v>31</v>
      </c>
      <c r="G98" s="838">
        <f>IF('INPUT REGISTER'!$F$345="","",'INPUT REGISTER'!$F$345)</f>
        <v>3.5000000000000003E-2</v>
      </c>
      <c r="H98" s="843">
        <f>'INPUT REGISTER'!$F$677</f>
        <v>0</v>
      </c>
      <c r="I98" s="424">
        <f t="shared" si="333"/>
        <v>0</v>
      </c>
      <c r="J98"/>
      <c r="K98" s="286" t="s">
        <v>247</v>
      </c>
      <c r="L98" s="75">
        <f t="shared" si="334"/>
        <v>0</v>
      </c>
      <c r="M98" s="417">
        <f t="shared" si="334"/>
        <v>0</v>
      </c>
      <c r="N98" s="417">
        <f t="shared" si="334"/>
        <v>0</v>
      </c>
      <c r="O98" s="417">
        <f t="shared" si="334"/>
        <v>0</v>
      </c>
      <c r="P98" s="417">
        <f t="shared" si="334"/>
        <v>0</v>
      </c>
      <c r="Q98" s="417">
        <f t="shared" si="334"/>
        <v>0</v>
      </c>
      <c r="R98" s="417">
        <f t="shared" si="334"/>
        <v>0</v>
      </c>
      <c r="S98" s="417">
        <f t="shared" si="334"/>
        <v>0</v>
      </c>
      <c r="T98" s="417">
        <f t="shared" si="334"/>
        <v>0</v>
      </c>
      <c r="U98" s="417">
        <f t="shared" si="334"/>
        <v>0</v>
      </c>
      <c r="V98" s="417">
        <f t="shared" si="335"/>
        <v>0</v>
      </c>
      <c r="W98" s="417">
        <f t="shared" si="335"/>
        <v>0</v>
      </c>
      <c r="X98" s="417">
        <f t="shared" si="335"/>
        <v>0</v>
      </c>
      <c r="Y98" s="417">
        <f t="shared" si="335"/>
        <v>0</v>
      </c>
      <c r="Z98" s="417">
        <f t="shared" si="335"/>
        <v>0</v>
      </c>
      <c r="AA98" s="417">
        <f t="shared" si="335"/>
        <v>0</v>
      </c>
      <c r="AB98" s="417">
        <f t="shared" si="335"/>
        <v>0</v>
      </c>
      <c r="AC98" s="417">
        <f t="shared" si="335"/>
        <v>0</v>
      </c>
      <c r="AD98" s="417">
        <f t="shared" si="335"/>
        <v>0</v>
      </c>
      <c r="AE98" s="417">
        <f t="shared" si="335"/>
        <v>0</v>
      </c>
      <c r="AF98" s="417">
        <f t="shared" si="336"/>
        <v>0</v>
      </c>
      <c r="AG98" s="417">
        <f t="shared" si="336"/>
        <v>0</v>
      </c>
      <c r="AH98" s="417">
        <f t="shared" si="336"/>
        <v>0</v>
      </c>
      <c r="AI98" s="417">
        <f t="shared" si="336"/>
        <v>0</v>
      </c>
      <c r="AJ98" s="417">
        <f t="shared" si="336"/>
        <v>0</v>
      </c>
      <c r="AK98" s="417">
        <f t="shared" si="336"/>
        <v>0</v>
      </c>
      <c r="AL98" s="417">
        <f t="shared" si="336"/>
        <v>0</v>
      </c>
      <c r="AM98" s="417">
        <f t="shared" si="336"/>
        <v>0</v>
      </c>
      <c r="AN98" s="417">
        <f t="shared" si="336"/>
        <v>0</v>
      </c>
      <c r="AO98" s="417">
        <f t="shared" si="336"/>
        <v>0</v>
      </c>
      <c r="AP98" s="417">
        <f t="shared" si="337"/>
        <v>0</v>
      </c>
      <c r="AQ98" s="417">
        <f t="shared" si="337"/>
        <v>0</v>
      </c>
      <c r="AR98" s="417">
        <f t="shared" si="337"/>
        <v>0</v>
      </c>
      <c r="AS98" s="417">
        <f t="shared" si="337"/>
        <v>0</v>
      </c>
      <c r="AT98" s="417">
        <f t="shared" si="337"/>
        <v>0</v>
      </c>
      <c r="AU98" s="417">
        <f t="shared" si="337"/>
        <v>0</v>
      </c>
      <c r="AV98" s="417">
        <f t="shared" si="337"/>
        <v>0</v>
      </c>
      <c r="AW98" s="417">
        <f t="shared" si="337"/>
        <v>0</v>
      </c>
      <c r="AX98" s="417">
        <f t="shared" si="337"/>
        <v>0</v>
      </c>
      <c r="AY98" s="417">
        <f t="shared" si="337"/>
        <v>0</v>
      </c>
      <c r="AZ98" s="417">
        <f t="shared" si="338"/>
        <v>0</v>
      </c>
      <c r="BA98" s="417">
        <f t="shared" si="338"/>
        <v>0</v>
      </c>
      <c r="BB98" s="417">
        <f t="shared" si="338"/>
        <v>0</v>
      </c>
      <c r="BC98" s="417">
        <f t="shared" si="338"/>
        <v>0</v>
      </c>
      <c r="BD98" s="417">
        <f t="shared" si="338"/>
        <v>0</v>
      </c>
      <c r="BE98" s="417">
        <f t="shared" si="338"/>
        <v>0</v>
      </c>
      <c r="BF98" s="417">
        <f t="shared" si="338"/>
        <v>0</v>
      </c>
      <c r="BG98" s="417">
        <f t="shared" si="338"/>
        <v>0</v>
      </c>
      <c r="BH98" s="417">
        <f t="shared" si="338"/>
        <v>0</v>
      </c>
      <c r="BI98" s="417">
        <f t="shared" si="338"/>
        <v>0</v>
      </c>
      <c r="BJ98" s="417">
        <f t="shared" si="339"/>
        <v>0</v>
      </c>
      <c r="BK98" s="417">
        <f t="shared" si="339"/>
        <v>0</v>
      </c>
      <c r="BL98" s="417">
        <f t="shared" si="339"/>
        <v>0</v>
      </c>
      <c r="BM98" s="417">
        <f t="shared" si="339"/>
        <v>0</v>
      </c>
      <c r="BN98" s="417">
        <f t="shared" si="339"/>
        <v>0</v>
      </c>
      <c r="BO98" s="417">
        <f t="shared" si="339"/>
        <v>0</v>
      </c>
      <c r="BP98" s="417">
        <f t="shared" si="339"/>
        <v>0</v>
      </c>
      <c r="BQ98" s="417">
        <f t="shared" si="339"/>
        <v>0</v>
      </c>
      <c r="BR98" s="417">
        <f t="shared" si="339"/>
        <v>0</v>
      </c>
      <c r="BS98" s="417">
        <f t="shared" si="339"/>
        <v>0</v>
      </c>
      <c r="BT98" s="417">
        <f t="shared" si="340"/>
        <v>0</v>
      </c>
      <c r="BU98" s="417">
        <f t="shared" si="340"/>
        <v>0</v>
      </c>
      <c r="BV98" s="417">
        <f t="shared" si="340"/>
        <v>0</v>
      </c>
      <c r="BW98" s="417">
        <f t="shared" si="340"/>
        <v>0</v>
      </c>
      <c r="BX98" s="417">
        <f t="shared" si="340"/>
        <v>0</v>
      </c>
      <c r="BY98" s="417">
        <f t="shared" si="340"/>
        <v>0</v>
      </c>
      <c r="BZ98" s="417">
        <f t="shared" si="340"/>
        <v>0</v>
      </c>
      <c r="CA98" s="417">
        <f t="shared" si="340"/>
        <v>0</v>
      </c>
      <c r="CB98" s="417">
        <f t="shared" si="340"/>
        <v>0</v>
      </c>
      <c r="CC98" s="417">
        <f t="shared" si="340"/>
        <v>0</v>
      </c>
      <c r="CD98" s="417">
        <f t="shared" si="341"/>
        <v>0</v>
      </c>
      <c r="CE98" s="417">
        <f t="shared" si="341"/>
        <v>0</v>
      </c>
      <c r="CF98" s="417">
        <f t="shared" si="341"/>
        <v>0</v>
      </c>
      <c r="CG98" s="417">
        <f t="shared" si="341"/>
        <v>0</v>
      </c>
      <c r="CH98" s="417">
        <f t="shared" si="341"/>
        <v>0</v>
      </c>
      <c r="CI98" s="417">
        <f t="shared" si="341"/>
        <v>0</v>
      </c>
      <c r="CJ98" s="417">
        <f t="shared" si="341"/>
        <v>0</v>
      </c>
      <c r="CK98" s="417">
        <f t="shared" si="341"/>
        <v>0</v>
      </c>
      <c r="CL98" s="417">
        <f t="shared" si="341"/>
        <v>0</v>
      </c>
      <c r="CM98" s="417">
        <f t="shared" si="341"/>
        <v>0</v>
      </c>
      <c r="CN98" s="417">
        <f t="shared" si="342"/>
        <v>0</v>
      </c>
      <c r="CO98" s="417">
        <f t="shared" si="342"/>
        <v>0</v>
      </c>
      <c r="CP98" s="417">
        <f t="shared" si="342"/>
        <v>0</v>
      </c>
      <c r="CQ98" s="417">
        <f t="shared" si="342"/>
        <v>0</v>
      </c>
      <c r="CR98" s="417">
        <f t="shared" si="342"/>
        <v>0</v>
      </c>
      <c r="CS98" s="417">
        <f t="shared" si="342"/>
        <v>0</v>
      </c>
      <c r="CT98" s="417">
        <f t="shared" si="342"/>
        <v>0</v>
      </c>
      <c r="CU98" s="417">
        <f t="shared" si="342"/>
        <v>0</v>
      </c>
      <c r="CV98" s="417">
        <f t="shared" si="342"/>
        <v>0</v>
      </c>
      <c r="CW98" s="417">
        <f t="shared" si="342"/>
        <v>0</v>
      </c>
      <c r="CX98" s="417">
        <f t="shared" si="343"/>
        <v>0</v>
      </c>
      <c r="CY98" s="417">
        <f t="shared" si="343"/>
        <v>0</v>
      </c>
      <c r="CZ98" s="417">
        <f t="shared" si="343"/>
        <v>0</v>
      </c>
      <c r="DA98" s="417">
        <f t="shared" si="343"/>
        <v>0</v>
      </c>
      <c r="DB98" s="417">
        <f t="shared" si="343"/>
        <v>0</v>
      </c>
      <c r="DC98" s="417">
        <f t="shared" si="343"/>
        <v>0</v>
      </c>
      <c r="DD98" s="417">
        <f t="shared" si="343"/>
        <v>0</v>
      </c>
      <c r="DE98" s="417">
        <f t="shared" si="343"/>
        <v>0</v>
      </c>
      <c r="DF98" s="417">
        <f t="shared" si="343"/>
        <v>0</v>
      </c>
      <c r="DG98" s="417">
        <f t="shared" si="343"/>
        <v>0</v>
      </c>
      <c r="DH98" s="417">
        <f t="shared" si="344"/>
        <v>0</v>
      </c>
      <c r="DI98" s="417">
        <f t="shared" si="344"/>
        <v>0</v>
      </c>
      <c r="DJ98" s="417">
        <f t="shared" si="344"/>
        <v>0</v>
      </c>
      <c r="DK98" s="417">
        <f t="shared" si="344"/>
        <v>0</v>
      </c>
      <c r="DL98" s="417">
        <f t="shared" si="344"/>
        <v>0</v>
      </c>
      <c r="DM98" s="417">
        <f t="shared" si="344"/>
        <v>0</v>
      </c>
      <c r="DN98" s="417">
        <f t="shared" si="344"/>
        <v>0</v>
      </c>
      <c r="DO98" s="417">
        <f t="shared" si="344"/>
        <v>0</v>
      </c>
      <c r="DP98" s="417">
        <f t="shared" si="344"/>
        <v>0</v>
      </c>
      <c r="DQ98" s="417">
        <f t="shared" si="344"/>
        <v>0</v>
      </c>
      <c r="DR98" s="417">
        <f t="shared" si="345"/>
        <v>0</v>
      </c>
      <c r="DS98" s="417">
        <f t="shared" si="345"/>
        <v>0</v>
      </c>
      <c r="DT98" s="417">
        <f t="shared" si="345"/>
        <v>0</v>
      </c>
      <c r="DU98" s="417">
        <f t="shared" si="345"/>
        <v>0</v>
      </c>
      <c r="DV98" s="417">
        <f t="shared" si="345"/>
        <v>0</v>
      </c>
      <c r="DW98" s="417">
        <f t="shared" si="345"/>
        <v>0</v>
      </c>
      <c r="DX98" s="417">
        <f t="shared" si="345"/>
        <v>0</v>
      </c>
      <c r="DY98" s="417">
        <f t="shared" si="345"/>
        <v>0</v>
      </c>
      <c r="DZ98" s="417">
        <f t="shared" si="345"/>
        <v>0</v>
      </c>
      <c r="EA98" s="417">
        <f t="shared" si="345"/>
        <v>0</v>
      </c>
      <c r="EB98" s="417">
        <f t="shared" si="346"/>
        <v>0</v>
      </c>
      <c r="EC98" s="417">
        <f t="shared" si="346"/>
        <v>0</v>
      </c>
      <c r="ED98" s="417">
        <f t="shared" si="346"/>
        <v>0</v>
      </c>
      <c r="EE98" s="417">
        <f t="shared" si="346"/>
        <v>0</v>
      </c>
      <c r="EF98" s="417">
        <f t="shared" si="346"/>
        <v>0</v>
      </c>
      <c r="EG98" s="417">
        <f t="shared" si="346"/>
        <v>0</v>
      </c>
      <c r="EH98" s="417">
        <f t="shared" si="346"/>
        <v>0</v>
      </c>
      <c r="EI98" s="417">
        <f t="shared" si="346"/>
        <v>0</v>
      </c>
      <c r="EJ98" s="417">
        <f t="shared" si="346"/>
        <v>0</v>
      </c>
      <c r="EK98" s="417">
        <f t="shared" si="346"/>
        <v>0</v>
      </c>
      <c r="EL98" s="417">
        <f t="shared" si="346"/>
        <v>0</v>
      </c>
      <c r="EM98" s="417">
        <f t="shared" si="346"/>
        <v>0</v>
      </c>
      <c r="EN98" s="417">
        <f t="shared" si="346"/>
        <v>0</v>
      </c>
      <c r="EO98"/>
      <c r="EP98" s="219" t="str">
        <f t="shared" si="367"/>
        <v>Car Park</v>
      </c>
      <c r="EQ98" s="913">
        <f t="shared" si="368"/>
        <v>19500.38</v>
      </c>
      <c r="ER98" s="197">
        <f t="shared" si="369"/>
        <v>28</v>
      </c>
      <c r="ES98" s="18"/>
      <c r="ET98" s="18"/>
      <c r="EU98" s="18"/>
      <c r="EV98" s="418">
        <f t="shared" si="370"/>
        <v>0</v>
      </c>
      <c r="EW98" s="418">
        <f t="shared" si="370"/>
        <v>0</v>
      </c>
      <c r="EX98" s="418">
        <f t="shared" si="370"/>
        <v>0</v>
      </c>
      <c r="EY98" s="418">
        <f t="shared" si="370"/>
        <v>0</v>
      </c>
      <c r="EZ98" s="418">
        <f t="shared" si="370"/>
        <v>0</v>
      </c>
      <c r="FA98" s="418">
        <f t="shared" si="370"/>
        <v>0</v>
      </c>
      <c r="FB98" s="418">
        <f t="shared" si="370"/>
        <v>0</v>
      </c>
      <c r="FC98" s="418">
        <f t="shared" si="370"/>
        <v>0</v>
      </c>
      <c r="FD98" s="418">
        <f t="shared" si="370"/>
        <v>0</v>
      </c>
      <c r="FE98" s="418">
        <f t="shared" si="370"/>
        <v>0</v>
      </c>
      <c r="FF98" s="418">
        <f t="shared" si="370"/>
        <v>0</v>
      </c>
      <c r="FG98" s="418">
        <f t="shared" si="370"/>
        <v>0</v>
      </c>
      <c r="FH98" s="418">
        <f t="shared" si="370"/>
        <v>0</v>
      </c>
      <c r="FI98" s="418">
        <f t="shared" si="370"/>
        <v>0</v>
      </c>
      <c r="FJ98" s="418">
        <f t="shared" si="370"/>
        <v>0</v>
      </c>
      <c r="FK98" s="418">
        <f t="shared" si="370"/>
        <v>0</v>
      </c>
      <c r="FL98" s="418">
        <f t="shared" ref="FL98:HH103" si="380">(FL$3&gt;=$ER98)*$EQ98</f>
        <v>0</v>
      </c>
      <c r="FM98" s="418">
        <f t="shared" si="380"/>
        <v>0</v>
      </c>
      <c r="FN98" s="418">
        <f t="shared" si="380"/>
        <v>0</v>
      </c>
      <c r="FO98" s="418">
        <f t="shared" si="380"/>
        <v>0</v>
      </c>
      <c r="FP98" s="418">
        <f t="shared" si="380"/>
        <v>0</v>
      </c>
      <c r="FQ98" s="418">
        <f t="shared" si="380"/>
        <v>0</v>
      </c>
      <c r="FR98" s="418">
        <f t="shared" si="380"/>
        <v>0</v>
      </c>
      <c r="FS98" s="418">
        <f t="shared" si="380"/>
        <v>0</v>
      </c>
      <c r="FT98" s="418">
        <f t="shared" si="380"/>
        <v>0</v>
      </c>
      <c r="FU98" s="418">
        <f t="shared" si="380"/>
        <v>0</v>
      </c>
      <c r="FV98" s="418">
        <f t="shared" si="380"/>
        <v>0</v>
      </c>
      <c r="FW98" s="418">
        <f t="shared" si="380"/>
        <v>0</v>
      </c>
      <c r="FX98" s="418">
        <f t="shared" si="380"/>
        <v>19500.38</v>
      </c>
      <c r="FY98" s="418">
        <f t="shared" si="380"/>
        <v>19500.38</v>
      </c>
      <c r="FZ98" s="418">
        <f t="shared" si="380"/>
        <v>19500.38</v>
      </c>
      <c r="GA98" s="418">
        <f t="shared" si="380"/>
        <v>19500.38</v>
      </c>
      <c r="GB98" s="418">
        <f t="shared" si="380"/>
        <v>19500.38</v>
      </c>
      <c r="GC98" s="418">
        <f t="shared" si="380"/>
        <v>19500.38</v>
      </c>
      <c r="GD98" s="418">
        <f t="shared" si="380"/>
        <v>19500.38</v>
      </c>
      <c r="GE98" s="418">
        <f t="shared" si="380"/>
        <v>19500.38</v>
      </c>
      <c r="GF98" s="418">
        <f t="shared" si="380"/>
        <v>19500.38</v>
      </c>
      <c r="GG98" s="418">
        <f t="shared" si="380"/>
        <v>19500.38</v>
      </c>
      <c r="GH98" s="418">
        <f t="shared" si="380"/>
        <v>19500.38</v>
      </c>
      <c r="GI98" s="418">
        <f t="shared" si="380"/>
        <v>19500.38</v>
      </c>
      <c r="GJ98" s="418">
        <f t="shared" si="380"/>
        <v>19500.38</v>
      </c>
      <c r="GK98" s="418">
        <f t="shared" si="380"/>
        <v>19500.38</v>
      </c>
      <c r="GL98" s="418">
        <f t="shared" si="380"/>
        <v>19500.38</v>
      </c>
      <c r="GM98" s="418">
        <f t="shared" si="380"/>
        <v>19500.38</v>
      </c>
      <c r="GN98" s="418">
        <f t="shared" si="380"/>
        <v>19500.38</v>
      </c>
      <c r="GO98" s="418">
        <f t="shared" si="380"/>
        <v>19500.38</v>
      </c>
      <c r="GP98" s="418">
        <f t="shared" si="380"/>
        <v>19500.38</v>
      </c>
      <c r="GQ98" s="418">
        <f t="shared" si="380"/>
        <v>19500.38</v>
      </c>
      <c r="GR98" s="418">
        <f t="shared" si="380"/>
        <v>19500.38</v>
      </c>
      <c r="GS98" s="418">
        <f t="shared" si="380"/>
        <v>19500.38</v>
      </c>
      <c r="GT98" s="418">
        <f t="shared" si="380"/>
        <v>19500.38</v>
      </c>
      <c r="GU98" s="418">
        <f t="shared" si="380"/>
        <v>19500.38</v>
      </c>
      <c r="GV98" s="418">
        <f t="shared" si="380"/>
        <v>19500.38</v>
      </c>
      <c r="GW98" s="418">
        <f t="shared" si="380"/>
        <v>19500.38</v>
      </c>
      <c r="GX98" s="418">
        <f t="shared" si="380"/>
        <v>19500.38</v>
      </c>
      <c r="GY98" s="418">
        <f t="shared" si="380"/>
        <v>19500.38</v>
      </c>
      <c r="GZ98" s="418">
        <f t="shared" si="380"/>
        <v>19500.38</v>
      </c>
      <c r="HA98" s="418">
        <f t="shared" si="380"/>
        <v>19500.38</v>
      </c>
      <c r="HB98" s="418">
        <f t="shared" si="380"/>
        <v>19500.38</v>
      </c>
      <c r="HC98" s="418">
        <f t="shared" si="380"/>
        <v>19500.38</v>
      </c>
      <c r="HD98" s="418">
        <f t="shared" si="380"/>
        <v>19500.38</v>
      </c>
      <c r="HE98" s="418">
        <f t="shared" si="380"/>
        <v>19500.38</v>
      </c>
      <c r="HF98" s="418">
        <f t="shared" si="380"/>
        <v>19500.38</v>
      </c>
      <c r="HG98" s="418">
        <f t="shared" si="380"/>
        <v>19500.38</v>
      </c>
      <c r="HH98" s="418">
        <f t="shared" si="380"/>
        <v>19500.38</v>
      </c>
      <c r="HI98" s="418">
        <f t="shared" si="379"/>
        <v>19500.38</v>
      </c>
      <c r="HJ98" s="418">
        <f t="shared" si="379"/>
        <v>19500.38</v>
      </c>
      <c r="HK98" s="418">
        <f t="shared" si="379"/>
        <v>19500.38</v>
      </c>
      <c r="HL98" s="418">
        <f t="shared" si="379"/>
        <v>19500.38</v>
      </c>
      <c r="HM98" s="418">
        <f t="shared" si="379"/>
        <v>19500.38</v>
      </c>
      <c r="HN98" s="418">
        <f t="shared" si="379"/>
        <v>19500.38</v>
      </c>
      <c r="HO98" s="418">
        <f t="shared" si="379"/>
        <v>19500.38</v>
      </c>
      <c r="HP98" s="418">
        <f t="shared" si="379"/>
        <v>19500.38</v>
      </c>
      <c r="HQ98" s="418">
        <f t="shared" si="379"/>
        <v>19500.38</v>
      </c>
      <c r="HR98" s="418">
        <f t="shared" si="379"/>
        <v>19500.38</v>
      </c>
      <c r="HS98" s="418">
        <f t="shared" si="379"/>
        <v>19500.38</v>
      </c>
      <c r="HT98" s="418">
        <f t="shared" si="379"/>
        <v>19500.38</v>
      </c>
      <c r="HU98" s="418">
        <f t="shared" si="379"/>
        <v>19500.38</v>
      </c>
      <c r="HV98" s="418">
        <f t="shared" si="379"/>
        <v>19500.38</v>
      </c>
      <c r="HW98" s="418">
        <f t="shared" si="379"/>
        <v>19500.38</v>
      </c>
      <c r="HX98" s="418">
        <f t="shared" si="379"/>
        <v>19500.38</v>
      </c>
      <c r="HY98" s="418">
        <f t="shared" si="379"/>
        <v>19500.38</v>
      </c>
      <c r="HZ98" s="418">
        <f t="shared" si="379"/>
        <v>19500.38</v>
      </c>
      <c r="IA98" s="418">
        <f t="shared" si="379"/>
        <v>19500.38</v>
      </c>
      <c r="IB98" s="418">
        <f t="shared" si="379"/>
        <v>19500.38</v>
      </c>
      <c r="IC98" s="418">
        <f t="shared" si="379"/>
        <v>19500.38</v>
      </c>
      <c r="ID98" s="418">
        <f t="shared" si="379"/>
        <v>19500.38</v>
      </c>
      <c r="IE98" s="418">
        <f t="shared" si="379"/>
        <v>19500.38</v>
      </c>
      <c r="IF98" s="418">
        <f t="shared" si="379"/>
        <v>19500.38</v>
      </c>
      <c r="IG98" s="418">
        <f t="shared" si="379"/>
        <v>19500.38</v>
      </c>
      <c r="IH98" s="418">
        <f t="shared" si="379"/>
        <v>19500.38</v>
      </c>
      <c r="II98" s="418">
        <f t="shared" si="379"/>
        <v>19500.38</v>
      </c>
      <c r="IJ98" s="418">
        <f t="shared" si="379"/>
        <v>19500.38</v>
      </c>
      <c r="IK98" s="418">
        <f t="shared" si="379"/>
        <v>19500.38</v>
      </c>
      <c r="IL98" s="418">
        <f t="shared" si="379"/>
        <v>19500.38</v>
      </c>
      <c r="IM98" s="418">
        <f t="shared" si="379"/>
        <v>19500.38</v>
      </c>
      <c r="IN98" s="418">
        <f t="shared" si="379"/>
        <v>19500.38</v>
      </c>
      <c r="IO98" s="418">
        <f t="shared" si="379"/>
        <v>19500.38</v>
      </c>
      <c r="IP98" s="418">
        <f t="shared" si="379"/>
        <v>19500.38</v>
      </c>
      <c r="IQ98" s="418">
        <f t="shared" si="379"/>
        <v>19500.38</v>
      </c>
      <c r="IR98" s="418">
        <f t="shared" si="379"/>
        <v>19500.38</v>
      </c>
      <c r="IS98" s="418">
        <f t="shared" si="379"/>
        <v>19500.38</v>
      </c>
      <c r="IT98" s="418">
        <f t="shared" si="379"/>
        <v>19500.38</v>
      </c>
      <c r="IU98" s="418">
        <f t="shared" si="379"/>
        <v>19500.38</v>
      </c>
      <c r="IV98" s="418">
        <f t="shared" si="379"/>
        <v>19500.38</v>
      </c>
      <c r="IW98" s="418">
        <f t="shared" si="379"/>
        <v>19500.38</v>
      </c>
      <c r="IX98" s="418">
        <f t="shared" si="379"/>
        <v>19500.38</v>
      </c>
      <c r="IY98" s="418">
        <f t="shared" si="379"/>
        <v>19500.38</v>
      </c>
      <c r="IZ98" s="418">
        <f t="shared" si="379"/>
        <v>19500.38</v>
      </c>
      <c r="JA98" s="418">
        <f t="shared" si="379"/>
        <v>19500.38</v>
      </c>
      <c r="JB98" s="418">
        <f t="shared" si="379"/>
        <v>19500.38</v>
      </c>
      <c r="JC98" s="418">
        <f t="shared" si="379"/>
        <v>19500.38</v>
      </c>
      <c r="JD98" s="418">
        <f t="shared" si="379"/>
        <v>19500.38</v>
      </c>
      <c r="JE98" s="418">
        <f t="shared" si="379"/>
        <v>19500.38</v>
      </c>
      <c r="JF98" s="418">
        <f t="shared" si="379"/>
        <v>19500.38</v>
      </c>
      <c r="JG98" s="418">
        <f t="shared" si="379"/>
        <v>19500.38</v>
      </c>
      <c r="JH98" s="418">
        <f t="shared" si="379"/>
        <v>19500.38</v>
      </c>
      <c r="JI98" s="418">
        <f t="shared" si="379"/>
        <v>19500.38</v>
      </c>
      <c r="JJ98" s="418">
        <f t="shared" si="379"/>
        <v>19500.38</v>
      </c>
      <c r="JK98" s="418">
        <f t="shared" si="379"/>
        <v>19500.38</v>
      </c>
      <c r="JL98" s="418">
        <f t="shared" si="379"/>
        <v>19500.38</v>
      </c>
      <c r="JM98" s="418">
        <f t="shared" si="379"/>
        <v>19500.38</v>
      </c>
      <c r="JN98" s="418">
        <f t="shared" si="379"/>
        <v>19500.38</v>
      </c>
      <c r="JO98" s="418">
        <f t="shared" si="379"/>
        <v>19500.38</v>
      </c>
      <c r="JP98" s="418">
        <f t="shared" si="379"/>
        <v>19500.38</v>
      </c>
      <c r="JQ98" s="418">
        <f t="shared" si="379"/>
        <v>19500.38</v>
      </c>
      <c r="JR98" s="418">
        <f t="shared" si="379"/>
        <v>19500.38</v>
      </c>
      <c r="JS98" s="418">
        <f t="shared" si="379"/>
        <v>19500.38</v>
      </c>
      <c r="JT98" s="418">
        <f t="shared" si="379"/>
        <v>19500.38</v>
      </c>
      <c r="JU98" s="418">
        <f t="shared" si="354"/>
        <v>19500.38</v>
      </c>
      <c r="JV98" s="418">
        <f t="shared" si="354"/>
        <v>19500.38</v>
      </c>
      <c r="JW98" s="418">
        <f t="shared" si="354"/>
        <v>19500.38</v>
      </c>
      <c r="JX98" s="418">
        <f t="shared" si="354"/>
        <v>19500.38</v>
      </c>
      <c r="JY98"/>
      <c r="JZ98" s="219" t="str">
        <f t="shared" si="371"/>
        <v>Car Park</v>
      </c>
      <c r="KA98" s="418">
        <f t="shared" si="355"/>
        <v>0</v>
      </c>
      <c r="KB98" s="197">
        <f t="shared" si="356"/>
        <v>31</v>
      </c>
      <c r="KC98" s="206">
        <f t="shared" si="357"/>
        <v>3.5000000000000003E-2</v>
      </c>
      <c r="KD98" s="213" t="str">
        <f t="shared" si="327"/>
        <v>Annual</v>
      </c>
      <c r="KE98" s="470">
        <f>IF(KD98="",1,IFERROR(MAX(1,INDEX(Data!$H$24:$H$33,MATCH(KD98,Data!$G$24:$G$33,0))),1))</f>
        <v>1</v>
      </c>
      <c r="KF98" s="263"/>
      <c r="KG98" s="471">
        <f t="shared" si="372"/>
        <v>0</v>
      </c>
      <c r="KH98" s="471">
        <f t="shared" si="358"/>
        <v>0</v>
      </c>
      <c r="KI98" s="471">
        <f t="shared" si="358"/>
        <v>0</v>
      </c>
      <c r="KJ98" s="471">
        <f t="shared" si="358"/>
        <v>0</v>
      </c>
      <c r="KK98" s="471">
        <f t="shared" si="358"/>
        <v>0</v>
      </c>
      <c r="KL98" s="471">
        <f t="shared" si="358"/>
        <v>0</v>
      </c>
      <c r="KM98" s="471">
        <f t="shared" si="358"/>
        <v>0</v>
      </c>
      <c r="KN98" s="471">
        <f t="shared" si="358"/>
        <v>0</v>
      </c>
      <c r="KO98" s="471">
        <f t="shared" si="358"/>
        <v>0</v>
      </c>
      <c r="KP98" s="471">
        <f t="shared" si="358"/>
        <v>0</v>
      </c>
      <c r="KQ98" s="471">
        <f t="shared" si="358"/>
        <v>0</v>
      </c>
      <c r="KR98" s="471">
        <f t="shared" si="358"/>
        <v>0</v>
      </c>
      <c r="KS98" s="471">
        <f t="shared" si="358"/>
        <v>0</v>
      </c>
      <c r="KT98" s="471">
        <f t="shared" si="358"/>
        <v>0</v>
      </c>
      <c r="KU98" s="471">
        <f t="shared" si="358"/>
        <v>0</v>
      </c>
      <c r="KV98" s="471">
        <f t="shared" si="358"/>
        <v>0</v>
      </c>
      <c r="KW98" s="471">
        <f t="shared" si="358"/>
        <v>0</v>
      </c>
      <c r="KX98" s="471">
        <f t="shared" si="359"/>
        <v>0</v>
      </c>
      <c r="KY98" s="471">
        <f t="shared" si="359"/>
        <v>0</v>
      </c>
      <c r="KZ98" s="471">
        <f t="shared" si="359"/>
        <v>0</v>
      </c>
      <c r="LA98" s="471">
        <f t="shared" si="359"/>
        <v>0</v>
      </c>
      <c r="LB98" s="471">
        <f t="shared" si="359"/>
        <v>0</v>
      </c>
      <c r="LC98" s="471">
        <f t="shared" si="359"/>
        <v>0</v>
      </c>
      <c r="LD98" s="471">
        <f t="shared" si="359"/>
        <v>0</v>
      </c>
      <c r="LE98" s="471">
        <f t="shared" si="359"/>
        <v>0</v>
      </c>
      <c r="LF98" s="471">
        <f t="shared" si="359"/>
        <v>0</v>
      </c>
      <c r="LG98" s="471">
        <f t="shared" si="359"/>
        <v>0</v>
      </c>
      <c r="LH98" s="471">
        <f t="shared" si="359"/>
        <v>0</v>
      </c>
      <c r="LI98" s="471">
        <f t="shared" si="359"/>
        <v>0</v>
      </c>
      <c r="LJ98" s="471">
        <f t="shared" si="359"/>
        <v>0</v>
      </c>
      <c r="LK98" s="471">
        <f t="shared" si="359"/>
        <v>0</v>
      </c>
      <c r="LL98" s="471">
        <f t="shared" si="359"/>
        <v>0</v>
      </c>
      <c r="LM98" s="471">
        <f t="shared" si="359"/>
        <v>0</v>
      </c>
      <c r="LN98" s="471">
        <f t="shared" si="360"/>
        <v>0</v>
      </c>
      <c r="LO98" s="471">
        <f t="shared" si="360"/>
        <v>0</v>
      </c>
      <c r="LP98" s="471">
        <f t="shared" si="360"/>
        <v>0</v>
      </c>
      <c r="LQ98" s="471">
        <f t="shared" si="360"/>
        <v>0</v>
      </c>
      <c r="LR98" s="471">
        <f t="shared" si="360"/>
        <v>0</v>
      </c>
      <c r="LS98" s="471">
        <f t="shared" si="360"/>
        <v>0</v>
      </c>
      <c r="LT98" s="471">
        <f t="shared" si="360"/>
        <v>0</v>
      </c>
      <c r="LU98" s="471">
        <f t="shared" si="360"/>
        <v>0</v>
      </c>
      <c r="LV98" s="471">
        <f t="shared" si="360"/>
        <v>0</v>
      </c>
      <c r="LW98" s="471">
        <f t="shared" si="360"/>
        <v>0</v>
      </c>
      <c r="LX98" s="471">
        <f t="shared" si="360"/>
        <v>0</v>
      </c>
      <c r="LY98" s="471">
        <f t="shared" si="360"/>
        <v>0</v>
      </c>
      <c r="LZ98" s="471">
        <f t="shared" si="360"/>
        <v>0</v>
      </c>
      <c r="MA98" s="471">
        <f t="shared" si="360"/>
        <v>0</v>
      </c>
      <c r="MB98" s="471">
        <f t="shared" si="360"/>
        <v>0</v>
      </c>
      <c r="MC98" s="471">
        <f t="shared" si="360"/>
        <v>0</v>
      </c>
      <c r="MD98" s="471">
        <f t="shared" si="361"/>
        <v>0</v>
      </c>
      <c r="ME98" s="471">
        <f t="shared" si="361"/>
        <v>0</v>
      </c>
      <c r="MF98" s="471">
        <f t="shared" si="361"/>
        <v>0</v>
      </c>
      <c r="MG98" s="471">
        <f t="shared" si="361"/>
        <v>0</v>
      </c>
      <c r="MH98" s="471">
        <f t="shared" si="361"/>
        <v>0</v>
      </c>
      <c r="MI98" s="471">
        <f t="shared" si="361"/>
        <v>0</v>
      </c>
      <c r="MJ98" s="471">
        <f t="shared" si="361"/>
        <v>0</v>
      </c>
      <c r="MK98" s="471">
        <f t="shared" si="361"/>
        <v>0</v>
      </c>
      <c r="ML98" s="471">
        <f t="shared" si="361"/>
        <v>0</v>
      </c>
      <c r="MM98" s="471">
        <f t="shared" si="361"/>
        <v>0</v>
      </c>
      <c r="MN98" s="471">
        <f t="shared" si="361"/>
        <v>0</v>
      </c>
      <c r="MO98" s="471">
        <f t="shared" si="361"/>
        <v>0</v>
      </c>
      <c r="MP98" s="471">
        <f t="shared" si="361"/>
        <v>0</v>
      </c>
      <c r="MQ98" s="471">
        <f t="shared" si="361"/>
        <v>0</v>
      </c>
      <c r="MR98" s="471">
        <f t="shared" si="361"/>
        <v>0</v>
      </c>
      <c r="MS98" s="471">
        <f t="shared" si="361"/>
        <v>0</v>
      </c>
      <c r="MT98" s="471">
        <f t="shared" si="362"/>
        <v>0</v>
      </c>
      <c r="MU98" s="471">
        <f t="shared" si="362"/>
        <v>0</v>
      </c>
      <c r="MV98" s="471">
        <f t="shared" si="362"/>
        <v>0</v>
      </c>
      <c r="MW98" s="471">
        <f t="shared" si="362"/>
        <v>0</v>
      </c>
      <c r="MX98" s="471">
        <f t="shared" si="362"/>
        <v>0</v>
      </c>
      <c r="MY98" s="471">
        <f t="shared" si="362"/>
        <v>0</v>
      </c>
      <c r="MZ98" s="471">
        <f t="shared" si="362"/>
        <v>0</v>
      </c>
      <c r="NA98" s="471">
        <f t="shared" si="362"/>
        <v>0</v>
      </c>
      <c r="NB98" s="471">
        <f t="shared" si="362"/>
        <v>0</v>
      </c>
      <c r="NC98" s="471">
        <f t="shared" si="362"/>
        <v>0</v>
      </c>
      <c r="ND98" s="471">
        <f t="shared" si="362"/>
        <v>0</v>
      </c>
      <c r="NE98" s="471">
        <f t="shared" si="362"/>
        <v>0</v>
      </c>
      <c r="NF98" s="471">
        <f t="shared" si="362"/>
        <v>0</v>
      </c>
      <c r="NG98" s="471">
        <f t="shared" si="362"/>
        <v>0</v>
      </c>
      <c r="NH98" s="471">
        <f t="shared" si="362"/>
        <v>0</v>
      </c>
      <c r="NI98" s="471">
        <f t="shared" si="362"/>
        <v>0</v>
      </c>
      <c r="NJ98" s="471">
        <f t="shared" si="363"/>
        <v>0</v>
      </c>
      <c r="NK98" s="471">
        <f t="shared" si="363"/>
        <v>0</v>
      </c>
      <c r="NL98" s="471">
        <f t="shared" si="363"/>
        <v>0</v>
      </c>
      <c r="NM98" s="471">
        <f t="shared" si="363"/>
        <v>0</v>
      </c>
      <c r="NN98" s="471">
        <f t="shared" si="363"/>
        <v>0</v>
      </c>
      <c r="NO98" s="471">
        <f t="shared" si="363"/>
        <v>0</v>
      </c>
      <c r="NP98" s="471">
        <f t="shared" si="363"/>
        <v>0</v>
      </c>
      <c r="NQ98" s="471">
        <f t="shared" si="363"/>
        <v>0</v>
      </c>
      <c r="NR98" s="471">
        <f t="shared" si="363"/>
        <v>0</v>
      </c>
      <c r="NS98" s="471">
        <f t="shared" si="363"/>
        <v>0</v>
      </c>
      <c r="NT98" s="471">
        <f t="shared" si="363"/>
        <v>0</v>
      </c>
      <c r="NU98" s="471">
        <f t="shared" si="363"/>
        <v>0</v>
      </c>
      <c r="NV98" s="471">
        <f t="shared" si="363"/>
        <v>0</v>
      </c>
      <c r="NW98" s="471">
        <f t="shared" si="363"/>
        <v>0</v>
      </c>
      <c r="NX98" s="471">
        <f t="shared" si="363"/>
        <v>0</v>
      </c>
      <c r="NY98" s="471">
        <f t="shared" si="363"/>
        <v>0</v>
      </c>
      <c r="NZ98" s="471">
        <f t="shared" si="364"/>
        <v>0</v>
      </c>
      <c r="OA98" s="471">
        <f t="shared" si="364"/>
        <v>0</v>
      </c>
      <c r="OB98" s="471">
        <f t="shared" si="364"/>
        <v>0</v>
      </c>
      <c r="OC98" s="471">
        <f t="shared" si="364"/>
        <v>0</v>
      </c>
      <c r="OD98" s="471">
        <f t="shared" si="364"/>
        <v>0</v>
      </c>
      <c r="OE98" s="471">
        <f t="shared" si="364"/>
        <v>0</v>
      </c>
      <c r="OF98" s="471">
        <f t="shared" si="364"/>
        <v>0</v>
      </c>
      <c r="OG98" s="471">
        <f t="shared" si="364"/>
        <v>0</v>
      </c>
      <c r="OH98" s="471">
        <f t="shared" si="364"/>
        <v>0</v>
      </c>
      <c r="OI98" s="471">
        <f t="shared" si="364"/>
        <v>0</v>
      </c>
      <c r="OJ98" s="471">
        <f t="shared" si="364"/>
        <v>0</v>
      </c>
      <c r="OK98" s="471">
        <f t="shared" si="364"/>
        <v>0</v>
      </c>
      <c r="OL98" s="471">
        <f t="shared" si="364"/>
        <v>0</v>
      </c>
      <c r="OM98" s="471">
        <f t="shared" si="364"/>
        <v>0</v>
      </c>
      <c r="ON98" s="471">
        <f t="shared" si="364"/>
        <v>0</v>
      </c>
      <c r="OO98" s="471">
        <f t="shared" si="364"/>
        <v>0</v>
      </c>
      <c r="OP98" s="471">
        <f t="shared" si="365"/>
        <v>0</v>
      </c>
      <c r="OQ98" s="471">
        <f t="shared" si="365"/>
        <v>0</v>
      </c>
      <c r="OR98" s="471">
        <f t="shared" si="365"/>
        <v>0</v>
      </c>
      <c r="OS98" s="471">
        <f t="shared" si="365"/>
        <v>0</v>
      </c>
      <c r="OT98" s="471">
        <f t="shared" si="365"/>
        <v>0</v>
      </c>
      <c r="OU98" s="471">
        <f t="shared" si="365"/>
        <v>0</v>
      </c>
      <c r="OV98" s="471">
        <f t="shared" si="365"/>
        <v>0</v>
      </c>
      <c r="OW98" s="471">
        <f t="shared" si="365"/>
        <v>0</v>
      </c>
      <c r="OX98" s="471">
        <f t="shared" si="365"/>
        <v>0</v>
      </c>
      <c r="OY98" s="471">
        <f t="shared" si="365"/>
        <v>0</v>
      </c>
      <c r="OZ98" s="471">
        <f t="shared" si="365"/>
        <v>0</v>
      </c>
      <c r="PA98" s="471">
        <f t="shared" si="365"/>
        <v>0</v>
      </c>
      <c r="PB98" s="471">
        <f t="shared" si="365"/>
        <v>0</v>
      </c>
      <c r="PC98" s="471">
        <f t="shared" si="365"/>
        <v>0</v>
      </c>
      <c r="PD98" s="471">
        <f t="shared" si="365"/>
        <v>0</v>
      </c>
      <c r="PE98" s="471">
        <f t="shared" si="365"/>
        <v>0</v>
      </c>
      <c r="PF98" s="471">
        <f t="shared" si="366"/>
        <v>0</v>
      </c>
      <c r="PG98" s="471">
        <f t="shared" si="366"/>
        <v>0</v>
      </c>
      <c r="PH98" s="471">
        <f t="shared" si="366"/>
        <v>0</v>
      </c>
    </row>
    <row r="99" spans="1:424" x14ac:dyDescent="0.35">
      <c r="A99"/>
      <c r="B99" s="469" t="s">
        <v>256</v>
      </c>
      <c r="C99" s="469" t="s">
        <v>256</v>
      </c>
      <c r="D99" s="45">
        <v>28</v>
      </c>
      <c r="E99" s="837">
        <f>'URWLD COMPANY INPUTS'!$F$602</f>
        <v>3800</v>
      </c>
      <c r="F99" s="45">
        <f t="shared" si="332"/>
        <v>31</v>
      </c>
      <c r="G99" s="838">
        <f>IF('INPUT REGISTER'!$F$395="","",'INPUT REGISTER'!$F$395)</f>
        <v>3.5000000000000003E-2</v>
      </c>
      <c r="H99" s="843">
        <f>'INPUT REGISTER'!$F$678</f>
        <v>500</v>
      </c>
      <c r="I99" s="424">
        <f t="shared" si="333"/>
        <v>1900000</v>
      </c>
      <c r="J99"/>
      <c r="K99" s="286" t="s">
        <v>247</v>
      </c>
      <c r="L99" s="75">
        <f t="shared" si="334"/>
        <v>0</v>
      </c>
      <c r="M99" s="417">
        <f t="shared" si="334"/>
        <v>0</v>
      </c>
      <c r="N99" s="417">
        <f t="shared" si="334"/>
        <v>0</v>
      </c>
      <c r="O99" s="417">
        <f t="shared" si="334"/>
        <v>0</v>
      </c>
      <c r="P99" s="417">
        <f t="shared" si="334"/>
        <v>0</v>
      </c>
      <c r="Q99" s="417">
        <f t="shared" si="334"/>
        <v>0</v>
      </c>
      <c r="R99" s="417">
        <f t="shared" si="334"/>
        <v>0</v>
      </c>
      <c r="S99" s="417">
        <f t="shared" si="334"/>
        <v>0</v>
      </c>
      <c r="T99" s="417">
        <f t="shared" si="334"/>
        <v>0</v>
      </c>
      <c r="U99" s="417">
        <f t="shared" si="334"/>
        <v>0</v>
      </c>
      <c r="V99" s="417">
        <f t="shared" si="335"/>
        <v>0</v>
      </c>
      <c r="W99" s="417">
        <f t="shared" si="335"/>
        <v>0</v>
      </c>
      <c r="X99" s="417">
        <f t="shared" si="335"/>
        <v>0</v>
      </c>
      <c r="Y99" s="417">
        <f t="shared" si="335"/>
        <v>0</v>
      </c>
      <c r="Z99" s="417">
        <f t="shared" si="335"/>
        <v>0</v>
      </c>
      <c r="AA99" s="417">
        <f t="shared" si="335"/>
        <v>0</v>
      </c>
      <c r="AB99" s="417">
        <f t="shared" si="335"/>
        <v>0</v>
      </c>
      <c r="AC99" s="417">
        <f t="shared" si="335"/>
        <v>0</v>
      </c>
      <c r="AD99" s="417">
        <f t="shared" si="335"/>
        <v>0</v>
      </c>
      <c r="AE99" s="417">
        <f t="shared" si="335"/>
        <v>0</v>
      </c>
      <c r="AF99" s="417">
        <f t="shared" si="336"/>
        <v>0</v>
      </c>
      <c r="AG99" s="417">
        <f t="shared" si="336"/>
        <v>0</v>
      </c>
      <c r="AH99" s="417">
        <f t="shared" si="336"/>
        <v>0</v>
      </c>
      <c r="AI99" s="417">
        <f t="shared" si="336"/>
        <v>0</v>
      </c>
      <c r="AJ99" s="417">
        <f t="shared" si="336"/>
        <v>0</v>
      </c>
      <c r="AK99" s="417">
        <f t="shared" si="336"/>
        <v>0</v>
      </c>
      <c r="AL99" s="417">
        <f t="shared" si="336"/>
        <v>0</v>
      </c>
      <c r="AM99" s="417">
        <f t="shared" si="336"/>
        <v>0</v>
      </c>
      <c r="AN99" s="417">
        <f t="shared" si="336"/>
        <v>0</v>
      </c>
      <c r="AO99" s="417">
        <f t="shared" si="336"/>
        <v>0</v>
      </c>
      <c r="AP99" s="417">
        <f t="shared" si="337"/>
        <v>0</v>
      </c>
      <c r="AQ99" s="417">
        <f t="shared" si="337"/>
        <v>158333.33333333334</v>
      </c>
      <c r="AR99" s="417">
        <f t="shared" si="337"/>
        <v>158333.33333333334</v>
      </c>
      <c r="AS99" s="417">
        <f t="shared" si="337"/>
        <v>158333.33333333334</v>
      </c>
      <c r="AT99" s="417">
        <f t="shared" si="337"/>
        <v>158333.33333333334</v>
      </c>
      <c r="AU99" s="417">
        <f t="shared" si="337"/>
        <v>158333.33333333334</v>
      </c>
      <c r="AV99" s="417">
        <f t="shared" si="337"/>
        <v>158333.33333333334</v>
      </c>
      <c r="AW99" s="417">
        <f t="shared" si="337"/>
        <v>158333.33333333334</v>
      </c>
      <c r="AX99" s="417">
        <f t="shared" si="337"/>
        <v>158333.33333333334</v>
      </c>
      <c r="AY99" s="417">
        <f t="shared" si="337"/>
        <v>158333.33333333334</v>
      </c>
      <c r="AZ99" s="417">
        <f t="shared" si="338"/>
        <v>158333.33333333334</v>
      </c>
      <c r="BA99" s="417">
        <f t="shared" si="338"/>
        <v>158333.33333333334</v>
      </c>
      <c r="BB99" s="417">
        <f t="shared" si="338"/>
        <v>158333.33333333334</v>
      </c>
      <c r="BC99" s="417">
        <f t="shared" si="338"/>
        <v>163875</v>
      </c>
      <c r="BD99" s="417">
        <f t="shared" si="338"/>
        <v>163875</v>
      </c>
      <c r="BE99" s="417">
        <f t="shared" si="338"/>
        <v>163875</v>
      </c>
      <c r="BF99" s="417">
        <f t="shared" si="338"/>
        <v>163875</v>
      </c>
      <c r="BG99" s="417">
        <f t="shared" si="338"/>
        <v>163875</v>
      </c>
      <c r="BH99" s="417">
        <f t="shared" si="338"/>
        <v>163875</v>
      </c>
      <c r="BI99" s="417">
        <f t="shared" si="338"/>
        <v>163875</v>
      </c>
      <c r="BJ99" s="417">
        <f t="shared" si="339"/>
        <v>163875</v>
      </c>
      <c r="BK99" s="417">
        <f t="shared" si="339"/>
        <v>163875</v>
      </c>
      <c r="BL99" s="417">
        <f t="shared" si="339"/>
        <v>163875</v>
      </c>
      <c r="BM99" s="417">
        <f t="shared" si="339"/>
        <v>163875</v>
      </c>
      <c r="BN99" s="417">
        <f t="shared" si="339"/>
        <v>163875</v>
      </c>
      <c r="BO99" s="417">
        <f t="shared" si="339"/>
        <v>169610.625</v>
      </c>
      <c r="BP99" s="417">
        <f t="shared" si="339"/>
        <v>169610.625</v>
      </c>
      <c r="BQ99" s="417">
        <f t="shared" si="339"/>
        <v>169610.625</v>
      </c>
      <c r="BR99" s="417">
        <f t="shared" si="339"/>
        <v>169610.625</v>
      </c>
      <c r="BS99" s="417">
        <f t="shared" si="339"/>
        <v>169610.625</v>
      </c>
      <c r="BT99" s="417">
        <f t="shared" si="340"/>
        <v>169610.625</v>
      </c>
      <c r="BU99" s="417">
        <f t="shared" si="340"/>
        <v>169610.625</v>
      </c>
      <c r="BV99" s="417">
        <f t="shared" si="340"/>
        <v>169610.625</v>
      </c>
      <c r="BW99" s="417">
        <f t="shared" si="340"/>
        <v>169610.625</v>
      </c>
      <c r="BX99" s="417">
        <f t="shared" si="340"/>
        <v>169610.625</v>
      </c>
      <c r="BY99" s="417">
        <f t="shared" si="340"/>
        <v>169610.625</v>
      </c>
      <c r="BZ99" s="417">
        <f t="shared" si="340"/>
        <v>169610.625</v>
      </c>
      <c r="CA99" s="417">
        <f t="shared" si="340"/>
        <v>175546.99687499998</v>
      </c>
      <c r="CB99" s="417">
        <f t="shared" si="340"/>
        <v>175546.99687499998</v>
      </c>
      <c r="CC99" s="417">
        <f t="shared" si="340"/>
        <v>175546.99687499998</v>
      </c>
      <c r="CD99" s="417">
        <f t="shared" si="341"/>
        <v>175546.99687499998</v>
      </c>
      <c r="CE99" s="417">
        <f t="shared" si="341"/>
        <v>175546.99687499998</v>
      </c>
      <c r="CF99" s="417">
        <f t="shared" si="341"/>
        <v>175546.99687499998</v>
      </c>
      <c r="CG99" s="417">
        <f t="shared" si="341"/>
        <v>175546.99687499998</v>
      </c>
      <c r="CH99" s="417">
        <f t="shared" si="341"/>
        <v>175546.99687499998</v>
      </c>
      <c r="CI99" s="417">
        <f t="shared" si="341"/>
        <v>175546.99687499998</v>
      </c>
      <c r="CJ99" s="417">
        <f t="shared" si="341"/>
        <v>175546.99687499998</v>
      </c>
      <c r="CK99" s="417">
        <f t="shared" si="341"/>
        <v>175546.99687499998</v>
      </c>
      <c r="CL99" s="417">
        <f t="shared" si="341"/>
        <v>175546.99687499998</v>
      </c>
      <c r="CM99" s="417">
        <f t="shared" si="341"/>
        <v>181691.14176562495</v>
      </c>
      <c r="CN99" s="417">
        <f t="shared" si="342"/>
        <v>181691.14176562495</v>
      </c>
      <c r="CO99" s="417">
        <f t="shared" si="342"/>
        <v>181691.14176562495</v>
      </c>
      <c r="CP99" s="417">
        <f t="shared" si="342"/>
        <v>181691.14176562495</v>
      </c>
      <c r="CQ99" s="417">
        <f t="shared" si="342"/>
        <v>181691.14176562495</v>
      </c>
      <c r="CR99" s="417">
        <f t="shared" si="342"/>
        <v>181691.14176562495</v>
      </c>
      <c r="CS99" s="417">
        <f t="shared" si="342"/>
        <v>181691.14176562495</v>
      </c>
      <c r="CT99" s="417">
        <f t="shared" si="342"/>
        <v>181691.14176562495</v>
      </c>
      <c r="CU99" s="417">
        <f t="shared" si="342"/>
        <v>181691.14176562495</v>
      </c>
      <c r="CV99" s="417">
        <f t="shared" si="342"/>
        <v>181691.14176562495</v>
      </c>
      <c r="CW99" s="417">
        <f t="shared" si="342"/>
        <v>181691.14176562495</v>
      </c>
      <c r="CX99" s="417">
        <f t="shared" si="343"/>
        <v>181691.14176562495</v>
      </c>
      <c r="CY99" s="417">
        <f t="shared" si="343"/>
        <v>188050.33172742181</v>
      </c>
      <c r="CZ99" s="417">
        <f t="shared" si="343"/>
        <v>188050.33172742181</v>
      </c>
      <c r="DA99" s="417">
        <f t="shared" si="343"/>
        <v>188050.33172742181</v>
      </c>
      <c r="DB99" s="417">
        <f t="shared" si="343"/>
        <v>188050.33172742181</v>
      </c>
      <c r="DC99" s="417">
        <f t="shared" si="343"/>
        <v>188050.33172742181</v>
      </c>
      <c r="DD99" s="417">
        <f t="shared" si="343"/>
        <v>188050.33172742181</v>
      </c>
      <c r="DE99" s="417">
        <f t="shared" si="343"/>
        <v>188050.33172742181</v>
      </c>
      <c r="DF99" s="417">
        <f t="shared" si="343"/>
        <v>188050.33172742181</v>
      </c>
      <c r="DG99" s="417">
        <f t="shared" si="343"/>
        <v>188050.33172742181</v>
      </c>
      <c r="DH99" s="417">
        <f t="shared" si="344"/>
        <v>188050.33172742181</v>
      </c>
      <c r="DI99" s="417">
        <f t="shared" si="344"/>
        <v>188050.33172742181</v>
      </c>
      <c r="DJ99" s="417">
        <f t="shared" si="344"/>
        <v>188050.33172742181</v>
      </c>
      <c r="DK99" s="417">
        <f t="shared" si="344"/>
        <v>194632.09333788158</v>
      </c>
      <c r="DL99" s="417">
        <f t="shared" si="344"/>
        <v>194632.09333788158</v>
      </c>
      <c r="DM99" s="417">
        <f t="shared" si="344"/>
        <v>194632.09333788158</v>
      </c>
      <c r="DN99" s="417">
        <f t="shared" si="344"/>
        <v>194632.09333788158</v>
      </c>
      <c r="DO99" s="417">
        <f t="shared" si="344"/>
        <v>194632.09333788158</v>
      </c>
      <c r="DP99" s="417">
        <f t="shared" si="344"/>
        <v>194632.09333788158</v>
      </c>
      <c r="DQ99" s="417">
        <f t="shared" si="344"/>
        <v>194632.09333788158</v>
      </c>
      <c r="DR99" s="417">
        <f t="shared" si="345"/>
        <v>194632.09333788158</v>
      </c>
      <c r="DS99" s="417">
        <f t="shared" si="345"/>
        <v>194632.09333788158</v>
      </c>
      <c r="DT99" s="417">
        <f t="shared" si="345"/>
        <v>194632.09333788158</v>
      </c>
      <c r="DU99" s="417">
        <f t="shared" si="345"/>
        <v>194632.09333788158</v>
      </c>
      <c r="DV99" s="417">
        <f t="shared" si="345"/>
        <v>194632.09333788158</v>
      </c>
      <c r="DW99" s="417">
        <f t="shared" si="345"/>
        <v>201444.21660470741</v>
      </c>
      <c r="DX99" s="417">
        <f t="shared" si="345"/>
        <v>201444.21660470741</v>
      </c>
      <c r="DY99" s="417">
        <f t="shared" si="345"/>
        <v>201444.21660470741</v>
      </c>
      <c r="DZ99" s="417">
        <f t="shared" si="345"/>
        <v>201444.21660470741</v>
      </c>
      <c r="EA99" s="417">
        <f t="shared" si="345"/>
        <v>201444.21660470741</v>
      </c>
      <c r="EB99" s="417">
        <f t="shared" si="346"/>
        <v>201444.21660470741</v>
      </c>
      <c r="EC99" s="417">
        <f t="shared" si="346"/>
        <v>201444.21660470741</v>
      </c>
      <c r="ED99" s="417">
        <f t="shared" si="346"/>
        <v>201444.21660470741</v>
      </c>
      <c r="EE99" s="417">
        <f t="shared" si="346"/>
        <v>201444.21660470741</v>
      </c>
      <c r="EF99" s="417">
        <f t="shared" si="346"/>
        <v>201444.21660470741</v>
      </c>
      <c r="EG99" s="417">
        <f t="shared" si="346"/>
        <v>201444.21660470741</v>
      </c>
      <c r="EH99" s="417">
        <f t="shared" si="346"/>
        <v>201444.21660470741</v>
      </c>
      <c r="EI99" s="417">
        <f t="shared" si="346"/>
        <v>208494.76418587213</v>
      </c>
      <c r="EJ99" s="417">
        <f t="shared" si="346"/>
        <v>208494.76418587213</v>
      </c>
      <c r="EK99" s="417">
        <f t="shared" si="346"/>
        <v>208494.76418587213</v>
      </c>
      <c r="EL99" s="417">
        <f t="shared" si="346"/>
        <v>208494.76418587213</v>
      </c>
      <c r="EM99" s="417">
        <f t="shared" si="346"/>
        <v>208494.76418587213</v>
      </c>
      <c r="EN99" s="417">
        <f t="shared" si="346"/>
        <v>208494.76418587213</v>
      </c>
      <c r="EO99"/>
      <c r="EP99" s="219" t="str">
        <f t="shared" si="367"/>
        <v>Snowtunnel</v>
      </c>
      <c r="EQ99" s="913">
        <f t="shared" si="368"/>
        <v>3800</v>
      </c>
      <c r="ER99" s="197">
        <f t="shared" si="369"/>
        <v>28</v>
      </c>
      <c r="ES99" s="18"/>
      <c r="ET99" s="18"/>
      <c r="EU99" s="18"/>
      <c r="EV99" s="418">
        <f t="shared" si="370"/>
        <v>0</v>
      </c>
      <c r="EW99" s="418">
        <f t="shared" si="370"/>
        <v>0</v>
      </c>
      <c r="EX99" s="418">
        <f t="shared" si="370"/>
        <v>0</v>
      </c>
      <c r="EY99" s="418">
        <f t="shared" si="370"/>
        <v>0</v>
      </c>
      <c r="EZ99" s="418">
        <f t="shared" si="370"/>
        <v>0</v>
      </c>
      <c r="FA99" s="418">
        <f t="shared" si="370"/>
        <v>0</v>
      </c>
      <c r="FB99" s="418">
        <f t="shared" si="370"/>
        <v>0</v>
      </c>
      <c r="FC99" s="418">
        <f t="shared" si="370"/>
        <v>0</v>
      </c>
      <c r="FD99" s="418">
        <f t="shared" si="370"/>
        <v>0</v>
      </c>
      <c r="FE99" s="418">
        <f t="shared" si="370"/>
        <v>0</v>
      </c>
      <c r="FF99" s="418">
        <f t="shared" si="370"/>
        <v>0</v>
      </c>
      <c r="FG99" s="418">
        <f t="shared" si="370"/>
        <v>0</v>
      </c>
      <c r="FH99" s="418">
        <f t="shared" si="370"/>
        <v>0</v>
      </c>
      <c r="FI99" s="418">
        <f t="shared" si="370"/>
        <v>0</v>
      </c>
      <c r="FJ99" s="418">
        <f t="shared" si="370"/>
        <v>0</v>
      </c>
      <c r="FK99" s="418">
        <f t="shared" si="370"/>
        <v>0</v>
      </c>
      <c r="FL99" s="418">
        <f t="shared" si="380"/>
        <v>0</v>
      </c>
      <c r="FM99" s="418">
        <f t="shared" si="380"/>
        <v>0</v>
      </c>
      <c r="FN99" s="418">
        <f t="shared" si="380"/>
        <v>0</v>
      </c>
      <c r="FO99" s="418">
        <f t="shared" si="380"/>
        <v>0</v>
      </c>
      <c r="FP99" s="418">
        <f t="shared" si="380"/>
        <v>0</v>
      </c>
      <c r="FQ99" s="418">
        <f t="shared" si="380"/>
        <v>0</v>
      </c>
      <c r="FR99" s="418">
        <f t="shared" si="380"/>
        <v>0</v>
      </c>
      <c r="FS99" s="418">
        <f t="shared" si="380"/>
        <v>0</v>
      </c>
      <c r="FT99" s="418">
        <f t="shared" si="380"/>
        <v>0</v>
      </c>
      <c r="FU99" s="418">
        <f t="shared" si="380"/>
        <v>0</v>
      </c>
      <c r="FV99" s="418">
        <f t="shared" si="380"/>
        <v>0</v>
      </c>
      <c r="FW99" s="418">
        <f t="shared" si="380"/>
        <v>0</v>
      </c>
      <c r="FX99" s="418">
        <f t="shared" si="380"/>
        <v>3800</v>
      </c>
      <c r="FY99" s="418">
        <f t="shared" si="380"/>
        <v>3800</v>
      </c>
      <c r="FZ99" s="418">
        <f t="shared" si="380"/>
        <v>3800</v>
      </c>
      <c r="GA99" s="418">
        <f t="shared" si="380"/>
        <v>3800</v>
      </c>
      <c r="GB99" s="418">
        <f t="shared" si="380"/>
        <v>3800</v>
      </c>
      <c r="GC99" s="418">
        <f t="shared" si="380"/>
        <v>3800</v>
      </c>
      <c r="GD99" s="418">
        <f t="shared" si="380"/>
        <v>3800</v>
      </c>
      <c r="GE99" s="418">
        <f t="shared" si="380"/>
        <v>3800</v>
      </c>
      <c r="GF99" s="418">
        <f t="shared" si="380"/>
        <v>3800</v>
      </c>
      <c r="GG99" s="418">
        <f t="shared" si="380"/>
        <v>3800</v>
      </c>
      <c r="GH99" s="418">
        <f t="shared" si="380"/>
        <v>3800</v>
      </c>
      <c r="GI99" s="418">
        <f t="shared" si="380"/>
        <v>3800</v>
      </c>
      <c r="GJ99" s="418">
        <f t="shared" si="380"/>
        <v>3800</v>
      </c>
      <c r="GK99" s="418">
        <f t="shared" si="380"/>
        <v>3800</v>
      </c>
      <c r="GL99" s="418">
        <f t="shared" si="380"/>
        <v>3800</v>
      </c>
      <c r="GM99" s="418">
        <f t="shared" si="380"/>
        <v>3800</v>
      </c>
      <c r="GN99" s="418">
        <f t="shared" si="380"/>
        <v>3800</v>
      </c>
      <c r="GO99" s="418">
        <f t="shared" si="380"/>
        <v>3800</v>
      </c>
      <c r="GP99" s="418">
        <f t="shared" si="380"/>
        <v>3800</v>
      </c>
      <c r="GQ99" s="418">
        <f t="shared" si="380"/>
        <v>3800</v>
      </c>
      <c r="GR99" s="418">
        <f t="shared" si="380"/>
        <v>3800</v>
      </c>
      <c r="GS99" s="418">
        <f t="shared" si="380"/>
        <v>3800</v>
      </c>
      <c r="GT99" s="418">
        <f t="shared" si="380"/>
        <v>3800</v>
      </c>
      <c r="GU99" s="418">
        <f t="shared" si="380"/>
        <v>3800</v>
      </c>
      <c r="GV99" s="418">
        <f t="shared" si="380"/>
        <v>3800</v>
      </c>
      <c r="GW99" s="418">
        <f t="shared" si="380"/>
        <v>3800</v>
      </c>
      <c r="GX99" s="418">
        <f t="shared" si="380"/>
        <v>3800</v>
      </c>
      <c r="GY99" s="418">
        <f t="shared" si="380"/>
        <v>3800</v>
      </c>
      <c r="GZ99" s="418">
        <f t="shared" si="380"/>
        <v>3800</v>
      </c>
      <c r="HA99" s="418">
        <f t="shared" si="380"/>
        <v>3800</v>
      </c>
      <c r="HB99" s="418">
        <f t="shared" si="380"/>
        <v>3800</v>
      </c>
      <c r="HC99" s="418">
        <f t="shared" si="380"/>
        <v>3800</v>
      </c>
      <c r="HD99" s="418">
        <f t="shared" si="380"/>
        <v>3800</v>
      </c>
      <c r="HE99" s="418">
        <f t="shared" si="380"/>
        <v>3800</v>
      </c>
      <c r="HF99" s="418">
        <f t="shared" si="380"/>
        <v>3800</v>
      </c>
      <c r="HG99" s="418">
        <f t="shared" si="380"/>
        <v>3800</v>
      </c>
      <c r="HH99" s="418">
        <f t="shared" si="380"/>
        <v>3800</v>
      </c>
      <c r="HI99" s="418">
        <f t="shared" si="379"/>
        <v>3800</v>
      </c>
      <c r="HJ99" s="418">
        <f t="shared" si="379"/>
        <v>3800</v>
      </c>
      <c r="HK99" s="418">
        <f t="shared" si="379"/>
        <v>3800</v>
      </c>
      <c r="HL99" s="418">
        <f t="shared" si="379"/>
        <v>3800</v>
      </c>
      <c r="HM99" s="418">
        <f t="shared" si="379"/>
        <v>3800</v>
      </c>
      <c r="HN99" s="418">
        <f t="shared" si="379"/>
        <v>3800</v>
      </c>
      <c r="HO99" s="418">
        <f t="shared" si="379"/>
        <v>3800</v>
      </c>
      <c r="HP99" s="418">
        <f t="shared" si="379"/>
        <v>3800</v>
      </c>
      <c r="HQ99" s="418">
        <f t="shared" si="379"/>
        <v>3800</v>
      </c>
      <c r="HR99" s="418">
        <f t="shared" si="379"/>
        <v>3800</v>
      </c>
      <c r="HS99" s="418">
        <f t="shared" si="379"/>
        <v>3800</v>
      </c>
      <c r="HT99" s="418">
        <f t="shared" si="379"/>
        <v>3800</v>
      </c>
      <c r="HU99" s="418">
        <f t="shared" si="379"/>
        <v>3800</v>
      </c>
      <c r="HV99" s="418">
        <f t="shared" si="379"/>
        <v>3800</v>
      </c>
      <c r="HW99" s="418">
        <f t="shared" si="379"/>
        <v>3800</v>
      </c>
      <c r="HX99" s="418">
        <f t="shared" si="379"/>
        <v>3800</v>
      </c>
      <c r="HY99" s="418">
        <f t="shared" si="379"/>
        <v>3800</v>
      </c>
      <c r="HZ99" s="418">
        <f t="shared" si="379"/>
        <v>3800</v>
      </c>
      <c r="IA99" s="418">
        <f t="shared" si="379"/>
        <v>3800</v>
      </c>
      <c r="IB99" s="418">
        <f t="shared" si="379"/>
        <v>3800</v>
      </c>
      <c r="IC99" s="418">
        <f t="shared" si="379"/>
        <v>3800</v>
      </c>
      <c r="ID99" s="418">
        <f t="shared" si="379"/>
        <v>3800</v>
      </c>
      <c r="IE99" s="418">
        <f t="shared" si="379"/>
        <v>3800</v>
      </c>
      <c r="IF99" s="418">
        <f t="shared" si="379"/>
        <v>3800</v>
      </c>
      <c r="IG99" s="418">
        <f t="shared" si="379"/>
        <v>3800</v>
      </c>
      <c r="IH99" s="418">
        <f t="shared" si="379"/>
        <v>3800</v>
      </c>
      <c r="II99" s="418">
        <f t="shared" si="379"/>
        <v>3800</v>
      </c>
      <c r="IJ99" s="418">
        <f t="shared" si="379"/>
        <v>3800</v>
      </c>
      <c r="IK99" s="418">
        <f t="shared" si="379"/>
        <v>3800</v>
      </c>
      <c r="IL99" s="418">
        <f t="shared" si="379"/>
        <v>3800</v>
      </c>
      <c r="IM99" s="418">
        <f t="shared" si="379"/>
        <v>3800</v>
      </c>
      <c r="IN99" s="418">
        <f t="shared" si="379"/>
        <v>3800</v>
      </c>
      <c r="IO99" s="418">
        <f t="shared" si="379"/>
        <v>3800</v>
      </c>
      <c r="IP99" s="418">
        <f t="shared" si="379"/>
        <v>3800</v>
      </c>
      <c r="IQ99" s="418">
        <f t="shared" si="379"/>
        <v>3800</v>
      </c>
      <c r="IR99" s="418">
        <f t="shared" si="379"/>
        <v>3800</v>
      </c>
      <c r="IS99" s="418">
        <f t="shared" si="379"/>
        <v>3800</v>
      </c>
      <c r="IT99" s="418">
        <f t="shared" si="379"/>
        <v>3800</v>
      </c>
      <c r="IU99" s="418">
        <f t="shared" si="379"/>
        <v>3800</v>
      </c>
      <c r="IV99" s="418">
        <f t="shared" si="379"/>
        <v>3800</v>
      </c>
      <c r="IW99" s="418">
        <f t="shared" si="379"/>
        <v>3800</v>
      </c>
      <c r="IX99" s="418">
        <f t="shared" si="379"/>
        <v>3800</v>
      </c>
      <c r="IY99" s="418">
        <f t="shared" si="379"/>
        <v>3800</v>
      </c>
      <c r="IZ99" s="418">
        <f t="shared" si="379"/>
        <v>3800</v>
      </c>
      <c r="JA99" s="418">
        <f t="shared" si="379"/>
        <v>3800</v>
      </c>
      <c r="JB99" s="418">
        <f t="shared" si="379"/>
        <v>3800</v>
      </c>
      <c r="JC99" s="418">
        <f t="shared" si="379"/>
        <v>3800</v>
      </c>
      <c r="JD99" s="418">
        <f t="shared" si="379"/>
        <v>3800</v>
      </c>
      <c r="JE99" s="418">
        <f t="shared" si="379"/>
        <v>3800</v>
      </c>
      <c r="JF99" s="418">
        <f t="shared" si="379"/>
        <v>3800</v>
      </c>
      <c r="JG99" s="418">
        <f t="shared" si="379"/>
        <v>3800</v>
      </c>
      <c r="JH99" s="418">
        <f t="shared" si="379"/>
        <v>3800</v>
      </c>
      <c r="JI99" s="418">
        <f t="shared" si="379"/>
        <v>3800</v>
      </c>
      <c r="JJ99" s="418">
        <f t="shared" si="379"/>
        <v>3800</v>
      </c>
      <c r="JK99" s="418">
        <f t="shared" si="379"/>
        <v>3800</v>
      </c>
      <c r="JL99" s="418">
        <f t="shared" si="379"/>
        <v>3800</v>
      </c>
      <c r="JM99" s="418">
        <f t="shared" si="379"/>
        <v>3800</v>
      </c>
      <c r="JN99" s="418">
        <f t="shared" si="379"/>
        <v>3800</v>
      </c>
      <c r="JO99" s="418">
        <f t="shared" si="379"/>
        <v>3800</v>
      </c>
      <c r="JP99" s="418">
        <f t="shared" si="379"/>
        <v>3800</v>
      </c>
      <c r="JQ99" s="418">
        <f t="shared" si="379"/>
        <v>3800</v>
      </c>
      <c r="JR99" s="418">
        <f t="shared" si="379"/>
        <v>3800</v>
      </c>
      <c r="JS99" s="418">
        <f t="shared" si="379"/>
        <v>3800</v>
      </c>
      <c r="JT99" s="418">
        <f>(JT$3&gt;=$ER99)*$EQ99</f>
        <v>3800</v>
      </c>
      <c r="JU99" s="418">
        <f t="shared" si="354"/>
        <v>3800</v>
      </c>
      <c r="JV99" s="418">
        <f t="shared" si="354"/>
        <v>3800</v>
      </c>
      <c r="JW99" s="418">
        <f t="shared" si="354"/>
        <v>3800</v>
      </c>
      <c r="JX99" s="418">
        <f t="shared" si="354"/>
        <v>3800</v>
      </c>
      <c r="JY99"/>
      <c r="JZ99" s="219" t="str">
        <f t="shared" si="371"/>
        <v>Snowtunnel</v>
      </c>
      <c r="KA99" s="418">
        <f t="shared" si="355"/>
        <v>1900000</v>
      </c>
      <c r="KB99" s="197">
        <f t="shared" si="356"/>
        <v>31</v>
      </c>
      <c r="KC99" s="206">
        <f t="shared" si="357"/>
        <v>3.5000000000000003E-2</v>
      </c>
      <c r="KD99" s="213" t="str">
        <f t="shared" si="327"/>
        <v>Annual</v>
      </c>
      <c r="KE99" s="470">
        <f>IF(KD99="",1,IFERROR(MAX(1,INDEX(Data!$H$24:$H$33,MATCH(KD99,Data!$G$24:$G$33,0))),1))</f>
        <v>1</v>
      </c>
      <c r="KF99" s="263"/>
      <c r="KG99" s="471">
        <f t="shared" si="372"/>
        <v>0</v>
      </c>
      <c r="KH99" s="471">
        <f t="shared" si="358"/>
        <v>0</v>
      </c>
      <c r="KI99" s="471">
        <f t="shared" si="358"/>
        <v>0</v>
      </c>
      <c r="KJ99" s="471">
        <f t="shared" si="358"/>
        <v>0</v>
      </c>
      <c r="KK99" s="471">
        <f t="shared" si="358"/>
        <v>0</v>
      </c>
      <c r="KL99" s="471">
        <f t="shared" si="358"/>
        <v>0</v>
      </c>
      <c r="KM99" s="471">
        <f t="shared" si="358"/>
        <v>0</v>
      </c>
      <c r="KN99" s="471">
        <f t="shared" si="358"/>
        <v>0</v>
      </c>
      <c r="KO99" s="471">
        <f t="shared" si="358"/>
        <v>0</v>
      </c>
      <c r="KP99" s="471">
        <f t="shared" si="358"/>
        <v>0</v>
      </c>
      <c r="KQ99" s="471">
        <f t="shared" si="358"/>
        <v>0</v>
      </c>
      <c r="KR99" s="471">
        <f t="shared" si="358"/>
        <v>0</v>
      </c>
      <c r="KS99" s="471">
        <f t="shared" si="358"/>
        <v>0</v>
      </c>
      <c r="KT99" s="471">
        <f t="shared" si="358"/>
        <v>0</v>
      </c>
      <c r="KU99" s="471">
        <f t="shared" si="358"/>
        <v>0</v>
      </c>
      <c r="KV99" s="471">
        <f t="shared" si="358"/>
        <v>0</v>
      </c>
      <c r="KW99" s="471">
        <f t="shared" si="358"/>
        <v>0</v>
      </c>
      <c r="KX99" s="471">
        <f t="shared" si="359"/>
        <v>0</v>
      </c>
      <c r="KY99" s="471">
        <f t="shared" si="359"/>
        <v>0</v>
      </c>
      <c r="KZ99" s="471">
        <f t="shared" si="359"/>
        <v>0</v>
      </c>
      <c r="LA99" s="471">
        <f t="shared" si="359"/>
        <v>0</v>
      </c>
      <c r="LB99" s="471">
        <f t="shared" si="359"/>
        <v>0</v>
      </c>
      <c r="LC99" s="471">
        <f t="shared" si="359"/>
        <v>0</v>
      </c>
      <c r="LD99" s="471">
        <f t="shared" si="359"/>
        <v>0</v>
      </c>
      <c r="LE99" s="471">
        <f t="shared" si="359"/>
        <v>0</v>
      </c>
      <c r="LF99" s="471">
        <f t="shared" si="359"/>
        <v>0</v>
      </c>
      <c r="LG99" s="471">
        <f t="shared" si="359"/>
        <v>0</v>
      </c>
      <c r="LH99" s="471">
        <f t="shared" si="359"/>
        <v>0</v>
      </c>
      <c r="LI99" s="471">
        <f t="shared" si="359"/>
        <v>0</v>
      </c>
      <c r="LJ99" s="471">
        <f t="shared" si="359"/>
        <v>0</v>
      </c>
      <c r="LK99" s="471">
        <f t="shared" si="359"/>
        <v>158333.33333333334</v>
      </c>
      <c r="LL99" s="471">
        <f t="shared" si="359"/>
        <v>158333.33333333334</v>
      </c>
      <c r="LM99" s="471">
        <f t="shared" si="359"/>
        <v>158333.33333333334</v>
      </c>
      <c r="LN99" s="471">
        <f t="shared" si="360"/>
        <v>158333.33333333334</v>
      </c>
      <c r="LO99" s="471">
        <f t="shared" si="360"/>
        <v>158333.33333333334</v>
      </c>
      <c r="LP99" s="471">
        <f t="shared" si="360"/>
        <v>158333.33333333334</v>
      </c>
      <c r="LQ99" s="471">
        <f t="shared" si="360"/>
        <v>158333.33333333334</v>
      </c>
      <c r="LR99" s="471">
        <f t="shared" si="360"/>
        <v>158333.33333333334</v>
      </c>
      <c r="LS99" s="471">
        <f t="shared" si="360"/>
        <v>158333.33333333334</v>
      </c>
      <c r="LT99" s="471">
        <f t="shared" si="360"/>
        <v>158333.33333333334</v>
      </c>
      <c r="LU99" s="471">
        <f t="shared" si="360"/>
        <v>158333.33333333334</v>
      </c>
      <c r="LV99" s="471">
        <f t="shared" si="360"/>
        <v>158333.33333333334</v>
      </c>
      <c r="LW99" s="471">
        <f t="shared" si="360"/>
        <v>163875</v>
      </c>
      <c r="LX99" s="471">
        <f t="shared" si="360"/>
        <v>163875</v>
      </c>
      <c r="LY99" s="471">
        <f t="shared" si="360"/>
        <v>163875</v>
      </c>
      <c r="LZ99" s="471">
        <f t="shared" si="360"/>
        <v>163875</v>
      </c>
      <c r="MA99" s="471">
        <f t="shared" si="360"/>
        <v>163875</v>
      </c>
      <c r="MB99" s="471">
        <f t="shared" si="360"/>
        <v>163875</v>
      </c>
      <c r="MC99" s="471">
        <f t="shared" si="360"/>
        <v>163875</v>
      </c>
      <c r="MD99" s="471">
        <f t="shared" si="361"/>
        <v>163875</v>
      </c>
      <c r="ME99" s="471">
        <f t="shared" si="361"/>
        <v>163875</v>
      </c>
      <c r="MF99" s="471">
        <f t="shared" si="361"/>
        <v>163875</v>
      </c>
      <c r="MG99" s="471">
        <f t="shared" si="361"/>
        <v>163875</v>
      </c>
      <c r="MH99" s="471">
        <f t="shared" si="361"/>
        <v>163875</v>
      </c>
      <c r="MI99" s="471">
        <f t="shared" si="361"/>
        <v>169610.625</v>
      </c>
      <c r="MJ99" s="471">
        <f t="shared" si="361"/>
        <v>169610.625</v>
      </c>
      <c r="MK99" s="471">
        <f t="shared" si="361"/>
        <v>169610.625</v>
      </c>
      <c r="ML99" s="471">
        <f t="shared" si="361"/>
        <v>169610.625</v>
      </c>
      <c r="MM99" s="471">
        <f t="shared" si="361"/>
        <v>169610.625</v>
      </c>
      <c r="MN99" s="471">
        <f t="shared" si="361"/>
        <v>169610.625</v>
      </c>
      <c r="MO99" s="471">
        <f t="shared" si="361"/>
        <v>169610.625</v>
      </c>
      <c r="MP99" s="471">
        <f t="shared" si="361"/>
        <v>169610.625</v>
      </c>
      <c r="MQ99" s="471">
        <f t="shared" si="361"/>
        <v>169610.625</v>
      </c>
      <c r="MR99" s="471">
        <f t="shared" si="361"/>
        <v>169610.625</v>
      </c>
      <c r="MS99" s="471">
        <f t="shared" si="361"/>
        <v>169610.625</v>
      </c>
      <c r="MT99" s="471">
        <f t="shared" si="362"/>
        <v>169610.625</v>
      </c>
      <c r="MU99" s="471">
        <f t="shared" si="362"/>
        <v>175546.99687499998</v>
      </c>
      <c r="MV99" s="471">
        <f t="shared" si="362"/>
        <v>175546.99687499998</v>
      </c>
      <c r="MW99" s="471">
        <f t="shared" si="362"/>
        <v>175546.99687499998</v>
      </c>
      <c r="MX99" s="471">
        <f t="shared" si="362"/>
        <v>175546.99687499998</v>
      </c>
      <c r="MY99" s="471">
        <f t="shared" si="362"/>
        <v>175546.99687499998</v>
      </c>
      <c r="MZ99" s="471">
        <f t="shared" si="362"/>
        <v>175546.99687499998</v>
      </c>
      <c r="NA99" s="471">
        <f t="shared" si="362"/>
        <v>175546.99687499998</v>
      </c>
      <c r="NB99" s="471">
        <f t="shared" si="362"/>
        <v>175546.99687499998</v>
      </c>
      <c r="NC99" s="471">
        <f t="shared" si="362"/>
        <v>175546.99687499998</v>
      </c>
      <c r="ND99" s="471">
        <f t="shared" si="362"/>
        <v>175546.99687499998</v>
      </c>
      <c r="NE99" s="471">
        <f t="shared" si="362"/>
        <v>175546.99687499998</v>
      </c>
      <c r="NF99" s="471">
        <f t="shared" si="362"/>
        <v>175546.99687499998</v>
      </c>
      <c r="NG99" s="471">
        <f t="shared" si="362"/>
        <v>181691.14176562495</v>
      </c>
      <c r="NH99" s="471">
        <f t="shared" si="362"/>
        <v>181691.14176562495</v>
      </c>
      <c r="NI99" s="471">
        <f t="shared" si="362"/>
        <v>181691.14176562495</v>
      </c>
      <c r="NJ99" s="471">
        <f t="shared" si="363"/>
        <v>181691.14176562495</v>
      </c>
      <c r="NK99" s="471">
        <f t="shared" si="363"/>
        <v>181691.14176562495</v>
      </c>
      <c r="NL99" s="471">
        <f t="shared" si="363"/>
        <v>181691.14176562495</v>
      </c>
      <c r="NM99" s="471">
        <f t="shared" si="363"/>
        <v>181691.14176562495</v>
      </c>
      <c r="NN99" s="471">
        <f t="shared" si="363"/>
        <v>181691.14176562495</v>
      </c>
      <c r="NO99" s="471">
        <f t="shared" si="363"/>
        <v>181691.14176562495</v>
      </c>
      <c r="NP99" s="471">
        <f t="shared" si="363"/>
        <v>181691.14176562495</v>
      </c>
      <c r="NQ99" s="471">
        <f t="shared" si="363"/>
        <v>181691.14176562495</v>
      </c>
      <c r="NR99" s="471">
        <f t="shared" si="363"/>
        <v>181691.14176562495</v>
      </c>
      <c r="NS99" s="471">
        <f t="shared" si="363"/>
        <v>188050.33172742181</v>
      </c>
      <c r="NT99" s="471">
        <f t="shared" si="363"/>
        <v>188050.33172742181</v>
      </c>
      <c r="NU99" s="471">
        <f t="shared" si="363"/>
        <v>188050.33172742181</v>
      </c>
      <c r="NV99" s="471">
        <f t="shared" si="363"/>
        <v>188050.33172742181</v>
      </c>
      <c r="NW99" s="471">
        <f t="shared" si="363"/>
        <v>188050.33172742181</v>
      </c>
      <c r="NX99" s="471">
        <f t="shared" si="363"/>
        <v>188050.33172742181</v>
      </c>
      <c r="NY99" s="471">
        <f t="shared" si="363"/>
        <v>188050.33172742181</v>
      </c>
      <c r="NZ99" s="471">
        <f t="shared" si="364"/>
        <v>188050.33172742181</v>
      </c>
      <c r="OA99" s="471">
        <f t="shared" si="364"/>
        <v>188050.33172742181</v>
      </c>
      <c r="OB99" s="471">
        <f t="shared" si="364"/>
        <v>188050.33172742181</v>
      </c>
      <c r="OC99" s="471">
        <f t="shared" si="364"/>
        <v>188050.33172742181</v>
      </c>
      <c r="OD99" s="471">
        <f t="shared" si="364"/>
        <v>188050.33172742181</v>
      </c>
      <c r="OE99" s="471">
        <f t="shared" si="364"/>
        <v>194632.09333788158</v>
      </c>
      <c r="OF99" s="471">
        <f t="shared" si="364"/>
        <v>194632.09333788158</v>
      </c>
      <c r="OG99" s="471">
        <f t="shared" si="364"/>
        <v>194632.09333788158</v>
      </c>
      <c r="OH99" s="471">
        <f t="shared" si="364"/>
        <v>194632.09333788158</v>
      </c>
      <c r="OI99" s="471">
        <f t="shared" si="364"/>
        <v>194632.09333788158</v>
      </c>
      <c r="OJ99" s="471">
        <f t="shared" si="364"/>
        <v>194632.09333788158</v>
      </c>
      <c r="OK99" s="471">
        <f t="shared" si="364"/>
        <v>194632.09333788158</v>
      </c>
      <c r="OL99" s="471">
        <f t="shared" si="364"/>
        <v>194632.09333788158</v>
      </c>
      <c r="OM99" s="471">
        <f t="shared" si="364"/>
        <v>194632.09333788158</v>
      </c>
      <c r="ON99" s="471">
        <f t="shared" si="364"/>
        <v>194632.09333788158</v>
      </c>
      <c r="OO99" s="471">
        <f t="shared" si="364"/>
        <v>194632.09333788158</v>
      </c>
      <c r="OP99" s="471">
        <f t="shared" si="365"/>
        <v>194632.09333788158</v>
      </c>
      <c r="OQ99" s="471">
        <f t="shared" si="365"/>
        <v>201444.21660470741</v>
      </c>
      <c r="OR99" s="471">
        <f t="shared" si="365"/>
        <v>201444.21660470741</v>
      </c>
      <c r="OS99" s="471">
        <f t="shared" si="365"/>
        <v>201444.21660470741</v>
      </c>
      <c r="OT99" s="471">
        <f t="shared" si="365"/>
        <v>201444.21660470741</v>
      </c>
      <c r="OU99" s="471">
        <f t="shared" si="365"/>
        <v>201444.21660470741</v>
      </c>
      <c r="OV99" s="471">
        <f t="shared" si="365"/>
        <v>201444.21660470741</v>
      </c>
      <c r="OW99" s="471">
        <f t="shared" si="365"/>
        <v>201444.21660470741</v>
      </c>
      <c r="OX99" s="471">
        <f t="shared" si="365"/>
        <v>201444.21660470741</v>
      </c>
      <c r="OY99" s="471">
        <f t="shared" si="365"/>
        <v>201444.21660470741</v>
      </c>
      <c r="OZ99" s="471">
        <f t="shared" si="365"/>
        <v>201444.21660470741</v>
      </c>
      <c r="PA99" s="471">
        <f t="shared" si="365"/>
        <v>201444.21660470741</v>
      </c>
      <c r="PB99" s="471">
        <f t="shared" si="365"/>
        <v>201444.21660470741</v>
      </c>
      <c r="PC99" s="471">
        <f t="shared" si="365"/>
        <v>208494.76418587213</v>
      </c>
      <c r="PD99" s="471">
        <f t="shared" si="365"/>
        <v>208494.76418587213</v>
      </c>
      <c r="PE99" s="471">
        <f t="shared" si="365"/>
        <v>208494.76418587213</v>
      </c>
      <c r="PF99" s="471">
        <f t="shared" si="366"/>
        <v>208494.76418587213</v>
      </c>
      <c r="PG99" s="471">
        <f t="shared" si="366"/>
        <v>208494.76418587213</v>
      </c>
      <c r="PH99" s="471">
        <f t="shared" si="366"/>
        <v>208494.76418587213</v>
      </c>
    </row>
    <row r="100" spans="1:424" x14ac:dyDescent="0.35">
      <c r="A100"/>
      <c r="B100" s="469" t="s">
        <v>257</v>
      </c>
      <c r="C100" s="469" t="s">
        <v>258</v>
      </c>
      <c r="D100" s="45">
        <v>31</v>
      </c>
      <c r="E100" s="837" t="str">
        <f>IF('URWLD COMPANY INPUTS'!$F$859="","",'URWLD COMPANY INPUTS'!$F$859)</f>
        <v/>
      </c>
      <c r="F100" s="45">
        <f t="shared" si="332"/>
        <v>34</v>
      </c>
      <c r="G100" s="838">
        <f>IF('INPUT REGISTER'!$F$416="","",'INPUT REGISTER'!$F$416)</f>
        <v>3.5000000000000003E-2</v>
      </c>
      <c r="H100" s="843">
        <f>'INPUT REGISTER'!$F$679</f>
        <v>500</v>
      </c>
      <c r="I100" s="424">
        <f t="shared" si="333"/>
        <v>0</v>
      </c>
      <c r="J100"/>
      <c r="K100" s="286" t="s">
        <v>247</v>
      </c>
      <c r="L100" s="75">
        <f t="shared" si="334"/>
        <v>0</v>
      </c>
      <c r="M100" s="417">
        <f t="shared" si="334"/>
        <v>0</v>
      </c>
      <c r="N100" s="417">
        <f t="shared" si="334"/>
        <v>0</v>
      </c>
      <c r="O100" s="417">
        <f t="shared" si="334"/>
        <v>0</v>
      </c>
      <c r="P100" s="417">
        <f t="shared" si="334"/>
        <v>0</v>
      </c>
      <c r="Q100" s="417">
        <f t="shared" si="334"/>
        <v>0</v>
      </c>
      <c r="R100" s="417">
        <f t="shared" si="334"/>
        <v>0</v>
      </c>
      <c r="S100" s="417">
        <f t="shared" si="334"/>
        <v>0</v>
      </c>
      <c r="T100" s="417">
        <f t="shared" si="334"/>
        <v>0</v>
      </c>
      <c r="U100" s="417">
        <f t="shared" si="334"/>
        <v>0</v>
      </c>
      <c r="V100" s="417">
        <f t="shared" si="335"/>
        <v>0</v>
      </c>
      <c r="W100" s="417">
        <f t="shared" si="335"/>
        <v>0</v>
      </c>
      <c r="X100" s="417">
        <f t="shared" si="335"/>
        <v>0</v>
      </c>
      <c r="Y100" s="417">
        <f t="shared" si="335"/>
        <v>0</v>
      </c>
      <c r="Z100" s="417">
        <f t="shared" si="335"/>
        <v>0</v>
      </c>
      <c r="AA100" s="417">
        <f t="shared" si="335"/>
        <v>0</v>
      </c>
      <c r="AB100" s="417">
        <f t="shared" si="335"/>
        <v>0</v>
      </c>
      <c r="AC100" s="417">
        <f t="shared" si="335"/>
        <v>0</v>
      </c>
      <c r="AD100" s="417">
        <f t="shared" si="335"/>
        <v>0</v>
      </c>
      <c r="AE100" s="417">
        <f t="shared" si="335"/>
        <v>0</v>
      </c>
      <c r="AF100" s="417">
        <f t="shared" si="336"/>
        <v>0</v>
      </c>
      <c r="AG100" s="417">
        <f t="shared" si="336"/>
        <v>0</v>
      </c>
      <c r="AH100" s="417">
        <f t="shared" si="336"/>
        <v>0</v>
      </c>
      <c r="AI100" s="417">
        <f t="shared" si="336"/>
        <v>0</v>
      </c>
      <c r="AJ100" s="417">
        <f t="shared" si="336"/>
        <v>0</v>
      </c>
      <c r="AK100" s="417">
        <f t="shared" si="336"/>
        <v>0</v>
      </c>
      <c r="AL100" s="417">
        <f t="shared" si="336"/>
        <v>0</v>
      </c>
      <c r="AM100" s="417">
        <f t="shared" si="336"/>
        <v>0</v>
      </c>
      <c r="AN100" s="417">
        <f t="shared" si="336"/>
        <v>0</v>
      </c>
      <c r="AO100" s="417">
        <f t="shared" si="336"/>
        <v>0</v>
      </c>
      <c r="AP100" s="417">
        <f t="shared" si="337"/>
        <v>0</v>
      </c>
      <c r="AQ100" s="417">
        <f t="shared" si="337"/>
        <v>0</v>
      </c>
      <c r="AR100" s="417">
        <f t="shared" si="337"/>
        <v>0</v>
      </c>
      <c r="AS100" s="417">
        <f t="shared" si="337"/>
        <v>0</v>
      </c>
      <c r="AT100" s="417">
        <f t="shared" si="337"/>
        <v>0</v>
      </c>
      <c r="AU100" s="417">
        <f t="shared" si="337"/>
        <v>0</v>
      </c>
      <c r="AV100" s="417">
        <f t="shared" si="337"/>
        <v>0</v>
      </c>
      <c r="AW100" s="417">
        <f t="shared" si="337"/>
        <v>0</v>
      </c>
      <c r="AX100" s="417">
        <f t="shared" si="337"/>
        <v>0</v>
      </c>
      <c r="AY100" s="417">
        <f t="shared" si="337"/>
        <v>0</v>
      </c>
      <c r="AZ100" s="417">
        <f t="shared" si="338"/>
        <v>0</v>
      </c>
      <c r="BA100" s="417">
        <f t="shared" si="338"/>
        <v>0</v>
      </c>
      <c r="BB100" s="417">
        <f t="shared" si="338"/>
        <v>0</v>
      </c>
      <c r="BC100" s="417">
        <f t="shared" si="338"/>
        <v>0</v>
      </c>
      <c r="BD100" s="417">
        <f t="shared" si="338"/>
        <v>0</v>
      </c>
      <c r="BE100" s="417">
        <f t="shared" si="338"/>
        <v>0</v>
      </c>
      <c r="BF100" s="417">
        <f t="shared" si="338"/>
        <v>0</v>
      </c>
      <c r="BG100" s="417">
        <f t="shared" si="338"/>
        <v>0</v>
      </c>
      <c r="BH100" s="417">
        <f t="shared" si="338"/>
        <v>0</v>
      </c>
      <c r="BI100" s="417">
        <f t="shared" si="338"/>
        <v>0</v>
      </c>
      <c r="BJ100" s="417">
        <f t="shared" si="339"/>
        <v>0</v>
      </c>
      <c r="BK100" s="417">
        <f t="shared" si="339"/>
        <v>0</v>
      </c>
      <c r="BL100" s="417">
        <f t="shared" si="339"/>
        <v>0</v>
      </c>
      <c r="BM100" s="417">
        <f t="shared" si="339"/>
        <v>0</v>
      </c>
      <c r="BN100" s="417">
        <f t="shared" si="339"/>
        <v>0</v>
      </c>
      <c r="BO100" s="417">
        <f t="shared" si="339"/>
        <v>0</v>
      </c>
      <c r="BP100" s="417">
        <f t="shared" si="339"/>
        <v>0</v>
      </c>
      <c r="BQ100" s="417">
        <f t="shared" si="339"/>
        <v>0</v>
      </c>
      <c r="BR100" s="417">
        <f t="shared" si="339"/>
        <v>0</v>
      </c>
      <c r="BS100" s="417">
        <f t="shared" si="339"/>
        <v>0</v>
      </c>
      <c r="BT100" s="417">
        <f t="shared" si="340"/>
        <v>0</v>
      </c>
      <c r="BU100" s="417">
        <f t="shared" si="340"/>
        <v>0</v>
      </c>
      <c r="BV100" s="417">
        <f t="shared" si="340"/>
        <v>0</v>
      </c>
      <c r="BW100" s="417">
        <f t="shared" si="340"/>
        <v>0</v>
      </c>
      <c r="BX100" s="417">
        <f t="shared" si="340"/>
        <v>0</v>
      </c>
      <c r="BY100" s="417">
        <f t="shared" si="340"/>
        <v>0</v>
      </c>
      <c r="BZ100" s="417">
        <f t="shared" si="340"/>
        <v>0</v>
      </c>
      <c r="CA100" s="417">
        <f t="shared" si="340"/>
        <v>0</v>
      </c>
      <c r="CB100" s="417">
        <f t="shared" si="340"/>
        <v>0</v>
      </c>
      <c r="CC100" s="417">
        <f t="shared" si="340"/>
        <v>0</v>
      </c>
      <c r="CD100" s="417">
        <f t="shared" si="341"/>
        <v>0</v>
      </c>
      <c r="CE100" s="417">
        <f t="shared" si="341"/>
        <v>0</v>
      </c>
      <c r="CF100" s="417">
        <f t="shared" si="341"/>
        <v>0</v>
      </c>
      <c r="CG100" s="417">
        <f t="shared" si="341"/>
        <v>0</v>
      </c>
      <c r="CH100" s="417">
        <f t="shared" si="341"/>
        <v>0</v>
      </c>
      <c r="CI100" s="417">
        <f t="shared" si="341"/>
        <v>0</v>
      </c>
      <c r="CJ100" s="417">
        <f t="shared" si="341"/>
        <v>0</v>
      </c>
      <c r="CK100" s="417">
        <f t="shared" si="341"/>
        <v>0</v>
      </c>
      <c r="CL100" s="417">
        <f t="shared" si="341"/>
        <v>0</v>
      </c>
      <c r="CM100" s="417">
        <f t="shared" si="341"/>
        <v>0</v>
      </c>
      <c r="CN100" s="417">
        <f t="shared" si="342"/>
        <v>0</v>
      </c>
      <c r="CO100" s="417">
        <f t="shared" si="342"/>
        <v>0</v>
      </c>
      <c r="CP100" s="417">
        <f t="shared" si="342"/>
        <v>0</v>
      </c>
      <c r="CQ100" s="417">
        <f t="shared" si="342"/>
        <v>0</v>
      </c>
      <c r="CR100" s="417">
        <f t="shared" si="342"/>
        <v>0</v>
      </c>
      <c r="CS100" s="417">
        <f t="shared" si="342"/>
        <v>0</v>
      </c>
      <c r="CT100" s="417">
        <f t="shared" si="342"/>
        <v>0</v>
      </c>
      <c r="CU100" s="417">
        <f t="shared" si="342"/>
        <v>0</v>
      </c>
      <c r="CV100" s="417">
        <f t="shared" si="342"/>
        <v>0</v>
      </c>
      <c r="CW100" s="417">
        <f t="shared" si="342"/>
        <v>0</v>
      </c>
      <c r="CX100" s="417">
        <f t="shared" si="343"/>
        <v>0</v>
      </c>
      <c r="CY100" s="417">
        <f t="shared" si="343"/>
        <v>0</v>
      </c>
      <c r="CZ100" s="417">
        <f t="shared" si="343"/>
        <v>0</v>
      </c>
      <c r="DA100" s="417">
        <f t="shared" si="343"/>
        <v>0</v>
      </c>
      <c r="DB100" s="417">
        <f t="shared" si="343"/>
        <v>0</v>
      </c>
      <c r="DC100" s="417">
        <f t="shared" si="343"/>
        <v>0</v>
      </c>
      <c r="DD100" s="417">
        <f t="shared" si="343"/>
        <v>0</v>
      </c>
      <c r="DE100" s="417">
        <f t="shared" si="343"/>
        <v>0</v>
      </c>
      <c r="DF100" s="417">
        <f t="shared" si="343"/>
        <v>0</v>
      </c>
      <c r="DG100" s="417">
        <f t="shared" si="343"/>
        <v>0</v>
      </c>
      <c r="DH100" s="417">
        <f t="shared" si="344"/>
        <v>0</v>
      </c>
      <c r="DI100" s="417">
        <f t="shared" si="344"/>
        <v>0</v>
      </c>
      <c r="DJ100" s="417">
        <f t="shared" si="344"/>
        <v>0</v>
      </c>
      <c r="DK100" s="417">
        <f t="shared" si="344"/>
        <v>0</v>
      </c>
      <c r="DL100" s="417">
        <f t="shared" si="344"/>
        <v>0</v>
      </c>
      <c r="DM100" s="417">
        <f t="shared" si="344"/>
        <v>0</v>
      </c>
      <c r="DN100" s="417">
        <f t="shared" si="344"/>
        <v>0</v>
      </c>
      <c r="DO100" s="417">
        <f t="shared" si="344"/>
        <v>0</v>
      </c>
      <c r="DP100" s="417">
        <f t="shared" si="344"/>
        <v>0</v>
      </c>
      <c r="DQ100" s="417">
        <f t="shared" si="344"/>
        <v>0</v>
      </c>
      <c r="DR100" s="417">
        <f t="shared" si="345"/>
        <v>0</v>
      </c>
      <c r="DS100" s="417">
        <f t="shared" si="345"/>
        <v>0</v>
      </c>
      <c r="DT100" s="417">
        <f t="shared" si="345"/>
        <v>0</v>
      </c>
      <c r="DU100" s="417">
        <f t="shared" si="345"/>
        <v>0</v>
      </c>
      <c r="DV100" s="417">
        <f t="shared" si="345"/>
        <v>0</v>
      </c>
      <c r="DW100" s="417">
        <f t="shared" si="345"/>
        <v>0</v>
      </c>
      <c r="DX100" s="417">
        <f t="shared" si="345"/>
        <v>0</v>
      </c>
      <c r="DY100" s="417">
        <f t="shared" si="345"/>
        <v>0</v>
      </c>
      <c r="DZ100" s="417">
        <f t="shared" si="345"/>
        <v>0</v>
      </c>
      <c r="EA100" s="417">
        <f t="shared" si="345"/>
        <v>0</v>
      </c>
      <c r="EB100" s="417">
        <f t="shared" si="346"/>
        <v>0</v>
      </c>
      <c r="EC100" s="417">
        <f t="shared" si="346"/>
        <v>0</v>
      </c>
      <c r="ED100" s="417">
        <f t="shared" si="346"/>
        <v>0</v>
      </c>
      <c r="EE100" s="417">
        <f t="shared" si="346"/>
        <v>0</v>
      </c>
      <c r="EF100" s="417">
        <f t="shared" si="346"/>
        <v>0</v>
      </c>
      <c r="EG100" s="417">
        <f t="shared" si="346"/>
        <v>0</v>
      </c>
      <c r="EH100" s="417">
        <f t="shared" si="346"/>
        <v>0</v>
      </c>
      <c r="EI100" s="417">
        <f t="shared" si="346"/>
        <v>0</v>
      </c>
      <c r="EJ100" s="417">
        <f t="shared" si="346"/>
        <v>0</v>
      </c>
      <c r="EK100" s="417">
        <f t="shared" si="346"/>
        <v>0</v>
      </c>
      <c r="EL100" s="417">
        <f t="shared" si="346"/>
        <v>0</v>
      </c>
      <c r="EM100" s="417">
        <f t="shared" si="346"/>
        <v>0</v>
      </c>
      <c r="EN100" s="417">
        <f t="shared" si="346"/>
        <v>0</v>
      </c>
      <c r="EO100"/>
      <c r="EP100" s="219" t="str">
        <f t="shared" si="367"/>
        <v>Go Kart</v>
      </c>
      <c r="EQ100" s="913">
        <f t="shared" si="368"/>
        <v>0</v>
      </c>
      <c r="ER100" s="197">
        <f t="shared" si="369"/>
        <v>31</v>
      </c>
      <c r="ES100" s="18"/>
      <c r="ET100" s="18"/>
      <c r="EU100" s="18"/>
      <c r="EV100" s="418">
        <f t="shared" si="370"/>
        <v>0</v>
      </c>
      <c r="EW100" s="418">
        <f t="shared" si="370"/>
        <v>0</v>
      </c>
      <c r="EX100" s="418">
        <f t="shared" si="370"/>
        <v>0</v>
      </c>
      <c r="EY100" s="418">
        <f t="shared" si="370"/>
        <v>0</v>
      </c>
      <c r="EZ100" s="418">
        <f t="shared" si="370"/>
        <v>0</v>
      </c>
      <c r="FA100" s="418">
        <f t="shared" si="370"/>
        <v>0</v>
      </c>
      <c r="FB100" s="418">
        <f t="shared" si="370"/>
        <v>0</v>
      </c>
      <c r="FC100" s="418">
        <f t="shared" si="370"/>
        <v>0</v>
      </c>
      <c r="FD100" s="418">
        <f t="shared" si="370"/>
        <v>0</v>
      </c>
      <c r="FE100" s="418">
        <f t="shared" si="370"/>
        <v>0</v>
      </c>
      <c r="FF100" s="418">
        <f t="shared" si="370"/>
        <v>0</v>
      </c>
      <c r="FG100" s="418">
        <f t="shared" si="370"/>
        <v>0</v>
      </c>
      <c r="FH100" s="418">
        <f t="shared" si="370"/>
        <v>0</v>
      </c>
      <c r="FI100" s="418">
        <f t="shared" si="370"/>
        <v>0</v>
      </c>
      <c r="FJ100" s="418">
        <f t="shared" si="370"/>
        <v>0</v>
      </c>
      <c r="FK100" s="418">
        <f t="shared" si="370"/>
        <v>0</v>
      </c>
      <c r="FL100" s="418">
        <f t="shared" si="380"/>
        <v>0</v>
      </c>
      <c r="FM100" s="418">
        <f t="shared" si="380"/>
        <v>0</v>
      </c>
      <c r="FN100" s="418">
        <f t="shared" si="380"/>
        <v>0</v>
      </c>
      <c r="FO100" s="418">
        <f t="shared" si="380"/>
        <v>0</v>
      </c>
      <c r="FP100" s="418">
        <f t="shared" si="380"/>
        <v>0</v>
      </c>
      <c r="FQ100" s="418">
        <f t="shared" si="380"/>
        <v>0</v>
      </c>
      <c r="FR100" s="418">
        <f t="shared" si="380"/>
        <v>0</v>
      </c>
      <c r="FS100" s="418">
        <f t="shared" si="380"/>
        <v>0</v>
      </c>
      <c r="FT100" s="418">
        <f t="shared" si="380"/>
        <v>0</v>
      </c>
      <c r="FU100" s="418">
        <f t="shared" si="380"/>
        <v>0</v>
      </c>
      <c r="FV100" s="418">
        <f t="shared" si="380"/>
        <v>0</v>
      </c>
      <c r="FW100" s="418">
        <f t="shared" si="380"/>
        <v>0</v>
      </c>
      <c r="FX100" s="418">
        <f t="shared" si="380"/>
        <v>0</v>
      </c>
      <c r="FY100" s="418">
        <f t="shared" si="380"/>
        <v>0</v>
      </c>
      <c r="FZ100" s="418">
        <f t="shared" si="380"/>
        <v>0</v>
      </c>
      <c r="GA100" s="418">
        <f t="shared" si="380"/>
        <v>0</v>
      </c>
      <c r="GB100" s="418">
        <f t="shared" si="380"/>
        <v>0</v>
      </c>
      <c r="GC100" s="418">
        <f t="shared" si="380"/>
        <v>0</v>
      </c>
      <c r="GD100" s="418">
        <f t="shared" si="380"/>
        <v>0</v>
      </c>
      <c r="GE100" s="418">
        <f t="shared" si="380"/>
        <v>0</v>
      </c>
      <c r="GF100" s="418">
        <f t="shared" si="380"/>
        <v>0</v>
      </c>
      <c r="GG100" s="418">
        <f t="shared" si="380"/>
        <v>0</v>
      </c>
      <c r="GH100" s="418">
        <f t="shared" si="380"/>
        <v>0</v>
      </c>
      <c r="GI100" s="418">
        <f t="shared" si="380"/>
        <v>0</v>
      </c>
      <c r="GJ100" s="418">
        <f t="shared" si="380"/>
        <v>0</v>
      </c>
      <c r="GK100" s="418">
        <f t="shared" si="380"/>
        <v>0</v>
      </c>
      <c r="GL100" s="418">
        <f t="shared" si="380"/>
        <v>0</v>
      </c>
      <c r="GM100" s="418">
        <f t="shared" si="380"/>
        <v>0</v>
      </c>
      <c r="GN100" s="418">
        <f t="shared" si="380"/>
        <v>0</v>
      </c>
      <c r="GO100" s="418">
        <f t="shared" si="380"/>
        <v>0</v>
      </c>
      <c r="GP100" s="418">
        <f t="shared" si="380"/>
        <v>0</v>
      </c>
      <c r="GQ100" s="418">
        <f t="shared" si="380"/>
        <v>0</v>
      </c>
      <c r="GR100" s="418">
        <f t="shared" si="380"/>
        <v>0</v>
      </c>
      <c r="GS100" s="418">
        <f t="shared" si="380"/>
        <v>0</v>
      </c>
      <c r="GT100" s="418">
        <f t="shared" si="380"/>
        <v>0</v>
      </c>
      <c r="GU100" s="418">
        <f t="shared" si="380"/>
        <v>0</v>
      </c>
      <c r="GV100" s="418">
        <f t="shared" si="380"/>
        <v>0</v>
      </c>
      <c r="GW100" s="418">
        <f t="shared" si="380"/>
        <v>0</v>
      </c>
      <c r="GX100" s="418">
        <f t="shared" si="380"/>
        <v>0</v>
      </c>
      <c r="GY100" s="418">
        <f t="shared" si="380"/>
        <v>0</v>
      </c>
      <c r="GZ100" s="418">
        <f t="shared" si="380"/>
        <v>0</v>
      </c>
      <c r="HA100" s="418">
        <f t="shared" si="380"/>
        <v>0</v>
      </c>
      <c r="HB100" s="418">
        <f t="shared" si="380"/>
        <v>0</v>
      </c>
      <c r="HC100" s="418">
        <f t="shared" si="380"/>
        <v>0</v>
      </c>
      <c r="HD100" s="418">
        <f t="shared" si="380"/>
        <v>0</v>
      </c>
      <c r="HE100" s="418">
        <f t="shared" si="380"/>
        <v>0</v>
      </c>
      <c r="HF100" s="418">
        <f t="shared" si="380"/>
        <v>0</v>
      </c>
      <c r="HG100" s="418">
        <f t="shared" si="380"/>
        <v>0</v>
      </c>
      <c r="HH100" s="418">
        <f t="shared" si="380"/>
        <v>0</v>
      </c>
      <c r="HI100" s="418">
        <f t="shared" ref="HI100:JT103" si="381">(HI$3&gt;=$ER100)*$EQ100</f>
        <v>0</v>
      </c>
      <c r="HJ100" s="418">
        <f t="shared" si="381"/>
        <v>0</v>
      </c>
      <c r="HK100" s="418">
        <f t="shared" si="381"/>
        <v>0</v>
      </c>
      <c r="HL100" s="418">
        <f t="shared" si="381"/>
        <v>0</v>
      </c>
      <c r="HM100" s="418">
        <f t="shared" si="381"/>
        <v>0</v>
      </c>
      <c r="HN100" s="418">
        <f t="shared" si="381"/>
        <v>0</v>
      </c>
      <c r="HO100" s="418">
        <f t="shared" si="381"/>
        <v>0</v>
      </c>
      <c r="HP100" s="418">
        <f t="shared" si="381"/>
        <v>0</v>
      </c>
      <c r="HQ100" s="418">
        <f t="shared" si="381"/>
        <v>0</v>
      </c>
      <c r="HR100" s="418">
        <f t="shared" si="381"/>
        <v>0</v>
      </c>
      <c r="HS100" s="418">
        <f t="shared" si="381"/>
        <v>0</v>
      </c>
      <c r="HT100" s="418">
        <f t="shared" si="381"/>
        <v>0</v>
      </c>
      <c r="HU100" s="418">
        <f t="shared" si="381"/>
        <v>0</v>
      </c>
      <c r="HV100" s="418">
        <f t="shared" si="381"/>
        <v>0</v>
      </c>
      <c r="HW100" s="418">
        <f t="shared" si="381"/>
        <v>0</v>
      </c>
      <c r="HX100" s="418">
        <f t="shared" si="381"/>
        <v>0</v>
      </c>
      <c r="HY100" s="418">
        <f t="shared" si="381"/>
        <v>0</v>
      </c>
      <c r="HZ100" s="418">
        <f t="shared" si="381"/>
        <v>0</v>
      </c>
      <c r="IA100" s="418">
        <f t="shared" si="381"/>
        <v>0</v>
      </c>
      <c r="IB100" s="418">
        <f t="shared" si="381"/>
        <v>0</v>
      </c>
      <c r="IC100" s="418">
        <f t="shared" si="381"/>
        <v>0</v>
      </c>
      <c r="ID100" s="418">
        <f t="shared" si="381"/>
        <v>0</v>
      </c>
      <c r="IE100" s="418">
        <f t="shared" si="381"/>
        <v>0</v>
      </c>
      <c r="IF100" s="418">
        <f t="shared" si="381"/>
        <v>0</v>
      </c>
      <c r="IG100" s="418">
        <f t="shared" si="381"/>
        <v>0</v>
      </c>
      <c r="IH100" s="418">
        <f t="shared" si="381"/>
        <v>0</v>
      </c>
      <c r="II100" s="418">
        <f t="shared" si="381"/>
        <v>0</v>
      </c>
      <c r="IJ100" s="418">
        <f t="shared" si="381"/>
        <v>0</v>
      </c>
      <c r="IK100" s="418">
        <f t="shared" si="381"/>
        <v>0</v>
      </c>
      <c r="IL100" s="418">
        <f t="shared" si="381"/>
        <v>0</v>
      </c>
      <c r="IM100" s="418">
        <f t="shared" si="381"/>
        <v>0</v>
      </c>
      <c r="IN100" s="418">
        <f t="shared" si="381"/>
        <v>0</v>
      </c>
      <c r="IO100" s="418">
        <f t="shared" si="381"/>
        <v>0</v>
      </c>
      <c r="IP100" s="418">
        <f t="shared" si="381"/>
        <v>0</v>
      </c>
      <c r="IQ100" s="418">
        <f t="shared" si="381"/>
        <v>0</v>
      </c>
      <c r="IR100" s="418">
        <f t="shared" si="381"/>
        <v>0</v>
      </c>
      <c r="IS100" s="418">
        <f t="shared" si="381"/>
        <v>0</v>
      </c>
      <c r="IT100" s="418">
        <f t="shared" si="381"/>
        <v>0</v>
      </c>
      <c r="IU100" s="418">
        <f t="shared" si="381"/>
        <v>0</v>
      </c>
      <c r="IV100" s="418">
        <f t="shared" si="381"/>
        <v>0</v>
      </c>
      <c r="IW100" s="418">
        <f t="shared" si="381"/>
        <v>0</v>
      </c>
      <c r="IX100" s="418">
        <f t="shared" si="381"/>
        <v>0</v>
      </c>
      <c r="IY100" s="418">
        <f t="shared" si="381"/>
        <v>0</v>
      </c>
      <c r="IZ100" s="418">
        <f t="shared" si="381"/>
        <v>0</v>
      </c>
      <c r="JA100" s="418">
        <f t="shared" si="381"/>
        <v>0</v>
      </c>
      <c r="JB100" s="418">
        <f t="shared" si="381"/>
        <v>0</v>
      </c>
      <c r="JC100" s="418">
        <f t="shared" si="381"/>
        <v>0</v>
      </c>
      <c r="JD100" s="418">
        <f t="shared" si="381"/>
        <v>0</v>
      </c>
      <c r="JE100" s="418">
        <f t="shared" si="381"/>
        <v>0</v>
      </c>
      <c r="JF100" s="418">
        <f t="shared" si="381"/>
        <v>0</v>
      </c>
      <c r="JG100" s="418">
        <f t="shared" si="381"/>
        <v>0</v>
      </c>
      <c r="JH100" s="418">
        <f t="shared" si="381"/>
        <v>0</v>
      </c>
      <c r="JI100" s="418">
        <f t="shared" si="381"/>
        <v>0</v>
      </c>
      <c r="JJ100" s="418">
        <f t="shared" si="381"/>
        <v>0</v>
      </c>
      <c r="JK100" s="418">
        <f t="shared" si="381"/>
        <v>0</v>
      </c>
      <c r="JL100" s="418">
        <f t="shared" si="381"/>
        <v>0</v>
      </c>
      <c r="JM100" s="418">
        <f t="shared" si="381"/>
        <v>0</v>
      </c>
      <c r="JN100" s="418">
        <f t="shared" si="381"/>
        <v>0</v>
      </c>
      <c r="JO100" s="418">
        <f t="shared" si="381"/>
        <v>0</v>
      </c>
      <c r="JP100" s="418">
        <f t="shared" si="381"/>
        <v>0</v>
      </c>
      <c r="JQ100" s="418">
        <f t="shared" si="381"/>
        <v>0</v>
      </c>
      <c r="JR100" s="418">
        <f t="shared" si="381"/>
        <v>0</v>
      </c>
      <c r="JS100" s="418">
        <f t="shared" si="381"/>
        <v>0</v>
      </c>
      <c r="JT100" s="418">
        <f t="shared" si="381"/>
        <v>0</v>
      </c>
      <c r="JU100" s="418">
        <f t="shared" si="354"/>
        <v>0</v>
      </c>
      <c r="JV100" s="418">
        <f t="shared" si="354"/>
        <v>0</v>
      </c>
      <c r="JW100" s="418">
        <f t="shared" si="354"/>
        <v>0</v>
      </c>
      <c r="JX100" s="418">
        <f t="shared" si="354"/>
        <v>0</v>
      </c>
      <c r="JY100"/>
      <c r="JZ100" s="219" t="str">
        <f t="shared" si="371"/>
        <v>Go Kart</v>
      </c>
      <c r="KA100" s="418">
        <f t="shared" si="355"/>
        <v>0</v>
      </c>
      <c r="KB100" s="197">
        <f t="shared" si="356"/>
        <v>34</v>
      </c>
      <c r="KC100" s="206">
        <f t="shared" si="357"/>
        <v>3.5000000000000003E-2</v>
      </c>
      <c r="KD100" s="213" t="str">
        <f t="shared" si="327"/>
        <v>Annual</v>
      </c>
      <c r="KE100" s="470">
        <f>IF(KD100="",1,IFERROR(MAX(1,INDEX(Data!$H$24:$H$33,MATCH(KD100,Data!$G$24:$G$33,0))),1))</f>
        <v>1</v>
      </c>
      <c r="KF100" s="263"/>
      <c r="KG100" s="471">
        <f t="shared" si="372"/>
        <v>0</v>
      </c>
      <c r="KH100" s="471">
        <f t="shared" si="358"/>
        <v>0</v>
      </c>
      <c r="KI100" s="471">
        <f t="shared" si="358"/>
        <v>0</v>
      </c>
      <c r="KJ100" s="471">
        <f t="shared" si="358"/>
        <v>0</v>
      </c>
      <c r="KK100" s="471">
        <f t="shared" si="358"/>
        <v>0</v>
      </c>
      <c r="KL100" s="471">
        <f t="shared" si="358"/>
        <v>0</v>
      </c>
      <c r="KM100" s="471">
        <f t="shared" si="358"/>
        <v>0</v>
      </c>
      <c r="KN100" s="471">
        <f t="shared" si="358"/>
        <v>0</v>
      </c>
      <c r="KO100" s="471">
        <f t="shared" si="358"/>
        <v>0</v>
      </c>
      <c r="KP100" s="471">
        <f t="shared" si="358"/>
        <v>0</v>
      </c>
      <c r="KQ100" s="471">
        <f t="shared" si="358"/>
        <v>0</v>
      </c>
      <c r="KR100" s="471">
        <f t="shared" si="358"/>
        <v>0</v>
      </c>
      <c r="KS100" s="471">
        <f t="shared" si="358"/>
        <v>0</v>
      </c>
      <c r="KT100" s="471">
        <f t="shared" si="358"/>
        <v>0</v>
      </c>
      <c r="KU100" s="471">
        <f t="shared" si="358"/>
        <v>0</v>
      </c>
      <c r="KV100" s="471">
        <f t="shared" si="358"/>
        <v>0</v>
      </c>
      <c r="KW100" s="471">
        <f t="shared" si="358"/>
        <v>0</v>
      </c>
      <c r="KX100" s="471">
        <f t="shared" si="359"/>
        <v>0</v>
      </c>
      <c r="KY100" s="471">
        <f t="shared" si="359"/>
        <v>0</v>
      </c>
      <c r="KZ100" s="471">
        <f t="shared" si="359"/>
        <v>0</v>
      </c>
      <c r="LA100" s="471">
        <f t="shared" si="359"/>
        <v>0</v>
      </c>
      <c r="LB100" s="471">
        <f t="shared" si="359"/>
        <v>0</v>
      </c>
      <c r="LC100" s="471">
        <f t="shared" si="359"/>
        <v>0</v>
      </c>
      <c r="LD100" s="471">
        <f t="shared" si="359"/>
        <v>0</v>
      </c>
      <c r="LE100" s="471">
        <f t="shared" si="359"/>
        <v>0</v>
      </c>
      <c r="LF100" s="471">
        <f t="shared" si="359"/>
        <v>0</v>
      </c>
      <c r="LG100" s="471">
        <f t="shared" si="359"/>
        <v>0</v>
      </c>
      <c r="LH100" s="471">
        <f t="shared" si="359"/>
        <v>0</v>
      </c>
      <c r="LI100" s="471">
        <f t="shared" si="359"/>
        <v>0</v>
      </c>
      <c r="LJ100" s="471">
        <f t="shared" si="359"/>
        <v>0</v>
      </c>
      <c r="LK100" s="471">
        <f t="shared" si="359"/>
        <v>0</v>
      </c>
      <c r="LL100" s="471">
        <f t="shared" si="359"/>
        <v>0</v>
      </c>
      <c r="LM100" s="471">
        <f t="shared" si="359"/>
        <v>0</v>
      </c>
      <c r="LN100" s="471">
        <f t="shared" si="360"/>
        <v>0</v>
      </c>
      <c r="LO100" s="471">
        <f t="shared" si="360"/>
        <v>0</v>
      </c>
      <c r="LP100" s="471">
        <f t="shared" si="360"/>
        <v>0</v>
      </c>
      <c r="LQ100" s="471">
        <f t="shared" si="360"/>
        <v>0</v>
      </c>
      <c r="LR100" s="471">
        <f t="shared" si="360"/>
        <v>0</v>
      </c>
      <c r="LS100" s="471">
        <f t="shared" si="360"/>
        <v>0</v>
      </c>
      <c r="LT100" s="471">
        <f t="shared" si="360"/>
        <v>0</v>
      </c>
      <c r="LU100" s="471">
        <f t="shared" si="360"/>
        <v>0</v>
      </c>
      <c r="LV100" s="471">
        <f t="shared" si="360"/>
        <v>0</v>
      </c>
      <c r="LW100" s="471">
        <f t="shared" si="360"/>
        <v>0</v>
      </c>
      <c r="LX100" s="471">
        <f t="shared" si="360"/>
        <v>0</v>
      </c>
      <c r="LY100" s="471">
        <f t="shared" si="360"/>
        <v>0</v>
      </c>
      <c r="LZ100" s="471">
        <f t="shared" si="360"/>
        <v>0</v>
      </c>
      <c r="MA100" s="471">
        <f t="shared" si="360"/>
        <v>0</v>
      </c>
      <c r="MB100" s="471">
        <f t="shared" si="360"/>
        <v>0</v>
      </c>
      <c r="MC100" s="471">
        <f t="shared" si="360"/>
        <v>0</v>
      </c>
      <c r="MD100" s="471">
        <f t="shared" si="361"/>
        <v>0</v>
      </c>
      <c r="ME100" s="471">
        <f t="shared" si="361"/>
        <v>0</v>
      </c>
      <c r="MF100" s="471">
        <f t="shared" si="361"/>
        <v>0</v>
      </c>
      <c r="MG100" s="471">
        <f t="shared" si="361"/>
        <v>0</v>
      </c>
      <c r="MH100" s="471">
        <f t="shared" si="361"/>
        <v>0</v>
      </c>
      <c r="MI100" s="471">
        <f t="shared" si="361"/>
        <v>0</v>
      </c>
      <c r="MJ100" s="471">
        <f t="shared" si="361"/>
        <v>0</v>
      </c>
      <c r="MK100" s="471">
        <f t="shared" si="361"/>
        <v>0</v>
      </c>
      <c r="ML100" s="471">
        <f t="shared" si="361"/>
        <v>0</v>
      </c>
      <c r="MM100" s="471">
        <f t="shared" si="361"/>
        <v>0</v>
      </c>
      <c r="MN100" s="471">
        <f t="shared" si="361"/>
        <v>0</v>
      </c>
      <c r="MO100" s="471">
        <f t="shared" si="361"/>
        <v>0</v>
      </c>
      <c r="MP100" s="471">
        <f t="shared" si="361"/>
        <v>0</v>
      </c>
      <c r="MQ100" s="471">
        <f t="shared" si="361"/>
        <v>0</v>
      </c>
      <c r="MR100" s="471">
        <f t="shared" si="361"/>
        <v>0</v>
      </c>
      <c r="MS100" s="471">
        <f t="shared" si="361"/>
        <v>0</v>
      </c>
      <c r="MT100" s="471">
        <f t="shared" si="362"/>
        <v>0</v>
      </c>
      <c r="MU100" s="471">
        <f t="shared" si="362"/>
        <v>0</v>
      </c>
      <c r="MV100" s="471">
        <f t="shared" si="362"/>
        <v>0</v>
      </c>
      <c r="MW100" s="471">
        <f t="shared" si="362"/>
        <v>0</v>
      </c>
      <c r="MX100" s="471">
        <f t="shared" si="362"/>
        <v>0</v>
      </c>
      <c r="MY100" s="471">
        <f t="shared" si="362"/>
        <v>0</v>
      </c>
      <c r="MZ100" s="471">
        <f t="shared" si="362"/>
        <v>0</v>
      </c>
      <c r="NA100" s="471">
        <f t="shared" si="362"/>
        <v>0</v>
      </c>
      <c r="NB100" s="471">
        <f t="shared" si="362"/>
        <v>0</v>
      </c>
      <c r="NC100" s="471">
        <f t="shared" si="362"/>
        <v>0</v>
      </c>
      <c r="ND100" s="471">
        <f t="shared" si="362"/>
        <v>0</v>
      </c>
      <c r="NE100" s="471">
        <f t="shared" si="362"/>
        <v>0</v>
      </c>
      <c r="NF100" s="471">
        <f t="shared" si="362"/>
        <v>0</v>
      </c>
      <c r="NG100" s="471">
        <f t="shared" si="362"/>
        <v>0</v>
      </c>
      <c r="NH100" s="471">
        <f t="shared" si="362"/>
        <v>0</v>
      </c>
      <c r="NI100" s="471">
        <f t="shared" si="362"/>
        <v>0</v>
      </c>
      <c r="NJ100" s="471">
        <f t="shared" si="363"/>
        <v>0</v>
      </c>
      <c r="NK100" s="471">
        <f t="shared" si="363"/>
        <v>0</v>
      </c>
      <c r="NL100" s="471">
        <f t="shared" si="363"/>
        <v>0</v>
      </c>
      <c r="NM100" s="471">
        <f t="shared" si="363"/>
        <v>0</v>
      </c>
      <c r="NN100" s="471">
        <f t="shared" si="363"/>
        <v>0</v>
      </c>
      <c r="NO100" s="471">
        <f t="shared" si="363"/>
        <v>0</v>
      </c>
      <c r="NP100" s="471">
        <f t="shared" si="363"/>
        <v>0</v>
      </c>
      <c r="NQ100" s="471">
        <f t="shared" si="363"/>
        <v>0</v>
      </c>
      <c r="NR100" s="471">
        <f t="shared" si="363"/>
        <v>0</v>
      </c>
      <c r="NS100" s="471">
        <f t="shared" si="363"/>
        <v>0</v>
      </c>
      <c r="NT100" s="471">
        <f t="shared" si="363"/>
        <v>0</v>
      </c>
      <c r="NU100" s="471">
        <f t="shared" si="363"/>
        <v>0</v>
      </c>
      <c r="NV100" s="471">
        <f t="shared" si="363"/>
        <v>0</v>
      </c>
      <c r="NW100" s="471">
        <f t="shared" si="363"/>
        <v>0</v>
      </c>
      <c r="NX100" s="471">
        <f t="shared" si="363"/>
        <v>0</v>
      </c>
      <c r="NY100" s="471">
        <f t="shared" si="363"/>
        <v>0</v>
      </c>
      <c r="NZ100" s="471">
        <f t="shared" si="364"/>
        <v>0</v>
      </c>
      <c r="OA100" s="471">
        <f t="shared" si="364"/>
        <v>0</v>
      </c>
      <c r="OB100" s="471">
        <f t="shared" si="364"/>
        <v>0</v>
      </c>
      <c r="OC100" s="471">
        <f t="shared" si="364"/>
        <v>0</v>
      </c>
      <c r="OD100" s="471">
        <f t="shared" si="364"/>
        <v>0</v>
      </c>
      <c r="OE100" s="471">
        <f t="shared" si="364"/>
        <v>0</v>
      </c>
      <c r="OF100" s="471">
        <f t="shared" si="364"/>
        <v>0</v>
      </c>
      <c r="OG100" s="471">
        <f t="shared" si="364"/>
        <v>0</v>
      </c>
      <c r="OH100" s="471">
        <f t="shared" si="364"/>
        <v>0</v>
      </c>
      <c r="OI100" s="471">
        <f t="shared" si="364"/>
        <v>0</v>
      </c>
      <c r="OJ100" s="471">
        <f t="shared" si="364"/>
        <v>0</v>
      </c>
      <c r="OK100" s="471">
        <f t="shared" si="364"/>
        <v>0</v>
      </c>
      <c r="OL100" s="471">
        <f t="shared" si="364"/>
        <v>0</v>
      </c>
      <c r="OM100" s="471">
        <f t="shared" si="364"/>
        <v>0</v>
      </c>
      <c r="ON100" s="471">
        <f t="shared" si="364"/>
        <v>0</v>
      </c>
      <c r="OO100" s="471">
        <f t="shared" si="364"/>
        <v>0</v>
      </c>
      <c r="OP100" s="471">
        <f t="shared" si="365"/>
        <v>0</v>
      </c>
      <c r="OQ100" s="471">
        <f t="shared" si="365"/>
        <v>0</v>
      </c>
      <c r="OR100" s="471">
        <f t="shared" si="365"/>
        <v>0</v>
      </c>
      <c r="OS100" s="471">
        <f t="shared" si="365"/>
        <v>0</v>
      </c>
      <c r="OT100" s="471">
        <f t="shared" si="365"/>
        <v>0</v>
      </c>
      <c r="OU100" s="471">
        <f t="shared" si="365"/>
        <v>0</v>
      </c>
      <c r="OV100" s="471">
        <f t="shared" si="365"/>
        <v>0</v>
      </c>
      <c r="OW100" s="471">
        <f t="shared" si="365"/>
        <v>0</v>
      </c>
      <c r="OX100" s="471">
        <f t="shared" si="365"/>
        <v>0</v>
      </c>
      <c r="OY100" s="471">
        <f t="shared" si="365"/>
        <v>0</v>
      </c>
      <c r="OZ100" s="471">
        <f t="shared" si="365"/>
        <v>0</v>
      </c>
      <c r="PA100" s="471">
        <f t="shared" si="365"/>
        <v>0</v>
      </c>
      <c r="PB100" s="471">
        <f t="shared" si="365"/>
        <v>0</v>
      </c>
      <c r="PC100" s="471">
        <f t="shared" si="365"/>
        <v>0</v>
      </c>
      <c r="PD100" s="471">
        <f t="shared" si="365"/>
        <v>0</v>
      </c>
      <c r="PE100" s="471">
        <f t="shared" si="365"/>
        <v>0</v>
      </c>
      <c r="PF100" s="471">
        <f t="shared" si="366"/>
        <v>0</v>
      </c>
      <c r="PG100" s="471">
        <f t="shared" si="366"/>
        <v>0</v>
      </c>
      <c r="PH100" s="471">
        <f t="shared" si="366"/>
        <v>0</v>
      </c>
    </row>
    <row r="101" spans="1:424" x14ac:dyDescent="0.35">
      <c r="A101"/>
      <c r="B101" s="469" t="s">
        <v>259</v>
      </c>
      <c r="C101" s="469" t="s">
        <v>260</v>
      </c>
      <c r="D101" s="45">
        <v>31</v>
      </c>
      <c r="E101" s="837">
        <f>'URWLD COMPANY INPUTS'!$F$611</f>
        <v>150</v>
      </c>
      <c r="F101" s="45">
        <f t="shared" si="332"/>
        <v>34</v>
      </c>
      <c r="G101" s="838">
        <f>IF('INPUT REGISTER'!$F$437="","",'INPUT REGISTER'!$F$437)</f>
        <v>3.5000000000000003E-2</v>
      </c>
      <c r="H101" s="843">
        <f>'INPUT REGISTER'!$F$680</f>
        <v>600</v>
      </c>
      <c r="I101" s="424">
        <f t="shared" si="333"/>
        <v>90000</v>
      </c>
      <c r="J101"/>
      <c r="K101" s="286" t="s">
        <v>247</v>
      </c>
      <c r="L101" s="75">
        <f t="shared" si="334"/>
        <v>0</v>
      </c>
      <c r="M101" s="417">
        <f t="shared" si="334"/>
        <v>0</v>
      </c>
      <c r="N101" s="417">
        <f t="shared" si="334"/>
        <v>0</v>
      </c>
      <c r="O101" s="417">
        <f t="shared" si="334"/>
        <v>0</v>
      </c>
      <c r="P101" s="417">
        <f t="shared" si="334"/>
        <v>0</v>
      </c>
      <c r="Q101" s="417">
        <f t="shared" si="334"/>
        <v>0</v>
      </c>
      <c r="R101" s="417">
        <f t="shared" si="334"/>
        <v>0</v>
      </c>
      <c r="S101" s="417">
        <f t="shared" si="334"/>
        <v>0</v>
      </c>
      <c r="T101" s="417">
        <f t="shared" si="334"/>
        <v>0</v>
      </c>
      <c r="U101" s="417">
        <f t="shared" si="334"/>
        <v>0</v>
      </c>
      <c r="V101" s="417">
        <f t="shared" si="335"/>
        <v>0</v>
      </c>
      <c r="W101" s="417">
        <f t="shared" si="335"/>
        <v>0</v>
      </c>
      <c r="X101" s="417">
        <f t="shared" si="335"/>
        <v>0</v>
      </c>
      <c r="Y101" s="417">
        <f t="shared" si="335"/>
        <v>0</v>
      </c>
      <c r="Z101" s="417">
        <f t="shared" si="335"/>
        <v>0</v>
      </c>
      <c r="AA101" s="417">
        <f t="shared" si="335"/>
        <v>0</v>
      </c>
      <c r="AB101" s="417">
        <f t="shared" si="335"/>
        <v>0</v>
      </c>
      <c r="AC101" s="417">
        <f t="shared" si="335"/>
        <v>0</v>
      </c>
      <c r="AD101" s="417">
        <f t="shared" si="335"/>
        <v>0</v>
      </c>
      <c r="AE101" s="417">
        <f t="shared" si="335"/>
        <v>0</v>
      </c>
      <c r="AF101" s="417">
        <f t="shared" si="336"/>
        <v>0</v>
      </c>
      <c r="AG101" s="417">
        <f t="shared" si="336"/>
        <v>0</v>
      </c>
      <c r="AH101" s="417">
        <f t="shared" si="336"/>
        <v>0</v>
      </c>
      <c r="AI101" s="417">
        <f t="shared" si="336"/>
        <v>0</v>
      </c>
      <c r="AJ101" s="417">
        <f t="shared" si="336"/>
        <v>0</v>
      </c>
      <c r="AK101" s="417">
        <f t="shared" si="336"/>
        <v>0</v>
      </c>
      <c r="AL101" s="417">
        <f t="shared" si="336"/>
        <v>0</v>
      </c>
      <c r="AM101" s="417">
        <f t="shared" si="336"/>
        <v>0</v>
      </c>
      <c r="AN101" s="417">
        <f t="shared" si="336"/>
        <v>0</v>
      </c>
      <c r="AO101" s="417">
        <f t="shared" si="336"/>
        <v>0</v>
      </c>
      <c r="AP101" s="417">
        <f t="shared" si="337"/>
        <v>0</v>
      </c>
      <c r="AQ101" s="417">
        <f t="shared" si="337"/>
        <v>0</v>
      </c>
      <c r="AR101" s="417">
        <f t="shared" si="337"/>
        <v>0</v>
      </c>
      <c r="AS101" s="417">
        <f t="shared" si="337"/>
        <v>0</v>
      </c>
      <c r="AT101" s="417">
        <f t="shared" si="337"/>
        <v>7500</v>
      </c>
      <c r="AU101" s="417">
        <f t="shared" si="337"/>
        <v>7500</v>
      </c>
      <c r="AV101" s="417">
        <f t="shared" si="337"/>
        <v>7500</v>
      </c>
      <c r="AW101" s="417">
        <f t="shared" si="337"/>
        <v>7500</v>
      </c>
      <c r="AX101" s="417">
        <f t="shared" si="337"/>
        <v>7500</v>
      </c>
      <c r="AY101" s="417">
        <f t="shared" si="337"/>
        <v>7500</v>
      </c>
      <c r="AZ101" s="417">
        <f t="shared" si="338"/>
        <v>7500</v>
      </c>
      <c r="BA101" s="417">
        <f t="shared" si="338"/>
        <v>7500</v>
      </c>
      <c r="BB101" s="417">
        <f t="shared" si="338"/>
        <v>7500</v>
      </c>
      <c r="BC101" s="417">
        <f t="shared" si="338"/>
        <v>7500</v>
      </c>
      <c r="BD101" s="417">
        <f t="shared" si="338"/>
        <v>7500</v>
      </c>
      <c r="BE101" s="417">
        <f t="shared" si="338"/>
        <v>7500</v>
      </c>
      <c r="BF101" s="417">
        <f t="shared" si="338"/>
        <v>7762.4999999999991</v>
      </c>
      <c r="BG101" s="417">
        <f t="shared" si="338"/>
        <v>7762.4999999999991</v>
      </c>
      <c r="BH101" s="417">
        <f t="shared" si="338"/>
        <v>7762.4999999999991</v>
      </c>
      <c r="BI101" s="417">
        <f t="shared" si="338"/>
        <v>7762.4999999999991</v>
      </c>
      <c r="BJ101" s="417">
        <f t="shared" si="339"/>
        <v>7762.4999999999991</v>
      </c>
      <c r="BK101" s="417">
        <f t="shared" si="339"/>
        <v>7762.4999999999991</v>
      </c>
      <c r="BL101" s="417">
        <f t="shared" si="339"/>
        <v>7762.4999999999991</v>
      </c>
      <c r="BM101" s="417">
        <f t="shared" si="339"/>
        <v>7762.4999999999991</v>
      </c>
      <c r="BN101" s="417">
        <f t="shared" si="339"/>
        <v>7762.4999999999991</v>
      </c>
      <c r="BO101" s="417">
        <f t="shared" si="339"/>
        <v>7762.4999999999991</v>
      </c>
      <c r="BP101" s="417">
        <f t="shared" si="339"/>
        <v>7762.4999999999991</v>
      </c>
      <c r="BQ101" s="417">
        <f t="shared" si="339"/>
        <v>7762.4999999999991</v>
      </c>
      <c r="BR101" s="417">
        <f t="shared" si="339"/>
        <v>8034.1874999999991</v>
      </c>
      <c r="BS101" s="417">
        <f t="shared" si="339"/>
        <v>8034.1874999999991</v>
      </c>
      <c r="BT101" s="417">
        <f t="shared" si="340"/>
        <v>8034.1874999999991</v>
      </c>
      <c r="BU101" s="417">
        <f t="shared" si="340"/>
        <v>8034.1874999999991</v>
      </c>
      <c r="BV101" s="417">
        <f t="shared" si="340"/>
        <v>8034.1874999999991</v>
      </c>
      <c r="BW101" s="417">
        <f t="shared" si="340"/>
        <v>8034.1874999999991</v>
      </c>
      <c r="BX101" s="417">
        <f t="shared" si="340"/>
        <v>8034.1874999999991</v>
      </c>
      <c r="BY101" s="417">
        <f t="shared" si="340"/>
        <v>8034.1874999999991</v>
      </c>
      <c r="BZ101" s="417">
        <f t="shared" si="340"/>
        <v>8034.1874999999991</v>
      </c>
      <c r="CA101" s="417">
        <f t="shared" si="340"/>
        <v>8034.1874999999991</v>
      </c>
      <c r="CB101" s="417">
        <f t="shared" si="340"/>
        <v>8034.1874999999991</v>
      </c>
      <c r="CC101" s="417">
        <f t="shared" si="340"/>
        <v>8034.1874999999991</v>
      </c>
      <c r="CD101" s="417">
        <f t="shared" si="341"/>
        <v>8315.3840624999975</v>
      </c>
      <c r="CE101" s="417">
        <f t="shared" si="341"/>
        <v>8315.3840624999975</v>
      </c>
      <c r="CF101" s="417">
        <f t="shared" si="341"/>
        <v>8315.3840624999975</v>
      </c>
      <c r="CG101" s="417">
        <f t="shared" si="341"/>
        <v>8315.3840624999975</v>
      </c>
      <c r="CH101" s="417">
        <f t="shared" si="341"/>
        <v>8315.3840624999975</v>
      </c>
      <c r="CI101" s="417">
        <f t="shared" si="341"/>
        <v>8315.3840624999975</v>
      </c>
      <c r="CJ101" s="417">
        <f t="shared" si="341"/>
        <v>8315.3840624999975</v>
      </c>
      <c r="CK101" s="417">
        <f t="shared" si="341"/>
        <v>8315.3840624999975</v>
      </c>
      <c r="CL101" s="417">
        <f t="shared" si="341"/>
        <v>8315.3840624999975</v>
      </c>
      <c r="CM101" s="417">
        <f t="shared" si="341"/>
        <v>8315.3840624999975</v>
      </c>
      <c r="CN101" s="417">
        <f t="shared" si="342"/>
        <v>8315.3840624999975</v>
      </c>
      <c r="CO101" s="417">
        <f t="shared" si="342"/>
        <v>8315.3840624999975</v>
      </c>
      <c r="CP101" s="417">
        <f t="shared" si="342"/>
        <v>8606.4225046874981</v>
      </c>
      <c r="CQ101" s="417">
        <f t="shared" si="342"/>
        <v>8606.4225046874981</v>
      </c>
      <c r="CR101" s="417">
        <f t="shared" si="342"/>
        <v>8606.4225046874981</v>
      </c>
      <c r="CS101" s="417">
        <f t="shared" si="342"/>
        <v>8606.4225046874981</v>
      </c>
      <c r="CT101" s="417">
        <f t="shared" si="342"/>
        <v>8606.4225046874981</v>
      </c>
      <c r="CU101" s="417">
        <f t="shared" si="342"/>
        <v>8606.4225046874981</v>
      </c>
      <c r="CV101" s="417">
        <f t="shared" si="342"/>
        <v>8606.4225046874981</v>
      </c>
      <c r="CW101" s="417">
        <f t="shared" si="342"/>
        <v>8606.4225046874981</v>
      </c>
      <c r="CX101" s="417">
        <f t="shared" si="343"/>
        <v>8606.4225046874981</v>
      </c>
      <c r="CY101" s="417">
        <f t="shared" si="343"/>
        <v>8606.4225046874981</v>
      </c>
      <c r="CZ101" s="417">
        <f t="shared" si="343"/>
        <v>8606.4225046874981</v>
      </c>
      <c r="DA101" s="417">
        <f t="shared" si="343"/>
        <v>8606.4225046874981</v>
      </c>
      <c r="DB101" s="417">
        <f t="shared" si="343"/>
        <v>8907.6472923515594</v>
      </c>
      <c r="DC101" s="417">
        <f t="shared" si="343"/>
        <v>8907.6472923515594</v>
      </c>
      <c r="DD101" s="417">
        <f t="shared" si="343"/>
        <v>8907.6472923515594</v>
      </c>
      <c r="DE101" s="417">
        <f t="shared" si="343"/>
        <v>8907.6472923515594</v>
      </c>
      <c r="DF101" s="417">
        <f t="shared" si="343"/>
        <v>8907.6472923515594</v>
      </c>
      <c r="DG101" s="417">
        <f t="shared" si="343"/>
        <v>8907.6472923515594</v>
      </c>
      <c r="DH101" s="417">
        <f t="shared" si="344"/>
        <v>8907.6472923515594</v>
      </c>
      <c r="DI101" s="417">
        <f t="shared" si="344"/>
        <v>8907.6472923515594</v>
      </c>
      <c r="DJ101" s="417">
        <f t="shared" si="344"/>
        <v>8907.6472923515594</v>
      </c>
      <c r="DK101" s="417">
        <f t="shared" si="344"/>
        <v>8907.6472923515594</v>
      </c>
      <c r="DL101" s="417">
        <f t="shared" si="344"/>
        <v>8907.6472923515594</v>
      </c>
      <c r="DM101" s="417">
        <f t="shared" si="344"/>
        <v>8907.6472923515594</v>
      </c>
      <c r="DN101" s="417">
        <f t="shared" si="344"/>
        <v>9219.414947583864</v>
      </c>
      <c r="DO101" s="417">
        <f t="shared" si="344"/>
        <v>9219.414947583864</v>
      </c>
      <c r="DP101" s="417">
        <f t="shared" si="344"/>
        <v>9219.414947583864</v>
      </c>
      <c r="DQ101" s="417">
        <f t="shared" si="344"/>
        <v>9219.414947583864</v>
      </c>
      <c r="DR101" s="417">
        <f t="shared" si="345"/>
        <v>9219.414947583864</v>
      </c>
      <c r="DS101" s="417">
        <f t="shared" si="345"/>
        <v>9219.414947583864</v>
      </c>
      <c r="DT101" s="417">
        <f t="shared" si="345"/>
        <v>9219.414947583864</v>
      </c>
      <c r="DU101" s="417">
        <f t="shared" si="345"/>
        <v>9219.414947583864</v>
      </c>
      <c r="DV101" s="417">
        <f t="shared" si="345"/>
        <v>9219.414947583864</v>
      </c>
      <c r="DW101" s="417">
        <f t="shared" si="345"/>
        <v>9219.414947583864</v>
      </c>
      <c r="DX101" s="417">
        <f t="shared" si="345"/>
        <v>9219.414947583864</v>
      </c>
      <c r="DY101" s="417">
        <f t="shared" si="345"/>
        <v>9219.414947583864</v>
      </c>
      <c r="DZ101" s="417">
        <f t="shared" si="345"/>
        <v>9542.0944707492981</v>
      </c>
      <c r="EA101" s="417">
        <f t="shared" si="345"/>
        <v>9542.0944707492981</v>
      </c>
      <c r="EB101" s="417">
        <f t="shared" si="346"/>
        <v>9542.0944707492981</v>
      </c>
      <c r="EC101" s="417">
        <f t="shared" si="346"/>
        <v>9542.0944707492981</v>
      </c>
      <c r="ED101" s="417">
        <f t="shared" si="346"/>
        <v>9542.0944707492981</v>
      </c>
      <c r="EE101" s="417">
        <f t="shared" si="346"/>
        <v>9542.0944707492981</v>
      </c>
      <c r="EF101" s="417">
        <f t="shared" si="346"/>
        <v>9542.0944707492981</v>
      </c>
      <c r="EG101" s="417">
        <f t="shared" si="346"/>
        <v>9542.0944707492981</v>
      </c>
      <c r="EH101" s="417">
        <f t="shared" si="346"/>
        <v>9542.0944707492981</v>
      </c>
      <c r="EI101" s="417">
        <f t="shared" si="346"/>
        <v>9542.0944707492981</v>
      </c>
      <c r="EJ101" s="417">
        <f t="shared" si="346"/>
        <v>9542.0944707492981</v>
      </c>
      <c r="EK101" s="417">
        <f t="shared" si="346"/>
        <v>9542.0944707492981</v>
      </c>
      <c r="EL101" s="417">
        <f t="shared" si="346"/>
        <v>9876.0677772255221</v>
      </c>
      <c r="EM101" s="417">
        <f t="shared" si="346"/>
        <v>9876.0677772255221</v>
      </c>
      <c r="EN101" s="417">
        <f t="shared" si="346"/>
        <v>9876.0677772255221</v>
      </c>
      <c r="EO101"/>
      <c r="EP101" s="219" t="str">
        <f t="shared" si="367"/>
        <v>Landscape-Based Attraction</v>
      </c>
      <c r="EQ101" s="913">
        <f t="shared" si="368"/>
        <v>150</v>
      </c>
      <c r="ER101" s="197">
        <f t="shared" si="369"/>
        <v>31</v>
      </c>
      <c r="ES101" s="18"/>
      <c r="ET101" s="18"/>
      <c r="EU101" s="18"/>
      <c r="EV101" s="418">
        <f t="shared" si="370"/>
        <v>0</v>
      </c>
      <c r="EW101" s="418">
        <f t="shared" si="370"/>
        <v>0</v>
      </c>
      <c r="EX101" s="418">
        <f t="shared" si="370"/>
        <v>0</v>
      </c>
      <c r="EY101" s="418">
        <f t="shared" si="370"/>
        <v>0</v>
      </c>
      <c r="EZ101" s="418">
        <f t="shared" si="370"/>
        <v>0</v>
      </c>
      <c r="FA101" s="418">
        <f t="shared" si="370"/>
        <v>0</v>
      </c>
      <c r="FB101" s="418">
        <f t="shared" si="370"/>
        <v>0</v>
      </c>
      <c r="FC101" s="418">
        <f t="shared" si="370"/>
        <v>0</v>
      </c>
      <c r="FD101" s="418">
        <f t="shared" si="370"/>
        <v>0</v>
      </c>
      <c r="FE101" s="418">
        <f t="shared" si="370"/>
        <v>0</v>
      </c>
      <c r="FF101" s="418">
        <f t="shared" si="370"/>
        <v>0</v>
      </c>
      <c r="FG101" s="418">
        <f t="shared" si="370"/>
        <v>0</v>
      </c>
      <c r="FH101" s="418">
        <f t="shared" si="370"/>
        <v>0</v>
      </c>
      <c r="FI101" s="418">
        <f t="shared" si="370"/>
        <v>0</v>
      </c>
      <c r="FJ101" s="418">
        <f t="shared" si="370"/>
        <v>0</v>
      </c>
      <c r="FK101" s="418">
        <f t="shared" si="370"/>
        <v>0</v>
      </c>
      <c r="FL101" s="418">
        <f t="shared" si="380"/>
        <v>0</v>
      </c>
      <c r="FM101" s="418">
        <f t="shared" si="380"/>
        <v>0</v>
      </c>
      <c r="FN101" s="418">
        <f t="shared" si="380"/>
        <v>0</v>
      </c>
      <c r="FO101" s="418">
        <f t="shared" si="380"/>
        <v>0</v>
      </c>
      <c r="FP101" s="418">
        <f t="shared" si="380"/>
        <v>0</v>
      </c>
      <c r="FQ101" s="418">
        <f t="shared" si="380"/>
        <v>0</v>
      </c>
      <c r="FR101" s="418">
        <f t="shared" si="380"/>
        <v>0</v>
      </c>
      <c r="FS101" s="418">
        <f t="shared" si="380"/>
        <v>0</v>
      </c>
      <c r="FT101" s="418">
        <f t="shared" si="380"/>
        <v>0</v>
      </c>
      <c r="FU101" s="418">
        <f t="shared" si="380"/>
        <v>0</v>
      </c>
      <c r="FV101" s="418">
        <f t="shared" si="380"/>
        <v>0</v>
      </c>
      <c r="FW101" s="418">
        <f t="shared" si="380"/>
        <v>0</v>
      </c>
      <c r="FX101" s="418">
        <f t="shared" si="380"/>
        <v>0</v>
      </c>
      <c r="FY101" s="418">
        <f t="shared" si="380"/>
        <v>0</v>
      </c>
      <c r="FZ101" s="418">
        <f t="shared" si="380"/>
        <v>0</v>
      </c>
      <c r="GA101" s="418">
        <f t="shared" si="380"/>
        <v>150</v>
      </c>
      <c r="GB101" s="418">
        <f t="shared" si="380"/>
        <v>150</v>
      </c>
      <c r="GC101" s="418">
        <f t="shared" si="380"/>
        <v>150</v>
      </c>
      <c r="GD101" s="418">
        <f t="shared" si="380"/>
        <v>150</v>
      </c>
      <c r="GE101" s="418">
        <f t="shared" si="380"/>
        <v>150</v>
      </c>
      <c r="GF101" s="418">
        <f t="shared" si="380"/>
        <v>150</v>
      </c>
      <c r="GG101" s="418">
        <f t="shared" si="380"/>
        <v>150</v>
      </c>
      <c r="GH101" s="418">
        <f t="shared" si="380"/>
        <v>150</v>
      </c>
      <c r="GI101" s="418">
        <f t="shared" si="380"/>
        <v>150</v>
      </c>
      <c r="GJ101" s="418">
        <f t="shared" si="380"/>
        <v>150</v>
      </c>
      <c r="GK101" s="418">
        <f t="shared" si="380"/>
        <v>150</v>
      </c>
      <c r="GL101" s="418">
        <f t="shared" si="380"/>
        <v>150</v>
      </c>
      <c r="GM101" s="418">
        <f t="shared" si="380"/>
        <v>150</v>
      </c>
      <c r="GN101" s="418">
        <f t="shared" si="380"/>
        <v>150</v>
      </c>
      <c r="GO101" s="418">
        <f t="shared" si="380"/>
        <v>150</v>
      </c>
      <c r="GP101" s="418">
        <f t="shared" si="380"/>
        <v>150</v>
      </c>
      <c r="GQ101" s="418">
        <f t="shared" si="380"/>
        <v>150</v>
      </c>
      <c r="GR101" s="418">
        <f t="shared" si="380"/>
        <v>150</v>
      </c>
      <c r="GS101" s="418">
        <f t="shared" si="380"/>
        <v>150</v>
      </c>
      <c r="GT101" s="418">
        <f t="shared" si="380"/>
        <v>150</v>
      </c>
      <c r="GU101" s="418">
        <f t="shared" si="380"/>
        <v>150</v>
      </c>
      <c r="GV101" s="418">
        <f t="shared" si="380"/>
        <v>150</v>
      </c>
      <c r="GW101" s="418">
        <f t="shared" si="380"/>
        <v>150</v>
      </c>
      <c r="GX101" s="418">
        <f t="shared" si="380"/>
        <v>150</v>
      </c>
      <c r="GY101" s="418">
        <f t="shared" si="380"/>
        <v>150</v>
      </c>
      <c r="GZ101" s="418">
        <f t="shared" si="380"/>
        <v>150</v>
      </c>
      <c r="HA101" s="418">
        <f t="shared" si="380"/>
        <v>150</v>
      </c>
      <c r="HB101" s="418">
        <f t="shared" si="380"/>
        <v>150</v>
      </c>
      <c r="HC101" s="418">
        <f t="shared" si="380"/>
        <v>150</v>
      </c>
      <c r="HD101" s="418">
        <f t="shared" si="380"/>
        <v>150</v>
      </c>
      <c r="HE101" s="418">
        <f t="shared" si="380"/>
        <v>150</v>
      </c>
      <c r="HF101" s="418">
        <f t="shared" si="380"/>
        <v>150</v>
      </c>
      <c r="HG101" s="418">
        <f t="shared" si="380"/>
        <v>150</v>
      </c>
      <c r="HH101" s="418">
        <f t="shared" si="380"/>
        <v>150</v>
      </c>
      <c r="HI101" s="418">
        <f t="shared" si="381"/>
        <v>150</v>
      </c>
      <c r="HJ101" s="418">
        <f t="shared" si="381"/>
        <v>150</v>
      </c>
      <c r="HK101" s="418">
        <f t="shared" si="381"/>
        <v>150</v>
      </c>
      <c r="HL101" s="418">
        <f t="shared" si="381"/>
        <v>150</v>
      </c>
      <c r="HM101" s="418">
        <f t="shared" si="381"/>
        <v>150</v>
      </c>
      <c r="HN101" s="418">
        <f t="shared" si="381"/>
        <v>150</v>
      </c>
      <c r="HO101" s="418">
        <f t="shared" si="381"/>
        <v>150</v>
      </c>
      <c r="HP101" s="418">
        <f t="shared" si="381"/>
        <v>150</v>
      </c>
      <c r="HQ101" s="418">
        <f t="shared" si="381"/>
        <v>150</v>
      </c>
      <c r="HR101" s="418">
        <f t="shared" si="381"/>
        <v>150</v>
      </c>
      <c r="HS101" s="418">
        <f t="shared" si="381"/>
        <v>150</v>
      </c>
      <c r="HT101" s="418">
        <f t="shared" si="381"/>
        <v>150</v>
      </c>
      <c r="HU101" s="418">
        <f t="shared" si="381"/>
        <v>150</v>
      </c>
      <c r="HV101" s="418">
        <f t="shared" si="381"/>
        <v>150</v>
      </c>
      <c r="HW101" s="418">
        <f t="shared" si="381"/>
        <v>150</v>
      </c>
      <c r="HX101" s="418">
        <f t="shared" si="381"/>
        <v>150</v>
      </c>
      <c r="HY101" s="418">
        <f t="shared" si="381"/>
        <v>150</v>
      </c>
      <c r="HZ101" s="418">
        <f t="shared" si="381"/>
        <v>150</v>
      </c>
      <c r="IA101" s="418">
        <f t="shared" si="381"/>
        <v>150</v>
      </c>
      <c r="IB101" s="418">
        <f t="shared" si="381"/>
        <v>150</v>
      </c>
      <c r="IC101" s="418">
        <f t="shared" si="381"/>
        <v>150</v>
      </c>
      <c r="ID101" s="418">
        <f t="shared" si="381"/>
        <v>150</v>
      </c>
      <c r="IE101" s="418">
        <f t="shared" si="381"/>
        <v>150</v>
      </c>
      <c r="IF101" s="418">
        <f t="shared" si="381"/>
        <v>150</v>
      </c>
      <c r="IG101" s="418">
        <f t="shared" si="381"/>
        <v>150</v>
      </c>
      <c r="IH101" s="418">
        <f t="shared" si="381"/>
        <v>150</v>
      </c>
      <c r="II101" s="418">
        <f t="shared" si="381"/>
        <v>150</v>
      </c>
      <c r="IJ101" s="418">
        <f t="shared" si="381"/>
        <v>150</v>
      </c>
      <c r="IK101" s="418">
        <f t="shared" si="381"/>
        <v>150</v>
      </c>
      <c r="IL101" s="418">
        <f t="shared" si="381"/>
        <v>150</v>
      </c>
      <c r="IM101" s="418">
        <f t="shared" si="381"/>
        <v>150</v>
      </c>
      <c r="IN101" s="418">
        <f t="shared" si="381"/>
        <v>150</v>
      </c>
      <c r="IO101" s="418">
        <f t="shared" si="381"/>
        <v>150</v>
      </c>
      <c r="IP101" s="418">
        <f t="shared" si="381"/>
        <v>150</v>
      </c>
      <c r="IQ101" s="418">
        <f t="shared" si="381"/>
        <v>150</v>
      </c>
      <c r="IR101" s="418">
        <f t="shared" si="381"/>
        <v>150</v>
      </c>
      <c r="IS101" s="418">
        <f t="shared" si="381"/>
        <v>150</v>
      </c>
      <c r="IT101" s="418">
        <f t="shared" si="381"/>
        <v>150</v>
      </c>
      <c r="IU101" s="418">
        <f t="shared" si="381"/>
        <v>150</v>
      </c>
      <c r="IV101" s="418">
        <f t="shared" si="381"/>
        <v>150</v>
      </c>
      <c r="IW101" s="418">
        <f t="shared" si="381"/>
        <v>150</v>
      </c>
      <c r="IX101" s="418">
        <f t="shared" si="381"/>
        <v>150</v>
      </c>
      <c r="IY101" s="418">
        <f t="shared" si="381"/>
        <v>150</v>
      </c>
      <c r="IZ101" s="418">
        <f t="shared" si="381"/>
        <v>150</v>
      </c>
      <c r="JA101" s="418">
        <f t="shared" si="381"/>
        <v>150</v>
      </c>
      <c r="JB101" s="418">
        <f t="shared" si="381"/>
        <v>150</v>
      </c>
      <c r="JC101" s="418">
        <f t="shared" si="381"/>
        <v>150</v>
      </c>
      <c r="JD101" s="418">
        <f t="shared" si="381"/>
        <v>150</v>
      </c>
      <c r="JE101" s="418">
        <f t="shared" si="381"/>
        <v>150</v>
      </c>
      <c r="JF101" s="418">
        <f t="shared" si="381"/>
        <v>150</v>
      </c>
      <c r="JG101" s="418">
        <f t="shared" si="381"/>
        <v>150</v>
      </c>
      <c r="JH101" s="418">
        <f t="shared" si="381"/>
        <v>150</v>
      </c>
      <c r="JI101" s="418">
        <f t="shared" si="381"/>
        <v>150</v>
      </c>
      <c r="JJ101" s="418">
        <f t="shared" si="381"/>
        <v>150</v>
      </c>
      <c r="JK101" s="418">
        <f t="shared" si="381"/>
        <v>150</v>
      </c>
      <c r="JL101" s="418">
        <f t="shared" si="381"/>
        <v>150</v>
      </c>
      <c r="JM101" s="418">
        <f t="shared" si="381"/>
        <v>150</v>
      </c>
      <c r="JN101" s="418">
        <f t="shared" si="381"/>
        <v>150</v>
      </c>
      <c r="JO101" s="418">
        <f t="shared" si="381"/>
        <v>150</v>
      </c>
      <c r="JP101" s="418">
        <f t="shared" si="381"/>
        <v>150</v>
      </c>
      <c r="JQ101" s="418">
        <f t="shared" si="381"/>
        <v>150</v>
      </c>
      <c r="JR101" s="418">
        <f t="shared" si="381"/>
        <v>150</v>
      </c>
      <c r="JS101" s="418">
        <f t="shared" si="381"/>
        <v>150</v>
      </c>
      <c r="JT101" s="418">
        <f t="shared" si="381"/>
        <v>150</v>
      </c>
      <c r="JU101" s="418">
        <f t="shared" si="354"/>
        <v>150</v>
      </c>
      <c r="JV101" s="418">
        <f t="shared" si="354"/>
        <v>150</v>
      </c>
      <c r="JW101" s="418">
        <f t="shared" si="354"/>
        <v>150</v>
      </c>
      <c r="JX101" s="418">
        <f t="shared" si="354"/>
        <v>150</v>
      </c>
      <c r="JY101"/>
      <c r="JZ101" s="219" t="str">
        <f t="shared" si="371"/>
        <v>Landscape-Based Attraction</v>
      </c>
      <c r="KA101" s="418">
        <f t="shared" si="355"/>
        <v>90000</v>
      </c>
      <c r="KB101" s="197">
        <f t="shared" si="356"/>
        <v>34</v>
      </c>
      <c r="KC101" s="206">
        <f t="shared" si="357"/>
        <v>3.5000000000000003E-2</v>
      </c>
      <c r="KD101" s="213" t="str">
        <f t="shared" si="327"/>
        <v>Annual</v>
      </c>
      <c r="KE101" s="470">
        <f>IF(KD101="",1,IFERROR(MAX(1,INDEX(Data!$H$24:$H$33,MATCH(KD101,Data!$G$24:$G$33,0))),1))</f>
        <v>1</v>
      </c>
      <c r="KF101" s="263"/>
      <c r="KG101" s="471">
        <f t="shared" si="372"/>
        <v>0</v>
      </c>
      <c r="KH101" s="471">
        <f t="shared" si="358"/>
        <v>0</v>
      </c>
      <c r="KI101" s="471">
        <f t="shared" si="358"/>
        <v>0</v>
      </c>
      <c r="KJ101" s="471">
        <f t="shared" si="358"/>
        <v>0</v>
      </c>
      <c r="KK101" s="471">
        <f t="shared" si="358"/>
        <v>0</v>
      </c>
      <c r="KL101" s="471">
        <f t="shared" si="358"/>
        <v>0</v>
      </c>
      <c r="KM101" s="471">
        <f t="shared" si="358"/>
        <v>0</v>
      </c>
      <c r="KN101" s="471">
        <f t="shared" si="358"/>
        <v>0</v>
      </c>
      <c r="KO101" s="471">
        <f t="shared" si="358"/>
        <v>0</v>
      </c>
      <c r="KP101" s="471">
        <f t="shared" si="358"/>
        <v>0</v>
      </c>
      <c r="KQ101" s="471">
        <f t="shared" si="358"/>
        <v>0</v>
      </c>
      <c r="KR101" s="471">
        <f t="shared" si="358"/>
        <v>0</v>
      </c>
      <c r="KS101" s="471">
        <f t="shared" si="358"/>
        <v>0</v>
      </c>
      <c r="KT101" s="471">
        <f t="shared" si="358"/>
        <v>0</v>
      </c>
      <c r="KU101" s="471">
        <f t="shared" si="358"/>
        <v>0</v>
      </c>
      <c r="KV101" s="471">
        <f t="shared" si="358"/>
        <v>0</v>
      </c>
      <c r="KW101" s="471">
        <f t="shared" si="358"/>
        <v>0</v>
      </c>
      <c r="KX101" s="471">
        <f t="shared" si="359"/>
        <v>0</v>
      </c>
      <c r="KY101" s="471">
        <f t="shared" si="359"/>
        <v>0</v>
      </c>
      <c r="KZ101" s="471">
        <f t="shared" si="359"/>
        <v>0</v>
      </c>
      <c r="LA101" s="471">
        <f t="shared" si="359"/>
        <v>0</v>
      </c>
      <c r="LB101" s="471">
        <f t="shared" si="359"/>
        <v>0</v>
      </c>
      <c r="LC101" s="471">
        <f t="shared" si="359"/>
        <v>0</v>
      </c>
      <c r="LD101" s="471">
        <f t="shared" si="359"/>
        <v>0</v>
      </c>
      <c r="LE101" s="471">
        <f t="shared" si="359"/>
        <v>0</v>
      </c>
      <c r="LF101" s="471">
        <f t="shared" si="359"/>
        <v>0</v>
      </c>
      <c r="LG101" s="471">
        <f t="shared" si="359"/>
        <v>0</v>
      </c>
      <c r="LH101" s="471">
        <f t="shared" si="359"/>
        <v>0</v>
      </c>
      <c r="LI101" s="471">
        <f t="shared" si="359"/>
        <v>0</v>
      </c>
      <c r="LJ101" s="471">
        <f t="shared" si="359"/>
        <v>0</v>
      </c>
      <c r="LK101" s="471">
        <f t="shared" si="359"/>
        <v>0</v>
      </c>
      <c r="LL101" s="471">
        <f t="shared" si="359"/>
        <v>0</v>
      </c>
      <c r="LM101" s="471">
        <f t="shared" si="359"/>
        <v>0</v>
      </c>
      <c r="LN101" s="471">
        <f t="shared" si="360"/>
        <v>7500</v>
      </c>
      <c r="LO101" s="471">
        <f t="shared" si="360"/>
        <v>7500</v>
      </c>
      <c r="LP101" s="471">
        <f t="shared" si="360"/>
        <v>7500</v>
      </c>
      <c r="LQ101" s="471">
        <f t="shared" si="360"/>
        <v>7500</v>
      </c>
      <c r="LR101" s="471">
        <f t="shared" si="360"/>
        <v>7500</v>
      </c>
      <c r="LS101" s="471">
        <f t="shared" si="360"/>
        <v>7500</v>
      </c>
      <c r="LT101" s="471">
        <f t="shared" si="360"/>
        <v>7500</v>
      </c>
      <c r="LU101" s="471">
        <f t="shared" si="360"/>
        <v>7500</v>
      </c>
      <c r="LV101" s="471">
        <f t="shared" si="360"/>
        <v>7500</v>
      </c>
      <c r="LW101" s="471">
        <f t="shared" si="360"/>
        <v>7500</v>
      </c>
      <c r="LX101" s="471">
        <f t="shared" si="360"/>
        <v>7500</v>
      </c>
      <c r="LY101" s="471">
        <f t="shared" si="360"/>
        <v>7500</v>
      </c>
      <c r="LZ101" s="471">
        <f t="shared" si="360"/>
        <v>7762.4999999999991</v>
      </c>
      <c r="MA101" s="471">
        <f t="shared" si="360"/>
        <v>7762.4999999999991</v>
      </c>
      <c r="MB101" s="471">
        <f t="shared" si="360"/>
        <v>7762.4999999999991</v>
      </c>
      <c r="MC101" s="471">
        <f t="shared" si="360"/>
        <v>7762.4999999999991</v>
      </c>
      <c r="MD101" s="471">
        <f t="shared" si="361"/>
        <v>7762.4999999999991</v>
      </c>
      <c r="ME101" s="471">
        <f t="shared" si="361"/>
        <v>7762.4999999999991</v>
      </c>
      <c r="MF101" s="471">
        <f t="shared" si="361"/>
        <v>7762.4999999999991</v>
      </c>
      <c r="MG101" s="471">
        <f t="shared" si="361"/>
        <v>7762.4999999999991</v>
      </c>
      <c r="MH101" s="471">
        <f t="shared" si="361"/>
        <v>7762.4999999999991</v>
      </c>
      <c r="MI101" s="471">
        <f t="shared" si="361"/>
        <v>7762.4999999999991</v>
      </c>
      <c r="MJ101" s="471">
        <f t="shared" si="361"/>
        <v>7762.4999999999991</v>
      </c>
      <c r="MK101" s="471">
        <f t="shared" si="361"/>
        <v>7762.4999999999991</v>
      </c>
      <c r="ML101" s="471">
        <f t="shared" si="361"/>
        <v>8034.1874999999991</v>
      </c>
      <c r="MM101" s="471">
        <f t="shared" si="361"/>
        <v>8034.1874999999991</v>
      </c>
      <c r="MN101" s="471">
        <f t="shared" si="361"/>
        <v>8034.1874999999991</v>
      </c>
      <c r="MO101" s="471">
        <f t="shared" si="361"/>
        <v>8034.1874999999991</v>
      </c>
      <c r="MP101" s="471">
        <f t="shared" si="361"/>
        <v>8034.1874999999991</v>
      </c>
      <c r="MQ101" s="471">
        <f t="shared" si="361"/>
        <v>8034.1874999999991</v>
      </c>
      <c r="MR101" s="471">
        <f t="shared" si="361"/>
        <v>8034.1874999999991</v>
      </c>
      <c r="MS101" s="471">
        <f t="shared" si="361"/>
        <v>8034.1874999999991</v>
      </c>
      <c r="MT101" s="471">
        <f t="shared" si="362"/>
        <v>8034.1874999999991</v>
      </c>
      <c r="MU101" s="471">
        <f t="shared" si="362"/>
        <v>8034.1874999999991</v>
      </c>
      <c r="MV101" s="471">
        <f t="shared" si="362"/>
        <v>8034.1874999999991</v>
      </c>
      <c r="MW101" s="471">
        <f t="shared" si="362"/>
        <v>8034.1874999999991</v>
      </c>
      <c r="MX101" s="471">
        <f t="shared" si="362"/>
        <v>8315.3840624999975</v>
      </c>
      <c r="MY101" s="471">
        <f t="shared" si="362"/>
        <v>8315.3840624999975</v>
      </c>
      <c r="MZ101" s="471">
        <f t="shared" si="362"/>
        <v>8315.3840624999975</v>
      </c>
      <c r="NA101" s="471">
        <f t="shared" si="362"/>
        <v>8315.3840624999975</v>
      </c>
      <c r="NB101" s="471">
        <f t="shared" si="362"/>
        <v>8315.3840624999975</v>
      </c>
      <c r="NC101" s="471">
        <f t="shared" si="362"/>
        <v>8315.3840624999975</v>
      </c>
      <c r="ND101" s="471">
        <f t="shared" si="362"/>
        <v>8315.3840624999975</v>
      </c>
      <c r="NE101" s="471">
        <f t="shared" si="362"/>
        <v>8315.3840624999975</v>
      </c>
      <c r="NF101" s="471">
        <f t="shared" si="362"/>
        <v>8315.3840624999975</v>
      </c>
      <c r="NG101" s="471">
        <f t="shared" si="362"/>
        <v>8315.3840624999975</v>
      </c>
      <c r="NH101" s="471">
        <f t="shared" si="362"/>
        <v>8315.3840624999975</v>
      </c>
      <c r="NI101" s="471">
        <f t="shared" si="362"/>
        <v>8315.3840624999975</v>
      </c>
      <c r="NJ101" s="471">
        <f t="shared" si="363"/>
        <v>8606.4225046874981</v>
      </c>
      <c r="NK101" s="471">
        <f t="shared" si="363"/>
        <v>8606.4225046874981</v>
      </c>
      <c r="NL101" s="471">
        <f t="shared" si="363"/>
        <v>8606.4225046874981</v>
      </c>
      <c r="NM101" s="471">
        <f t="shared" si="363"/>
        <v>8606.4225046874981</v>
      </c>
      <c r="NN101" s="471">
        <f t="shared" si="363"/>
        <v>8606.4225046874981</v>
      </c>
      <c r="NO101" s="471">
        <f t="shared" si="363"/>
        <v>8606.4225046874981</v>
      </c>
      <c r="NP101" s="471">
        <f t="shared" si="363"/>
        <v>8606.4225046874981</v>
      </c>
      <c r="NQ101" s="471">
        <f t="shared" si="363"/>
        <v>8606.4225046874981</v>
      </c>
      <c r="NR101" s="471">
        <f t="shared" si="363"/>
        <v>8606.4225046874981</v>
      </c>
      <c r="NS101" s="471">
        <f t="shared" si="363"/>
        <v>8606.4225046874981</v>
      </c>
      <c r="NT101" s="471">
        <f t="shared" si="363"/>
        <v>8606.4225046874981</v>
      </c>
      <c r="NU101" s="471">
        <f t="shared" si="363"/>
        <v>8606.4225046874981</v>
      </c>
      <c r="NV101" s="471">
        <f t="shared" si="363"/>
        <v>8907.6472923515594</v>
      </c>
      <c r="NW101" s="471">
        <f t="shared" si="363"/>
        <v>8907.6472923515594</v>
      </c>
      <c r="NX101" s="471">
        <f t="shared" si="363"/>
        <v>8907.6472923515594</v>
      </c>
      <c r="NY101" s="471">
        <f t="shared" si="363"/>
        <v>8907.6472923515594</v>
      </c>
      <c r="NZ101" s="471">
        <f t="shared" si="364"/>
        <v>8907.6472923515594</v>
      </c>
      <c r="OA101" s="471">
        <f t="shared" si="364"/>
        <v>8907.6472923515594</v>
      </c>
      <c r="OB101" s="471">
        <f t="shared" si="364"/>
        <v>8907.6472923515594</v>
      </c>
      <c r="OC101" s="471">
        <f t="shared" si="364"/>
        <v>8907.6472923515594</v>
      </c>
      <c r="OD101" s="471">
        <f t="shared" si="364"/>
        <v>8907.6472923515594</v>
      </c>
      <c r="OE101" s="471">
        <f t="shared" si="364"/>
        <v>8907.6472923515594</v>
      </c>
      <c r="OF101" s="471">
        <f t="shared" si="364"/>
        <v>8907.6472923515594</v>
      </c>
      <c r="OG101" s="471">
        <f t="shared" si="364"/>
        <v>8907.6472923515594</v>
      </c>
      <c r="OH101" s="471">
        <f t="shared" si="364"/>
        <v>9219.414947583864</v>
      </c>
      <c r="OI101" s="471">
        <f t="shared" si="364"/>
        <v>9219.414947583864</v>
      </c>
      <c r="OJ101" s="471">
        <f t="shared" si="364"/>
        <v>9219.414947583864</v>
      </c>
      <c r="OK101" s="471">
        <f t="shared" si="364"/>
        <v>9219.414947583864</v>
      </c>
      <c r="OL101" s="471">
        <f t="shared" si="364"/>
        <v>9219.414947583864</v>
      </c>
      <c r="OM101" s="471">
        <f t="shared" si="364"/>
        <v>9219.414947583864</v>
      </c>
      <c r="ON101" s="471">
        <f t="shared" si="364"/>
        <v>9219.414947583864</v>
      </c>
      <c r="OO101" s="471">
        <f t="shared" si="364"/>
        <v>9219.414947583864</v>
      </c>
      <c r="OP101" s="471">
        <f t="shared" si="365"/>
        <v>9219.414947583864</v>
      </c>
      <c r="OQ101" s="471">
        <f t="shared" si="365"/>
        <v>9219.414947583864</v>
      </c>
      <c r="OR101" s="471">
        <f t="shared" si="365"/>
        <v>9219.414947583864</v>
      </c>
      <c r="OS101" s="471">
        <f t="shared" si="365"/>
        <v>9219.414947583864</v>
      </c>
      <c r="OT101" s="471">
        <f t="shared" si="365"/>
        <v>9542.0944707492981</v>
      </c>
      <c r="OU101" s="471">
        <f t="shared" si="365"/>
        <v>9542.0944707492981</v>
      </c>
      <c r="OV101" s="471">
        <f t="shared" si="365"/>
        <v>9542.0944707492981</v>
      </c>
      <c r="OW101" s="471">
        <f t="shared" si="365"/>
        <v>9542.0944707492981</v>
      </c>
      <c r="OX101" s="471">
        <f t="shared" si="365"/>
        <v>9542.0944707492981</v>
      </c>
      <c r="OY101" s="471">
        <f t="shared" si="365"/>
        <v>9542.0944707492981</v>
      </c>
      <c r="OZ101" s="471">
        <f t="shared" si="365"/>
        <v>9542.0944707492981</v>
      </c>
      <c r="PA101" s="471">
        <f t="shared" si="365"/>
        <v>9542.0944707492981</v>
      </c>
      <c r="PB101" s="471">
        <f t="shared" si="365"/>
        <v>9542.0944707492981</v>
      </c>
      <c r="PC101" s="471">
        <f t="shared" si="365"/>
        <v>9542.0944707492981</v>
      </c>
      <c r="PD101" s="471">
        <f t="shared" si="365"/>
        <v>9542.0944707492981</v>
      </c>
      <c r="PE101" s="471">
        <f t="shared" si="365"/>
        <v>9542.0944707492981</v>
      </c>
      <c r="PF101" s="471">
        <f t="shared" si="366"/>
        <v>9876.0677772255221</v>
      </c>
      <c r="PG101" s="471">
        <f t="shared" si="366"/>
        <v>9876.0677772255221</v>
      </c>
      <c r="PH101" s="471">
        <f t="shared" si="366"/>
        <v>9876.0677772255221</v>
      </c>
    </row>
    <row r="102" spans="1:424" x14ac:dyDescent="0.35">
      <c r="A102"/>
      <c r="B102" s="469" t="s">
        <v>261</v>
      </c>
      <c r="C102" s="469" t="s">
        <v>262</v>
      </c>
      <c r="D102" s="45">
        <v>31</v>
      </c>
      <c r="E102" s="837">
        <f>'URWLD COMPANY INPUTS'!$F$618</f>
        <v>600</v>
      </c>
      <c r="F102" s="45">
        <f t="shared" si="332"/>
        <v>34</v>
      </c>
      <c r="G102" s="838">
        <f>IF('URWLD COMPANY INPUTS'!$F$113="","",'URWLD COMPANY INPUTS'!$F$113)</f>
        <v>3.5000000000000003E-2</v>
      </c>
      <c r="H102" s="843">
        <f>'INPUT REGISTER'!$F$681</f>
        <v>0</v>
      </c>
      <c r="I102" s="424">
        <f t="shared" si="333"/>
        <v>0</v>
      </c>
      <c r="J102"/>
      <c r="K102" s="286" t="s">
        <v>247</v>
      </c>
      <c r="L102" s="75">
        <f t="shared" si="334"/>
        <v>0</v>
      </c>
      <c r="M102" s="417">
        <f t="shared" si="334"/>
        <v>0</v>
      </c>
      <c r="N102" s="417">
        <f t="shared" si="334"/>
        <v>0</v>
      </c>
      <c r="O102" s="417">
        <f t="shared" si="334"/>
        <v>0</v>
      </c>
      <c r="P102" s="417">
        <f t="shared" si="334"/>
        <v>0</v>
      </c>
      <c r="Q102" s="417">
        <f t="shared" si="334"/>
        <v>0</v>
      </c>
      <c r="R102" s="417">
        <f t="shared" si="334"/>
        <v>0</v>
      </c>
      <c r="S102" s="417">
        <f t="shared" si="334"/>
        <v>0</v>
      </c>
      <c r="T102" s="417">
        <f t="shared" si="334"/>
        <v>0</v>
      </c>
      <c r="U102" s="417">
        <f t="shared" si="334"/>
        <v>0</v>
      </c>
      <c r="V102" s="417">
        <f t="shared" si="335"/>
        <v>0</v>
      </c>
      <c r="W102" s="417">
        <f t="shared" si="335"/>
        <v>0</v>
      </c>
      <c r="X102" s="417">
        <f t="shared" si="335"/>
        <v>0</v>
      </c>
      <c r="Y102" s="417">
        <f t="shared" si="335"/>
        <v>0</v>
      </c>
      <c r="Z102" s="417">
        <f t="shared" si="335"/>
        <v>0</v>
      </c>
      <c r="AA102" s="417">
        <f t="shared" si="335"/>
        <v>0</v>
      </c>
      <c r="AB102" s="417">
        <f t="shared" si="335"/>
        <v>0</v>
      </c>
      <c r="AC102" s="417">
        <f t="shared" si="335"/>
        <v>0</v>
      </c>
      <c r="AD102" s="417">
        <f t="shared" si="335"/>
        <v>0</v>
      </c>
      <c r="AE102" s="417">
        <f t="shared" si="335"/>
        <v>0</v>
      </c>
      <c r="AF102" s="417">
        <f t="shared" si="336"/>
        <v>0</v>
      </c>
      <c r="AG102" s="417">
        <f t="shared" si="336"/>
        <v>0</v>
      </c>
      <c r="AH102" s="417">
        <f t="shared" si="336"/>
        <v>0</v>
      </c>
      <c r="AI102" s="417">
        <f t="shared" si="336"/>
        <v>0</v>
      </c>
      <c r="AJ102" s="417">
        <f t="shared" si="336"/>
        <v>0</v>
      </c>
      <c r="AK102" s="417">
        <f t="shared" si="336"/>
        <v>0</v>
      </c>
      <c r="AL102" s="417">
        <f t="shared" si="336"/>
        <v>0</v>
      </c>
      <c r="AM102" s="417">
        <f t="shared" si="336"/>
        <v>0</v>
      </c>
      <c r="AN102" s="417">
        <f t="shared" si="336"/>
        <v>0</v>
      </c>
      <c r="AO102" s="417">
        <f t="shared" si="336"/>
        <v>0</v>
      </c>
      <c r="AP102" s="417">
        <f t="shared" si="337"/>
        <v>0</v>
      </c>
      <c r="AQ102" s="417">
        <f t="shared" si="337"/>
        <v>0</v>
      </c>
      <c r="AR102" s="417">
        <f t="shared" si="337"/>
        <v>0</v>
      </c>
      <c r="AS102" s="417">
        <f t="shared" si="337"/>
        <v>0</v>
      </c>
      <c r="AT102" s="417">
        <f t="shared" si="337"/>
        <v>0</v>
      </c>
      <c r="AU102" s="417">
        <f t="shared" si="337"/>
        <v>0</v>
      </c>
      <c r="AV102" s="417">
        <f t="shared" si="337"/>
        <v>0</v>
      </c>
      <c r="AW102" s="417">
        <f t="shared" si="337"/>
        <v>0</v>
      </c>
      <c r="AX102" s="417">
        <f t="shared" si="337"/>
        <v>0</v>
      </c>
      <c r="AY102" s="417">
        <f t="shared" si="337"/>
        <v>0</v>
      </c>
      <c r="AZ102" s="417">
        <f t="shared" si="338"/>
        <v>0</v>
      </c>
      <c r="BA102" s="417">
        <f t="shared" si="338"/>
        <v>0</v>
      </c>
      <c r="BB102" s="417">
        <f t="shared" si="338"/>
        <v>0</v>
      </c>
      <c r="BC102" s="417">
        <f t="shared" si="338"/>
        <v>0</v>
      </c>
      <c r="BD102" s="417">
        <f t="shared" si="338"/>
        <v>0</v>
      </c>
      <c r="BE102" s="417">
        <f t="shared" si="338"/>
        <v>0</v>
      </c>
      <c r="BF102" s="417">
        <f t="shared" si="338"/>
        <v>0</v>
      </c>
      <c r="BG102" s="417">
        <f t="shared" si="338"/>
        <v>0</v>
      </c>
      <c r="BH102" s="417">
        <f t="shared" si="338"/>
        <v>0</v>
      </c>
      <c r="BI102" s="417">
        <f t="shared" si="338"/>
        <v>0</v>
      </c>
      <c r="BJ102" s="417">
        <f t="shared" si="339"/>
        <v>0</v>
      </c>
      <c r="BK102" s="417">
        <f t="shared" si="339"/>
        <v>0</v>
      </c>
      <c r="BL102" s="417">
        <f t="shared" si="339"/>
        <v>0</v>
      </c>
      <c r="BM102" s="417">
        <f t="shared" si="339"/>
        <v>0</v>
      </c>
      <c r="BN102" s="417">
        <f t="shared" si="339"/>
        <v>0</v>
      </c>
      <c r="BO102" s="417">
        <f t="shared" si="339"/>
        <v>0</v>
      </c>
      <c r="BP102" s="417">
        <f t="shared" si="339"/>
        <v>0</v>
      </c>
      <c r="BQ102" s="417">
        <f t="shared" si="339"/>
        <v>0</v>
      </c>
      <c r="BR102" s="417">
        <f t="shared" si="339"/>
        <v>0</v>
      </c>
      <c r="BS102" s="417">
        <f t="shared" si="339"/>
        <v>0</v>
      </c>
      <c r="BT102" s="417">
        <f t="shared" si="340"/>
        <v>0</v>
      </c>
      <c r="BU102" s="417">
        <f t="shared" si="340"/>
        <v>0</v>
      </c>
      <c r="BV102" s="417">
        <f t="shared" si="340"/>
        <v>0</v>
      </c>
      <c r="BW102" s="417">
        <f t="shared" si="340"/>
        <v>0</v>
      </c>
      <c r="BX102" s="417">
        <f t="shared" si="340"/>
        <v>0</v>
      </c>
      <c r="BY102" s="417">
        <f t="shared" si="340"/>
        <v>0</v>
      </c>
      <c r="BZ102" s="417">
        <f t="shared" si="340"/>
        <v>0</v>
      </c>
      <c r="CA102" s="417">
        <f t="shared" si="340"/>
        <v>0</v>
      </c>
      <c r="CB102" s="417">
        <f t="shared" si="340"/>
        <v>0</v>
      </c>
      <c r="CC102" s="417">
        <f t="shared" si="340"/>
        <v>0</v>
      </c>
      <c r="CD102" s="417">
        <f t="shared" si="341"/>
        <v>0</v>
      </c>
      <c r="CE102" s="417">
        <f t="shared" si="341"/>
        <v>0</v>
      </c>
      <c r="CF102" s="417">
        <f t="shared" si="341"/>
        <v>0</v>
      </c>
      <c r="CG102" s="417">
        <f t="shared" si="341"/>
        <v>0</v>
      </c>
      <c r="CH102" s="417">
        <f t="shared" si="341"/>
        <v>0</v>
      </c>
      <c r="CI102" s="417">
        <f t="shared" si="341"/>
        <v>0</v>
      </c>
      <c r="CJ102" s="417">
        <f t="shared" si="341"/>
        <v>0</v>
      </c>
      <c r="CK102" s="417">
        <f t="shared" si="341"/>
        <v>0</v>
      </c>
      <c r="CL102" s="417">
        <f t="shared" si="341"/>
        <v>0</v>
      </c>
      <c r="CM102" s="417">
        <f t="shared" si="341"/>
        <v>0</v>
      </c>
      <c r="CN102" s="417">
        <f t="shared" si="342"/>
        <v>0</v>
      </c>
      <c r="CO102" s="417">
        <f t="shared" si="342"/>
        <v>0</v>
      </c>
      <c r="CP102" s="417">
        <f t="shared" si="342"/>
        <v>0</v>
      </c>
      <c r="CQ102" s="417">
        <f t="shared" si="342"/>
        <v>0</v>
      </c>
      <c r="CR102" s="417">
        <f t="shared" si="342"/>
        <v>0</v>
      </c>
      <c r="CS102" s="417">
        <f t="shared" si="342"/>
        <v>0</v>
      </c>
      <c r="CT102" s="417">
        <f t="shared" si="342"/>
        <v>0</v>
      </c>
      <c r="CU102" s="417">
        <f t="shared" si="342"/>
        <v>0</v>
      </c>
      <c r="CV102" s="417">
        <f t="shared" si="342"/>
        <v>0</v>
      </c>
      <c r="CW102" s="417">
        <f t="shared" si="342"/>
        <v>0</v>
      </c>
      <c r="CX102" s="417">
        <f t="shared" si="343"/>
        <v>0</v>
      </c>
      <c r="CY102" s="417">
        <f t="shared" si="343"/>
        <v>0</v>
      </c>
      <c r="CZ102" s="417">
        <f t="shared" si="343"/>
        <v>0</v>
      </c>
      <c r="DA102" s="417">
        <f t="shared" si="343"/>
        <v>0</v>
      </c>
      <c r="DB102" s="417">
        <f t="shared" si="343"/>
        <v>0</v>
      </c>
      <c r="DC102" s="417">
        <f t="shared" si="343"/>
        <v>0</v>
      </c>
      <c r="DD102" s="417">
        <f t="shared" si="343"/>
        <v>0</v>
      </c>
      <c r="DE102" s="417">
        <f t="shared" si="343"/>
        <v>0</v>
      </c>
      <c r="DF102" s="417">
        <f t="shared" si="343"/>
        <v>0</v>
      </c>
      <c r="DG102" s="417">
        <f t="shared" si="343"/>
        <v>0</v>
      </c>
      <c r="DH102" s="417">
        <f t="shared" si="344"/>
        <v>0</v>
      </c>
      <c r="DI102" s="417">
        <f t="shared" si="344"/>
        <v>0</v>
      </c>
      <c r="DJ102" s="417">
        <f t="shared" si="344"/>
        <v>0</v>
      </c>
      <c r="DK102" s="417">
        <f t="shared" si="344"/>
        <v>0</v>
      </c>
      <c r="DL102" s="417">
        <f t="shared" si="344"/>
        <v>0</v>
      </c>
      <c r="DM102" s="417">
        <f t="shared" si="344"/>
        <v>0</v>
      </c>
      <c r="DN102" s="417">
        <f t="shared" si="344"/>
        <v>0</v>
      </c>
      <c r="DO102" s="417">
        <f t="shared" si="344"/>
        <v>0</v>
      </c>
      <c r="DP102" s="417">
        <f t="shared" si="344"/>
        <v>0</v>
      </c>
      <c r="DQ102" s="417">
        <f t="shared" si="344"/>
        <v>0</v>
      </c>
      <c r="DR102" s="417">
        <f t="shared" si="345"/>
        <v>0</v>
      </c>
      <c r="DS102" s="417">
        <f t="shared" si="345"/>
        <v>0</v>
      </c>
      <c r="DT102" s="417">
        <f t="shared" si="345"/>
        <v>0</v>
      </c>
      <c r="DU102" s="417">
        <f t="shared" si="345"/>
        <v>0</v>
      </c>
      <c r="DV102" s="417">
        <f t="shared" si="345"/>
        <v>0</v>
      </c>
      <c r="DW102" s="417">
        <f t="shared" si="345"/>
        <v>0</v>
      </c>
      <c r="DX102" s="417">
        <f t="shared" si="345"/>
        <v>0</v>
      </c>
      <c r="DY102" s="417">
        <f t="shared" si="345"/>
        <v>0</v>
      </c>
      <c r="DZ102" s="417">
        <f t="shared" si="345"/>
        <v>0</v>
      </c>
      <c r="EA102" s="417">
        <f t="shared" si="345"/>
        <v>0</v>
      </c>
      <c r="EB102" s="417">
        <f t="shared" si="346"/>
        <v>0</v>
      </c>
      <c r="EC102" s="417">
        <f t="shared" si="346"/>
        <v>0</v>
      </c>
      <c r="ED102" s="417">
        <f t="shared" si="346"/>
        <v>0</v>
      </c>
      <c r="EE102" s="417">
        <f t="shared" si="346"/>
        <v>0</v>
      </c>
      <c r="EF102" s="417">
        <f t="shared" si="346"/>
        <v>0</v>
      </c>
      <c r="EG102" s="417">
        <f t="shared" si="346"/>
        <v>0</v>
      </c>
      <c r="EH102" s="417">
        <f t="shared" si="346"/>
        <v>0</v>
      </c>
      <c r="EI102" s="417">
        <f t="shared" si="346"/>
        <v>0</v>
      </c>
      <c r="EJ102" s="417">
        <f t="shared" si="346"/>
        <v>0</v>
      </c>
      <c r="EK102" s="417">
        <f t="shared" si="346"/>
        <v>0</v>
      </c>
      <c r="EL102" s="417">
        <f t="shared" si="346"/>
        <v>0</v>
      </c>
      <c r="EM102" s="417">
        <f t="shared" si="346"/>
        <v>0</v>
      </c>
      <c r="EN102" s="417">
        <f t="shared" si="346"/>
        <v>0</v>
      </c>
      <c r="EO102"/>
      <c r="EP102" s="219" t="str">
        <f t="shared" si="367"/>
        <v>Self-Storage Facility</v>
      </c>
      <c r="EQ102" s="913">
        <f t="shared" si="368"/>
        <v>600</v>
      </c>
      <c r="ER102" s="197">
        <f t="shared" si="369"/>
        <v>31</v>
      </c>
      <c r="ES102" s="18"/>
      <c r="ET102" s="18"/>
      <c r="EU102" s="18"/>
      <c r="EV102" s="418">
        <f t="shared" si="370"/>
        <v>0</v>
      </c>
      <c r="EW102" s="418">
        <f t="shared" si="370"/>
        <v>0</v>
      </c>
      <c r="EX102" s="418">
        <f t="shared" si="370"/>
        <v>0</v>
      </c>
      <c r="EY102" s="418">
        <f t="shared" si="370"/>
        <v>0</v>
      </c>
      <c r="EZ102" s="418">
        <f t="shared" si="370"/>
        <v>0</v>
      </c>
      <c r="FA102" s="418">
        <f t="shared" si="370"/>
        <v>0</v>
      </c>
      <c r="FB102" s="418">
        <f t="shared" si="370"/>
        <v>0</v>
      </c>
      <c r="FC102" s="418">
        <f t="shared" si="370"/>
        <v>0</v>
      </c>
      <c r="FD102" s="418">
        <f t="shared" si="370"/>
        <v>0</v>
      </c>
      <c r="FE102" s="418">
        <f t="shared" si="370"/>
        <v>0</v>
      </c>
      <c r="FF102" s="418">
        <f t="shared" si="370"/>
        <v>0</v>
      </c>
      <c r="FG102" s="418">
        <f t="shared" si="370"/>
        <v>0</v>
      </c>
      <c r="FH102" s="418">
        <f t="shared" si="370"/>
        <v>0</v>
      </c>
      <c r="FI102" s="418">
        <f t="shared" si="370"/>
        <v>0</v>
      </c>
      <c r="FJ102" s="418">
        <f t="shared" si="370"/>
        <v>0</v>
      </c>
      <c r="FK102" s="418">
        <f t="shared" si="370"/>
        <v>0</v>
      </c>
      <c r="FL102" s="418">
        <f t="shared" si="380"/>
        <v>0</v>
      </c>
      <c r="FM102" s="418">
        <f t="shared" si="380"/>
        <v>0</v>
      </c>
      <c r="FN102" s="418">
        <f t="shared" si="380"/>
        <v>0</v>
      </c>
      <c r="FO102" s="418">
        <f t="shared" si="380"/>
        <v>0</v>
      </c>
      <c r="FP102" s="418">
        <f t="shared" si="380"/>
        <v>0</v>
      </c>
      <c r="FQ102" s="418">
        <f t="shared" si="380"/>
        <v>0</v>
      </c>
      <c r="FR102" s="418">
        <f t="shared" si="380"/>
        <v>0</v>
      </c>
      <c r="FS102" s="418">
        <f t="shared" si="380"/>
        <v>0</v>
      </c>
      <c r="FT102" s="418">
        <f t="shared" si="380"/>
        <v>0</v>
      </c>
      <c r="FU102" s="418">
        <f t="shared" si="380"/>
        <v>0</v>
      </c>
      <c r="FV102" s="418">
        <f t="shared" si="380"/>
        <v>0</v>
      </c>
      <c r="FW102" s="418">
        <f t="shared" si="380"/>
        <v>0</v>
      </c>
      <c r="FX102" s="418">
        <f t="shared" si="380"/>
        <v>0</v>
      </c>
      <c r="FY102" s="418">
        <f t="shared" si="380"/>
        <v>0</v>
      </c>
      <c r="FZ102" s="418">
        <f t="shared" si="380"/>
        <v>0</v>
      </c>
      <c r="GA102" s="418">
        <f t="shared" si="380"/>
        <v>600</v>
      </c>
      <c r="GB102" s="418">
        <f t="shared" si="380"/>
        <v>600</v>
      </c>
      <c r="GC102" s="418">
        <f t="shared" si="380"/>
        <v>600</v>
      </c>
      <c r="GD102" s="418">
        <f t="shared" si="380"/>
        <v>600</v>
      </c>
      <c r="GE102" s="418">
        <f t="shared" si="380"/>
        <v>600</v>
      </c>
      <c r="GF102" s="418">
        <f t="shared" si="380"/>
        <v>600</v>
      </c>
      <c r="GG102" s="418">
        <f t="shared" si="380"/>
        <v>600</v>
      </c>
      <c r="GH102" s="418">
        <f t="shared" si="380"/>
        <v>600</v>
      </c>
      <c r="GI102" s="418">
        <f t="shared" si="380"/>
        <v>600</v>
      </c>
      <c r="GJ102" s="418">
        <f t="shared" si="380"/>
        <v>600</v>
      </c>
      <c r="GK102" s="418">
        <f t="shared" si="380"/>
        <v>600</v>
      </c>
      <c r="GL102" s="418">
        <f t="shared" si="380"/>
        <v>600</v>
      </c>
      <c r="GM102" s="418">
        <f t="shared" si="380"/>
        <v>600</v>
      </c>
      <c r="GN102" s="418">
        <f t="shared" si="380"/>
        <v>600</v>
      </c>
      <c r="GO102" s="418">
        <f t="shared" si="380"/>
        <v>600</v>
      </c>
      <c r="GP102" s="418">
        <f t="shared" si="380"/>
        <v>600</v>
      </c>
      <c r="GQ102" s="418">
        <f t="shared" si="380"/>
        <v>600</v>
      </c>
      <c r="GR102" s="418">
        <f t="shared" si="380"/>
        <v>600</v>
      </c>
      <c r="GS102" s="418">
        <f t="shared" si="380"/>
        <v>600</v>
      </c>
      <c r="GT102" s="418">
        <f t="shared" si="380"/>
        <v>600</v>
      </c>
      <c r="GU102" s="418">
        <f t="shared" si="380"/>
        <v>600</v>
      </c>
      <c r="GV102" s="418">
        <f t="shared" si="380"/>
        <v>600</v>
      </c>
      <c r="GW102" s="418">
        <f t="shared" si="380"/>
        <v>600</v>
      </c>
      <c r="GX102" s="418">
        <f t="shared" si="380"/>
        <v>600</v>
      </c>
      <c r="GY102" s="418">
        <f t="shared" si="380"/>
        <v>600</v>
      </c>
      <c r="GZ102" s="418">
        <f t="shared" si="380"/>
        <v>600</v>
      </c>
      <c r="HA102" s="418">
        <f t="shared" si="380"/>
        <v>600</v>
      </c>
      <c r="HB102" s="418">
        <f t="shared" si="380"/>
        <v>600</v>
      </c>
      <c r="HC102" s="418">
        <f t="shared" si="380"/>
        <v>600</v>
      </c>
      <c r="HD102" s="418">
        <f t="shared" si="380"/>
        <v>600</v>
      </c>
      <c r="HE102" s="418">
        <f t="shared" si="380"/>
        <v>600</v>
      </c>
      <c r="HF102" s="418">
        <f t="shared" si="380"/>
        <v>600</v>
      </c>
      <c r="HG102" s="418">
        <f t="shared" si="380"/>
        <v>600</v>
      </c>
      <c r="HH102" s="418">
        <f t="shared" si="380"/>
        <v>600</v>
      </c>
      <c r="HI102" s="418">
        <f t="shared" si="381"/>
        <v>600</v>
      </c>
      <c r="HJ102" s="418">
        <f t="shared" si="381"/>
        <v>600</v>
      </c>
      <c r="HK102" s="418">
        <f t="shared" si="381"/>
        <v>600</v>
      </c>
      <c r="HL102" s="418">
        <f t="shared" si="381"/>
        <v>600</v>
      </c>
      <c r="HM102" s="418">
        <f t="shared" si="381"/>
        <v>600</v>
      </c>
      <c r="HN102" s="418">
        <f t="shared" si="381"/>
        <v>600</v>
      </c>
      <c r="HO102" s="418">
        <f t="shared" si="381"/>
        <v>600</v>
      </c>
      <c r="HP102" s="418">
        <f t="shared" si="381"/>
        <v>600</v>
      </c>
      <c r="HQ102" s="418">
        <f t="shared" si="381"/>
        <v>600</v>
      </c>
      <c r="HR102" s="418">
        <f t="shared" si="381"/>
        <v>600</v>
      </c>
      <c r="HS102" s="418">
        <f t="shared" si="381"/>
        <v>600</v>
      </c>
      <c r="HT102" s="418">
        <f t="shared" si="381"/>
        <v>600</v>
      </c>
      <c r="HU102" s="418">
        <f t="shared" si="381"/>
        <v>600</v>
      </c>
      <c r="HV102" s="418">
        <f t="shared" si="381"/>
        <v>600</v>
      </c>
      <c r="HW102" s="418">
        <f t="shared" si="381"/>
        <v>600</v>
      </c>
      <c r="HX102" s="418">
        <f t="shared" si="381"/>
        <v>600</v>
      </c>
      <c r="HY102" s="418">
        <f t="shared" si="381"/>
        <v>600</v>
      </c>
      <c r="HZ102" s="418">
        <f t="shared" si="381"/>
        <v>600</v>
      </c>
      <c r="IA102" s="418">
        <f t="shared" si="381"/>
        <v>600</v>
      </c>
      <c r="IB102" s="418">
        <f t="shared" si="381"/>
        <v>600</v>
      </c>
      <c r="IC102" s="418">
        <f t="shared" si="381"/>
        <v>600</v>
      </c>
      <c r="ID102" s="418">
        <f t="shared" si="381"/>
        <v>600</v>
      </c>
      <c r="IE102" s="418">
        <f t="shared" si="381"/>
        <v>600</v>
      </c>
      <c r="IF102" s="418">
        <f t="shared" si="381"/>
        <v>600</v>
      </c>
      <c r="IG102" s="418">
        <f t="shared" si="381"/>
        <v>600</v>
      </c>
      <c r="IH102" s="418">
        <f t="shared" si="381"/>
        <v>600</v>
      </c>
      <c r="II102" s="418">
        <f t="shared" si="381"/>
        <v>600</v>
      </c>
      <c r="IJ102" s="418">
        <f t="shared" si="381"/>
        <v>600</v>
      </c>
      <c r="IK102" s="418">
        <f t="shared" si="381"/>
        <v>600</v>
      </c>
      <c r="IL102" s="418">
        <f t="shared" si="381"/>
        <v>600</v>
      </c>
      <c r="IM102" s="418">
        <f t="shared" si="381"/>
        <v>600</v>
      </c>
      <c r="IN102" s="418">
        <f t="shared" si="381"/>
        <v>600</v>
      </c>
      <c r="IO102" s="418">
        <f t="shared" si="381"/>
        <v>600</v>
      </c>
      <c r="IP102" s="418">
        <f t="shared" si="381"/>
        <v>600</v>
      </c>
      <c r="IQ102" s="418">
        <f t="shared" si="381"/>
        <v>600</v>
      </c>
      <c r="IR102" s="418">
        <f t="shared" si="381"/>
        <v>600</v>
      </c>
      <c r="IS102" s="418">
        <f t="shared" si="381"/>
        <v>600</v>
      </c>
      <c r="IT102" s="418">
        <f t="shared" si="381"/>
        <v>600</v>
      </c>
      <c r="IU102" s="418">
        <f t="shared" si="381"/>
        <v>600</v>
      </c>
      <c r="IV102" s="418">
        <f t="shared" si="381"/>
        <v>600</v>
      </c>
      <c r="IW102" s="418">
        <f t="shared" si="381"/>
        <v>600</v>
      </c>
      <c r="IX102" s="418">
        <f t="shared" si="381"/>
        <v>600</v>
      </c>
      <c r="IY102" s="418">
        <f t="shared" si="381"/>
        <v>600</v>
      </c>
      <c r="IZ102" s="418">
        <f t="shared" si="381"/>
        <v>600</v>
      </c>
      <c r="JA102" s="418">
        <f t="shared" si="381"/>
        <v>600</v>
      </c>
      <c r="JB102" s="418">
        <f t="shared" si="381"/>
        <v>600</v>
      </c>
      <c r="JC102" s="418">
        <f t="shared" si="381"/>
        <v>600</v>
      </c>
      <c r="JD102" s="418">
        <f t="shared" si="381"/>
        <v>600</v>
      </c>
      <c r="JE102" s="418">
        <f t="shared" si="381"/>
        <v>600</v>
      </c>
      <c r="JF102" s="418">
        <f t="shared" si="381"/>
        <v>600</v>
      </c>
      <c r="JG102" s="418">
        <f t="shared" si="381"/>
        <v>600</v>
      </c>
      <c r="JH102" s="418">
        <f t="shared" si="381"/>
        <v>600</v>
      </c>
      <c r="JI102" s="418">
        <f t="shared" si="381"/>
        <v>600</v>
      </c>
      <c r="JJ102" s="418">
        <f t="shared" si="381"/>
        <v>600</v>
      </c>
      <c r="JK102" s="418">
        <f t="shared" si="381"/>
        <v>600</v>
      </c>
      <c r="JL102" s="418">
        <f t="shared" si="381"/>
        <v>600</v>
      </c>
      <c r="JM102" s="418">
        <f t="shared" si="381"/>
        <v>600</v>
      </c>
      <c r="JN102" s="418">
        <f t="shared" si="381"/>
        <v>600</v>
      </c>
      <c r="JO102" s="418">
        <f t="shared" si="381"/>
        <v>600</v>
      </c>
      <c r="JP102" s="418">
        <f t="shared" si="381"/>
        <v>600</v>
      </c>
      <c r="JQ102" s="418">
        <f t="shared" si="381"/>
        <v>600</v>
      </c>
      <c r="JR102" s="418">
        <f t="shared" si="381"/>
        <v>600</v>
      </c>
      <c r="JS102" s="418">
        <f t="shared" si="381"/>
        <v>600</v>
      </c>
      <c r="JT102" s="418">
        <f t="shared" si="381"/>
        <v>600</v>
      </c>
      <c r="JU102" s="418">
        <f t="shared" si="354"/>
        <v>600</v>
      </c>
      <c r="JV102" s="418">
        <f t="shared" si="354"/>
        <v>600</v>
      </c>
      <c r="JW102" s="418">
        <f t="shared" si="354"/>
        <v>600</v>
      </c>
      <c r="JX102" s="418">
        <f t="shared" si="354"/>
        <v>600</v>
      </c>
      <c r="JY102"/>
      <c r="JZ102" s="219" t="str">
        <f t="shared" si="371"/>
        <v>Self-Storage Facility</v>
      </c>
      <c r="KA102" s="418">
        <f t="shared" si="355"/>
        <v>0</v>
      </c>
      <c r="KB102" s="197">
        <f t="shared" si="356"/>
        <v>34</v>
      </c>
      <c r="KC102" s="206">
        <f t="shared" si="357"/>
        <v>3.5000000000000003E-2</v>
      </c>
      <c r="KD102" s="213" t="str">
        <f t="shared" si="327"/>
        <v>Annual</v>
      </c>
      <c r="KE102" s="470">
        <f>IF(KD102="",1,IFERROR(MAX(1,INDEX(Data!$H$24:$H$33,MATCH(KD102,Data!$G$24:$G$33,0))),1))</f>
        <v>1</v>
      </c>
      <c r="KF102" s="263"/>
      <c r="KG102" s="471">
        <f t="shared" si="372"/>
        <v>0</v>
      </c>
      <c r="KH102" s="471">
        <f t="shared" si="358"/>
        <v>0</v>
      </c>
      <c r="KI102" s="471">
        <f t="shared" si="358"/>
        <v>0</v>
      </c>
      <c r="KJ102" s="471">
        <f t="shared" si="358"/>
        <v>0</v>
      </c>
      <c r="KK102" s="471">
        <f t="shared" si="358"/>
        <v>0</v>
      </c>
      <c r="KL102" s="471">
        <f t="shared" si="358"/>
        <v>0</v>
      </c>
      <c r="KM102" s="471">
        <f t="shared" si="358"/>
        <v>0</v>
      </c>
      <c r="KN102" s="471">
        <f t="shared" si="358"/>
        <v>0</v>
      </c>
      <c r="KO102" s="471">
        <f t="shared" si="358"/>
        <v>0</v>
      </c>
      <c r="KP102" s="471">
        <f t="shared" si="358"/>
        <v>0</v>
      </c>
      <c r="KQ102" s="471">
        <f t="shared" si="358"/>
        <v>0</v>
      </c>
      <c r="KR102" s="471">
        <f t="shared" si="358"/>
        <v>0</v>
      </c>
      <c r="KS102" s="471">
        <f t="shared" si="358"/>
        <v>0</v>
      </c>
      <c r="KT102" s="471">
        <f t="shared" si="358"/>
        <v>0</v>
      </c>
      <c r="KU102" s="471">
        <f t="shared" si="358"/>
        <v>0</v>
      </c>
      <c r="KV102" s="471">
        <f t="shared" si="358"/>
        <v>0</v>
      </c>
      <c r="KW102" s="471">
        <f t="shared" si="358"/>
        <v>0</v>
      </c>
      <c r="KX102" s="471">
        <f t="shared" si="359"/>
        <v>0</v>
      </c>
      <c r="KY102" s="471">
        <f t="shared" si="359"/>
        <v>0</v>
      </c>
      <c r="KZ102" s="471">
        <f t="shared" si="359"/>
        <v>0</v>
      </c>
      <c r="LA102" s="471">
        <f t="shared" si="359"/>
        <v>0</v>
      </c>
      <c r="LB102" s="471">
        <f t="shared" si="359"/>
        <v>0</v>
      </c>
      <c r="LC102" s="471">
        <f t="shared" si="359"/>
        <v>0</v>
      </c>
      <c r="LD102" s="471">
        <f t="shared" si="359"/>
        <v>0</v>
      </c>
      <c r="LE102" s="471">
        <f t="shared" si="359"/>
        <v>0</v>
      </c>
      <c r="LF102" s="471">
        <f t="shared" si="359"/>
        <v>0</v>
      </c>
      <c r="LG102" s="471">
        <f t="shared" si="359"/>
        <v>0</v>
      </c>
      <c r="LH102" s="471">
        <f t="shared" si="359"/>
        <v>0</v>
      </c>
      <c r="LI102" s="471">
        <f t="shared" si="359"/>
        <v>0</v>
      </c>
      <c r="LJ102" s="471">
        <f t="shared" si="359"/>
        <v>0</v>
      </c>
      <c r="LK102" s="471">
        <f t="shared" si="359"/>
        <v>0</v>
      </c>
      <c r="LL102" s="471">
        <f t="shared" si="359"/>
        <v>0</v>
      </c>
      <c r="LM102" s="471">
        <f t="shared" si="359"/>
        <v>0</v>
      </c>
      <c r="LN102" s="471">
        <f t="shared" si="360"/>
        <v>0</v>
      </c>
      <c r="LO102" s="471">
        <f t="shared" si="360"/>
        <v>0</v>
      </c>
      <c r="LP102" s="471">
        <f t="shared" si="360"/>
        <v>0</v>
      </c>
      <c r="LQ102" s="471">
        <f t="shared" si="360"/>
        <v>0</v>
      </c>
      <c r="LR102" s="471">
        <f t="shared" si="360"/>
        <v>0</v>
      </c>
      <c r="LS102" s="471">
        <f t="shared" si="360"/>
        <v>0</v>
      </c>
      <c r="LT102" s="471">
        <f t="shared" si="360"/>
        <v>0</v>
      </c>
      <c r="LU102" s="471">
        <f t="shared" si="360"/>
        <v>0</v>
      </c>
      <c r="LV102" s="471">
        <f t="shared" si="360"/>
        <v>0</v>
      </c>
      <c r="LW102" s="471">
        <f t="shared" si="360"/>
        <v>0</v>
      </c>
      <c r="LX102" s="471">
        <f t="shared" si="360"/>
        <v>0</v>
      </c>
      <c r="LY102" s="471">
        <f t="shared" si="360"/>
        <v>0</v>
      </c>
      <c r="LZ102" s="471">
        <f t="shared" si="360"/>
        <v>0</v>
      </c>
      <c r="MA102" s="471">
        <f t="shared" si="360"/>
        <v>0</v>
      </c>
      <c r="MB102" s="471">
        <f t="shared" si="360"/>
        <v>0</v>
      </c>
      <c r="MC102" s="471">
        <f t="shared" si="360"/>
        <v>0</v>
      </c>
      <c r="MD102" s="471">
        <f t="shared" si="361"/>
        <v>0</v>
      </c>
      <c r="ME102" s="471">
        <f t="shared" si="361"/>
        <v>0</v>
      </c>
      <c r="MF102" s="471">
        <f t="shared" si="361"/>
        <v>0</v>
      </c>
      <c r="MG102" s="471">
        <f t="shared" si="361"/>
        <v>0</v>
      </c>
      <c r="MH102" s="471">
        <f t="shared" si="361"/>
        <v>0</v>
      </c>
      <c r="MI102" s="471">
        <f t="shared" si="361"/>
        <v>0</v>
      </c>
      <c r="MJ102" s="471">
        <f t="shared" si="361"/>
        <v>0</v>
      </c>
      <c r="MK102" s="471">
        <f t="shared" si="361"/>
        <v>0</v>
      </c>
      <c r="ML102" s="471">
        <f t="shared" si="361"/>
        <v>0</v>
      </c>
      <c r="MM102" s="471">
        <f t="shared" si="361"/>
        <v>0</v>
      </c>
      <c r="MN102" s="471">
        <f t="shared" si="361"/>
        <v>0</v>
      </c>
      <c r="MO102" s="471">
        <f t="shared" si="361"/>
        <v>0</v>
      </c>
      <c r="MP102" s="471">
        <f t="shared" si="361"/>
        <v>0</v>
      </c>
      <c r="MQ102" s="471">
        <f t="shared" si="361"/>
        <v>0</v>
      </c>
      <c r="MR102" s="471">
        <f t="shared" si="361"/>
        <v>0</v>
      </c>
      <c r="MS102" s="471">
        <f t="shared" si="361"/>
        <v>0</v>
      </c>
      <c r="MT102" s="471">
        <f t="shared" si="362"/>
        <v>0</v>
      </c>
      <c r="MU102" s="471">
        <f t="shared" si="362"/>
        <v>0</v>
      </c>
      <c r="MV102" s="471">
        <f t="shared" si="362"/>
        <v>0</v>
      </c>
      <c r="MW102" s="471">
        <f t="shared" si="362"/>
        <v>0</v>
      </c>
      <c r="MX102" s="471">
        <f t="shared" si="362"/>
        <v>0</v>
      </c>
      <c r="MY102" s="471">
        <f t="shared" si="362"/>
        <v>0</v>
      </c>
      <c r="MZ102" s="471">
        <f t="shared" si="362"/>
        <v>0</v>
      </c>
      <c r="NA102" s="471">
        <f t="shared" si="362"/>
        <v>0</v>
      </c>
      <c r="NB102" s="471">
        <f t="shared" si="362"/>
        <v>0</v>
      </c>
      <c r="NC102" s="471">
        <f t="shared" si="362"/>
        <v>0</v>
      </c>
      <c r="ND102" s="471">
        <f t="shared" si="362"/>
        <v>0</v>
      </c>
      <c r="NE102" s="471">
        <f t="shared" si="362"/>
        <v>0</v>
      </c>
      <c r="NF102" s="471">
        <f t="shared" si="362"/>
        <v>0</v>
      </c>
      <c r="NG102" s="471">
        <f t="shared" si="362"/>
        <v>0</v>
      </c>
      <c r="NH102" s="471">
        <f t="shared" si="362"/>
        <v>0</v>
      </c>
      <c r="NI102" s="471">
        <f t="shared" si="362"/>
        <v>0</v>
      </c>
      <c r="NJ102" s="471">
        <f t="shared" si="363"/>
        <v>0</v>
      </c>
      <c r="NK102" s="471">
        <f t="shared" si="363"/>
        <v>0</v>
      </c>
      <c r="NL102" s="471">
        <f t="shared" si="363"/>
        <v>0</v>
      </c>
      <c r="NM102" s="471">
        <f t="shared" si="363"/>
        <v>0</v>
      </c>
      <c r="NN102" s="471">
        <f t="shared" si="363"/>
        <v>0</v>
      </c>
      <c r="NO102" s="471">
        <f t="shared" si="363"/>
        <v>0</v>
      </c>
      <c r="NP102" s="471">
        <f t="shared" si="363"/>
        <v>0</v>
      </c>
      <c r="NQ102" s="471">
        <f t="shared" si="363"/>
        <v>0</v>
      </c>
      <c r="NR102" s="471">
        <f t="shared" si="363"/>
        <v>0</v>
      </c>
      <c r="NS102" s="471">
        <f t="shared" si="363"/>
        <v>0</v>
      </c>
      <c r="NT102" s="471">
        <f t="shared" si="363"/>
        <v>0</v>
      </c>
      <c r="NU102" s="471">
        <f t="shared" si="363"/>
        <v>0</v>
      </c>
      <c r="NV102" s="471">
        <f t="shared" si="363"/>
        <v>0</v>
      </c>
      <c r="NW102" s="471">
        <f t="shared" si="363"/>
        <v>0</v>
      </c>
      <c r="NX102" s="471">
        <f t="shared" si="363"/>
        <v>0</v>
      </c>
      <c r="NY102" s="471">
        <f t="shared" si="363"/>
        <v>0</v>
      </c>
      <c r="NZ102" s="471">
        <f t="shared" si="364"/>
        <v>0</v>
      </c>
      <c r="OA102" s="471">
        <f t="shared" si="364"/>
        <v>0</v>
      </c>
      <c r="OB102" s="471">
        <f t="shared" si="364"/>
        <v>0</v>
      </c>
      <c r="OC102" s="471">
        <f t="shared" si="364"/>
        <v>0</v>
      </c>
      <c r="OD102" s="471">
        <f t="shared" si="364"/>
        <v>0</v>
      </c>
      <c r="OE102" s="471">
        <f t="shared" si="364"/>
        <v>0</v>
      </c>
      <c r="OF102" s="471">
        <f t="shared" si="364"/>
        <v>0</v>
      </c>
      <c r="OG102" s="471">
        <f t="shared" si="364"/>
        <v>0</v>
      </c>
      <c r="OH102" s="471">
        <f t="shared" si="364"/>
        <v>0</v>
      </c>
      <c r="OI102" s="471">
        <f t="shared" si="364"/>
        <v>0</v>
      </c>
      <c r="OJ102" s="471">
        <f t="shared" si="364"/>
        <v>0</v>
      </c>
      <c r="OK102" s="471">
        <f t="shared" si="364"/>
        <v>0</v>
      </c>
      <c r="OL102" s="471">
        <f t="shared" si="364"/>
        <v>0</v>
      </c>
      <c r="OM102" s="471">
        <f t="shared" si="364"/>
        <v>0</v>
      </c>
      <c r="ON102" s="471">
        <f t="shared" si="364"/>
        <v>0</v>
      </c>
      <c r="OO102" s="471">
        <f t="shared" si="364"/>
        <v>0</v>
      </c>
      <c r="OP102" s="471">
        <f t="shared" si="365"/>
        <v>0</v>
      </c>
      <c r="OQ102" s="471">
        <f t="shared" si="365"/>
        <v>0</v>
      </c>
      <c r="OR102" s="471">
        <f t="shared" si="365"/>
        <v>0</v>
      </c>
      <c r="OS102" s="471">
        <f t="shared" si="365"/>
        <v>0</v>
      </c>
      <c r="OT102" s="471">
        <f t="shared" si="365"/>
        <v>0</v>
      </c>
      <c r="OU102" s="471">
        <f t="shared" si="365"/>
        <v>0</v>
      </c>
      <c r="OV102" s="471">
        <f t="shared" si="365"/>
        <v>0</v>
      </c>
      <c r="OW102" s="471">
        <f t="shared" si="365"/>
        <v>0</v>
      </c>
      <c r="OX102" s="471">
        <f t="shared" si="365"/>
        <v>0</v>
      </c>
      <c r="OY102" s="471">
        <f t="shared" si="365"/>
        <v>0</v>
      </c>
      <c r="OZ102" s="471">
        <f t="shared" si="365"/>
        <v>0</v>
      </c>
      <c r="PA102" s="471">
        <f t="shared" si="365"/>
        <v>0</v>
      </c>
      <c r="PB102" s="471">
        <f t="shared" si="365"/>
        <v>0</v>
      </c>
      <c r="PC102" s="471">
        <f t="shared" si="365"/>
        <v>0</v>
      </c>
      <c r="PD102" s="471">
        <f t="shared" si="365"/>
        <v>0</v>
      </c>
      <c r="PE102" s="471">
        <f t="shared" si="365"/>
        <v>0</v>
      </c>
      <c r="PF102" s="471">
        <f t="shared" si="366"/>
        <v>0</v>
      </c>
      <c r="PG102" s="471">
        <f t="shared" si="366"/>
        <v>0</v>
      </c>
      <c r="PH102" s="471">
        <f t="shared" si="366"/>
        <v>0</v>
      </c>
    </row>
    <row r="103" spans="1:424" x14ac:dyDescent="0.35">
      <c r="A103"/>
      <c r="B103" s="469" t="s">
        <v>263</v>
      </c>
      <c r="C103" s="469" t="s">
        <v>264</v>
      </c>
      <c r="D103" s="45">
        <f>Timing_Operation_Begin_Month</f>
        <v>37</v>
      </c>
      <c r="E103" s="837">
        <f>SUM('URWLD COMPANY INPUTS'!$F$632:$F$633)</f>
        <v>2120</v>
      </c>
      <c r="F103" s="45">
        <f t="shared" si="332"/>
        <v>40</v>
      </c>
      <c r="G103" s="838">
        <f>IF('INPUT REGISTER'!$F$495="","",'INPUT REGISTER'!$F$495)</f>
        <v>3.5000000000000003E-2</v>
      </c>
      <c r="H103" s="843">
        <f>'INPUT REGISTER'!$F$682</f>
        <v>0</v>
      </c>
      <c r="I103" s="424">
        <f t="shared" si="333"/>
        <v>0</v>
      </c>
      <c r="J103"/>
      <c r="K103" s="286" t="s">
        <v>247</v>
      </c>
      <c r="L103" s="75">
        <f t="shared" si="334"/>
        <v>0</v>
      </c>
      <c r="M103" s="417">
        <f t="shared" si="334"/>
        <v>0</v>
      </c>
      <c r="N103" s="417">
        <f t="shared" si="334"/>
        <v>0</v>
      </c>
      <c r="O103" s="417">
        <f t="shared" si="334"/>
        <v>0</v>
      </c>
      <c r="P103" s="417">
        <f t="shared" si="334"/>
        <v>0</v>
      </c>
      <c r="Q103" s="417">
        <f t="shared" si="334"/>
        <v>0</v>
      </c>
      <c r="R103" s="417">
        <f t="shared" si="334"/>
        <v>0</v>
      </c>
      <c r="S103" s="417">
        <f t="shared" si="334"/>
        <v>0</v>
      </c>
      <c r="T103" s="417">
        <f t="shared" si="334"/>
        <v>0</v>
      </c>
      <c r="U103" s="417">
        <f t="shared" si="334"/>
        <v>0</v>
      </c>
      <c r="V103" s="417">
        <f t="shared" si="335"/>
        <v>0</v>
      </c>
      <c r="W103" s="417">
        <f t="shared" si="335"/>
        <v>0</v>
      </c>
      <c r="X103" s="417">
        <f t="shared" si="335"/>
        <v>0</v>
      </c>
      <c r="Y103" s="417">
        <f t="shared" si="335"/>
        <v>0</v>
      </c>
      <c r="Z103" s="417">
        <f t="shared" si="335"/>
        <v>0</v>
      </c>
      <c r="AA103" s="417">
        <f t="shared" si="335"/>
        <v>0</v>
      </c>
      <c r="AB103" s="417">
        <f t="shared" si="335"/>
        <v>0</v>
      </c>
      <c r="AC103" s="417">
        <f t="shared" si="335"/>
        <v>0</v>
      </c>
      <c r="AD103" s="417">
        <f t="shared" si="335"/>
        <v>0</v>
      </c>
      <c r="AE103" s="417">
        <f t="shared" si="335"/>
        <v>0</v>
      </c>
      <c r="AF103" s="417">
        <f t="shared" si="336"/>
        <v>0</v>
      </c>
      <c r="AG103" s="417">
        <f t="shared" si="336"/>
        <v>0</v>
      </c>
      <c r="AH103" s="417">
        <f t="shared" si="336"/>
        <v>0</v>
      </c>
      <c r="AI103" s="417">
        <f t="shared" si="336"/>
        <v>0</v>
      </c>
      <c r="AJ103" s="417">
        <f t="shared" si="336"/>
        <v>0</v>
      </c>
      <c r="AK103" s="417">
        <f t="shared" si="336"/>
        <v>0</v>
      </c>
      <c r="AL103" s="417">
        <f t="shared" si="336"/>
        <v>0</v>
      </c>
      <c r="AM103" s="417">
        <f t="shared" si="336"/>
        <v>0</v>
      </c>
      <c r="AN103" s="417">
        <f t="shared" si="336"/>
        <v>0</v>
      </c>
      <c r="AO103" s="417">
        <f t="shared" si="336"/>
        <v>0</v>
      </c>
      <c r="AP103" s="417">
        <f t="shared" si="337"/>
        <v>0</v>
      </c>
      <c r="AQ103" s="417">
        <f t="shared" si="337"/>
        <v>0</v>
      </c>
      <c r="AR103" s="417">
        <f t="shared" si="337"/>
        <v>0</v>
      </c>
      <c r="AS103" s="417">
        <f t="shared" si="337"/>
        <v>0</v>
      </c>
      <c r="AT103" s="417">
        <f t="shared" si="337"/>
        <v>0</v>
      </c>
      <c r="AU103" s="417">
        <f t="shared" si="337"/>
        <v>0</v>
      </c>
      <c r="AV103" s="417">
        <f t="shared" si="337"/>
        <v>0</v>
      </c>
      <c r="AW103" s="417">
        <f t="shared" si="337"/>
        <v>0</v>
      </c>
      <c r="AX103" s="417">
        <f t="shared" si="337"/>
        <v>0</v>
      </c>
      <c r="AY103" s="417">
        <f t="shared" si="337"/>
        <v>0</v>
      </c>
      <c r="AZ103" s="417">
        <f t="shared" si="338"/>
        <v>0</v>
      </c>
      <c r="BA103" s="417">
        <f t="shared" si="338"/>
        <v>0</v>
      </c>
      <c r="BB103" s="417">
        <f t="shared" si="338"/>
        <v>0</v>
      </c>
      <c r="BC103" s="417">
        <f t="shared" si="338"/>
        <v>0</v>
      </c>
      <c r="BD103" s="417">
        <f t="shared" si="338"/>
        <v>0</v>
      </c>
      <c r="BE103" s="417">
        <f t="shared" si="338"/>
        <v>0</v>
      </c>
      <c r="BF103" s="417">
        <f t="shared" si="338"/>
        <v>0</v>
      </c>
      <c r="BG103" s="417">
        <f t="shared" si="338"/>
        <v>0</v>
      </c>
      <c r="BH103" s="417">
        <f t="shared" si="338"/>
        <v>0</v>
      </c>
      <c r="BI103" s="417">
        <f t="shared" si="338"/>
        <v>0</v>
      </c>
      <c r="BJ103" s="417">
        <f t="shared" si="339"/>
        <v>0</v>
      </c>
      <c r="BK103" s="417">
        <f t="shared" si="339"/>
        <v>0</v>
      </c>
      <c r="BL103" s="417">
        <f t="shared" si="339"/>
        <v>0</v>
      </c>
      <c r="BM103" s="417">
        <f t="shared" si="339"/>
        <v>0</v>
      </c>
      <c r="BN103" s="417">
        <f t="shared" si="339"/>
        <v>0</v>
      </c>
      <c r="BO103" s="417">
        <f t="shared" si="339"/>
        <v>0</v>
      </c>
      <c r="BP103" s="417">
        <f t="shared" si="339"/>
        <v>0</v>
      </c>
      <c r="BQ103" s="417">
        <f t="shared" si="339"/>
        <v>0</v>
      </c>
      <c r="BR103" s="417">
        <f t="shared" si="339"/>
        <v>0</v>
      </c>
      <c r="BS103" s="417">
        <f t="shared" si="339"/>
        <v>0</v>
      </c>
      <c r="BT103" s="417">
        <f t="shared" si="340"/>
        <v>0</v>
      </c>
      <c r="BU103" s="417">
        <f t="shared" si="340"/>
        <v>0</v>
      </c>
      <c r="BV103" s="417">
        <f t="shared" si="340"/>
        <v>0</v>
      </c>
      <c r="BW103" s="417">
        <f t="shared" si="340"/>
        <v>0</v>
      </c>
      <c r="BX103" s="417">
        <f t="shared" si="340"/>
        <v>0</v>
      </c>
      <c r="BY103" s="417">
        <f t="shared" si="340"/>
        <v>0</v>
      </c>
      <c r="BZ103" s="417">
        <f t="shared" si="340"/>
        <v>0</v>
      </c>
      <c r="CA103" s="417">
        <f t="shared" si="340"/>
        <v>0</v>
      </c>
      <c r="CB103" s="417">
        <f t="shared" si="340"/>
        <v>0</v>
      </c>
      <c r="CC103" s="417">
        <f t="shared" si="340"/>
        <v>0</v>
      </c>
      <c r="CD103" s="417">
        <f t="shared" si="341"/>
        <v>0</v>
      </c>
      <c r="CE103" s="417">
        <f t="shared" si="341"/>
        <v>0</v>
      </c>
      <c r="CF103" s="417">
        <f t="shared" si="341"/>
        <v>0</v>
      </c>
      <c r="CG103" s="417">
        <f t="shared" si="341"/>
        <v>0</v>
      </c>
      <c r="CH103" s="417">
        <f t="shared" si="341"/>
        <v>0</v>
      </c>
      <c r="CI103" s="417">
        <f t="shared" si="341"/>
        <v>0</v>
      </c>
      <c r="CJ103" s="417">
        <f t="shared" si="341"/>
        <v>0</v>
      </c>
      <c r="CK103" s="417">
        <f t="shared" si="341"/>
        <v>0</v>
      </c>
      <c r="CL103" s="417">
        <f t="shared" si="341"/>
        <v>0</v>
      </c>
      <c r="CM103" s="417">
        <f t="shared" si="341"/>
        <v>0</v>
      </c>
      <c r="CN103" s="417">
        <f t="shared" si="342"/>
        <v>0</v>
      </c>
      <c r="CO103" s="417">
        <f t="shared" si="342"/>
        <v>0</v>
      </c>
      <c r="CP103" s="417">
        <f t="shared" si="342"/>
        <v>0</v>
      </c>
      <c r="CQ103" s="417">
        <f t="shared" si="342"/>
        <v>0</v>
      </c>
      <c r="CR103" s="417">
        <f t="shared" si="342"/>
        <v>0</v>
      </c>
      <c r="CS103" s="417">
        <f t="shared" si="342"/>
        <v>0</v>
      </c>
      <c r="CT103" s="417">
        <f t="shared" si="342"/>
        <v>0</v>
      </c>
      <c r="CU103" s="417">
        <f t="shared" si="342"/>
        <v>0</v>
      </c>
      <c r="CV103" s="417">
        <f t="shared" si="342"/>
        <v>0</v>
      </c>
      <c r="CW103" s="417">
        <f t="shared" si="342"/>
        <v>0</v>
      </c>
      <c r="CX103" s="417">
        <f t="shared" si="343"/>
        <v>0</v>
      </c>
      <c r="CY103" s="417">
        <f t="shared" si="343"/>
        <v>0</v>
      </c>
      <c r="CZ103" s="417">
        <f t="shared" si="343"/>
        <v>0</v>
      </c>
      <c r="DA103" s="417">
        <f t="shared" si="343"/>
        <v>0</v>
      </c>
      <c r="DB103" s="417">
        <f t="shared" si="343"/>
        <v>0</v>
      </c>
      <c r="DC103" s="417">
        <f t="shared" si="343"/>
        <v>0</v>
      </c>
      <c r="DD103" s="417">
        <f t="shared" si="343"/>
        <v>0</v>
      </c>
      <c r="DE103" s="417">
        <f t="shared" si="343"/>
        <v>0</v>
      </c>
      <c r="DF103" s="417">
        <f t="shared" si="343"/>
        <v>0</v>
      </c>
      <c r="DG103" s="417">
        <f t="shared" si="343"/>
        <v>0</v>
      </c>
      <c r="DH103" s="417">
        <f t="shared" si="344"/>
        <v>0</v>
      </c>
      <c r="DI103" s="417">
        <f t="shared" si="344"/>
        <v>0</v>
      </c>
      <c r="DJ103" s="417">
        <f t="shared" si="344"/>
        <v>0</v>
      </c>
      <c r="DK103" s="417">
        <f t="shared" si="344"/>
        <v>0</v>
      </c>
      <c r="DL103" s="417">
        <f t="shared" si="344"/>
        <v>0</v>
      </c>
      <c r="DM103" s="417">
        <f t="shared" si="344"/>
        <v>0</v>
      </c>
      <c r="DN103" s="417">
        <f t="shared" si="344"/>
        <v>0</v>
      </c>
      <c r="DO103" s="417">
        <f t="shared" si="344"/>
        <v>0</v>
      </c>
      <c r="DP103" s="417">
        <f t="shared" si="344"/>
        <v>0</v>
      </c>
      <c r="DQ103" s="417">
        <f t="shared" si="344"/>
        <v>0</v>
      </c>
      <c r="DR103" s="417">
        <f t="shared" si="345"/>
        <v>0</v>
      </c>
      <c r="DS103" s="417">
        <f t="shared" si="345"/>
        <v>0</v>
      </c>
      <c r="DT103" s="417">
        <f t="shared" si="345"/>
        <v>0</v>
      </c>
      <c r="DU103" s="417">
        <f t="shared" si="345"/>
        <v>0</v>
      </c>
      <c r="DV103" s="417">
        <f t="shared" si="345"/>
        <v>0</v>
      </c>
      <c r="DW103" s="417">
        <f t="shared" si="345"/>
        <v>0</v>
      </c>
      <c r="DX103" s="417">
        <f t="shared" si="345"/>
        <v>0</v>
      </c>
      <c r="DY103" s="417">
        <f t="shared" si="345"/>
        <v>0</v>
      </c>
      <c r="DZ103" s="417">
        <f t="shared" si="345"/>
        <v>0</v>
      </c>
      <c r="EA103" s="417">
        <f t="shared" si="345"/>
        <v>0</v>
      </c>
      <c r="EB103" s="417">
        <f t="shared" si="346"/>
        <v>0</v>
      </c>
      <c r="EC103" s="417">
        <f t="shared" si="346"/>
        <v>0</v>
      </c>
      <c r="ED103" s="417">
        <f t="shared" si="346"/>
        <v>0</v>
      </c>
      <c r="EE103" s="417">
        <f t="shared" si="346"/>
        <v>0</v>
      </c>
      <c r="EF103" s="417">
        <f t="shared" si="346"/>
        <v>0</v>
      </c>
      <c r="EG103" s="417">
        <f t="shared" si="346"/>
        <v>0</v>
      </c>
      <c r="EH103" s="417">
        <f t="shared" si="346"/>
        <v>0</v>
      </c>
      <c r="EI103" s="417">
        <f t="shared" si="346"/>
        <v>0</v>
      </c>
      <c r="EJ103" s="417">
        <f t="shared" si="346"/>
        <v>0</v>
      </c>
      <c r="EK103" s="417">
        <f t="shared" si="346"/>
        <v>0</v>
      </c>
      <c r="EL103" s="417">
        <f t="shared" si="346"/>
        <v>0</v>
      </c>
      <c r="EM103" s="417">
        <f t="shared" si="346"/>
        <v>0</v>
      </c>
      <c r="EN103" s="417">
        <f t="shared" si="346"/>
        <v>0</v>
      </c>
      <c r="EO103"/>
      <c r="EP103" s="219" t="str">
        <f t="shared" si="367"/>
        <v>Convenience Store / Laundromat</v>
      </c>
      <c r="EQ103" s="913">
        <f t="shared" si="368"/>
        <v>2120</v>
      </c>
      <c r="ER103" s="197">
        <f t="shared" si="369"/>
        <v>37</v>
      </c>
      <c r="ES103" s="18"/>
      <c r="ET103" s="18"/>
      <c r="EU103" s="18"/>
      <c r="EV103" s="418">
        <f t="shared" si="370"/>
        <v>0</v>
      </c>
      <c r="EW103" s="418">
        <f t="shared" si="370"/>
        <v>0</v>
      </c>
      <c r="EX103" s="418">
        <f t="shared" si="370"/>
        <v>0</v>
      </c>
      <c r="EY103" s="418">
        <f t="shared" si="370"/>
        <v>0</v>
      </c>
      <c r="EZ103" s="418">
        <f t="shared" si="370"/>
        <v>0</v>
      </c>
      <c r="FA103" s="418">
        <f t="shared" si="370"/>
        <v>0</v>
      </c>
      <c r="FB103" s="418">
        <f t="shared" si="370"/>
        <v>0</v>
      </c>
      <c r="FC103" s="418">
        <f t="shared" si="370"/>
        <v>0</v>
      </c>
      <c r="FD103" s="418">
        <f t="shared" si="370"/>
        <v>0</v>
      </c>
      <c r="FE103" s="418">
        <f t="shared" si="370"/>
        <v>0</v>
      </c>
      <c r="FF103" s="418">
        <f t="shared" si="370"/>
        <v>0</v>
      </c>
      <c r="FG103" s="418">
        <f t="shared" si="370"/>
        <v>0</v>
      </c>
      <c r="FH103" s="418">
        <f t="shared" si="370"/>
        <v>0</v>
      </c>
      <c r="FI103" s="418">
        <f t="shared" si="370"/>
        <v>0</v>
      </c>
      <c r="FJ103" s="418">
        <f t="shared" si="370"/>
        <v>0</v>
      </c>
      <c r="FK103" s="418">
        <f t="shared" si="370"/>
        <v>0</v>
      </c>
      <c r="FL103" s="418">
        <f t="shared" si="380"/>
        <v>0</v>
      </c>
      <c r="FM103" s="418">
        <f t="shared" si="380"/>
        <v>0</v>
      </c>
      <c r="FN103" s="418">
        <f t="shared" si="380"/>
        <v>0</v>
      </c>
      <c r="FO103" s="418">
        <f t="shared" si="380"/>
        <v>0</v>
      </c>
      <c r="FP103" s="418">
        <f t="shared" si="380"/>
        <v>0</v>
      </c>
      <c r="FQ103" s="418">
        <f t="shared" si="380"/>
        <v>0</v>
      </c>
      <c r="FR103" s="418">
        <f t="shared" si="380"/>
        <v>0</v>
      </c>
      <c r="FS103" s="418">
        <f t="shared" si="380"/>
        <v>0</v>
      </c>
      <c r="FT103" s="418">
        <f t="shared" si="380"/>
        <v>0</v>
      </c>
      <c r="FU103" s="418">
        <f t="shared" si="380"/>
        <v>0</v>
      </c>
      <c r="FV103" s="418">
        <f t="shared" ref="FV103:HH103" si="382">(FV$3&gt;=$ER103)*$EQ103</f>
        <v>0</v>
      </c>
      <c r="FW103" s="418">
        <f t="shared" si="382"/>
        <v>0</v>
      </c>
      <c r="FX103" s="418">
        <f t="shared" si="382"/>
        <v>0</v>
      </c>
      <c r="FY103" s="418">
        <f t="shared" si="382"/>
        <v>0</v>
      </c>
      <c r="FZ103" s="418">
        <f t="shared" si="382"/>
        <v>0</v>
      </c>
      <c r="GA103" s="418">
        <f t="shared" si="382"/>
        <v>0</v>
      </c>
      <c r="GB103" s="418">
        <f t="shared" si="382"/>
        <v>0</v>
      </c>
      <c r="GC103" s="418">
        <f t="shared" si="382"/>
        <v>0</v>
      </c>
      <c r="GD103" s="418">
        <f t="shared" si="382"/>
        <v>0</v>
      </c>
      <c r="GE103" s="418">
        <f t="shared" si="382"/>
        <v>0</v>
      </c>
      <c r="GF103" s="418">
        <f t="shared" si="382"/>
        <v>0</v>
      </c>
      <c r="GG103" s="418">
        <f t="shared" si="382"/>
        <v>2120</v>
      </c>
      <c r="GH103" s="418">
        <f t="shared" si="382"/>
        <v>2120</v>
      </c>
      <c r="GI103" s="418">
        <f t="shared" si="382"/>
        <v>2120</v>
      </c>
      <c r="GJ103" s="418">
        <f t="shared" si="382"/>
        <v>2120</v>
      </c>
      <c r="GK103" s="418">
        <f t="shared" si="382"/>
        <v>2120</v>
      </c>
      <c r="GL103" s="418">
        <f t="shared" si="382"/>
        <v>2120</v>
      </c>
      <c r="GM103" s="418">
        <f t="shared" si="382"/>
        <v>2120</v>
      </c>
      <c r="GN103" s="418">
        <f t="shared" si="382"/>
        <v>2120</v>
      </c>
      <c r="GO103" s="418">
        <f t="shared" si="382"/>
        <v>2120</v>
      </c>
      <c r="GP103" s="418">
        <f t="shared" si="382"/>
        <v>2120</v>
      </c>
      <c r="GQ103" s="418">
        <f t="shared" si="382"/>
        <v>2120</v>
      </c>
      <c r="GR103" s="418">
        <f t="shared" si="382"/>
        <v>2120</v>
      </c>
      <c r="GS103" s="418">
        <f t="shared" si="382"/>
        <v>2120</v>
      </c>
      <c r="GT103" s="418">
        <f t="shared" si="382"/>
        <v>2120</v>
      </c>
      <c r="GU103" s="418">
        <f t="shared" si="382"/>
        <v>2120</v>
      </c>
      <c r="GV103" s="418">
        <f t="shared" si="382"/>
        <v>2120</v>
      </c>
      <c r="GW103" s="418">
        <f t="shared" si="382"/>
        <v>2120</v>
      </c>
      <c r="GX103" s="418">
        <f t="shared" si="382"/>
        <v>2120</v>
      </c>
      <c r="GY103" s="418">
        <f t="shared" si="382"/>
        <v>2120</v>
      </c>
      <c r="GZ103" s="418">
        <f t="shared" si="382"/>
        <v>2120</v>
      </c>
      <c r="HA103" s="418">
        <f t="shared" si="382"/>
        <v>2120</v>
      </c>
      <c r="HB103" s="418">
        <f t="shared" si="382"/>
        <v>2120</v>
      </c>
      <c r="HC103" s="418">
        <f t="shared" si="382"/>
        <v>2120</v>
      </c>
      <c r="HD103" s="418">
        <f t="shared" si="382"/>
        <v>2120</v>
      </c>
      <c r="HE103" s="418">
        <f t="shared" si="382"/>
        <v>2120</v>
      </c>
      <c r="HF103" s="418">
        <f t="shared" si="382"/>
        <v>2120</v>
      </c>
      <c r="HG103" s="418">
        <f t="shared" si="382"/>
        <v>2120</v>
      </c>
      <c r="HH103" s="418">
        <f t="shared" si="382"/>
        <v>2120</v>
      </c>
      <c r="HI103" s="418">
        <f t="shared" si="381"/>
        <v>2120</v>
      </c>
      <c r="HJ103" s="418">
        <f t="shared" si="381"/>
        <v>2120</v>
      </c>
      <c r="HK103" s="418">
        <f t="shared" si="381"/>
        <v>2120</v>
      </c>
      <c r="HL103" s="418">
        <f t="shared" si="381"/>
        <v>2120</v>
      </c>
      <c r="HM103" s="418">
        <f t="shared" si="381"/>
        <v>2120</v>
      </c>
      <c r="HN103" s="418">
        <f t="shared" si="381"/>
        <v>2120</v>
      </c>
      <c r="HO103" s="418">
        <f t="shared" si="381"/>
        <v>2120</v>
      </c>
      <c r="HP103" s="418">
        <f t="shared" si="381"/>
        <v>2120</v>
      </c>
      <c r="HQ103" s="418">
        <f t="shared" si="381"/>
        <v>2120</v>
      </c>
      <c r="HR103" s="418">
        <f t="shared" si="381"/>
        <v>2120</v>
      </c>
      <c r="HS103" s="418">
        <f t="shared" si="381"/>
        <v>2120</v>
      </c>
      <c r="HT103" s="418">
        <f t="shared" si="381"/>
        <v>2120</v>
      </c>
      <c r="HU103" s="418">
        <f t="shared" si="381"/>
        <v>2120</v>
      </c>
      <c r="HV103" s="418">
        <f t="shared" si="381"/>
        <v>2120</v>
      </c>
      <c r="HW103" s="418">
        <f t="shared" si="381"/>
        <v>2120</v>
      </c>
      <c r="HX103" s="418">
        <f t="shared" si="381"/>
        <v>2120</v>
      </c>
      <c r="HY103" s="418">
        <f t="shared" si="381"/>
        <v>2120</v>
      </c>
      <c r="HZ103" s="418">
        <f t="shared" si="381"/>
        <v>2120</v>
      </c>
      <c r="IA103" s="418">
        <f t="shared" si="381"/>
        <v>2120</v>
      </c>
      <c r="IB103" s="418">
        <f t="shared" si="381"/>
        <v>2120</v>
      </c>
      <c r="IC103" s="418">
        <f t="shared" si="381"/>
        <v>2120</v>
      </c>
      <c r="ID103" s="418">
        <f t="shared" si="381"/>
        <v>2120</v>
      </c>
      <c r="IE103" s="418">
        <f t="shared" si="381"/>
        <v>2120</v>
      </c>
      <c r="IF103" s="418">
        <f t="shared" si="381"/>
        <v>2120</v>
      </c>
      <c r="IG103" s="418">
        <f t="shared" si="381"/>
        <v>2120</v>
      </c>
      <c r="IH103" s="418">
        <f t="shared" si="381"/>
        <v>2120</v>
      </c>
      <c r="II103" s="418">
        <f t="shared" si="381"/>
        <v>2120</v>
      </c>
      <c r="IJ103" s="418">
        <f t="shared" si="381"/>
        <v>2120</v>
      </c>
      <c r="IK103" s="418">
        <f t="shared" si="381"/>
        <v>2120</v>
      </c>
      <c r="IL103" s="418">
        <f t="shared" si="381"/>
        <v>2120</v>
      </c>
      <c r="IM103" s="418">
        <f t="shared" si="381"/>
        <v>2120</v>
      </c>
      <c r="IN103" s="418">
        <f t="shared" si="381"/>
        <v>2120</v>
      </c>
      <c r="IO103" s="418">
        <f t="shared" si="381"/>
        <v>2120</v>
      </c>
      <c r="IP103" s="418">
        <f t="shared" si="381"/>
        <v>2120</v>
      </c>
      <c r="IQ103" s="418">
        <f t="shared" si="381"/>
        <v>2120</v>
      </c>
      <c r="IR103" s="418">
        <f t="shared" si="381"/>
        <v>2120</v>
      </c>
      <c r="IS103" s="418">
        <f t="shared" si="381"/>
        <v>2120</v>
      </c>
      <c r="IT103" s="418">
        <f t="shared" si="381"/>
        <v>2120</v>
      </c>
      <c r="IU103" s="418">
        <f t="shared" si="381"/>
        <v>2120</v>
      </c>
      <c r="IV103" s="418">
        <f t="shared" si="381"/>
        <v>2120</v>
      </c>
      <c r="IW103" s="418">
        <f t="shared" si="381"/>
        <v>2120</v>
      </c>
      <c r="IX103" s="418">
        <f t="shared" si="381"/>
        <v>2120</v>
      </c>
      <c r="IY103" s="418">
        <f t="shared" si="381"/>
        <v>2120</v>
      </c>
      <c r="IZ103" s="418">
        <f t="shared" si="381"/>
        <v>2120</v>
      </c>
      <c r="JA103" s="418">
        <f t="shared" si="381"/>
        <v>2120</v>
      </c>
      <c r="JB103" s="418">
        <f t="shared" si="381"/>
        <v>2120</v>
      </c>
      <c r="JC103" s="418">
        <f t="shared" si="381"/>
        <v>2120</v>
      </c>
      <c r="JD103" s="418">
        <f t="shared" si="381"/>
        <v>2120</v>
      </c>
      <c r="JE103" s="418">
        <f t="shared" si="381"/>
        <v>2120</v>
      </c>
      <c r="JF103" s="418">
        <f t="shared" si="381"/>
        <v>2120</v>
      </c>
      <c r="JG103" s="418">
        <f t="shared" si="381"/>
        <v>2120</v>
      </c>
      <c r="JH103" s="418">
        <f t="shared" si="381"/>
        <v>2120</v>
      </c>
      <c r="JI103" s="418">
        <f t="shared" si="381"/>
        <v>2120</v>
      </c>
      <c r="JJ103" s="418">
        <f t="shared" si="381"/>
        <v>2120</v>
      </c>
      <c r="JK103" s="418">
        <f t="shared" si="381"/>
        <v>2120</v>
      </c>
      <c r="JL103" s="418">
        <f t="shared" si="381"/>
        <v>2120</v>
      </c>
      <c r="JM103" s="418">
        <f t="shared" si="381"/>
        <v>2120</v>
      </c>
      <c r="JN103" s="418">
        <f t="shared" si="381"/>
        <v>2120</v>
      </c>
      <c r="JO103" s="418">
        <f t="shared" si="381"/>
        <v>2120</v>
      </c>
      <c r="JP103" s="418">
        <f t="shared" si="381"/>
        <v>2120</v>
      </c>
      <c r="JQ103" s="418">
        <f t="shared" si="381"/>
        <v>2120</v>
      </c>
      <c r="JR103" s="418">
        <f t="shared" si="381"/>
        <v>2120</v>
      </c>
      <c r="JS103" s="418">
        <f t="shared" si="381"/>
        <v>2120</v>
      </c>
      <c r="JT103" s="418">
        <f>(JT$3&gt;=$ER103)*$EQ103</f>
        <v>2120</v>
      </c>
      <c r="JU103" s="418">
        <f t="shared" si="354"/>
        <v>2120</v>
      </c>
      <c r="JV103" s="418">
        <f t="shared" si="354"/>
        <v>2120</v>
      </c>
      <c r="JW103" s="418">
        <f t="shared" si="354"/>
        <v>2120</v>
      </c>
      <c r="JX103" s="418">
        <f t="shared" si="354"/>
        <v>2120</v>
      </c>
      <c r="JY103"/>
      <c r="JZ103" s="219" t="str">
        <f t="shared" si="371"/>
        <v>Convenience Store / Laundromat</v>
      </c>
      <c r="KA103" s="418">
        <f t="shared" si="355"/>
        <v>0</v>
      </c>
      <c r="KB103" s="197">
        <f t="shared" si="356"/>
        <v>40</v>
      </c>
      <c r="KC103" s="206">
        <f t="shared" si="357"/>
        <v>3.5000000000000003E-2</v>
      </c>
      <c r="KD103" s="213" t="str">
        <f t="shared" si="327"/>
        <v>Annual</v>
      </c>
      <c r="KE103" s="470">
        <f>IF(KD103="",1,IFERROR(MAX(1,INDEX(Data!$H$24:$H$33,MATCH(KD103,Data!$G$24:$G$33,0))),1))</f>
        <v>1</v>
      </c>
      <c r="KF103" s="263"/>
      <c r="KG103" s="471">
        <f t="shared" si="372"/>
        <v>0</v>
      </c>
      <c r="KH103" s="471">
        <f t="shared" si="358"/>
        <v>0</v>
      </c>
      <c r="KI103" s="471">
        <f t="shared" si="358"/>
        <v>0</v>
      </c>
      <c r="KJ103" s="471">
        <f t="shared" si="358"/>
        <v>0</v>
      </c>
      <c r="KK103" s="471">
        <f t="shared" si="358"/>
        <v>0</v>
      </c>
      <c r="KL103" s="471">
        <f t="shared" si="358"/>
        <v>0</v>
      </c>
      <c r="KM103" s="471">
        <f t="shared" si="358"/>
        <v>0</v>
      </c>
      <c r="KN103" s="471">
        <f t="shared" si="358"/>
        <v>0</v>
      </c>
      <c r="KO103" s="471">
        <f t="shared" si="358"/>
        <v>0</v>
      </c>
      <c r="KP103" s="471">
        <f t="shared" si="358"/>
        <v>0</v>
      </c>
      <c r="KQ103" s="471">
        <f t="shared" si="358"/>
        <v>0</v>
      </c>
      <c r="KR103" s="471">
        <f t="shared" si="358"/>
        <v>0</v>
      </c>
      <c r="KS103" s="471">
        <f t="shared" si="358"/>
        <v>0</v>
      </c>
      <c r="KT103" s="471">
        <f t="shared" si="358"/>
        <v>0</v>
      </c>
      <c r="KU103" s="471">
        <f t="shared" si="358"/>
        <v>0</v>
      </c>
      <c r="KV103" s="471">
        <f t="shared" si="358"/>
        <v>0</v>
      </c>
      <c r="KW103" s="471">
        <f t="shared" si="358"/>
        <v>0</v>
      </c>
      <c r="KX103" s="471">
        <f t="shared" si="359"/>
        <v>0</v>
      </c>
      <c r="KY103" s="471">
        <f t="shared" si="359"/>
        <v>0</v>
      </c>
      <c r="KZ103" s="471">
        <f t="shared" si="359"/>
        <v>0</v>
      </c>
      <c r="LA103" s="471">
        <f t="shared" si="359"/>
        <v>0</v>
      </c>
      <c r="LB103" s="471">
        <f t="shared" si="359"/>
        <v>0</v>
      </c>
      <c r="LC103" s="471">
        <f t="shared" si="359"/>
        <v>0</v>
      </c>
      <c r="LD103" s="471">
        <f t="shared" si="359"/>
        <v>0</v>
      </c>
      <c r="LE103" s="471">
        <f t="shared" si="359"/>
        <v>0</v>
      </c>
      <c r="LF103" s="471">
        <f t="shared" si="359"/>
        <v>0</v>
      </c>
      <c r="LG103" s="471">
        <f t="shared" si="359"/>
        <v>0</v>
      </c>
      <c r="LH103" s="471">
        <f t="shared" si="359"/>
        <v>0</v>
      </c>
      <c r="LI103" s="471">
        <f t="shared" si="359"/>
        <v>0</v>
      </c>
      <c r="LJ103" s="471">
        <f t="shared" si="359"/>
        <v>0</v>
      </c>
      <c r="LK103" s="471">
        <f t="shared" si="359"/>
        <v>0</v>
      </c>
      <c r="LL103" s="471">
        <f t="shared" si="359"/>
        <v>0</v>
      </c>
      <c r="LM103" s="471">
        <f t="shared" si="359"/>
        <v>0</v>
      </c>
      <c r="LN103" s="471">
        <f t="shared" si="360"/>
        <v>0</v>
      </c>
      <c r="LO103" s="471">
        <f t="shared" si="360"/>
        <v>0</v>
      </c>
      <c r="LP103" s="471">
        <f t="shared" si="360"/>
        <v>0</v>
      </c>
      <c r="LQ103" s="471">
        <f t="shared" si="360"/>
        <v>0</v>
      </c>
      <c r="LR103" s="471">
        <f t="shared" si="360"/>
        <v>0</v>
      </c>
      <c r="LS103" s="471">
        <f t="shared" si="360"/>
        <v>0</v>
      </c>
      <c r="LT103" s="471">
        <f t="shared" si="360"/>
        <v>0</v>
      </c>
      <c r="LU103" s="471">
        <f t="shared" si="360"/>
        <v>0</v>
      </c>
      <c r="LV103" s="471">
        <f t="shared" si="360"/>
        <v>0</v>
      </c>
      <c r="LW103" s="471">
        <f t="shared" si="360"/>
        <v>0</v>
      </c>
      <c r="LX103" s="471">
        <f t="shared" si="360"/>
        <v>0</v>
      </c>
      <c r="LY103" s="471">
        <f t="shared" si="360"/>
        <v>0</v>
      </c>
      <c r="LZ103" s="471">
        <f t="shared" si="360"/>
        <v>0</v>
      </c>
      <c r="MA103" s="471">
        <f t="shared" si="360"/>
        <v>0</v>
      </c>
      <c r="MB103" s="471">
        <f t="shared" si="360"/>
        <v>0</v>
      </c>
      <c r="MC103" s="471">
        <f t="shared" si="360"/>
        <v>0</v>
      </c>
      <c r="MD103" s="471">
        <f t="shared" si="361"/>
        <v>0</v>
      </c>
      <c r="ME103" s="471">
        <f t="shared" si="361"/>
        <v>0</v>
      </c>
      <c r="MF103" s="471">
        <f t="shared" si="361"/>
        <v>0</v>
      </c>
      <c r="MG103" s="471">
        <f t="shared" si="361"/>
        <v>0</v>
      </c>
      <c r="MH103" s="471">
        <f t="shared" si="361"/>
        <v>0</v>
      </c>
      <c r="MI103" s="471">
        <f t="shared" si="361"/>
        <v>0</v>
      </c>
      <c r="MJ103" s="471">
        <f t="shared" si="361"/>
        <v>0</v>
      </c>
      <c r="MK103" s="471">
        <f t="shared" si="361"/>
        <v>0</v>
      </c>
      <c r="ML103" s="471">
        <f t="shared" si="361"/>
        <v>0</v>
      </c>
      <c r="MM103" s="471">
        <f t="shared" si="361"/>
        <v>0</v>
      </c>
      <c r="MN103" s="471">
        <f t="shared" si="361"/>
        <v>0</v>
      </c>
      <c r="MO103" s="471">
        <f t="shared" si="361"/>
        <v>0</v>
      </c>
      <c r="MP103" s="471">
        <f t="shared" si="361"/>
        <v>0</v>
      </c>
      <c r="MQ103" s="471">
        <f t="shared" si="361"/>
        <v>0</v>
      </c>
      <c r="MR103" s="471">
        <f t="shared" si="361"/>
        <v>0</v>
      </c>
      <c r="MS103" s="471">
        <f t="shared" si="361"/>
        <v>0</v>
      </c>
      <c r="MT103" s="471">
        <f t="shared" si="362"/>
        <v>0</v>
      </c>
      <c r="MU103" s="471">
        <f t="shared" si="362"/>
        <v>0</v>
      </c>
      <c r="MV103" s="471">
        <f t="shared" si="362"/>
        <v>0</v>
      </c>
      <c r="MW103" s="471">
        <f t="shared" si="362"/>
        <v>0</v>
      </c>
      <c r="MX103" s="471">
        <f t="shared" si="362"/>
        <v>0</v>
      </c>
      <c r="MY103" s="471">
        <f t="shared" si="362"/>
        <v>0</v>
      </c>
      <c r="MZ103" s="471">
        <f t="shared" si="362"/>
        <v>0</v>
      </c>
      <c r="NA103" s="471">
        <f t="shared" si="362"/>
        <v>0</v>
      </c>
      <c r="NB103" s="471">
        <f t="shared" si="362"/>
        <v>0</v>
      </c>
      <c r="NC103" s="471">
        <f t="shared" si="362"/>
        <v>0</v>
      </c>
      <c r="ND103" s="471">
        <f t="shared" si="362"/>
        <v>0</v>
      </c>
      <c r="NE103" s="471">
        <f t="shared" si="362"/>
        <v>0</v>
      </c>
      <c r="NF103" s="471">
        <f t="shared" si="362"/>
        <v>0</v>
      </c>
      <c r="NG103" s="471">
        <f t="shared" si="362"/>
        <v>0</v>
      </c>
      <c r="NH103" s="471">
        <f t="shared" si="362"/>
        <v>0</v>
      </c>
      <c r="NI103" s="471">
        <f t="shared" si="362"/>
        <v>0</v>
      </c>
      <c r="NJ103" s="471">
        <f t="shared" si="363"/>
        <v>0</v>
      </c>
      <c r="NK103" s="471">
        <f t="shared" si="363"/>
        <v>0</v>
      </c>
      <c r="NL103" s="471">
        <f t="shared" si="363"/>
        <v>0</v>
      </c>
      <c r="NM103" s="471">
        <f t="shared" si="363"/>
        <v>0</v>
      </c>
      <c r="NN103" s="471">
        <f t="shared" si="363"/>
        <v>0</v>
      </c>
      <c r="NO103" s="471">
        <f t="shared" si="363"/>
        <v>0</v>
      </c>
      <c r="NP103" s="471">
        <f t="shared" si="363"/>
        <v>0</v>
      </c>
      <c r="NQ103" s="471">
        <f t="shared" si="363"/>
        <v>0</v>
      </c>
      <c r="NR103" s="471">
        <f t="shared" si="363"/>
        <v>0</v>
      </c>
      <c r="NS103" s="471">
        <f t="shared" si="363"/>
        <v>0</v>
      </c>
      <c r="NT103" s="471">
        <f t="shared" si="363"/>
        <v>0</v>
      </c>
      <c r="NU103" s="471">
        <f t="shared" si="363"/>
        <v>0</v>
      </c>
      <c r="NV103" s="471">
        <f t="shared" si="363"/>
        <v>0</v>
      </c>
      <c r="NW103" s="471">
        <f t="shared" si="363"/>
        <v>0</v>
      </c>
      <c r="NX103" s="471">
        <f t="shared" si="363"/>
        <v>0</v>
      </c>
      <c r="NY103" s="471">
        <f t="shared" si="363"/>
        <v>0</v>
      </c>
      <c r="NZ103" s="471">
        <f t="shared" si="364"/>
        <v>0</v>
      </c>
      <c r="OA103" s="471">
        <f t="shared" si="364"/>
        <v>0</v>
      </c>
      <c r="OB103" s="471">
        <f t="shared" si="364"/>
        <v>0</v>
      </c>
      <c r="OC103" s="471">
        <f t="shared" si="364"/>
        <v>0</v>
      </c>
      <c r="OD103" s="471">
        <f t="shared" si="364"/>
        <v>0</v>
      </c>
      <c r="OE103" s="471">
        <f t="shared" si="364"/>
        <v>0</v>
      </c>
      <c r="OF103" s="471">
        <f t="shared" si="364"/>
        <v>0</v>
      </c>
      <c r="OG103" s="471">
        <f t="shared" si="364"/>
        <v>0</v>
      </c>
      <c r="OH103" s="471">
        <f t="shared" si="364"/>
        <v>0</v>
      </c>
      <c r="OI103" s="471">
        <f t="shared" si="364"/>
        <v>0</v>
      </c>
      <c r="OJ103" s="471">
        <f t="shared" si="364"/>
        <v>0</v>
      </c>
      <c r="OK103" s="471">
        <f t="shared" si="364"/>
        <v>0</v>
      </c>
      <c r="OL103" s="471">
        <f t="shared" si="364"/>
        <v>0</v>
      </c>
      <c r="OM103" s="471">
        <f t="shared" si="364"/>
        <v>0</v>
      </c>
      <c r="ON103" s="471">
        <f t="shared" si="364"/>
        <v>0</v>
      </c>
      <c r="OO103" s="471">
        <f t="shared" si="364"/>
        <v>0</v>
      </c>
      <c r="OP103" s="471">
        <f t="shared" si="365"/>
        <v>0</v>
      </c>
      <c r="OQ103" s="471">
        <f t="shared" si="365"/>
        <v>0</v>
      </c>
      <c r="OR103" s="471">
        <f t="shared" si="365"/>
        <v>0</v>
      </c>
      <c r="OS103" s="471">
        <f t="shared" si="365"/>
        <v>0</v>
      </c>
      <c r="OT103" s="471">
        <f t="shared" si="365"/>
        <v>0</v>
      </c>
      <c r="OU103" s="471">
        <f t="shared" si="365"/>
        <v>0</v>
      </c>
      <c r="OV103" s="471">
        <f t="shared" si="365"/>
        <v>0</v>
      </c>
      <c r="OW103" s="471">
        <f t="shared" si="365"/>
        <v>0</v>
      </c>
      <c r="OX103" s="471">
        <f t="shared" si="365"/>
        <v>0</v>
      </c>
      <c r="OY103" s="471">
        <f t="shared" si="365"/>
        <v>0</v>
      </c>
      <c r="OZ103" s="471">
        <f t="shared" si="365"/>
        <v>0</v>
      </c>
      <c r="PA103" s="471">
        <f t="shared" si="365"/>
        <v>0</v>
      </c>
      <c r="PB103" s="471">
        <f t="shared" si="365"/>
        <v>0</v>
      </c>
      <c r="PC103" s="471">
        <f t="shared" si="365"/>
        <v>0</v>
      </c>
      <c r="PD103" s="471">
        <f t="shared" si="365"/>
        <v>0</v>
      </c>
      <c r="PE103" s="471">
        <f t="shared" si="365"/>
        <v>0</v>
      </c>
      <c r="PF103" s="471">
        <f t="shared" si="366"/>
        <v>0</v>
      </c>
      <c r="PG103" s="471">
        <f t="shared" si="366"/>
        <v>0</v>
      </c>
      <c r="PH103" s="471">
        <f t="shared" si="366"/>
        <v>0</v>
      </c>
    </row>
    <row r="104" spans="1:424" x14ac:dyDescent="0.35">
      <c r="A104"/>
      <c r="B104" s="469" t="s">
        <v>265</v>
      </c>
      <c r="C104" s="469" t="s">
        <v>266</v>
      </c>
      <c r="D104" s="45">
        <f>Timing_Operation_Begin_Month</f>
        <v>37</v>
      </c>
      <c r="E104" s="837">
        <f>'URWLD COMPANY INPUTS'!$F$655</f>
        <v>150</v>
      </c>
      <c r="F104" s="144">
        <f t="shared" si="332"/>
        <v>40</v>
      </c>
      <c r="G104" s="838">
        <f>IF('URWLD COMPANY INPUTS'!$F$113="","",'URWLD COMPANY INPUTS'!$F$113)</f>
        <v>3.5000000000000003E-2</v>
      </c>
      <c r="H104" s="843">
        <f>'INPUT REGISTER'!$F$683</f>
        <v>0</v>
      </c>
      <c r="I104" s="435">
        <f t="shared" si="333"/>
        <v>0</v>
      </c>
      <c r="J104"/>
      <c r="K104" s="286" t="s">
        <v>247</v>
      </c>
      <c r="L104" s="202">
        <f t="shared" si="334"/>
        <v>0</v>
      </c>
      <c r="M104" s="422">
        <f t="shared" si="334"/>
        <v>0</v>
      </c>
      <c r="N104" s="422">
        <f t="shared" si="334"/>
        <v>0</v>
      </c>
      <c r="O104" s="422">
        <f t="shared" si="334"/>
        <v>0</v>
      </c>
      <c r="P104" s="422">
        <f t="shared" si="334"/>
        <v>0</v>
      </c>
      <c r="Q104" s="422">
        <f t="shared" si="334"/>
        <v>0</v>
      </c>
      <c r="R104" s="422">
        <f t="shared" si="334"/>
        <v>0</v>
      </c>
      <c r="S104" s="422">
        <f t="shared" si="334"/>
        <v>0</v>
      </c>
      <c r="T104" s="422">
        <f t="shared" si="334"/>
        <v>0</v>
      </c>
      <c r="U104" s="422">
        <f t="shared" si="334"/>
        <v>0</v>
      </c>
      <c r="V104" s="422">
        <f t="shared" si="335"/>
        <v>0</v>
      </c>
      <c r="W104" s="422">
        <f t="shared" si="335"/>
        <v>0</v>
      </c>
      <c r="X104" s="422">
        <f t="shared" si="335"/>
        <v>0</v>
      </c>
      <c r="Y104" s="422">
        <f t="shared" si="335"/>
        <v>0</v>
      </c>
      <c r="Z104" s="422">
        <f t="shared" si="335"/>
        <v>0</v>
      </c>
      <c r="AA104" s="422">
        <f t="shared" si="335"/>
        <v>0</v>
      </c>
      <c r="AB104" s="422">
        <f t="shared" si="335"/>
        <v>0</v>
      </c>
      <c r="AC104" s="422">
        <f t="shared" si="335"/>
        <v>0</v>
      </c>
      <c r="AD104" s="422">
        <f t="shared" si="335"/>
        <v>0</v>
      </c>
      <c r="AE104" s="422">
        <f t="shared" si="335"/>
        <v>0</v>
      </c>
      <c r="AF104" s="422">
        <f t="shared" si="336"/>
        <v>0</v>
      </c>
      <c r="AG104" s="422">
        <f t="shared" si="336"/>
        <v>0</v>
      </c>
      <c r="AH104" s="422">
        <f t="shared" si="336"/>
        <v>0</v>
      </c>
      <c r="AI104" s="422">
        <f t="shared" si="336"/>
        <v>0</v>
      </c>
      <c r="AJ104" s="422">
        <f t="shared" si="336"/>
        <v>0</v>
      </c>
      <c r="AK104" s="422">
        <f t="shared" si="336"/>
        <v>0</v>
      </c>
      <c r="AL104" s="422">
        <f t="shared" si="336"/>
        <v>0</v>
      </c>
      <c r="AM104" s="422">
        <f t="shared" si="336"/>
        <v>0</v>
      </c>
      <c r="AN104" s="422">
        <f t="shared" si="336"/>
        <v>0</v>
      </c>
      <c r="AO104" s="422">
        <f t="shared" si="336"/>
        <v>0</v>
      </c>
      <c r="AP104" s="422">
        <f t="shared" si="337"/>
        <v>0</v>
      </c>
      <c r="AQ104" s="422">
        <f t="shared" si="337"/>
        <v>0</v>
      </c>
      <c r="AR104" s="422">
        <f t="shared" si="337"/>
        <v>0</v>
      </c>
      <c r="AS104" s="422">
        <f t="shared" si="337"/>
        <v>0</v>
      </c>
      <c r="AT104" s="422">
        <f t="shared" si="337"/>
        <v>0</v>
      </c>
      <c r="AU104" s="422">
        <f t="shared" si="337"/>
        <v>0</v>
      </c>
      <c r="AV104" s="422">
        <f t="shared" si="337"/>
        <v>0</v>
      </c>
      <c r="AW104" s="422">
        <f t="shared" si="337"/>
        <v>0</v>
      </c>
      <c r="AX104" s="422">
        <f t="shared" si="337"/>
        <v>0</v>
      </c>
      <c r="AY104" s="422">
        <f t="shared" si="337"/>
        <v>0</v>
      </c>
      <c r="AZ104" s="422">
        <f t="shared" si="338"/>
        <v>0</v>
      </c>
      <c r="BA104" s="422">
        <f t="shared" si="338"/>
        <v>0</v>
      </c>
      <c r="BB104" s="422">
        <f t="shared" si="338"/>
        <v>0</v>
      </c>
      <c r="BC104" s="422">
        <f t="shared" si="338"/>
        <v>0</v>
      </c>
      <c r="BD104" s="422">
        <f t="shared" si="338"/>
        <v>0</v>
      </c>
      <c r="BE104" s="422">
        <f t="shared" si="338"/>
        <v>0</v>
      </c>
      <c r="BF104" s="422">
        <f t="shared" si="338"/>
        <v>0</v>
      </c>
      <c r="BG104" s="422">
        <f t="shared" si="338"/>
        <v>0</v>
      </c>
      <c r="BH104" s="422">
        <f t="shared" si="338"/>
        <v>0</v>
      </c>
      <c r="BI104" s="422">
        <f t="shared" si="338"/>
        <v>0</v>
      </c>
      <c r="BJ104" s="422">
        <f t="shared" si="339"/>
        <v>0</v>
      </c>
      <c r="BK104" s="422">
        <f t="shared" si="339"/>
        <v>0</v>
      </c>
      <c r="BL104" s="422">
        <f t="shared" si="339"/>
        <v>0</v>
      </c>
      <c r="BM104" s="422">
        <f t="shared" si="339"/>
        <v>0</v>
      </c>
      <c r="BN104" s="422">
        <f t="shared" si="339"/>
        <v>0</v>
      </c>
      <c r="BO104" s="422">
        <f t="shared" si="339"/>
        <v>0</v>
      </c>
      <c r="BP104" s="422">
        <f t="shared" si="339"/>
        <v>0</v>
      </c>
      <c r="BQ104" s="422">
        <f t="shared" si="339"/>
        <v>0</v>
      </c>
      <c r="BR104" s="422">
        <f t="shared" si="339"/>
        <v>0</v>
      </c>
      <c r="BS104" s="422">
        <f t="shared" si="339"/>
        <v>0</v>
      </c>
      <c r="BT104" s="422">
        <f t="shared" si="340"/>
        <v>0</v>
      </c>
      <c r="BU104" s="422">
        <f t="shared" si="340"/>
        <v>0</v>
      </c>
      <c r="BV104" s="422">
        <f t="shared" si="340"/>
        <v>0</v>
      </c>
      <c r="BW104" s="422">
        <f t="shared" si="340"/>
        <v>0</v>
      </c>
      <c r="BX104" s="422">
        <f t="shared" si="340"/>
        <v>0</v>
      </c>
      <c r="BY104" s="422">
        <f t="shared" si="340"/>
        <v>0</v>
      </c>
      <c r="BZ104" s="422">
        <f t="shared" si="340"/>
        <v>0</v>
      </c>
      <c r="CA104" s="422">
        <f t="shared" si="340"/>
        <v>0</v>
      </c>
      <c r="CB104" s="422">
        <f t="shared" si="340"/>
        <v>0</v>
      </c>
      <c r="CC104" s="422">
        <f t="shared" si="340"/>
        <v>0</v>
      </c>
      <c r="CD104" s="422">
        <f t="shared" si="341"/>
        <v>0</v>
      </c>
      <c r="CE104" s="422">
        <f t="shared" si="341"/>
        <v>0</v>
      </c>
      <c r="CF104" s="422">
        <f t="shared" si="341"/>
        <v>0</v>
      </c>
      <c r="CG104" s="422">
        <f t="shared" si="341"/>
        <v>0</v>
      </c>
      <c r="CH104" s="422">
        <f t="shared" si="341"/>
        <v>0</v>
      </c>
      <c r="CI104" s="422">
        <f t="shared" si="341"/>
        <v>0</v>
      </c>
      <c r="CJ104" s="422">
        <f t="shared" si="341"/>
        <v>0</v>
      </c>
      <c r="CK104" s="422">
        <f t="shared" si="341"/>
        <v>0</v>
      </c>
      <c r="CL104" s="422">
        <f t="shared" si="341"/>
        <v>0</v>
      </c>
      <c r="CM104" s="422">
        <f t="shared" si="341"/>
        <v>0</v>
      </c>
      <c r="CN104" s="422">
        <f t="shared" si="342"/>
        <v>0</v>
      </c>
      <c r="CO104" s="422">
        <f t="shared" si="342"/>
        <v>0</v>
      </c>
      <c r="CP104" s="422">
        <f t="shared" si="342"/>
        <v>0</v>
      </c>
      <c r="CQ104" s="422">
        <f t="shared" si="342"/>
        <v>0</v>
      </c>
      <c r="CR104" s="422">
        <f t="shared" si="342"/>
        <v>0</v>
      </c>
      <c r="CS104" s="422">
        <f t="shared" si="342"/>
        <v>0</v>
      </c>
      <c r="CT104" s="422">
        <f t="shared" si="342"/>
        <v>0</v>
      </c>
      <c r="CU104" s="422">
        <f t="shared" si="342"/>
        <v>0</v>
      </c>
      <c r="CV104" s="422">
        <f t="shared" si="342"/>
        <v>0</v>
      </c>
      <c r="CW104" s="422">
        <f t="shared" si="342"/>
        <v>0</v>
      </c>
      <c r="CX104" s="422">
        <f t="shared" si="343"/>
        <v>0</v>
      </c>
      <c r="CY104" s="422">
        <f t="shared" si="343"/>
        <v>0</v>
      </c>
      <c r="CZ104" s="422">
        <f t="shared" si="343"/>
        <v>0</v>
      </c>
      <c r="DA104" s="422">
        <f t="shared" si="343"/>
        <v>0</v>
      </c>
      <c r="DB104" s="422">
        <f t="shared" si="343"/>
        <v>0</v>
      </c>
      <c r="DC104" s="422">
        <f t="shared" si="343"/>
        <v>0</v>
      </c>
      <c r="DD104" s="422">
        <f t="shared" si="343"/>
        <v>0</v>
      </c>
      <c r="DE104" s="422">
        <f t="shared" si="343"/>
        <v>0</v>
      </c>
      <c r="DF104" s="422">
        <f t="shared" si="343"/>
        <v>0</v>
      </c>
      <c r="DG104" s="422">
        <f t="shared" si="343"/>
        <v>0</v>
      </c>
      <c r="DH104" s="422">
        <f t="shared" si="344"/>
        <v>0</v>
      </c>
      <c r="DI104" s="422">
        <f t="shared" si="344"/>
        <v>0</v>
      </c>
      <c r="DJ104" s="422">
        <f t="shared" si="344"/>
        <v>0</v>
      </c>
      <c r="DK104" s="422">
        <f t="shared" si="344"/>
        <v>0</v>
      </c>
      <c r="DL104" s="422">
        <f t="shared" si="344"/>
        <v>0</v>
      </c>
      <c r="DM104" s="422">
        <f t="shared" si="344"/>
        <v>0</v>
      </c>
      <c r="DN104" s="422">
        <f t="shared" si="344"/>
        <v>0</v>
      </c>
      <c r="DO104" s="422">
        <f t="shared" si="344"/>
        <v>0</v>
      </c>
      <c r="DP104" s="422">
        <f t="shared" si="344"/>
        <v>0</v>
      </c>
      <c r="DQ104" s="422">
        <f t="shared" si="344"/>
        <v>0</v>
      </c>
      <c r="DR104" s="422">
        <f t="shared" si="345"/>
        <v>0</v>
      </c>
      <c r="DS104" s="422">
        <f t="shared" si="345"/>
        <v>0</v>
      </c>
      <c r="DT104" s="422">
        <f t="shared" si="345"/>
        <v>0</v>
      </c>
      <c r="DU104" s="422">
        <f t="shared" si="345"/>
        <v>0</v>
      </c>
      <c r="DV104" s="422">
        <f t="shared" si="345"/>
        <v>0</v>
      </c>
      <c r="DW104" s="422">
        <f t="shared" si="345"/>
        <v>0</v>
      </c>
      <c r="DX104" s="422">
        <f t="shared" si="345"/>
        <v>0</v>
      </c>
      <c r="DY104" s="422">
        <f t="shared" si="345"/>
        <v>0</v>
      </c>
      <c r="DZ104" s="422">
        <f t="shared" si="345"/>
        <v>0</v>
      </c>
      <c r="EA104" s="422">
        <f t="shared" si="345"/>
        <v>0</v>
      </c>
      <c r="EB104" s="422">
        <f t="shared" si="346"/>
        <v>0</v>
      </c>
      <c r="EC104" s="422">
        <f t="shared" si="346"/>
        <v>0</v>
      </c>
      <c r="ED104" s="422">
        <f t="shared" si="346"/>
        <v>0</v>
      </c>
      <c r="EE104" s="422">
        <f t="shared" si="346"/>
        <v>0</v>
      </c>
      <c r="EF104" s="422">
        <f t="shared" si="346"/>
        <v>0</v>
      </c>
      <c r="EG104" s="422">
        <f t="shared" si="346"/>
        <v>0</v>
      </c>
      <c r="EH104" s="422">
        <f t="shared" si="346"/>
        <v>0</v>
      </c>
      <c r="EI104" s="422">
        <f t="shared" si="346"/>
        <v>0</v>
      </c>
      <c r="EJ104" s="422">
        <f t="shared" si="346"/>
        <v>0</v>
      </c>
      <c r="EK104" s="422">
        <f t="shared" si="346"/>
        <v>0</v>
      </c>
      <c r="EL104" s="422">
        <f t="shared" si="346"/>
        <v>0</v>
      </c>
      <c r="EM104" s="422">
        <f t="shared" si="346"/>
        <v>0</v>
      </c>
      <c r="EN104" s="422">
        <f t="shared" si="346"/>
        <v>0</v>
      </c>
      <c r="EO104"/>
      <c r="EP104" s="219" t="str">
        <f t="shared" si="367"/>
        <v>eBike / eScooter Storage</v>
      </c>
      <c r="EQ104" s="913">
        <f t="shared" si="368"/>
        <v>150</v>
      </c>
      <c r="ER104" s="197">
        <f t="shared" si="369"/>
        <v>37</v>
      </c>
      <c r="ES104" s="18"/>
      <c r="ET104" s="18"/>
      <c r="EU104" s="18"/>
      <c r="EV104" s="472">
        <f t="shared" si="370"/>
        <v>0</v>
      </c>
      <c r="EW104" s="472">
        <f t="shared" ref="EW104:GB104" si="383">(EW$3&gt;=$ER104)*$EQ104</f>
        <v>0</v>
      </c>
      <c r="EX104" s="472">
        <f t="shared" si="383"/>
        <v>0</v>
      </c>
      <c r="EY104" s="472">
        <f t="shared" si="383"/>
        <v>0</v>
      </c>
      <c r="EZ104" s="472">
        <f t="shared" si="383"/>
        <v>0</v>
      </c>
      <c r="FA104" s="472">
        <f t="shared" si="383"/>
        <v>0</v>
      </c>
      <c r="FB104" s="472">
        <f t="shared" si="383"/>
        <v>0</v>
      </c>
      <c r="FC104" s="472">
        <f t="shared" si="383"/>
        <v>0</v>
      </c>
      <c r="FD104" s="472">
        <f t="shared" si="383"/>
        <v>0</v>
      </c>
      <c r="FE104" s="472">
        <f t="shared" si="383"/>
        <v>0</v>
      </c>
      <c r="FF104" s="472">
        <f t="shared" si="383"/>
        <v>0</v>
      </c>
      <c r="FG104" s="472">
        <f t="shared" si="383"/>
        <v>0</v>
      </c>
      <c r="FH104" s="472">
        <f t="shared" si="383"/>
        <v>0</v>
      </c>
      <c r="FI104" s="472">
        <f t="shared" si="383"/>
        <v>0</v>
      </c>
      <c r="FJ104" s="472">
        <f t="shared" si="383"/>
        <v>0</v>
      </c>
      <c r="FK104" s="472">
        <f t="shared" si="383"/>
        <v>0</v>
      </c>
      <c r="FL104" s="472">
        <f t="shared" si="383"/>
        <v>0</v>
      </c>
      <c r="FM104" s="472">
        <f t="shared" si="383"/>
        <v>0</v>
      </c>
      <c r="FN104" s="472">
        <f t="shared" si="383"/>
        <v>0</v>
      </c>
      <c r="FO104" s="472">
        <f t="shared" si="383"/>
        <v>0</v>
      </c>
      <c r="FP104" s="472">
        <f t="shared" si="383"/>
        <v>0</v>
      </c>
      <c r="FQ104" s="472">
        <f t="shared" si="383"/>
        <v>0</v>
      </c>
      <c r="FR104" s="472">
        <f t="shared" si="383"/>
        <v>0</v>
      </c>
      <c r="FS104" s="472">
        <f t="shared" si="383"/>
        <v>0</v>
      </c>
      <c r="FT104" s="472">
        <f t="shared" si="383"/>
        <v>0</v>
      </c>
      <c r="FU104" s="472">
        <f t="shared" si="383"/>
        <v>0</v>
      </c>
      <c r="FV104" s="472">
        <f t="shared" si="383"/>
        <v>0</v>
      </c>
      <c r="FW104" s="472">
        <f t="shared" si="383"/>
        <v>0</v>
      </c>
      <c r="FX104" s="472">
        <f t="shared" si="383"/>
        <v>0</v>
      </c>
      <c r="FY104" s="472">
        <f t="shared" si="383"/>
        <v>0</v>
      </c>
      <c r="FZ104" s="472">
        <f t="shared" si="383"/>
        <v>0</v>
      </c>
      <c r="GA104" s="472">
        <f t="shared" si="383"/>
        <v>0</v>
      </c>
      <c r="GB104" s="472">
        <f t="shared" si="383"/>
        <v>0</v>
      </c>
      <c r="GC104" s="472">
        <f t="shared" ref="GC104:HH104" si="384">(GC$3&gt;=$ER104)*$EQ104</f>
        <v>0</v>
      </c>
      <c r="GD104" s="472">
        <f t="shared" si="384"/>
        <v>0</v>
      </c>
      <c r="GE104" s="472">
        <f t="shared" si="384"/>
        <v>0</v>
      </c>
      <c r="GF104" s="472">
        <f t="shared" si="384"/>
        <v>0</v>
      </c>
      <c r="GG104" s="472">
        <f t="shared" si="384"/>
        <v>150</v>
      </c>
      <c r="GH104" s="472">
        <f t="shared" si="384"/>
        <v>150</v>
      </c>
      <c r="GI104" s="472">
        <f t="shared" si="384"/>
        <v>150</v>
      </c>
      <c r="GJ104" s="472">
        <f t="shared" si="384"/>
        <v>150</v>
      </c>
      <c r="GK104" s="472">
        <f t="shared" si="384"/>
        <v>150</v>
      </c>
      <c r="GL104" s="472">
        <f t="shared" si="384"/>
        <v>150</v>
      </c>
      <c r="GM104" s="472">
        <f t="shared" si="384"/>
        <v>150</v>
      </c>
      <c r="GN104" s="472">
        <f t="shared" si="384"/>
        <v>150</v>
      </c>
      <c r="GO104" s="472">
        <f t="shared" si="384"/>
        <v>150</v>
      </c>
      <c r="GP104" s="472">
        <f t="shared" si="384"/>
        <v>150</v>
      </c>
      <c r="GQ104" s="472">
        <f t="shared" si="384"/>
        <v>150</v>
      </c>
      <c r="GR104" s="472">
        <f t="shared" si="384"/>
        <v>150</v>
      </c>
      <c r="GS104" s="472">
        <f t="shared" si="384"/>
        <v>150</v>
      </c>
      <c r="GT104" s="472">
        <f t="shared" si="384"/>
        <v>150</v>
      </c>
      <c r="GU104" s="472">
        <f t="shared" si="384"/>
        <v>150</v>
      </c>
      <c r="GV104" s="472">
        <f t="shared" si="384"/>
        <v>150</v>
      </c>
      <c r="GW104" s="472">
        <f t="shared" si="384"/>
        <v>150</v>
      </c>
      <c r="GX104" s="472">
        <f t="shared" si="384"/>
        <v>150</v>
      </c>
      <c r="GY104" s="472">
        <f t="shared" si="384"/>
        <v>150</v>
      </c>
      <c r="GZ104" s="472">
        <f t="shared" si="384"/>
        <v>150</v>
      </c>
      <c r="HA104" s="472">
        <f t="shared" si="384"/>
        <v>150</v>
      </c>
      <c r="HB104" s="472">
        <f t="shared" si="384"/>
        <v>150</v>
      </c>
      <c r="HC104" s="472">
        <f t="shared" si="384"/>
        <v>150</v>
      </c>
      <c r="HD104" s="472">
        <f t="shared" si="384"/>
        <v>150</v>
      </c>
      <c r="HE104" s="472">
        <f t="shared" si="384"/>
        <v>150</v>
      </c>
      <c r="HF104" s="472">
        <f t="shared" si="384"/>
        <v>150</v>
      </c>
      <c r="HG104" s="472">
        <f t="shared" si="384"/>
        <v>150</v>
      </c>
      <c r="HH104" s="472">
        <f t="shared" si="384"/>
        <v>150</v>
      </c>
      <c r="HI104" s="472">
        <f t="shared" ref="HI104:IN104" si="385">(HI$3&gt;=$ER104)*$EQ104</f>
        <v>150</v>
      </c>
      <c r="HJ104" s="472">
        <f t="shared" si="385"/>
        <v>150</v>
      </c>
      <c r="HK104" s="472">
        <f t="shared" si="385"/>
        <v>150</v>
      </c>
      <c r="HL104" s="472">
        <f t="shared" si="385"/>
        <v>150</v>
      </c>
      <c r="HM104" s="472">
        <f t="shared" si="385"/>
        <v>150</v>
      </c>
      <c r="HN104" s="472">
        <f t="shared" si="385"/>
        <v>150</v>
      </c>
      <c r="HO104" s="472">
        <f t="shared" si="385"/>
        <v>150</v>
      </c>
      <c r="HP104" s="472">
        <f t="shared" si="385"/>
        <v>150</v>
      </c>
      <c r="HQ104" s="472">
        <f t="shared" si="385"/>
        <v>150</v>
      </c>
      <c r="HR104" s="472">
        <f t="shared" si="385"/>
        <v>150</v>
      </c>
      <c r="HS104" s="472">
        <f t="shared" si="385"/>
        <v>150</v>
      </c>
      <c r="HT104" s="472">
        <f t="shared" si="385"/>
        <v>150</v>
      </c>
      <c r="HU104" s="472">
        <f t="shared" si="385"/>
        <v>150</v>
      </c>
      <c r="HV104" s="472">
        <f t="shared" si="385"/>
        <v>150</v>
      </c>
      <c r="HW104" s="472">
        <f t="shared" si="385"/>
        <v>150</v>
      </c>
      <c r="HX104" s="472">
        <f t="shared" si="385"/>
        <v>150</v>
      </c>
      <c r="HY104" s="472">
        <f t="shared" si="385"/>
        <v>150</v>
      </c>
      <c r="HZ104" s="472">
        <f t="shared" si="385"/>
        <v>150</v>
      </c>
      <c r="IA104" s="472">
        <f t="shared" si="385"/>
        <v>150</v>
      </c>
      <c r="IB104" s="472">
        <f t="shared" si="385"/>
        <v>150</v>
      </c>
      <c r="IC104" s="472">
        <f t="shared" si="385"/>
        <v>150</v>
      </c>
      <c r="ID104" s="472">
        <f t="shared" si="385"/>
        <v>150</v>
      </c>
      <c r="IE104" s="472">
        <f t="shared" si="385"/>
        <v>150</v>
      </c>
      <c r="IF104" s="472">
        <f t="shared" si="385"/>
        <v>150</v>
      </c>
      <c r="IG104" s="472">
        <f t="shared" si="385"/>
        <v>150</v>
      </c>
      <c r="IH104" s="472">
        <f t="shared" si="385"/>
        <v>150</v>
      </c>
      <c r="II104" s="472">
        <f t="shared" si="385"/>
        <v>150</v>
      </c>
      <c r="IJ104" s="472">
        <f t="shared" si="385"/>
        <v>150</v>
      </c>
      <c r="IK104" s="472">
        <f t="shared" si="385"/>
        <v>150</v>
      </c>
      <c r="IL104" s="472">
        <f t="shared" si="385"/>
        <v>150</v>
      </c>
      <c r="IM104" s="472">
        <f t="shared" si="385"/>
        <v>150</v>
      </c>
      <c r="IN104" s="472">
        <f t="shared" si="385"/>
        <v>150</v>
      </c>
      <c r="IO104" s="472">
        <f t="shared" ref="IO104:JS104" si="386">(IO$3&gt;=$ER104)*$EQ104</f>
        <v>150</v>
      </c>
      <c r="IP104" s="472">
        <f t="shared" si="386"/>
        <v>150</v>
      </c>
      <c r="IQ104" s="472">
        <f t="shared" si="386"/>
        <v>150</v>
      </c>
      <c r="IR104" s="472">
        <f t="shared" si="386"/>
        <v>150</v>
      </c>
      <c r="IS104" s="472">
        <f t="shared" si="386"/>
        <v>150</v>
      </c>
      <c r="IT104" s="472">
        <f t="shared" si="386"/>
        <v>150</v>
      </c>
      <c r="IU104" s="472">
        <f t="shared" si="386"/>
        <v>150</v>
      </c>
      <c r="IV104" s="472">
        <f t="shared" si="386"/>
        <v>150</v>
      </c>
      <c r="IW104" s="472">
        <f t="shared" si="386"/>
        <v>150</v>
      </c>
      <c r="IX104" s="472">
        <f t="shared" si="386"/>
        <v>150</v>
      </c>
      <c r="IY104" s="472">
        <f t="shared" si="386"/>
        <v>150</v>
      </c>
      <c r="IZ104" s="472">
        <f t="shared" si="386"/>
        <v>150</v>
      </c>
      <c r="JA104" s="472">
        <f t="shared" si="386"/>
        <v>150</v>
      </c>
      <c r="JB104" s="472">
        <f t="shared" si="386"/>
        <v>150</v>
      </c>
      <c r="JC104" s="472">
        <f t="shared" si="386"/>
        <v>150</v>
      </c>
      <c r="JD104" s="472">
        <f t="shared" si="386"/>
        <v>150</v>
      </c>
      <c r="JE104" s="472">
        <f t="shared" si="386"/>
        <v>150</v>
      </c>
      <c r="JF104" s="472">
        <f t="shared" si="386"/>
        <v>150</v>
      </c>
      <c r="JG104" s="472">
        <f t="shared" si="386"/>
        <v>150</v>
      </c>
      <c r="JH104" s="472">
        <f t="shared" si="386"/>
        <v>150</v>
      </c>
      <c r="JI104" s="472">
        <f t="shared" si="386"/>
        <v>150</v>
      </c>
      <c r="JJ104" s="472">
        <f t="shared" si="386"/>
        <v>150</v>
      </c>
      <c r="JK104" s="472">
        <f t="shared" si="386"/>
        <v>150</v>
      </c>
      <c r="JL104" s="472">
        <f t="shared" si="386"/>
        <v>150</v>
      </c>
      <c r="JM104" s="472">
        <f t="shared" si="386"/>
        <v>150</v>
      </c>
      <c r="JN104" s="472">
        <f t="shared" si="386"/>
        <v>150</v>
      </c>
      <c r="JO104" s="472">
        <f t="shared" si="386"/>
        <v>150</v>
      </c>
      <c r="JP104" s="472">
        <f t="shared" si="386"/>
        <v>150</v>
      </c>
      <c r="JQ104" s="472">
        <f t="shared" si="386"/>
        <v>150</v>
      </c>
      <c r="JR104" s="472">
        <f t="shared" si="386"/>
        <v>150</v>
      </c>
      <c r="JS104" s="472">
        <f t="shared" si="386"/>
        <v>150</v>
      </c>
      <c r="JT104" s="472">
        <f>(JT$3&gt;=$ER104)*$EQ104</f>
        <v>150</v>
      </c>
      <c r="JU104" s="472">
        <f t="shared" si="354"/>
        <v>150</v>
      </c>
      <c r="JV104" s="472">
        <f t="shared" si="354"/>
        <v>150</v>
      </c>
      <c r="JW104" s="472">
        <f t="shared" si="354"/>
        <v>150</v>
      </c>
      <c r="JX104" s="472">
        <f t="shared" si="354"/>
        <v>150</v>
      </c>
      <c r="JY104"/>
      <c r="JZ104" s="219" t="str">
        <f t="shared" si="371"/>
        <v>eBike / eScooter Storage</v>
      </c>
      <c r="KA104" s="418">
        <f t="shared" si="355"/>
        <v>0</v>
      </c>
      <c r="KB104" s="197">
        <f t="shared" si="356"/>
        <v>40</v>
      </c>
      <c r="KC104" s="206">
        <f t="shared" si="357"/>
        <v>3.5000000000000003E-2</v>
      </c>
      <c r="KD104" s="213" t="str">
        <f t="shared" si="327"/>
        <v>Annual</v>
      </c>
      <c r="KE104" s="470">
        <f>IF(KD104="",1,IFERROR(MAX(1,INDEX(Data!$H$24:$H$33,MATCH(KD104,Data!$G$24:$G$33,0))),1))</f>
        <v>1</v>
      </c>
      <c r="KF104" s="263"/>
      <c r="KG104" s="473">
        <f t="shared" si="372"/>
        <v>0</v>
      </c>
      <c r="KH104" s="473">
        <f t="shared" si="358"/>
        <v>0</v>
      </c>
      <c r="KI104" s="473">
        <f t="shared" si="358"/>
        <v>0</v>
      </c>
      <c r="KJ104" s="473">
        <f t="shared" si="358"/>
        <v>0</v>
      </c>
      <c r="KK104" s="473">
        <f t="shared" si="358"/>
        <v>0</v>
      </c>
      <c r="KL104" s="473">
        <f t="shared" si="358"/>
        <v>0</v>
      </c>
      <c r="KM104" s="473">
        <f t="shared" si="358"/>
        <v>0</v>
      </c>
      <c r="KN104" s="473">
        <f t="shared" si="358"/>
        <v>0</v>
      </c>
      <c r="KO104" s="473">
        <f t="shared" si="358"/>
        <v>0</v>
      </c>
      <c r="KP104" s="473">
        <f t="shared" si="358"/>
        <v>0</v>
      </c>
      <c r="KQ104" s="473">
        <f t="shared" si="358"/>
        <v>0</v>
      </c>
      <c r="KR104" s="473">
        <f t="shared" si="358"/>
        <v>0</v>
      </c>
      <c r="KS104" s="473">
        <f t="shared" si="358"/>
        <v>0</v>
      </c>
      <c r="KT104" s="473">
        <f t="shared" si="358"/>
        <v>0</v>
      </c>
      <c r="KU104" s="473">
        <f t="shared" si="358"/>
        <v>0</v>
      </c>
      <c r="KV104" s="473">
        <f t="shared" si="358"/>
        <v>0</v>
      </c>
      <c r="KW104" s="473">
        <f t="shared" si="358"/>
        <v>0</v>
      </c>
      <c r="KX104" s="473">
        <f t="shared" si="359"/>
        <v>0</v>
      </c>
      <c r="KY104" s="473">
        <f t="shared" si="359"/>
        <v>0</v>
      </c>
      <c r="KZ104" s="473">
        <f t="shared" si="359"/>
        <v>0</v>
      </c>
      <c r="LA104" s="473">
        <f t="shared" si="359"/>
        <v>0</v>
      </c>
      <c r="LB104" s="473">
        <f t="shared" si="359"/>
        <v>0</v>
      </c>
      <c r="LC104" s="473">
        <f t="shared" si="359"/>
        <v>0</v>
      </c>
      <c r="LD104" s="473">
        <f t="shared" si="359"/>
        <v>0</v>
      </c>
      <c r="LE104" s="473">
        <f t="shared" si="359"/>
        <v>0</v>
      </c>
      <c r="LF104" s="473">
        <f t="shared" si="359"/>
        <v>0</v>
      </c>
      <c r="LG104" s="473">
        <f t="shared" si="359"/>
        <v>0</v>
      </c>
      <c r="LH104" s="473">
        <f t="shared" si="359"/>
        <v>0</v>
      </c>
      <c r="LI104" s="473">
        <f t="shared" si="359"/>
        <v>0</v>
      </c>
      <c r="LJ104" s="473">
        <f t="shared" si="359"/>
        <v>0</v>
      </c>
      <c r="LK104" s="473">
        <f t="shared" si="359"/>
        <v>0</v>
      </c>
      <c r="LL104" s="473">
        <f t="shared" si="359"/>
        <v>0</v>
      </c>
      <c r="LM104" s="473">
        <f t="shared" si="359"/>
        <v>0</v>
      </c>
      <c r="LN104" s="473">
        <f t="shared" si="360"/>
        <v>0</v>
      </c>
      <c r="LO104" s="473">
        <f t="shared" si="360"/>
        <v>0</v>
      </c>
      <c r="LP104" s="473">
        <f t="shared" si="360"/>
        <v>0</v>
      </c>
      <c r="LQ104" s="473">
        <f t="shared" si="360"/>
        <v>0</v>
      </c>
      <c r="LR104" s="473">
        <f t="shared" si="360"/>
        <v>0</v>
      </c>
      <c r="LS104" s="473">
        <f t="shared" si="360"/>
        <v>0</v>
      </c>
      <c r="LT104" s="473">
        <f t="shared" si="360"/>
        <v>0</v>
      </c>
      <c r="LU104" s="473">
        <f t="shared" si="360"/>
        <v>0</v>
      </c>
      <c r="LV104" s="473">
        <f t="shared" si="360"/>
        <v>0</v>
      </c>
      <c r="LW104" s="473">
        <f t="shared" si="360"/>
        <v>0</v>
      </c>
      <c r="LX104" s="473">
        <f t="shared" si="360"/>
        <v>0</v>
      </c>
      <c r="LY104" s="473">
        <f t="shared" si="360"/>
        <v>0</v>
      </c>
      <c r="LZ104" s="473">
        <f t="shared" si="360"/>
        <v>0</v>
      </c>
      <c r="MA104" s="473">
        <f t="shared" si="360"/>
        <v>0</v>
      </c>
      <c r="MB104" s="473">
        <f t="shared" si="360"/>
        <v>0</v>
      </c>
      <c r="MC104" s="473">
        <f t="shared" si="360"/>
        <v>0</v>
      </c>
      <c r="MD104" s="473">
        <f t="shared" si="361"/>
        <v>0</v>
      </c>
      <c r="ME104" s="473">
        <f t="shared" si="361"/>
        <v>0</v>
      </c>
      <c r="MF104" s="473">
        <f t="shared" si="361"/>
        <v>0</v>
      </c>
      <c r="MG104" s="473">
        <f t="shared" si="361"/>
        <v>0</v>
      </c>
      <c r="MH104" s="473">
        <f t="shared" si="361"/>
        <v>0</v>
      </c>
      <c r="MI104" s="473">
        <f t="shared" si="361"/>
        <v>0</v>
      </c>
      <c r="MJ104" s="473">
        <f t="shared" si="361"/>
        <v>0</v>
      </c>
      <c r="MK104" s="473">
        <f t="shared" si="361"/>
        <v>0</v>
      </c>
      <c r="ML104" s="473">
        <f t="shared" si="361"/>
        <v>0</v>
      </c>
      <c r="MM104" s="473">
        <f t="shared" si="361"/>
        <v>0</v>
      </c>
      <c r="MN104" s="473">
        <f t="shared" si="361"/>
        <v>0</v>
      </c>
      <c r="MO104" s="473">
        <f t="shared" si="361"/>
        <v>0</v>
      </c>
      <c r="MP104" s="473">
        <f t="shared" si="361"/>
        <v>0</v>
      </c>
      <c r="MQ104" s="473">
        <f t="shared" si="361"/>
        <v>0</v>
      </c>
      <c r="MR104" s="473">
        <f t="shared" si="361"/>
        <v>0</v>
      </c>
      <c r="MS104" s="473">
        <f t="shared" si="361"/>
        <v>0</v>
      </c>
      <c r="MT104" s="473">
        <f t="shared" si="362"/>
        <v>0</v>
      </c>
      <c r="MU104" s="473">
        <f t="shared" si="362"/>
        <v>0</v>
      </c>
      <c r="MV104" s="473">
        <f t="shared" si="362"/>
        <v>0</v>
      </c>
      <c r="MW104" s="473">
        <f t="shared" si="362"/>
        <v>0</v>
      </c>
      <c r="MX104" s="473">
        <f t="shared" si="362"/>
        <v>0</v>
      </c>
      <c r="MY104" s="473">
        <f t="shared" si="362"/>
        <v>0</v>
      </c>
      <c r="MZ104" s="473">
        <f t="shared" si="362"/>
        <v>0</v>
      </c>
      <c r="NA104" s="473">
        <f t="shared" si="362"/>
        <v>0</v>
      </c>
      <c r="NB104" s="473">
        <f t="shared" si="362"/>
        <v>0</v>
      </c>
      <c r="NC104" s="473">
        <f t="shared" si="362"/>
        <v>0</v>
      </c>
      <c r="ND104" s="473">
        <f t="shared" si="362"/>
        <v>0</v>
      </c>
      <c r="NE104" s="473">
        <f t="shared" si="362"/>
        <v>0</v>
      </c>
      <c r="NF104" s="473">
        <f t="shared" si="362"/>
        <v>0</v>
      </c>
      <c r="NG104" s="473">
        <f t="shared" si="362"/>
        <v>0</v>
      </c>
      <c r="NH104" s="473">
        <f t="shared" si="362"/>
        <v>0</v>
      </c>
      <c r="NI104" s="473">
        <f t="shared" si="362"/>
        <v>0</v>
      </c>
      <c r="NJ104" s="473">
        <f t="shared" si="363"/>
        <v>0</v>
      </c>
      <c r="NK104" s="473">
        <f t="shared" si="363"/>
        <v>0</v>
      </c>
      <c r="NL104" s="473">
        <f t="shared" si="363"/>
        <v>0</v>
      </c>
      <c r="NM104" s="473">
        <f t="shared" si="363"/>
        <v>0</v>
      </c>
      <c r="NN104" s="473">
        <f t="shared" si="363"/>
        <v>0</v>
      </c>
      <c r="NO104" s="473">
        <f t="shared" si="363"/>
        <v>0</v>
      </c>
      <c r="NP104" s="473">
        <f t="shared" si="363"/>
        <v>0</v>
      </c>
      <c r="NQ104" s="473">
        <f t="shared" si="363"/>
        <v>0</v>
      </c>
      <c r="NR104" s="473">
        <f t="shared" si="363"/>
        <v>0</v>
      </c>
      <c r="NS104" s="473">
        <f t="shared" si="363"/>
        <v>0</v>
      </c>
      <c r="NT104" s="473">
        <f t="shared" si="363"/>
        <v>0</v>
      </c>
      <c r="NU104" s="473">
        <f t="shared" si="363"/>
        <v>0</v>
      </c>
      <c r="NV104" s="473">
        <f t="shared" si="363"/>
        <v>0</v>
      </c>
      <c r="NW104" s="473">
        <f t="shared" si="363"/>
        <v>0</v>
      </c>
      <c r="NX104" s="473">
        <f t="shared" si="363"/>
        <v>0</v>
      </c>
      <c r="NY104" s="473">
        <f t="shared" si="363"/>
        <v>0</v>
      </c>
      <c r="NZ104" s="473">
        <f t="shared" si="364"/>
        <v>0</v>
      </c>
      <c r="OA104" s="473">
        <f t="shared" si="364"/>
        <v>0</v>
      </c>
      <c r="OB104" s="473">
        <f t="shared" si="364"/>
        <v>0</v>
      </c>
      <c r="OC104" s="473">
        <f t="shared" si="364"/>
        <v>0</v>
      </c>
      <c r="OD104" s="473">
        <f t="shared" si="364"/>
        <v>0</v>
      </c>
      <c r="OE104" s="473">
        <f t="shared" si="364"/>
        <v>0</v>
      </c>
      <c r="OF104" s="473">
        <f t="shared" si="364"/>
        <v>0</v>
      </c>
      <c r="OG104" s="473">
        <f t="shared" si="364"/>
        <v>0</v>
      </c>
      <c r="OH104" s="473">
        <f t="shared" si="364"/>
        <v>0</v>
      </c>
      <c r="OI104" s="473">
        <f t="shared" si="364"/>
        <v>0</v>
      </c>
      <c r="OJ104" s="473">
        <f t="shared" si="364"/>
        <v>0</v>
      </c>
      <c r="OK104" s="473">
        <f t="shared" si="364"/>
        <v>0</v>
      </c>
      <c r="OL104" s="473">
        <f t="shared" si="364"/>
        <v>0</v>
      </c>
      <c r="OM104" s="473">
        <f t="shared" si="364"/>
        <v>0</v>
      </c>
      <c r="ON104" s="473">
        <f t="shared" si="364"/>
        <v>0</v>
      </c>
      <c r="OO104" s="473">
        <f t="shared" si="364"/>
        <v>0</v>
      </c>
      <c r="OP104" s="473">
        <f t="shared" si="365"/>
        <v>0</v>
      </c>
      <c r="OQ104" s="473">
        <f t="shared" si="365"/>
        <v>0</v>
      </c>
      <c r="OR104" s="473">
        <f t="shared" si="365"/>
        <v>0</v>
      </c>
      <c r="OS104" s="473">
        <f t="shared" si="365"/>
        <v>0</v>
      </c>
      <c r="OT104" s="473">
        <f t="shared" si="365"/>
        <v>0</v>
      </c>
      <c r="OU104" s="473">
        <f t="shared" si="365"/>
        <v>0</v>
      </c>
      <c r="OV104" s="473">
        <f t="shared" si="365"/>
        <v>0</v>
      </c>
      <c r="OW104" s="473">
        <f t="shared" si="365"/>
        <v>0</v>
      </c>
      <c r="OX104" s="473">
        <f t="shared" si="365"/>
        <v>0</v>
      </c>
      <c r="OY104" s="473">
        <f t="shared" si="365"/>
        <v>0</v>
      </c>
      <c r="OZ104" s="473">
        <f t="shared" si="365"/>
        <v>0</v>
      </c>
      <c r="PA104" s="473">
        <f t="shared" si="365"/>
        <v>0</v>
      </c>
      <c r="PB104" s="473">
        <f t="shared" si="365"/>
        <v>0</v>
      </c>
      <c r="PC104" s="473">
        <f t="shared" si="365"/>
        <v>0</v>
      </c>
      <c r="PD104" s="473">
        <f t="shared" si="365"/>
        <v>0</v>
      </c>
      <c r="PE104" s="473">
        <f t="shared" si="365"/>
        <v>0</v>
      </c>
      <c r="PF104" s="473">
        <f t="shared" si="366"/>
        <v>0</v>
      </c>
      <c r="PG104" s="473">
        <f t="shared" si="366"/>
        <v>0</v>
      </c>
      <c r="PH104" s="473">
        <f t="shared" si="366"/>
        <v>0</v>
      </c>
    </row>
    <row r="105" spans="1:424" x14ac:dyDescent="0.35">
      <c r="A105"/>
      <c r="B105" s="427" t="s">
        <v>267</v>
      </c>
      <c r="C105" s="41"/>
      <c r="D105" s="41"/>
      <c r="E105" s="424">
        <f>SUM(E93:E104)</f>
        <v>78470.38</v>
      </c>
      <c r="F105" s="46">
        <f>MIN(F93:F104)</f>
        <v>22</v>
      </c>
      <c r="G105" s="147">
        <f>SUMPRODUCT(G93:G104,I93:I104)/I105</f>
        <v>3.5000000000000003E-2</v>
      </c>
      <c r="H105" s="148">
        <f>I105/E105</f>
        <v>194.72315541227147</v>
      </c>
      <c r="I105" s="445">
        <f>SUM(I93:I104)</f>
        <v>15280000</v>
      </c>
      <c r="J105"/>
      <c r="K105" s="75"/>
      <c r="L105" s="75">
        <f t="shared" ref="L105:AQ105" si="387">SUM(L93:L104)</f>
        <v>0</v>
      </c>
      <c r="M105" s="417">
        <f t="shared" si="387"/>
        <v>0</v>
      </c>
      <c r="N105" s="417">
        <f t="shared" si="387"/>
        <v>0</v>
      </c>
      <c r="O105" s="417">
        <f t="shared" si="387"/>
        <v>0</v>
      </c>
      <c r="P105" s="417">
        <f t="shared" si="387"/>
        <v>0</v>
      </c>
      <c r="Q105" s="417">
        <f t="shared" si="387"/>
        <v>0</v>
      </c>
      <c r="R105" s="417">
        <f t="shared" si="387"/>
        <v>0</v>
      </c>
      <c r="S105" s="417">
        <f t="shared" si="387"/>
        <v>0</v>
      </c>
      <c r="T105" s="417">
        <f t="shared" si="387"/>
        <v>0</v>
      </c>
      <c r="U105" s="417">
        <f t="shared" si="387"/>
        <v>0</v>
      </c>
      <c r="V105" s="417">
        <f t="shared" si="387"/>
        <v>0</v>
      </c>
      <c r="W105" s="417">
        <f t="shared" si="387"/>
        <v>0</v>
      </c>
      <c r="X105" s="417">
        <f t="shared" si="387"/>
        <v>0</v>
      </c>
      <c r="Y105" s="417">
        <f t="shared" si="387"/>
        <v>0</v>
      </c>
      <c r="Z105" s="417">
        <f t="shared" si="387"/>
        <v>0</v>
      </c>
      <c r="AA105" s="417">
        <f t="shared" si="387"/>
        <v>0</v>
      </c>
      <c r="AB105" s="417">
        <f t="shared" si="387"/>
        <v>0</v>
      </c>
      <c r="AC105" s="417">
        <f t="shared" si="387"/>
        <v>0</v>
      </c>
      <c r="AD105" s="417">
        <f t="shared" si="387"/>
        <v>0</v>
      </c>
      <c r="AE105" s="417">
        <f t="shared" si="387"/>
        <v>0</v>
      </c>
      <c r="AF105" s="417">
        <f t="shared" si="387"/>
        <v>0</v>
      </c>
      <c r="AG105" s="417">
        <f t="shared" si="387"/>
        <v>0</v>
      </c>
      <c r="AH105" s="417">
        <f t="shared" si="387"/>
        <v>716666.66666666663</v>
      </c>
      <c r="AI105" s="417">
        <f t="shared" si="387"/>
        <v>716666.66666666663</v>
      </c>
      <c r="AJ105" s="417">
        <f t="shared" si="387"/>
        <v>716666.66666666663</v>
      </c>
      <c r="AK105" s="417">
        <f t="shared" si="387"/>
        <v>933333.33333333326</v>
      </c>
      <c r="AL105" s="417">
        <f t="shared" si="387"/>
        <v>933333.33333333326</v>
      </c>
      <c r="AM105" s="417">
        <f t="shared" si="387"/>
        <v>933333.33333333326</v>
      </c>
      <c r="AN105" s="417">
        <f t="shared" si="387"/>
        <v>1107500</v>
      </c>
      <c r="AO105" s="417">
        <f t="shared" si="387"/>
        <v>1107500</v>
      </c>
      <c r="AP105" s="417">
        <f t="shared" si="387"/>
        <v>1107500</v>
      </c>
      <c r="AQ105" s="417">
        <f t="shared" si="387"/>
        <v>1265833.3333333333</v>
      </c>
      <c r="AR105" s="417">
        <f t="shared" ref="AR105:BW105" si="388">SUM(AR93:AR104)</f>
        <v>1265833.3333333333</v>
      </c>
      <c r="AS105" s="417">
        <f t="shared" si="388"/>
        <v>1265833.3333333333</v>
      </c>
      <c r="AT105" s="417">
        <f t="shared" si="388"/>
        <v>1298416.6666666665</v>
      </c>
      <c r="AU105" s="417">
        <f t="shared" si="388"/>
        <v>1298416.6666666665</v>
      </c>
      <c r="AV105" s="417">
        <f t="shared" si="388"/>
        <v>1298416.6666666665</v>
      </c>
      <c r="AW105" s="417">
        <f t="shared" si="388"/>
        <v>1305999.9999999998</v>
      </c>
      <c r="AX105" s="417">
        <f t="shared" si="388"/>
        <v>1305999.9999999998</v>
      </c>
      <c r="AY105" s="417">
        <f t="shared" si="388"/>
        <v>1305999.9999999998</v>
      </c>
      <c r="AZ105" s="417">
        <f t="shared" si="388"/>
        <v>1312095.833333333</v>
      </c>
      <c r="BA105" s="417">
        <f t="shared" si="388"/>
        <v>1312095.833333333</v>
      </c>
      <c r="BB105" s="417">
        <f t="shared" si="388"/>
        <v>1312095.833333333</v>
      </c>
      <c r="BC105" s="417">
        <f t="shared" si="388"/>
        <v>1317637.4999999998</v>
      </c>
      <c r="BD105" s="417">
        <f t="shared" si="388"/>
        <v>1317637.4999999998</v>
      </c>
      <c r="BE105" s="417">
        <f t="shared" si="388"/>
        <v>1317637.4999999998</v>
      </c>
      <c r="BF105" s="417">
        <f t="shared" si="388"/>
        <v>1343861.2499999998</v>
      </c>
      <c r="BG105" s="417">
        <f t="shared" si="388"/>
        <v>1343861.2499999998</v>
      </c>
      <c r="BH105" s="417">
        <f t="shared" si="388"/>
        <v>1343861.2499999998</v>
      </c>
      <c r="BI105" s="417">
        <f t="shared" si="388"/>
        <v>1351709.9999999998</v>
      </c>
      <c r="BJ105" s="417">
        <f t="shared" si="388"/>
        <v>1351709.9999999998</v>
      </c>
      <c r="BK105" s="417">
        <f t="shared" si="388"/>
        <v>1351709.9999999998</v>
      </c>
      <c r="BL105" s="417">
        <f t="shared" si="388"/>
        <v>1358019.1874999998</v>
      </c>
      <c r="BM105" s="417">
        <f t="shared" si="388"/>
        <v>1358019.1874999998</v>
      </c>
      <c r="BN105" s="417">
        <f t="shared" si="388"/>
        <v>1358019.1874999998</v>
      </c>
      <c r="BO105" s="417">
        <f t="shared" si="388"/>
        <v>1363754.8124999998</v>
      </c>
      <c r="BP105" s="417">
        <f t="shared" si="388"/>
        <v>1363754.8124999998</v>
      </c>
      <c r="BQ105" s="417">
        <f t="shared" si="388"/>
        <v>1363754.8124999998</v>
      </c>
      <c r="BR105" s="417">
        <f t="shared" si="388"/>
        <v>1390896.3937499998</v>
      </c>
      <c r="BS105" s="417">
        <f t="shared" si="388"/>
        <v>1390896.3937499998</v>
      </c>
      <c r="BT105" s="417">
        <f t="shared" si="388"/>
        <v>1390896.3937499998</v>
      </c>
      <c r="BU105" s="417">
        <f t="shared" si="388"/>
        <v>1399019.8499999996</v>
      </c>
      <c r="BV105" s="417">
        <f t="shared" si="388"/>
        <v>1399019.8499999996</v>
      </c>
      <c r="BW105" s="417">
        <f t="shared" si="388"/>
        <v>1399019.8499999996</v>
      </c>
      <c r="BX105" s="417">
        <f t="shared" ref="BX105:DC105" si="389">SUM(BX93:BX104)</f>
        <v>1405549.8590624996</v>
      </c>
      <c r="BY105" s="417">
        <f t="shared" si="389"/>
        <v>1405549.8590624996</v>
      </c>
      <c r="BZ105" s="417">
        <f t="shared" si="389"/>
        <v>1405549.8590624996</v>
      </c>
      <c r="CA105" s="417">
        <f t="shared" si="389"/>
        <v>1411486.2309374996</v>
      </c>
      <c r="CB105" s="417">
        <f t="shared" si="389"/>
        <v>1411486.2309374996</v>
      </c>
      <c r="CC105" s="417">
        <f t="shared" si="389"/>
        <v>1411486.2309374996</v>
      </c>
      <c r="CD105" s="417">
        <f t="shared" si="389"/>
        <v>1439577.7675312494</v>
      </c>
      <c r="CE105" s="417">
        <f t="shared" si="389"/>
        <v>1439577.7675312494</v>
      </c>
      <c r="CF105" s="417">
        <f t="shared" si="389"/>
        <v>1439577.7675312494</v>
      </c>
      <c r="CG105" s="417">
        <f t="shared" si="389"/>
        <v>1447985.5447499997</v>
      </c>
      <c r="CH105" s="417">
        <f t="shared" si="389"/>
        <v>1447985.5447499997</v>
      </c>
      <c r="CI105" s="417">
        <f t="shared" si="389"/>
        <v>1447985.5447499997</v>
      </c>
      <c r="CJ105" s="417">
        <f t="shared" si="389"/>
        <v>1454744.104129687</v>
      </c>
      <c r="CK105" s="417">
        <f t="shared" si="389"/>
        <v>1454744.104129687</v>
      </c>
      <c r="CL105" s="417">
        <f t="shared" si="389"/>
        <v>1454744.104129687</v>
      </c>
      <c r="CM105" s="417">
        <f t="shared" si="389"/>
        <v>1460888.249020312</v>
      </c>
      <c r="CN105" s="417">
        <f t="shared" si="389"/>
        <v>1460888.249020312</v>
      </c>
      <c r="CO105" s="417">
        <f t="shared" si="389"/>
        <v>1460888.249020312</v>
      </c>
      <c r="CP105" s="417">
        <f t="shared" si="389"/>
        <v>1489962.9893948431</v>
      </c>
      <c r="CQ105" s="417">
        <f t="shared" si="389"/>
        <v>1489962.9893948431</v>
      </c>
      <c r="CR105" s="417">
        <f t="shared" si="389"/>
        <v>1489962.9893948431</v>
      </c>
      <c r="CS105" s="417">
        <f t="shared" si="389"/>
        <v>1498665.0388162495</v>
      </c>
      <c r="CT105" s="417">
        <f t="shared" si="389"/>
        <v>1498665.0388162495</v>
      </c>
      <c r="CU105" s="417">
        <f t="shared" si="389"/>
        <v>1498665.0388162495</v>
      </c>
      <c r="CV105" s="417">
        <f t="shared" si="389"/>
        <v>1505660.147774226</v>
      </c>
      <c r="CW105" s="417">
        <f t="shared" si="389"/>
        <v>1505660.147774226</v>
      </c>
      <c r="CX105" s="417">
        <f t="shared" si="389"/>
        <v>1505660.147774226</v>
      </c>
      <c r="CY105" s="417">
        <f t="shared" si="389"/>
        <v>1512019.3377360229</v>
      </c>
      <c r="CZ105" s="417">
        <f t="shared" si="389"/>
        <v>1512019.3377360229</v>
      </c>
      <c r="DA105" s="417">
        <f t="shared" si="389"/>
        <v>1512019.3377360229</v>
      </c>
      <c r="DB105" s="417">
        <f t="shared" si="389"/>
        <v>1542111.6940236627</v>
      </c>
      <c r="DC105" s="417">
        <f t="shared" si="389"/>
        <v>1542111.6940236627</v>
      </c>
      <c r="DD105" s="417">
        <f t="shared" ref="DD105:EI105" si="390">SUM(DD93:DD104)</f>
        <v>1542111.6940236627</v>
      </c>
      <c r="DE105" s="417">
        <f t="shared" si="390"/>
        <v>1551118.3151748183</v>
      </c>
      <c r="DF105" s="417">
        <f t="shared" si="390"/>
        <v>1551118.3151748183</v>
      </c>
      <c r="DG105" s="417">
        <f t="shared" si="390"/>
        <v>1551118.3151748183</v>
      </c>
      <c r="DH105" s="417">
        <f t="shared" si="390"/>
        <v>1558358.2529463239</v>
      </c>
      <c r="DI105" s="417">
        <f t="shared" si="390"/>
        <v>1558358.2529463239</v>
      </c>
      <c r="DJ105" s="417">
        <f t="shared" si="390"/>
        <v>1558358.2529463239</v>
      </c>
      <c r="DK105" s="417">
        <f t="shared" si="390"/>
        <v>1564940.0145567837</v>
      </c>
      <c r="DL105" s="417">
        <f t="shared" si="390"/>
        <v>1564940.0145567837</v>
      </c>
      <c r="DM105" s="417">
        <f t="shared" si="390"/>
        <v>1564940.0145567837</v>
      </c>
      <c r="DN105" s="417">
        <f t="shared" si="390"/>
        <v>1596085.6033144908</v>
      </c>
      <c r="DO105" s="417">
        <f t="shared" si="390"/>
        <v>1596085.6033144908</v>
      </c>
      <c r="DP105" s="417">
        <f t="shared" si="390"/>
        <v>1596085.6033144908</v>
      </c>
      <c r="DQ105" s="417">
        <f t="shared" si="390"/>
        <v>1605407.4562059366</v>
      </c>
      <c r="DR105" s="417">
        <f t="shared" si="390"/>
        <v>1605407.4562059366</v>
      </c>
      <c r="DS105" s="417">
        <f t="shared" si="390"/>
        <v>1605407.4562059366</v>
      </c>
      <c r="DT105" s="417">
        <f t="shared" si="390"/>
        <v>1612900.7917994452</v>
      </c>
      <c r="DU105" s="417">
        <f t="shared" si="390"/>
        <v>1612900.7917994452</v>
      </c>
      <c r="DV105" s="417">
        <f t="shared" si="390"/>
        <v>1612900.7917994452</v>
      </c>
      <c r="DW105" s="417">
        <f t="shared" si="390"/>
        <v>1619712.9150662711</v>
      </c>
      <c r="DX105" s="417">
        <f t="shared" si="390"/>
        <v>1619712.9150662711</v>
      </c>
      <c r="DY105" s="417">
        <f t="shared" si="390"/>
        <v>1619712.9150662711</v>
      </c>
      <c r="DZ105" s="417">
        <f t="shared" si="390"/>
        <v>1651948.599430498</v>
      </c>
      <c r="EA105" s="417">
        <f t="shared" si="390"/>
        <v>1651948.599430498</v>
      </c>
      <c r="EB105" s="417">
        <f t="shared" si="390"/>
        <v>1651948.599430498</v>
      </c>
      <c r="EC105" s="417">
        <f t="shared" si="390"/>
        <v>1661596.7171731445</v>
      </c>
      <c r="ED105" s="417">
        <f t="shared" si="390"/>
        <v>1661596.7171731445</v>
      </c>
      <c r="EE105" s="417">
        <f t="shared" si="390"/>
        <v>1661596.7171731445</v>
      </c>
      <c r="EF105" s="417">
        <f t="shared" si="390"/>
        <v>1669352.3195124252</v>
      </c>
      <c r="EG105" s="417">
        <f t="shared" si="390"/>
        <v>1669352.3195124252</v>
      </c>
      <c r="EH105" s="417">
        <f t="shared" si="390"/>
        <v>1669352.3195124252</v>
      </c>
      <c r="EI105" s="417">
        <f t="shared" si="390"/>
        <v>1676402.8670935901</v>
      </c>
      <c r="EJ105" s="417">
        <f t="shared" ref="EJ105:EN105" si="391">SUM(EJ93:EJ104)</f>
        <v>1676402.8670935901</v>
      </c>
      <c r="EK105" s="417">
        <f t="shared" si="391"/>
        <v>1676402.8670935901</v>
      </c>
      <c r="EL105" s="417">
        <f t="shared" si="391"/>
        <v>1709766.800410565</v>
      </c>
      <c r="EM105" s="417">
        <f t="shared" si="391"/>
        <v>1709766.800410565</v>
      </c>
      <c r="EN105" s="417">
        <f t="shared" si="391"/>
        <v>1709766.800410565</v>
      </c>
      <c r="EO105"/>
      <c r="EP105" s="219"/>
      <c r="EQ105" s="209"/>
      <c r="ER105" s="18"/>
      <c r="ES105" s="18"/>
      <c r="ET105" s="18"/>
      <c r="EU105" s="18"/>
      <c r="EV105" s="418">
        <f t="shared" ref="EV105:GA105" si="392">SUM(EV93:EV104)</f>
        <v>0</v>
      </c>
      <c r="EW105" s="418">
        <f t="shared" si="392"/>
        <v>0</v>
      </c>
      <c r="EX105" s="418">
        <f t="shared" si="392"/>
        <v>0</v>
      </c>
      <c r="EY105" s="418">
        <f t="shared" si="392"/>
        <v>0</v>
      </c>
      <c r="EZ105" s="418">
        <f t="shared" si="392"/>
        <v>0</v>
      </c>
      <c r="FA105" s="418">
        <f t="shared" si="392"/>
        <v>0</v>
      </c>
      <c r="FB105" s="418">
        <f t="shared" si="392"/>
        <v>0</v>
      </c>
      <c r="FC105" s="418">
        <f t="shared" si="392"/>
        <v>0</v>
      </c>
      <c r="FD105" s="418">
        <f t="shared" si="392"/>
        <v>0</v>
      </c>
      <c r="FE105" s="418">
        <f t="shared" si="392"/>
        <v>0</v>
      </c>
      <c r="FF105" s="418">
        <f t="shared" si="392"/>
        <v>0</v>
      </c>
      <c r="FG105" s="418">
        <f t="shared" si="392"/>
        <v>0</v>
      </c>
      <c r="FH105" s="418">
        <f t="shared" si="392"/>
        <v>0</v>
      </c>
      <c r="FI105" s="418">
        <f t="shared" si="392"/>
        <v>0</v>
      </c>
      <c r="FJ105" s="418">
        <f t="shared" si="392"/>
        <v>0</v>
      </c>
      <c r="FK105" s="418">
        <f t="shared" si="392"/>
        <v>0</v>
      </c>
      <c r="FL105" s="418">
        <f t="shared" si="392"/>
        <v>0</v>
      </c>
      <c r="FM105" s="418">
        <f t="shared" si="392"/>
        <v>0</v>
      </c>
      <c r="FN105" s="418">
        <f t="shared" si="392"/>
        <v>0</v>
      </c>
      <c r="FO105" s="418">
        <f t="shared" si="392"/>
        <v>21500</v>
      </c>
      <c r="FP105" s="418">
        <f t="shared" si="392"/>
        <v>21500</v>
      </c>
      <c r="FQ105" s="418">
        <f t="shared" si="392"/>
        <v>21500</v>
      </c>
      <c r="FR105" s="418">
        <f t="shared" si="392"/>
        <v>48000</v>
      </c>
      <c r="FS105" s="418">
        <f t="shared" si="392"/>
        <v>48000</v>
      </c>
      <c r="FT105" s="418">
        <f t="shared" si="392"/>
        <v>48000</v>
      </c>
      <c r="FU105" s="418">
        <f t="shared" si="392"/>
        <v>52150</v>
      </c>
      <c r="FV105" s="418">
        <f t="shared" si="392"/>
        <v>52150</v>
      </c>
      <c r="FW105" s="418">
        <f t="shared" si="392"/>
        <v>52150</v>
      </c>
      <c r="FX105" s="418">
        <f t="shared" si="392"/>
        <v>75450.38</v>
      </c>
      <c r="FY105" s="418">
        <f t="shared" si="392"/>
        <v>75450.38</v>
      </c>
      <c r="FZ105" s="418">
        <f t="shared" si="392"/>
        <v>75450.38</v>
      </c>
      <c r="GA105" s="418">
        <f t="shared" si="392"/>
        <v>76200.38</v>
      </c>
      <c r="GB105" s="418">
        <f t="shared" ref="GB105:HG105" si="393">SUM(GB93:GB104)</f>
        <v>76200.38</v>
      </c>
      <c r="GC105" s="418">
        <f t="shared" si="393"/>
        <v>76200.38</v>
      </c>
      <c r="GD105" s="418">
        <f t="shared" si="393"/>
        <v>76200.38</v>
      </c>
      <c r="GE105" s="418">
        <f t="shared" si="393"/>
        <v>76200.38</v>
      </c>
      <c r="GF105" s="418">
        <f t="shared" si="393"/>
        <v>76200.38</v>
      </c>
      <c r="GG105" s="418">
        <f t="shared" si="393"/>
        <v>78470.38</v>
      </c>
      <c r="GH105" s="418">
        <f t="shared" si="393"/>
        <v>78470.38</v>
      </c>
      <c r="GI105" s="418">
        <f t="shared" si="393"/>
        <v>78470.38</v>
      </c>
      <c r="GJ105" s="418">
        <f t="shared" si="393"/>
        <v>78470.38</v>
      </c>
      <c r="GK105" s="418">
        <f t="shared" si="393"/>
        <v>78470.38</v>
      </c>
      <c r="GL105" s="418">
        <f t="shared" si="393"/>
        <v>78470.38</v>
      </c>
      <c r="GM105" s="418">
        <f t="shared" si="393"/>
        <v>78470.38</v>
      </c>
      <c r="GN105" s="418">
        <f t="shared" si="393"/>
        <v>78470.38</v>
      </c>
      <c r="GO105" s="418">
        <f t="shared" si="393"/>
        <v>78470.38</v>
      </c>
      <c r="GP105" s="418">
        <f t="shared" si="393"/>
        <v>78470.38</v>
      </c>
      <c r="GQ105" s="418">
        <f t="shared" si="393"/>
        <v>78470.38</v>
      </c>
      <c r="GR105" s="418">
        <f t="shared" si="393"/>
        <v>78470.38</v>
      </c>
      <c r="GS105" s="418">
        <f t="shared" si="393"/>
        <v>78470.38</v>
      </c>
      <c r="GT105" s="418">
        <f t="shared" si="393"/>
        <v>78470.38</v>
      </c>
      <c r="GU105" s="418">
        <f t="shared" si="393"/>
        <v>78470.38</v>
      </c>
      <c r="GV105" s="418">
        <f t="shared" si="393"/>
        <v>78470.38</v>
      </c>
      <c r="GW105" s="418">
        <f t="shared" si="393"/>
        <v>78470.38</v>
      </c>
      <c r="GX105" s="418">
        <f t="shared" si="393"/>
        <v>78470.38</v>
      </c>
      <c r="GY105" s="418">
        <f t="shared" si="393"/>
        <v>78470.38</v>
      </c>
      <c r="GZ105" s="418">
        <f t="shared" si="393"/>
        <v>78470.38</v>
      </c>
      <c r="HA105" s="418">
        <f t="shared" si="393"/>
        <v>78470.38</v>
      </c>
      <c r="HB105" s="418">
        <f t="shared" si="393"/>
        <v>78470.38</v>
      </c>
      <c r="HC105" s="418">
        <f t="shared" si="393"/>
        <v>78470.38</v>
      </c>
      <c r="HD105" s="418">
        <f t="shared" si="393"/>
        <v>78470.38</v>
      </c>
      <c r="HE105" s="418">
        <f t="shared" si="393"/>
        <v>78470.38</v>
      </c>
      <c r="HF105" s="418">
        <f t="shared" si="393"/>
        <v>78470.38</v>
      </c>
      <c r="HG105" s="418">
        <f t="shared" si="393"/>
        <v>78470.38</v>
      </c>
      <c r="HH105" s="418">
        <f t="shared" ref="HH105:IM105" si="394">SUM(HH93:HH104)</f>
        <v>78470.38</v>
      </c>
      <c r="HI105" s="418">
        <f t="shared" si="394"/>
        <v>78470.38</v>
      </c>
      <c r="HJ105" s="418">
        <f t="shared" si="394"/>
        <v>78470.38</v>
      </c>
      <c r="HK105" s="418">
        <f t="shared" si="394"/>
        <v>78470.38</v>
      </c>
      <c r="HL105" s="418">
        <f t="shared" si="394"/>
        <v>78470.38</v>
      </c>
      <c r="HM105" s="418">
        <f t="shared" si="394"/>
        <v>78470.38</v>
      </c>
      <c r="HN105" s="418">
        <f t="shared" si="394"/>
        <v>78470.38</v>
      </c>
      <c r="HO105" s="418">
        <f t="shared" si="394"/>
        <v>78470.38</v>
      </c>
      <c r="HP105" s="418">
        <f t="shared" si="394"/>
        <v>78470.38</v>
      </c>
      <c r="HQ105" s="418">
        <f t="shared" si="394"/>
        <v>78470.38</v>
      </c>
      <c r="HR105" s="418">
        <f t="shared" si="394"/>
        <v>78470.38</v>
      </c>
      <c r="HS105" s="418">
        <f t="shared" si="394"/>
        <v>78470.38</v>
      </c>
      <c r="HT105" s="418">
        <f t="shared" si="394"/>
        <v>78470.38</v>
      </c>
      <c r="HU105" s="418">
        <f t="shared" si="394"/>
        <v>78470.38</v>
      </c>
      <c r="HV105" s="418">
        <f t="shared" si="394"/>
        <v>78470.38</v>
      </c>
      <c r="HW105" s="418">
        <f t="shared" si="394"/>
        <v>78470.38</v>
      </c>
      <c r="HX105" s="418">
        <f t="shared" si="394"/>
        <v>78470.38</v>
      </c>
      <c r="HY105" s="418">
        <f t="shared" si="394"/>
        <v>78470.38</v>
      </c>
      <c r="HZ105" s="418">
        <f t="shared" si="394"/>
        <v>78470.38</v>
      </c>
      <c r="IA105" s="418">
        <f t="shared" si="394"/>
        <v>78470.38</v>
      </c>
      <c r="IB105" s="418">
        <f t="shared" si="394"/>
        <v>78470.38</v>
      </c>
      <c r="IC105" s="418">
        <f t="shared" si="394"/>
        <v>78470.38</v>
      </c>
      <c r="ID105" s="418">
        <f t="shared" si="394"/>
        <v>78470.38</v>
      </c>
      <c r="IE105" s="418">
        <f t="shared" si="394"/>
        <v>78470.38</v>
      </c>
      <c r="IF105" s="418">
        <f t="shared" si="394"/>
        <v>78470.38</v>
      </c>
      <c r="IG105" s="418">
        <f t="shared" si="394"/>
        <v>78470.38</v>
      </c>
      <c r="IH105" s="418">
        <f t="shared" si="394"/>
        <v>78470.38</v>
      </c>
      <c r="II105" s="418">
        <f t="shared" si="394"/>
        <v>78470.38</v>
      </c>
      <c r="IJ105" s="418">
        <f t="shared" si="394"/>
        <v>78470.38</v>
      </c>
      <c r="IK105" s="418">
        <f t="shared" si="394"/>
        <v>78470.38</v>
      </c>
      <c r="IL105" s="418">
        <f t="shared" si="394"/>
        <v>78470.38</v>
      </c>
      <c r="IM105" s="418">
        <f t="shared" si="394"/>
        <v>78470.38</v>
      </c>
      <c r="IN105" s="418">
        <f t="shared" ref="IN105:JS105" si="395">SUM(IN93:IN104)</f>
        <v>78470.38</v>
      </c>
      <c r="IO105" s="418">
        <f t="shared" si="395"/>
        <v>78470.38</v>
      </c>
      <c r="IP105" s="418">
        <f t="shared" si="395"/>
        <v>78470.38</v>
      </c>
      <c r="IQ105" s="418">
        <f t="shared" si="395"/>
        <v>78470.38</v>
      </c>
      <c r="IR105" s="418">
        <f t="shared" si="395"/>
        <v>78470.38</v>
      </c>
      <c r="IS105" s="418">
        <f t="shared" si="395"/>
        <v>78470.38</v>
      </c>
      <c r="IT105" s="418">
        <f t="shared" si="395"/>
        <v>78470.38</v>
      </c>
      <c r="IU105" s="418">
        <f t="shared" si="395"/>
        <v>78470.38</v>
      </c>
      <c r="IV105" s="418">
        <f t="shared" si="395"/>
        <v>78470.38</v>
      </c>
      <c r="IW105" s="418">
        <f t="shared" si="395"/>
        <v>78470.38</v>
      </c>
      <c r="IX105" s="418">
        <f t="shared" si="395"/>
        <v>78470.38</v>
      </c>
      <c r="IY105" s="418">
        <f t="shared" si="395"/>
        <v>78470.38</v>
      </c>
      <c r="IZ105" s="418">
        <f t="shared" si="395"/>
        <v>78470.38</v>
      </c>
      <c r="JA105" s="418">
        <f t="shared" si="395"/>
        <v>78470.38</v>
      </c>
      <c r="JB105" s="418">
        <f t="shared" si="395"/>
        <v>78470.38</v>
      </c>
      <c r="JC105" s="418">
        <f t="shared" si="395"/>
        <v>78470.38</v>
      </c>
      <c r="JD105" s="418">
        <f t="shared" si="395"/>
        <v>78470.38</v>
      </c>
      <c r="JE105" s="418">
        <f t="shared" si="395"/>
        <v>78470.38</v>
      </c>
      <c r="JF105" s="418">
        <f t="shared" si="395"/>
        <v>78470.38</v>
      </c>
      <c r="JG105" s="418">
        <f t="shared" si="395"/>
        <v>78470.38</v>
      </c>
      <c r="JH105" s="418">
        <f t="shared" si="395"/>
        <v>78470.38</v>
      </c>
      <c r="JI105" s="418">
        <f t="shared" si="395"/>
        <v>78470.38</v>
      </c>
      <c r="JJ105" s="418">
        <f t="shared" si="395"/>
        <v>78470.38</v>
      </c>
      <c r="JK105" s="418">
        <f t="shared" si="395"/>
        <v>78470.38</v>
      </c>
      <c r="JL105" s="418">
        <f t="shared" si="395"/>
        <v>78470.38</v>
      </c>
      <c r="JM105" s="418">
        <f t="shared" si="395"/>
        <v>78470.38</v>
      </c>
      <c r="JN105" s="418">
        <f t="shared" si="395"/>
        <v>78470.38</v>
      </c>
      <c r="JO105" s="418">
        <f t="shared" si="395"/>
        <v>78470.38</v>
      </c>
      <c r="JP105" s="418">
        <f t="shared" si="395"/>
        <v>78470.38</v>
      </c>
      <c r="JQ105" s="418">
        <f t="shared" si="395"/>
        <v>78470.38</v>
      </c>
      <c r="JR105" s="418">
        <f t="shared" si="395"/>
        <v>78470.38</v>
      </c>
      <c r="JS105" s="418">
        <f t="shared" si="395"/>
        <v>78470.38</v>
      </c>
      <c r="JT105" s="418">
        <f>SUM(JT93:JT104)</f>
        <v>78470.38</v>
      </c>
      <c r="JU105" s="418">
        <f>SUM(JU93:JU104)</f>
        <v>78470.38</v>
      </c>
      <c r="JV105" s="418">
        <f>SUM(JV93:JV104)</f>
        <v>78470.38</v>
      </c>
      <c r="JW105" s="418">
        <f>SUM(JW93:JW104)</f>
        <v>78470.38</v>
      </c>
      <c r="JX105" s="418">
        <f>SUM(JX93:JX104)</f>
        <v>78470.38</v>
      </c>
      <c r="JY105"/>
      <c r="JZ105" s="262" t="s">
        <v>268</v>
      </c>
      <c r="KA105" s="262"/>
      <c r="KB105" s="262"/>
      <c r="KC105" s="262"/>
      <c r="KD105" s="262"/>
      <c r="KE105" s="262"/>
      <c r="KF105" s="262"/>
      <c r="KG105" s="471">
        <f t="shared" ref="KG105:LL105" si="396">SUM(KG93:KG104)</f>
        <v>0</v>
      </c>
      <c r="KH105" s="471">
        <f t="shared" si="396"/>
        <v>0</v>
      </c>
      <c r="KI105" s="471">
        <f t="shared" si="396"/>
        <v>0</v>
      </c>
      <c r="KJ105" s="471">
        <f t="shared" si="396"/>
        <v>0</v>
      </c>
      <c r="KK105" s="471">
        <f t="shared" si="396"/>
        <v>0</v>
      </c>
      <c r="KL105" s="471">
        <f t="shared" si="396"/>
        <v>0</v>
      </c>
      <c r="KM105" s="471">
        <f t="shared" si="396"/>
        <v>0</v>
      </c>
      <c r="KN105" s="471">
        <f t="shared" si="396"/>
        <v>0</v>
      </c>
      <c r="KO105" s="471">
        <f t="shared" si="396"/>
        <v>0</v>
      </c>
      <c r="KP105" s="471">
        <f t="shared" si="396"/>
        <v>0</v>
      </c>
      <c r="KQ105" s="471">
        <f t="shared" si="396"/>
        <v>0</v>
      </c>
      <c r="KR105" s="471">
        <f t="shared" si="396"/>
        <v>0</v>
      </c>
      <c r="KS105" s="471">
        <f t="shared" si="396"/>
        <v>0</v>
      </c>
      <c r="KT105" s="471">
        <f t="shared" si="396"/>
        <v>0</v>
      </c>
      <c r="KU105" s="471">
        <f t="shared" si="396"/>
        <v>0</v>
      </c>
      <c r="KV105" s="471">
        <f t="shared" si="396"/>
        <v>0</v>
      </c>
      <c r="KW105" s="471">
        <f t="shared" si="396"/>
        <v>0</v>
      </c>
      <c r="KX105" s="471">
        <f t="shared" si="396"/>
        <v>0</v>
      </c>
      <c r="KY105" s="471">
        <f t="shared" si="396"/>
        <v>0</v>
      </c>
      <c r="KZ105" s="471">
        <f t="shared" si="396"/>
        <v>0</v>
      </c>
      <c r="LA105" s="471">
        <f t="shared" si="396"/>
        <v>0</v>
      </c>
      <c r="LB105" s="471">
        <f t="shared" si="396"/>
        <v>716666.66666666663</v>
      </c>
      <c r="LC105" s="471">
        <f t="shared" si="396"/>
        <v>716666.66666666663</v>
      </c>
      <c r="LD105" s="471">
        <f t="shared" si="396"/>
        <v>716666.66666666663</v>
      </c>
      <c r="LE105" s="471">
        <f t="shared" si="396"/>
        <v>933333.33333333326</v>
      </c>
      <c r="LF105" s="471">
        <f t="shared" si="396"/>
        <v>933333.33333333326</v>
      </c>
      <c r="LG105" s="471">
        <f t="shared" si="396"/>
        <v>933333.33333333326</v>
      </c>
      <c r="LH105" s="471">
        <f t="shared" si="396"/>
        <v>1107500</v>
      </c>
      <c r="LI105" s="471">
        <f t="shared" si="396"/>
        <v>1107500</v>
      </c>
      <c r="LJ105" s="471">
        <f t="shared" si="396"/>
        <v>1107500</v>
      </c>
      <c r="LK105" s="471">
        <f t="shared" si="396"/>
        <v>1265833.3333333333</v>
      </c>
      <c r="LL105" s="471">
        <f t="shared" si="396"/>
        <v>1265833.3333333333</v>
      </c>
      <c r="LM105" s="471">
        <f t="shared" ref="LM105:MR105" si="397">SUM(LM93:LM104)</f>
        <v>1265833.3333333333</v>
      </c>
      <c r="LN105" s="471">
        <f t="shared" si="397"/>
        <v>1298416.6666666665</v>
      </c>
      <c r="LO105" s="471">
        <f t="shared" si="397"/>
        <v>1298416.6666666665</v>
      </c>
      <c r="LP105" s="471">
        <f t="shared" si="397"/>
        <v>1298416.6666666665</v>
      </c>
      <c r="LQ105" s="471">
        <f t="shared" si="397"/>
        <v>1305999.9999999998</v>
      </c>
      <c r="LR105" s="471">
        <f t="shared" si="397"/>
        <v>1305999.9999999998</v>
      </c>
      <c r="LS105" s="471">
        <f t="shared" si="397"/>
        <v>1305999.9999999998</v>
      </c>
      <c r="LT105" s="471">
        <f t="shared" si="397"/>
        <v>1312095.833333333</v>
      </c>
      <c r="LU105" s="471">
        <f t="shared" si="397"/>
        <v>1312095.833333333</v>
      </c>
      <c r="LV105" s="471">
        <f t="shared" si="397"/>
        <v>1312095.833333333</v>
      </c>
      <c r="LW105" s="471">
        <f t="shared" si="397"/>
        <v>1317637.4999999998</v>
      </c>
      <c r="LX105" s="471">
        <f t="shared" si="397"/>
        <v>1317637.4999999998</v>
      </c>
      <c r="LY105" s="471">
        <f t="shared" si="397"/>
        <v>1317637.4999999998</v>
      </c>
      <c r="LZ105" s="471">
        <f t="shared" si="397"/>
        <v>1343861.2499999998</v>
      </c>
      <c r="MA105" s="471">
        <f t="shared" si="397"/>
        <v>1343861.2499999998</v>
      </c>
      <c r="MB105" s="471">
        <f t="shared" si="397"/>
        <v>1343861.2499999998</v>
      </c>
      <c r="MC105" s="471">
        <f t="shared" si="397"/>
        <v>1351709.9999999998</v>
      </c>
      <c r="MD105" s="471">
        <f t="shared" si="397"/>
        <v>1351709.9999999998</v>
      </c>
      <c r="ME105" s="471">
        <f t="shared" si="397"/>
        <v>1351709.9999999998</v>
      </c>
      <c r="MF105" s="471">
        <f t="shared" si="397"/>
        <v>1358019.1874999998</v>
      </c>
      <c r="MG105" s="471">
        <f t="shared" si="397"/>
        <v>1358019.1874999998</v>
      </c>
      <c r="MH105" s="471">
        <f t="shared" si="397"/>
        <v>1358019.1874999998</v>
      </c>
      <c r="MI105" s="471">
        <f t="shared" si="397"/>
        <v>1363754.8124999998</v>
      </c>
      <c r="MJ105" s="471">
        <f t="shared" si="397"/>
        <v>1363754.8124999998</v>
      </c>
      <c r="MK105" s="471">
        <f t="shared" si="397"/>
        <v>1363754.8124999998</v>
      </c>
      <c r="ML105" s="471">
        <f t="shared" si="397"/>
        <v>1390896.3937499998</v>
      </c>
      <c r="MM105" s="471">
        <f t="shared" si="397"/>
        <v>1390896.3937499998</v>
      </c>
      <c r="MN105" s="471">
        <f t="shared" si="397"/>
        <v>1390896.3937499998</v>
      </c>
      <c r="MO105" s="471">
        <f t="shared" si="397"/>
        <v>1399019.8499999996</v>
      </c>
      <c r="MP105" s="471">
        <f t="shared" si="397"/>
        <v>1399019.8499999996</v>
      </c>
      <c r="MQ105" s="471">
        <f t="shared" si="397"/>
        <v>1399019.8499999996</v>
      </c>
      <c r="MR105" s="471">
        <f t="shared" si="397"/>
        <v>1405549.8590624996</v>
      </c>
      <c r="MS105" s="471">
        <f t="shared" ref="MS105:NX105" si="398">SUM(MS93:MS104)</f>
        <v>1405549.8590624996</v>
      </c>
      <c r="MT105" s="471">
        <f t="shared" si="398"/>
        <v>1405549.8590624996</v>
      </c>
      <c r="MU105" s="471">
        <f t="shared" si="398"/>
        <v>1411486.2309374996</v>
      </c>
      <c r="MV105" s="471">
        <f t="shared" si="398"/>
        <v>1411486.2309374996</v>
      </c>
      <c r="MW105" s="471">
        <f t="shared" si="398"/>
        <v>1411486.2309374996</v>
      </c>
      <c r="MX105" s="471">
        <f t="shared" si="398"/>
        <v>1439577.7675312494</v>
      </c>
      <c r="MY105" s="471">
        <f t="shared" si="398"/>
        <v>1439577.7675312494</v>
      </c>
      <c r="MZ105" s="471">
        <f t="shared" si="398"/>
        <v>1439577.7675312494</v>
      </c>
      <c r="NA105" s="471">
        <f t="shared" si="398"/>
        <v>1447985.5447499997</v>
      </c>
      <c r="NB105" s="471">
        <f t="shared" si="398"/>
        <v>1447985.5447499997</v>
      </c>
      <c r="NC105" s="471">
        <f t="shared" si="398"/>
        <v>1447985.5447499997</v>
      </c>
      <c r="ND105" s="471">
        <f t="shared" si="398"/>
        <v>1454744.104129687</v>
      </c>
      <c r="NE105" s="471">
        <f t="shared" si="398"/>
        <v>1454744.104129687</v>
      </c>
      <c r="NF105" s="471">
        <f t="shared" si="398"/>
        <v>1454744.104129687</v>
      </c>
      <c r="NG105" s="471">
        <f t="shared" si="398"/>
        <v>1460888.249020312</v>
      </c>
      <c r="NH105" s="471">
        <f t="shared" si="398"/>
        <v>1460888.249020312</v>
      </c>
      <c r="NI105" s="471">
        <f t="shared" si="398"/>
        <v>1460888.249020312</v>
      </c>
      <c r="NJ105" s="471">
        <f t="shared" si="398"/>
        <v>1489962.9893948431</v>
      </c>
      <c r="NK105" s="471">
        <f t="shared" si="398"/>
        <v>1489962.9893948431</v>
      </c>
      <c r="NL105" s="471">
        <f t="shared" si="398"/>
        <v>1489962.9893948431</v>
      </c>
      <c r="NM105" s="471">
        <f t="shared" si="398"/>
        <v>1498665.0388162495</v>
      </c>
      <c r="NN105" s="471">
        <f t="shared" si="398"/>
        <v>1498665.0388162495</v>
      </c>
      <c r="NO105" s="471">
        <f t="shared" si="398"/>
        <v>1498665.0388162495</v>
      </c>
      <c r="NP105" s="471">
        <f t="shared" si="398"/>
        <v>1505660.147774226</v>
      </c>
      <c r="NQ105" s="471">
        <f t="shared" si="398"/>
        <v>1505660.147774226</v>
      </c>
      <c r="NR105" s="471">
        <f t="shared" si="398"/>
        <v>1505660.147774226</v>
      </c>
      <c r="NS105" s="471">
        <f t="shared" si="398"/>
        <v>1512019.3377360229</v>
      </c>
      <c r="NT105" s="471">
        <f t="shared" si="398"/>
        <v>1512019.3377360229</v>
      </c>
      <c r="NU105" s="471">
        <f t="shared" si="398"/>
        <v>1512019.3377360229</v>
      </c>
      <c r="NV105" s="471">
        <f t="shared" si="398"/>
        <v>1542111.6940236627</v>
      </c>
      <c r="NW105" s="471">
        <f t="shared" si="398"/>
        <v>1542111.6940236627</v>
      </c>
      <c r="NX105" s="471">
        <f t="shared" si="398"/>
        <v>1542111.6940236627</v>
      </c>
      <c r="NY105" s="471">
        <f t="shared" ref="NY105:PD105" si="399">SUM(NY93:NY104)</f>
        <v>1551118.3151748183</v>
      </c>
      <c r="NZ105" s="471">
        <f t="shared" si="399"/>
        <v>1551118.3151748183</v>
      </c>
      <c r="OA105" s="471">
        <f t="shared" si="399"/>
        <v>1551118.3151748183</v>
      </c>
      <c r="OB105" s="471">
        <f t="shared" si="399"/>
        <v>1558358.2529463239</v>
      </c>
      <c r="OC105" s="471">
        <f t="shared" si="399"/>
        <v>1558358.2529463239</v>
      </c>
      <c r="OD105" s="471">
        <f t="shared" si="399"/>
        <v>1558358.2529463239</v>
      </c>
      <c r="OE105" s="471">
        <f t="shared" si="399"/>
        <v>1564940.0145567837</v>
      </c>
      <c r="OF105" s="471">
        <f t="shared" si="399"/>
        <v>1564940.0145567837</v>
      </c>
      <c r="OG105" s="471">
        <f t="shared" si="399"/>
        <v>1564940.0145567837</v>
      </c>
      <c r="OH105" s="471">
        <f t="shared" si="399"/>
        <v>1596085.6033144908</v>
      </c>
      <c r="OI105" s="471">
        <f t="shared" si="399"/>
        <v>1596085.6033144908</v>
      </c>
      <c r="OJ105" s="471">
        <f t="shared" si="399"/>
        <v>1596085.6033144908</v>
      </c>
      <c r="OK105" s="471">
        <f t="shared" si="399"/>
        <v>1605407.4562059366</v>
      </c>
      <c r="OL105" s="471">
        <f t="shared" si="399"/>
        <v>1605407.4562059366</v>
      </c>
      <c r="OM105" s="471">
        <f t="shared" si="399"/>
        <v>1605407.4562059366</v>
      </c>
      <c r="ON105" s="471">
        <f t="shared" si="399"/>
        <v>1612900.7917994452</v>
      </c>
      <c r="OO105" s="471">
        <f t="shared" si="399"/>
        <v>1612900.7917994452</v>
      </c>
      <c r="OP105" s="471">
        <f t="shared" si="399"/>
        <v>1612900.7917994452</v>
      </c>
      <c r="OQ105" s="471">
        <f t="shared" si="399"/>
        <v>1619712.9150662711</v>
      </c>
      <c r="OR105" s="471">
        <f t="shared" si="399"/>
        <v>1619712.9150662711</v>
      </c>
      <c r="OS105" s="471">
        <f t="shared" si="399"/>
        <v>1619712.9150662711</v>
      </c>
      <c r="OT105" s="471">
        <f t="shared" si="399"/>
        <v>1651948.599430498</v>
      </c>
      <c r="OU105" s="471">
        <f t="shared" si="399"/>
        <v>1651948.599430498</v>
      </c>
      <c r="OV105" s="471">
        <f t="shared" si="399"/>
        <v>1651948.599430498</v>
      </c>
      <c r="OW105" s="471">
        <f t="shared" si="399"/>
        <v>1661596.7171731445</v>
      </c>
      <c r="OX105" s="471">
        <f t="shared" si="399"/>
        <v>1661596.7171731445</v>
      </c>
      <c r="OY105" s="471">
        <f t="shared" si="399"/>
        <v>1661596.7171731445</v>
      </c>
      <c r="OZ105" s="471">
        <f t="shared" si="399"/>
        <v>1669352.3195124252</v>
      </c>
      <c r="PA105" s="471">
        <f t="shared" si="399"/>
        <v>1669352.3195124252</v>
      </c>
      <c r="PB105" s="471">
        <f t="shared" si="399"/>
        <v>1669352.3195124252</v>
      </c>
      <c r="PC105" s="471">
        <f t="shared" si="399"/>
        <v>1676402.8670935901</v>
      </c>
      <c r="PD105" s="471">
        <f t="shared" si="399"/>
        <v>1676402.8670935901</v>
      </c>
      <c r="PE105" s="471">
        <f>SUM(PE93:PE104)</f>
        <v>1676402.8670935901</v>
      </c>
      <c r="PF105" s="471">
        <f>SUM(PF93:PF104)</f>
        <v>1709766.800410565</v>
      </c>
      <c r="PG105" s="471">
        <f>SUM(PG93:PG104)</f>
        <v>1709766.800410565</v>
      </c>
      <c r="PH105" s="471">
        <f>SUM(PH93:PH104)</f>
        <v>1709766.800410565</v>
      </c>
    </row>
    <row r="106" spans="1:424" x14ac:dyDescent="0.35">
      <c r="A106"/>
      <c r="B106" s="469"/>
      <c r="C106" s="41"/>
      <c r="D106" s="41"/>
      <c r="E106" s="41"/>
      <c r="F106" s="70"/>
      <c r="G106" s="149"/>
      <c r="H106" s="149"/>
      <c r="I106" s="149"/>
      <c r="J106"/>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c r="CE106" s="75"/>
      <c r="CF106" s="75"/>
      <c r="CG106" s="75"/>
      <c r="CH106" s="75"/>
      <c r="CI106" s="75"/>
      <c r="CJ106" s="75"/>
      <c r="CK106" s="75"/>
      <c r="CL106" s="75"/>
      <c r="CM106" s="75"/>
      <c r="CN106" s="75"/>
      <c r="CO106" s="75"/>
      <c r="CP106" s="75"/>
      <c r="CQ106" s="75"/>
      <c r="CR106" s="75"/>
      <c r="CS106" s="75"/>
      <c r="CT106" s="75"/>
      <c r="CU106" s="75"/>
      <c r="CV106" s="75"/>
      <c r="CW106" s="75"/>
      <c r="CX106" s="75"/>
      <c r="CY106" s="75"/>
      <c r="CZ106" s="75"/>
      <c r="DA106" s="75"/>
      <c r="DB106" s="75"/>
      <c r="DC106" s="75"/>
      <c r="DD106" s="75"/>
      <c r="DE106" s="75"/>
      <c r="DF106" s="75"/>
      <c r="DG106" s="75"/>
      <c r="DH106" s="75"/>
      <c r="DI106" s="75"/>
      <c r="DJ106" s="75"/>
      <c r="DK106" s="75"/>
      <c r="DL106" s="75"/>
      <c r="DM106" s="75"/>
      <c r="DN106" s="75"/>
      <c r="DO106" s="75"/>
      <c r="DP106" s="75"/>
      <c r="DQ106" s="75"/>
      <c r="DR106" s="75"/>
      <c r="DS106" s="75"/>
      <c r="DT106" s="75"/>
      <c r="DU106" s="75"/>
      <c r="DV106" s="75"/>
      <c r="DW106" s="75"/>
      <c r="DX106" s="75"/>
      <c r="DY106" s="75"/>
      <c r="DZ106" s="75"/>
      <c r="EA106" s="75"/>
      <c r="EB106" s="75"/>
      <c r="EC106" s="75"/>
      <c r="ED106" s="75"/>
      <c r="EE106" s="75"/>
      <c r="EF106" s="75"/>
      <c r="EG106" s="75"/>
      <c r="EH106" s="75"/>
      <c r="EI106" s="75"/>
      <c r="EJ106" s="75"/>
      <c r="EK106" s="75"/>
      <c r="EL106" s="75"/>
      <c r="EM106" s="75"/>
      <c r="EN106" s="75"/>
      <c r="EO106" s="208"/>
      <c r="EP106" s="464"/>
      <c r="EQ106" s="465"/>
      <c r="ER106" s="465"/>
      <c r="ES106" s="465"/>
      <c r="ET106" s="465"/>
      <c r="EU106" s="465"/>
      <c r="EV106" s="465"/>
      <c r="EW106" s="465"/>
      <c r="EX106" s="465"/>
      <c r="EY106" s="465"/>
      <c r="EZ106" s="465"/>
      <c r="FA106" s="465"/>
      <c r="FB106" s="465"/>
      <c r="FC106" s="465"/>
      <c r="FD106" s="465"/>
      <c r="FE106" s="465"/>
      <c r="FF106" s="465"/>
      <c r="FG106" s="465"/>
      <c r="FH106" s="465"/>
      <c r="FI106" s="465"/>
      <c r="FJ106" s="465"/>
      <c r="FK106" s="465"/>
      <c r="FL106" s="465"/>
      <c r="FM106" s="465"/>
      <c r="FN106" s="465"/>
      <c r="FO106" s="465"/>
      <c r="FP106" s="465"/>
      <c r="FQ106" s="465"/>
      <c r="FR106" s="465"/>
      <c r="FS106" s="465"/>
      <c r="FT106" s="465"/>
      <c r="FU106" s="465"/>
      <c r="FV106" s="465"/>
      <c r="FW106" s="465"/>
      <c r="FX106" s="465"/>
      <c r="FY106" s="465"/>
      <c r="FZ106" s="465"/>
      <c r="GA106" s="465"/>
      <c r="GB106" s="465"/>
      <c r="GC106" s="465"/>
      <c r="GD106" s="465"/>
      <c r="GE106" s="465"/>
      <c r="GF106" s="465"/>
      <c r="GG106" s="465"/>
      <c r="GH106" s="465"/>
      <c r="GI106" s="465"/>
      <c r="GJ106" s="465"/>
      <c r="GK106" s="465"/>
      <c r="GL106" s="465"/>
      <c r="GM106" s="465"/>
      <c r="GN106" s="465"/>
      <c r="GO106" s="465"/>
      <c r="GP106" s="465"/>
      <c r="GQ106" s="465"/>
      <c r="GR106" s="465"/>
      <c r="GS106" s="465"/>
      <c r="GT106" s="465"/>
      <c r="GU106" s="465"/>
      <c r="GV106" s="465"/>
      <c r="GW106" s="465"/>
      <c r="GX106" s="465"/>
      <c r="GY106" s="465"/>
      <c r="GZ106" s="465"/>
      <c r="HA106" s="465"/>
      <c r="HB106" s="465"/>
      <c r="HC106" s="465"/>
      <c r="HD106" s="465"/>
      <c r="HE106" s="465"/>
      <c r="HF106" s="465"/>
      <c r="HG106" s="465"/>
      <c r="HH106" s="465"/>
      <c r="HI106" s="465"/>
      <c r="HJ106" s="465"/>
      <c r="HK106" s="465"/>
      <c r="HL106" s="465"/>
      <c r="HM106" s="465"/>
      <c r="HN106" s="465"/>
      <c r="HO106" s="465"/>
      <c r="HP106" s="465"/>
      <c r="HQ106" s="465"/>
      <c r="HR106" s="465"/>
      <c r="HS106" s="465"/>
      <c r="HT106" s="465"/>
      <c r="HU106" s="465"/>
      <c r="HV106" s="465"/>
      <c r="HW106" s="465"/>
      <c r="HX106" s="465"/>
      <c r="HY106" s="465"/>
      <c r="HZ106" s="465"/>
      <c r="IA106" s="465"/>
      <c r="IB106" s="465"/>
      <c r="IC106" s="465"/>
      <c r="ID106" s="465"/>
      <c r="IE106" s="465"/>
      <c r="IF106" s="465"/>
      <c r="IG106" s="465"/>
      <c r="IH106" s="465"/>
      <c r="II106" s="465"/>
      <c r="IJ106" s="465"/>
      <c r="IK106" s="465"/>
      <c r="IL106" s="465"/>
      <c r="IM106" s="465"/>
      <c r="IN106" s="465"/>
      <c r="IO106" s="465"/>
      <c r="IP106" s="465"/>
      <c r="IQ106" s="465"/>
      <c r="IR106" s="465"/>
      <c r="IS106" s="465"/>
      <c r="IT106" s="465"/>
      <c r="IU106" s="465"/>
      <c r="IV106" s="465"/>
      <c r="IW106" s="465"/>
      <c r="IX106" s="465"/>
      <c r="IY106" s="465"/>
      <c r="IZ106" s="465"/>
      <c r="JA106" s="465"/>
      <c r="JB106" s="465"/>
      <c r="JC106" s="465"/>
      <c r="JD106" s="465"/>
      <c r="JE106" s="465"/>
      <c r="JF106" s="465"/>
      <c r="JG106" s="465"/>
      <c r="JH106" s="465"/>
      <c r="JI106" s="465"/>
      <c r="JJ106" s="465"/>
      <c r="JK106" s="465"/>
      <c r="JL106" s="465"/>
      <c r="JM106" s="465"/>
      <c r="JN106" s="465"/>
      <c r="JO106" s="465"/>
      <c r="JP106" s="465"/>
      <c r="JQ106" s="465"/>
      <c r="JR106" s="465"/>
      <c r="JS106" s="465"/>
      <c r="JT106" s="465"/>
      <c r="JU106" s="465"/>
      <c r="JV106" s="465"/>
      <c r="JW106" s="465"/>
      <c r="JX106" s="20"/>
      <c r="JY106"/>
      <c r="JZ106" s="466"/>
      <c r="KA106" s="466"/>
      <c r="KB106" s="466"/>
      <c r="KC106" s="466"/>
      <c r="KD106" s="466"/>
      <c r="KE106" s="466"/>
      <c r="KF106" s="466"/>
      <c r="KG106" s="466"/>
      <c r="KH106" s="466"/>
      <c r="KI106" s="466"/>
      <c r="KJ106" s="466"/>
      <c r="KK106" s="466"/>
      <c r="KL106" s="466"/>
      <c r="KM106" s="466"/>
      <c r="KN106" s="466"/>
      <c r="KO106" s="466"/>
      <c r="KP106" s="466"/>
      <c r="KQ106" s="466"/>
      <c r="KR106" s="466"/>
      <c r="KS106" s="466"/>
      <c r="KT106" s="466"/>
      <c r="KU106" s="466"/>
      <c r="KV106" s="466"/>
      <c r="KW106" s="466"/>
      <c r="KX106" s="466"/>
      <c r="KY106" s="466"/>
      <c r="KZ106" s="466"/>
      <c r="LA106" s="466"/>
      <c r="LB106" s="466"/>
      <c r="LC106" s="466"/>
      <c r="LD106" s="466"/>
      <c r="LE106" s="466"/>
      <c r="LF106" s="466"/>
      <c r="LG106" s="466"/>
      <c r="LH106" s="466"/>
      <c r="LI106" s="466"/>
      <c r="LJ106" s="466"/>
      <c r="LK106" s="466"/>
      <c r="LL106" s="466"/>
      <c r="LM106" s="466"/>
      <c r="LN106" s="466"/>
      <c r="LO106" s="466"/>
      <c r="LP106" s="466"/>
      <c r="LQ106" s="466"/>
      <c r="LR106" s="466"/>
      <c r="LS106" s="466"/>
      <c r="LT106" s="466"/>
      <c r="LU106" s="466"/>
      <c r="LV106" s="466"/>
      <c r="LW106" s="466"/>
      <c r="LX106" s="466"/>
      <c r="LY106" s="466"/>
      <c r="LZ106" s="466"/>
      <c r="MA106" s="466"/>
      <c r="MB106" s="466"/>
      <c r="MC106" s="466"/>
      <c r="MD106" s="466"/>
      <c r="ME106" s="466"/>
      <c r="MF106" s="466"/>
      <c r="MG106" s="466"/>
      <c r="MH106" s="466"/>
      <c r="MI106" s="466"/>
      <c r="MJ106" s="466"/>
      <c r="MK106" s="466"/>
      <c r="ML106" s="466"/>
      <c r="MM106" s="466"/>
      <c r="MN106" s="466"/>
      <c r="MO106" s="466"/>
      <c r="MP106" s="466"/>
      <c r="MQ106" s="466"/>
      <c r="MR106" s="466"/>
      <c r="MS106" s="466"/>
      <c r="MT106" s="466"/>
      <c r="MU106" s="466"/>
      <c r="MV106" s="466"/>
      <c r="MW106" s="466"/>
      <c r="MX106" s="466"/>
      <c r="MY106" s="466"/>
      <c r="MZ106" s="466"/>
      <c r="NA106" s="466"/>
      <c r="NB106" s="466"/>
      <c r="NC106" s="466"/>
      <c r="ND106" s="466"/>
      <c r="NE106" s="466"/>
      <c r="NF106" s="466"/>
      <c r="NG106" s="466"/>
      <c r="NH106" s="466"/>
      <c r="NI106" s="466"/>
      <c r="NJ106" s="466"/>
      <c r="NK106" s="466"/>
      <c r="NL106" s="466"/>
      <c r="NM106" s="466"/>
      <c r="NN106" s="466"/>
      <c r="NO106" s="466"/>
      <c r="NP106" s="466"/>
      <c r="NQ106" s="466"/>
      <c r="NR106" s="466"/>
      <c r="NS106" s="466"/>
      <c r="NT106" s="466"/>
      <c r="NU106" s="466"/>
      <c r="NV106" s="466"/>
      <c r="NW106" s="466"/>
      <c r="NX106" s="466"/>
      <c r="NY106" s="466"/>
      <c r="NZ106" s="466"/>
      <c r="OA106" s="466"/>
      <c r="OB106" s="466"/>
      <c r="OC106" s="466"/>
      <c r="OD106" s="466"/>
      <c r="OE106" s="466"/>
      <c r="OF106" s="466"/>
      <c r="OG106" s="466"/>
      <c r="OH106" s="466"/>
      <c r="OI106" s="466"/>
      <c r="OJ106" s="466"/>
      <c r="OK106" s="466"/>
      <c r="OL106" s="466"/>
      <c r="OM106" s="466"/>
      <c r="ON106" s="466"/>
      <c r="OO106" s="466"/>
      <c r="OP106" s="466"/>
      <c r="OQ106" s="466"/>
      <c r="OR106" s="466"/>
      <c r="OS106" s="466"/>
      <c r="OT106" s="466"/>
      <c r="OU106" s="466"/>
      <c r="OV106" s="466"/>
      <c r="OW106" s="466"/>
      <c r="OX106" s="466"/>
      <c r="OY106" s="466"/>
      <c r="OZ106" s="466"/>
      <c r="PA106" s="466"/>
      <c r="PB106" s="466"/>
      <c r="PC106" s="466"/>
      <c r="PD106" s="466"/>
      <c r="PE106" s="466"/>
      <c r="PF106" s="466"/>
      <c r="PG106" s="466"/>
      <c r="PH106" s="466"/>
    </row>
    <row r="107" spans="1:424" x14ac:dyDescent="0.35">
      <c r="A107"/>
      <c r="B107" s="467" t="s">
        <v>269</v>
      </c>
      <c r="C107" s="467" t="s">
        <v>270</v>
      </c>
      <c r="D107" s="467" t="s">
        <v>271</v>
      </c>
      <c r="E107" s="468" t="s">
        <v>272</v>
      </c>
      <c r="F107" s="42" t="s">
        <v>273</v>
      </c>
      <c r="G107" s="49" t="s">
        <v>274</v>
      </c>
      <c r="H107" s="49" t="str">
        <f>"REC./"&amp;Unit_Type&amp;"/YR"</f>
        <v>REC./M2/YR</v>
      </c>
      <c r="I107" s="149" t="s">
        <v>275</v>
      </c>
      <c r="J107"/>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75"/>
      <c r="CC107" s="75"/>
      <c r="CD107" s="75"/>
      <c r="CE107" s="75"/>
      <c r="CF107" s="75"/>
      <c r="CG107" s="75"/>
      <c r="CH107" s="75"/>
      <c r="CI107" s="75"/>
      <c r="CJ107" s="75"/>
      <c r="CK107" s="75"/>
      <c r="CL107" s="75"/>
      <c r="CM107" s="75"/>
      <c r="CN107" s="75"/>
      <c r="CO107" s="75"/>
      <c r="CP107" s="75"/>
      <c r="CQ107" s="75"/>
      <c r="CR107" s="75"/>
      <c r="CS107" s="75"/>
      <c r="CT107" s="75"/>
      <c r="CU107" s="75"/>
      <c r="CV107" s="75"/>
      <c r="CW107" s="75"/>
      <c r="CX107" s="75"/>
      <c r="CY107" s="75"/>
      <c r="CZ107" s="75"/>
      <c r="DA107" s="75"/>
      <c r="DB107" s="75"/>
      <c r="DC107" s="75"/>
      <c r="DD107" s="75"/>
      <c r="DE107" s="75"/>
      <c r="DF107" s="75"/>
      <c r="DG107" s="75"/>
      <c r="DH107" s="75"/>
      <c r="DI107" s="75"/>
      <c r="DJ107" s="75"/>
      <c r="DK107" s="75"/>
      <c r="DL107" s="75"/>
      <c r="DM107" s="75"/>
      <c r="DN107" s="75"/>
      <c r="DO107" s="75"/>
      <c r="DP107" s="75"/>
      <c r="DQ107" s="75"/>
      <c r="DR107" s="75"/>
      <c r="DS107" s="75"/>
      <c r="DT107" s="75"/>
      <c r="DU107" s="75"/>
      <c r="DV107" s="75"/>
      <c r="DW107" s="75"/>
      <c r="DX107" s="75"/>
      <c r="DY107" s="75"/>
      <c r="DZ107" s="75"/>
      <c r="EA107" s="75"/>
      <c r="EB107" s="75"/>
      <c r="EC107" s="75"/>
      <c r="ED107" s="75"/>
      <c r="EE107" s="75"/>
      <c r="EF107" s="75"/>
      <c r="EG107" s="75"/>
      <c r="EH107" s="75"/>
      <c r="EI107" s="75"/>
      <c r="EJ107" s="75"/>
      <c r="EK107" s="75"/>
      <c r="EL107" s="75"/>
      <c r="EM107" s="75"/>
      <c r="EN107" s="75"/>
      <c r="EO107" s="208"/>
      <c r="EP107" s="464"/>
      <c r="EQ107" s="465"/>
      <c r="ER107" s="465"/>
      <c r="ES107" s="465"/>
      <c r="ET107" s="465"/>
      <c r="EU107" s="465"/>
      <c r="EV107" s="465"/>
      <c r="EW107" s="465"/>
      <c r="EX107" s="465"/>
      <c r="EY107" s="465"/>
      <c r="EZ107" s="465"/>
      <c r="FA107" s="465"/>
      <c r="FB107" s="465"/>
      <c r="FC107" s="465"/>
      <c r="FD107" s="465"/>
      <c r="FE107" s="465"/>
      <c r="FF107" s="465"/>
      <c r="FG107" s="465"/>
      <c r="FH107" s="465"/>
      <c r="FI107" s="465"/>
      <c r="FJ107" s="465"/>
      <c r="FK107" s="465"/>
      <c r="FL107" s="465"/>
      <c r="FM107" s="465"/>
      <c r="FN107" s="465"/>
      <c r="FO107" s="465"/>
      <c r="FP107" s="465"/>
      <c r="FQ107" s="465"/>
      <c r="FR107" s="465"/>
      <c r="FS107" s="465"/>
      <c r="FT107" s="465"/>
      <c r="FU107" s="465"/>
      <c r="FV107" s="465"/>
      <c r="FW107" s="465"/>
      <c r="FX107" s="465"/>
      <c r="FY107" s="465"/>
      <c r="FZ107" s="465"/>
      <c r="GA107" s="465"/>
      <c r="GB107" s="465"/>
      <c r="GC107" s="465"/>
      <c r="GD107" s="465"/>
      <c r="GE107" s="465"/>
      <c r="GF107" s="465"/>
      <c r="GG107" s="465"/>
      <c r="GH107" s="465"/>
      <c r="GI107" s="465"/>
      <c r="GJ107" s="465"/>
      <c r="GK107" s="465"/>
      <c r="GL107" s="465"/>
      <c r="GM107" s="465"/>
      <c r="GN107" s="465"/>
      <c r="GO107" s="465"/>
      <c r="GP107" s="465"/>
      <c r="GQ107" s="465"/>
      <c r="GR107" s="465"/>
      <c r="GS107" s="465"/>
      <c r="GT107" s="465"/>
      <c r="GU107" s="465"/>
      <c r="GV107" s="465"/>
      <c r="GW107" s="465"/>
      <c r="GX107" s="465"/>
      <c r="GY107" s="465"/>
      <c r="GZ107" s="465"/>
      <c r="HA107" s="465"/>
      <c r="HB107" s="465"/>
      <c r="HC107" s="465"/>
      <c r="HD107" s="465"/>
      <c r="HE107" s="465"/>
      <c r="HF107" s="465"/>
      <c r="HG107" s="465"/>
      <c r="HH107" s="465"/>
      <c r="HI107" s="465"/>
      <c r="HJ107" s="465"/>
      <c r="HK107" s="465"/>
      <c r="HL107" s="465"/>
      <c r="HM107" s="465"/>
      <c r="HN107" s="465"/>
      <c r="HO107" s="465"/>
      <c r="HP107" s="465"/>
      <c r="HQ107" s="465"/>
      <c r="HR107" s="465"/>
      <c r="HS107" s="465"/>
      <c r="HT107" s="465"/>
      <c r="HU107" s="465"/>
      <c r="HV107" s="465"/>
      <c r="HW107" s="465"/>
      <c r="HX107" s="465"/>
      <c r="HY107" s="465"/>
      <c r="HZ107" s="465"/>
      <c r="IA107" s="465"/>
      <c r="IB107" s="465"/>
      <c r="IC107" s="465"/>
      <c r="ID107" s="465"/>
      <c r="IE107" s="465"/>
      <c r="IF107" s="465"/>
      <c r="IG107" s="465"/>
      <c r="IH107" s="465"/>
      <c r="II107" s="465"/>
      <c r="IJ107" s="465"/>
      <c r="IK107" s="465"/>
      <c r="IL107" s="465"/>
      <c r="IM107" s="465"/>
      <c r="IN107" s="465"/>
      <c r="IO107" s="465"/>
      <c r="IP107" s="465"/>
      <c r="IQ107" s="465"/>
      <c r="IR107" s="465"/>
      <c r="IS107" s="465"/>
      <c r="IT107" s="465"/>
      <c r="IU107" s="465"/>
      <c r="IV107" s="465"/>
      <c r="IW107" s="465"/>
      <c r="IX107" s="465"/>
      <c r="IY107" s="465"/>
      <c r="IZ107" s="465"/>
      <c r="JA107" s="465"/>
      <c r="JB107" s="465"/>
      <c r="JC107" s="465"/>
      <c r="JD107" s="465"/>
      <c r="JE107" s="465"/>
      <c r="JF107" s="465"/>
      <c r="JG107" s="465"/>
      <c r="JH107" s="465"/>
      <c r="JI107" s="465"/>
      <c r="JJ107" s="465"/>
      <c r="JK107" s="465"/>
      <c r="JL107" s="465"/>
      <c r="JM107" s="465"/>
      <c r="JN107" s="465"/>
      <c r="JO107" s="465"/>
      <c r="JP107" s="465"/>
      <c r="JQ107" s="465"/>
      <c r="JR107" s="465"/>
      <c r="JS107" s="465"/>
      <c r="JT107" s="465"/>
      <c r="JU107" s="465"/>
      <c r="JV107" s="465"/>
      <c r="JW107" s="465"/>
      <c r="JX107" s="20"/>
      <c r="JY107"/>
      <c r="JZ107" s="466"/>
      <c r="KA107" s="466"/>
      <c r="KB107" s="466"/>
      <c r="KC107" s="466"/>
      <c r="KD107" s="466"/>
      <c r="KE107" s="466"/>
      <c r="KF107" s="466"/>
      <c r="KG107" s="466"/>
      <c r="KH107" s="466"/>
      <c r="KI107" s="466"/>
      <c r="KJ107" s="466"/>
      <c r="KK107" s="466"/>
      <c r="KL107" s="466"/>
      <c r="KM107" s="466"/>
      <c r="KN107" s="466"/>
      <c r="KO107" s="466"/>
      <c r="KP107" s="466"/>
      <c r="KQ107" s="466"/>
      <c r="KR107" s="466"/>
      <c r="KS107" s="466"/>
      <c r="KT107" s="466"/>
      <c r="KU107" s="466"/>
      <c r="KV107" s="466"/>
      <c r="KW107" s="466"/>
      <c r="KX107" s="466"/>
      <c r="KY107" s="466"/>
      <c r="KZ107" s="466"/>
      <c r="LA107" s="466"/>
      <c r="LB107" s="466"/>
      <c r="LC107" s="466"/>
      <c r="LD107" s="466"/>
      <c r="LE107" s="466"/>
      <c r="LF107" s="466"/>
      <c r="LG107" s="466"/>
      <c r="LH107" s="466"/>
      <c r="LI107" s="466"/>
      <c r="LJ107" s="466"/>
      <c r="LK107" s="466"/>
      <c r="LL107" s="466"/>
      <c r="LM107" s="466"/>
      <c r="LN107" s="466"/>
      <c r="LO107" s="466"/>
      <c r="LP107" s="466"/>
      <c r="LQ107" s="466"/>
      <c r="LR107" s="466"/>
      <c r="LS107" s="466"/>
      <c r="LT107" s="466"/>
      <c r="LU107" s="466"/>
      <c r="LV107" s="466"/>
      <c r="LW107" s="466"/>
      <c r="LX107" s="466"/>
      <c r="LY107" s="466"/>
      <c r="LZ107" s="466"/>
      <c r="MA107" s="466"/>
      <c r="MB107" s="466"/>
      <c r="MC107" s="466"/>
      <c r="MD107" s="466"/>
      <c r="ME107" s="466"/>
      <c r="MF107" s="466"/>
      <c r="MG107" s="466"/>
      <c r="MH107" s="466"/>
      <c r="MI107" s="466"/>
      <c r="MJ107" s="466"/>
      <c r="MK107" s="466"/>
      <c r="ML107" s="466"/>
      <c r="MM107" s="466"/>
      <c r="MN107" s="466"/>
      <c r="MO107" s="466"/>
      <c r="MP107" s="466"/>
      <c r="MQ107" s="466"/>
      <c r="MR107" s="466"/>
      <c r="MS107" s="466"/>
      <c r="MT107" s="466"/>
      <c r="MU107" s="466"/>
      <c r="MV107" s="466"/>
      <c r="MW107" s="466"/>
      <c r="MX107" s="466"/>
      <c r="MY107" s="466"/>
      <c r="MZ107" s="466"/>
      <c r="NA107" s="466"/>
      <c r="NB107" s="466"/>
      <c r="NC107" s="466"/>
      <c r="ND107" s="466"/>
      <c r="NE107" s="466"/>
      <c r="NF107" s="466"/>
      <c r="NG107" s="466"/>
      <c r="NH107" s="466"/>
      <c r="NI107" s="466"/>
      <c r="NJ107" s="466"/>
      <c r="NK107" s="466"/>
      <c r="NL107" s="466"/>
      <c r="NM107" s="466"/>
      <c r="NN107" s="466"/>
      <c r="NO107" s="466"/>
      <c r="NP107" s="466"/>
      <c r="NQ107" s="466"/>
      <c r="NR107" s="466"/>
      <c r="NS107" s="466"/>
      <c r="NT107" s="466"/>
      <c r="NU107" s="466"/>
      <c r="NV107" s="466"/>
      <c r="NW107" s="466"/>
      <c r="NX107" s="466"/>
      <c r="NY107" s="466"/>
      <c r="NZ107" s="466"/>
      <c r="OA107" s="466"/>
      <c r="OB107" s="466"/>
      <c r="OC107" s="466"/>
      <c r="OD107" s="466"/>
      <c r="OE107" s="466"/>
      <c r="OF107" s="466"/>
      <c r="OG107" s="466"/>
      <c r="OH107" s="466"/>
      <c r="OI107" s="466"/>
      <c r="OJ107" s="466"/>
      <c r="OK107" s="466"/>
      <c r="OL107" s="466"/>
      <c r="OM107" s="466"/>
      <c r="ON107" s="466"/>
      <c r="OO107" s="466"/>
      <c r="OP107" s="466"/>
      <c r="OQ107" s="466"/>
      <c r="OR107" s="466"/>
      <c r="OS107" s="466"/>
      <c r="OT107" s="466"/>
      <c r="OU107" s="466"/>
      <c r="OV107" s="466"/>
      <c r="OW107" s="466"/>
      <c r="OX107" s="466"/>
      <c r="OY107" s="466"/>
      <c r="OZ107" s="466"/>
      <c r="PA107" s="466"/>
      <c r="PB107" s="466"/>
      <c r="PC107" s="466"/>
      <c r="PD107" s="466"/>
      <c r="PE107" s="466"/>
      <c r="PF107" s="466"/>
      <c r="PG107" s="466"/>
      <c r="PH107" s="466"/>
    </row>
    <row r="108" spans="1:424" x14ac:dyDescent="0.35">
      <c r="A108"/>
      <c r="B108" s="91" t="str">
        <f t="shared" ref="B108:B119" si="400">C93</f>
        <v>URWLD</v>
      </c>
      <c r="C108" s="469" t="s">
        <v>276</v>
      </c>
      <c r="D108" s="276" t="s">
        <v>277</v>
      </c>
      <c r="E108" s="45">
        <f t="shared" ref="E108:E119" si="401">+F93</f>
        <v>22</v>
      </c>
      <c r="F108" s="53">
        <v>1</v>
      </c>
      <c r="G108" s="254">
        <f t="shared" ref="G108:G119" si="402">IFERROR(E93/Units_Ind,0)</f>
        <v>0.27398873307354954</v>
      </c>
      <c r="H108" s="148">
        <f t="shared" ref="H108:H119" si="403">IFERROR(I108/E93,0)</f>
        <v>41.904711317697256</v>
      </c>
      <c r="I108" s="445">
        <f t="shared" ref="I108:I119" si="404">F108*G108*$I$138</f>
        <v>900951.29333049105</v>
      </c>
      <c r="J108"/>
      <c r="K108" s="75"/>
      <c r="L108" s="75">
        <f t="shared" ref="L108:U119" si="405">IF(L$3&lt;$E108,0,$G108*$F108*L$138)</f>
        <v>0</v>
      </c>
      <c r="M108" s="417">
        <f t="shared" si="405"/>
        <v>0</v>
      </c>
      <c r="N108" s="417">
        <f t="shared" si="405"/>
        <v>0</v>
      </c>
      <c r="O108" s="417">
        <f t="shared" si="405"/>
        <v>0</v>
      </c>
      <c r="P108" s="417">
        <f t="shared" si="405"/>
        <v>0</v>
      </c>
      <c r="Q108" s="417">
        <f t="shared" si="405"/>
        <v>0</v>
      </c>
      <c r="R108" s="417">
        <f t="shared" si="405"/>
        <v>0</v>
      </c>
      <c r="S108" s="417">
        <f t="shared" si="405"/>
        <v>0</v>
      </c>
      <c r="T108" s="417">
        <f t="shared" si="405"/>
        <v>0</v>
      </c>
      <c r="U108" s="417">
        <f t="shared" si="405"/>
        <v>0</v>
      </c>
      <c r="V108" s="417">
        <f t="shared" ref="V108:AE119" si="406">IF(V$3&lt;$E108,0,$G108*$F108*V$138)</f>
        <v>0</v>
      </c>
      <c r="W108" s="417">
        <f t="shared" si="406"/>
        <v>0</v>
      </c>
      <c r="X108" s="417">
        <f t="shared" si="406"/>
        <v>0</v>
      </c>
      <c r="Y108" s="417">
        <f t="shared" si="406"/>
        <v>0</v>
      </c>
      <c r="Z108" s="417">
        <f t="shared" si="406"/>
        <v>0</v>
      </c>
      <c r="AA108" s="417">
        <f t="shared" si="406"/>
        <v>0</v>
      </c>
      <c r="AB108" s="417">
        <f t="shared" si="406"/>
        <v>0</v>
      </c>
      <c r="AC108" s="417">
        <f t="shared" si="406"/>
        <v>0</v>
      </c>
      <c r="AD108" s="417">
        <f t="shared" si="406"/>
        <v>0</v>
      </c>
      <c r="AE108" s="417">
        <f t="shared" si="406"/>
        <v>0</v>
      </c>
      <c r="AF108" s="417">
        <f t="shared" ref="AF108:AO119" si="407">IF(AF$3&lt;$E108,0,$G108*$F108*AF$138)</f>
        <v>0</v>
      </c>
      <c r="AG108" s="417">
        <f t="shared" si="407"/>
        <v>0</v>
      </c>
      <c r="AH108" s="417">
        <f t="shared" si="407"/>
        <v>0</v>
      </c>
      <c r="AI108" s="417">
        <f t="shared" si="407"/>
        <v>0</v>
      </c>
      <c r="AJ108" s="417">
        <f t="shared" si="407"/>
        <v>0</v>
      </c>
      <c r="AK108" s="417">
        <f t="shared" si="407"/>
        <v>0</v>
      </c>
      <c r="AL108" s="417">
        <f t="shared" si="407"/>
        <v>0</v>
      </c>
      <c r="AM108" s="417">
        <f t="shared" si="407"/>
        <v>0</v>
      </c>
      <c r="AN108" s="417">
        <f t="shared" si="407"/>
        <v>0</v>
      </c>
      <c r="AO108" s="417">
        <f t="shared" si="407"/>
        <v>0</v>
      </c>
      <c r="AP108" s="417">
        <f t="shared" ref="AP108:AY119" si="408">IF(AP$3&lt;$E108,0,$G108*$F108*AP$138)</f>
        <v>0</v>
      </c>
      <c r="AQ108" s="417">
        <f t="shared" si="408"/>
        <v>0</v>
      </c>
      <c r="AR108" s="417">
        <f t="shared" si="408"/>
        <v>0</v>
      </c>
      <c r="AS108" s="417">
        <f t="shared" si="408"/>
        <v>0</v>
      </c>
      <c r="AT108" s="417">
        <f t="shared" si="408"/>
        <v>0</v>
      </c>
      <c r="AU108" s="417">
        <f t="shared" si="408"/>
        <v>0</v>
      </c>
      <c r="AV108" s="417">
        <f t="shared" si="408"/>
        <v>0</v>
      </c>
      <c r="AW108" s="417">
        <f t="shared" si="408"/>
        <v>0</v>
      </c>
      <c r="AX108" s="417">
        <f t="shared" si="408"/>
        <v>6256.6062036839648</v>
      </c>
      <c r="AY108" s="417">
        <f t="shared" si="408"/>
        <v>12513.21240736793</v>
      </c>
      <c r="AZ108" s="417">
        <f t="shared" ref="AZ108:BI119" si="409">IF(AZ$3&lt;$E108,0,$G108*$F108*AZ$138)</f>
        <v>18769.818611051895</v>
      </c>
      <c r="BA108" s="417">
        <f t="shared" si="409"/>
        <v>25026.424814735859</v>
      </c>
      <c r="BB108" s="417">
        <f t="shared" si="409"/>
        <v>31283.031018419828</v>
      </c>
      <c r="BC108" s="417">
        <f t="shared" si="409"/>
        <v>37539.637222103789</v>
      </c>
      <c r="BD108" s="417">
        <f t="shared" si="409"/>
        <v>43796.243425787761</v>
      </c>
      <c r="BE108" s="417">
        <f t="shared" si="409"/>
        <v>50052.849629471719</v>
      </c>
      <c r="BF108" s="417">
        <f t="shared" si="409"/>
        <v>56309.455833155691</v>
      </c>
      <c r="BG108" s="417">
        <f t="shared" si="409"/>
        <v>62566.062036839656</v>
      </c>
      <c r="BH108" s="417">
        <f t="shared" si="409"/>
        <v>68822.668240523606</v>
      </c>
      <c r="BI108" s="417">
        <f t="shared" si="409"/>
        <v>76956.256305312767</v>
      </c>
      <c r="BJ108" s="417">
        <f t="shared" ref="BJ108:BS119" si="410">IF(BJ$3&lt;$E108,0,$G108*$F108*BJ$138)</f>
        <v>76956.256305312767</v>
      </c>
      <c r="BK108" s="417">
        <f t="shared" si="410"/>
        <v>76956.256305312767</v>
      </c>
      <c r="BL108" s="417">
        <f t="shared" si="410"/>
        <v>76956.256305312767</v>
      </c>
      <c r="BM108" s="417">
        <f t="shared" si="410"/>
        <v>76956.256305312767</v>
      </c>
      <c r="BN108" s="417">
        <f t="shared" si="410"/>
        <v>76956.256305312767</v>
      </c>
      <c r="BO108" s="417">
        <f t="shared" si="410"/>
        <v>76956.256305312767</v>
      </c>
      <c r="BP108" s="417">
        <f t="shared" si="410"/>
        <v>76956.256305312767</v>
      </c>
      <c r="BQ108" s="417">
        <f t="shared" si="410"/>
        <v>76956.256305312767</v>
      </c>
      <c r="BR108" s="417">
        <f t="shared" si="410"/>
        <v>76956.256305312767</v>
      </c>
      <c r="BS108" s="417">
        <f t="shared" si="410"/>
        <v>76956.256305312767</v>
      </c>
      <c r="BT108" s="417">
        <f t="shared" ref="BT108:CC119" si="411">IF(BT$3&lt;$E108,0,$G108*$F108*BT$138)</f>
        <v>76956.256305312767</v>
      </c>
      <c r="BU108" s="417">
        <f t="shared" si="411"/>
        <v>78880.162712945588</v>
      </c>
      <c r="BV108" s="417">
        <f t="shared" si="411"/>
        <v>78880.162712945588</v>
      </c>
      <c r="BW108" s="417">
        <f t="shared" si="411"/>
        <v>78880.162712945588</v>
      </c>
      <c r="BX108" s="417">
        <f t="shared" si="411"/>
        <v>78880.162712945588</v>
      </c>
      <c r="BY108" s="417">
        <f t="shared" si="411"/>
        <v>78880.162712945588</v>
      </c>
      <c r="BZ108" s="417">
        <f t="shared" si="411"/>
        <v>78880.162712945588</v>
      </c>
      <c r="CA108" s="417">
        <f t="shared" si="411"/>
        <v>78880.162712945588</v>
      </c>
      <c r="CB108" s="417">
        <f t="shared" si="411"/>
        <v>78880.162712945588</v>
      </c>
      <c r="CC108" s="417">
        <f t="shared" si="411"/>
        <v>78880.162712945588</v>
      </c>
      <c r="CD108" s="417">
        <f t="shared" ref="CD108:CM119" si="412">IF(CD$3&lt;$E108,0,$G108*$F108*CD$138)</f>
        <v>78880.162712945588</v>
      </c>
      <c r="CE108" s="417">
        <f t="shared" si="412"/>
        <v>78880.162712945588</v>
      </c>
      <c r="CF108" s="417">
        <f t="shared" si="412"/>
        <v>78880.162712945588</v>
      </c>
      <c r="CG108" s="417">
        <f t="shared" si="412"/>
        <v>80852.166780769228</v>
      </c>
      <c r="CH108" s="417">
        <f t="shared" si="412"/>
        <v>80852.166780769228</v>
      </c>
      <c r="CI108" s="417">
        <f t="shared" si="412"/>
        <v>80852.166780769228</v>
      </c>
      <c r="CJ108" s="417">
        <f t="shared" si="412"/>
        <v>80852.166780769228</v>
      </c>
      <c r="CK108" s="417">
        <f t="shared" si="412"/>
        <v>80852.166780769228</v>
      </c>
      <c r="CL108" s="417">
        <f t="shared" si="412"/>
        <v>80852.166780769228</v>
      </c>
      <c r="CM108" s="417">
        <f t="shared" si="412"/>
        <v>80852.166780769228</v>
      </c>
      <c r="CN108" s="417">
        <f t="shared" ref="CN108:CW119" si="413">IF(CN$3&lt;$E108,0,$G108*$F108*CN$138)</f>
        <v>80852.166780769228</v>
      </c>
      <c r="CO108" s="417">
        <f t="shared" si="413"/>
        <v>80852.166780769228</v>
      </c>
      <c r="CP108" s="417">
        <f t="shared" si="413"/>
        <v>80852.166780769228</v>
      </c>
      <c r="CQ108" s="417">
        <f t="shared" si="413"/>
        <v>80852.166780769228</v>
      </c>
      <c r="CR108" s="417">
        <f t="shared" si="413"/>
        <v>80852.166780769228</v>
      </c>
      <c r="CS108" s="417">
        <f t="shared" si="413"/>
        <v>82873.470950288451</v>
      </c>
      <c r="CT108" s="417">
        <f t="shared" si="413"/>
        <v>82873.470950288451</v>
      </c>
      <c r="CU108" s="417">
        <f t="shared" si="413"/>
        <v>82873.470950288451</v>
      </c>
      <c r="CV108" s="417">
        <f t="shared" si="413"/>
        <v>82873.470950288451</v>
      </c>
      <c r="CW108" s="417">
        <f t="shared" si="413"/>
        <v>82873.470950288451</v>
      </c>
      <c r="CX108" s="417">
        <f t="shared" ref="CX108:DG119" si="414">IF(CX$3&lt;$E108,0,$G108*$F108*CX$138)</f>
        <v>82873.470950288451</v>
      </c>
      <c r="CY108" s="417">
        <f t="shared" si="414"/>
        <v>82873.470950288451</v>
      </c>
      <c r="CZ108" s="417">
        <f t="shared" si="414"/>
        <v>82873.470950288451</v>
      </c>
      <c r="DA108" s="417">
        <f t="shared" si="414"/>
        <v>82873.470950288451</v>
      </c>
      <c r="DB108" s="417">
        <f t="shared" si="414"/>
        <v>82873.470950288451</v>
      </c>
      <c r="DC108" s="417">
        <f t="shared" si="414"/>
        <v>82873.470950288451</v>
      </c>
      <c r="DD108" s="417">
        <f t="shared" si="414"/>
        <v>82873.470950288451</v>
      </c>
      <c r="DE108" s="417">
        <f t="shared" si="414"/>
        <v>84945.307724045648</v>
      </c>
      <c r="DF108" s="417">
        <f t="shared" si="414"/>
        <v>84945.307724045648</v>
      </c>
      <c r="DG108" s="417">
        <f t="shared" si="414"/>
        <v>84945.307724045648</v>
      </c>
      <c r="DH108" s="417">
        <f t="shared" ref="DH108:DQ119" si="415">IF(DH$3&lt;$E108,0,$G108*$F108*DH$138)</f>
        <v>84945.307724045648</v>
      </c>
      <c r="DI108" s="417">
        <f t="shared" si="415"/>
        <v>84945.307724045648</v>
      </c>
      <c r="DJ108" s="417">
        <f t="shared" si="415"/>
        <v>84945.307724045648</v>
      </c>
      <c r="DK108" s="417">
        <f t="shared" si="415"/>
        <v>84945.307724045648</v>
      </c>
      <c r="DL108" s="417">
        <f t="shared" si="415"/>
        <v>84945.307724045648</v>
      </c>
      <c r="DM108" s="417">
        <f t="shared" si="415"/>
        <v>84945.307724045648</v>
      </c>
      <c r="DN108" s="417">
        <f t="shared" si="415"/>
        <v>84945.307724045648</v>
      </c>
      <c r="DO108" s="417">
        <f t="shared" si="415"/>
        <v>84945.307724045648</v>
      </c>
      <c r="DP108" s="417">
        <f t="shared" si="415"/>
        <v>84945.307724045648</v>
      </c>
      <c r="DQ108" s="417">
        <f t="shared" si="415"/>
        <v>87068.940417146776</v>
      </c>
      <c r="DR108" s="417">
        <f t="shared" ref="DR108:EA119" si="416">IF(DR$3&lt;$E108,0,$G108*$F108*DR$138)</f>
        <v>87068.940417146776</v>
      </c>
      <c r="DS108" s="417">
        <f t="shared" si="416"/>
        <v>87068.940417146776</v>
      </c>
      <c r="DT108" s="417">
        <f t="shared" si="416"/>
        <v>87068.940417146776</v>
      </c>
      <c r="DU108" s="417">
        <f t="shared" si="416"/>
        <v>87068.940417146776</v>
      </c>
      <c r="DV108" s="417">
        <f t="shared" si="416"/>
        <v>87068.940417146776</v>
      </c>
      <c r="DW108" s="417">
        <f t="shared" si="416"/>
        <v>87068.940417146776</v>
      </c>
      <c r="DX108" s="417">
        <f t="shared" si="416"/>
        <v>87068.940417146776</v>
      </c>
      <c r="DY108" s="417">
        <f t="shared" si="416"/>
        <v>87068.940417146776</v>
      </c>
      <c r="DZ108" s="417">
        <f t="shared" si="416"/>
        <v>87068.940417146776</v>
      </c>
      <c r="EA108" s="417">
        <f t="shared" si="416"/>
        <v>87068.940417146776</v>
      </c>
      <c r="EB108" s="417">
        <f t="shared" ref="EB108:EN119" si="417">IF(EB$3&lt;$E108,0,$G108*$F108*EB$138)</f>
        <v>87068.940417146776</v>
      </c>
      <c r="EC108" s="417">
        <f t="shared" si="417"/>
        <v>89245.663927575457</v>
      </c>
      <c r="ED108" s="417">
        <f t="shared" si="417"/>
        <v>89245.663927575457</v>
      </c>
      <c r="EE108" s="417">
        <f t="shared" si="417"/>
        <v>89245.663927575457</v>
      </c>
      <c r="EF108" s="417">
        <f t="shared" si="417"/>
        <v>89245.663927575457</v>
      </c>
      <c r="EG108" s="417">
        <f t="shared" si="417"/>
        <v>89245.663927575457</v>
      </c>
      <c r="EH108" s="417">
        <f t="shared" si="417"/>
        <v>89245.663927575457</v>
      </c>
      <c r="EI108" s="417">
        <f t="shared" si="417"/>
        <v>89245.663927575457</v>
      </c>
      <c r="EJ108" s="417">
        <f t="shared" si="417"/>
        <v>89245.663927575457</v>
      </c>
      <c r="EK108" s="417">
        <f t="shared" si="417"/>
        <v>89245.663927575457</v>
      </c>
      <c r="EL108" s="417">
        <f t="shared" si="417"/>
        <v>89245.663927575457</v>
      </c>
      <c r="EM108" s="417">
        <f t="shared" si="417"/>
        <v>89245.663927575457</v>
      </c>
      <c r="EN108" s="417">
        <f t="shared" si="417"/>
        <v>89245.663927575457</v>
      </c>
      <c r="EO108" s="208"/>
      <c r="EP108" s="464"/>
      <c r="EQ108" s="465"/>
      <c r="ER108" s="465"/>
      <c r="ES108" s="465"/>
      <c r="ET108" s="465"/>
      <c r="EU108" s="465"/>
      <c r="EV108" s="465"/>
      <c r="EW108" s="465"/>
      <c r="EX108" s="465"/>
      <c r="EY108" s="465"/>
      <c r="EZ108" s="465"/>
      <c r="FA108" s="465"/>
      <c r="FB108" s="465"/>
      <c r="FC108" s="465"/>
      <c r="FD108" s="465"/>
      <c r="FE108" s="465"/>
      <c r="FF108" s="465"/>
      <c r="FG108" s="465"/>
      <c r="FH108" s="465"/>
      <c r="FI108" s="465"/>
      <c r="FJ108" s="465"/>
      <c r="FK108" s="465"/>
      <c r="FL108" s="465"/>
      <c r="FM108" s="465"/>
      <c r="FN108" s="465"/>
      <c r="FO108" s="465"/>
      <c r="FP108" s="465"/>
      <c r="FQ108" s="465"/>
      <c r="FR108" s="465"/>
      <c r="FS108" s="465"/>
      <c r="FT108" s="465"/>
      <c r="FU108" s="465"/>
      <c r="FV108" s="465"/>
      <c r="FW108" s="465"/>
      <c r="FX108" s="465"/>
      <c r="FY108" s="465"/>
      <c r="FZ108" s="465"/>
      <c r="GA108" s="465"/>
      <c r="GB108" s="465"/>
      <c r="GC108" s="465"/>
      <c r="GD108" s="465"/>
      <c r="GE108" s="465"/>
      <c r="GF108" s="465"/>
      <c r="GG108" s="465"/>
      <c r="GH108" s="465"/>
      <c r="GI108" s="465"/>
      <c r="GJ108" s="465"/>
      <c r="GK108" s="465"/>
      <c r="GL108" s="465"/>
      <c r="GM108" s="465"/>
      <c r="GN108" s="465"/>
      <c r="GO108" s="465"/>
      <c r="GP108" s="465"/>
      <c r="GQ108" s="465"/>
      <c r="GR108" s="465"/>
      <c r="GS108" s="465"/>
      <c r="GT108" s="465"/>
      <c r="GU108" s="465"/>
      <c r="GV108" s="465"/>
      <c r="GW108" s="465"/>
      <c r="GX108" s="465"/>
      <c r="GY108" s="465"/>
      <c r="GZ108" s="465"/>
      <c r="HA108" s="465"/>
      <c r="HB108" s="465"/>
      <c r="HC108" s="465"/>
      <c r="HD108" s="465"/>
      <c r="HE108" s="465"/>
      <c r="HF108" s="465"/>
      <c r="HG108" s="465"/>
      <c r="HH108" s="465"/>
      <c r="HI108" s="465"/>
      <c r="HJ108" s="465"/>
      <c r="HK108" s="465"/>
      <c r="HL108" s="465"/>
      <c r="HM108" s="465"/>
      <c r="HN108" s="465"/>
      <c r="HO108" s="465"/>
      <c r="HP108" s="465"/>
      <c r="HQ108" s="465"/>
      <c r="HR108" s="465"/>
      <c r="HS108" s="465"/>
      <c r="HT108" s="465"/>
      <c r="HU108" s="465"/>
      <c r="HV108" s="465"/>
      <c r="HW108" s="465"/>
      <c r="HX108" s="465"/>
      <c r="HY108" s="465"/>
      <c r="HZ108" s="465"/>
      <c r="IA108" s="465"/>
      <c r="IB108" s="465"/>
      <c r="IC108" s="465"/>
      <c r="ID108" s="465"/>
      <c r="IE108" s="465"/>
      <c r="IF108" s="465"/>
      <c r="IG108" s="465"/>
      <c r="IH108" s="465"/>
      <c r="II108" s="465"/>
      <c r="IJ108" s="465"/>
      <c r="IK108" s="465"/>
      <c r="IL108" s="465"/>
      <c r="IM108" s="465"/>
      <c r="IN108" s="465"/>
      <c r="IO108" s="465"/>
      <c r="IP108" s="465"/>
      <c r="IQ108" s="465"/>
      <c r="IR108" s="465"/>
      <c r="IS108" s="465"/>
      <c r="IT108" s="465"/>
      <c r="IU108" s="465"/>
      <c r="IV108" s="465"/>
      <c r="IW108" s="465"/>
      <c r="IX108" s="465"/>
      <c r="IY108" s="465"/>
      <c r="IZ108" s="465"/>
      <c r="JA108" s="465"/>
      <c r="JB108" s="465"/>
      <c r="JC108" s="465"/>
      <c r="JD108" s="465"/>
      <c r="JE108" s="465"/>
      <c r="JF108" s="465"/>
      <c r="JG108" s="465"/>
      <c r="JH108" s="465"/>
      <c r="JI108" s="465"/>
      <c r="JJ108" s="465"/>
      <c r="JK108" s="465"/>
      <c r="JL108" s="465"/>
      <c r="JM108" s="465"/>
      <c r="JN108" s="465"/>
      <c r="JO108" s="465"/>
      <c r="JP108" s="465"/>
      <c r="JQ108" s="465"/>
      <c r="JR108" s="465"/>
      <c r="JS108" s="465"/>
      <c r="JT108" s="465"/>
      <c r="JU108" s="465"/>
      <c r="JV108" s="465"/>
      <c r="JW108" s="465"/>
      <c r="JX108" s="20"/>
      <c r="JY108"/>
      <c r="JZ108" s="466"/>
      <c r="KA108" s="466"/>
      <c r="KB108" s="466"/>
      <c r="KC108" s="466"/>
      <c r="KD108" s="466"/>
      <c r="KE108" s="466"/>
      <c r="KF108" s="466"/>
      <c r="KG108" s="466"/>
      <c r="KH108" s="466"/>
      <c r="KI108" s="466"/>
      <c r="KJ108" s="466"/>
      <c r="KK108" s="466"/>
      <c r="KL108" s="466"/>
      <c r="KM108" s="466"/>
      <c r="KN108" s="466"/>
      <c r="KO108" s="466"/>
      <c r="KP108" s="466"/>
      <c r="KQ108" s="466"/>
      <c r="KR108" s="466"/>
      <c r="KS108" s="466"/>
      <c r="KT108" s="466"/>
      <c r="KU108" s="466"/>
      <c r="KV108" s="466"/>
      <c r="KW108" s="466"/>
      <c r="KX108" s="466"/>
      <c r="KY108" s="466"/>
      <c r="KZ108" s="466"/>
      <c r="LA108" s="466"/>
      <c r="LB108" s="466"/>
      <c r="LC108" s="466"/>
      <c r="LD108" s="466"/>
      <c r="LE108" s="466"/>
      <c r="LF108" s="466"/>
      <c r="LG108" s="466"/>
      <c r="LH108" s="466"/>
      <c r="LI108" s="466"/>
      <c r="LJ108" s="466"/>
      <c r="LK108" s="466"/>
      <c r="LL108" s="466"/>
      <c r="LM108" s="466"/>
      <c r="LN108" s="466"/>
      <c r="LO108" s="466"/>
      <c r="LP108" s="466"/>
      <c r="LQ108" s="466"/>
      <c r="LR108" s="466"/>
      <c r="LS108" s="466"/>
      <c r="LT108" s="466"/>
      <c r="LU108" s="466"/>
      <c r="LV108" s="466"/>
      <c r="LW108" s="466"/>
      <c r="LX108" s="466"/>
      <c r="LY108" s="466"/>
      <c r="LZ108" s="466"/>
      <c r="MA108" s="466"/>
      <c r="MB108" s="466"/>
      <c r="MC108" s="466"/>
      <c r="MD108" s="466"/>
      <c r="ME108" s="466"/>
      <c r="MF108" s="466"/>
      <c r="MG108" s="466"/>
      <c r="MH108" s="466"/>
      <c r="MI108" s="466"/>
      <c r="MJ108" s="466"/>
      <c r="MK108" s="466"/>
      <c r="ML108" s="466"/>
      <c r="MM108" s="466"/>
      <c r="MN108" s="466"/>
      <c r="MO108" s="466"/>
      <c r="MP108" s="466"/>
      <c r="MQ108" s="466"/>
      <c r="MR108" s="466"/>
      <c r="MS108" s="466"/>
      <c r="MT108" s="466"/>
      <c r="MU108" s="466"/>
      <c r="MV108" s="466"/>
      <c r="MW108" s="466"/>
      <c r="MX108" s="466"/>
      <c r="MY108" s="466"/>
      <c r="MZ108" s="466"/>
      <c r="NA108" s="466"/>
      <c r="NB108" s="466"/>
      <c r="NC108" s="466"/>
      <c r="ND108" s="466"/>
      <c r="NE108" s="466"/>
      <c r="NF108" s="466"/>
      <c r="NG108" s="466"/>
      <c r="NH108" s="466"/>
      <c r="NI108" s="466"/>
      <c r="NJ108" s="466"/>
      <c r="NK108" s="466"/>
      <c r="NL108" s="466"/>
      <c r="NM108" s="466"/>
      <c r="NN108" s="466"/>
      <c r="NO108" s="466"/>
      <c r="NP108" s="466"/>
      <c r="NQ108" s="466"/>
      <c r="NR108" s="466"/>
      <c r="NS108" s="466"/>
      <c r="NT108" s="466"/>
      <c r="NU108" s="466"/>
      <c r="NV108" s="466"/>
      <c r="NW108" s="466"/>
      <c r="NX108" s="466"/>
      <c r="NY108" s="466"/>
      <c r="NZ108" s="466"/>
      <c r="OA108" s="466"/>
      <c r="OB108" s="466"/>
      <c r="OC108" s="466"/>
      <c r="OD108" s="466"/>
      <c r="OE108" s="466"/>
      <c r="OF108" s="466"/>
      <c r="OG108" s="466"/>
      <c r="OH108" s="466"/>
      <c r="OI108" s="466"/>
      <c r="OJ108" s="466"/>
      <c r="OK108" s="466"/>
      <c r="OL108" s="466"/>
      <c r="OM108" s="466"/>
      <c r="ON108" s="466"/>
      <c r="OO108" s="466"/>
      <c r="OP108" s="466"/>
      <c r="OQ108" s="466"/>
      <c r="OR108" s="466"/>
      <c r="OS108" s="466"/>
      <c r="OT108" s="466"/>
      <c r="OU108" s="466"/>
      <c r="OV108" s="466"/>
      <c r="OW108" s="466"/>
      <c r="OX108" s="466"/>
      <c r="OY108" s="466"/>
      <c r="OZ108" s="466"/>
      <c r="PA108" s="466"/>
      <c r="PB108" s="466"/>
      <c r="PC108" s="466"/>
      <c r="PD108" s="466"/>
      <c r="PE108" s="466"/>
      <c r="PF108" s="466"/>
      <c r="PG108" s="466"/>
      <c r="PH108" s="466"/>
    </row>
    <row r="109" spans="1:424" x14ac:dyDescent="0.35">
      <c r="A109"/>
      <c r="B109" s="91" t="str">
        <f t="shared" si="400"/>
        <v>Macquarie/IGLU; Brookfield/Journal</v>
      </c>
      <c r="C109" s="469" t="s">
        <v>278</v>
      </c>
      <c r="D109" s="276" t="s">
        <v>279</v>
      </c>
      <c r="E109" s="45">
        <f t="shared" si="401"/>
        <v>25</v>
      </c>
      <c r="F109" s="53">
        <v>1</v>
      </c>
      <c r="G109" s="254">
        <f t="shared" si="402"/>
        <v>0.25487324006841816</v>
      </c>
      <c r="H109" s="148">
        <f t="shared" si="403"/>
        <v>41.904711317697256</v>
      </c>
      <c r="I109" s="445">
        <f t="shared" si="404"/>
        <v>838094.22635394509</v>
      </c>
      <c r="J109"/>
      <c r="K109" s="75"/>
      <c r="L109" s="75">
        <f t="shared" si="405"/>
        <v>0</v>
      </c>
      <c r="M109" s="417">
        <f t="shared" si="405"/>
        <v>0</v>
      </c>
      <c r="N109" s="417">
        <f t="shared" si="405"/>
        <v>0</v>
      </c>
      <c r="O109" s="417">
        <f t="shared" si="405"/>
        <v>0</v>
      </c>
      <c r="P109" s="417">
        <f t="shared" si="405"/>
        <v>0</v>
      </c>
      <c r="Q109" s="417">
        <f t="shared" si="405"/>
        <v>0</v>
      </c>
      <c r="R109" s="417">
        <f t="shared" si="405"/>
        <v>0</v>
      </c>
      <c r="S109" s="417">
        <f t="shared" si="405"/>
        <v>0</v>
      </c>
      <c r="T109" s="417">
        <f t="shared" si="405"/>
        <v>0</v>
      </c>
      <c r="U109" s="417">
        <f t="shared" si="405"/>
        <v>0</v>
      </c>
      <c r="V109" s="417">
        <f t="shared" si="406"/>
        <v>0</v>
      </c>
      <c r="W109" s="417">
        <f t="shared" si="406"/>
        <v>0</v>
      </c>
      <c r="X109" s="417">
        <f t="shared" si="406"/>
        <v>0</v>
      </c>
      <c r="Y109" s="417">
        <f t="shared" si="406"/>
        <v>0</v>
      </c>
      <c r="Z109" s="417">
        <f t="shared" si="406"/>
        <v>0</v>
      </c>
      <c r="AA109" s="417">
        <f t="shared" si="406"/>
        <v>0</v>
      </c>
      <c r="AB109" s="417">
        <f t="shared" si="406"/>
        <v>0</v>
      </c>
      <c r="AC109" s="417">
        <f t="shared" si="406"/>
        <v>0</v>
      </c>
      <c r="AD109" s="417">
        <f t="shared" si="406"/>
        <v>0</v>
      </c>
      <c r="AE109" s="417">
        <f t="shared" si="406"/>
        <v>0</v>
      </c>
      <c r="AF109" s="417">
        <f t="shared" si="407"/>
        <v>0</v>
      </c>
      <c r="AG109" s="417">
        <f t="shared" si="407"/>
        <v>0</v>
      </c>
      <c r="AH109" s="417">
        <f t="shared" si="407"/>
        <v>0</v>
      </c>
      <c r="AI109" s="417">
        <f t="shared" si="407"/>
        <v>0</v>
      </c>
      <c r="AJ109" s="417">
        <f t="shared" si="407"/>
        <v>0</v>
      </c>
      <c r="AK109" s="417">
        <f t="shared" si="407"/>
        <v>0</v>
      </c>
      <c r="AL109" s="417">
        <f t="shared" si="407"/>
        <v>0</v>
      </c>
      <c r="AM109" s="417">
        <f t="shared" si="407"/>
        <v>0</v>
      </c>
      <c r="AN109" s="417">
        <f t="shared" si="407"/>
        <v>0</v>
      </c>
      <c r="AO109" s="417">
        <f t="shared" si="407"/>
        <v>0</v>
      </c>
      <c r="AP109" s="417">
        <f t="shared" si="408"/>
        <v>0</v>
      </c>
      <c r="AQ109" s="417">
        <f t="shared" si="408"/>
        <v>0</v>
      </c>
      <c r="AR109" s="417">
        <f t="shared" si="408"/>
        <v>0</v>
      </c>
      <c r="AS109" s="417">
        <f t="shared" si="408"/>
        <v>0</v>
      </c>
      <c r="AT109" s="417">
        <f t="shared" si="408"/>
        <v>0</v>
      </c>
      <c r="AU109" s="417">
        <f t="shared" si="408"/>
        <v>0</v>
      </c>
      <c r="AV109" s="417">
        <f t="shared" si="408"/>
        <v>0</v>
      </c>
      <c r="AW109" s="417">
        <f t="shared" si="408"/>
        <v>0</v>
      </c>
      <c r="AX109" s="417">
        <f t="shared" si="408"/>
        <v>5820.0987941246185</v>
      </c>
      <c r="AY109" s="417">
        <f t="shared" si="408"/>
        <v>11640.197588249237</v>
      </c>
      <c r="AZ109" s="417">
        <f t="shared" si="409"/>
        <v>17460.296382373854</v>
      </c>
      <c r="BA109" s="417">
        <f t="shared" si="409"/>
        <v>23280.395176498474</v>
      </c>
      <c r="BB109" s="417">
        <f t="shared" si="409"/>
        <v>29100.493970623094</v>
      </c>
      <c r="BC109" s="417">
        <f t="shared" si="409"/>
        <v>34920.592764747707</v>
      </c>
      <c r="BD109" s="417">
        <f t="shared" si="409"/>
        <v>40740.691558872335</v>
      </c>
      <c r="BE109" s="417">
        <f t="shared" si="409"/>
        <v>46560.790352996948</v>
      </c>
      <c r="BF109" s="417">
        <f t="shared" si="409"/>
        <v>52380.889147121568</v>
      </c>
      <c r="BG109" s="417">
        <f t="shared" si="409"/>
        <v>58200.987941246189</v>
      </c>
      <c r="BH109" s="417">
        <f t="shared" si="409"/>
        <v>64021.086735370794</v>
      </c>
      <c r="BI109" s="417">
        <f t="shared" si="409"/>
        <v>71587.215167732807</v>
      </c>
      <c r="BJ109" s="417">
        <f t="shared" si="410"/>
        <v>71587.215167732807</v>
      </c>
      <c r="BK109" s="417">
        <f t="shared" si="410"/>
        <v>71587.215167732807</v>
      </c>
      <c r="BL109" s="417">
        <f t="shared" si="410"/>
        <v>71587.215167732807</v>
      </c>
      <c r="BM109" s="417">
        <f t="shared" si="410"/>
        <v>71587.215167732807</v>
      </c>
      <c r="BN109" s="417">
        <f t="shared" si="410"/>
        <v>71587.215167732807</v>
      </c>
      <c r="BO109" s="417">
        <f t="shared" si="410"/>
        <v>71587.215167732807</v>
      </c>
      <c r="BP109" s="417">
        <f t="shared" si="410"/>
        <v>71587.215167732807</v>
      </c>
      <c r="BQ109" s="417">
        <f t="shared" si="410"/>
        <v>71587.215167732807</v>
      </c>
      <c r="BR109" s="417">
        <f t="shared" si="410"/>
        <v>71587.215167732807</v>
      </c>
      <c r="BS109" s="417">
        <f t="shared" si="410"/>
        <v>71587.215167732807</v>
      </c>
      <c r="BT109" s="417">
        <f t="shared" si="411"/>
        <v>71587.215167732807</v>
      </c>
      <c r="BU109" s="417">
        <f t="shared" si="411"/>
        <v>73376.895546926127</v>
      </c>
      <c r="BV109" s="417">
        <f t="shared" si="411"/>
        <v>73376.895546926127</v>
      </c>
      <c r="BW109" s="417">
        <f t="shared" si="411"/>
        <v>73376.895546926127</v>
      </c>
      <c r="BX109" s="417">
        <f t="shared" si="411"/>
        <v>73376.895546926127</v>
      </c>
      <c r="BY109" s="417">
        <f t="shared" si="411"/>
        <v>73376.895546926127</v>
      </c>
      <c r="BZ109" s="417">
        <f t="shared" si="411"/>
        <v>73376.895546926127</v>
      </c>
      <c r="CA109" s="417">
        <f t="shared" si="411"/>
        <v>73376.895546926127</v>
      </c>
      <c r="CB109" s="417">
        <f t="shared" si="411"/>
        <v>73376.895546926127</v>
      </c>
      <c r="CC109" s="417">
        <f t="shared" si="411"/>
        <v>73376.895546926127</v>
      </c>
      <c r="CD109" s="417">
        <f t="shared" si="412"/>
        <v>73376.895546926127</v>
      </c>
      <c r="CE109" s="417">
        <f t="shared" si="412"/>
        <v>73376.895546926127</v>
      </c>
      <c r="CF109" s="417">
        <f t="shared" si="412"/>
        <v>73376.895546926127</v>
      </c>
      <c r="CG109" s="417">
        <f t="shared" si="412"/>
        <v>75211.317935599276</v>
      </c>
      <c r="CH109" s="417">
        <f t="shared" si="412"/>
        <v>75211.317935599276</v>
      </c>
      <c r="CI109" s="417">
        <f t="shared" si="412"/>
        <v>75211.317935599276</v>
      </c>
      <c r="CJ109" s="417">
        <f t="shared" si="412"/>
        <v>75211.317935599276</v>
      </c>
      <c r="CK109" s="417">
        <f t="shared" si="412"/>
        <v>75211.317935599276</v>
      </c>
      <c r="CL109" s="417">
        <f t="shared" si="412"/>
        <v>75211.317935599276</v>
      </c>
      <c r="CM109" s="417">
        <f t="shared" si="412"/>
        <v>75211.317935599276</v>
      </c>
      <c r="CN109" s="417">
        <f t="shared" si="413"/>
        <v>75211.317935599276</v>
      </c>
      <c r="CO109" s="417">
        <f t="shared" si="413"/>
        <v>75211.317935599276</v>
      </c>
      <c r="CP109" s="417">
        <f t="shared" si="413"/>
        <v>75211.317935599276</v>
      </c>
      <c r="CQ109" s="417">
        <f t="shared" si="413"/>
        <v>75211.317935599276</v>
      </c>
      <c r="CR109" s="417">
        <f t="shared" si="413"/>
        <v>75211.317935599276</v>
      </c>
      <c r="CS109" s="417">
        <f t="shared" si="413"/>
        <v>77091.600883989246</v>
      </c>
      <c r="CT109" s="417">
        <f t="shared" si="413"/>
        <v>77091.600883989246</v>
      </c>
      <c r="CU109" s="417">
        <f t="shared" si="413"/>
        <v>77091.600883989246</v>
      </c>
      <c r="CV109" s="417">
        <f t="shared" si="413"/>
        <v>77091.600883989246</v>
      </c>
      <c r="CW109" s="417">
        <f t="shared" si="413"/>
        <v>77091.600883989246</v>
      </c>
      <c r="CX109" s="417">
        <f t="shared" si="414"/>
        <v>77091.600883989246</v>
      </c>
      <c r="CY109" s="417">
        <f t="shared" si="414"/>
        <v>77091.600883989246</v>
      </c>
      <c r="CZ109" s="417">
        <f t="shared" si="414"/>
        <v>77091.600883989246</v>
      </c>
      <c r="DA109" s="417">
        <f t="shared" si="414"/>
        <v>77091.600883989246</v>
      </c>
      <c r="DB109" s="417">
        <f t="shared" si="414"/>
        <v>77091.600883989246</v>
      </c>
      <c r="DC109" s="417">
        <f t="shared" si="414"/>
        <v>77091.600883989246</v>
      </c>
      <c r="DD109" s="417">
        <f t="shared" si="414"/>
        <v>77091.600883989246</v>
      </c>
      <c r="DE109" s="417">
        <f t="shared" si="414"/>
        <v>79018.890906088971</v>
      </c>
      <c r="DF109" s="417">
        <f t="shared" si="414"/>
        <v>79018.890906088971</v>
      </c>
      <c r="DG109" s="417">
        <f t="shared" si="414"/>
        <v>79018.890906088971</v>
      </c>
      <c r="DH109" s="417">
        <f t="shared" si="415"/>
        <v>79018.890906088971</v>
      </c>
      <c r="DI109" s="417">
        <f t="shared" si="415"/>
        <v>79018.890906088971</v>
      </c>
      <c r="DJ109" s="417">
        <f t="shared" si="415"/>
        <v>79018.890906088971</v>
      </c>
      <c r="DK109" s="417">
        <f t="shared" si="415"/>
        <v>79018.890906088971</v>
      </c>
      <c r="DL109" s="417">
        <f t="shared" si="415"/>
        <v>79018.890906088971</v>
      </c>
      <c r="DM109" s="417">
        <f t="shared" si="415"/>
        <v>79018.890906088971</v>
      </c>
      <c r="DN109" s="417">
        <f t="shared" si="415"/>
        <v>79018.890906088971</v>
      </c>
      <c r="DO109" s="417">
        <f t="shared" si="415"/>
        <v>79018.890906088971</v>
      </c>
      <c r="DP109" s="417">
        <f t="shared" si="415"/>
        <v>79018.890906088971</v>
      </c>
      <c r="DQ109" s="417">
        <f t="shared" si="415"/>
        <v>80994.363178741187</v>
      </c>
      <c r="DR109" s="417">
        <f t="shared" si="416"/>
        <v>80994.363178741187</v>
      </c>
      <c r="DS109" s="417">
        <f t="shared" si="416"/>
        <v>80994.363178741187</v>
      </c>
      <c r="DT109" s="417">
        <f t="shared" si="416"/>
        <v>80994.363178741187</v>
      </c>
      <c r="DU109" s="417">
        <f t="shared" si="416"/>
        <v>80994.363178741187</v>
      </c>
      <c r="DV109" s="417">
        <f t="shared" si="416"/>
        <v>80994.363178741187</v>
      </c>
      <c r="DW109" s="417">
        <f t="shared" si="416"/>
        <v>80994.363178741187</v>
      </c>
      <c r="DX109" s="417">
        <f t="shared" si="416"/>
        <v>80994.363178741187</v>
      </c>
      <c r="DY109" s="417">
        <f t="shared" si="416"/>
        <v>80994.363178741187</v>
      </c>
      <c r="DZ109" s="417">
        <f t="shared" si="416"/>
        <v>80994.363178741187</v>
      </c>
      <c r="EA109" s="417">
        <f t="shared" si="416"/>
        <v>80994.363178741187</v>
      </c>
      <c r="EB109" s="417">
        <f t="shared" si="417"/>
        <v>80994.363178741187</v>
      </c>
      <c r="EC109" s="417">
        <f t="shared" si="417"/>
        <v>83019.222258209731</v>
      </c>
      <c r="ED109" s="417">
        <f t="shared" si="417"/>
        <v>83019.222258209731</v>
      </c>
      <c r="EE109" s="417">
        <f t="shared" si="417"/>
        <v>83019.222258209731</v>
      </c>
      <c r="EF109" s="417">
        <f t="shared" si="417"/>
        <v>83019.222258209731</v>
      </c>
      <c r="EG109" s="417">
        <f t="shared" si="417"/>
        <v>83019.222258209731</v>
      </c>
      <c r="EH109" s="417">
        <f t="shared" si="417"/>
        <v>83019.222258209731</v>
      </c>
      <c r="EI109" s="417">
        <f t="shared" si="417"/>
        <v>83019.222258209731</v>
      </c>
      <c r="EJ109" s="417">
        <f t="shared" si="417"/>
        <v>83019.222258209731</v>
      </c>
      <c r="EK109" s="417">
        <f t="shared" si="417"/>
        <v>83019.222258209731</v>
      </c>
      <c r="EL109" s="417">
        <f t="shared" si="417"/>
        <v>83019.222258209731</v>
      </c>
      <c r="EM109" s="417">
        <f t="shared" si="417"/>
        <v>83019.222258209731</v>
      </c>
      <c r="EN109" s="417">
        <f t="shared" si="417"/>
        <v>83019.222258209731</v>
      </c>
      <c r="EO109" s="208"/>
      <c r="EP109" s="464"/>
      <c r="EQ109" s="465"/>
      <c r="ER109" s="465"/>
      <c r="ES109" s="465"/>
      <c r="ET109" s="465"/>
      <c r="EU109" s="465"/>
      <c r="EV109" s="465"/>
      <c r="EW109" s="465"/>
      <c r="EX109" s="465"/>
      <c r="EY109" s="465"/>
      <c r="EZ109" s="465"/>
      <c r="FA109" s="465"/>
      <c r="FB109" s="465"/>
      <c r="FC109" s="465"/>
      <c r="FD109" s="465"/>
      <c r="FE109" s="465"/>
      <c r="FF109" s="465"/>
      <c r="FG109" s="465"/>
      <c r="FH109" s="465"/>
      <c r="FI109" s="465"/>
      <c r="FJ109" s="465"/>
      <c r="FK109" s="465"/>
      <c r="FL109" s="465"/>
      <c r="FM109" s="465"/>
      <c r="FN109" s="465"/>
      <c r="FO109" s="465"/>
      <c r="FP109" s="465"/>
      <c r="FQ109" s="465"/>
      <c r="FR109" s="465"/>
      <c r="FS109" s="465"/>
      <c r="FT109" s="465"/>
      <c r="FU109" s="465"/>
      <c r="FV109" s="465"/>
      <c r="FW109" s="465"/>
      <c r="FX109" s="465"/>
      <c r="FY109" s="465"/>
      <c r="FZ109" s="465"/>
      <c r="GA109" s="465"/>
      <c r="GB109" s="465"/>
      <c r="GC109" s="465"/>
      <c r="GD109" s="465"/>
      <c r="GE109" s="465"/>
      <c r="GF109" s="465"/>
      <c r="GG109" s="465"/>
      <c r="GH109" s="465"/>
      <c r="GI109" s="465"/>
      <c r="GJ109" s="465"/>
      <c r="GK109" s="465"/>
      <c r="GL109" s="465"/>
      <c r="GM109" s="465"/>
      <c r="GN109" s="465"/>
      <c r="GO109" s="465"/>
      <c r="GP109" s="465"/>
      <c r="GQ109" s="465"/>
      <c r="GR109" s="465"/>
      <c r="GS109" s="465"/>
      <c r="GT109" s="465"/>
      <c r="GU109" s="465"/>
      <c r="GV109" s="465"/>
      <c r="GW109" s="465"/>
      <c r="GX109" s="465"/>
      <c r="GY109" s="465"/>
      <c r="GZ109" s="465"/>
      <c r="HA109" s="465"/>
      <c r="HB109" s="465"/>
      <c r="HC109" s="465"/>
      <c r="HD109" s="465"/>
      <c r="HE109" s="465"/>
      <c r="HF109" s="465"/>
      <c r="HG109" s="465"/>
      <c r="HH109" s="465"/>
      <c r="HI109" s="465"/>
      <c r="HJ109" s="465"/>
      <c r="HK109" s="465"/>
      <c r="HL109" s="465"/>
      <c r="HM109" s="465"/>
      <c r="HN109" s="465"/>
      <c r="HO109" s="465"/>
      <c r="HP109" s="465"/>
      <c r="HQ109" s="465"/>
      <c r="HR109" s="465"/>
      <c r="HS109" s="465"/>
      <c r="HT109" s="465"/>
      <c r="HU109" s="465"/>
      <c r="HV109" s="465"/>
      <c r="HW109" s="465"/>
      <c r="HX109" s="465"/>
      <c r="HY109" s="465"/>
      <c r="HZ109" s="465"/>
      <c r="IA109" s="465"/>
      <c r="IB109" s="465"/>
      <c r="IC109" s="465"/>
      <c r="ID109" s="465"/>
      <c r="IE109" s="465"/>
      <c r="IF109" s="465"/>
      <c r="IG109" s="465"/>
      <c r="IH109" s="465"/>
      <c r="II109" s="465"/>
      <c r="IJ109" s="465"/>
      <c r="IK109" s="465"/>
      <c r="IL109" s="465"/>
      <c r="IM109" s="465"/>
      <c r="IN109" s="465"/>
      <c r="IO109" s="465"/>
      <c r="IP109" s="465"/>
      <c r="IQ109" s="465"/>
      <c r="IR109" s="465"/>
      <c r="IS109" s="465"/>
      <c r="IT109" s="465"/>
      <c r="IU109" s="465"/>
      <c r="IV109" s="465"/>
      <c r="IW109" s="465"/>
      <c r="IX109" s="465"/>
      <c r="IY109" s="465"/>
      <c r="IZ109" s="465"/>
      <c r="JA109" s="465"/>
      <c r="JB109" s="465"/>
      <c r="JC109" s="465"/>
      <c r="JD109" s="465"/>
      <c r="JE109" s="465"/>
      <c r="JF109" s="465"/>
      <c r="JG109" s="465"/>
      <c r="JH109" s="465"/>
      <c r="JI109" s="465"/>
      <c r="JJ109" s="465"/>
      <c r="JK109" s="465"/>
      <c r="JL109" s="465"/>
      <c r="JM109" s="465"/>
      <c r="JN109" s="465"/>
      <c r="JO109" s="465"/>
      <c r="JP109" s="465"/>
      <c r="JQ109" s="465"/>
      <c r="JR109" s="465"/>
      <c r="JS109" s="465"/>
      <c r="JT109" s="465"/>
      <c r="JU109" s="465"/>
      <c r="JV109" s="465"/>
      <c r="JW109" s="465"/>
      <c r="JX109" s="20"/>
      <c r="JY109"/>
      <c r="JZ109" s="466"/>
      <c r="KA109" s="466"/>
      <c r="KB109" s="466"/>
      <c r="KC109" s="466"/>
      <c r="KD109" s="466"/>
      <c r="KE109" s="466"/>
      <c r="KF109" s="466"/>
      <c r="KG109" s="466"/>
      <c r="KH109" s="466"/>
      <c r="KI109" s="466"/>
      <c r="KJ109" s="466"/>
      <c r="KK109" s="466"/>
      <c r="KL109" s="466"/>
      <c r="KM109" s="466"/>
      <c r="KN109" s="466"/>
      <c r="KO109" s="466"/>
      <c r="KP109" s="466"/>
      <c r="KQ109" s="466"/>
      <c r="KR109" s="466"/>
      <c r="KS109" s="466"/>
      <c r="KT109" s="466"/>
      <c r="KU109" s="466"/>
      <c r="KV109" s="466"/>
      <c r="KW109" s="466"/>
      <c r="KX109" s="466"/>
      <c r="KY109" s="466"/>
      <c r="KZ109" s="466"/>
      <c r="LA109" s="466"/>
      <c r="LB109" s="466"/>
      <c r="LC109" s="466"/>
      <c r="LD109" s="466"/>
      <c r="LE109" s="466"/>
      <c r="LF109" s="466"/>
      <c r="LG109" s="466"/>
      <c r="LH109" s="466"/>
      <c r="LI109" s="466"/>
      <c r="LJ109" s="466"/>
      <c r="LK109" s="466"/>
      <c r="LL109" s="466"/>
      <c r="LM109" s="466"/>
      <c r="LN109" s="466"/>
      <c r="LO109" s="466"/>
      <c r="LP109" s="466"/>
      <c r="LQ109" s="466"/>
      <c r="LR109" s="466"/>
      <c r="LS109" s="466"/>
      <c r="LT109" s="466"/>
      <c r="LU109" s="466"/>
      <c r="LV109" s="466"/>
      <c r="LW109" s="466"/>
      <c r="LX109" s="466"/>
      <c r="LY109" s="466"/>
      <c r="LZ109" s="466"/>
      <c r="MA109" s="466"/>
      <c r="MB109" s="466"/>
      <c r="MC109" s="466"/>
      <c r="MD109" s="466"/>
      <c r="ME109" s="466"/>
      <c r="MF109" s="466"/>
      <c r="MG109" s="466"/>
      <c r="MH109" s="466"/>
      <c r="MI109" s="466"/>
      <c r="MJ109" s="466"/>
      <c r="MK109" s="466"/>
      <c r="ML109" s="466"/>
      <c r="MM109" s="466"/>
      <c r="MN109" s="466"/>
      <c r="MO109" s="466"/>
      <c r="MP109" s="466"/>
      <c r="MQ109" s="466"/>
      <c r="MR109" s="466"/>
      <c r="MS109" s="466"/>
      <c r="MT109" s="466"/>
      <c r="MU109" s="466"/>
      <c r="MV109" s="466"/>
      <c r="MW109" s="466"/>
      <c r="MX109" s="466"/>
      <c r="MY109" s="466"/>
      <c r="MZ109" s="466"/>
      <c r="NA109" s="466"/>
      <c r="NB109" s="466"/>
      <c r="NC109" s="466"/>
      <c r="ND109" s="466"/>
      <c r="NE109" s="466"/>
      <c r="NF109" s="466"/>
      <c r="NG109" s="466"/>
      <c r="NH109" s="466"/>
      <c r="NI109" s="466"/>
      <c r="NJ109" s="466"/>
      <c r="NK109" s="466"/>
      <c r="NL109" s="466"/>
      <c r="NM109" s="466"/>
      <c r="NN109" s="466"/>
      <c r="NO109" s="466"/>
      <c r="NP109" s="466"/>
      <c r="NQ109" s="466"/>
      <c r="NR109" s="466"/>
      <c r="NS109" s="466"/>
      <c r="NT109" s="466"/>
      <c r="NU109" s="466"/>
      <c r="NV109" s="466"/>
      <c r="NW109" s="466"/>
      <c r="NX109" s="466"/>
      <c r="NY109" s="466"/>
      <c r="NZ109" s="466"/>
      <c r="OA109" s="466"/>
      <c r="OB109" s="466"/>
      <c r="OC109" s="466"/>
      <c r="OD109" s="466"/>
      <c r="OE109" s="466"/>
      <c r="OF109" s="466"/>
      <c r="OG109" s="466"/>
      <c r="OH109" s="466"/>
      <c r="OI109" s="466"/>
      <c r="OJ109" s="466"/>
      <c r="OK109" s="466"/>
      <c r="OL109" s="466"/>
      <c r="OM109" s="466"/>
      <c r="ON109" s="466"/>
      <c r="OO109" s="466"/>
      <c r="OP109" s="466"/>
      <c r="OQ109" s="466"/>
      <c r="OR109" s="466"/>
      <c r="OS109" s="466"/>
      <c r="OT109" s="466"/>
      <c r="OU109" s="466"/>
      <c r="OV109" s="466"/>
      <c r="OW109" s="466"/>
      <c r="OX109" s="466"/>
      <c r="OY109" s="466"/>
      <c r="OZ109" s="466"/>
      <c r="PA109" s="466"/>
      <c r="PB109" s="466"/>
      <c r="PC109" s="466"/>
      <c r="PD109" s="466"/>
      <c r="PE109" s="466"/>
      <c r="PF109" s="466"/>
      <c r="PG109" s="466"/>
      <c r="PH109" s="466"/>
    </row>
    <row r="110" spans="1:424" x14ac:dyDescent="0.35">
      <c r="A110"/>
      <c r="B110" s="91" t="str">
        <f t="shared" si="400"/>
        <v>LiveHouse</v>
      </c>
      <c r="C110" s="469" t="s">
        <v>278</v>
      </c>
      <c r="D110" s="276" t="s">
        <v>279</v>
      </c>
      <c r="E110" s="45">
        <f t="shared" si="401"/>
        <v>25</v>
      </c>
      <c r="F110" s="53">
        <v>1</v>
      </c>
      <c r="G110" s="254">
        <f t="shared" si="402"/>
        <v>8.2833803022235905E-2</v>
      </c>
      <c r="H110" s="148">
        <f t="shared" si="403"/>
        <v>41.904711317697256</v>
      </c>
      <c r="I110" s="445">
        <f t="shared" si="404"/>
        <v>272380.62356503215</v>
      </c>
      <c r="J110"/>
      <c r="K110" s="75"/>
      <c r="L110" s="75">
        <f t="shared" si="405"/>
        <v>0</v>
      </c>
      <c r="M110" s="417">
        <f t="shared" si="405"/>
        <v>0</v>
      </c>
      <c r="N110" s="417">
        <f t="shared" si="405"/>
        <v>0</v>
      </c>
      <c r="O110" s="417">
        <f t="shared" si="405"/>
        <v>0</v>
      </c>
      <c r="P110" s="417">
        <f t="shared" si="405"/>
        <v>0</v>
      </c>
      <c r="Q110" s="417">
        <f t="shared" si="405"/>
        <v>0</v>
      </c>
      <c r="R110" s="417">
        <f t="shared" si="405"/>
        <v>0</v>
      </c>
      <c r="S110" s="417">
        <f t="shared" si="405"/>
        <v>0</v>
      </c>
      <c r="T110" s="417">
        <f t="shared" si="405"/>
        <v>0</v>
      </c>
      <c r="U110" s="417">
        <f t="shared" si="405"/>
        <v>0</v>
      </c>
      <c r="V110" s="417">
        <f t="shared" si="406"/>
        <v>0</v>
      </c>
      <c r="W110" s="417">
        <f t="shared" si="406"/>
        <v>0</v>
      </c>
      <c r="X110" s="417">
        <f t="shared" si="406"/>
        <v>0</v>
      </c>
      <c r="Y110" s="417">
        <f t="shared" si="406"/>
        <v>0</v>
      </c>
      <c r="Z110" s="417">
        <f t="shared" si="406"/>
        <v>0</v>
      </c>
      <c r="AA110" s="417">
        <f t="shared" si="406"/>
        <v>0</v>
      </c>
      <c r="AB110" s="417">
        <f t="shared" si="406"/>
        <v>0</v>
      </c>
      <c r="AC110" s="417">
        <f t="shared" si="406"/>
        <v>0</v>
      </c>
      <c r="AD110" s="417">
        <f t="shared" si="406"/>
        <v>0</v>
      </c>
      <c r="AE110" s="417">
        <f t="shared" si="406"/>
        <v>0</v>
      </c>
      <c r="AF110" s="417">
        <f t="shared" si="407"/>
        <v>0</v>
      </c>
      <c r="AG110" s="417">
        <f t="shared" si="407"/>
        <v>0</v>
      </c>
      <c r="AH110" s="417">
        <f t="shared" si="407"/>
        <v>0</v>
      </c>
      <c r="AI110" s="417">
        <f t="shared" si="407"/>
        <v>0</v>
      </c>
      <c r="AJ110" s="417">
        <f t="shared" si="407"/>
        <v>0</v>
      </c>
      <c r="AK110" s="417">
        <f t="shared" si="407"/>
        <v>0</v>
      </c>
      <c r="AL110" s="417">
        <f t="shared" si="407"/>
        <v>0</v>
      </c>
      <c r="AM110" s="417">
        <f t="shared" si="407"/>
        <v>0</v>
      </c>
      <c r="AN110" s="417">
        <f t="shared" si="407"/>
        <v>0</v>
      </c>
      <c r="AO110" s="417">
        <f t="shared" si="407"/>
        <v>0</v>
      </c>
      <c r="AP110" s="417">
        <f t="shared" si="408"/>
        <v>0</v>
      </c>
      <c r="AQ110" s="417">
        <f t="shared" si="408"/>
        <v>0</v>
      </c>
      <c r="AR110" s="417">
        <f t="shared" si="408"/>
        <v>0</v>
      </c>
      <c r="AS110" s="417">
        <f t="shared" si="408"/>
        <v>0</v>
      </c>
      <c r="AT110" s="417">
        <f t="shared" si="408"/>
        <v>0</v>
      </c>
      <c r="AU110" s="417">
        <f t="shared" si="408"/>
        <v>0</v>
      </c>
      <c r="AV110" s="417">
        <f t="shared" si="408"/>
        <v>0</v>
      </c>
      <c r="AW110" s="417">
        <f t="shared" si="408"/>
        <v>0</v>
      </c>
      <c r="AX110" s="417">
        <f t="shared" si="408"/>
        <v>1891.532108090501</v>
      </c>
      <c r="AY110" s="417">
        <f t="shared" si="408"/>
        <v>3783.0642161810019</v>
      </c>
      <c r="AZ110" s="417">
        <f t="shared" si="409"/>
        <v>5674.5963242715034</v>
      </c>
      <c r="BA110" s="417">
        <f t="shared" si="409"/>
        <v>7566.1284323620039</v>
      </c>
      <c r="BB110" s="417">
        <f t="shared" si="409"/>
        <v>9457.6605404525053</v>
      </c>
      <c r="BC110" s="417">
        <f t="shared" si="409"/>
        <v>11349.192648543007</v>
      </c>
      <c r="BD110" s="417">
        <f t="shared" si="409"/>
        <v>13240.72475663351</v>
      </c>
      <c r="BE110" s="417">
        <f t="shared" si="409"/>
        <v>15132.256864724008</v>
      </c>
      <c r="BF110" s="417">
        <f t="shared" si="409"/>
        <v>17023.788972814509</v>
      </c>
      <c r="BG110" s="417">
        <f t="shared" si="409"/>
        <v>18915.321080905011</v>
      </c>
      <c r="BH110" s="417">
        <f t="shared" si="409"/>
        <v>20806.853188995508</v>
      </c>
      <c r="BI110" s="417">
        <f t="shared" si="409"/>
        <v>23265.844929513165</v>
      </c>
      <c r="BJ110" s="417">
        <f t="shared" si="410"/>
        <v>23265.844929513165</v>
      </c>
      <c r="BK110" s="417">
        <f t="shared" si="410"/>
        <v>23265.844929513165</v>
      </c>
      <c r="BL110" s="417">
        <f t="shared" si="410"/>
        <v>23265.844929513165</v>
      </c>
      <c r="BM110" s="417">
        <f t="shared" si="410"/>
        <v>23265.844929513165</v>
      </c>
      <c r="BN110" s="417">
        <f t="shared" si="410"/>
        <v>23265.844929513165</v>
      </c>
      <c r="BO110" s="417">
        <f t="shared" si="410"/>
        <v>23265.844929513165</v>
      </c>
      <c r="BP110" s="417">
        <f t="shared" si="410"/>
        <v>23265.844929513165</v>
      </c>
      <c r="BQ110" s="417">
        <f t="shared" si="410"/>
        <v>23265.844929513165</v>
      </c>
      <c r="BR110" s="417">
        <f t="shared" si="410"/>
        <v>23265.844929513165</v>
      </c>
      <c r="BS110" s="417">
        <f t="shared" si="410"/>
        <v>23265.844929513165</v>
      </c>
      <c r="BT110" s="417">
        <f t="shared" si="411"/>
        <v>23265.844929513165</v>
      </c>
      <c r="BU110" s="417">
        <f t="shared" si="411"/>
        <v>23847.491052750993</v>
      </c>
      <c r="BV110" s="417">
        <f t="shared" si="411"/>
        <v>23847.491052750993</v>
      </c>
      <c r="BW110" s="417">
        <f t="shared" si="411"/>
        <v>23847.491052750993</v>
      </c>
      <c r="BX110" s="417">
        <f t="shared" si="411"/>
        <v>23847.491052750993</v>
      </c>
      <c r="BY110" s="417">
        <f t="shared" si="411"/>
        <v>23847.491052750993</v>
      </c>
      <c r="BZ110" s="417">
        <f t="shared" si="411"/>
        <v>23847.491052750993</v>
      </c>
      <c r="CA110" s="417">
        <f t="shared" si="411"/>
        <v>23847.491052750993</v>
      </c>
      <c r="CB110" s="417">
        <f t="shared" si="411"/>
        <v>23847.491052750993</v>
      </c>
      <c r="CC110" s="417">
        <f t="shared" si="411"/>
        <v>23847.491052750993</v>
      </c>
      <c r="CD110" s="417">
        <f t="shared" si="412"/>
        <v>23847.491052750993</v>
      </c>
      <c r="CE110" s="417">
        <f t="shared" si="412"/>
        <v>23847.491052750993</v>
      </c>
      <c r="CF110" s="417">
        <f t="shared" si="412"/>
        <v>23847.491052750993</v>
      </c>
      <c r="CG110" s="417">
        <f t="shared" si="412"/>
        <v>24443.678329069768</v>
      </c>
      <c r="CH110" s="417">
        <f t="shared" si="412"/>
        <v>24443.678329069768</v>
      </c>
      <c r="CI110" s="417">
        <f t="shared" si="412"/>
        <v>24443.678329069768</v>
      </c>
      <c r="CJ110" s="417">
        <f t="shared" si="412"/>
        <v>24443.678329069768</v>
      </c>
      <c r="CK110" s="417">
        <f t="shared" si="412"/>
        <v>24443.678329069768</v>
      </c>
      <c r="CL110" s="417">
        <f t="shared" si="412"/>
        <v>24443.678329069768</v>
      </c>
      <c r="CM110" s="417">
        <f t="shared" si="412"/>
        <v>24443.678329069768</v>
      </c>
      <c r="CN110" s="417">
        <f t="shared" si="413"/>
        <v>24443.678329069768</v>
      </c>
      <c r="CO110" s="417">
        <f t="shared" si="413"/>
        <v>24443.678329069768</v>
      </c>
      <c r="CP110" s="417">
        <f t="shared" si="413"/>
        <v>24443.678329069768</v>
      </c>
      <c r="CQ110" s="417">
        <f t="shared" si="413"/>
        <v>24443.678329069768</v>
      </c>
      <c r="CR110" s="417">
        <f t="shared" si="413"/>
        <v>24443.678329069768</v>
      </c>
      <c r="CS110" s="417">
        <f t="shared" si="413"/>
        <v>25054.770287296509</v>
      </c>
      <c r="CT110" s="417">
        <f t="shared" si="413"/>
        <v>25054.770287296509</v>
      </c>
      <c r="CU110" s="417">
        <f t="shared" si="413"/>
        <v>25054.770287296509</v>
      </c>
      <c r="CV110" s="417">
        <f t="shared" si="413"/>
        <v>25054.770287296509</v>
      </c>
      <c r="CW110" s="417">
        <f t="shared" si="413"/>
        <v>25054.770287296509</v>
      </c>
      <c r="CX110" s="417">
        <f t="shared" si="414"/>
        <v>25054.770287296509</v>
      </c>
      <c r="CY110" s="417">
        <f t="shared" si="414"/>
        <v>25054.770287296509</v>
      </c>
      <c r="CZ110" s="417">
        <f t="shared" si="414"/>
        <v>25054.770287296509</v>
      </c>
      <c r="DA110" s="417">
        <f t="shared" si="414"/>
        <v>25054.770287296509</v>
      </c>
      <c r="DB110" s="417">
        <f t="shared" si="414"/>
        <v>25054.770287296509</v>
      </c>
      <c r="DC110" s="417">
        <f t="shared" si="414"/>
        <v>25054.770287296509</v>
      </c>
      <c r="DD110" s="417">
        <f t="shared" si="414"/>
        <v>25054.770287296509</v>
      </c>
      <c r="DE110" s="417">
        <f t="shared" si="414"/>
        <v>25681.139544478916</v>
      </c>
      <c r="DF110" s="417">
        <f t="shared" si="414"/>
        <v>25681.139544478916</v>
      </c>
      <c r="DG110" s="417">
        <f t="shared" si="414"/>
        <v>25681.139544478916</v>
      </c>
      <c r="DH110" s="417">
        <f t="shared" si="415"/>
        <v>25681.139544478916</v>
      </c>
      <c r="DI110" s="417">
        <f t="shared" si="415"/>
        <v>25681.139544478916</v>
      </c>
      <c r="DJ110" s="417">
        <f t="shared" si="415"/>
        <v>25681.139544478916</v>
      </c>
      <c r="DK110" s="417">
        <f t="shared" si="415"/>
        <v>25681.139544478916</v>
      </c>
      <c r="DL110" s="417">
        <f t="shared" si="415"/>
        <v>25681.139544478916</v>
      </c>
      <c r="DM110" s="417">
        <f t="shared" si="415"/>
        <v>25681.139544478916</v>
      </c>
      <c r="DN110" s="417">
        <f t="shared" si="415"/>
        <v>25681.139544478916</v>
      </c>
      <c r="DO110" s="417">
        <f t="shared" si="415"/>
        <v>25681.139544478916</v>
      </c>
      <c r="DP110" s="417">
        <f t="shared" si="415"/>
        <v>25681.139544478916</v>
      </c>
      <c r="DQ110" s="417">
        <f t="shared" si="415"/>
        <v>26323.168033090886</v>
      </c>
      <c r="DR110" s="417">
        <f t="shared" si="416"/>
        <v>26323.168033090886</v>
      </c>
      <c r="DS110" s="417">
        <f t="shared" si="416"/>
        <v>26323.168033090886</v>
      </c>
      <c r="DT110" s="417">
        <f t="shared" si="416"/>
        <v>26323.168033090886</v>
      </c>
      <c r="DU110" s="417">
        <f t="shared" si="416"/>
        <v>26323.168033090886</v>
      </c>
      <c r="DV110" s="417">
        <f t="shared" si="416"/>
        <v>26323.168033090886</v>
      </c>
      <c r="DW110" s="417">
        <f t="shared" si="416"/>
        <v>26323.168033090886</v>
      </c>
      <c r="DX110" s="417">
        <f t="shared" si="416"/>
        <v>26323.168033090886</v>
      </c>
      <c r="DY110" s="417">
        <f t="shared" si="416"/>
        <v>26323.168033090886</v>
      </c>
      <c r="DZ110" s="417">
        <f t="shared" si="416"/>
        <v>26323.168033090886</v>
      </c>
      <c r="EA110" s="417">
        <f t="shared" si="416"/>
        <v>26323.168033090886</v>
      </c>
      <c r="EB110" s="417">
        <f t="shared" si="417"/>
        <v>26323.168033090886</v>
      </c>
      <c r="EC110" s="417">
        <f t="shared" si="417"/>
        <v>26981.247233918162</v>
      </c>
      <c r="ED110" s="417">
        <f t="shared" si="417"/>
        <v>26981.247233918162</v>
      </c>
      <c r="EE110" s="417">
        <f t="shared" si="417"/>
        <v>26981.247233918162</v>
      </c>
      <c r="EF110" s="417">
        <f t="shared" si="417"/>
        <v>26981.247233918162</v>
      </c>
      <c r="EG110" s="417">
        <f t="shared" si="417"/>
        <v>26981.247233918162</v>
      </c>
      <c r="EH110" s="417">
        <f t="shared" si="417"/>
        <v>26981.247233918162</v>
      </c>
      <c r="EI110" s="417">
        <f t="shared" si="417"/>
        <v>26981.247233918162</v>
      </c>
      <c r="EJ110" s="417">
        <f t="shared" si="417"/>
        <v>26981.247233918162</v>
      </c>
      <c r="EK110" s="417">
        <f t="shared" si="417"/>
        <v>26981.247233918162</v>
      </c>
      <c r="EL110" s="417">
        <f t="shared" si="417"/>
        <v>26981.247233918162</v>
      </c>
      <c r="EM110" s="417">
        <f t="shared" si="417"/>
        <v>26981.247233918162</v>
      </c>
      <c r="EN110" s="417">
        <f t="shared" si="417"/>
        <v>26981.247233918162</v>
      </c>
      <c r="EO110" s="208"/>
      <c r="EP110" s="464"/>
      <c r="EQ110" s="465"/>
      <c r="ER110" s="465"/>
      <c r="ES110" s="465"/>
      <c r="ET110" s="465"/>
      <c r="EU110" s="465"/>
      <c r="EV110" s="465"/>
      <c r="EW110" s="465"/>
      <c r="EX110" s="465"/>
      <c r="EY110" s="465"/>
      <c r="EZ110" s="465"/>
      <c r="FA110" s="465"/>
      <c r="FB110" s="465"/>
      <c r="FC110" s="465"/>
      <c r="FD110" s="465"/>
      <c r="FE110" s="465"/>
      <c r="FF110" s="465"/>
      <c r="FG110" s="465"/>
      <c r="FH110" s="465"/>
      <c r="FI110" s="465"/>
      <c r="FJ110" s="465"/>
      <c r="FK110" s="465"/>
      <c r="FL110" s="465"/>
      <c r="FM110" s="465"/>
      <c r="FN110" s="465"/>
      <c r="FO110" s="465"/>
      <c r="FP110" s="465"/>
      <c r="FQ110" s="465"/>
      <c r="FR110" s="465"/>
      <c r="FS110" s="465"/>
      <c r="FT110" s="465"/>
      <c r="FU110" s="465"/>
      <c r="FV110" s="465"/>
      <c r="FW110" s="465"/>
      <c r="FX110" s="465"/>
      <c r="FY110" s="465"/>
      <c r="FZ110" s="465"/>
      <c r="GA110" s="465"/>
      <c r="GB110" s="465"/>
      <c r="GC110" s="465"/>
      <c r="GD110" s="465"/>
      <c r="GE110" s="465"/>
      <c r="GF110" s="465"/>
      <c r="GG110" s="465"/>
      <c r="GH110" s="465"/>
      <c r="GI110" s="465"/>
      <c r="GJ110" s="465"/>
      <c r="GK110" s="465"/>
      <c r="GL110" s="465"/>
      <c r="GM110" s="465"/>
      <c r="GN110" s="465"/>
      <c r="GO110" s="465"/>
      <c r="GP110" s="465"/>
      <c r="GQ110" s="465"/>
      <c r="GR110" s="465"/>
      <c r="GS110" s="465"/>
      <c r="GT110" s="465"/>
      <c r="GU110" s="465"/>
      <c r="GV110" s="465"/>
      <c r="GW110" s="465"/>
      <c r="GX110" s="465"/>
      <c r="GY110" s="465"/>
      <c r="GZ110" s="465"/>
      <c r="HA110" s="465"/>
      <c r="HB110" s="465"/>
      <c r="HC110" s="465"/>
      <c r="HD110" s="465"/>
      <c r="HE110" s="465"/>
      <c r="HF110" s="465"/>
      <c r="HG110" s="465"/>
      <c r="HH110" s="465"/>
      <c r="HI110" s="465"/>
      <c r="HJ110" s="465"/>
      <c r="HK110" s="465"/>
      <c r="HL110" s="465"/>
      <c r="HM110" s="465"/>
      <c r="HN110" s="465"/>
      <c r="HO110" s="465"/>
      <c r="HP110" s="465"/>
      <c r="HQ110" s="465"/>
      <c r="HR110" s="465"/>
      <c r="HS110" s="465"/>
      <c r="HT110" s="465"/>
      <c r="HU110" s="465"/>
      <c r="HV110" s="465"/>
      <c r="HW110" s="465"/>
      <c r="HX110" s="465"/>
      <c r="HY110" s="465"/>
      <c r="HZ110" s="465"/>
      <c r="IA110" s="465"/>
      <c r="IB110" s="465"/>
      <c r="IC110" s="465"/>
      <c r="ID110" s="465"/>
      <c r="IE110" s="465"/>
      <c r="IF110" s="465"/>
      <c r="IG110" s="465"/>
      <c r="IH110" s="465"/>
      <c r="II110" s="465"/>
      <c r="IJ110" s="465"/>
      <c r="IK110" s="465"/>
      <c r="IL110" s="465"/>
      <c r="IM110" s="465"/>
      <c r="IN110" s="465"/>
      <c r="IO110" s="465"/>
      <c r="IP110" s="465"/>
      <c r="IQ110" s="465"/>
      <c r="IR110" s="465"/>
      <c r="IS110" s="465"/>
      <c r="IT110" s="465"/>
      <c r="IU110" s="465"/>
      <c r="IV110" s="465"/>
      <c r="IW110" s="465"/>
      <c r="IX110" s="465"/>
      <c r="IY110" s="465"/>
      <c r="IZ110" s="465"/>
      <c r="JA110" s="465"/>
      <c r="JB110" s="465"/>
      <c r="JC110" s="465"/>
      <c r="JD110" s="465"/>
      <c r="JE110" s="465"/>
      <c r="JF110" s="465"/>
      <c r="JG110" s="465"/>
      <c r="JH110" s="465"/>
      <c r="JI110" s="465"/>
      <c r="JJ110" s="465"/>
      <c r="JK110" s="465"/>
      <c r="JL110" s="465"/>
      <c r="JM110" s="465"/>
      <c r="JN110" s="465"/>
      <c r="JO110" s="465"/>
      <c r="JP110" s="465"/>
      <c r="JQ110" s="465"/>
      <c r="JR110" s="465"/>
      <c r="JS110" s="465"/>
      <c r="JT110" s="465"/>
      <c r="JU110" s="465"/>
      <c r="JV110" s="465"/>
      <c r="JW110" s="465"/>
      <c r="JX110" s="20"/>
      <c r="JY110"/>
      <c r="JZ110" s="466"/>
      <c r="KA110" s="466"/>
      <c r="KB110" s="466"/>
      <c r="KC110" s="466"/>
      <c r="KD110" s="466"/>
      <c r="KE110" s="466"/>
      <c r="KF110" s="466"/>
      <c r="KG110" s="466"/>
      <c r="KH110" s="466"/>
      <c r="KI110" s="466"/>
      <c r="KJ110" s="466"/>
      <c r="KK110" s="466"/>
      <c r="KL110" s="466"/>
      <c r="KM110" s="466"/>
      <c r="KN110" s="466"/>
      <c r="KO110" s="466"/>
      <c r="KP110" s="466"/>
      <c r="KQ110" s="466"/>
      <c r="KR110" s="466"/>
      <c r="KS110" s="466"/>
      <c r="KT110" s="466"/>
      <c r="KU110" s="466"/>
      <c r="KV110" s="466"/>
      <c r="KW110" s="466"/>
      <c r="KX110" s="466"/>
      <c r="KY110" s="466"/>
      <c r="KZ110" s="466"/>
      <c r="LA110" s="466"/>
      <c r="LB110" s="466"/>
      <c r="LC110" s="466"/>
      <c r="LD110" s="466"/>
      <c r="LE110" s="466"/>
      <c r="LF110" s="466"/>
      <c r="LG110" s="466"/>
      <c r="LH110" s="466"/>
      <c r="LI110" s="466"/>
      <c r="LJ110" s="466"/>
      <c r="LK110" s="466"/>
      <c r="LL110" s="466"/>
      <c r="LM110" s="466"/>
      <c r="LN110" s="466"/>
      <c r="LO110" s="466"/>
      <c r="LP110" s="466"/>
      <c r="LQ110" s="466"/>
      <c r="LR110" s="466"/>
      <c r="LS110" s="466"/>
      <c r="LT110" s="466"/>
      <c r="LU110" s="466"/>
      <c r="LV110" s="466"/>
      <c r="LW110" s="466"/>
      <c r="LX110" s="466"/>
      <c r="LY110" s="466"/>
      <c r="LZ110" s="466"/>
      <c r="MA110" s="466"/>
      <c r="MB110" s="466"/>
      <c r="MC110" s="466"/>
      <c r="MD110" s="466"/>
      <c r="ME110" s="466"/>
      <c r="MF110" s="466"/>
      <c r="MG110" s="466"/>
      <c r="MH110" s="466"/>
      <c r="MI110" s="466"/>
      <c r="MJ110" s="466"/>
      <c r="MK110" s="466"/>
      <c r="ML110" s="466"/>
      <c r="MM110" s="466"/>
      <c r="MN110" s="466"/>
      <c r="MO110" s="466"/>
      <c r="MP110" s="466"/>
      <c r="MQ110" s="466"/>
      <c r="MR110" s="466"/>
      <c r="MS110" s="466"/>
      <c r="MT110" s="466"/>
      <c r="MU110" s="466"/>
      <c r="MV110" s="466"/>
      <c r="MW110" s="466"/>
      <c r="MX110" s="466"/>
      <c r="MY110" s="466"/>
      <c r="MZ110" s="466"/>
      <c r="NA110" s="466"/>
      <c r="NB110" s="466"/>
      <c r="NC110" s="466"/>
      <c r="ND110" s="466"/>
      <c r="NE110" s="466"/>
      <c r="NF110" s="466"/>
      <c r="NG110" s="466"/>
      <c r="NH110" s="466"/>
      <c r="NI110" s="466"/>
      <c r="NJ110" s="466"/>
      <c r="NK110" s="466"/>
      <c r="NL110" s="466"/>
      <c r="NM110" s="466"/>
      <c r="NN110" s="466"/>
      <c r="NO110" s="466"/>
      <c r="NP110" s="466"/>
      <c r="NQ110" s="466"/>
      <c r="NR110" s="466"/>
      <c r="NS110" s="466"/>
      <c r="NT110" s="466"/>
      <c r="NU110" s="466"/>
      <c r="NV110" s="466"/>
      <c r="NW110" s="466"/>
      <c r="NX110" s="466"/>
      <c r="NY110" s="466"/>
      <c r="NZ110" s="466"/>
      <c r="OA110" s="466"/>
      <c r="OB110" s="466"/>
      <c r="OC110" s="466"/>
      <c r="OD110" s="466"/>
      <c r="OE110" s="466"/>
      <c r="OF110" s="466"/>
      <c r="OG110" s="466"/>
      <c r="OH110" s="466"/>
      <c r="OI110" s="466"/>
      <c r="OJ110" s="466"/>
      <c r="OK110" s="466"/>
      <c r="OL110" s="466"/>
      <c r="OM110" s="466"/>
      <c r="ON110" s="466"/>
      <c r="OO110" s="466"/>
      <c r="OP110" s="466"/>
      <c r="OQ110" s="466"/>
      <c r="OR110" s="466"/>
      <c r="OS110" s="466"/>
      <c r="OT110" s="466"/>
      <c r="OU110" s="466"/>
      <c r="OV110" s="466"/>
      <c r="OW110" s="466"/>
      <c r="OX110" s="466"/>
      <c r="OY110" s="466"/>
      <c r="OZ110" s="466"/>
      <c r="PA110" s="466"/>
      <c r="PB110" s="466"/>
      <c r="PC110" s="466"/>
      <c r="PD110" s="466"/>
      <c r="PE110" s="466"/>
      <c r="PF110" s="466"/>
      <c r="PG110" s="466"/>
      <c r="PH110" s="466"/>
    </row>
    <row r="111" spans="1:424" x14ac:dyDescent="0.35">
      <c r="A111"/>
      <c r="B111" s="91" t="str">
        <f t="shared" si="400"/>
        <v>Food Truck Park</v>
      </c>
      <c r="C111" s="469" t="s">
        <v>280</v>
      </c>
      <c r="D111" s="276" t="s">
        <v>279</v>
      </c>
      <c r="E111" s="45">
        <f t="shared" si="401"/>
        <v>28</v>
      </c>
      <c r="F111" s="53">
        <v>1</v>
      </c>
      <c r="G111" s="254">
        <f t="shared" si="402"/>
        <v>1.9115493005131361E-3</v>
      </c>
      <c r="H111" s="148">
        <f t="shared" si="403"/>
        <v>41.904711317697256</v>
      </c>
      <c r="I111" s="445">
        <f t="shared" si="404"/>
        <v>6285.7066976545884</v>
      </c>
      <c r="J111"/>
      <c r="K111" s="75"/>
      <c r="L111" s="75">
        <f t="shared" si="405"/>
        <v>0</v>
      </c>
      <c r="M111" s="417">
        <f t="shared" si="405"/>
        <v>0</v>
      </c>
      <c r="N111" s="417">
        <f t="shared" si="405"/>
        <v>0</v>
      </c>
      <c r="O111" s="417">
        <f t="shared" si="405"/>
        <v>0</v>
      </c>
      <c r="P111" s="417">
        <f t="shared" si="405"/>
        <v>0</v>
      </c>
      <c r="Q111" s="417">
        <f t="shared" si="405"/>
        <v>0</v>
      </c>
      <c r="R111" s="417">
        <f t="shared" si="405"/>
        <v>0</v>
      </c>
      <c r="S111" s="417">
        <f t="shared" si="405"/>
        <v>0</v>
      </c>
      <c r="T111" s="417">
        <f t="shared" si="405"/>
        <v>0</v>
      </c>
      <c r="U111" s="417">
        <f t="shared" si="405"/>
        <v>0</v>
      </c>
      <c r="V111" s="417">
        <f t="shared" si="406"/>
        <v>0</v>
      </c>
      <c r="W111" s="417">
        <f t="shared" si="406"/>
        <v>0</v>
      </c>
      <c r="X111" s="417">
        <f t="shared" si="406"/>
        <v>0</v>
      </c>
      <c r="Y111" s="417">
        <f t="shared" si="406"/>
        <v>0</v>
      </c>
      <c r="Z111" s="417">
        <f t="shared" si="406"/>
        <v>0</v>
      </c>
      <c r="AA111" s="417">
        <f t="shared" si="406"/>
        <v>0</v>
      </c>
      <c r="AB111" s="417">
        <f t="shared" si="406"/>
        <v>0</v>
      </c>
      <c r="AC111" s="417">
        <f t="shared" si="406"/>
        <v>0</v>
      </c>
      <c r="AD111" s="417">
        <f t="shared" si="406"/>
        <v>0</v>
      </c>
      <c r="AE111" s="417">
        <f t="shared" si="406"/>
        <v>0</v>
      </c>
      <c r="AF111" s="417">
        <f t="shared" si="407"/>
        <v>0</v>
      </c>
      <c r="AG111" s="417">
        <f t="shared" si="407"/>
        <v>0</v>
      </c>
      <c r="AH111" s="417">
        <f t="shared" si="407"/>
        <v>0</v>
      </c>
      <c r="AI111" s="417">
        <f t="shared" si="407"/>
        <v>0</v>
      </c>
      <c r="AJ111" s="417">
        <f t="shared" si="407"/>
        <v>0</v>
      </c>
      <c r="AK111" s="417">
        <f t="shared" si="407"/>
        <v>0</v>
      </c>
      <c r="AL111" s="417">
        <f t="shared" si="407"/>
        <v>0</v>
      </c>
      <c r="AM111" s="417">
        <f t="shared" si="407"/>
        <v>0</v>
      </c>
      <c r="AN111" s="417">
        <f t="shared" si="407"/>
        <v>0</v>
      </c>
      <c r="AO111" s="417">
        <f t="shared" si="407"/>
        <v>0</v>
      </c>
      <c r="AP111" s="417">
        <f t="shared" si="408"/>
        <v>0</v>
      </c>
      <c r="AQ111" s="417">
        <f t="shared" si="408"/>
        <v>0</v>
      </c>
      <c r="AR111" s="417">
        <f t="shared" si="408"/>
        <v>0</v>
      </c>
      <c r="AS111" s="417">
        <f t="shared" si="408"/>
        <v>0</v>
      </c>
      <c r="AT111" s="417">
        <f t="shared" si="408"/>
        <v>0</v>
      </c>
      <c r="AU111" s="417">
        <f t="shared" si="408"/>
        <v>0</v>
      </c>
      <c r="AV111" s="417">
        <f t="shared" si="408"/>
        <v>0</v>
      </c>
      <c r="AW111" s="417">
        <f t="shared" si="408"/>
        <v>0</v>
      </c>
      <c r="AX111" s="417">
        <f t="shared" si="408"/>
        <v>43.650740955934637</v>
      </c>
      <c r="AY111" s="417">
        <f t="shared" si="408"/>
        <v>87.301481911869274</v>
      </c>
      <c r="AZ111" s="417">
        <f t="shared" si="409"/>
        <v>130.9522228678039</v>
      </c>
      <c r="BA111" s="417">
        <f t="shared" si="409"/>
        <v>174.60296382373855</v>
      </c>
      <c r="BB111" s="417">
        <f t="shared" si="409"/>
        <v>218.2537047796732</v>
      </c>
      <c r="BC111" s="417">
        <f t="shared" si="409"/>
        <v>261.90444573560779</v>
      </c>
      <c r="BD111" s="417">
        <f t="shared" si="409"/>
        <v>305.55518669154247</v>
      </c>
      <c r="BE111" s="417">
        <f t="shared" si="409"/>
        <v>349.2059276474771</v>
      </c>
      <c r="BF111" s="417">
        <f t="shared" si="409"/>
        <v>392.85666860341178</v>
      </c>
      <c r="BG111" s="417">
        <f t="shared" si="409"/>
        <v>436.5074095593464</v>
      </c>
      <c r="BH111" s="417">
        <f t="shared" si="409"/>
        <v>480.15815051528097</v>
      </c>
      <c r="BI111" s="417">
        <f t="shared" si="409"/>
        <v>536.90411375799602</v>
      </c>
      <c r="BJ111" s="417">
        <f t="shared" si="410"/>
        <v>536.90411375799602</v>
      </c>
      <c r="BK111" s="417">
        <f t="shared" si="410"/>
        <v>536.90411375799602</v>
      </c>
      <c r="BL111" s="417">
        <f t="shared" si="410"/>
        <v>536.90411375799602</v>
      </c>
      <c r="BM111" s="417">
        <f t="shared" si="410"/>
        <v>536.90411375799602</v>
      </c>
      <c r="BN111" s="417">
        <f t="shared" si="410"/>
        <v>536.90411375799602</v>
      </c>
      <c r="BO111" s="417">
        <f t="shared" si="410"/>
        <v>536.90411375799602</v>
      </c>
      <c r="BP111" s="417">
        <f t="shared" si="410"/>
        <v>536.90411375799602</v>
      </c>
      <c r="BQ111" s="417">
        <f t="shared" si="410"/>
        <v>536.90411375799602</v>
      </c>
      <c r="BR111" s="417">
        <f t="shared" si="410"/>
        <v>536.90411375799602</v>
      </c>
      <c r="BS111" s="417">
        <f t="shared" si="410"/>
        <v>536.90411375799602</v>
      </c>
      <c r="BT111" s="417">
        <f t="shared" si="411"/>
        <v>536.90411375799602</v>
      </c>
      <c r="BU111" s="417">
        <f t="shared" si="411"/>
        <v>550.32671660194592</v>
      </c>
      <c r="BV111" s="417">
        <f t="shared" si="411"/>
        <v>550.32671660194592</v>
      </c>
      <c r="BW111" s="417">
        <f t="shared" si="411"/>
        <v>550.32671660194592</v>
      </c>
      <c r="BX111" s="417">
        <f t="shared" si="411"/>
        <v>550.32671660194592</v>
      </c>
      <c r="BY111" s="417">
        <f t="shared" si="411"/>
        <v>550.32671660194592</v>
      </c>
      <c r="BZ111" s="417">
        <f t="shared" si="411"/>
        <v>550.32671660194592</v>
      </c>
      <c r="CA111" s="417">
        <f t="shared" si="411"/>
        <v>550.32671660194592</v>
      </c>
      <c r="CB111" s="417">
        <f t="shared" si="411"/>
        <v>550.32671660194592</v>
      </c>
      <c r="CC111" s="417">
        <f t="shared" si="411"/>
        <v>550.32671660194592</v>
      </c>
      <c r="CD111" s="417">
        <f t="shared" si="412"/>
        <v>550.32671660194592</v>
      </c>
      <c r="CE111" s="417">
        <f t="shared" si="412"/>
        <v>550.32671660194592</v>
      </c>
      <c r="CF111" s="417">
        <f t="shared" si="412"/>
        <v>550.32671660194592</v>
      </c>
      <c r="CG111" s="417">
        <f t="shared" si="412"/>
        <v>564.08488451699452</v>
      </c>
      <c r="CH111" s="417">
        <f t="shared" si="412"/>
        <v>564.08488451699452</v>
      </c>
      <c r="CI111" s="417">
        <f t="shared" si="412"/>
        <v>564.08488451699452</v>
      </c>
      <c r="CJ111" s="417">
        <f t="shared" si="412"/>
        <v>564.08488451699452</v>
      </c>
      <c r="CK111" s="417">
        <f t="shared" si="412"/>
        <v>564.08488451699452</v>
      </c>
      <c r="CL111" s="417">
        <f t="shared" si="412"/>
        <v>564.08488451699452</v>
      </c>
      <c r="CM111" s="417">
        <f t="shared" si="412"/>
        <v>564.08488451699452</v>
      </c>
      <c r="CN111" s="417">
        <f t="shared" si="413"/>
        <v>564.08488451699452</v>
      </c>
      <c r="CO111" s="417">
        <f t="shared" si="413"/>
        <v>564.08488451699452</v>
      </c>
      <c r="CP111" s="417">
        <f t="shared" si="413"/>
        <v>564.08488451699452</v>
      </c>
      <c r="CQ111" s="417">
        <f t="shared" si="413"/>
        <v>564.08488451699452</v>
      </c>
      <c r="CR111" s="417">
        <f t="shared" si="413"/>
        <v>564.08488451699452</v>
      </c>
      <c r="CS111" s="417">
        <f t="shared" si="413"/>
        <v>578.18700662991932</v>
      </c>
      <c r="CT111" s="417">
        <f t="shared" si="413"/>
        <v>578.18700662991932</v>
      </c>
      <c r="CU111" s="417">
        <f t="shared" si="413"/>
        <v>578.18700662991932</v>
      </c>
      <c r="CV111" s="417">
        <f t="shared" si="413"/>
        <v>578.18700662991932</v>
      </c>
      <c r="CW111" s="417">
        <f t="shared" si="413"/>
        <v>578.18700662991932</v>
      </c>
      <c r="CX111" s="417">
        <f t="shared" si="414"/>
        <v>578.18700662991932</v>
      </c>
      <c r="CY111" s="417">
        <f t="shared" si="414"/>
        <v>578.18700662991932</v>
      </c>
      <c r="CZ111" s="417">
        <f t="shared" si="414"/>
        <v>578.18700662991932</v>
      </c>
      <c r="DA111" s="417">
        <f t="shared" si="414"/>
        <v>578.18700662991932</v>
      </c>
      <c r="DB111" s="417">
        <f t="shared" si="414"/>
        <v>578.18700662991932</v>
      </c>
      <c r="DC111" s="417">
        <f t="shared" si="414"/>
        <v>578.18700662991932</v>
      </c>
      <c r="DD111" s="417">
        <f t="shared" si="414"/>
        <v>578.18700662991932</v>
      </c>
      <c r="DE111" s="417">
        <f t="shared" si="414"/>
        <v>592.6416817956673</v>
      </c>
      <c r="DF111" s="417">
        <f t="shared" si="414"/>
        <v>592.6416817956673</v>
      </c>
      <c r="DG111" s="417">
        <f t="shared" si="414"/>
        <v>592.6416817956673</v>
      </c>
      <c r="DH111" s="417">
        <f t="shared" si="415"/>
        <v>592.6416817956673</v>
      </c>
      <c r="DI111" s="417">
        <f t="shared" si="415"/>
        <v>592.6416817956673</v>
      </c>
      <c r="DJ111" s="417">
        <f t="shared" si="415"/>
        <v>592.6416817956673</v>
      </c>
      <c r="DK111" s="417">
        <f t="shared" si="415"/>
        <v>592.6416817956673</v>
      </c>
      <c r="DL111" s="417">
        <f t="shared" si="415"/>
        <v>592.6416817956673</v>
      </c>
      <c r="DM111" s="417">
        <f t="shared" si="415"/>
        <v>592.6416817956673</v>
      </c>
      <c r="DN111" s="417">
        <f t="shared" si="415"/>
        <v>592.6416817956673</v>
      </c>
      <c r="DO111" s="417">
        <f t="shared" si="415"/>
        <v>592.6416817956673</v>
      </c>
      <c r="DP111" s="417">
        <f t="shared" si="415"/>
        <v>592.6416817956673</v>
      </c>
      <c r="DQ111" s="417">
        <f t="shared" si="415"/>
        <v>607.45772384055886</v>
      </c>
      <c r="DR111" s="417">
        <f t="shared" si="416"/>
        <v>607.45772384055886</v>
      </c>
      <c r="DS111" s="417">
        <f t="shared" si="416"/>
        <v>607.45772384055886</v>
      </c>
      <c r="DT111" s="417">
        <f t="shared" si="416"/>
        <v>607.45772384055886</v>
      </c>
      <c r="DU111" s="417">
        <f t="shared" si="416"/>
        <v>607.45772384055886</v>
      </c>
      <c r="DV111" s="417">
        <f t="shared" si="416"/>
        <v>607.45772384055886</v>
      </c>
      <c r="DW111" s="417">
        <f t="shared" si="416"/>
        <v>607.45772384055886</v>
      </c>
      <c r="DX111" s="417">
        <f t="shared" si="416"/>
        <v>607.45772384055886</v>
      </c>
      <c r="DY111" s="417">
        <f t="shared" si="416"/>
        <v>607.45772384055886</v>
      </c>
      <c r="DZ111" s="417">
        <f t="shared" si="416"/>
        <v>607.45772384055886</v>
      </c>
      <c r="EA111" s="417">
        <f t="shared" si="416"/>
        <v>607.45772384055886</v>
      </c>
      <c r="EB111" s="417">
        <f t="shared" si="417"/>
        <v>607.45772384055886</v>
      </c>
      <c r="EC111" s="417">
        <f t="shared" si="417"/>
        <v>622.6441669365729</v>
      </c>
      <c r="ED111" s="417">
        <f t="shared" si="417"/>
        <v>622.6441669365729</v>
      </c>
      <c r="EE111" s="417">
        <f t="shared" si="417"/>
        <v>622.6441669365729</v>
      </c>
      <c r="EF111" s="417">
        <f t="shared" si="417"/>
        <v>622.6441669365729</v>
      </c>
      <c r="EG111" s="417">
        <f t="shared" si="417"/>
        <v>622.6441669365729</v>
      </c>
      <c r="EH111" s="417">
        <f t="shared" si="417"/>
        <v>622.6441669365729</v>
      </c>
      <c r="EI111" s="417">
        <f t="shared" si="417"/>
        <v>622.6441669365729</v>
      </c>
      <c r="EJ111" s="417">
        <f t="shared" si="417"/>
        <v>622.6441669365729</v>
      </c>
      <c r="EK111" s="417">
        <f t="shared" si="417"/>
        <v>622.6441669365729</v>
      </c>
      <c r="EL111" s="417">
        <f t="shared" si="417"/>
        <v>622.6441669365729</v>
      </c>
      <c r="EM111" s="417">
        <f t="shared" si="417"/>
        <v>622.6441669365729</v>
      </c>
      <c r="EN111" s="417">
        <f t="shared" si="417"/>
        <v>622.6441669365729</v>
      </c>
      <c r="EO111" s="208"/>
      <c r="EP111" s="464"/>
      <c r="EQ111" s="465"/>
      <c r="ER111" s="465"/>
      <c r="ES111" s="465"/>
      <c r="ET111" s="465"/>
      <c r="EU111" s="465"/>
      <c r="EV111" s="465"/>
      <c r="EW111" s="465"/>
      <c r="EX111" s="465"/>
      <c r="EY111" s="465"/>
      <c r="EZ111" s="465"/>
      <c r="FA111" s="465"/>
      <c r="FB111" s="465"/>
      <c r="FC111" s="465"/>
      <c r="FD111" s="465"/>
      <c r="FE111" s="465"/>
      <c r="FF111" s="465"/>
      <c r="FG111" s="465"/>
      <c r="FH111" s="465"/>
      <c r="FI111" s="465"/>
      <c r="FJ111" s="465"/>
      <c r="FK111" s="465"/>
      <c r="FL111" s="465"/>
      <c r="FM111" s="465"/>
      <c r="FN111" s="465"/>
      <c r="FO111" s="465"/>
      <c r="FP111" s="465"/>
      <c r="FQ111" s="465"/>
      <c r="FR111" s="465"/>
      <c r="FS111" s="465"/>
      <c r="FT111" s="465"/>
      <c r="FU111" s="465"/>
      <c r="FV111" s="465"/>
      <c r="FW111" s="465"/>
      <c r="FX111" s="465"/>
      <c r="FY111" s="465"/>
      <c r="FZ111" s="465"/>
      <c r="GA111" s="465"/>
      <c r="GB111" s="465"/>
      <c r="GC111" s="465"/>
      <c r="GD111" s="465"/>
      <c r="GE111" s="465"/>
      <c r="GF111" s="465"/>
      <c r="GG111" s="465"/>
      <c r="GH111" s="465"/>
      <c r="GI111" s="465"/>
      <c r="GJ111" s="465"/>
      <c r="GK111" s="465"/>
      <c r="GL111" s="465"/>
      <c r="GM111" s="465"/>
      <c r="GN111" s="465"/>
      <c r="GO111" s="465"/>
      <c r="GP111" s="465"/>
      <c r="GQ111" s="465"/>
      <c r="GR111" s="465"/>
      <c r="GS111" s="465"/>
      <c r="GT111" s="465"/>
      <c r="GU111" s="465"/>
      <c r="GV111" s="465"/>
      <c r="GW111" s="465"/>
      <c r="GX111" s="465"/>
      <c r="GY111" s="465"/>
      <c r="GZ111" s="465"/>
      <c r="HA111" s="465"/>
      <c r="HB111" s="465"/>
      <c r="HC111" s="465"/>
      <c r="HD111" s="465"/>
      <c r="HE111" s="465"/>
      <c r="HF111" s="465"/>
      <c r="HG111" s="465"/>
      <c r="HH111" s="465"/>
      <c r="HI111" s="465"/>
      <c r="HJ111" s="465"/>
      <c r="HK111" s="465"/>
      <c r="HL111" s="465"/>
      <c r="HM111" s="465"/>
      <c r="HN111" s="465"/>
      <c r="HO111" s="465"/>
      <c r="HP111" s="465"/>
      <c r="HQ111" s="465"/>
      <c r="HR111" s="465"/>
      <c r="HS111" s="465"/>
      <c r="HT111" s="465"/>
      <c r="HU111" s="465"/>
      <c r="HV111" s="465"/>
      <c r="HW111" s="465"/>
      <c r="HX111" s="465"/>
      <c r="HY111" s="465"/>
      <c r="HZ111" s="465"/>
      <c r="IA111" s="465"/>
      <c r="IB111" s="465"/>
      <c r="IC111" s="465"/>
      <c r="ID111" s="465"/>
      <c r="IE111" s="465"/>
      <c r="IF111" s="465"/>
      <c r="IG111" s="465"/>
      <c r="IH111" s="465"/>
      <c r="II111" s="465"/>
      <c r="IJ111" s="465"/>
      <c r="IK111" s="465"/>
      <c r="IL111" s="465"/>
      <c r="IM111" s="465"/>
      <c r="IN111" s="465"/>
      <c r="IO111" s="465"/>
      <c r="IP111" s="465"/>
      <c r="IQ111" s="465"/>
      <c r="IR111" s="465"/>
      <c r="IS111" s="465"/>
      <c r="IT111" s="465"/>
      <c r="IU111" s="465"/>
      <c r="IV111" s="465"/>
      <c r="IW111" s="465"/>
      <c r="IX111" s="465"/>
      <c r="IY111" s="465"/>
      <c r="IZ111" s="465"/>
      <c r="JA111" s="465"/>
      <c r="JB111" s="465"/>
      <c r="JC111" s="465"/>
      <c r="JD111" s="465"/>
      <c r="JE111" s="465"/>
      <c r="JF111" s="465"/>
      <c r="JG111" s="465"/>
      <c r="JH111" s="465"/>
      <c r="JI111" s="465"/>
      <c r="JJ111" s="465"/>
      <c r="JK111" s="465"/>
      <c r="JL111" s="465"/>
      <c r="JM111" s="465"/>
      <c r="JN111" s="465"/>
      <c r="JO111" s="465"/>
      <c r="JP111" s="465"/>
      <c r="JQ111" s="465"/>
      <c r="JR111" s="465"/>
      <c r="JS111" s="465"/>
      <c r="JT111" s="465"/>
      <c r="JU111" s="465"/>
      <c r="JV111" s="465"/>
      <c r="JW111" s="465"/>
      <c r="JX111" s="20"/>
      <c r="JY111"/>
      <c r="JZ111" s="466"/>
      <c r="KA111" s="466"/>
      <c r="KB111" s="466"/>
      <c r="KC111" s="466"/>
      <c r="KD111" s="466"/>
      <c r="KE111" s="466"/>
      <c r="KF111" s="466"/>
      <c r="KG111" s="466"/>
      <c r="KH111" s="466"/>
      <c r="KI111" s="466"/>
      <c r="KJ111" s="466"/>
      <c r="KK111" s="466"/>
      <c r="KL111" s="466"/>
      <c r="KM111" s="466"/>
      <c r="KN111" s="466"/>
      <c r="KO111" s="466"/>
      <c r="KP111" s="466"/>
      <c r="KQ111" s="466"/>
      <c r="KR111" s="466"/>
      <c r="KS111" s="466"/>
      <c r="KT111" s="466"/>
      <c r="KU111" s="466"/>
      <c r="KV111" s="466"/>
      <c r="KW111" s="466"/>
      <c r="KX111" s="466"/>
      <c r="KY111" s="466"/>
      <c r="KZ111" s="466"/>
      <c r="LA111" s="466"/>
      <c r="LB111" s="466"/>
      <c r="LC111" s="466"/>
      <c r="LD111" s="466"/>
      <c r="LE111" s="466"/>
      <c r="LF111" s="466"/>
      <c r="LG111" s="466"/>
      <c r="LH111" s="466"/>
      <c r="LI111" s="466"/>
      <c r="LJ111" s="466"/>
      <c r="LK111" s="466"/>
      <c r="LL111" s="466"/>
      <c r="LM111" s="466"/>
      <c r="LN111" s="466"/>
      <c r="LO111" s="466"/>
      <c r="LP111" s="466"/>
      <c r="LQ111" s="466"/>
      <c r="LR111" s="466"/>
      <c r="LS111" s="466"/>
      <c r="LT111" s="466"/>
      <c r="LU111" s="466"/>
      <c r="LV111" s="466"/>
      <c r="LW111" s="466"/>
      <c r="LX111" s="466"/>
      <c r="LY111" s="466"/>
      <c r="LZ111" s="466"/>
      <c r="MA111" s="466"/>
      <c r="MB111" s="466"/>
      <c r="MC111" s="466"/>
      <c r="MD111" s="466"/>
      <c r="ME111" s="466"/>
      <c r="MF111" s="466"/>
      <c r="MG111" s="466"/>
      <c r="MH111" s="466"/>
      <c r="MI111" s="466"/>
      <c r="MJ111" s="466"/>
      <c r="MK111" s="466"/>
      <c r="ML111" s="466"/>
      <c r="MM111" s="466"/>
      <c r="MN111" s="466"/>
      <c r="MO111" s="466"/>
      <c r="MP111" s="466"/>
      <c r="MQ111" s="466"/>
      <c r="MR111" s="466"/>
      <c r="MS111" s="466"/>
      <c r="MT111" s="466"/>
      <c r="MU111" s="466"/>
      <c r="MV111" s="466"/>
      <c r="MW111" s="466"/>
      <c r="MX111" s="466"/>
      <c r="MY111" s="466"/>
      <c r="MZ111" s="466"/>
      <c r="NA111" s="466"/>
      <c r="NB111" s="466"/>
      <c r="NC111" s="466"/>
      <c r="ND111" s="466"/>
      <c r="NE111" s="466"/>
      <c r="NF111" s="466"/>
      <c r="NG111" s="466"/>
      <c r="NH111" s="466"/>
      <c r="NI111" s="466"/>
      <c r="NJ111" s="466"/>
      <c r="NK111" s="466"/>
      <c r="NL111" s="466"/>
      <c r="NM111" s="466"/>
      <c r="NN111" s="466"/>
      <c r="NO111" s="466"/>
      <c r="NP111" s="466"/>
      <c r="NQ111" s="466"/>
      <c r="NR111" s="466"/>
      <c r="NS111" s="466"/>
      <c r="NT111" s="466"/>
      <c r="NU111" s="466"/>
      <c r="NV111" s="466"/>
      <c r="NW111" s="466"/>
      <c r="NX111" s="466"/>
      <c r="NY111" s="466"/>
      <c r="NZ111" s="466"/>
      <c r="OA111" s="466"/>
      <c r="OB111" s="466"/>
      <c r="OC111" s="466"/>
      <c r="OD111" s="466"/>
      <c r="OE111" s="466"/>
      <c r="OF111" s="466"/>
      <c r="OG111" s="466"/>
      <c r="OH111" s="466"/>
      <c r="OI111" s="466"/>
      <c r="OJ111" s="466"/>
      <c r="OK111" s="466"/>
      <c r="OL111" s="466"/>
      <c r="OM111" s="466"/>
      <c r="ON111" s="466"/>
      <c r="OO111" s="466"/>
      <c r="OP111" s="466"/>
      <c r="OQ111" s="466"/>
      <c r="OR111" s="466"/>
      <c r="OS111" s="466"/>
      <c r="OT111" s="466"/>
      <c r="OU111" s="466"/>
      <c r="OV111" s="466"/>
      <c r="OW111" s="466"/>
      <c r="OX111" s="466"/>
      <c r="OY111" s="466"/>
      <c r="OZ111" s="466"/>
      <c r="PA111" s="466"/>
      <c r="PB111" s="466"/>
      <c r="PC111" s="466"/>
      <c r="PD111" s="466"/>
      <c r="PE111" s="466"/>
      <c r="PF111" s="466"/>
      <c r="PG111" s="466"/>
      <c r="PH111" s="466"/>
    </row>
    <row r="112" spans="1:424" x14ac:dyDescent="0.35">
      <c r="A112"/>
      <c r="B112" s="91" t="str">
        <f t="shared" si="400"/>
        <v>Genesis Health &amp; Fitness</v>
      </c>
      <c r="C112" s="469" t="s">
        <v>278</v>
      </c>
      <c r="D112" s="276" t="s">
        <v>279</v>
      </c>
      <c r="E112" s="45">
        <f t="shared" si="401"/>
        <v>28</v>
      </c>
      <c r="F112" s="53">
        <v>1</v>
      </c>
      <c r="G112" s="254">
        <f t="shared" si="402"/>
        <v>5.0974648013683628E-2</v>
      </c>
      <c r="H112" s="148">
        <f t="shared" si="403"/>
        <v>41.904711317697256</v>
      </c>
      <c r="I112" s="445">
        <f t="shared" si="404"/>
        <v>167618.84527078902</v>
      </c>
      <c r="J112"/>
      <c r="K112" s="75"/>
      <c r="L112" s="75">
        <f t="shared" si="405"/>
        <v>0</v>
      </c>
      <c r="M112" s="417">
        <f t="shared" si="405"/>
        <v>0</v>
      </c>
      <c r="N112" s="417">
        <f t="shared" si="405"/>
        <v>0</v>
      </c>
      <c r="O112" s="417">
        <f t="shared" si="405"/>
        <v>0</v>
      </c>
      <c r="P112" s="417">
        <f t="shared" si="405"/>
        <v>0</v>
      </c>
      <c r="Q112" s="417">
        <f t="shared" si="405"/>
        <v>0</v>
      </c>
      <c r="R112" s="417">
        <f t="shared" si="405"/>
        <v>0</v>
      </c>
      <c r="S112" s="417">
        <f t="shared" si="405"/>
        <v>0</v>
      </c>
      <c r="T112" s="417">
        <f t="shared" si="405"/>
        <v>0</v>
      </c>
      <c r="U112" s="417">
        <f t="shared" si="405"/>
        <v>0</v>
      </c>
      <c r="V112" s="417">
        <f t="shared" si="406"/>
        <v>0</v>
      </c>
      <c r="W112" s="417">
        <f t="shared" si="406"/>
        <v>0</v>
      </c>
      <c r="X112" s="417">
        <f t="shared" si="406"/>
        <v>0</v>
      </c>
      <c r="Y112" s="417">
        <f t="shared" si="406"/>
        <v>0</v>
      </c>
      <c r="Z112" s="417">
        <f t="shared" si="406"/>
        <v>0</v>
      </c>
      <c r="AA112" s="417">
        <f t="shared" si="406"/>
        <v>0</v>
      </c>
      <c r="AB112" s="417">
        <f t="shared" si="406"/>
        <v>0</v>
      </c>
      <c r="AC112" s="417">
        <f t="shared" si="406"/>
        <v>0</v>
      </c>
      <c r="AD112" s="417">
        <f t="shared" si="406"/>
        <v>0</v>
      </c>
      <c r="AE112" s="417">
        <f t="shared" si="406"/>
        <v>0</v>
      </c>
      <c r="AF112" s="417">
        <f t="shared" si="407"/>
        <v>0</v>
      </c>
      <c r="AG112" s="417">
        <f t="shared" si="407"/>
        <v>0</v>
      </c>
      <c r="AH112" s="417">
        <f t="shared" si="407"/>
        <v>0</v>
      </c>
      <c r="AI112" s="417">
        <f t="shared" si="407"/>
        <v>0</v>
      </c>
      <c r="AJ112" s="417">
        <f t="shared" si="407"/>
        <v>0</v>
      </c>
      <c r="AK112" s="417">
        <f t="shared" si="407"/>
        <v>0</v>
      </c>
      <c r="AL112" s="417">
        <f t="shared" si="407"/>
        <v>0</v>
      </c>
      <c r="AM112" s="417">
        <f t="shared" si="407"/>
        <v>0</v>
      </c>
      <c r="AN112" s="417">
        <f t="shared" si="407"/>
        <v>0</v>
      </c>
      <c r="AO112" s="417">
        <f t="shared" si="407"/>
        <v>0</v>
      </c>
      <c r="AP112" s="417">
        <f t="shared" si="408"/>
        <v>0</v>
      </c>
      <c r="AQ112" s="417">
        <f t="shared" si="408"/>
        <v>0</v>
      </c>
      <c r="AR112" s="417">
        <f t="shared" si="408"/>
        <v>0</v>
      </c>
      <c r="AS112" s="417">
        <f t="shared" si="408"/>
        <v>0</v>
      </c>
      <c r="AT112" s="417">
        <f t="shared" si="408"/>
        <v>0</v>
      </c>
      <c r="AU112" s="417">
        <f t="shared" si="408"/>
        <v>0</v>
      </c>
      <c r="AV112" s="417">
        <f t="shared" si="408"/>
        <v>0</v>
      </c>
      <c r="AW112" s="417">
        <f t="shared" si="408"/>
        <v>0</v>
      </c>
      <c r="AX112" s="417">
        <f t="shared" si="408"/>
        <v>1164.0197588249234</v>
      </c>
      <c r="AY112" s="417">
        <f t="shared" si="408"/>
        <v>2328.0395176498469</v>
      </c>
      <c r="AZ112" s="417">
        <f t="shared" si="409"/>
        <v>3492.0592764747707</v>
      </c>
      <c r="BA112" s="417">
        <f t="shared" si="409"/>
        <v>4656.0790352996937</v>
      </c>
      <c r="BB112" s="417">
        <f t="shared" si="409"/>
        <v>5820.0987941246185</v>
      </c>
      <c r="BC112" s="417">
        <f t="shared" si="409"/>
        <v>6984.1185529495415</v>
      </c>
      <c r="BD112" s="417">
        <f t="shared" si="409"/>
        <v>8148.1383117744663</v>
      </c>
      <c r="BE112" s="417">
        <f t="shared" si="409"/>
        <v>9312.1580705993874</v>
      </c>
      <c r="BF112" s="417">
        <f t="shared" si="409"/>
        <v>10476.177829424314</v>
      </c>
      <c r="BG112" s="417">
        <f t="shared" si="409"/>
        <v>11640.197588249237</v>
      </c>
      <c r="BH112" s="417">
        <f t="shared" si="409"/>
        <v>12804.217347074158</v>
      </c>
      <c r="BI112" s="417">
        <f t="shared" si="409"/>
        <v>14317.44303354656</v>
      </c>
      <c r="BJ112" s="417">
        <f t="shared" si="410"/>
        <v>14317.44303354656</v>
      </c>
      <c r="BK112" s="417">
        <f t="shared" si="410"/>
        <v>14317.44303354656</v>
      </c>
      <c r="BL112" s="417">
        <f t="shared" si="410"/>
        <v>14317.44303354656</v>
      </c>
      <c r="BM112" s="417">
        <f t="shared" si="410"/>
        <v>14317.44303354656</v>
      </c>
      <c r="BN112" s="417">
        <f t="shared" si="410"/>
        <v>14317.44303354656</v>
      </c>
      <c r="BO112" s="417">
        <f t="shared" si="410"/>
        <v>14317.44303354656</v>
      </c>
      <c r="BP112" s="417">
        <f t="shared" si="410"/>
        <v>14317.44303354656</v>
      </c>
      <c r="BQ112" s="417">
        <f t="shared" si="410"/>
        <v>14317.44303354656</v>
      </c>
      <c r="BR112" s="417">
        <f t="shared" si="410"/>
        <v>14317.44303354656</v>
      </c>
      <c r="BS112" s="417">
        <f t="shared" si="410"/>
        <v>14317.44303354656</v>
      </c>
      <c r="BT112" s="417">
        <f t="shared" si="411"/>
        <v>14317.44303354656</v>
      </c>
      <c r="BU112" s="417">
        <f t="shared" si="411"/>
        <v>14675.379109385223</v>
      </c>
      <c r="BV112" s="417">
        <f t="shared" si="411"/>
        <v>14675.379109385223</v>
      </c>
      <c r="BW112" s="417">
        <f t="shared" si="411"/>
        <v>14675.379109385223</v>
      </c>
      <c r="BX112" s="417">
        <f t="shared" si="411"/>
        <v>14675.379109385223</v>
      </c>
      <c r="BY112" s="417">
        <f t="shared" si="411"/>
        <v>14675.379109385223</v>
      </c>
      <c r="BZ112" s="417">
        <f t="shared" si="411"/>
        <v>14675.379109385223</v>
      </c>
      <c r="CA112" s="417">
        <f t="shared" si="411"/>
        <v>14675.379109385223</v>
      </c>
      <c r="CB112" s="417">
        <f t="shared" si="411"/>
        <v>14675.379109385223</v>
      </c>
      <c r="CC112" s="417">
        <f t="shared" si="411"/>
        <v>14675.379109385223</v>
      </c>
      <c r="CD112" s="417">
        <f t="shared" si="412"/>
        <v>14675.379109385223</v>
      </c>
      <c r="CE112" s="417">
        <f t="shared" si="412"/>
        <v>14675.379109385223</v>
      </c>
      <c r="CF112" s="417">
        <f t="shared" si="412"/>
        <v>14675.379109385223</v>
      </c>
      <c r="CG112" s="417">
        <f t="shared" si="412"/>
        <v>15042.263587119854</v>
      </c>
      <c r="CH112" s="417">
        <f t="shared" si="412"/>
        <v>15042.263587119854</v>
      </c>
      <c r="CI112" s="417">
        <f t="shared" si="412"/>
        <v>15042.263587119854</v>
      </c>
      <c r="CJ112" s="417">
        <f t="shared" si="412"/>
        <v>15042.263587119854</v>
      </c>
      <c r="CK112" s="417">
        <f t="shared" si="412"/>
        <v>15042.263587119854</v>
      </c>
      <c r="CL112" s="417">
        <f t="shared" si="412"/>
        <v>15042.263587119854</v>
      </c>
      <c r="CM112" s="417">
        <f t="shared" si="412"/>
        <v>15042.263587119854</v>
      </c>
      <c r="CN112" s="417">
        <f t="shared" si="413"/>
        <v>15042.263587119854</v>
      </c>
      <c r="CO112" s="417">
        <f t="shared" si="413"/>
        <v>15042.263587119854</v>
      </c>
      <c r="CP112" s="417">
        <f t="shared" si="413"/>
        <v>15042.263587119854</v>
      </c>
      <c r="CQ112" s="417">
        <f t="shared" si="413"/>
        <v>15042.263587119854</v>
      </c>
      <c r="CR112" s="417">
        <f t="shared" si="413"/>
        <v>15042.263587119854</v>
      </c>
      <c r="CS112" s="417">
        <f t="shared" si="413"/>
        <v>15418.320176797848</v>
      </c>
      <c r="CT112" s="417">
        <f t="shared" si="413"/>
        <v>15418.320176797848</v>
      </c>
      <c r="CU112" s="417">
        <f t="shared" si="413"/>
        <v>15418.320176797848</v>
      </c>
      <c r="CV112" s="417">
        <f t="shared" si="413"/>
        <v>15418.320176797848</v>
      </c>
      <c r="CW112" s="417">
        <f t="shared" si="413"/>
        <v>15418.320176797848</v>
      </c>
      <c r="CX112" s="417">
        <f t="shared" si="414"/>
        <v>15418.320176797848</v>
      </c>
      <c r="CY112" s="417">
        <f t="shared" si="414"/>
        <v>15418.320176797848</v>
      </c>
      <c r="CZ112" s="417">
        <f t="shared" si="414"/>
        <v>15418.320176797848</v>
      </c>
      <c r="DA112" s="417">
        <f t="shared" si="414"/>
        <v>15418.320176797848</v>
      </c>
      <c r="DB112" s="417">
        <f t="shared" si="414"/>
        <v>15418.320176797848</v>
      </c>
      <c r="DC112" s="417">
        <f t="shared" si="414"/>
        <v>15418.320176797848</v>
      </c>
      <c r="DD112" s="417">
        <f t="shared" si="414"/>
        <v>15418.320176797848</v>
      </c>
      <c r="DE112" s="417">
        <f t="shared" si="414"/>
        <v>15803.778181217793</v>
      </c>
      <c r="DF112" s="417">
        <f t="shared" si="414"/>
        <v>15803.778181217793</v>
      </c>
      <c r="DG112" s="417">
        <f t="shared" si="414"/>
        <v>15803.778181217793</v>
      </c>
      <c r="DH112" s="417">
        <f t="shared" si="415"/>
        <v>15803.778181217793</v>
      </c>
      <c r="DI112" s="417">
        <f t="shared" si="415"/>
        <v>15803.778181217793</v>
      </c>
      <c r="DJ112" s="417">
        <f t="shared" si="415"/>
        <v>15803.778181217793</v>
      </c>
      <c r="DK112" s="417">
        <f t="shared" si="415"/>
        <v>15803.778181217793</v>
      </c>
      <c r="DL112" s="417">
        <f t="shared" si="415"/>
        <v>15803.778181217793</v>
      </c>
      <c r="DM112" s="417">
        <f t="shared" si="415"/>
        <v>15803.778181217793</v>
      </c>
      <c r="DN112" s="417">
        <f t="shared" si="415"/>
        <v>15803.778181217793</v>
      </c>
      <c r="DO112" s="417">
        <f t="shared" si="415"/>
        <v>15803.778181217793</v>
      </c>
      <c r="DP112" s="417">
        <f t="shared" si="415"/>
        <v>15803.778181217793</v>
      </c>
      <c r="DQ112" s="417">
        <f t="shared" si="415"/>
        <v>16198.872635748236</v>
      </c>
      <c r="DR112" s="417">
        <f t="shared" si="416"/>
        <v>16198.872635748236</v>
      </c>
      <c r="DS112" s="417">
        <f t="shared" si="416"/>
        <v>16198.872635748236</v>
      </c>
      <c r="DT112" s="417">
        <f t="shared" si="416"/>
        <v>16198.872635748236</v>
      </c>
      <c r="DU112" s="417">
        <f t="shared" si="416"/>
        <v>16198.872635748236</v>
      </c>
      <c r="DV112" s="417">
        <f t="shared" si="416"/>
        <v>16198.872635748236</v>
      </c>
      <c r="DW112" s="417">
        <f t="shared" si="416"/>
        <v>16198.872635748236</v>
      </c>
      <c r="DX112" s="417">
        <f t="shared" si="416"/>
        <v>16198.872635748236</v>
      </c>
      <c r="DY112" s="417">
        <f t="shared" si="416"/>
        <v>16198.872635748236</v>
      </c>
      <c r="DZ112" s="417">
        <f t="shared" si="416"/>
        <v>16198.872635748236</v>
      </c>
      <c r="EA112" s="417">
        <f t="shared" si="416"/>
        <v>16198.872635748236</v>
      </c>
      <c r="EB112" s="417">
        <f t="shared" si="417"/>
        <v>16198.872635748236</v>
      </c>
      <c r="EC112" s="417">
        <f t="shared" si="417"/>
        <v>16603.844451641944</v>
      </c>
      <c r="ED112" s="417">
        <f t="shared" si="417"/>
        <v>16603.844451641944</v>
      </c>
      <c r="EE112" s="417">
        <f t="shared" si="417"/>
        <v>16603.844451641944</v>
      </c>
      <c r="EF112" s="417">
        <f t="shared" si="417"/>
        <v>16603.844451641944</v>
      </c>
      <c r="EG112" s="417">
        <f t="shared" si="417"/>
        <v>16603.844451641944</v>
      </c>
      <c r="EH112" s="417">
        <f t="shared" si="417"/>
        <v>16603.844451641944</v>
      </c>
      <c r="EI112" s="417">
        <f t="shared" si="417"/>
        <v>16603.844451641944</v>
      </c>
      <c r="EJ112" s="417">
        <f t="shared" si="417"/>
        <v>16603.844451641944</v>
      </c>
      <c r="EK112" s="417">
        <f t="shared" si="417"/>
        <v>16603.844451641944</v>
      </c>
      <c r="EL112" s="417">
        <f t="shared" si="417"/>
        <v>16603.844451641944</v>
      </c>
      <c r="EM112" s="417">
        <f t="shared" si="417"/>
        <v>16603.844451641944</v>
      </c>
      <c r="EN112" s="417">
        <f t="shared" si="417"/>
        <v>16603.844451641944</v>
      </c>
      <c r="EO112" s="208"/>
      <c r="EP112" s="464"/>
      <c r="EQ112" s="465"/>
      <c r="ER112" s="465"/>
      <c r="ES112" s="465"/>
      <c r="ET112" s="465"/>
      <c r="EU112" s="465"/>
      <c r="EV112" s="465"/>
      <c r="EW112" s="465"/>
      <c r="EX112" s="465"/>
      <c r="EY112" s="465"/>
      <c r="EZ112" s="465"/>
      <c r="FA112" s="465"/>
      <c r="FB112" s="465"/>
      <c r="FC112" s="465"/>
      <c r="FD112" s="465"/>
      <c r="FE112" s="465"/>
      <c r="FF112" s="465"/>
      <c r="FG112" s="465"/>
      <c r="FH112" s="465"/>
      <c r="FI112" s="465"/>
      <c r="FJ112" s="465"/>
      <c r="FK112" s="465"/>
      <c r="FL112" s="465"/>
      <c r="FM112" s="465"/>
      <c r="FN112" s="465"/>
      <c r="FO112" s="465"/>
      <c r="FP112" s="465"/>
      <c r="FQ112" s="465"/>
      <c r="FR112" s="465"/>
      <c r="FS112" s="465"/>
      <c r="FT112" s="465"/>
      <c r="FU112" s="465"/>
      <c r="FV112" s="465"/>
      <c r="FW112" s="465"/>
      <c r="FX112" s="465"/>
      <c r="FY112" s="465"/>
      <c r="FZ112" s="465"/>
      <c r="GA112" s="465"/>
      <c r="GB112" s="465"/>
      <c r="GC112" s="465"/>
      <c r="GD112" s="465"/>
      <c r="GE112" s="465"/>
      <c r="GF112" s="465"/>
      <c r="GG112" s="465"/>
      <c r="GH112" s="465"/>
      <c r="GI112" s="465"/>
      <c r="GJ112" s="465"/>
      <c r="GK112" s="465"/>
      <c r="GL112" s="465"/>
      <c r="GM112" s="465"/>
      <c r="GN112" s="465"/>
      <c r="GO112" s="465"/>
      <c r="GP112" s="465"/>
      <c r="GQ112" s="465"/>
      <c r="GR112" s="465"/>
      <c r="GS112" s="465"/>
      <c r="GT112" s="465"/>
      <c r="GU112" s="465"/>
      <c r="GV112" s="465"/>
      <c r="GW112" s="465"/>
      <c r="GX112" s="465"/>
      <c r="GY112" s="465"/>
      <c r="GZ112" s="465"/>
      <c r="HA112" s="465"/>
      <c r="HB112" s="465"/>
      <c r="HC112" s="465"/>
      <c r="HD112" s="465"/>
      <c r="HE112" s="465"/>
      <c r="HF112" s="465"/>
      <c r="HG112" s="465"/>
      <c r="HH112" s="465"/>
      <c r="HI112" s="465"/>
      <c r="HJ112" s="465"/>
      <c r="HK112" s="465"/>
      <c r="HL112" s="465"/>
      <c r="HM112" s="465"/>
      <c r="HN112" s="465"/>
      <c r="HO112" s="465"/>
      <c r="HP112" s="465"/>
      <c r="HQ112" s="465"/>
      <c r="HR112" s="465"/>
      <c r="HS112" s="465"/>
      <c r="HT112" s="465"/>
      <c r="HU112" s="465"/>
      <c r="HV112" s="465"/>
      <c r="HW112" s="465"/>
      <c r="HX112" s="465"/>
      <c r="HY112" s="465"/>
      <c r="HZ112" s="465"/>
      <c r="IA112" s="465"/>
      <c r="IB112" s="465"/>
      <c r="IC112" s="465"/>
      <c r="ID112" s="465"/>
      <c r="IE112" s="465"/>
      <c r="IF112" s="465"/>
      <c r="IG112" s="465"/>
      <c r="IH112" s="465"/>
      <c r="II112" s="465"/>
      <c r="IJ112" s="465"/>
      <c r="IK112" s="465"/>
      <c r="IL112" s="465"/>
      <c r="IM112" s="465"/>
      <c r="IN112" s="465"/>
      <c r="IO112" s="465"/>
      <c r="IP112" s="465"/>
      <c r="IQ112" s="465"/>
      <c r="IR112" s="465"/>
      <c r="IS112" s="465"/>
      <c r="IT112" s="465"/>
      <c r="IU112" s="465"/>
      <c r="IV112" s="465"/>
      <c r="IW112" s="465"/>
      <c r="IX112" s="465"/>
      <c r="IY112" s="465"/>
      <c r="IZ112" s="465"/>
      <c r="JA112" s="465"/>
      <c r="JB112" s="465"/>
      <c r="JC112" s="465"/>
      <c r="JD112" s="465"/>
      <c r="JE112" s="465"/>
      <c r="JF112" s="465"/>
      <c r="JG112" s="465"/>
      <c r="JH112" s="465"/>
      <c r="JI112" s="465"/>
      <c r="JJ112" s="465"/>
      <c r="JK112" s="465"/>
      <c r="JL112" s="465"/>
      <c r="JM112" s="465"/>
      <c r="JN112" s="465"/>
      <c r="JO112" s="465"/>
      <c r="JP112" s="465"/>
      <c r="JQ112" s="465"/>
      <c r="JR112" s="465"/>
      <c r="JS112" s="465"/>
      <c r="JT112" s="465"/>
      <c r="JU112" s="465"/>
      <c r="JV112" s="465"/>
      <c r="JW112" s="465"/>
      <c r="JX112" s="20"/>
      <c r="JY112"/>
      <c r="JZ112" s="466"/>
      <c r="KA112" s="466"/>
      <c r="KB112" s="466"/>
      <c r="KC112" s="466"/>
      <c r="KD112" s="466"/>
      <c r="KE112" s="466"/>
      <c r="KF112" s="466"/>
      <c r="KG112" s="466"/>
      <c r="KH112" s="466"/>
      <c r="KI112" s="466"/>
      <c r="KJ112" s="466"/>
      <c r="KK112" s="466"/>
      <c r="KL112" s="466"/>
      <c r="KM112" s="466"/>
      <c r="KN112" s="466"/>
      <c r="KO112" s="466"/>
      <c r="KP112" s="466"/>
      <c r="KQ112" s="466"/>
      <c r="KR112" s="466"/>
      <c r="KS112" s="466"/>
      <c r="KT112" s="466"/>
      <c r="KU112" s="466"/>
      <c r="KV112" s="466"/>
      <c r="KW112" s="466"/>
      <c r="KX112" s="466"/>
      <c r="KY112" s="466"/>
      <c r="KZ112" s="466"/>
      <c r="LA112" s="466"/>
      <c r="LB112" s="466"/>
      <c r="LC112" s="466"/>
      <c r="LD112" s="466"/>
      <c r="LE112" s="466"/>
      <c r="LF112" s="466"/>
      <c r="LG112" s="466"/>
      <c r="LH112" s="466"/>
      <c r="LI112" s="466"/>
      <c r="LJ112" s="466"/>
      <c r="LK112" s="466"/>
      <c r="LL112" s="466"/>
      <c r="LM112" s="466"/>
      <c r="LN112" s="466"/>
      <c r="LO112" s="466"/>
      <c r="LP112" s="466"/>
      <c r="LQ112" s="466"/>
      <c r="LR112" s="466"/>
      <c r="LS112" s="466"/>
      <c r="LT112" s="466"/>
      <c r="LU112" s="466"/>
      <c r="LV112" s="466"/>
      <c r="LW112" s="466"/>
      <c r="LX112" s="466"/>
      <c r="LY112" s="466"/>
      <c r="LZ112" s="466"/>
      <c r="MA112" s="466"/>
      <c r="MB112" s="466"/>
      <c r="MC112" s="466"/>
      <c r="MD112" s="466"/>
      <c r="ME112" s="466"/>
      <c r="MF112" s="466"/>
      <c r="MG112" s="466"/>
      <c r="MH112" s="466"/>
      <c r="MI112" s="466"/>
      <c r="MJ112" s="466"/>
      <c r="MK112" s="466"/>
      <c r="ML112" s="466"/>
      <c r="MM112" s="466"/>
      <c r="MN112" s="466"/>
      <c r="MO112" s="466"/>
      <c r="MP112" s="466"/>
      <c r="MQ112" s="466"/>
      <c r="MR112" s="466"/>
      <c r="MS112" s="466"/>
      <c r="MT112" s="466"/>
      <c r="MU112" s="466"/>
      <c r="MV112" s="466"/>
      <c r="MW112" s="466"/>
      <c r="MX112" s="466"/>
      <c r="MY112" s="466"/>
      <c r="MZ112" s="466"/>
      <c r="NA112" s="466"/>
      <c r="NB112" s="466"/>
      <c r="NC112" s="466"/>
      <c r="ND112" s="466"/>
      <c r="NE112" s="466"/>
      <c r="NF112" s="466"/>
      <c r="NG112" s="466"/>
      <c r="NH112" s="466"/>
      <c r="NI112" s="466"/>
      <c r="NJ112" s="466"/>
      <c r="NK112" s="466"/>
      <c r="NL112" s="466"/>
      <c r="NM112" s="466"/>
      <c r="NN112" s="466"/>
      <c r="NO112" s="466"/>
      <c r="NP112" s="466"/>
      <c r="NQ112" s="466"/>
      <c r="NR112" s="466"/>
      <c r="NS112" s="466"/>
      <c r="NT112" s="466"/>
      <c r="NU112" s="466"/>
      <c r="NV112" s="466"/>
      <c r="NW112" s="466"/>
      <c r="NX112" s="466"/>
      <c r="NY112" s="466"/>
      <c r="NZ112" s="466"/>
      <c r="OA112" s="466"/>
      <c r="OB112" s="466"/>
      <c r="OC112" s="466"/>
      <c r="OD112" s="466"/>
      <c r="OE112" s="466"/>
      <c r="OF112" s="466"/>
      <c r="OG112" s="466"/>
      <c r="OH112" s="466"/>
      <c r="OI112" s="466"/>
      <c r="OJ112" s="466"/>
      <c r="OK112" s="466"/>
      <c r="OL112" s="466"/>
      <c r="OM112" s="466"/>
      <c r="ON112" s="466"/>
      <c r="OO112" s="466"/>
      <c r="OP112" s="466"/>
      <c r="OQ112" s="466"/>
      <c r="OR112" s="466"/>
      <c r="OS112" s="466"/>
      <c r="OT112" s="466"/>
      <c r="OU112" s="466"/>
      <c r="OV112" s="466"/>
      <c r="OW112" s="466"/>
      <c r="OX112" s="466"/>
      <c r="OY112" s="466"/>
      <c r="OZ112" s="466"/>
      <c r="PA112" s="466"/>
      <c r="PB112" s="466"/>
      <c r="PC112" s="466"/>
      <c r="PD112" s="466"/>
      <c r="PE112" s="466"/>
      <c r="PF112" s="466"/>
      <c r="PG112" s="466"/>
      <c r="PH112" s="466"/>
    </row>
    <row r="113" spans="1:424" x14ac:dyDescent="0.35">
      <c r="A113"/>
      <c r="B113" s="91" t="str">
        <f t="shared" si="400"/>
        <v>Secure (Preferred)</v>
      </c>
      <c r="C113" s="469" t="s">
        <v>278</v>
      </c>
      <c r="D113" s="276" t="s">
        <v>279</v>
      </c>
      <c r="E113" s="45">
        <f t="shared" si="401"/>
        <v>31</v>
      </c>
      <c r="F113" s="53">
        <v>1</v>
      </c>
      <c r="G113" s="254">
        <f t="shared" si="402"/>
        <v>0.24850625165826901</v>
      </c>
      <c r="H113" s="148">
        <f t="shared" si="403"/>
        <v>41.904711317697249</v>
      </c>
      <c r="I113" s="445">
        <f t="shared" si="404"/>
        <v>817157.79448539717</v>
      </c>
      <c r="J113"/>
      <c r="K113" s="75"/>
      <c r="L113" s="75">
        <f t="shared" si="405"/>
        <v>0</v>
      </c>
      <c r="M113" s="417">
        <f t="shared" si="405"/>
        <v>0</v>
      </c>
      <c r="N113" s="417">
        <f t="shared" si="405"/>
        <v>0</v>
      </c>
      <c r="O113" s="417">
        <f t="shared" si="405"/>
        <v>0</v>
      </c>
      <c r="P113" s="417">
        <f t="shared" si="405"/>
        <v>0</v>
      </c>
      <c r="Q113" s="417">
        <f t="shared" si="405"/>
        <v>0</v>
      </c>
      <c r="R113" s="417">
        <f t="shared" si="405"/>
        <v>0</v>
      </c>
      <c r="S113" s="417">
        <f t="shared" si="405"/>
        <v>0</v>
      </c>
      <c r="T113" s="417">
        <f t="shared" si="405"/>
        <v>0</v>
      </c>
      <c r="U113" s="417">
        <f t="shared" si="405"/>
        <v>0</v>
      </c>
      <c r="V113" s="417">
        <f t="shared" si="406"/>
        <v>0</v>
      </c>
      <c r="W113" s="417">
        <f t="shared" si="406"/>
        <v>0</v>
      </c>
      <c r="X113" s="417">
        <f t="shared" si="406"/>
        <v>0</v>
      </c>
      <c r="Y113" s="417">
        <f t="shared" si="406"/>
        <v>0</v>
      </c>
      <c r="Z113" s="417">
        <f t="shared" si="406"/>
        <v>0</v>
      </c>
      <c r="AA113" s="417">
        <f t="shared" si="406"/>
        <v>0</v>
      </c>
      <c r="AB113" s="417">
        <f t="shared" si="406"/>
        <v>0</v>
      </c>
      <c r="AC113" s="417">
        <f t="shared" si="406"/>
        <v>0</v>
      </c>
      <c r="AD113" s="417">
        <f t="shared" si="406"/>
        <v>0</v>
      </c>
      <c r="AE113" s="417">
        <f t="shared" si="406"/>
        <v>0</v>
      </c>
      <c r="AF113" s="417">
        <f t="shared" si="407"/>
        <v>0</v>
      </c>
      <c r="AG113" s="417">
        <f t="shared" si="407"/>
        <v>0</v>
      </c>
      <c r="AH113" s="417">
        <f t="shared" si="407"/>
        <v>0</v>
      </c>
      <c r="AI113" s="417">
        <f t="shared" si="407"/>
        <v>0</v>
      </c>
      <c r="AJ113" s="417">
        <f t="shared" si="407"/>
        <v>0</v>
      </c>
      <c r="AK113" s="417">
        <f t="shared" si="407"/>
        <v>0</v>
      </c>
      <c r="AL113" s="417">
        <f t="shared" si="407"/>
        <v>0</v>
      </c>
      <c r="AM113" s="417">
        <f t="shared" si="407"/>
        <v>0</v>
      </c>
      <c r="AN113" s="417">
        <f t="shared" si="407"/>
        <v>0</v>
      </c>
      <c r="AO113" s="417">
        <f t="shared" si="407"/>
        <v>0</v>
      </c>
      <c r="AP113" s="417">
        <f t="shared" si="408"/>
        <v>0</v>
      </c>
      <c r="AQ113" s="417">
        <f t="shared" si="408"/>
        <v>0</v>
      </c>
      <c r="AR113" s="417">
        <f t="shared" si="408"/>
        <v>0</v>
      </c>
      <c r="AS113" s="417">
        <f t="shared" si="408"/>
        <v>0</v>
      </c>
      <c r="AT113" s="417">
        <f t="shared" si="408"/>
        <v>0</v>
      </c>
      <c r="AU113" s="417">
        <f t="shared" si="408"/>
        <v>0</v>
      </c>
      <c r="AV113" s="417">
        <f t="shared" si="408"/>
        <v>0</v>
      </c>
      <c r="AW113" s="417">
        <f t="shared" si="408"/>
        <v>0</v>
      </c>
      <c r="AX113" s="417">
        <f t="shared" si="408"/>
        <v>5674.7069061485909</v>
      </c>
      <c r="AY113" s="417">
        <f t="shared" si="408"/>
        <v>11349.413812297182</v>
      </c>
      <c r="AZ113" s="417">
        <f t="shared" si="409"/>
        <v>17024.120718445774</v>
      </c>
      <c r="BA113" s="417">
        <f t="shared" si="409"/>
        <v>22698.827624594363</v>
      </c>
      <c r="BB113" s="417">
        <f t="shared" si="409"/>
        <v>28373.53453074296</v>
      </c>
      <c r="BC113" s="417">
        <f t="shared" si="409"/>
        <v>34048.241436891549</v>
      </c>
      <c r="BD113" s="417">
        <f t="shared" si="409"/>
        <v>39722.948343040145</v>
      </c>
      <c r="BE113" s="417">
        <f t="shared" si="409"/>
        <v>45397.655249188727</v>
      </c>
      <c r="BF113" s="417">
        <f t="shared" si="409"/>
        <v>51072.362155337323</v>
      </c>
      <c r="BG113" s="417">
        <f t="shared" si="409"/>
        <v>56747.06906148592</v>
      </c>
      <c r="BH113" s="417">
        <f t="shared" si="409"/>
        <v>62421.775967634501</v>
      </c>
      <c r="BI113" s="417">
        <f t="shared" si="409"/>
        <v>69798.894945627675</v>
      </c>
      <c r="BJ113" s="417">
        <f t="shared" si="410"/>
        <v>69798.894945627675</v>
      </c>
      <c r="BK113" s="417">
        <f t="shared" si="410"/>
        <v>69798.894945627675</v>
      </c>
      <c r="BL113" s="417">
        <f t="shared" si="410"/>
        <v>69798.894945627675</v>
      </c>
      <c r="BM113" s="417">
        <f t="shared" si="410"/>
        <v>69798.894945627675</v>
      </c>
      <c r="BN113" s="417">
        <f t="shared" si="410"/>
        <v>69798.894945627675</v>
      </c>
      <c r="BO113" s="417">
        <f t="shared" si="410"/>
        <v>69798.894945627675</v>
      </c>
      <c r="BP113" s="417">
        <f t="shared" si="410"/>
        <v>69798.894945627675</v>
      </c>
      <c r="BQ113" s="417">
        <f t="shared" si="410"/>
        <v>69798.894945627675</v>
      </c>
      <c r="BR113" s="417">
        <f t="shared" si="410"/>
        <v>69798.894945627675</v>
      </c>
      <c r="BS113" s="417">
        <f t="shared" si="410"/>
        <v>69798.894945627675</v>
      </c>
      <c r="BT113" s="417">
        <f t="shared" si="411"/>
        <v>69798.894945627675</v>
      </c>
      <c r="BU113" s="417">
        <f t="shared" si="411"/>
        <v>71543.867319268364</v>
      </c>
      <c r="BV113" s="417">
        <f t="shared" si="411"/>
        <v>71543.867319268364</v>
      </c>
      <c r="BW113" s="417">
        <f t="shared" si="411"/>
        <v>71543.867319268364</v>
      </c>
      <c r="BX113" s="417">
        <f t="shared" si="411"/>
        <v>71543.867319268364</v>
      </c>
      <c r="BY113" s="417">
        <f t="shared" si="411"/>
        <v>71543.867319268364</v>
      </c>
      <c r="BZ113" s="417">
        <f t="shared" si="411"/>
        <v>71543.867319268364</v>
      </c>
      <c r="CA113" s="417">
        <f t="shared" si="411"/>
        <v>71543.867319268364</v>
      </c>
      <c r="CB113" s="417">
        <f t="shared" si="411"/>
        <v>71543.867319268364</v>
      </c>
      <c r="CC113" s="417">
        <f t="shared" si="411"/>
        <v>71543.867319268364</v>
      </c>
      <c r="CD113" s="417">
        <f t="shared" si="412"/>
        <v>71543.867319268364</v>
      </c>
      <c r="CE113" s="417">
        <f t="shared" si="412"/>
        <v>71543.867319268364</v>
      </c>
      <c r="CF113" s="417">
        <f t="shared" si="412"/>
        <v>71543.867319268364</v>
      </c>
      <c r="CG113" s="417">
        <f t="shared" si="412"/>
        <v>73332.464002250068</v>
      </c>
      <c r="CH113" s="417">
        <f t="shared" si="412"/>
        <v>73332.464002250068</v>
      </c>
      <c r="CI113" s="417">
        <f t="shared" si="412"/>
        <v>73332.464002250068</v>
      </c>
      <c r="CJ113" s="417">
        <f t="shared" si="412"/>
        <v>73332.464002250068</v>
      </c>
      <c r="CK113" s="417">
        <f t="shared" si="412"/>
        <v>73332.464002250068</v>
      </c>
      <c r="CL113" s="417">
        <f t="shared" si="412"/>
        <v>73332.464002250068</v>
      </c>
      <c r="CM113" s="417">
        <f t="shared" si="412"/>
        <v>73332.464002250068</v>
      </c>
      <c r="CN113" s="417">
        <f t="shared" si="413"/>
        <v>73332.464002250068</v>
      </c>
      <c r="CO113" s="417">
        <f t="shared" si="413"/>
        <v>73332.464002250068</v>
      </c>
      <c r="CP113" s="417">
        <f t="shared" si="413"/>
        <v>73332.464002250068</v>
      </c>
      <c r="CQ113" s="417">
        <f t="shared" si="413"/>
        <v>73332.464002250068</v>
      </c>
      <c r="CR113" s="417">
        <f t="shared" si="413"/>
        <v>73332.464002250068</v>
      </c>
      <c r="CS113" s="417">
        <f t="shared" si="413"/>
        <v>75165.775602306312</v>
      </c>
      <c r="CT113" s="417">
        <f t="shared" si="413"/>
        <v>75165.775602306312</v>
      </c>
      <c r="CU113" s="417">
        <f t="shared" si="413"/>
        <v>75165.775602306312</v>
      </c>
      <c r="CV113" s="417">
        <f t="shared" si="413"/>
        <v>75165.775602306312</v>
      </c>
      <c r="CW113" s="417">
        <f t="shared" si="413"/>
        <v>75165.775602306312</v>
      </c>
      <c r="CX113" s="417">
        <f t="shared" si="414"/>
        <v>75165.775602306312</v>
      </c>
      <c r="CY113" s="417">
        <f t="shared" si="414"/>
        <v>75165.775602306312</v>
      </c>
      <c r="CZ113" s="417">
        <f t="shared" si="414"/>
        <v>75165.775602306312</v>
      </c>
      <c r="DA113" s="417">
        <f t="shared" si="414"/>
        <v>75165.775602306312</v>
      </c>
      <c r="DB113" s="417">
        <f t="shared" si="414"/>
        <v>75165.775602306312</v>
      </c>
      <c r="DC113" s="417">
        <f t="shared" si="414"/>
        <v>75165.775602306312</v>
      </c>
      <c r="DD113" s="417">
        <f t="shared" si="414"/>
        <v>75165.775602306312</v>
      </c>
      <c r="DE113" s="417">
        <f t="shared" si="414"/>
        <v>77044.919992363968</v>
      </c>
      <c r="DF113" s="417">
        <f t="shared" si="414"/>
        <v>77044.919992363968</v>
      </c>
      <c r="DG113" s="417">
        <f t="shared" si="414"/>
        <v>77044.919992363968</v>
      </c>
      <c r="DH113" s="417">
        <f t="shared" si="415"/>
        <v>77044.919992363968</v>
      </c>
      <c r="DI113" s="417">
        <f t="shared" si="415"/>
        <v>77044.919992363968</v>
      </c>
      <c r="DJ113" s="417">
        <f t="shared" si="415"/>
        <v>77044.919992363968</v>
      </c>
      <c r="DK113" s="417">
        <f t="shared" si="415"/>
        <v>77044.919992363968</v>
      </c>
      <c r="DL113" s="417">
        <f t="shared" si="415"/>
        <v>77044.919992363968</v>
      </c>
      <c r="DM113" s="417">
        <f t="shared" si="415"/>
        <v>77044.919992363968</v>
      </c>
      <c r="DN113" s="417">
        <f t="shared" si="415"/>
        <v>77044.919992363968</v>
      </c>
      <c r="DO113" s="417">
        <f t="shared" si="415"/>
        <v>77044.919992363968</v>
      </c>
      <c r="DP113" s="417">
        <f t="shared" si="415"/>
        <v>77044.919992363968</v>
      </c>
      <c r="DQ113" s="417">
        <f t="shared" si="415"/>
        <v>78971.042992173054</v>
      </c>
      <c r="DR113" s="417">
        <f t="shared" si="416"/>
        <v>78971.042992173054</v>
      </c>
      <c r="DS113" s="417">
        <f t="shared" si="416"/>
        <v>78971.042992173054</v>
      </c>
      <c r="DT113" s="417">
        <f t="shared" si="416"/>
        <v>78971.042992173054</v>
      </c>
      <c r="DU113" s="417">
        <f t="shared" si="416"/>
        <v>78971.042992173054</v>
      </c>
      <c r="DV113" s="417">
        <f t="shared" si="416"/>
        <v>78971.042992173054</v>
      </c>
      <c r="DW113" s="417">
        <f t="shared" si="416"/>
        <v>78971.042992173054</v>
      </c>
      <c r="DX113" s="417">
        <f t="shared" si="416"/>
        <v>78971.042992173054</v>
      </c>
      <c r="DY113" s="417">
        <f t="shared" si="416"/>
        <v>78971.042992173054</v>
      </c>
      <c r="DZ113" s="417">
        <f t="shared" si="416"/>
        <v>78971.042992173054</v>
      </c>
      <c r="EA113" s="417">
        <f t="shared" si="416"/>
        <v>78971.042992173054</v>
      </c>
      <c r="EB113" s="417">
        <f t="shared" si="417"/>
        <v>78971.042992173054</v>
      </c>
      <c r="EC113" s="417">
        <f t="shared" si="417"/>
        <v>80945.31906697739</v>
      </c>
      <c r="ED113" s="417">
        <f t="shared" si="417"/>
        <v>80945.31906697739</v>
      </c>
      <c r="EE113" s="417">
        <f t="shared" si="417"/>
        <v>80945.31906697739</v>
      </c>
      <c r="EF113" s="417">
        <f t="shared" si="417"/>
        <v>80945.31906697739</v>
      </c>
      <c r="EG113" s="417">
        <f t="shared" si="417"/>
        <v>80945.31906697739</v>
      </c>
      <c r="EH113" s="417">
        <f t="shared" si="417"/>
        <v>80945.31906697739</v>
      </c>
      <c r="EI113" s="417">
        <f t="shared" si="417"/>
        <v>80945.31906697739</v>
      </c>
      <c r="EJ113" s="417">
        <f t="shared" si="417"/>
        <v>80945.31906697739</v>
      </c>
      <c r="EK113" s="417">
        <f t="shared" si="417"/>
        <v>80945.31906697739</v>
      </c>
      <c r="EL113" s="417">
        <f t="shared" si="417"/>
        <v>80945.31906697739</v>
      </c>
      <c r="EM113" s="417">
        <f t="shared" si="417"/>
        <v>80945.31906697739</v>
      </c>
      <c r="EN113" s="417">
        <f t="shared" si="417"/>
        <v>80945.31906697739</v>
      </c>
      <c r="EO113" s="208"/>
      <c r="EP113" s="464"/>
      <c r="EQ113" s="465"/>
      <c r="ER113" s="465"/>
      <c r="ES113" s="465"/>
      <c r="ET113" s="465"/>
      <c r="EU113" s="465"/>
      <c r="EV113" s="465"/>
      <c r="EW113" s="465"/>
      <c r="EX113" s="465"/>
      <c r="EY113" s="465"/>
      <c r="EZ113" s="465"/>
      <c r="FA113" s="465"/>
      <c r="FB113" s="465"/>
      <c r="FC113" s="465"/>
      <c r="FD113" s="465"/>
      <c r="FE113" s="465"/>
      <c r="FF113" s="465"/>
      <c r="FG113" s="465"/>
      <c r="FH113" s="465"/>
      <c r="FI113" s="465"/>
      <c r="FJ113" s="465"/>
      <c r="FK113" s="465"/>
      <c r="FL113" s="465"/>
      <c r="FM113" s="465"/>
      <c r="FN113" s="465"/>
      <c r="FO113" s="465"/>
      <c r="FP113" s="465"/>
      <c r="FQ113" s="465"/>
      <c r="FR113" s="465"/>
      <c r="FS113" s="465"/>
      <c r="FT113" s="465"/>
      <c r="FU113" s="465"/>
      <c r="FV113" s="465"/>
      <c r="FW113" s="465"/>
      <c r="FX113" s="465"/>
      <c r="FY113" s="465"/>
      <c r="FZ113" s="465"/>
      <c r="GA113" s="465"/>
      <c r="GB113" s="465"/>
      <c r="GC113" s="465"/>
      <c r="GD113" s="465"/>
      <c r="GE113" s="465"/>
      <c r="GF113" s="465"/>
      <c r="GG113" s="465"/>
      <c r="GH113" s="465"/>
      <c r="GI113" s="465"/>
      <c r="GJ113" s="465"/>
      <c r="GK113" s="465"/>
      <c r="GL113" s="465"/>
      <c r="GM113" s="465"/>
      <c r="GN113" s="465"/>
      <c r="GO113" s="465"/>
      <c r="GP113" s="465"/>
      <c r="GQ113" s="465"/>
      <c r="GR113" s="465"/>
      <c r="GS113" s="465"/>
      <c r="GT113" s="465"/>
      <c r="GU113" s="465"/>
      <c r="GV113" s="465"/>
      <c r="GW113" s="465"/>
      <c r="GX113" s="465"/>
      <c r="GY113" s="465"/>
      <c r="GZ113" s="465"/>
      <c r="HA113" s="465"/>
      <c r="HB113" s="465"/>
      <c r="HC113" s="465"/>
      <c r="HD113" s="465"/>
      <c r="HE113" s="465"/>
      <c r="HF113" s="465"/>
      <c r="HG113" s="465"/>
      <c r="HH113" s="465"/>
      <c r="HI113" s="465"/>
      <c r="HJ113" s="465"/>
      <c r="HK113" s="465"/>
      <c r="HL113" s="465"/>
      <c r="HM113" s="465"/>
      <c r="HN113" s="465"/>
      <c r="HO113" s="465"/>
      <c r="HP113" s="465"/>
      <c r="HQ113" s="465"/>
      <c r="HR113" s="465"/>
      <c r="HS113" s="465"/>
      <c r="HT113" s="465"/>
      <c r="HU113" s="465"/>
      <c r="HV113" s="465"/>
      <c r="HW113" s="465"/>
      <c r="HX113" s="465"/>
      <c r="HY113" s="465"/>
      <c r="HZ113" s="465"/>
      <c r="IA113" s="465"/>
      <c r="IB113" s="465"/>
      <c r="IC113" s="465"/>
      <c r="ID113" s="465"/>
      <c r="IE113" s="465"/>
      <c r="IF113" s="465"/>
      <c r="IG113" s="465"/>
      <c r="IH113" s="465"/>
      <c r="II113" s="465"/>
      <c r="IJ113" s="465"/>
      <c r="IK113" s="465"/>
      <c r="IL113" s="465"/>
      <c r="IM113" s="465"/>
      <c r="IN113" s="465"/>
      <c r="IO113" s="465"/>
      <c r="IP113" s="465"/>
      <c r="IQ113" s="465"/>
      <c r="IR113" s="465"/>
      <c r="IS113" s="465"/>
      <c r="IT113" s="465"/>
      <c r="IU113" s="465"/>
      <c r="IV113" s="465"/>
      <c r="IW113" s="465"/>
      <c r="IX113" s="465"/>
      <c r="IY113" s="465"/>
      <c r="IZ113" s="465"/>
      <c r="JA113" s="465"/>
      <c r="JB113" s="465"/>
      <c r="JC113" s="465"/>
      <c r="JD113" s="465"/>
      <c r="JE113" s="465"/>
      <c r="JF113" s="465"/>
      <c r="JG113" s="465"/>
      <c r="JH113" s="465"/>
      <c r="JI113" s="465"/>
      <c r="JJ113" s="465"/>
      <c r="JK113" s="465"/>
      <c r="JL113" s="465"/>
      <c r="JM113" s="465"/>
      <c r="JN113" s="465"/>
      <c r="JO113" s="465"/>
      <c r="JP113" s="465"/>
      <c r="JQ113" s="465"/>
      <c r="JR113" s="465"/>
      <c r="JS113" s="465"/>
      <c r="JT113" s="465"/>
      <c r="JU113" s="465"/>
      <c r="JV113" s="465"/>
      <c r="JW113" s="465"/>
      <c r="JX113" s="20"/>
      <c r="JY113"/>
      <c r="JZ113" s="466"/>
      <c r="KA113" s="466"/>
      <c r="KB113" s="466"/>
      <c r="KC113" s="466"/>
      <c r="KD113" s="466"/>
      <c r="KE113" s="466"/>
      <c r="KF113" s="466"/>
      <c r="KG113" s="466"/>
      <c r="KH113" s="466"/>
      <c r="KI113" s="466"/>
      <c r="KJ113" s="466"/>
      <c r="KK113" s="466"/>
      <c r="KL113" s="466"/>
      <c r="KM113" s="466"/>
      <c r="KN113" s="466"/>
      <c r="KO113" s="466"/>
      <c r="KP113" s="466"/>
      <c r="KQ113" s="466"/>
      <c r="KR113" s="466"/>
      <c r="KS113" s="466"/>
      <c r="KT113" s="466"/>
      <c r="KU113" s="466"/>
      <c r="KV113" s="466"/>
      <c r="KW113" s="466"/>
      <c r="KX113" s="466"/>
      <c r="KY113" s="466"/>
      <c r="KZ113" s="466"/>
      <c r="LA113" s="466"/>
      <c r="LB113" s="466"/>
      <c r="LC113" s="466"/>
      <c r="LD113" s="466"/>
      <c r="LE113" s="466"/>
      <c r="LF113" s="466"/>
      <c r="LG113" s="466"/>
      <c r="LH113" s="466"/>
      <c r="LI113" s="466"/>
      <c r="LJ113" s="466"/>
      <c r="LK113" s="466"/>
      <c r="LL113" s="466"/>
      <c r="LM113" s="466"/>
      <c r="LN113" s="466"/>
      <c r="LO113" s="466"/>
      <c r="LP113" s="466"/>
      <c r="LQ113" s="466"/>
      <c r="LR113" s="466"/>
      <c r="LS113" s="466"/>
      <c r="LT113" s="466"/>
      <c r="LU113" s="466"/>
      <c r="LV113" s="466"/>
      <c r="LW113" s="466"/>
      <c r="LX113" s="466"/>
      <c r="LY113" s="466"/>
      <c r="LZ113" s="466"/>
      <c r="MA113" s="466"/>
      <c r="MB113" s="466"/>
      <c r="MC113" s="466"/>
      <c r="MD113" s="466"/>
      <c r="ME113" s="466"/>
      <c r="MF113" s="466"/>
      <c r="MG113" s="466"/>
      <c r="MH113" s="466"/>
      <c r="MI113" s="466"/>
      <c r="MJ113" s="466"/>
      <c r="MK113" s="466"/>
      <c r="ML113" s="466"/>
      <c r="MM113" s="466"/>
      <c r="MN113" s="466"/>
      <c r="MO113" s="466"/>
      <c r="MP113" s="466"/>
      <c r="MQ113" s="466"/>
      <c r="MR113" s="466"/>
      <c r="MS113" s="466"/>
      <c r="MT113" s="466"/>
      <c r="MU113" s="466"/>
      <c r="MV113" s="466"/>
      <c r="MW113" s="466"/>
      <c r="MX113" s="466"/>
      <c r="MY113" s="466"/>
      <c r="MZ113" s="466"/>
      <c r="NA113" s="466"/>
      <c r="NB113" s="466"/>
      <c r="NC113" s="466"/>
      <c r="ND113" s="466"/>
      <c r="NE113" s="466"/>
      <c r="NF113" s="466"/>
      <c r="NG113" s="466"/>
      <c r="NH113" s="466"/>
      <c r="NI113" s="466"/>
      <c r="NJ113" s="466"/>
      <c r="NK113" s="466"/>
      <c r="NL113" s="466"/>
      <c r="NM113" s="466"/>
      <c r="NN113" s="466"/>
      <c r="NO113" s="466"/>
      <c r="NP113" s="466"/>
      <c r="NQ113" s="466"/>
      <c r="NR113" s="466"/>
      <c r="NS113" s="466"/>
      <c r="NT113" s="466"/>
      <c r="NU113" s="466"/>
      <c r="NV113" s="466"/>
      <c r="NW113" s="466"/>
      <c r="NX113" s="466"/>
      <c r="NY113" s="466"/>
      <c r="NZ113" s="466"/>
      <c r="OA113" s="466"/>
      <c r="OB113" s="466"/>
      <c r="OC113" s="466"/>
      <c r="OD113" s="466"/>
      <c r="OE113" s="466"/>
      <c r="OF113" s="466"/>
      <c r="OG113" s="466"/>
      <c r="OH113" s="466"/>
      <c r="OI113" s="466"/>
      <c r="OJ113" s="466"/>
      <c r="OK113" s="466"/>
      <c r="OL113" s="466"/>
      <c r="OM113" s="466"/>
      <c r="ON113" s="466"/>
      <c r="OO113" s="466"/>
      <c r="OP113" s="466"/>
      <c r="OQ113" s="466"/>
      <c r="OR113" s="466"/>
      <c r="OS113" s="466"/>
      <c r="OT113" s="466"/>
      <c r="OU113" s="466"/>
      <c r="OV113" s="466"/>
      <c r="OW113" s="466"/>
      <c r="OX113" s="466"/>
      <c r="OY113" s="466"/>
      <c r="OZ113" s="466"/>
      <c r="PA113" s="466"/>
      <c r="PB113" s="466"/>
      <c r="PC113" s="466"/>
      <c r="PD113" s="466"/>
      <c r="PE113" s="466"/>
      <c r="PF113" s="466"/>
      <c r="PG113" s="466"/>
      <c r="PH113" s="466"/>
    </row>
    <row r="114" spans="1:424" x14ac:dyDescent="0.35">
      <c r="A114"/>
      <c r="B114" s="91" t="str">
        <f t="shared" si="400"/>
        <v>Snowtunnel</v>
      </c>
      <c r="C114" s="469" t="s">
        <v>278</v>
      </c>
      <c r="D114" s="276" t="s">
        <v>279</v>
      </c>
      <c r="E114" s="45">
        <f t="shared" si="401"/>
        <v>31</v>
      </c>
      <c r="F114" s="53">
        <v>1</v>
      </c>
      <c r="G114" s="254">
        <f t="shared" si="402"/>
        <v>4.842591561299945E-2</v>
      </c>
      <c r="H114" s="148">
        <f t="shared" si="403"/>
        <v>41.904711317697256</v>
      </c>
      <c r="I114" s="445">
        <f t="shared" si="404"/>
        <v>159237.90300724958</v>
      </c>
      <c r="J114"/>
      <c r="K114" s="75"/>
      <c r="L114" s="75">
        <f t="shared" si="405"/>
        <v>0</v>
      </c>
      <c r="M114" s="417">
        <f t="shared" si="405"/>
        <v>0</v>
      </c>
      <c r="N114" s="417">
        <f t="shared" si="405"/>
        <v>0</v>
      </c>
      <c r="O114" s="417">
        <f t="shared" si="405"/>
        <v>0</v>
      </c>
      <c r="P114" s="417">
        <f t="shared" si="405"/>
        <v>0</v>
      </c>
      <c r="Q114" s="417">
        <f t="shared" si="405"/>
        <v>0</v>
      </c>
      <c r="R114" s="417">
        <f t="shared" si="405"/>
        <v>0</v>
      </c>
      <c r="S114" s="417">
        <f t="shared" si="405"/>
        <v>0</v>
      </c>
      <c r="T114" s="417">
        <f t="shared" si="405"/>
        <v>0</v>
      </c>
      <c r="U114" s="417">
        <f t="shared" si="405"/>
        <v>0</v>
      </c>
      <c r="V114" s="417">
        <f t="shared" si="406"/>
        <v>0</v>
      </c>
      <c r="W114" s="417">
        <f t="shared" si="406"/>
        <v>0</v>
      </c>
      <c r="X114" s="417">
        <f t="shared" si="406"/>
        <v>0</v>
      </c>
      <c r="Y114" s="417">
        <f t="shared" si="406"/>
        <v>0</v>
      </c>
      <c r="Z114" s="417">
        <f t="shared" si="406"/>
        <v>0</v>
      </c>
      <c r="AA114" s="417">
        <f t="shared" si="406"/>
        <v>0</v>
      </c>
      <c r="AB114" s="417">
        <f t="shared" si="406"/>
        <v>0</v>
      </c>
      <c r="AC114" s="417">
        <f t="shared" si="406"/>
        <v>0</v>
      </c>
      <c r="AD114" s="417">
        <f t="shared" si="406"/>
        <v>0</v>
      </c>
      <c r="AE114" s="417">
        <f t="shared" si="406"/>
        <v>0</v>
      </c>
      <c r="AF114" s="417">
        <f t="shared" si="407"/>
        <v>0</v>
      </c>
      <c r="AG114" s="417">
        <f t="shared" si="407"/>
        <v>0</v>
      </c>
      <c r="AH114" s="417">
        <f t="shared" si="407"/>
        <v>0</v>
      </c>
      <c r="AI114" s="417">
        <f t="shared" si="407"/>
        <v>0</v>
      </c>
      <c r="AJ114" s="417">
        <f t="shared" si="407"/>
        <v>0</v>
      </c>
      <c r="AK114" s="417">
        <f t="shared" si="407"/>
        <v>0</v>
      </c>
      <c r="AL114" s="417">
        <f t="shared" si="407"/>
        <v>0</v>
      </c>
      <c r="AM114" s="417">
        <f t="shared" si="407"/>
        <v>0</v>
      </c>
      <c r="AN114" s="417">
        <f t="shared" si="407"/>
        <v>0</v>
      </c>
      <c r="AO114" s="417">
        <f t="shared" si="407"/>
        <v>0</v>
      </c>
      <c r="AP114" s="417">
        <f t="shared" si="408"/>
        <v>0</v>
      </c>
      <c r="AQ114" s="417">
        <f t="shared" si="408"/>
        <v>0</v>
      </c>
      <c r="AR114" s="417">
        <f t="shared" si="408"/>
        <v>0</v>
      </c>
      <c r="AS114" s="417">
        <f t="shared" si="408"/>
        <v>0</v>
      </c>
      <c r="AT114" s="417">
        <f t="shared" si="408"/>
        <v>0</v>
      </c>
      <c r="AU114" s="417">
        <f t="shared" si="408"/>
        <v>0</v>
      </c>
      <c r="AV114" s="417">
        <f t="shared" si="408"/>
        <v>0</v>
      </c>
      <c r="AW114" s="417">
        <f t="shared" si="408"/>
        <v>0</v>
      </c>
      <c r="AX114" s="417">
        <f t="shared" si="408"/>
        <v>1105.8187708836774</v>
      </c>
      <c r="AY114" s="417">
        <f t="shared" si="408"/>
        <v>2211.6375417673548</v>
      </c>
      <c r="AZ114" s="417">
        <f t="shared" si="409"/>
        <v>3317.4563126510325</v>
      </c>
      <c r="BA114" s="417">
        <f t="shared" si="409"/>
        <v>4423.2750835347097</v>
      </c>
      <c r="BB114" s="417">
        <f t="shared" si="409"/>
        <v>5529.0938544183873</v>
      </c>
      <c r="BC114" s="417">
        <f t="shared" si="409"/>
        <v>6634.912625302065</v>
      </c>
      <c r="BD114" s="417">
        <f t="shared" si="409"/>
        <v>7740.7313961857435</v>
      </c>
      <c r="BE114" s="417">
        <f t="shared" si="409"/>
        <v>8846.5501670694193</v>
      </c>
      <c r="BF114" s="417">
        <f t="shared" si="409"/>
        <v>9952.3689379530988</v>
      </c>
      <c r="BG114" s="417">
        <f t="shared" si="409"/>
        <v>11058.187708836775</v>
      </c>
      <c r="BH114" s="417">
        <f t="shared" si="409"/>
        <v>12164.00647972045</v>
      </c>
      <c r="BI114" s="417">
        <f t="shared" si="409"/>
        <v>13601.570881869233</v>
      </c>
      <c r="BJ114" s="417">
        <f t="shared" si="410"/>
        <v>13601.570881869233</v>
      </c>
      <c r="BK114" s="417">
        <f t="shared" si="410"/>
        <v>13601.570881869233</v>
      </c>
      <c r="BL114" s="417">
        <f t="shared" si="410"/>
        <v>13601.570881869233</v>
      </c>
      <c r="BM114" s="417">
        <f t="shared" si="410"/>
        <v>13601.570881869233</v>
      </c>
      <c r="BN114" s="417">
        <f t="shared" si="410"/>
        <v>13601.570881869233</v>
      </c>
      <c r="BO114" s="417">
        <f t="shared" si="410"/>
        <v>13601.570881869233</v>
      </c>
      <c r="BP114" s="417">
        <f t="shared" si="410"/>
        <v>13601.570881869233</v>
      </c>
      <c r="BQ114" s="417">
        <f t="shared" si="410"/>
        <v>13601.570881869233</v>
      </c>
      <c r="BR114" s="417">
        <f t="shared" si="410"/>
        <v>13601.570881869233</v>
      </c>
      <c r="BS114" s="417">
        <f t="shared" si="410"/>
        <v>13601.570881869233</v>
      </c>
      <c r="BT114" s="417">
        <f t="shared" si="411"/>
        <v>13601.570881869233</v>
      </c>
      <c r="BU114" s="417">
        <f t="shared" si="411"/>
        <v>13941.610153915964</v>
      </c>
      <c r="BV114" s="417">
        <f t="shared" si="411"/>
        <v>13941.610153915964</v>
      </c>
      <c r="BW114" s="417">
        <f t="shared" si="411"/>
        <v>13941.610153915964</v>
      </c>
      <c r="BX114" s="417">
        <f t="shared" si="411"/>
        <v>13941.610153915964</v>
      </c>
      <c r="BY114" s="417">
        <f t="shared" si="411"/>
        <v>13941.610153915964</v>
      </c>
      <c r="BZ114" s="417">
        <f t="shared" si="411"/>
        <v>13941.610153915964</v>
      </c>
      <c r="CA114" s="417">
        <f t="shared" si="411"/>
        <v>13941.610153915964</v>
      </c>
      <c r="CB114" s="417">
        <f t="shared" si="411"/>
        <v>13941.610153915964</v>
      </c>
      <c r="CC114" s="417">
        <f t="shared" si="411"/>
        <v>13941.610153915964</v>
      </c>
      <c r="CD114" s="417">
        <f t="shared" si="412"/>
        <v>13941.610153915964</v>
      </c>
      <c r="CE114" s="417">
        <f t="shared" si="412"/>
        <v>13941.610153915964</v>
      </c>
      <c r="CF114" s="417">
        <f t="shared" si="412"/>
        <v>13941.610153915964</v>
      </c>
      <c r="CG114" s="417">
        <f t="shared" si="412"/>
        <v>14290.150407763862</v>
      </c>
      <c r="CH114" s="417">
        <f t="shared" si="412"/>
        <v>14290.150407763862</v>
      </c>
      <c r="CI114" s="417">
        <f t="shared" si="412"/>
        <v>14290.150407763862</v>
      </c>
      <c r="CJ114" s="417">
        <f t="shared" si="412"/>
        <v>14290.150407763862</v>
      </c>
      <c r="CK114" s="417">
        <f t="shared" si="412"/>
        <v>14290.150407763862</v>
      </c>
      <c r="CL114" s="417">
        <f t="shared" si="412"/>
        <v>14290.150407763862</v>
      </c>
      <c r="CM114" s="417">
        <f t="shared" si="412"/>
        <v>14290.150407763862</v>
      </c>
      <c r="CN114" s="417">
        <f t="shared" si="413"/>
        <v>14290.150407763862</v>
      </c>
      <c r="CO114" s="417">
        <f t="shared" si="413"/>
        <v>14290.150407763862</v>
      </c>
      <c r="CP114" s="417">
        <f t="shared" si="413"/>
        <v>14290.150407763862</v>
      </c>
      <c r="CQ114" s="417">
        <f t="shared" si="413"/>
        <v>14290.150407763862</v>
      </c>
      <c r="CR114" s="417">
        <f t="shared" si="413"/>
        <v>14290.150407763862</v>
      </c>
      <c r="CS114" s="417">
        <f t="shared" si="413"/>
        <v>14647.404167957957</v>
      </c>
      <c r="CT114" s="417">
        <f t="shared" si="413"/>
        <v>14647.404167957957</v>
      </c>
      <c r="CU114" s="417">
        <f t="shared" si="413"/>
        <v>14647.404167957957</v>
      </c>
      <c r="CV114" s="417">
        <f t="shared" si="413"/>
        <v>14647.404167957957</v>
      </c>
      <c r="CW114" s="417">
        <f t="shared" si="413"/>
        <v>14647.404167957957</v>
      </c>
      <c r="CX114" s="417">
        <f t="shared" si="414"/>
        <v>14647.404167957957</v>
      </c>
      <c r="CY114" s="417">
        <f t="shared" si="414"/>
        <v>14647.404167957957</v>
      </c>
      <c r="CZ114" s="417">
        <f t="shared" si="414"/>
        <v>14647.404167957957</v>
      </c>
      <c r="DA114" s="417">
        <f t="shared" si="414"/>
        <v>14647.404167957957</v>
      </c>
      <c r="DB114" s="417">
        <f t="shared" si="414"/>
        <v>14647.404167957957</v>
      </c>
      <c r="DC114" s="417">
        <f t="shared" si="414"/>
        <v>14647.404167957957</v>
      </c>
      <c r="DD114" s="417">
        <f t="shared" si="414"/>
        <v>14647.404167957957</v>
      </c>
      <c r="DE114" s="417">
        <f t="shared" si="414"/>
        <v>15013.589272156905</v>
      </c>
      <c r="DF114" s="417">
        <f t="shared" si="414"/>
        <v>15013.589272156905</v>
      </c>
      <c r="DG114" s="417">
        <f t="shared" si="414"/>
        <v>15013.589272156905</v>
      </c>
      <c r="DH114" s="417">
        <f t="shared" si="415"/>
        <v>15013.589272156905</v>
      </c>
      <c r="DI114" s="417">
        <f t="shared" si="415"/>
        <v>15013.589272156905</v>
      </c>
      <c r="DJ114" s="417">
        <f t="shared" si="415"/>
        <v>15013.589272156905</v>
      </c>
      <c r="DK114" s="417">
        <f t="shared" si="415"/>
        <v>15013.589272156905</v>
      </c>
      <c r="DL114" s="417">
        <f t="shared" si="415"/>
        <v>15013.589272156905</v>
      </c>
      <c r="DM114" s="417">
        <f t="shared" si="415"/>
        <v>15013.589272156905</v>
      </c>
      <c r="DN114" s="417">
        <f t="shared" si="415"/>
        <v>15013.589272156905</v>
      </c>
      <c r="DO114" s="417">
        <f t="shared" si="415"/>
        <v>15013.589272156905</v>
      </c>
      <c r="DP114" s="417">
        <f t="shared" si="415"/>
        <v>15013.589272156905</v>
      </c>
      <c r="DQ114" s="417">
        <f t="shared" si="415"/>
        <v>15388.929003960826</v>
      </c>
      <c r="DR114" s="417">
        <f t="shared" si="416"/>
        <v>15388.929003960826</v>
      </c>
      <c r="DS114" s="417">
        <f t="shared" si="416"/>
        <v>15388.929003960826</v>
      </c>
      <c r="DT114" s="417">
        <f t="shared" si="416"/>
        <v>15388.929003960826</v>
      </c>
      <c r="DU114" s="417">
        <f t="shared" si="416"/>
        <v>15388.929003960826</v>
      </c>
      <c r="DV114" s="417">
        <f t="shared" si="416"/>
        <v>15388.929003960826</v>
      </c>
      <c r="DW114" s="417">
        <f t="shared" si="416"/>
        <v>15388.929003960826</v>
      </c>
      <c r="DX114" s="417">
        <f t="shared" si="416"/>
        <v>15388.929003960826</v>
      </c>
      <c r="DY114" s="417">
        <f t="shared" si="416"/>
        <v>15388.929003960826</v>
      </c>
      <c r="DZ114" s="417">
        <f t="shared" si="416"/>
        <v>15388.929003960826</v>
      </c>
      <c r="EA114" s="417">
        <f t="shared" si="416"/>
        <v>15388.929003960826</v>
      </c>
      <c r="EB114" s="417">
        <f t="shared" si="417"/>
        <v>15388.929003960826</v>
      </c>
      <c r="EC114" s="417">
        <f t="shared" si="417"/>
        <v>15773.652229059848</v>
      </c>
      <c r="ED114" s="417">
        <f t="shared" si="417"/>
        <v>15773.652229059848</v>
      </c>
      <c r="EE114" s="417">
        <f t="shared" si="417"/>
        <v>15773.652229059848</v>
      </c>
      <c r="EF114" s="417">
        <f t="shared" si="417"/>
        <v>15773.652229059848</v>
      </c>
      <c r="EG114" s="417">
        <f t="shared" si="417"/>
        <v>15773.652229059848</v>
      </c>
      <c r="EH114" s="417">
        <f t="shared" si="417"/>
        <v>15773.652229059848</v>
      </c>
      <c r="EI114" s="417">
        <f t="shared" si="417"/>
        <v>15773.652229059848</v>
      </c>
      <c r="EJ114" s="417">
        <f t="shared" si="417"/>
        <v>15773.652229059848</v>
      </c>
      <c r="EK114" s="417">
        <f t="shared" si="417"/>
        <v>15773.652229059848</v>
      </c>
      <c r="EL114" s="417">
        <f t="shared" si="417"/>
        <v>15773.652229059848</v>
      </c>
      <c r="EM114" s="417">
        <f t="shared" si="417"/>
        <v>15773.652229059848</v>
      </c>
      <c r="EN114" s="417">
        <f t="shared" si="417"/>
        <v>15773.652229059848</v>
      </c>
      <c r="EO114" s="208"/>
      <c r="EP114" s="464"/>
      <c r="EQ114" s="465"/>
      <c r="ER114" s="465"/>
      <c r="ES114" s="465"/>
      <c r="ET114" s="465"/>
      <c r="EU114" s="465"/>
      <c r="EV114" s="465"/>
      <c r="EW114" s="465"/>
      <c r="EX114" s="465"/>
      <c r="EY114" s="465"/>
      <c r="EZ114" s="465"/>
      <c r="FA114" s="465"/>
      <c r="FB114" s="465"/>
      <c r="FC114" s="465"/>
      <c r="FD114" s="465"/>
      <c r="FE114" s="465"/>
      <c r="FF114" s="465"/>
      <c r="FG114" s="465"/>
      <c r="FH114" s="465"/>
      <c r="FI114" s="465"/>
      <c r="FJ114" s="465"/>
      <c r="FK114" s="465"/>
      <c r="FL114" s="465"/>
      <c r="FM114" s="465"/>
      <c r="FN114" s="465"/>
      <c r="FO114" s="465"/>
      <c r="FP114" s="465"/>
      <c r="FQ114" s="465"/>
      <c r="FR114" s="465"/>
      <c r="FS114" s="465"/>
      <c r="FT114" s="465"/>
      <c r="FU114" s="465"/>
      <c r="FV114" s="465"/>
      <c r="FW114" s="465"/>
      <c r="FX114" s="465"/>
      <c r="FY114" s="465"/>
      <c r="FZ114" s="465"/>
      <c r="GA114" s="465"/>
      <c r="GB114" s="465"/>
      <c r="GC114" s="465"/>
      <c r="GD114" s="465"/>
      <c r="GE114" s="465"/>
      <c r="GF114" s="465"/>
      <c r="GG114" s="465"/>
      <c r="GH114" s="465"/>
      <c r="GI114" s="465"/>
      <c r="GJ114" s="465"/>
      <c r="GK114" s="465"/>
      <c r="GL114" s="465"/>
      <c r="GM114" s="465"/>
      <c r="GN114" s="465"/>
      <c r="GO114" s="465"/>
      <c r="GP114" s="465"/>
      <c r="GQ114" s="465"/>
      <c r="GR114" s="465"/>
      <c r="GS114" s="465"/>
      <c r="GT114" s="465"/>
      <c r="GU114" s="465"/>
      <c r="GV114" s="465"/>
      <c r="GW114" s="465"/>
      <c r="GX114" s="465"/>
      <c r="GY114" s="465"/>
      <c r="GZ114" s="465"/>
      <c r="HA114" s="465"/>
      <c r="HB114" s="465"/>
      <c r="HC114" s="465"/>
      <c r="HD114" s="465"/>
      <c r="HE114" s="465"/>
      <c r="HF114" s="465"/>
      <c r="HG114" s="465"/>
      <c r="HH114" s="465"/>
      <c r="HI114" s="465"/>
      <c r="HJ114" s="465"/>
      <c r="HK114" s="465"/>
      <c r="HL114" s="465"/>
      <c r="HM114" s="465"/>
      <c r="HN114" s="465"/>
      <c r="HO114" s="465"/>
      <c r="HP114" s="465"/>
      <c r="HQ114" s="465"/>
      <c r="HR114" s="465"/>
      <c r="HS114" s="465"/>
      <c r="HT114" s="465"/>
      <c r="HU114" s="465"/>
      <c r="HV114" s="465"/>
      <c r="HW114" s="465"/>
      <c r="HX114" s="465"/>
      <c r="HY114" s="465"/>
      <c r="HZ114" s="465"/>
      <c r="IA114" s="465"/>
      <c r="IB114" s="465"/>
      <c r="IC114" s="465"/>
      <c r="ID114" s="465"/>
      <c r="IE114" s="465"/>
      <c r="IF114" s="465"/>
      <c r="IG114" s="465"/>
      <c r="IH114" s="465"/>
      <c r="II114" s="465"/>
      <c r="IJ114" s="465"/>
      <c r="IK114" s="465"/>
      <c r="IL114" s="465"/>
      <c r="IM114" s="465"/>
      <c r="IN114" s="465"/>
      <c r="IO114" s="465"/>
      <c r="IP114" s="465"/>
      <c r="IQ114" s="465"/>
      <c r="IR114" s="465"/>
      <c r="IS114" s="465"/>
      <c r="IT114" s="465"/>
      <c r="IU114" s="465"/>
      <c r="IV114" s="465"/>
      <c r="IW114" s="465"/>
      <c r="IX114" s="465"/>
      <c r="IY114" s="465"/>
      <c r="IZ114" s="465"/>
      <c r="JA114" s="465"/>
      <c r="JB114" s="465"/>
      <c r="JC114" s="465"/>
      <c r="JD114" s="465"/>
      <c r="JE114" s="465"/>
      <c r="JF114" s="465"/>
      <c r="JG114" s="465"/>
      <c r="JH114" s="465"/>
      <c r="JI114" s="465"/>
      <c r="JJ114" s="465"/>
      <c r="JK114" s="465"/>
      <c r="JL114" s="465"/>
      <c r="JM114" s="465"/>
      <c r="JN114" s="465"/>
      <c r="JO114" s="465"/>
      <c r="JP114" s="465"/>
      <c r="JQ114" s="465"/>
      <c r="JR114" s="465"/>
      <c r="JS114" s="465"/>
      <c r="JT114" s="465"/>
      <c r="JU114" s="465"/>
      <c r="JV114" s="465"/>
      <c r="JW114" s="465"/>
      <c r="JX114" s="20"/>
      <c r="JY114"/>
      <c r="JZ114" s="466"/>
      <c r="KA114" s="466"/>
      <c r="KB114" s="466"/>
      <c r="KC114" s="466"/>
      <c r="KD114" s="466"/>
      <c r="KE114" s="466"/>
      <c r="KF114" s="466"/>
      <c r="KG114" s="466"/>
      <c r="KH114" s="466"/>
      <c r="KI114" s="466"/>
      <c r="KJ114" s="466"/>
      <c r="KK114" s="466"/>
      <c r="KL114" s="466"/>
      <c r="KM114" s="466"/>
      <c r="KN114" s="466"/>
      <c r="KO114" s="466"/>
      <c r="KP114" s="466"/>
      <c r="KQ114" s="466"/>
      <c r="KR114" s="466"/>
      <c r="KS114" s="466"/>
      <c r="KT114" s="466"/>
      <c r="KU114" s="466"/>
      <c r="KV114" s="466"/>
      <c r="KW114" s="466"/>
      <c r="KX114" s="466"/>
      <c r="KY114" s="466"/>
      <c r="KZ114" s="466"/>
      <c r="LA114" s="466"/>
      <c r="LB114" s="466"/>
      <c r="LC114" s="466"/>
      <c r="LD114" s="466"/>
      <c r="LE114" s="466"/>
      <c r="LF114" s="466"/>
      <c r="LG114" s="466"/>
      <c r="LH114" s="466"/>
      <c r="LI114" s="466"/>
      <c r="LJ114" s="466"/>
      <c r="LK114" s="466"/>
      <c r="LL114" s="466"/>
      <c r="LM114" s="466"/>
      <c r="LN114" s="466"/>
      <c r="LO114" s="466"/>
      <c r="LP114" s="466"/>
      <c r="LQ114" s="466"/>
      <c r="LR114" s="466"/>
      <c r="LS114" s="466"/>
      <c r="LT114" s="466"/>
      <c r="LU114" s="466"/>
      <c r="LV114" s="466"/>
      <c r="LW114" s="466"/>
      <c r="LX114" s="466"/>
      <c r="LY114" s="466"/>
      <c r="LZ114" s="466"/>
      <c r="MA114" s="466"/>
      <c r="MB114" s="466"/>
      <c r="MC114" s="466"/>
      <c r="MD114" s="466"/>
      <c r="ME114" s="466"/>
      <c r="MF114" s="466"/>
      <c r="MG114" s="466"/>
      <c r="MH114" s="466"/>
      <c r="MI114" s="466"/>
      <c r="MJ114" s="466"/>
      <c r="MK114" s="466"/>
      <c r="ML114" s="466"/>
      <c r="MM114" s="466"/>
      <c r="MN114" s="466"/>
      <c r="MO114" s="466"/>
      <c r="MP114" s="466"/>
      <c r="MQ114" s="466"/>
      <c r="MR114" s="466"/>
      <c r="MS114" s="466"/>
      <c r="MT114" s="466"/>
      <c r="MU114" s="466"/>
      <c r="MV114" s="466"/>
      <c r="MW114" s="466"/>
      <c r="MX114" s="466"/>
      <c r="MY114" s="466"/>
      <c r="MZ114" s="466"/>
      <c r="NA114" s="466"/>
      <c r="NB114" s="466"/>
      <c r="NC114" s="466"/>
      <c r="ND114" s="466"/>
      <c r="NE114" s="466"/>
      <c r="NF114" s="466"/>
      <c r="NG114" s="466"/>
      <c r="NH114" s="466"/>
      <c r="NI114" s="466"/>
      <c r="NJ114" s="466"/>
      <c r="NK114" s="466"/>
      <c r="NL114" s="466"/>
      <c r="NM114" s="466"/>
      <c r="NN114" s="466"/>
      <c r="NO114" s="466"/>
      <c r="NP114" s="466"/>
      <c r="NQ114" s="466"/>
      <c r="NR114" s="466"/>
      <c r="NS114" s="466"/>
      <c r="NT114" s="466"/>
      <c r="NU114" s="466"/>
      <c r="NV114" s="466"/>
      <c r="NW114" s="466"/>
      <c r="NX114" s="466"/>
      <c r="NY114" s="466"/>
      <c r="NZ114" s="466"/>
      <c r="OA114" s="466"/>
      <c r="OB114" s="466"/>
      <c r="OC114" s="466"/>
      <c r="OD114" s="466"/>
      <c r="OE114" s="466"/>
      <c r="OF114" s="466"/>
      <c r="OG114" s="466"/>
      <c r="OH114" s="466"/>
      <c r="OI114" s="466"/>
      <c r="OJ114" s="466"/>
      <c r="OK114" s="466"/>
      <c r="OL114" s="466"/>
      <c r="OM114" s="466"/>
      <c r="ON114" s="466"/>
      <c r="OO114" s="466"/>
      <c r="OP114" s="466"/>
      <c r="OQ114" s="466"/>
      <c r="OR114" s="466"/>
      <c r="OS114" s="466"/>
      <c r="OT114" s="466"/>
      <c r="OU114" s="466"/>
      <c r="OV114" s="466"/>
      <c r="OW114" s="466"/>
      <c r="OX114" s="466"/>
      <c r="OY114" s="466"/>
      <c r="OZ114" s="466"/>
      <c r="PA114" s="466"/>
      <c r="PB114" s="466"/>
      <c r="PC114" s="466"/>
      <c r="PD114" s="466"/>
      <c r="PE114" s="466"/>
      <c r="PF114" s="466"/>
      <c r="PG114" s="466"/>
      <c r="PH114" s="466"/>
    </row>
    <row r="115" spans="1:424" x14ac:dyDescent="0.35">
      <c r="A115"/>
      <c r="B115" s="91" t="str">
        <f t="shared" si="400"/>
        <v>Funtime Group</v>
      </c>
      <c r="C115" s="469" t="s">
        <v>278</v>
      </c>
      <c r="D115" s="276" t="s">
        <v>279</v>
      </c>
      <c r="E115" s="45">
        <f t="shared" si="401"/>
        <v>34</v>
      </c>
      <c r="F115" s="53">
        <v>1</v>
      </c>
      <c r="G115" s="254">
        <f t="shared" si="402"/>
        <v>0</v>
      </c>
      <c r="H115" s="148">
        <f t="shared" si="403"/>
        <v>0</v>
      </c>
      <c r="I115" s="445">
        <f t="shared" si="404"/>
        <v>0</v>
      </c>
      <c r="J115"/>
      <c r="K115" s="75"/>
      <c r="L115" s="75">
        <f t="shared" si="405"/>
        <v>0</v>
      </c>
      <c r="M115" s="417">
        <f t="shared" si="405"/>
        <v>0</v>
      </c>
      <c r="N115" s="417">
        <f t="shared" si="405"/>
        <v>0</v>
      </c>
      <c r="O115" s="417">
        <f t="shared" si="405"/>
        <v>0</v>
      </c>
      <c r="P115" s="417">
        <f t="shared" si="405"/>
        <v>0</v>
      </c>
      <c r="Q115" s="417">
        <f t="shared" si="405"/>
        <v>0</v>
      </c>
      <c r="R115" s="417">
        <f t="shared" si="405"/>
        <v>0</v>
      </c>
      <c r="S115" s="417">
        <f t="shared" si="405"/>
        <v>0</v>
      </c>
      <c r="T115" s="417">
        <f t="shared" si="405"/>
        <v>0</v>
      </c>
      <c r="U115" s="417">
        <f t="shared" si="405"/>
        <v>0</v>
      </c>
      <c r="V115" s="417">
        <f t="shared" si="406"/>
        <v>0</v>
      </c>
      <c r="W115" s="417">
        <f t="shared" si="406"/>
        <v>0</v>
      </c>
      <c r="X115" s="417">
        <f t="shared" si="406"/>
        <v>0</v>
      </c>
      <c r="Y115" s="417">
        <f t="shared" si="406"/>
        <v>0</v>
      </c>
      <c r="Z115" s="417">
        <f t="shared" si="406"/>
        <v>0</v>
      </c>
      <c r="AA115" s="417">
        <f t="shared" si="406"/>
        <v>0</v>
      </c>
      <c r="AB115" s="417">
        <f t="shared" si="406"/>
        <v>0</v>
      </c>
      <c r="AC115" s="417">
        <f t="shared" si="406"/>
        <v>0</v>
      </c>
      <c r="AD115" s="417">
        <f t="shared" si="406"/>
        <v>0</v>
      </c>
      <c r="AE115" s="417">
        <f t="shared" si="406"/>
        <v>0</v>
      </c>
      <c r="AF115" s="417">
        <f t="shared" si="407"/>
        <v>0</v>
      </c>
      <c r="AG115" s="417">
        <f t="shared" si="407"/>
        <v>0</v>
      </c>
      <c r="AH115" s="417">
        <f t="shared" si="407"/>
        <v>0</v>
      </c>
      <c r="AI115" s="417">
        <f t="shared" si="407"/>
        <v>0</v>
      </c>
      <c r="AJ115" s="417">
        <f t="shared" si="407"/>
        <v>0</v>
      </c>
      <c r="AK115" s="417">
        <f t="shared" si="407"/>
        <v>0</v>
      </c>
      <c r="AL115" s="417">
        <f t="shared" si="407"/>
        <v>0</v>
      </c>
      <c r="AM115" s="417">
        <f t="shared" si="407"/>
        <v>0</v>
      </c>
      <c r="AN115" s="417">
        <f t="shared" si="407"/>
        <v>0</v>
      </c>
      <c r="AO115" s="417">
        <f t="shared" si="407"/>
        <v>0</v>
      </c>
      <c r="AP115" s="417">
        <f t="shared" si="408"/>
        <v>0</v>
      </c>
      <c r="AQ115" s="417">
        <f t="shared" si="408"/>
        <v>0</v>
      </c>
      <c r="AR115" s="417">
        <f t="shared" si="408"/>
        <v>0</v>
      </c>
      <c r="AS115" s="417">
        <f t="shared" si="408"/>
        <v>0</v>
      </c>
      <c r="AT115" s="417">
        <f t="shared" si="408"/>
        <v>0</v>
      </c>
      <c r="AU115" s="417">
        <f t="shared" si="408"/>
        <v>0</v>
      </c>
      <c r="AV115" s="417">
        <f t="shared" si="408"/>
        <v>0</v>
      </c>
      <c r="AW115" s="417">
        <f t="shared" si="408"/>
        <v>0</v>
      </c>
      <c r="AX115" s="417">
        <f t="shared" si="408"/>
        <v>0</v>
      </c>
      <c r="AY115" s="417">
        <f t="shared" si="408"/>
        <v>0</v>
      </c>
      <c r="AZ115" s="417">
        <f t="shared" si="409"/>
        <v>0</v>
      </c>
      <c r="BA115" s="417">
        <f t="shared" si="409"/>
        <v>0</v>
      </c>
      <c r="BB115" s="417">
        <f t="shared" si="409"/>
        <v>0</v>
      </c>
      <c r="BC115" s="417">
        <f t="shared" si="409"/>
        <v>0</v>
      </c>
      <c r="BD115" s="417">
        <f t="shared" si="409"/>
        <v>0</v>
      </c>
      <c r="BE115" s="417">
        <f t="shared" si="409"/>
        <v>0</v>
      </c>
      <c r="BF115" s="417">
        <f t="shared" si="409"/>
        <v>0</v>
      </c>
      <c r="BG115" s="417">
        <f t="shared" si="409"/>
        <v>0</v>
      </c>
      <c r="BH115" s="417">
        <f t="shared" si="409"/>
        <v>0</v>
      </c>
      <c r="BI115" s="417">
        <f t="shared" si="409"/>
        <v>0</v>
      </c>
      <c r="BJ115" s="417">
        <f t="shared" si="410"/>
        <v>0</v>
      </c>
      <c r="BK115" s="417">
        <f t="shared" si="410"/>
        <v>0</v>
      </c>
      <c r="BL115" s="417">
        <f t="shared" si="410"/>
        <v>0</v>
      </c>
      <c r="BM115" s="417">
        <f t="shared" si="410"/>
        <v>0</v>
      </c>
      <c r="BN115" s="417">
        <f t="shared" si="410"/>
        <v>0</v>
      </c>
      <c r="BO115" s="417">
        <f t="shared" si="410"/>
        <v>0</v>
      </c>
      <c r="BP115" s="417">
        <f t="shared" si="410"/>
        <v>0</v>
      </c>
      <c r="BQ115" s="417">
        <f t="shared" si="410"/>
        <v>0</v>
      </c>
      <c r="BR115" s="417">
        <f t="shared" si="410"/>
        <v>0</v>
      </c>
      <c r="BS115" s="417">
        <f t="shared" si="410"/>
        <v>0</v>
      </c>
      <c r="BT115" s="417">
        <f t="shared" si="411"/>
        <v>0</v>
      </c>
      <c r="BU115" s="417">
        <f t="shared" si="411"/>
        <v>0</v>
      </c>
      <c r="BV115" s="417">
        <f t="shared" si="411"/>
        <v>0</v>
      </c>
      <c r="BW115" s="417">
        <f t="shared" si="411"/>
        <v>0</v>
      </c>
      <c r="BX115" s="417">
        <f t="shared" si="411"/>
        <v>0</v>
      </c>
      <c r="BY115" s="417">
        <f t="shared" si="411"/>
        <v>0</v>
      </c>
      <c r="BZ115" s="417">
        <f t="shared" si="411"/>
        <v>0</v>
      </c>
      <c r="CA115" s="417">
        <f t="shared" si="411"/>
        <v>0</v>
      </c>
      <c r="CB115" s="417">
        <f t="shared" si="411"/>
        <v>0</v>
      </c>
      <c r="CC115" s="417">
        <f t="shared" si="411"/>
        <v>0</v>
      </c>
      <c r="CD115" s="417">
        <f t="shared" si="412"/>
        <v>0</v>
      </c>
      <c r="CE115" s="417">
        <f t="shared" si="412"/>
        <v>0</v>
      </c>
      <c r="CF115" s="417">
        <f t="shared" si="412"/>
        <v>0</v>
      </c>
      <c r="CG115" s="417">
        <f t="shared" si="412"/>
        <v>0</v>
      </c>
      <c r="CH115" s="417">
        <f t="shared" si="412"/>
        <v>0</v>
      </c>
      <c r="CI115" s="417">
        <f t="shared" si="412"/>
        <v>0</v>
      </c>
      <c r="CJ115" s="417">
        <f t="shared" si="412"/>
        <v>0</v>
      </c>
      <c r="CK115" s="417">
        <f t="shared" si="412"/>
        <v>0</v>
      </c>
      <c r="CL115" s="417">
        <f t="shared" si="412"/>
        <v>0</v>
      </c>
      <c r="CM115" s="417">
        <f t="shared" si="412"/>
        <v>0</v>
      </c>
      <c r="CN115" s="417">
        <f t="shared" si="413"/>
        <v>0</v>
      </c>
      <c r="CO115" s="417">
        <f t="shared" si="413"/>
        <v>0</v>
      </c>
      <c r="CP115" s="417">
        <f t="shared" si="413"/>
        <v>0</v>
      </c>
      <c r="CQ115" s="417">
        <f t="shared" si="413"/>
        <v>0</v>
      </c>
      <c r="CR115" s="417">
        <f t="shared" si="413"/>
        <v>0</v>
      </c>
      <c r="CS115" s="417">
        <f t="shared" si="413"/>
        <v>0</v>
      </c>
      <c r="CT115" s="417">
        <f t="shared" si="413"/>
        <v>0</v>
      </c>
      <c r="CU115" s="417">
        <f t="shared" si="413"/>
        <v>0</v>
      </c>
      <c r="CV115" s="417">
        <f t="shared" si="413"/>
        <v>0</v>
      </c>
      <c r="CW115" s="417">
        <f t="shared" si="413"/>
        <v>0</v>
      </c>
      <c r="CX115" s="417">
        <f t="shared" si="414"/>
        <v>0</v>
      </c>
      <c r="CY115" s="417">
        <f t="shared" si="414"/>
        <v>0</v>
      </c>
      <c r="CZ115" s="417">
        <f t="shared" si="414"/>
        <v>0</v>
      </c>
      <c r="DA115" s="417">
        <f t="shared" si="414"/>
        <v>0</v>
      </c>
      <c r="DB115" s="417">
        <f t="shared" si="414"/>
        <v>0</v>
      </c>
      <c r="DC115" s="417">
        <f t="shared" si="414"/>
        <v>0</v>
      </c>
      <c r="DD115" s="417">
        <f t="shared" si="414"/>
        <v>0</v>
      </c>
      <c r="DE115" s="417">
        <f t="shared" si="414"/>
        <v>0</v>
      </c>
      <c r="DF115" s="417">
        <f t="shared" si="414"/>
        <v>0</v>
      </c>
      <c r="DG115" s="417">
        <f t="shared" si="414"/>
        <v>0</v>
      </c>
      <c r="DH115" s="417">
        <f t="shared" si="415"/>
        <v>0</v>
      </c>
      <c r="DI115" s="417">
        <f t="shared" si="415"/>
        <v>0</v>
      </c>
      <c r="DJ115" s="417">
        <f t="shared" si="415"/>
        <v>0</v>
      </c>
      <c r="DK115" s="417">
        <f t="shared" si="415"/>
        <v>0</v>
      </c>
      <c r="DL115" s="417">
        <f t="shared" si="415"/>
        <v>0</v>
      </c>
      <c r="DM115" s="417">
        <f t="shared" si="415"/>
        <v>0</v>
      </c>
      <c r="DN115" s="417">
        <f t="shared" si="415"/>
        <v>0</v>
      </c>
      <c r="DO115" s="417">
        <f t="shared" si="415"/>
        <v>0</v>
      </c>
      <c r="DP115" s="417">
        <f t="shared" si="415"/>
        <v>0</v>
      </c>
      <c r="DQ115" s="417">
        <f t="shared" si="415"/>
        <v>0</v>
      </c>
      <c r="DR115" s="417">
        <f t="shared" si="416"/>
        <v>0</v>
      </c>
      <c r="DS115" s="417">
        <f t="shared" si="416"/>
        <v>0</v>
      </c>
      <c r="DT115" s="417">
        <f t="shared" si="416"/>
        <v>0</v>
      </c>
      <c r="DU115" s="417">
        <f t="shared" si="416"/>
        <v>0</v>
      </c>
      <c r="DV115" s="417">
        <f t="shared" si="416"/>
        <v>0</v>
      </c>
      <c r="DW115" s="417">
        <f t="shared" si="416"/>
        <v>0</v>
      </c>
      <c r="DX115" s="417">
        <f t="shared" si="416"/>
        <v>0</v>
      </c>
      <c r="DY115" s="417">
        <f t="shared" si="416"/>
        <v>0</v>
      </c>
      <c r="DZ115" s="417">
        <f t="shared" si="416"/>
        <v>0</v>
      </c>
      <c r="EA115" s="417">
        <f t="shared" si="416"/>
        <v>0</v>
      </c>
      <c r="EB115" s="417">
        <f t="shared" si="417"/>
        <v>0</v>
      </c>
      <c r="EC115" s="417">
        <f t="shared" si="417"/>
        <v>0</v>
      </c>
      <c r="ED115" s="417">
        <f t="shared" si="417"/>
        <v>0</v>
      </c>
      <c r="EE115" s="417">
        <f t="shared" si="417"/>
        <v>0</v>
      </c>
      <c r="EF115" s="417">
        <f t="shared" si="417"/>
        <v>0</v>
      </c>
      <c r="EG115" s="417">
        <f t="shared" si="417"/>
        <v>0</v>
      </c>
      <c r="EH115" s="417">
        <f t="shared" si="417"/>
        <v>0</v>
      </c>
      <c r="EI115" s="417">
        <f t="shared" si="417"/>
        <v>0</v>
      </c>
      <c r="EJ115" s="417">
        <f t="shared" si="417"/>
        <v>0</v>
      </c>
      <c r="EK115" s="417">
        <f t="shared" si="417"/>
        <v>0</v>
      </c>
      <c r="EL115" s="417">
        <f t="shared" si="417"/>
        <v>0</v>
      </c>
      <c r="EM115" s="417">
        <f t="shared" si="417"/>
        <v>0</v>
      </c>
      <c r="EN115" s="417">
        <f t="shared" si="417"/>
        <v>0</v>
      </c>
      <c r="EO115" s="208"/>
      <c r="EP115" s="464"/>
      <c r="EQ115" s="465"/>
      <c r="ER115" s="465"/>
      <c r="ES115" s="465"/>
      <c r="ET115" s="465"/>
      <c r="EU115" s="465"/>
      <c r="EV115" s="465"/>
      <c r="EW115" s="465"/>
      <c r="EX115" s="465"/>
      <c r="EY115" s="465"/>
      <c r="EZ115" s="465"/>
      <c r="FA115" s="465"/>
      <c r="FB115" s="465"/>
      <c r="FC115" s="465"/>
      <c r="FD115" s="465"/>
      <c r="FE115" s="465"/>
      <c r="FF115" s="465"/>
      <c r="FG115" s="465"/>
      <c r="FH115" s="465"/>
      <c r="FI115" s="465"/>
      <c r="FJ115" s="465"/>
      <c r="FK115" s="465"/>
      <c r="FL115" s="465"/>
      <c r="FM115" s="465"/>
      <c r="FN115" s="465"/>
      <c r="FO115" s="465"/>
      <c r="FP115" s="465"/>
      <c r="FQ115" s="465"/>
      <c r="FR115" s="465"/>
      <c r="FS115" s="465"/>
      <c r="FT115" s="465"/>
      <c r="FU115" s="465"/>
      <c r="FV115" s="465"/>
      <c r="FW115" s="465"/>
      <c r="FX115" s="465"/>
      <c r="FY115" s="465"/>
      <c r="FZ115" s="465"/>
      <c r="GA115" s="465"/>
      <c r="GB115" s="465"/>
      <c r="GC115" s="465"/>
      <c r="GD115" s="465"/>
      <c r="GE115" s="465"/>
      <c r="GF115" s="465"/>
      <c r="GG115" s="465"/>
      <c r="GH115" s="465"/>
      <c r="GI115" s="465"/>
      <c r="GJ115" s="465"/>
      <c r="GK115" s="465"/>
      <c r="GL115" s="465"/>
      <c r="GM115" s="465"/>
      <c r="GN115" s="465"/>
      <c r="GO115" s="465"/>
      <c r="GP115" s="465"/>
      <c r="GQ115" s="465"/>
      <c r="GR115" s="465"/>
      <c r="GS115" s="465"/>
      <c r="GT115" s="465"/>
      <c r="GU115" s="465"/>
      <c r="GV115" s="465"/>
      <c r="GW115" s="465"/>
      <c r="GX115" s="465"/>
      <c r="GY115" s="465"/>
      <c r="GZ115" s="465"/>
      <c r="HA115" s="465"/>
      <c r="HB115" s="465"/>
      <c r="HC115" s="465"/>
      <c r="HD115" s="465"/>
      <c r="HE115" s="465"/>
      <c r="HF115" s="465"/>
      <c r="HG115" s="465"/>
      <c r="HH115" s="465"/>
      <c r="HI115" s="465"/>
      <c r="HJ115" s="465"/>
      <c r="HK115" s="465"/>
      <c r="HL115" s="465"/>
      <c r="HM115" s="465"/>
      <c r="HN115" s="465"/>
      <c r="HO115" s="465"/>
      <c r="HP115" s="465"/>
      <c r="HQ115" s="465"/>
      <c r="HR115" s="465"/>
      <c r="HS115" s="465"/>
      <c r="HT115" s="465"/>
      <c r="HU115" s="465"/>
      <c r="HV115" s="465"/>
      <c r="HW115" s="465"/>
      <c r="HX115" s="465"/>
      <c r="HY115" s="465"/>
      <c r="HZ115" s="465"/>
      <c r="IA115" s="465"/>
      <c r="IB115" s="465"/>
      <c r="IC115" s="465"/>
      <c r="ID115" s="465"/>
      <c r="IE115" s="465"/>
      <c r="IF115" s="465"/>
      <c r="IG115" s="465"/>
      <c r="IH115" s="465"/>
      <c r="II115" s="465"/>
      <c r="IJ115" s="465"/>
      <c r="IK115" s="465"/>
      <c r="IL115" s="465"/>
      <c r="IM115" s="465"/>
      <c r="IN115" s="465"/>
      <c r="IO115" s="465"/>
      <c r="IP115" s="465"/>
      <c r="IQ115" s="465"/>
      <c r="IR115" s="465"/>
      <c r="IS115" s="465"/>
      <c r="IT115" s="465"/>
      <c r="IU115" s="465"/>
      <c r="IV115" s="465"/>
      <c r="IW115" s="465"/>
      <c r="IX115" s="465"/>
      <c r="IY115" s="465"/>
      <c r="IZ115" s="465"/>
      <c r="JA115" s="465"/>
      <c r="JB115" s="465"/>
      <c r="JC115" s="465"/>
      <c r="JD115" s="465"/>
      <c r="JE115" s="465"/>
      <c r="JF115" s="465"/>
      <c r="JG115" s="465"/>
      <c r="JH115" s="465"/>
      <c r="JI115" s="465"/>
      <c r="JJ115" s="465"/>
      <c r="JK115" s="465"/>
      <c r="JL115" s="465"/>
      <c r="JM115" s="465"/>
      <c r="JN115" s="465"/>
      <c r="JO115" s="465"/>
      <c r="JP115" s="465"/>
      <c r="JQ115" s="465"/>
      <c r="JR115" s="465"/>
      <c r="JS115" s="465"/>
      <c r="JT115" s="465"/>
      <c r="JU115" s="465"/>
      <c r="JV115" s="465"/>
      <c r="JW115" s="465"/>
      <c r="JX115" s="20"/>
      <c r="JY115"/>
      <c r="JZ115" s="466"/>
      <c r="KA115" s="466"/>
      <c r="KB115" s="466"/>
      <c r="KC115" s="466"/>
      <c r="KD115" s="466"/>
      <c r="KE115" s="466"/>
      <c r="KF115" s="466"/>
      <c r="KG115" s="466"/>
      <c r="KH115" s="466"/>
      <c r="KI115" s="466"/>
      <c r="KJ115" s="466"/>
      <c r="KK115" s="466"/>
      <c r="KL115" s="466"/>
      <c r="KM115" s="466"/>
      <c r="KN115" s="466"/>
      <c r="KO115" s="466"/>
      <c r="KP115" s="466"/>
      <c r="KQ115" s="466"/>
      <c r="KR115" s="466"/>
      <c r="KS115" s="466"/>
      <c r="KT115" s="466"/>
      <c r="KU115" s="466"/>
      <c r="KV115" s="466"/>
      <c r="KW115" s="466"/>
      <c r="KX115" s="466"/>
      <c r="KY115" s="466"/>
      <c r="KZ115" s="466"/>
      <c r="LA115" s="466"/>
      <c r="LB115" s="466"/>
      <c r="LC115" s="466"/>
      <c r="LD115" s="466"/>
      <c r="LE115" s="466"/>
      <c r="LF115" s="466"/>
      <c r="LG115" s="466"/>
      <c r="LH115" s="466"/>
      <c r="LI115" s="466"/>
      <c r="LJ115" s="466"/>
      <c r="LK115" s="466"/>
      <c r="LL115" s="466"/>
      <c r="LM115" s="466"/>
      <c r="LN115" s="466"/>
      <c r="LO115" s="466"/>
      <c r="LP115" s="466"/>
      <c r="LQ115" s="466"/>
      <c r="LR115" s="466"/>
      <c r="LS115" s="466"/>
      <c r="LT115" s="466"/>
      <c r="LU115" s="466"/>
      <c r="LV115" s="466"/>
      <c r="LW115" s="466"/>
      <c r="LX115" s="466"/>
      <c r="LY115" s="466"/>
      <c r="LZ115" s="466"/>
      <c r="MA115" s="466"/>
      <c r="MB115" s="466"/>
      <c r="MC115" s="466"/>
      <c r="MD115" s="466"/>
      <c r="ME115" s="466"/>
      <c r="MF115" s="466"/>
      <c r="MG115" s="466"/>
      <c r="MH115" s="466"/>
      <c r="MI115" s="466"/>
      <c r="MJ115" s="466"/>
      <c r="MK115" s="466"/>
      <c r="ML115" s="466"/>
      <c r="MM115" s="466"/>
      <c r="MN115" s="466"/>
      <c r="MO115" s="466"/>
      <c r="MP115" s="466"/>
      <c r="MQ115" s="466"/>
      <c r="MR115" s="466"/>
      <c r="MS115" s="466"/>
      <c r="MT115" s="466"/>
      <c r="MU115" s="466"/>
      <c r="MV115" s="466"/>
      <c r="MW115" s="466"/>
      <c r="MX115" s="466"/>
      <c r="MY115" s="466"/>
      <c r="MZ115" s="466"/>
      <c r="NA115" s="466"/>
      <c r="NB115" s="466"/>
      <c r="NC115" s="466"/>
      <c r="ND115" s="466"/>
      <c r="NE115" s="466"/>
      <c r="NF115" s="466"/>
      <c r="NG115" s="466"/>
      <c r="NH115" s="466"/>
      <c r="NI115" s="466"/>
      <c r="NJ115" s="466"/>
      <c r="NK115" s="466"/>
      <c r="NL115" s="466"/>
      <c r="NM115" s="466"/>
      <c r="NN115" s="466"/>
      <c r="NO115" s="466"/>
      <c r="NP115" s="466"/>
      <c r="NQ115" s="466"/>
      <c r="NR115" s="466"/>
      <c r="NS115" s="466"/>
      <c r="NT115" s="466"/>
      <c r="NU115" s="466"/>
      <c r="NV115" s="466"/>
      <c r="NW115" s="466"/>
      <c r="NX115" s="466"/>
      <c r="NY115" s="466"/>
      <c r="NZ115" s="466"/>
      <c r="OA115" s="466"/>
      <c r="OB115" s="466"/>
      <c r="OC115" s="466"/>
      <c r="OD115" s="466"/>
      <c r="OE115" s="466"/>
      <c r="OF115" s="466"/>
      <c r="OG115" s="466"/>
      <c r="OH115" s="466"/>
      <c r="OI115" s="466"/>
      <c r="OJ115" s="466"/>
      <c r="OK115" s="466"/>
      <c r="OL115" s="466"/>
      <c r="OM115" s="466"/>
      <c r="ON115" s="466"/>
      <c r="OO115" s="466"/>
      <c r="OP115" s="466"/>
      <c r="OQ115" s="466"/>
      <c r="OR115" s="466"/>
      <c r="OS115" s="466"/>
      <c r="OT115" s="466"/>
      <c r="OU115" s="466"/>
      <c r="OV115" s="466"/>
      <c r="OW115" s="466"/>
      <c r="OX115" s="466"/>
      <c r="OY115" s="466"/>
      <c r="OZ115" s="466"/>
      <c r="PA115" s="466"/>
      <c r="PB115" s="466"/>
      <c r="PC115" s="466"/>
      <c r="PD115" s="466"/>
      <c r="PE115" s="466"/>
      <c r="PF115" s="466"/>
      <c r="PG115" s="466"/>
      <c r="PH115" s="466"/>
    </row>
    <row r="116" spans="1:424" x14ac:dyDescent="0.35">
      <c r="A116"/>
      <c r="B116" s="91" t="str">
        <f t="shared" si="400"/>
        <v>Operating Group</v>
      </c>
      <c r="C116" s="469" t="s">
        <v>278</v>
      </c>
      <c r="D116" s="276" t="s">
        <v>279</v>
      </c>
      <c r="E116" s="45">
        <f t="shared" si="401"/>
        <v>34</v>
      </c>
      <c r="F116" s="53">
        <v>1</v>
      </c>
      <c r="G116" s="254">
        <f t="shared" si="402"/>
        <v>1.9115493005131361E-3</v>
      </c>
      <c r="H116" s="148">
        <f t="shared" si="403"/>
        <v>41.904711317697256</v>
      </c>
      <c r="I116" s="445">
        <f t="shared" si="404"/>
        <v>6285.7066976545884</v>
      </c>
      <c r="J116"/>
      <c r="K116" s="75"/>
      <c r="L116" s="75">
        <f t="shared" si="405"/>
        <v>0</v>
      </c>
      <c r="M116" s="417">
        <f t="shared" si="405"/>
        <v>0</v>
      </c>
      <c r="N116" s="417">
        <f t="shared" si="405"/>
        <v>0</v>
      </c>
      <c r="O116" s="417">
        <f t="shared" si="405"/>
        <v>0</v>
      </c>
      <c r="P116" s="417">
        <f t="shared" si="405"/>
        <v>0</v>
      </c>
      <c r="Q116" s="417">
        <f t="shared" si="405"/>
        <v>0</v>
      </c>
      <c r="R116" s="417">
        <f t="shared" si="405"/>
        <v>0</v>
      </c>
      <c r="S116" s="417">
        <f t="shared" si="405"/>
        <v>0</v>
      </c>
      <c r="T116" s="417">
        <f t="shared" si="405"/>
        <v>0</v>
      </c>
      <c r="U116" s="417">
        <f t="shared" si="405"/>
        <v>0</v>
      </c>
      <c r="V116" s="417">
        <f t="shared" si="406"/>
        <v>0</v>
      </c>
      <c r="W116" s="417">
        <f t="shared" si="406"/>
        <v>0</v>
      </c>
      <c r="X116" s="417">
        <f t="shared" si="406"/>
        <v>0</v>
      </c>
      <c r="Y116" s="417">
        <f t="shared" si="406"/>
        <v>0</v>
      </c>
      <c r="Z116" s="417">
        <f t="shared" si="406"/>
        <v>0</v>
      </c>
      <c r="AA116" s="417">
        <f t="shared" si="406"/>
        <v>0</v>
      </c>
      <c r="AB116" s="417">
        <f t="shared" si="406"/>
        <v>0</v>
      </c>
      <c r="AC116" s="417">
        <f t="shared" si="406"/>
        <v>0</v>
      </c>
      <c r="AD116" s="417">
        <f t="shared" si="406"/>
        <v>0</v>
      </c>
      <c r="AE116" s="417">
        <f t="shared" si="406"/>
        <v>0</v>
      </c>
      <c r="AF116" s="417">
        <f t="shared" si="407"/>
        <v>0</v>
      </c>
      <c r="AG116" s="417">
        <f t="shared" si="407"/>
        <v>0</v>
      </c>
      <c r="AH116" s="417">
        <f t="shared" si="407"/>
        <v>0</v>
      </c>
      <c r="AI116" s="417">
        <f t="shared" si="407"/>
        <v>0</v>
      </c>
      <c r="AJ116" s="417">
        <f t="shared" si="407"/>
        <v>0</v>
      </c>
      <c r="AK116" s="417">
        <f t="shared" si="407"/>
        <v>0</v>
      </c>
      <c r="AL116" s="417">
        <f t="shared" si="407"/>
        <v>0</v>
      </c>
      <c r="AM116" s="417">
        <f t="shared" si="407"/>
        <v>0</v>
      </c>
      <c r="AN116" s="417">
        <f t="shared" si="407"/>
        <v>0</v>
      </c>
      <c r="AO116" s="417">
        <f t="shared" si="407"/>
        <v>0</v>
      </c>
      <c r="AP116" s="417">
        <f t="shared" si="408"/>
        <v>0</v>
      </c>
      <c r="AQ116" s="417">
        <f t="shared" si="408"/>
        <v>0</v>
      </c>
      <c r="AR116" s="417">
        <f t="shared" si="408"/>
        <v>0</v>
      </c>
      <c r="AS116" s="417">
        <f t="shared" si="408"/>
        <v>0</v>
      </c>
      <c r="AT116" s="417">
        <f t="shared" si="408"/>
        <v>0</v>
      </c>
      <c r="AU116" s="417">
        <f t="shared" si="408"/>
        <v>0</v>
      </c>
      <c r="AV116" s="417">
        <f t="shared" si="408"/>
        <v>0</v>
      </c>
      <c r="AW116" s="417">
        <f t="shared" si="408"/>
        <v>0</v>
      </c>
      <c r="AX116" s="417">
        <f t="shared" si="408"/>
        <v>43.650740955934637</v>
      </c>
      <c r="AY116" s="417">
        <f t="shared" si="408"/>
        <v>87.301481911869274</v>
      </c>
      <c r="AZ116" s="417">
        <f t="shared" si="409"/>
        <v>130.9522228678039</v>
      </c>
      <c r="BA116" s="417">
        <f t="shared" si="409"/>
        <v>174.60296382373855</v>
      </c>
      <c r="BB116" s="417">
        <f t="shared" si="409"/>
        <v>218.2537047796732</v>
      </c>
      <c r="BC116" s="417">
        <f t="shared" si="409"/>
        <v>261.90444573560779</v>
      </c>
      <c r="BD116" s="417">
        <f t="shared" si="409"/>
        <v>305.55518669154247</v>
      </c>
      <c r="BE116" s="417">
        <f t="shared" si="409"/>
        <v>349.2059276474771</v>
      </c>
      <c r="BF116" s="417">
        <f t="shared" si="409"/>
        <v>392.85666860341178</v>
      </c>
      <c r="BG116" s="417">
        <f t="shared" si="409"/>
        <v>436.5074095593464</v>
      </c>
      <c r="BH116" s="417">
        <f t="shared" si="409"/>
        <v>480.15815051528097</v>
      </c>
      <c r="BI116" s="417">
        <f t="shared" si="409"/>
        <v>536.90411375799602</v>
      </c>
      <c r="BJ116" s="417">
        <f t="shared" si="410"/>
        <v>536.90411375799602</v>
      </c>
      <c r="BK116" s="417">
        <f t="shared" si="410"/>
        <v>536.90411375799602</v>
      </c>
      <c r="BL116" s="417">
        <f t="shared" si="410"/>
        <v>536.90411375799602</v>
      </c>
      <c r="BM116" s="417">
        <f t="shared" si="410"/>
        <v>536.90411375799602</v>
      </c>
      <c r="BN116" s="417">
        <f t="shared" si="410"/>
        <v>536.90411375799602</v>
      </c>
      <c r="BO116" s="417">
        <f t="shared" si="410"/>
        <v>536.90411375799602</v>
      </c>
      <c r="BP116" s="417">
        <f t="shared" si="410"/>
        <v>536.90411375799602</v>
      </c>
      <c r="BQ116" s="417">
        <f t="shared" si="410"/>
        <v>536.90411375799602</v>
      </c>
      <c r="BR116" s="417">
        <f t="shared" si="410"/>
        <v>536.90411375799602</v>
      </c>
      <c r="BS116" s="417">
        <f t="shared" si="410"/>
        <v>536.90411375799602</v>
      </c>
      <c r="BT116" s="417">
        <f t="shared" si="411"/>
        <v>536.90411375799602</v>
      </c>
      <c r="BU116" s="417">
        <f t="shared" si="411"/>
        <v>550.32671660194592</v>
      </c>
      <c r="BV116" s="417">
        <f t="shared" si="411"/>
        <v>550.32671660194592</v>
      </c>
      <c r="BW116" s="417">
        <f t="shared" si="411"/>
        <v>550.32671660194592</v>
      </c>
      <c r="BX116" s="417">
        <f t="shared" si="411"/>
        <v>550.32671660194592</v>
      </c>
      <c r="BY116" s="417">
        <f t="shared" si="411"/>
        <v>550.32671660194592</v>
      </c>
      <c r="BZ116" s="417">
        <f t="shared" si="411"/>
        <v>550.32671660194592</v>
      </c>
      <c r="CA116" s="417">
        <f t="shared" si="411"/>
        <v>550.32671660194592</v>
      </c>
      <c r="CB116" s="417">
        <f t="shared" si="411"/>
        <v>550.32671660194592</v>
      </c>
      <c r="CC116" s="417">
        <f t="shared" si="411"/>
        <v>550.32671660194592</v>
      </c>
      <c r="CD116" s="417">
        <f t="shared" si="412"/>
        <v>550.32671660194592</v>
      </c>
      <c r="CE116" s="417">
        <f t="shared" si="412"/>
        <v>550.32671660194592</v>
      </c>
      <c r="CF116" s="417">
        <f t="shared" si="412"/>
        <v>550.32671660194592</v>
      </c>
      <c r="CG116" s="417">
        <f t="shared" si="412"/>
        <v>564.08488451699452</v>
      </c>
      <c r="CH116" s="417">
        <f t="shared" si="412"/>
        <v>564.08488451699452</v>
      </c>
      <c r="CI116" s="417">
        <f t="shared" si="412"/>
        <v>564.08488451699452</v>
      </c>
      <c r="CJ116" s="417">
        <f t="shared" si="412"/>
        <v>564.08488451699452</v>
      </c>
      <c r="CK116" s="417">
        <f t="shared" si="412"/>
        <v>564.08488451699452</v>
      </c>
      <c r="CL116" s="417">
        <f t="shared" si="412"/>
        <v>564.08488451699452</v>
      </c>
      <c r="CM116" s="417">
        <f t="shared" si="412"/>
        <v>564.08488451699452</v>
      </c>
      <c r="CN116" s="417">
        <f t="shared" si="413"/>
        <v>564.08488451699452</v>
      </c>
      <c r="CO116" s="417">
        <f t="shared" si="413"/>
        <v>564.08488451699452</v>
      </c>
      <c r="CP116" s="417">
        <f t="shared" si="413"/>
        <v>564.08488451699452</v>
      </c>
      <c r="CQ116" s="417">
        <f t="shared" si="413"/>
        <v>564.08488451699452</v>
      </c>
      <c r="CR116" s="417">
        <f t="shared" si="413"/>
        <v>564.08488451699452</v>
      </c>
      <c r="CS116" s="417">
        <f t="shared" si="413"/>
        <v>578.18700662991932</v>
      </c>
      <c r="CT116" s="417">
        <f t="shared" si="413"/>
        <v>578.18700662991932</v>
      </c>
      <c r="CU116" s="417">
        <f t="shared" si="413"/>
        <v>578.18700662991932</v>
      </c>
      <c r="CV116" s="417">
        <f t="shared" si="413"/>
        <v>578.18700662991932</v>
      </c>
      <c r="CW116" s="417">
        <f t="shared" si="413"/>
        <v>578.18700662991932</v>
      </c>
      <c r="CX116" s="417">
        <f t="shared" si="414"/>
        <v>578.18700662991932</v>
      </c>
      <c r="CY116" s="417">
        <f t="shared" si="414"/>
        <v>578.18700662991932</v>
      </c>
      <c r="CZ116" s="417">
        <f t="shared" si="414"/>
        <v>578.18700662991932</v>
      </c>
      <c r="DA116" s="417">
        <f t="shared" si="414"/>
        <v>578.18700662991932</v>
      </c>
      <c r="DB116" s="417">
        <f t="shared" si="414"/>
        <v>578.18700662991932</v>
      </c>
      <c r="DC116" s="417">
        <f t="shared" si="414"/>
        <v>578.18700662991932</v>
      </c>
      <c r="DD116" s="417">
        <f t="shared" si="414"/>
        <v>578.18700662991932</v>
      </c>
      <c r="DE116" s="417">
        <f t="shared" si="414"/>
        <v>592.6416817956673</v>
      </c>
      <c r="DF116" s="417">
        <f t="shared" si="414"/>
        <v>592.6416817956673</v>
      </c>
      <c r="DG116" s="417">
        <f t="shared" si="414"/>
        <v>592.6416817956673</v>
      </c>
      <c r="DH116" s="417">
        <f t="shared" si="415"/>
        <v>592.6416817956673</v>
      </c>
      <c r="DI116" s="417">
        <f t="shared" si="415"/>
        <v>592.6416817956673</v>
      </c>
      <c r="DJ116" s="417">
        <f t="shared" si="415"/>
        <v>592.6416817956673</v>
      </c>
      <c r="DK116" s="417">
        <f t="shared" si="415"/>
        <v>592.6416817956673</v>
      </c>
      <c r="DL116" s="417">
        <f t="shared" si="415"/>
        <v>592.6416817956673</v>
      </c>
      <c r="DM116" s="417">
        <f t="shared" si="415"/>
        <v>592.6416817956673</v>
      </c>
      <c r="DN116" s="417">
        <f t="shared" si="415"/>
        <v>592.6416817956673</v>
      </c>
      <c r="DO116" s="417">
        <f t="shared" si="415"/>
        <v>592.6416817956673</v>
      </c>
      <c r="DP116" s="417">
        <f t="shared" si="415"/>
        <v>592.6416817956673</v>
      </c>
      <c r="DQ116" s="417">
        <f t="shared" si="415"/>
        <v>607.45772384055886</v>
      </c>
      <c r="DR116" s="417">
        <f t="shared" si="416"/>
        <v>607.45772384055886</v>
      </c>
      <c r="DS116" s="417">
        <f t="shared" si="416"/>
        <v>607.45772384055886</v>
      </c>
      <c r="DT116" s="417">
        <f t="shared" si="416"/>
        <v>607.45772384055886</v>
      </c>
      <c r="DU116" s="417">
        <f t="shared" si="416"/>
        <v>607.45772384055886</v>
      </c>
      <c r="DV116" s="417">
        <f t="shared" si="416"/>
        <v>607.45772384055886</v>
      </c>
      <c r="DW116" s="417">
        <f t="shared" si="416"/>
        <v>607.45772384055886</v>
      </c>
      <c r="DX116" s="417">
        <f t="shared" si="416"/>
        <v>607.45772384055886</v>
      </c>
      <c r="DY116" s="417">
        <f t="shared" si="416"/>
        <v>607.45772384055886</v>
      </c>
      <c r="DZ116" s="417">
        <f t="shared" si="416"/>
        <v>607.45772384055886</v>
      </c>
      <c r="EA116" s="417">
        <f t="shared" si="416"/>
        <v>607.45772384055886</v>
      </c>
      <c r="EB116" s="417">
        <f t="shared" si="417"/>
        <v>607.45772384055886</v>
      </c>
      <c r="EC116" s="417">
        <f t="shared" si="417"/>
        <v>622.6441669365729</v>
      </c>
      <c r="ED116" s="417">
        <f t="shared" si="417"/>
        <v>622.6441669365729</v>
      </c>
      <c r="EE116" s="417">
        <f t="shared" si="417"/>
        <v>622.6441669365729</v>
      </c>
      <c r="EF116" s="417">
        <f t="shared" si="417"/>
        <v>622.6441669365729</v>
      </c>
      <c r="EG116" s="417">
        <f t="shared" si="417"/>
        <v>622.6441669365729</v>
      </c>
      <c r="EH116" s="417">
        <f t="shared" si="417"/>
        <v>622.6441669365729</v>
      </c>
      <c r="EI116" s="417">
        <f t="shared" si="417"/>
        <v>622.6441669365729</v>
      </c>
      <c r="EJ116" s="417">
        <f t="shared" si="417"/>
        <v>622.6441669365729</v>
      </c>
      <c r="EK116" s="417">
        <f t="shared" si="417"/>
        <v>622.6441669365729</v>
      </c>
      <c r="EL116" s="417">
        <f t="shared" si="417"/>
        <v>622.6441669365729</v>
      </c>
      <c r="EM116" s="417">
        <f t="shared" si="417"/>
        <v>622.6441669365729</v>
      </c>
      <c r="EN116" s="417">
        <f t="shared" si="417"/>
        <v>622.6441669365729</v>
      </c>
      <c r="EO116" s="208"/>
      <c r="EP116" s="464"/>
      <c r="EQ116" s="465"/>
      <c r="ER116" s="465"/>
      <c r="ES116" s="465"/>
      <c r="ET116" s="465"/>
      <c r="EU116" s="465"/>
      <c r="EV116" s="465"/>
      <c r="EW116" s="465"/>
      <c r="EX116" s="465"/>
      <c r="EY116" s="465"/>
      <c r="EZ116" s="465"/>
      <c r="FA116" s="465"/>
      <c r="FB116" s="465"/>
      <c r="FC116" s="465"/>
      <c r="FD116" s="465"/>
      <c r="FE116" s="465"/>
      <c r="FF116" s="465"/>
      <c r="FG116" s="465"/>
      <c r="FH116" s="465"/>
      <c r="FI116" s="465"/>
      <c r="FJ116" s="465"/>
      <c r="FK116" s="465"/>
      <c r="FL116" s="465"/>
      <c r="FM116" s="465"/>
      <c r="FN116" s="465"/>
      <c r="FO116" s="465"/>
      <c r="FP116" s="465"/>
      <c r="FQ116" s="465"/>
      <c r="FR116" s="465"/>
      <c r="FS116" s="465"/>
      <c r="FT116" s="465"/>
      <c r="FU116" s="465"/>
      <c r="FV116" s="465"/>
      <c r="FW116" s="465"/>
      <c r="FX116" s="465"/>
      <c r="FY116" s="465"/>
      <c r="FZ116" s="465"/>
      <c r="GA116" s="465"/>
      <c r="GB116" s="465"/>
      <c r="GC116" s="465"/>
      <c r="GD116" s="465"/>
      <c r="GE116" s="465"/>
      <c r="GF116" s="465"/>
      <c r="GG116" s="465"/>
      <c r="GH116" s="465"/>
      <c r="GI116" s="465"/>
      <c r="GJ116" s="465"/>
      <c r="GK116" s="465"/>
      <c r="GL116" s="465"/>
      <c r="GM116" s="465"/>
      <c r="GN116" s="465"/>
      <c r="GO116" s="465"/>
      <c r="GP116" s="465"/>
      <c r="GQ116" s="465"/>
      <c r="GR116" s="465"/>
      <c r="GS116" s="465"/>
      <c r="GT116" s="465"/>
      <c r="GU116" s="465"/>
      <c r="GV116" s="465"/>
      <c r="GW116" s="465"/>
      <c r="GX116" s="465"/>
      <c r="GY116" s="465"/>
      <c r="GZ116" s="465"/>
      <c r="HA116" s="465"/>
      <c r="HB116" s="465"/>
      <c r="HC116" s="465"/>
      <c r="HD116" s="465"/>
      <c r="HE116" s="465"/>
      <c r="HF116" s="465"/>
      <c r="HG116" s="465"/>
      <c r="HH116" s="465"/>
      <c r="HI116" s="465"/>
      <c r="HJ116" s="465"/>
      <c r="HK116" s="465"/>
      <c r="HL116" s="465"/>
      <c r="HM116" s="465"/>
      <c r="HN116" s="465"/>
      <c r="HO116" s="465"/>
      <c r="HP116" s="465"/>
      <c r="HQ116" s="465"/>
      <c r="HR116" s="465"/>
      <c r="HS116" s="465"/>
      <c r="HT116" s="465"/>
      <c r="HU116" s="465"/>
      <c r="HV116" s="465"/>
      <c r="HW116" s="465"/>
      <c r="HX116" s="465"/>
      <c r="HY116" s="465"/>
      <c r="HZ116" s="465"/>
      <c r="IA116" s="465"/>
      <c r="IB116" s="465"/>
      <c r="IC116" s="465"/>
      <c r="ID116" s="465"/>
      <c r="IE116" s="465"/>
      <c r="IF116" s="465"/>
      <c r="IG116" s="465"/>
      <c r="IH116" s="465"/>
      <c r="II116" s="465"/>
      <c r="IJ116" s="465"/>
      <c r="IK116" s="465"/>
      <c r="IL116" s="465"/>
      <c r="IM116" s="465"/>
      <c r="IN116" s="465"/>
      <c r="IO116" s="465"/>
      <c r="IP116" s="465"/>
      <c r="IQ116" s="465"/>
      <c r="IR116" s="465"/>
      <c r="IS116" s="465"/>
      <c r="IT116" s="465"/>
      <c r="IU116" s="465"/>
      <c r="IV116" s="465"/>
      <c r="IW116" s="465"/>
      <c r="IX116" s="465"/>
      <c r="IY116" s="465"/>
      <c r="IZ116" s="465"/>
      <c r="JA116" s="465"/>
      <c r="JB116" s="465"/>
      <c r="JC116" s="465"/>
      <c r="JD116" s="465"/>
      <c r="JE116" s="465"/>
      <c r="JF116" s="465"/>
      <c r="JG116" s="465"/>
      <c r="JH116" s="465"/>
      <c r="JI116" s="465"/>
      <c r="JJ116" s="465"/>
      <c r="JK116" s="465"/>
      <c r="JL116" s="465"/>
      <c r="JM116" s="465"/>
      <c r="JN116" s="465"/>
      <c r="JO116" s="465"/>
      <c r="JP116" s="465"/>
      <c r="JQ116" s="465"/>
      <c r="JR116" s="465"/>
      <c r="JS116" s="465"/>
      <c r="JT116" s="465"/>
      <c r="JU116" s="465"/>
      <c r="JV116" s="465"/>
      <c r="JW116" s="465"/>
      <c r="JX116" s="20"/>
      <c r="JY116"/>
      <c r="JZ116" s="466"/>
      <c r="KA116" s="466"/>
      <c r="KB116" s="466"/>
      <c r="KC116" s="466"/>
      <c r="KD116" s="466"/>
      <c r="KE116" s="466"/>
      <c r="KF116" s="466"/>
      <c r="KG116" s="466"/>
      <c r="KH116" s="466"/>
      <c r="KI116" s="466"/>
      <c r="KJ116" s="466"/>
      <c r="KK116" s="466"/>
      <c r="KL116" s="466"/>
      <c r="KM116" s="466"/>
      <c r="KN116" s="466"/>
      <c r="KO116" s="466"/>
      <c r="KP116" s="466"/>
      <c r="KQ116" s="466"/>
      <c r="KR116" s="466"/>
      <c r="KS116" s="466"/>
      <c r="KT116" s="466"/>
      <c r="KU116" s="466"/>
      <c r="KV116" s="466"/>
      <c r="KW116" s="466"/>
      <c r="KX116" s="466"/>
      <c r="KY116" s="466"/>
      <c r="KZ116" s="466"/>
      <c r="LA116" s="466"/>
      <c r="LB116" s="466"/>
      <c r="LC116" s="466"/>
      <c r="LD116" s="466"/>
      <c r="LE116" s="466"/>
      <c r="LF116" s="466"/>
      <c r="LG116" s="466"/>
      <c r="LH116" s="466"/>
      <c r="LI116" s="466"/>
      <c r="LJ116" s="466"/>
      <c r="LK116" s="466"/>
      <c r="LL116" s="466"/>
      <c r="LM116" s="466"/>
      <c r="LN116" s="466"/>
      <c r="LO116" s="466"/>
      <c r="LP116" s="466"/>
      <c r="LQ116" s="466"/>
      <c r="LR116" s="466"/>
      <c r="LS116" s="466"/>
      <c r="LT116" s="466"/>
      <c r="LU116" s="466"/>
      <c r="LV116" s="466"/>
      <c r="LW116" s="466"/>
      <c r="LX116" s="466"/>
      <c r="LY116" s="466"/>
      <c r="LZ116" s="466"/>
      <c r="MA116" s="466"/>
      <c r="MB116" s="466"/>
      <c r="MC116" s="466"/>
      <c r="MD116" s="466"/>
      <c r="ME116" s="466"/>
      <c r="MF116" s="466"/>
      <c r="MG116" s="466"/>
      <c r="MH116" s="466"/>
      <c r="MI116" s="466"/>
      <c r="MJ116" s="466"/>
      <c r="MK116" s="466"/>
      <c r="ML116" s="466"/>
      <c r="MM116" s="466"/>
      <c r="MN116" s="466"/>
      <c r="MO116" s="466"/>
      <c r="MP116" s="466"/>
      <c r="MQ116" s="466"/>
      <c r="MR116" s="466"/>
      <c r="MS116" s="466"/>
      <c r="MT116" s="466"/>
      <c r="MU116" s="466"/>
      <c r="MV116" s="466"/>
      <c r="MW116" s="466"/>
      <c r="MX116" s="466"/>
      <c r="MY116" s="466"/>
      <c r="MZ116" s="466"/>
      <c r="NA116" s="466"/>
      <c r="NB116" s="466"/>
      <c r="NC116" s="466"/>
      <c r="ND116" s="466"/>
      <c r="NE116" s="466"/>
      <c r="NF116" s="466"/>
      <c r="NG116" s="466"/>
      <c r="NH116" s="466"/>
      <c r="NI116" s="466"/>
      <c r="NJ116" s="466"/>
      <c r="NK116" s="466"/>
      <c r="NL116" s="466"/>
      <c r="NM116" s="466"/>
      <c r="NN116" s="466"/>
      <c r="NO116" s="466"/>
      <c r="NP116" s="466"/>
      <c r="NQ116" s="466"/>
      <c r="NR116" s="466"/>
      <c r="NS116" s="466"/>
      <c r="NT116" s="466"/>
      <c r="NU116" s="466"/>
      <c r="NV116" s="466"/>
      <c r="NW116" s="466"/>
      <c r="NX116" s="466"/>
      <c r="NY116" s="466"/>
      <c r="NZ116" s="466"/>
      <c r="OA116" s="466"/>
      <c r="OB116" s="466"/>
      <c r="OC116" s="466"/>
      <c r="OD116" s="466"/>
      <c r="OE116" s="466"/>
      <c r="OF116" s="466"/>
      <c r="OG116" s="466"/>
      <c r="OH116" s="466"/>
      <c r="OI116" s="466"/>
      <c r="OJ116" s="466"/>
      <c r="OK116" s="466"/>
      <c r="OL116" s="466"/>
      <c r="OM116" s="466"/>
      <c r="ON116" s="466"/>
      <c r="OO116" s="466"/>
      <c r="OP116" s="466"/>
      <c r="OQ116" s="466"/>
      <c r="OR116" s="466"/>
      <c r="OS116" s="466"/>
      <c r="OT116" s="466"/>
      <c r="OU116" s="466"/>
      <c r="OV116" s="466"/>
      <c r="OW116" s="466"/>
      <c r="OX116" s="466"/>
      <c r="OY116" s="466"/>
      <c r="OZ116" s="466"/>
      <c r="PA116" s="466"/>
      <c r="PB116" s="466"/>
      <c r="PC116" s="466"/>
      <c r="PD116" s="466"/>
      <c r="PE116" s="466"/>
      <c r="PF116" s="466"/>
      <c r="PG116" s="466"/>
      <c r="PH116" s="466"/>
    </row>
    <row r="117" spans="1:424" x14ac:dyDescent="0.35">
      <c r="A117"/>
      <c r="B117" s="91" t="str">
        <f t="shared" si="400"/>
        <v>Storage King</v>
      </c>
      <c r="C117" s="469" t="s">
        <v>280</v>
      </c>
      <c r="D117" s="276" t="s">
        <v>279</v>
      </c>
      <c r="E117" s="45">
        <f t="shared" si="401"/>
        <v>34</v>
      </c>
      <c r="F117" s="53">
        <v>1</v>
      </c>
      <c r="G117" s="254">
        <f t="shared" si="402"/>
        <v>7.6461972020525444E-3</v>
      </c>
      <c r="H117" s="148">
        <f t="shared" si="403"/>
        <v>41.904711317697256</v>
      </c>
      <c r="I117" s="445">
        <f t="shared" si="404"/>
        <v>25142.826790618354</v>
      </c>
      <c r="J117"/>
      <c r="K117" s="75"/>
      <c r="L117" s="75">
        <f t="shared" si="405"/>
        <v>0</v>
      </c>
      <c r="M117" s="417">
        <f t="shared" si="405"/>
        <v>0</v>
      </c>
      <c r="N117" s="417">
        <f t="shared" si="405"/>
        <v>0</v>
      </c>
      <c r="O117" s="417">
        <f t="shared" si="405"/>
        <v>0</v>
      </c>
      <c r="P117" s="417">
        <f t="shared" si="405"/>
        <v>0</v>
      </c>
      <c r="Q117" s="417">
        <f t="shared" si="405"/>
        <v>0</v>
      </c>
      <c r="R117" s="417">
        <f t="shared" si="405"/>
        <v>0</v>
      </c>
      <c r="S117" s="417">
        <f t="shared" si="405"/>
        <v>0</v>
      </c>
      <c r="T117" s="417">
        <f t="shared" si="405"/>
        <v>0</v>
      </c>
      <c r="U117" s="417">
        <f t="shared" si="405"/>
        <v>0</v>
      </c>
      <c r="V117" s="417">
        <f t="shared" si="406"/>
        <v>0</v>
      </c>
      <c r="W117" s="417">
        <f t="shared" si="406"/>
        <v>0</v>
      </c>
      <c r="X117" s="417">
        <f t="shared" si="406"/>
        <v>0</v>
      </c>
      <c r="Y117" s="417">
        <f t="shared" si="406"/>
        <v>0</v>
      </c>
      <c r="Z117" s="417">
        <f t="shared" si="406"/>
        <v>0</v>
      </c>
      <c r="AA117" s="417">
        <f t="shared" si="406"/>
        <v>0</v>
      </c>
      <c r="AB117" s="417">
        <f t="shared" si="406"/>
        <v>0</v>
      </c>
      <c r="AC117" s="417">
        <f t="shared" si="406"/>
        <v>0</v>
      </c>
      <c r="AD117" s="417">
        <f t="shared" si="406"/>
        <v>0</v>
      </c>
      <c r="AE117" s="417">
        <f t="shared" si="406"/>
        <v>0</v>
      </c>
      <c r="AF117" s="417">
        <f t="shared" si="407"/>
        <v>0</v>
      </c>
      <c r="AG117" s="417">
        <f t="shared" si="407"/>
        <v>0</v>
      </c>
      <c r="AH117" s="417">
        <f t="shared" si="407"/>
        <v>0</v>
      </c>
      <c r="AI117" s="417">
        <f t="shared" si="407"/>
        <v>0</v>
      </c>
      <c r="AJ117" s="417">
        <f t="shared" si="407"/>
        <v>0</v>
      </c>
      <c r="AK117" s="417">
        <f t="shared" si="407"/>
        <v>0</v>
      </c>
      <c r="AL117" s="417">
        <f t="shared" si="407"/>
        <v>0</v>
      </c>
      <c r="AM117" s="417">
        <f t="shared" si="407"/>
        <v>0</v>
      </c>
      <c r="AN117" s="417">
        <f t="shared" si="407"/>
        <v>0</v>
      </c>
      <c r="AO117" s="417">
        <f t="shared" si="407"/>
        <v>0</v>
      </c>
      <c r="AP117" s="417">
        <f t="shared" si="408"/>
        <v>0</v>
      </c>
      <c r="AQ117" s="417">
        <f t="shared" si="408"/>
        <v>0</v>
      </c>
      <c r="AR117" s="417">
        <f t="shared" si="408"/>
        <v>0</v>
      </c>
      <c r="AS117" s="417">
        <f t="shared" si="408"/>
        <v>0</v>
      </c>
      <c r="AT117" s="417">
        <f t="shared" si="408"/>
        <v>0</v>
      </c>
      <c r="AU117" s="417">
        <f t="shared" si="408"/>
        <v>0</v>
      </c>
      <c r="AV117" s="417">
        <f t="shared" si="408"/>
        <v>0</v>
      </c>
      <c r="AW117" s="417">
        <f t="shared" si="408"/>
        <v>0</v>
      </c>
      <c r="AX117" s="417">
        <f t="shared" si="408"/>
        <v>174.60296382373855</v>
      </c>
      <c r="AY117" s="417">
        <f t="shared" si="408"/>
        <v>349.2059276474771</v>
      </c>
      <c r="AZ117" s="417">
        <f t="shared" si="409"/>
        <v>523.80889147121559</v>
      </c>
      <c r="BA117" s="417">
        <f t="shared" si="409"/>
        <v>698.41185529495419</v>
      </c>
      <c r="BB117" s="417">
        <f t="shared" si="409"/>
        <v>873.0148191186928</v>
      </c>
      <c r="BC117" s="417">
        <f t="shared" si="409"/>
        <v>1047.6177829424312</v>
      </c>
      <c r="BD117" s="417">
        <f t="shared" si="409"/>
        <v>1222.2207467661699</v>
      </c>
      <c r="BE117" s="417">
        <f t="shared" si="409"/>
        <v>1396.8237105899084</v>
      </c>
      <c r="BF117" s="417">
        <f t="shared" si="409"/>
        <v>1571.4266744136471</v>
      </c>
      <c r="BG117" s="417">
        <f t="shared" si="409"/>
        <v>1746.0296382373856</v>
      </c>
      <c r="BH117" s="417">
        <f t="shared" si="409"/>
        <v>1920.6326020611239</v>
      </c>
      <c r="BI117" s="417">
        <f t="shared" si="409"/>
        <v>2147.6164550319841</v>
      </c>
      <c r="BJ117" s="417">
        <f t="shared" si="410"/>
        <v>2147.6164550319841</v>
      </c>
      <c r="BK117" s="417">
        <f t="shared" si="410"/>
        <v>2147.6164550319841</v>
      </c>
      <c r="BL117" s="417">
        <f t="shared" si="410"/>
        <v>2147.6164550319841</v>
      </c>
      <c r="BM117" s="417">
        <f t="shared" si="410"/>
        <v>2147.6164550319841</v>
      </c>
      <c r="BN117" s="417">
        <f t="shared" si="410"/>
        <v>2147.6164550319841</v>
      </c>
      <c r="BO117" s="417">
        <f t="shared" si="410"/>
        <v>2147.6164550319841</v>
      </c>
      <c r="BP117" s="417">
        <f t="shared" si="410"/>
        <v>2147.6164550319841</v>
      </c>
      <c r="BQ117" s="417">
        <f t="shared" si="410"/>
        <v>2147.6164550319841</v>
      </c>
      <c r="BR117" s="417">
        <f t="shared" si="410"/>
        <v>2147.6164550319841</v>
      </c>
      <c r="BS117" s="417">
        <f t="shared" si="410"/>
        <v>2147.6164550319841</v>
      </c>
      <c r="BT117" s="417">
        <f t="shared" si="411"/>
        <v>2147.6164550319841</v>
      </c>
      <c r="BU117" s="417">
        <f t="shared" si="411"/>
        <v>2201.3068664077837</v>
      </c>
      <c r="BV117" s="417">
        <f t="shared" si="411"/>
        <v>2201.3068664077837</v>
      </c>
      <c r="BW117" s="417">
        <f t="shared" si="411"/>
        <v>2201.3068664077837</v>
      </c>
      <c r="BX117" s="417">
        <f t="shared" si="411"/>
        <v>2201.3068664077837</v>
      </c>
      <c r="BY117" s="417">
        <f t="shared" si="411"/>
        <v>2201.3068664077837</v>
      </c>
      <c r="BZ117" s="417">
        <f t="shared" si="411"/>
        <v>2201.3068664077837</v>
      </c>
      <c r="CA117" s="417">
        <f t="shared" si="411"/>
        <v>2201.3068664077837</v>
      </c>
      <c r="CB117" s="417">
        <f t="shared" si="411"/>
        <v>2201.3068664077837</v>
      </c>
      <c r="CC117" s="417">
        <f t="shared" si="411"/>
        <v>2201.3068664077837</v>
      </c>
      <c r="CD117" s="417">
        <f t="shared" si="412"/>
        <v>2201.3068664077837</v>
      </c>
      <c r="CE117" s="417">
        <f t="shared" si="412"/>
        <v>2201.3068664077837</v>
      </c>
      <c r="CF117" s="417">
        <f t="shared" si="412"/>
        <v>2201.3068664077837</v>
      </c>
      <c r="CG117" s="417">
        <f t="shared" si="412"/>
        <v>2256.3395380679781</v>
      </c>
      <c r="CH117" s="417">
        <f t="shared" si="412"/>
        <v>2256.3395380679781</v>
      </c>
      <c r="CI117" s="417">
        <f t="shared" si="412"/>
        <v>2256.3395380679781</v>
      </c>
      <c r="CJ117" s="417">
        <f t="shared" si="412"/>
        <v>2256.3395380679781</v>
      </c>
      <c r="CK117" s="417">
        <f t="shared" si="412"/>
        <v>2256.3395380679781</v>
      </c>
      <c r="CL117" s="417">
        <f t="shared" si="412"/>
        <v>2256.3395380679781</v>
      </c>
      <c r="CM117" s="417">
        <f t="shared" si="412"/>
        <v>2256.3395380679781</v>
      </c>
      <c r="CN117" s="417">
        <f t="shared" si="413"/>
        <v>2256.3395380679781</v>
      </c>
      <c r="CO117" s="417">
        <f t="shared" si="413"/>
        <v>2256.3395380679781</v>
      </c>
      <c r="CP117" s="417">
        <f t="shared" si="413"/>
        <v>2256.3395380679781</v>
      </c>
      <c r="CQ117" s="417">
        <f t="shared" si="413"/>
        <v>2256.3395380679781</v>
      </c>
      <c r="CR117" s="417">
        <f t="shared" si="413"/>
        <v>2256.3395380679781</v>
      </c>
      <c r="CS117" s="417">
        <f t="shared" si="413"/>
        <v>2312.7480265196773</v>
      </c>
      <c r="CT117" s="417">
        <f t="shared" si="413"/>
        <v>2312.7480265196773</v>
      </c>
      <c r="CU117" s="417">
        <f t="shared" si="413"/>
        <v>2312.7480265196773</v>
      </c>
      <c r="CV117" s="417">
        <f t="shared" si="413"/>
        <v>2312.7480265196773</v>
      </c>
      <c r="CW117" s="417">
        <f t="shared" si="413"/>
        <v>2312.7480265196773</v>
      </c>
      <c r="CX117" s="417">
        <f t="shared" si="414"/>
        <v>2312.7480265196773</v>
      </c>
      <c r="CY117" s="417">
        <f t="shared" si="414"/>
        <v>2312.7480265196773</v>
      </c>
      <c r="CZ117" s="417">
        <f t="shared" si="414"/>
        <v>2312.7480265196773</v>
      </c>
      <c r="DA117" s="417">
        <f t="shared" si="414"/>
        <v>2312.7480265196773</v>
      </c>
      <c r="DB117" s="417">
        <f t="shared" si="414"/>
        <v>2312.7480265196773</v>
      </c>
      <c r="DC117" s="417">
        <f t="shared" si="414"/>
        <v>2312.7480265196773</v>
      </c>
      <c r="DD117" s="417">
        <f t="shared" si="414"/>
        <v>2312.7480265196773</v>
      </c>
      <c r="DE117" s="417">
        <f t="shared" si="414"/>
        <v>2370.5667271826692</v>
      </c>
      <c r="DF117" s="417">
        <f t="shared" si="414"/>
        <v>2370.5667271826692</v>
      </c>
      <c r="DG117" s="417">
        <f t="shared" si="414"/>
        <v>2370.5667271826692</v>
      </c>
      <c r="DH117" s="417">
        <f t="shared" si="415"/>
        <v>2370.5667271826692</v>
      </c>
      <c r="DI117" s="417">
        <f t="shared" si="415"/>
        <v>2370.5667271826692</v>
      </c>
      <c r="DJ117" s="417">
        <f t="shared" si="415"/>
        <v>2370.5667271826692</v>
      </c>
      <c r="DK117" s="417">
        <f t="shared" si="415"/>
        <v>2370.5667271826692</v>
      </c>
      <c r="DL117" s="417">
        <f t="shared" si="415"/>
        <v>2370.5667271826692</v>
      </c>
      <c r="DM117" s="417">
        <f t="shared" si="415"/>
        <v>2370.5667271826692</v>
      </c>
      <c r="DN117" s="417">
        <f t="shared" si="415"/>
        <v>2370.5667271826692</v>
      </c>
      <c r="DO117" s="417">
        <f t="shared" si="415"/>
        <v>2370.5667271826692</v>
      </c>
      <c r="DP117" s="417">
        <f t="shared" si="415"/>
        <v>2370.5667271826692</v>
      </c>
      <c r="DQ117" s="417">
        <f t="shared" si="415"/>
        <v>2429.8308953622354</v>
      </c>
      <c r="DR117" s="417">
        <f t="shared" si="416"/>
        <v>2429.8308953622354</v>
      </c>
      <c r="DS117" s="417">
        <f t="shared" si="416"/>
        <v>2429.8308953622354</v>
      </c>
      <c r="DT117" s="417">
        <f t="shared" si="416"/>
        <v>2429.8308953622354</v>
      </c>
      <c r="DU117" s="417">
        <f t="shared" si="416"/>
        <v>2429.8308953622354</v>
      </c>
      <c r="DV117" s="417">
        <f t="shared" si="416"/>
        <v>2429.8308953622354</v>
      </c>
      <c r="DW117" s="417">
        <f t="shared" si="416"/>
        <v>2429.8308953622354</v>
      </c>
      <c r="DX117" s="417">
        <f t="shared" si="416"/>
        <v>2429.8308953622354</v>
      </c>
      <c r="DY117" s="417">
        <f t="shared" si="416"/>
        <v>2429.8308953622354</v>
      </c>
      <c r="DZ117" s="417">
        <f t="shared" si="416"/>
        <v>2429.8308953622354</v>
      </c>
      <c r="EA117" s="417">
        <f t="shared" si="416"/>
        <v>2429.8308953622354</v>
      </c>
      <c r="EB117" s="417">
        <f t="shared" si="417"/>
        <v>2429.8308953622354</v>
      </c>
      <c r="EC117" s="417">
        <f t="shared" si="417"/>
        <v>2490.5766677462916</v>
      </c>
      <c r="ED117" s="417">
        <f t="shared" si="417"/>
        <v>2490.5766677462916</v>
      </c>
      <c r="EE117" s="417">
        <f t="shared" si="417"/>
        <v>2490.5766677462916</v>
      </c>
      <c r="EF117" s="417">
        <f t="shared" si="417"/>
        <v>2490.5766677462916</v>
      </c>
      <c r="EG117" s="417">
        <f t="shared" si="417"/>
        <v>2490.5766677462916</v>
      </c>
      <c r="EH117" s="417">
        <f t="shared" si="417"/>
        <v>2490.5766677462916</v>
      </c>
      <c r="EI117" s="417">
        <f t="shared" si="417"/>
        <v>2490.5766677462916</v>
      </c>
      <c r="EJ117" s="417">
        <f t="shared" si="417"/>
        <v>2490.5766677462916</v>
      </c>
      <c r="EK117" s="417">
        <f t="shared" si="417"/>
        <v>2490.5766677462916</v>
      </c>
      <c r="EL117" s="417">
        <f t="shared" si="417"/>
        <v>2490.5766677462916</v>
      </c>
      <c r="EM117" s="417">
        <f t="shared" si="417"/>
        <v>2490.5766677462916</v>
      </c>
      <c r="EN117" s="417">
        <f t="shared" si="417"/>
        <v>2490.5766677462916</v>
      </c>
      <c r="EO117" s="208"/>
      <c r="EP117" s="464"/>
      <c r="EQ117" s="465"/>
      <c r="ER117" s="465"/>
      <c r="ES117" s="465"/>
      <c r="ET117" s="465"/>
      <c r="EU117" s="465"/>
      <c r="EV117" s="465"/>
      <c r="EW117" s="465"/>
      <c r="EX117" s="465"/>
      <c r="EY117" s="465"/>
      <c r="EZ117" s="465"/>
      <c r="FA117" s="465"/>
      <c r="FB117" s="465"/>
      <c r="FC117" s="465"/>
      <c r="FD117" s="465"/>
      <c r="FE117" s="465"/>
      <c r="FF117" s="465"/>
      <c r="FG117" s="465"/>
      <c r="FH117" s="465"/>
      <c r="FI117" s="465"/>
      <c r="FJ117" s="465"/>
      <c r="FK117" s="465"/>
      <c r="FL117" s="465"/>
      <c r="FM117" s="465"/>
      <c r="FN117" s="465"/>
      <c r="FO117" s="465"/>
      <c r="FP117" s="465"/>
      <c r="FQ117" s="465"/>
      <c r="FR117" s="465"/>
      <c r="FS117" s="465"/>
      <c r="FT117" s="465"/>
      <c r="FU117" s="465"/>
      <c r="FV117" s="465"/>
      <c r="FW117" s="465"/>
      <c r="FX117" s="465"/>
      <c r="FY117" s="465"/>
      <c r="FZ117" s="465"/>
      <c r="GA117" s="465"/>
      <c r="GB117" s="465"/>
      <c r="GC117" s="465"/>
      <c r="GD117" s="465"/>
      <c r="GE117" s="465"/>
      <c r="GF117" s="465"/>
      <c r="GG117" s="465"/>
      <c r="GH117" s="465"/>
      <c r="GI117" s="465"/>
      <c r="GJ117" s="465"/>
      <c r="GK117" s="465"/>
      <c r="GL117" s="465"/>
      <c r="GM117" s="465"/>
      <c r="GN117" s="465"/>
      <c r="GO117" s="465"/>
      <c r="GP117" s="465"/>
      <c r="GQ117" s="465"/>
      <c r="GR117" s="465"/>
      <c r="GS117" s="465"/>
      <c r="GT117" s="465"/>
      <c r="GU117" s="465"/>
      <c r="GV117" s="465"/>
      <c r="GW117" s="465"/>
      <c r="GX117" s="465"/>
      <c r="GY117" s="465"/>
      <c r="GZ117" s="465"/>
      <c r="HA117" s="465"/>
      <c r="HB117" s="465"/>
      <c r="HC117" s="465"/>
      <c r="HD117" s="465"/>
      <c r="HE117" s="465"/>
      <c r="HF117" s="465"/>
      <c r="HG117" s="465"/>
      <c r="HH117" s="465"/>
      <c r="HI117" s="465"/>
      <c r="HJ117" s="465"/>
      <c r="HK117" s="465"/>
      <c r="HL117" s="465"/>
      <c r="HM117" s="465"/>
      <c r="HN117" s="465"/>
      <c r="HO117" s="465"/>
      <c r="HP117" s="465"/>
      <c r="HQ117" s="465"/>
      <c r="HR117" s="465"/>
      <c r="HS117" s="465"/>
      <c r="HT117" s="465"/>
      <c r="HU117" s="465"/>
      <c r="HV117" s="465"/>
      <c r="HW117" s="465"/>
      <c r="HX117" s="465"/>
      <c r="HY117" s="465"/>
      <c r="HZ117" s="465"/>
      <c r="IA117" s="465"/>
      <c r="IB117" s="465"/>
      <c r="IC117" s="465"/>
      <c r="ID117" s="465"/>
      <c r="IE117" s="465"/>
      <c r="IF117" s="465"/>
      <c r="IG117" s="465"/>
      <c r="IH117" s="465"/>
      <c r="II117" s="465"/>
      <c r="IJ117" s="465"/>
      <c r="IK117" s="465"/>
      <c r="IL117" s="465"/>
      <c r="IM117" s="465"/>
      <c r="IN117" s="465"/>
      <c r="IO117" s="465"/>
      <c r="IP117" s="465"/>
      <c r="IQ117" s="465"/>
      <c r="IR117" s="465"/>
      <c r="IS117" s="465"/>
      <c r="IT117" s="465"/>
      <c r="IU117" s="465"/>
      <c r="IV117" s="465"/>
      <c r="IW117" s="465"/>
      <c r="IX117" s="465"/>
      <c r="IY117" s="465"/>
      <c r="IZ117" s="465"/>
      <c r="JA117" s="465"/>
      <c r="JB117" s="465"/>
      <c r="JC117" s="465"/>
      <c r="JD117" s="465"/>
      <c r="JE117" s="465"/>
      <c r="JF117" s="465"/>
      <c r="JG117" s="465"/>
      <c r="JH117" s="465"/>
      <c r="JI117" s="465"/>
      <c r="JJ117" s="465"/>
      <c r="JK117" s="465"/>
      <c r="JL117" s="465"/>
      <c r="JM117" s="465"/>
      <c r="JN117" s="465"/>
      <c r="JO117" s="465"/>
      <c r="JP117" s="465"/>
      <c r="JQ117" s="465"/>
      <c r="JR117" s="465"/>
      <c r="JS117" s="465"/>
      <c r="JT117" s="465"/>
      <c r="JU117" s="465"/>
      <c r="JV117" s="465"/>
      <c r="JW117" s="465"/>
      <c r="JX117" s="20"/>
      <c r="JY117"/>
      <c r="JZ117" s="466"/>
      <c r="KA117" s="466"/>
      <c r="KB117" s="466"/>
      <c r="KC117" s="466"/>
      <c r="KD117" s="466"/>
      <c r="KE117" s="466"/>
      <c r="KF117" s="466"/>
      <c r="KG117" s="466"/>
      <c r="KH117" s="466"/>
      <c r="KI117" s="466"/>
      <c r="KJ117" s="466"/>
      <c r="KK117" s="466"/>
      <c r="KL117" s="466"/>
      <c r="KM117" s="466"/>
      <c r="KN117" s="466"/>
      <c r="KO117" s="466"/>
      <c r="KP117" s="466"/>
      <c r="KQ117" s="466"/>
      <c r="KR117" s="466"/>
      <c r="KS117" s="466"/>
      <c r="KT117" s="466"/>
      <c r="KU117" s="466"/>
      <c r="KV117" s="466"/>
      <c r="KW117" s="466"/>
      <c r="KX117" s="466"/>
      <c r="KY117" s="466"/>
      <c r="KZ117" s="466"/>
      <c r="LA117" s="466"/>
      <c r="LB117" s="466"/>
      <c r="LC117" s="466"/>
      <c r="LD117" s="466"/>
      <c r="LE117" s="466"/>
      <c r="LF117" s="466"/>
      <c r="LG117" s="466"/>
      <c r="LH117" s="466"/>
      <c r="LI117" s="466"/>
      <c r="LJ117" s="466"/>
      <c r="LK117" s="466"/>
      <c r="LL117" s="466"/>
      <c r="LM117" s="466"/>
      <c r="LN117" s="466"/>
      <c r="LO117" s="466"/>
      <c r="LP117" s="466"/>
      <c r="LQ117" s="466"/>
      <c r="LR117" s="466"/>
      <c r="LS117" s="466"/>
      <c r="LT117" s="466"/>
      <c r="LU117" s="466"/>
      <c r="LV117" s="466"/>
      <c r="LW117" s="466"/>
      <c r="LX117" s="466"/>
      <c r="LY117" s="466"/>
      <c r="LZ117" s="466"/>
      <c r="MA117" s="466"/>
      <c r="MB117" s="466"/>
      <c r="MC117" s="466"/>
      <c r="MD117" s="466"/>
      <c r="ME117" s="466"/>
      <c r="MF117" s="466"/>
      <c r="MG117" s="466"/>
      <c r="MH117" s="466"/>
      <c r="MI117" s="466"/>
      <c r="MJ117" s="466"/>
      <c r="MK117" s="466"/>
      <c r="ML117" s="466"/>
      <c r="MM117" s="466"/>
      <c r="MN117" s="466"/>
      <c r="MO117" s="466"/>
      <c r="MP117" s="466"/>
      <c r="MQ117" s="466"/>
      <c r="MR117" s="466"/>
      <c r="MS117" s="466"/>
      <c r="MT117" s="466"/>
      <c r="MU117" s="466"/>
      <c r="MV117" s="466"/>
      <c r="MW117" s="466"/>
      <c r="MX117" s="466"/>
      <c r="MY117" s="466"/>
      <c r="MZ117" s="466"/>
      <c r="NA117" s="466"/>
      <c r="NB117" s="466"/>
      <c r="NC117" s="466"/>
      <c r="ND117" s="466"/>
      <c r="NE117" s="466"/>
      <c r="NF117" s="466"/>
      <c r="NG117" s="466"/>
      <c r="NH117" s="466"/>
      <c r="NI117" s="466"/>
      <c r="NJ117" s="466"/>
      <c r="NK117" s="466"/>
      <c r="NL117" s="466"/>
      <c r="NM117" s="466"/>
      <c r="NN117" s="466"/>
      <c r="NO117" s="466"/>
      <c r="NP117" s="466"/>
      <c r="NQ117" s="466"/>
      <c r="NR117" s="466"/>
      <c r="NS117" s="466"/>
      <c r="NT117" s="466"/>
      <c r="NU117" s="466"/>
      <c r="NV117" s="466"/>
      <c r="NW117" s="466"/>
      <c r="NX117" s="466"/>
      <c r="NY117" s="466"/>
      <c r="NZ117" s="466"/>
      <c r="OA117" s="466"/>
      <c r="OB117" s="466"/>
      <c r="OC117" s="466"/>
      <c r="OD117" s="466"/>
      <c r="OE117" s="466"/>
      <c r="OF117" s="466"/>
      <c r="OG117" s="466"/>
      <c r="OH117" s="466"/>
      <c r="OI117" s="466"/>
      <c r="OJ117" s="466"/>
      <c r="OK117" s="466"/>
      <c r="OL117" s="466"/>
      <c r="OM117" s="466"/>
      <c r="ON117" s="466"/>
      <c r="OO117" s="466"/>
      <c r="OP117" s="466"/>
      <c r="OQ117" s="466"/>
      <c r="OR117" s="466"/>
      <c r="OS117" s="466"/>
      <c r="OT117" s="466"/>
      <c r="OU117" s="466"/>
      <c r="OV117" s="466"/>
      <c r="OW117" s="466"/>
      <c r="OX117" s="466"/>
      <c r="OY117" s="466"/>
      <c r="OZ117" s="466"/>
      <c r="PA117" s="466"/>
      <c r="PB117" s="466"/>
      <c r="PC117" s="466"/>
      <c r="PD117" s="466"/>
      <c r="PE117" s="466"/>
      <c r="PF117" s="466"/>
      <c r="PG117" s="466"/>
      <c r="PH117" s="466"/>
    </row>
    <row r="118" spans="1:424" x14ac:dyDescent="0.35">
      <c r="A118"/>
      <c r="B118" s="91" t="str">
        <f t="shared" si="400"/>
        <v>7-Eleven / App Automation</v>
      </c>
      <c r="C118" s="469" t="s">
        <v>280</v>
      </c>
      <c r="D118" s="276" t="s">
        <v>281</v>
      </c>
      <c r="E118" s="45">
        <f t="shared" si="401"/>
        <v>40</v>
      </c>
      <c r="F118" s="53">
        <v>1</v>
      </c>
      <c r="G118" s="254">
        <f t="shared" si="402"/>
        <v>2.7016563447252326E-2</v>
      </c>
      <c r="H118" s="148">
        <f t="shared" si="403"/>
        <v>41.904711317697256</v>
      </c>
      <c r="I118" s="445">
        <f t="shared" si="404"/>
        <v>88837.987993518182</v>
      </c>
      <c r="J118"/>
      <c r="K118" s="75"/>
      <c r="L118" s="75">
        <f t="shared" si="405"/>
        <v>0</v>
      </c>
      <c r="M118" s="417">
        <f t="shared" si="405"/>
        <v>0</v>
      </c>
      <c r="N118" s="417">
        <f t="shared" si="405"/>
        <v>0</v>
      </c>
      <c r="O118" s="417">
        <f t="shared" si="405"/>
        <v>0</v>
      </c>
      <c r="P118" s="417">
        <f t="shared" si="405"/>
        <v>0</v>
      </c>
      <c r="Q118" s="417">
        <f t="shared" si="405"/>
        <v>0</v>
      </c>
      <c r="R118" s="417">
        <f t="shared" si="405"/>
        <v>0</v>
      </c>
      <c r="S118" s="417">
        <f t="shared" si="405"/>
        <v>0</v>
      </c>
      <c r="T118" s="417">
        <f t="shared" si="405"/>
        <v>0</v>
      </c>
      <c r="U118" s="417">
        <f t="shared" si="405"/>
        <v>0</v>
      </c>
      <c r="V118" s="417">
        <f t="shared" si="406"/>
        <v>0</v>
      </c>
      <c r="W118" s="417">
        <f t="shared" si="406"/>
        <v>0</v>
      </c>
      <c r="X118" s="417">
        <f t="shared" si="406"/>
        <v>0</v>
      </c>
      <c r="Y118" s="417">
        <f t="shared" si="406"/>
        <v>0</v>
      </c>
      <c r="Z118" s="417">
        <f t="shared" si="406"/>
        <v>0</v>
      </c>
      <c r="AA118" s="417">
        <f t="shared" si="406"/>
        <v>0</v>
      </c>
      <c r="AB118" s="417">
        <f t="shared" si="406"/>
        <v>0</v>
      </c>
      <c r="AC118" s="417">
        <f t="shared" si="406"/>
        <v>0</v>
      </c>
      <c r="AD118" s="417">
        <f t="shared" si="406"/>
        <v>0</v>
      </c>
      <c r="AE118" s="417">
        <f t="shared" si="406"/>
        <v>0</v>
      </c>
      <c r="AF118" s="417">
        <f t="shared" si="407"/>
        <v>0</v>
      </c>
      <c r="AG118" s="417">
        <f t="shared" si="407"/>
        <v>0</v>
      </c>
      <c r="AH118" s="417">
        <f t="shared" si="407"/>
        <v>0</v>
      </c>
      <c r="AI118" s="417">
        <f t="shared" si="407"/>
        <v>0</v>
      </c>
      <c r="AJ118" s="417">
        <f t="shared" si="407"/>
        <v>0</v>
      </c>
      <c r="AK118" s="417">
        <f t="shared" si="407"/>
        <v>0</v>
      </c>
      <c r="AL118" s="417">
        <f t="shared" si="407"/>
        <v>0</v>
      </c>
      <c r="AM118" s="417">
        <f t="shared" si="407"/>
        <v>0</v>
      </c>
      <c r="AN118" s="417">
        <f t="shared" si="407"/>
        <v>0</v>
      </c>
      <c r="AO118" s="417">
        <f t="shared" si="407"/>
        <v>0</v>
      </c>
      <c r="AP118" s="417">
        <f t="shared" si="408"/>
        <v>0</v>
      </c>
      <c r="AQ118" s="417">
        <f t="shared" si="408"/>
        <v>0</v>
      </c>
      <c r="AR118" s="417">
        <f t="shared" si="408"/>
        <v>0</v>
      </c>
      <c r="AS118" s="417">
        <f t="shared" si="408"/>
        <v>0</v>
      </c>
      <c r="AT118" s="417">
        <f t="shared" si="408"/>
        <v>0</v>
      </c>
      <c r="AU118" s="417">
        <f t="shared" si="408"/>
        <v>0</v>
      </c>
      <c r="AV118" s="417">
        <f t="shared" si="408"/>
        <v>0</v>
      </c>
      <c r="AW118" s="417">
        <f t="shared" si="408"/>
        <v>0</v>
      </c>
      <c r="AX118" s="417">
        <f t="shared" si="408"/>
        <v>0</v>
      </c>
      <c r="AY118" s="417">
        <f t="shared" si="408"/>
        <v>0</v>
      </c>
      <c r="AZ118" s="417">
        <f t="shared" si="409"/>
        <v>1850.7914165316288</v>
      </c>
      <c r="BA118" s="417">
        <f t="shared" si="409"/>
        <v>2467.7218887088384</v>
      </c>
      <c r="BB118" s="417">
        <f t="shared" si="409"/>
        <v>3084.652360886048</v>
      </c>
      <c r="BC118" s="417">
        <f t="shared" si="409"/>
        <v>3701.5828330632576</v>
      </c>
      <c r="BD118" s="417">
        <f t="shared" si="409"/>
        <v>4318.5133052404681</v>
      </c>
      <c r="BE118" s="417">
        <f t="shared" si="409"/>
        <v>4935.4437774176768</v>
      </c>
      <c r="BF118" s="417">
        <f t="shared" si="409"/>
        <v>5552.3742495948864</v>
      </c>
      <c r="BG118" s="417">
        <f t="shared" si="409"/>
        <v>6169.3047217720959</v>
      </c>
      <c r="BH118" s="417">
        <f t="shared" si="409"/>
        <v>6786.2351939493046</v>
      </c>
      <c r="BI118" s="417">
        <f t="shared" si="409"/>
        <v>7588.244807779678</v>
      </c>
      <c r="BJ118" s="417">
        <f t="shared" si="410"/>
        <v>7588.244807779678</v>
      </c>
      <c r="BK118" s="417">
        <f t="shared" si="410"/>
        <v>7588.244807779678</v>
      </c>
      <c r="BL118" s="417">
        <f t="shared" si="410"/>
        <v>7588.244807779678</v>
      </c>
      <c r="BM118" s="417">
        <f t="shared" si="410"/>
        <v>7588.244807779678</v>
      </c>
      <c r="BN118" s="417">
        <f t="shared" si="410"/>
        <v>7588.244807779678</v>
      </c>
      <c r="BO118" s="417">
        <f t="shared" si="410"/>
        <v>7588.244807779678</v>
      </c>
      <c r="BP118" s="417">
        <f t="shared" si="410"/>
        <v>7588.244807779678</v>
      </c>
      <c r="BQ118" s="417">
        <f t="shared" si="410"/>
        <v>7588.244807779678</v>
      </c>
      <c r="BR118" s="417">
        <f t="shared" si="410"/>
        <v>7588.244807779678</v>
      </c>
      <c r="BS118" s="417">
        <f t="shared" si="410"/>
        <v>7588.244807779678</v>
      </c>
      <c r="BT118" s="417">
        <f t="shared" si="411"/>
        <v>7588.244807779678</v>
      </c>
      <c r="BU118" s="417">
        <f t="shared" si="411"/>
        <v>7777.9509279741696</v>
      </c>
      <c r="BV118" s="417">
        <f t="shared" si="411"/>
        <v>7777.9509279741696</v>
      </c>
      <c r="BW118" s="417">
        <f t="shared" si="411"/>
        <v>7777.9509279741696</v>
      </c>
      <c r="BX118" s="417">
        <f t="shared" si="411"/>
        <v>7777.9509279741696</v>
      </c>
      <c r="BY118" s="417">
        <f t="shared" si="411"/>
        <v>7777.9509279741696</v>
      </c>
      <c r="BZ118" s="417">
        <f t="shared" si="411"/>
        <v>7777.9509279741696</v>
      </c>
      <c r="CA118" s="417">
        <f t="shared" si="411"/>
        <v>7777.9509279741696</v>
      </c>
      <c r="CB118" s="417">
        <f t="shared" si="411"/>
        <v>7777.9509279741696</v>
      </c>
      <c r="CC118" s="417">
        <f t="shared" si="411"/>
        <v>7777.9509279741696</v>
      </c>
      <c r="CD118" s="417">
        <f t="shared" si="412"/>
        <v>7777.9509279741696</v>
      </c>
      <c r="CE118" s="417">
        <f t="shared" si="412"/>
        <v>7777.9509279741696</v>
      </c>
      <c r="CF118" s="417">
        <f t="shared" si="412"/>
        <v>7777.9509279741696</v>
      </c>
      <c r="CG118" s="417">
        <f t="shared" si="412"/>
        <v>7972.3997011735237</v>
      </c>
      <c r="CH118" s="417">
        <f t="shared" si="412"/>
        <v>7972.3997011735237</v>
      </c>
      <c r="CI118" s="417">
        <f t="shared" si="412"/>
        <v>7972.3997011735237</v>
      </c>
      <c r="CJ118" s="417">
        <f t="shared" si="412"/>
        <v>7972.3997011735237</v>
      </c>
      <c r="CK118" s="417">
        <f t="shared" si="412"/>
        <v>7972.3997011735237</v>
      </c>
      <c r="CL118" s="417">
        <f t="shared" si="412"/>
        <v>7972.3997011735237</v>
      </c>
      <c r="CM118" s="417">
        <f t="shared" si="412"/>
        <v>7972.3997011735237</v>
      </c>
      <c r="CN118" s="417">
        <f t="shared" si="413"/>
        <v>7972.3997011735237</v>
      </c>
      <c r="CO118" s="417">
        <f t="shared" si="413"/>
        <v>7972.3997011735237</v>
      </c>
      <c r="CP118" s="417">
        <f t="shared" si="413"/>
        <v>7972.3997011735237</v>
      </c>
      <c r="CQ118" s="417">
        <f t="shared" si="413"/>
        <v>7972.3997011735237</v>
      </c>
      <c r="CR118" s="417">
        <f t="shared" si="413"/>
        <v>7972.3997011735237</v>
      </c>
      <c r="CS118" s="417">
        <f t="shared" si="413"/>
        <v>8171.7096937028609</v>
      </c>
      <c r="CT118" s="417">
        <f t="shared" si="413"/>
        <v>8171.7096937028609</v>
      </c>
      <c r="CU118" s="417">
        <f t="shared" si="413"/>
        <v>8171.7096937028609</v>
      </c>
      <c r="CV118" s="417">
        <f t="shared" si="413"/>
        <v>8171.7096937028609</v>
      </c>
      <c r="CW118" s="417">
        <f t="shared" si="413"/>
        <v>8171.7096937028609</v>
      </c>
      <c r="CX118" s="417">
        <f t="shared" si="414"/>
        <v>8171.7096937028609</v>
      </c>
      <c r="CY118" s="417">
        <f t="shared" si="414"/>
        <v>8171.7096937028609</v>
      </c>
      <c r="CZ118" s="417">
        <f t="shared" si="414"/>
        <v>8171.7096937028609</v>
      </c>
      <c r="DA118" s="417">
        <f t="shared" si="414"/>
        <v>8171.7096937028609</v>
      </c>
      <c r="DB118" s="417">
        <f t="shared" si="414"/>
        <v>8171.7096937028609</v>
      </c>
      <c r="DC118" s="417">
        <f t="shared" si="414"/>
        <v>8171.7096937028609</v>
      </c>
      <c r="DD118" s="417">
        <f t="shared" si="414"/>
        <v>8171.7096937028609</v>
      </c>
      <c r="DE118" s="417">
        <f t="shared" si="414"/>
        <v>8376.0024360454318</v>
      </c>
      <c r="DF118" s="417">
        <f t="shared" si="414"/>
        <v>8376.0024360454318</v>
      </c>
      <c r="DG118" s="417">
        <f t="shared" si="414"/>
        <v>8376.0024360454318</v>
      </c>
      <c r="DH118" s="417">
        <f t="shared" si="415"/>
        <v>8376.0024360454318</v>
      </c>
      <c r="DI118" s="417">
        <f t="shared" si="415"/>
        <v>8376.0024360454318</v>
      </c>
      <c r="DJ118" s="417">
        <f t="shared" si="415"/>
        <v>8376.0024360454318</v>
      </c>
      <c r="DK118" s="417">
        <f t="shared" si="415"/>
        <v>8376.0024360454318</v>
      </c>
      <c r="DL118" s="417">
        <f t="shared" si="415"/>
        <v>8376.0024360454318</v>
      </c>
      <c r="DM118" s="417">
        <f t="shared" si="415"/>
        <v>8376.0024360454318</v>
      </c>
      <c r="DN118" s="417">
        <f t="shared" si="415"/>
        <v>8376.0024360454318</v>
      </c>
      <c r="DO118" s="417">
        <f t="shared" si="415"/>
        <v>8376.0024360454318</v>
      </c>
      <c r="DP118" s="417">
        <f t="shared" si="415"/>
        <v>8376.0024360454318</v>
      </c>
      <c r="DQ118" s="417">
        <f t="shared" si="415"/>
        <v>8585.4024969465663</v>
      </c>
      <c r="DR118" s="417">
        <f t="shared" si="416"/>
        <v>8585.4024969465663</v>
      </c>
      <c r="DS118" s="417">
        <f t="shared" si="416"/>
        <v>8585.4024969465663</v>
      </c>
      <c r="DT118" s="417">
        <f t="shared" si="416"/>
        <v>8585.4024969465663</v>
      </c>
      <c r="DU118" s="417">
        <f t="shared" si="416"/>
        <v>8585.4024969465663</v>
      </c>
      <c r="DV118" s="417">
        <f t="shared" si="416"/>
        <v>8585.4024969465663</v>
      </c>
      <c r="DW118" s="417">
        <f t="shared" si="416"/>
        <v>8585.4024969465663</v>
      </c>
      <c r="DX118" s="417">
        <f t="shared" si="416"/>
        <v>8585.4024969465663</v>
      </c>
      <c r="DY118" s="417">
        <f t="shared" si="416"/>
        <v>8585.4024969465663</v>
      </c>
      <c r="DZ118" s="417">
        <f t="shared" si="416"/>
        <v>8585.4024969465663</v>
      </c>
      <c r="EA118" s="417">
        <f t="shared" si="416"/>
        <v>8585.4024969465663</v>
      </c>
      <c r="EB118" s="417">
        <f t="shared" si="417"/>
        <v>8585.4024969465663</v>
      </c>
      <c r="EC118" s="417">
        <f t="shared" si="417"/>
        <v>8800.037559370232</v>
      </c>
      <c r="ED118" s="417">
        <f t="shared" si="417"/>
        <v>8800.037559370232</v>
      </c>
      <c r="EE118" s="417">
        <f t="shared" si="417"/>
        <v>8800.037559370232</v>
      </c>
      <c r="EF118" s="417">
        <f t="shared" si="417"/>
        <v>8800.037559370232</v>
      </c>
      <c r="EG118" s="417">
        <f t="shared" si="417"/>
        <v>8800.037559370232</v>
      </c>
      <c r="EH118" s="417">
        <f t="shared" si="417"/>
        <v>8800.037559370232</v>
      </c>
      <c r="EI118" s="417">
        <f t="shared" si="417"/>
        <v>8800.037559370232</v>
      </c>
      <c r="EJ118" s="417">
        <f t="shared" si="417"/>
        <v>8800.037559370232</v>
      </c>
      <c r="EK118" s="417">
        <f t="shared" si="417"/>
        <v>8800.037559370232</v>
      </c>
      <c r="EL118" s="417">
        <f t="shared" si="417"/>
        <v>8800.037559370232</v>
      </c>
      <c r="EM118" s="417">
        <f t="shared" si="417"/>
        <v>8800.037559370232</v>
      </c>
      <c r="EN118" s="417">
        <f t="shared" si="417"/>
        <v>8800.037559370232</v>
      </c>
      <c r="EO118" s="208"/>
      <c r="EP118" s="464"/>
      <c r="EQ118" s="465"/>
      <c r="ER118" s="465"/>
      <c r="ES118" s="465"/>
      <c r="ET118" s="465"/>
      <c r="EU118" s="465"/>
      <c r="EV118" s="465"/>
      <c r="EW118" s="465"/>
      <c r="EX118" s="465"/>
      <c r="EY118" s="465"/>
      <c r="EZ118" s="465"/>
      <c r="FA118" s="465"/>
      <c r="FB118" s="465"/>
      <c r="FC118" s="465"/>
      <c r="FD118" s="465"/>
      <c r="FE118" s="465"/>
      <c r="FF118" s="465"/>
      <c r="FG118" s="465"/>
      <c r="FH118" s="465"/>
      <c r="FI118" s="465"/>
      <c r="FJ118" s="465"/>
      <c r="FK118" s="465"/>
      <c r="FL118" s="465"/>
      <c r="FM118" s="465"/>
      <c r="FN118" s="465"/>
      <c r="FO118" s="465"/>
      <c r="FP118" s="465"/>
      <c r="FQ118" s="465"/>
      <c r="FR118" s="465"/>
      <c r="FS118" s="465"/>
      <c r="FT118" s="465"/>
      <c r="FU118" s="465"/>
      <c r="FV118" s="465"/>
      <c r="FW118" s="465"/>
      <c r="FX118" s="465"/>
      <c r="FY118" s="465"/>
      <c r="FZ118" s="465"/>
      <c r="GA118" s="465"/>
      <c r="GB118" s="465"/>
      <c r="GC118" s="465"/>
      <c r="GD118" s="465"/>
      <c r="GE118" s="465"/>
      <c r="GF118" s="465"/>
      <c r="GG118" s="465"/>
      <c r="GH118" s="465"/>
      <c r="GI118" s="465"/>
      <c r="GJ118" s="465"/>
      <c r="GK118" s="465"/>
      <c r="GL118" s="465"/>
      <c r="GM118" s="465"/>
      <c r="GN118" s="465"/>
      <c r="GO118" s="465"/>
      <c r="GP118" s="465"/>
      <c r="GQ118" s="465"/>
      <c r="GR118" s="465"/>
      <c r="GS118" s="465"/>
      <c r="GT118" s="465"/>
      <c r="GU118" s="465"/>
      <c r="GV118" s="465"/>
      <c r="GW118" s="465"/>
      <c r="GX118" s="465"/>
      <c r="GY118" s="465"/>
      <c r="GZ118" s="465"/>
      <c r="HA118" s="465"/>
      <c r="HB118" s="465"/>
      <c r="HC118" s="465"/>
      <c r="HD118" s="465"/>
      <c r="HE118" s="465"/>
      <c r="HF118" s="465"/>
      <c r="HG118" s="465"/>
      <c r="HH118" s="465"/>
      <c r="HI118" s="465"/>
      <c r="HJ118" s="465"/>
      <c r="HK118" s="465"/>
      <c r="HL118" s="465"/>
      <c r="HM118" s="465"/>
      <c r="HN118" s="465"/>
      <c r="HO118" s="465"/>
      <c r="HP118" s="465"/>
      <c r="HQ118" s="465"/>
      <c r="HR118" s="465"/>
      <c r="HS118" s="465"/>
      <c r="HT118" s="465"/>
      <c r="HU118" s="465"/>
      <c r="HV118" s="465"/>
      <c r="HW118" s="465"/>
      <c r="HX118" s="465"/>
      <c r="HY118" s="465"/>
      <c r="HZ118" s="465"/>
      <c r="IA118" s="465"/>
      <c r="IB118" s="465"/>
      <c r="IC118" s="465"/>
      <c r="ID118" s="465"/>
      <c r="IE118" s="465"/>
      <c r="IF118" s="465"/>
      <c r="IG118" s="465"/>
      <c r="IH118" s="465"/>
      <c r="II118" s="465"/>
      <c r="IJ118" s="465"/>
      <c r="IK118" s="465"/>
      <c r="IL118" s="465"/>
      <c r="IM118" s="465"/>
      <c r="IN118" s="465"/>
      <c r="IO118" s="465"/>
      <c r="IP118" s="465"/>
      <c r="IQ118" s="465"/>
      <c r="IR118" s="465"/>
      <c r="IS118" s="465"/>
      <c r="IT118" s="465"/>
      <c r="IU118" s="465"/>
      <c r="IV118" s="465"/>
      <c r="IW118" s="465"/>
      <c r="IX118" s="465"/>
      <c r="IY118" s="465"/>
      <c r="IZ118" s="465"/>
      <c r="JA118" s="465"/>
      <c r="JB118" s="465"/>
      <c r="JC118" s="465"/>
      <c r="JD118" s="465"/>
      <c r="JE118" s="465"/>
      <c r="JF118" s="465"/>
      <c r="JG118" s="465"/>
      <c r="JH118" s="465"/>
      <c r="JI118" s="465"/>
      <c r="JJ118" s="465"/>
      <c r="JK118" s="465"/>
      <c r="JL118" s="465"/>
      <c r="JM118" s="465"/>
      <c r="JN118" s="465"/>
      <c r="JO118" s="465"/>
      <c r="JP118" s="465"/>
      <c r="JQ118" s="465"/>
      <c r="JR118" s="465"/>
      <c r="JS118" s="465"/>
      <c r="JT118" s="465"/>
      <c r="JU118" s="465"/>
      <c r="JV118" s="465"/>
      <c r="JW118" s="465"/>
      <c r="JX118" s="20"/>
      <c r="JY118"/>
      <c r="JZ118" s="466"/>
      <c r="KA118" s="466"/>
      <c r="KB118" s="466"/>
      <c r="KC118" s="466"/>
      <c r="KD118" s="466"/>
      <c r="KE118" s="466"/>
      <c r="KF118" s="466"/>
      <c r="KG118" s="466"/>
      <c r="KH118" s="466"/>
      <c r="KI118" s="466"/>
      <c r="KJ118" s="466"/>
      <c r="KK118" s="466"/>
      <c r="KL118" s="466"/>
      <c r="KM118" s="466"/>
      <c r="KN118" s="466"/>
      <c r="KO118" s="466"/>
      <c r="KP118" s="466"/>
      <c r="KQ118" s="466"/>
      <c r="KR118" s="466"/>
      <c r="KS118" s="466"/>
      <c r="KT118" s="466"/>
      <c r="KU118" s="466"/>
      <c r="KV118" s="466"/>
      <c r="KW118" s="466"/>
      <c r="KX118" s="466"/>
      <c r="KY118" s="466"/>
      <c r="KZ118" s="466"/>
      <c r="LA118" s="466"/>
      <c r="LB118" s="466"/>
      <c r="LC118" s="466"/>
      <c r="LD118" s="466"/>
      <c r="LE118" s="466"/>
      <c r="LF118" s="466"/>
      <c r="LG118" s="466"/>
      <c r="LH118" s="466"/>
      <c r="LI118" s="466"/>
      <c r="LJ118" s="466"/>
      <c r="LK118" s="466"/>
      <c r="LL118" s="466"/>
      <c r="LM118" s="466"/>
      <c r="LN118" s="466"/>
      <c r="LO118" s="466"/>
      <c r="LP118" s="466"/>
      <c r="LQ118" s="466"/>
      <c r="LR118" s="466"/>
      <c r="LS118" s="466"/>
      <c r="LT118" s="466"/>
      <c r="LU118" s="466"/>
      <c r="LV118" s="466"/>
      <c r="LW118" s="466"/>
      <c r="LX118" s="466"/>
      <c r="LY118" s="466"/>
      <c r="LZ118" s="466"/>
      <c r="MA118" s="466"/>
      <c r="MB118" s="466"/>
      <c r="MC118" s="466"/>
      <c r="MD118" s="466"/>
      <c r="ME118" s="466"/>
      <c r="MF118" s="466"/>
      <c r="MG118" s="466"/>
      <c r="MH118" s="466"/>
      <c r="MI118" s="466"/>
      <c r="MJ118" s="466"/>
      <c r="MK118" s="466"/>
      <c r="ML118" s="466"/>
      <c r="MM118" s="466"/>
      <c r="MN118" s="466"/>
      <c r="MO118" s="466"/>
      <c r="MP118" s="466"/>
      <c r="MQ118" s="466"/>
      <c r="MR118" s="466"/>
      <c r="MS118" s="466"/>
      <c r="MT118" s="466"/>
      <c r="MU118" s="466"/>
      <c r="MV118" s="466"/>
      <c r="MW118" s="466"/>
      <c r="MX118" s="466"/>
      <c r="MY118" s="466"/>
      <c r="MZ118" s="466"/>
      <c r="NA118" s="466"/>
      <c r="NB118" s="466"/>
      <c r="NC118" s="466"/>
      <c r="ND118" s="466"/>
      <c r="NE118" s="466"/>
      <c r="NF118" s="466"/>
      <c r="NG118" s="466"/>
      <c r="NH118" s="466"/>
      <c r="NI118" s="466"/>
      <c r="NJ118" s="466"/>
      <c r="NK118" s="466"/>
      <c r="NL118" s="466"/>
      <c r="NM118" s="466"/>
      <c r="NN118" s="466"/>
      <c r="NO118" s="466"/>
      <c r="NP118" s="466"/>
      <c r="NQ118" s="466"/>
      <c r="NR118" s="466"/>
      <c r="NS118" s="466"/>
      <c r="NT118" s="466"/>
      <c r="NU118" s="466"/>
      <c r="NV118" s="466"/>
      <c r="NW118" s="466"/>
      <c r="NX118" s="466"/>
      <c r="NY118" s="466"/>
      <c r="NZ118" s="466"/>
      <c r="OA118" s="466"/>
      <c r="OB118" s="466"/>
      <c r="OC118" s="466"/>
      <c r="OD118" s="466"/>
      <c r="OE118" s="466"/>
      <c r="OF118" s="466"/>
      <c r="OG118" s="466"/>
      <c r="OH118" s="466"/>
      <c r="OI118" s="466"/>
      <c r="OJ118" s="466"/>
      <c r="OK118" s="466"/>
      <c r="OL118" s="466"/>
      <c r="OM118" s="466"/>
      <c r="ON118" s="466"/>
      <c r="OO118" s="466"/>
      <c r="OP118" s="466"/>
      <c r="OQ118" s="466"/>
      <c r="OR118" s="466"/>
      <c r="OS118" s="466"/>
      <c r="OT118" s="466"/>
      <c r="OU118" s="466"/>
      <c r="OV118" s="466"/>
      <c r="OW118" s="466"/>
      <c r="OX118" s="466"/>
      <c r="OY118" s="466"/>
      <c r="OZ118" s="466"/>
      <c r="PA118" s="466"/>
      <c r="PB118" s="466"/>
      <c r="PC118" s="466"/>
      <c r="PD118" s="466"/>
      <c r="PE118" s="466"/>
      <c r="PF118" s="466"/>
      <c r="PG118" s="466"/>
      <c r="PH118" s="466"/>
    </row>
    <row r="119" spans="1:424" x14ac:dyDescent="0.35">
      <c r="A119"/>
      <c r="B119" s="91" t="str">
        <f t="shared" si="400"/>
        <v>App Automation</v>
      </c>
      <c r="C119" s="469" t="s">
        <v>280</v>
      </c>
      <c r="D119" s="276" t="s">
        <v>281</v>
      </c>
      <c r="E119" s="144">
        <f t="shared" si="401"/>
        <v>40</v>
      </c>
      <c r="F119" s="53">
        <v>1</v>
      </c>
      <c r="G119" s="255">
        <f t="shared" si="402"/>
        <v>1.9115493005131361E-3</v>
      </c>
      <c r="H119" s="151">
        <f t="shared" si="403"/>
        <v>41.904711317697256</v>
      </c>
      <c r="I119" s="474">
        <f t="shared" si="404"/>
        <v>6285.7066976545884</v>
      </c>
      <c r="J119"/>
      <c r="K119" s="202"/>
      <c r="L119" s="202">
        <f t="shared" si="405"/>
        <v>0</v>
      </c>
      <c r="M119" s="422">
        <f t="shared" si="405"/>
        <v>0</v>
      </c>
      <c r="N119" s="422">
        <f t="shared" si="405"/>
        <v>0</v>
      </c>
      <c r="O119" s="422">
        <f t="shared" si="405"/>
        <v>0</v>
      </c>
      <c r="P119" s="422">
        <f t="shared" si="405"/>
        <v>0</v>
      </c>
      <c r="Q119" s="422">
        <f t="shared" si="405"/>
        <v>0</v>
      </c>
      <c r="R119" s="422">
        <f t="shared" si="405"/>
        <v>0</v>
      </c>
      <c r="S119" s="422">
        <f t="shared" si="405"/>
        <v>0</v>
      </c>
      <c r="T119" s="422">
        <f t="shared" si="405"/>
        <v>0</v>
      </c>
      <c r="U119" s="422">
        <f t="shared" si="405"/>
        <v>0</v>
      </c>
      <c r="V119" s="422">
        <f t="shared" si="406"/>
        <v>0</v>
      </c>
      <c r="W119" s="422">
        <f t="shared" si="406"/>
        <v>0</v>
      </c>
      <c r="X119" s="422">
        <f t="shared" si="406"/>
        <v>0</v>
      </c>
      <c r="Y119" s="422">
        <f t="shared" si="406"/>
        <v>0</v>
      </c>
      <c r="Z119" s="422">
        <f t="shared" si="406"/>
        <v>0</v>
      </c>
      <c r="AA119" s="422">
        <f t="shared" si="406"/>
        <v>0</v>
      </c>
      <c r="AB119" s="422">
        <f t="shared" si="406"/>
        <v>0</v>
      </c>
      <c r="AC119" s="422">
        <f t="shared" si="406"/>
        <v>0</v>
      </c>
      <c r="AD119" s="422">
        <f t="shared" si="406"/>
        <v>0</v>
      </c>
      <c r="AE119" s="422">
        <f t="shared" si="406"/>
        <v>0</v>
      </c>
      <c r="AF119" s="422">
        <f t="shared" si="407"/>
        <v>0</v>
      </c>
      <c r="AG119" s="422">
        <f t="shared" si="407"/>
        <v>0</v>
      </c>
      <c r="AH119" s="422">
        <f t="shared" si="407"/>
        <v>0</v>
      </c>
      <c r="AI119" s="422">
        <f t="shared" si="407"/>
        <v>0</v>
      </c>
      <c r="AJ119" s="422">
        <f t="shared" si="407"/>
        <v>0</v>
      </c>
      <c r="AK119" s="422">
        <f t="shared" si="407"/>
        <v>0</v>
      </c>
      <c r="AL119" s="422">
        <f t="shared" si="407"/>
        <v>0</v>
      </c>
      <c r="AM119" s="422">
        <f t="shared" si="407"/>
        <v>0</v>
      </c>
      <c r="AN119" s="422">
        <f t="shared" si="407"/>
        <v>0</v>
      </c>
      <c r="AO119" s="422">
        <f t="shared" si="407"/>
        <v>0</v>
      </c>
      <c r="AP119" s="422">
        <f t="shared" si="408"/>
        <v>0</v>
      </c>
      <c r="AQ119" s="422">
        <f t="shared" si="408"/>
        <v>0</v>
      </c>
      <c r="AR119" s="422">
        <f t="shared" si="408"/>
        <v>0</v>
      </c>
      <c r="AS119" s="422">
        <f t="shared" si="408"/>
        <v>0</v>
      </c>
      <c r="AT119" s="422">
        <f t="shared" si="408"/>
        <v>0</v>
      </c>
      <c r="AU119" s="422">
        <f t="shared" si="408"/>
        <v>0</v>
      </c>
      <c r="AV119" s="422">
        <f t="shared" si="408"/>
        <v>0</v>
      </c>
      <c r="AW119" s="422">
        <f t="shared" si="408"/>
        <v>0</v>
      </c>
      <c r="AX119" s="422">
        <f t="shared" si="408"/>
        <v>0</v>
      </c>
      <c r="AY119" s="422">
        <f t="shared" si="408"/>
        <v>0</v>
      </c>
      <c r="AZ119" s="422">
        <f t="shared" si="409"/>
        <v>130.9522228678039</v>
      </c>
      <c r="BA119" s="422">
        <f t="shared" si="409"/>
        <v>174.60296382373855</v>
      </c>
      <c r="BB119" s="422">
        <f t="shared" si="409"/>
        <v>218.2537047796732</v>
      </c>
      <c r="BC119" s="422">
        <f t="shared" si="409"/>
        <v>261.90444573560779</v>
      </c>
      <c r="BD119" s="422">
        <f t="shared" si="409"/>
        <v>305.55518669154247</v>
      </c>
      <c r="BE119" s="422">
        <f t="shared" si="409"/>
        <v>349.2059276474771</v>
      </c>
      <c r="BF119" s="422">
        <f t="shared" si="409"/>
        <v>392.85666860341178</v>
      </c>
      <c r="BG119" s="422">
        <f t="shared" si="409"/>
        <v>436.5074095593464</v>
      </c>
      <c r="BH119" s="422">
        <f t="shared" si="409"/>
        <v>480.15815051528097</v>
      </c>
      <c r="BI119" s="422">
        <f t="shared" si="409"/>
        <v>536.90411375799602</v>
      </c>
      <c r="BJ119" s="422">
        <f t="shared" si="410"/>
        <v>536.90411375799602</v>
      </c>
      <c r="BK119" s="422">
        <f t="shared" si="410"/>
        <v>536.90411375799602</v>
      </c>
      <c r="BL119" s="422">
        <f t="shared" si="410"/>
        <v>536.90411375799602</v>
      </c>
      <c r="BM119" s="422">
        <f t="shared" si="410"/>
        <v>536.90411375799602</v>
      </c>
      <c r="BN119" s="422">
        <f t="shared" si="410"/>
        <v>536.90411375799602</v>
      </c>
      <c r="BO119" s="422">
        <f t="shared" si="410"/>
        <v>536.90411375799602</v>
      </c>
      <c r="BP119" s="422">
        <f t="shared" si="410"/>
        <v>536.90411375799602</v>
      </c>
      <c r="BQ119" s="422">
        <f t="shared" si="410"/>
        <v>536.90411375799602</v>
      </c>
      <c r="BR119" s="422">
        <f t="shared" si="410"/>
        <v>536.90411375799602</v>
      </c>
      <c r="BS119" s="422">
        <f t="shared" si="410"/>
        <v>536.90411375799602</v>
      </c>
      <c r="BT119" s="422">
        <f t="shared" si="411"/>
        <v>536.90411375799602</v>
      </c>
      <c r="BU119" s="422">
        <f t="shared" si="411"/>
        <v>550.32671660194592</v>
      </c>
      <c r="BV119" s="422">
        <f t="shared" si="411"/>
        <v>550.32671660194592</v>
      </c>
      <c r="BW119" s="422">
        <f t="shared" si="411"/>
        <v>550.32671660194592</v>
      </c>
      <c r="BX119" s="422">
        <f t="shared" si="411"/>
        <v>550.32671660194592</v>
      </c>
      <c r="BY119" s="422">
        <f t="shared" si="411"/>
        <v>550.32671660194592</v>
      </c>
      <c r="BZ119" s="422">
        <f t="shared" si="411"/>
        <v>550.32671660194592</v>
      </c>
      <c r="CA119" s="422">
        <f t="shared" si="411"/>
        <v>550.32671660194592</v>
      </c>
      <c r="CB119" s="422">
        <f t="shared" si="411"/>
        <v>550.32671660194592</v>
      </c>
      <c r="CC119" s="422">
        <f t="shared" si="411"/>
        <v>550.32671660194592</v>
      </c>
      <c r="CD119" s="422">
        <f t="shared" si="412"/>
        <v>550.32671660194592</v>
      </c>
      <c r="CE119" s="422">
        <f t="shared" si="412"/>
        <v>550.32671660194592</v>
      </c>
      <c r="CF119" s="422">
        <f t="shared" si="412"/>
        <v>550.32671660194592</v>
      </c>
      <c r="CG119" s="422">
        <f t="shared" si="412"/>
        <v>564.08488451699452</v>
      </c>
      <c r="CH119" s="422">
        <f t="shared" si="412"/>
        <v>564.08488451699452</v>
      </c>
      <c r="CI119" s="422">
        <f t="shared" si="412"/>
        <v>564.08488451699452</v>
      </c>
      <c r="CJ119" s="422">
        <f t="shared" si="412"/>
        <v>564.08488451699452</v>
      </c>
      <c r="CK119" s="422">
        <f t="shared" si="412"/>
        <v>564.08488451699452</v>
      </c>
      <c r="CL119" s="422">
        <f t="shared" si="412"/>
        <v>564.08488451699452</v>
      </c>
      <c r="CM119" s="422">
        <f t="shared" si="412"/>
        <v>564.08488451699452</v>
      </c>
      <c r="CN119" s="422">
        <f t="shared" si="413"/>
        <v>564.08488451699452</v>
      </c>
      <c r="CO119" s="422">
        <f t="shared" si="413"/>
        <v>564.08488451699452</v>
      </c>
      <c r="CP119" s="422">
        <f t="shared" si="413"/>
        <v>564.08488451699452</v>
      </c>
      <c r="CQ119" s="422">
        <f t="shared" si="413"/>
        <v>564.08488451699452</v>
      </c>
      <c r="CR119" s="422">
        <f t="shared" si="413"/>
        <v>564.08488451699452</v>
      </c>
      <c r="CS119" s="422">
        <f t="shared" si="413"/>
        <v>578.18700662991932</v>
      </c>
      <c r="CT119" s="422">
        <f t="shared" si="413"/>
        <v>578.18700662991932</v>
      </c>
      <c r="CU119" s="422">
        <f t="shared" si="413"/>
        <v>578.18700662991932</v>
      </c>
      <c r="CV119" s="422">
        <f t="shared" si="413"/>
        <v>578.18700662991932</v>
      </c>
      <c r="CW119" s="422">
        <f t="shared" si="413"/>
        <v>578.18700662991932</v>
      </c>
      <c r="CX119" s="422">
        <f t="shared" si="414"/>
        <v>578.18700662991932</v>
      </c>
      <c r="CY119" s="422">
        <f t="shared" si="414"/>
        <v>578.18700662991932</v>
      </c>
      <c r="CZ119" s="422">
        <f t="shared" si="414"/>
        <v>578.18700662991932</v>
      </c>
      <c r="DA119" s="422">
        <f t="shared" si="414"/>
        <v>578.18700662991932</v>
      </c>
      <c r="DB119" s="422">
        <f t="shared" si="414"/>
        <v>578.18700662991932</v>
      </c>
      <c r="DC119" s="422">
        <f t="shared" si="414"/>
        <v>578.18700662991932</v>
      </c>
      <c r="DD119" s="422">
        <f t="shared" si="414"/>
        <v>578.18700662991932</v>
      </c>
      <c r="DE119" s="422">
        <f t="shared" si="414"/>
        <v>592.6416817956673</v>
      </c>
      <c r="DF119" s="422">
        <f t="shared" si="414"/>
        <v>592.6416817956673</v>
      </c>
      <c r="DG119" s="422">
        <f t="shared" si="414"/>
        <v>592.6416817956673</v>
      </c>
      <c r="DH119" s="422">
        <f t="shared" si="415"/>
        <v>592.6416817956673</v>
      </c>
      <c r="DI119" s="422">
        <f t="shared" si="415"/>
        <v>592.6416817956673</v>
      </c>
      <c r="DJ119" s="422">
        <f t="shared" si="415"/>
        <v>592.6416817956673</v>
      </c>
      <c r="DK119" s="422">
        <f t="shared" si="415"/>
        <v>592.6416817956673</v>
      </c>
      <c r="DL119" s="422">
        <f t="shared" si="415"/>
        <v>592.6416817956673</v>
      </c>
      <c r="DM119" s="422">
        <f t="shared" si="415"/>
        <v>592.6416817956673</v>
      </c>
      <c r="DN119" s="422">
        <f t="shared" si="415"/>
        <v>592.6416817956673</v>
      </c>
      <c r="DO119" s="422">
        <f t="shared" si="415"/>
        <v>592.6416817956673</v>
      </c>
      <c r="DP119" s="422">
        <f t="shared" si="415"/>
        <v>592.6416817956673</v>
      </c>
      <c r="DQ119" s="422">
        <f t="shared" si="415"/>
        <v>607.45772384055886</v>
      </c>
      <c r="DR119" s="422">
        <f t="shared" si="416"/>
        <v>607.45772384055886</v>
      </c>
      <c r="DS119" s="422">
        <f t="shared" si="416"/>
        <v>607.45772384055886</v>
      </c>
      <c r="DT119" s="422">
        <f t="shared" si="416"/>
        <v>607.45772384055886</v>
      </c>
      <c r="DU119" s="422">
        <f t="shared" si="416"/>
        <v>607.45772384055886</v>
      </c>
      <c r="DV119" s="422">
        <f t="shared" si="416"/>
        <v>607.45772384055886</v>
      </c>
      <c r="DW119" s="422">
        <f t="shared" si="416"/>
        <v>607.45772384055886</v>
      </c>
      <c r="DX119" s="422">
        <f t="shared" si="416"/>
        <v>607.45772384055886</v>
      </c>
      <c r="DY119" s="422">
        <f t="shared" si="416"/>
        <v>607.45772384055886</v>
      </c>
      <c r="DZ119" s="422">
        <f t="shared" si="416"/>
        <v>607.45772384055886</v>
      </c>
      <c r="EA119" s="422">
        <f t="shared" si="416"/>
        <v>607.45772384055886</v>
      </c>
      <c r="EB119" s="422">
        <f t="shared" si="417"/>
        <v>607.45772384055886</v>
      </c>
      <c r="EC119" s="422">
        <f t="shared" si="417"/>
        <v>622.6441669365729</v>
      </c>
      <c r="ED119" s="422">
        <f t="shared" si="417"/>
        <v>622.6441669365729</v>
      </c>
      <c r="EE119" s="422">
        <f t="shared" si="417"/>
        <v>622.6441669365729</v>
      </c>
      <c r="EF119" s="422">
        <f t="shared" si="417"/>
        <v>622.6441669365729</v>
      </c>
      <c r="EG119" s="422">
        <f t="shared" si="417"/>
        <v>622.6441669365729</v>
      </c>
      <c r="EH119" s="422">
        <f t="shared" si="417"/>
        <v>622.6441669365729</v>
      </c>
      <c r="EI119" s="422">
        <f t="shared" si="417"/>
        <v>622.6441669365729</v>
      </c>
      <c r="EJ119" s="422">
        <f t="shared" si="417"/>
        <v>622.6441669365729</v>
      </c>
      <c r="EK119" s="422">
        <f t="shared" si="417"/>
        <v>622.6441669365729</v>
      </c>
      <c r="EL119" s="422">
        <f t="shared" si="417"/>
        <v>622.6441669365729</v>
      </c>
      <c r="EM119" s="422">
        <f t="shared" si="417"/>
        <v>622.6441669365729</v>
      </c>
      <c r="EN119" s="422">
        <f t="shared" si="417"/>
        <v>622.6441669365729</v>
      </c>
      <c r="EO119" s="208"/>
      <c r="EP119" s="464"/>
      <c r="EQ119" s="465"/>
      <c r="ER119" s="465"/>
      <c r="ES119" s="465"/>
      <c r="ET119" s="465"/>
      <c r="EU119" s="465"/>
      <c r="EV119" s="465"/>
      <c r="EW119" s="465"/>
      <c r="EX119" s="465"/>
      <c r="EY119" s="465"/>
      <c r="EZ119" s="465"/>
      <c r="FA119" s="465"/>
      <c r="FB119" s="465"/>
      <c r="FC119" s="465"/>
      <c r="FD119" s="465"/>
      <c r="FE119" s="465"/>
      <c r="FF119" s="465"/>
      <c r="FG119" s="465"/>
      <c r="FH119" s="465"/>
      <c r="FI119" s="465"/>
      <c r="FJ119" s="465"/>
      <c r="FK119" s="465"/>
      <c r="FL119" s="465"/>
      <c r="FM119" s="465"/>
      <c r="FN119" s="465"/>
      <c r="FO119" s="465"/>
      <c r="FP119" s="465"/>
      <c r="FQ119" s="465"/>
      <c r="FR119" s="465"/>
      <c r="FS119" s="465"/>
      <c r="FT119" s="465"/>
      <c r="FU119" s="465"/>
      <c r="FV119" s="465"/>
      <c r="FW119" s="465"/>
      <c r="FX119" s="465"/>
      <c r="FY119" s="465"/>
      <c r="FZ119" s="465"/>
      <c r="GA119" s="465"/>
      <c r="GB119" s="465"/>
      <c r="GC119" s="465"/>
      <c r="GD119" s="465"/>
      <c r="GE119" s="465"/>
      <c r="GF119" s="465"/>
      <c r="GG119" s="465"/>
      <c r="GH119" s="465"/>
      <c r="GI119" s="465"/>
      <c r="GJ119" s="465"/>
      <c r="GK119" s="465"/>
      <c r="GL119" s="465"/>
      <c r="GM119" s="465"/>
      <c r="GN119" s="465"/>
      <c r="GO119" s="465"/>
      <c r="GP119" s="465"/>
      <c r="GQ119" s="465"/>
      <c r="GR119" s="465"/>
      <c r="GS119" s="465"/>
      <c r="GT119" s="465"/>
      <c r="GU119" s="465"/>
      <c r="GV119" s="465"/>
      <c r="GW119" s="465"/>
      <c r="GX119" s="465"/>
      <c r="GY119" s="465"/>
      <c r="GZ119" s="465"/>
      <c r="HA119" s="465"/>
      <c r="HB119" s="465"/>
      <c r="HC119" s="465"/>
      <c r="HD119" s="465"/>
      <c r="HE119" s="465"/>
      <c r="HF119" s="465"/>
      <c r="HG119" s="465"/>
      <c r="HH119" s="465"/>
      <c r="HI119" s="465"/>
      <c r="HJ119" s="465"/>
      <c r="HK119" s="465"/>
      <c r="HL119" s="465"/>
      <c r="HM119" s="465"/>
      <c r="HN119" s="465"/>
      <c r="HO119" s="465"/>
      <c r="HP119" s="465"/>
      <c r="HQ119" s="465"/>
      <c r="HR119" s="465"/>
      <c r="HS119" s="465"/>
      <c r="HT119" s="465"/>
      <c r="HU119" s="465"/>
      <c r="HV119" s="465"/>
      <c r="HW119" s="465"/>
      <c r="HX119" s="465"/>
      <c r="HY119" s="465"/>
      <c r="HZ119" s="465"/>
      <c r="IA119" s="465"/>
      <c r="IB119" s="465"/>
      <c r="IC119" s="465"/>
      <c r="ID119" s="465"/>
      <c r="IE119" s="465"/>
      <c r="IF119" s="465"/>
      <c r="IG119" s="465"/>
      <c r="IH119" s="465"/>
      <c r="II119" s="465"/>
      <c r="IJ119" s="465"/>
      <c r="IK119" s="465"/>
      <c r="IL119" s="465"/>
      <c r="IM119" s="465"/>
      <c r="IN119" s="465"/>
      <c r="IO119" s="465"/>
      <c r="IP119" s="465"/>
      <c r="IQ119" s="465"/>
      <c r="IR119" s="465"/>
      <c r="IS119" s="465"/>
      <c r="IT119" s="465"/>
      <c r="IU119" s="465"/>
      <c r="IV119" s="465"/>
      <c r="IW119" s="465"/>
      <c r="IX119" s="465"/>
      <c r="IY119" s="465"/>
      <c r="IZ119" s="465"/>
      <c r="JA119" s="465"/>
      <c r="JB119" s="465"/>
      <c r="JC119" s="465"/>
      <c r="JD119" s="465"/>
      <c r="JE119" s="465"/>
      <c r="JF119" s="465"/>
      <c r="JG119" s="465"/>
      <c r="JH119" s="465"/>
      <c r="JI119" s="465"/>
      <c r="JJ119" s="465"/>
      <c r="JK119" s="465"/>
      <c r="JL119" s="465"/>
      <c r="JM119" s="465"/>
      <c r="JN119" s="465"/>
      <c r="JO119" s="465"/>
      <c r="JP119" s="465"/>
      <c r="JQ119" s="465"/>
      <c r="JR119" s="465"/>
      <c r="JS119" s="465"/>
      <c r="JT119" s="465"/>
      <c r="JU119" s="465"/>
      <c r="JV119" s="465"/>
      <c r="JW119" s="465"/>
      <c r="JX119" s="20"/>
      <c r="JY119"/>
      <c r="JZ119" s="466"/>
      <c r="KA119" s="466"/>
      <c r="KB119" s="466"/>
      <c r="KC119" s="466"/>
      <c r="KD119" s="466"/>
      <c r="KE119" s="466"/>
      <c r="KF119" s="466"/>
      <c r="KG119" s="466"/>
      <c r="KH119" s="466"/>
      <c r="KI119" s="466"/>
      <c r="KJ119" s="466"/>
      <c r="KK119" s="466"/>
      <c r="KL119" s="466"/>
      <c r="KM119" s="466"/>
      <c r="KN119" s="466"/>
      <c r="KO119" s="466"/>
      <c r="KP119" s="466"/>
      <c r="KQ119" s="466"/>
      <c r="KR119" s="466"/>
      <c r="KS119" s="466"/>
      <c r="KT119" s="466"/>
      <c r="KU119" s="466"/>
      <c r="KV119" s="466"/>
      <c r="KW119" s="466"/>
      <c r="KX119" s="466"/>
      <c r="KY119" s="466"/>
      <c r="KZ119" s="466"/>
      <c r="LA119" s="466"/>
      <c r="LB119" s="466"/>
      <c r="LC119" s="466"/>
      <c r="LD119" s="466"/>
      <c r="LE119" s="466"/>
      <c r="LF119" s="466"/>
      <c r="LG119" s="466"/>
      <c r="LH119" s="466"/>
      <c r="LI119" s="466"/>
      <c r="LJ119" s="466"/>
      <c r="LK119" s="466"/>
      <c r="LL119" s="466"/>
      <c r="LM119" s="466"/>
      <c r="LN119" s="466"/>
      <c r="LO119" s="466"/>
      <c r="LP119" s="466"/>
      <c r="LQ119" s="466"/>
      <c r="LR119" s="466"/>
      <c r="LS119" s="466"/>
      <c r="LT119" s="466"/>
      <c r="LU119" s="466"/>
      <c r="LV119" s="466"/>
      <c r="LW119" s="466"/>
      <c r="LX119" s="466"/>
      <c r="LY119" s="466"/>
      <c r="LZ119" s="466"/>
      <c r="MA119" s="466"/>
      <c r="MB119" s="466"/>
      <c r="MC119" s="466"/>
      <c r="MD119" s="466"/>
      <c r="ME119" s="466"/>
      <c r="MF119" s="466"/>
      <c r="MG119" s="466"/>
      <c r="MH119" s="466"/>
      <c r="MI119" s="466"/>
      <c r="MJ119" s="466"/>
      <c r="MK119" s="466"/>
      <c r="ML119" s="466"/>
      <c r="MM119" s="466"/>
      <c r="MN119" s="466"/>
      <c r="MO119" s="466"/>
      <c r="MP119" s="466"/>
      <c r="MQ119" s="466"/>
      <c r="MR119" s="466"/>
      <c r="MS119" s="466"/>
      <c r="MT119" s="466"/>
      <c r="MU119" s="466"/>
      <c r="MV119" s="466"/>
      <c r="MW119" s="466"/>
      <c r="MX119" s="466"/>
      <c r="MY119" s="466"/>
      <c r="MZ119" s="466"/>
      <c r="NA119" s="466"/>
      <c r="NB119" s="466"/>
      <c r="NC119" s="466"/>
      <c r="ND119" s="466"/>
      <c r="NE119" s="466"/>
      <c r="NF119" s="466"/>
      <c r="NG119" s="466"/>
      <c r="NH119" s="466"/>
      <c r="NI119" s="466"/>
      <c r="NJ119" s="466"/>
      <c r="NK119" s="466"/>
      <c r="NL119" s="466"/>
      <c r="NM119" s="466"/>
      <c r="NN119" s="466"/>
      <c r="NO119" s="466"/>
      <c r="NP119" s="466"/>
      <c r="NQ119" s="466"/>
      <c r="NR119" s="466"/>
      <c r="NS119" s="466"/>
      <c r="NT119" s="466"/>
      <c r="NU119" s="466"/>
      <c r="NV119" s="466"/>
      <c r="NW119" s="466"/>
      <c r="NX119" s="466"/>
      <c r="NY119" s="466"/>
      <c r="NZ119" s="466"/>
      <c r="OA119" s="466"/>
      <c r="OB119" s="466"/>
      <c r="OC119" s="466"/>
      <c r="OD119" s="466"/>
      <c r="OE119" s="466"/>
      <c r="OF119" s="466"/>
      <c r="OG119" s="466"/>
      <c r="OH119" s="466"/>
      <c r="OI119" s="466"/>
      <c r="OJ119" s="466"/>
      <c r="OK119" s="466"/>
      <c r="OL119" s="466"/>
      <c r="OM119" s="466"/>
      <c r="ON119" s="466"/>
      <c r="OO119" s="466"/>
      <c r="OP119" s="466"/>
      <c r="OQ119" s="466"/>
      <c r="OR119" s="466"/>
      <c r="OS119" s="466"/>
      <c r="OT119" s="466"/>
      <c r="OU119" s="466"/>
      <c r="OV119" s="466"/>
      <c r="OW119" s="466"/>
      <c r="OX119" s="466"/>
      <c r="OY119" s="466"/>
      <c r="OZ119" s="466"/>
      <c r="PA119" s="466"/>
      <c r="PB119" s="466"/>
      <c r="PC119" s="466"/>
      <c r="PD119" s="466"/>
      <c r="PE119" s="466"/>
      <c r="PF119" s="466"/>
      <c r="PG119" s="466"/>
      <c r="PH119" s="466"/>
    </row>
    <row r="120" spans="1:424" x14ac:dyDescent="0.35">
      <c r="A120"/>
      <c r="B120" s="427" t="s">
        <v>282</v>
      </c>
      <c r="C120" s="46"/>
      <c r="D120" s="257"/>
      <c r="E120" s="46">
        <f>MIN(E108:E119)</f>
        <v>22</v>
      </c>
      <c r="F120" s="134"/>
      <c r="G120" s="57">
        <f>SUM(G108:G119)</f>
        <v>1</v>
      </c>
      <c r="H120" s="148">
        <f>IFERROR(I120/I105,0)</f>
        <v>0.21520148042473852</v>
      </c>
      <c r="I120" s="445">
        <f>SUM(I108:I119)</f>
        <v>3288278.6208900046</v>
      </c>
      <c r="J120"/>
      <c r="K120" s="75"/>
      <c r="L120" s="75">
        <f t="shared" ref="L120:AQ120" si="418">SUM(L108:L119)</f>
        <v>0</v>
      </c>
      <c r="M120" s="417">
        <f t="shared" si="418"/>
        <v>0</v>
      </c>
      <c r="N120" s="417">
        <f t="shared" si="418"/>
        <v>0</v>
      </c>
      <c r="O120" s="417">
        <f t="shared" si="418"/>
        <v>0</v>
      </c>
      <c r="P120" s="417">
        <f t="shared" si="418"/>
        <v>0</v>
      </c>
      <c r="Q120" s="417">
        <f t="shared" si="418"/>
        <v>0</v>
      </c>
      <c r="R120" s="417">
        <f t="shared" si="418"/>
        <v>0</v>
      </c>
      <c r="S120" s="417">
        <f t="shared" si="418"/>
        <v>0</v>
      </c>
      <c r="T120" s="417">
        <f t="shared" si="418"/>
        <v>0</v>
      </c>
      <c r="U120" s="417">
        <f t="shared" si="418"/>
        <v>0</v>
      </c>
      <c r="V120" s="417">
        <f t="shared" si="418"/>
        <v>0</v>
      </c>
      <c r="W120" s="417">
        <f t="shared" si="418"/>
        <v>0</v>
      </c>
      <c r="X120" s="417">
        <f t="shared" si="418"/>
        <v>0</v>
      </c>
      <c r="Y120" s="417">
        <f t="shared" si="418"/>
        <v>0</v>
      </c>
      <c r="Z120" s="417">
        <f t="shared" si="418"/>
        <v>0</v>
      </c>
      <c r="AA120" s="417">
        <f t="shared" si="418"/>
        <v>0</v>
      </c>
      <c r="AB120" s="417">
        <f t="shared" si="418"/>
        <v>0</v>
      </c>
      <c r="AC120" s="417">
        <f t="shared" si="418"/>
        <v>0</v>
      </c>
      <c r="AD120" s="417">
        <f t="shared" si="418"/>
        <v>0</v>
      </c>
      <c r="AE120" s="417">
        <f t="shared" si="418"/>
        <v>0</v>
      </c>
      <c r="AF120" s="417">
        <f t="shared" si="418"/>
        <v>0</v>
      </c>
      <c r="AG120" s="417">
        <f t="shared" si="418"/>
        <v>0</v>
      </c>
      <c r="AH120" s="417">
        <f t="shared" si="418"/>
        <v>0</v>
      </c>
      <c r="AI120" s="417">
        <f t="shared" si="418"/>
        <v>0</v>
      </c>
      <c r="AJ120" s="417">
        <f t="shared" si="418"/>
        <v>0</v>
      </c>
      <c r="AK120" s="417">
        <f t="shared" si="418"/>
        <v>0</v>
      </c>
      <c r="AL120" s="417">
        <f t="shared" si="418"/>
        <v>0</v>
      </c>
      <c r="AM120" s="417">
        <f t="shared" si="418"/>
        <v>0</v>
      </c>
      <c r="AN120" s="417">
        <f t="shared" si="418"/>
        <v>0</v>
      </c>
      <c r="AO120" s="417">
        <f t="shared" si="418"/>
        <v>0</v>
      </c>
      <c r="AP120" s="417">
        <f t="shared" si="418"/>
        <v>0</v>
      </c>
      <c r="AQ120" s="417">
        <f t="shared" si="418"/>
        <v>0</v>
      </c>
      <c r="AR120" s="417">
        <f t="shared" ref="AR120:BW120" si="419">SUM(AR108:AR119)</f>
        <v>0</v>
      </c>
      <c r="AS120" s="417">
        <f t="shared" si="419"/>
        <v>0</v>
      </c>
      <c r="AT120" s="417">
        <f t="shared" si="419"/>
        <v>0</v>
      </c>
      <c r="AU120" s="417">
        <f t="shared" si="419"/>
        <v>0</v>
      </c>
      <c r="AV120" s="417">
        <f t="shared" si="419"/>
        <v>0</v>
      </c>
      <c r="AW120" s="417">
        <f t="shared" si="419"/>
        <v>0</v>
      </c>
      <c r="AX120" s="417">
        <f t="shared" si="419"/>
        <v>22174.686987491885</v>
      </c>
      <c r="AY120" s="417">
        <f t="shared" si="419"/>
        <v>44349.37397498377</v>
      </c>
      <c r="AZ120" s="417">
        <f t="shared" si="419"/>
        <v>68505.80460187509</v>
      </c>
      <c r="BA120" s="417">
        <f t="shared" si="419"/>
        <v>91341.072802500115</v>
      </c>
      <c r="BB120" s="417">
        <f t="shared" si="419"/>
        <v>114176.34100312517</v>
      </c>
      <c r="BC120" s="417">
        <f t="shared" si="419"/>
        <v>137011.60920375018</v>
      </c>
      <c r="BD120" s="417">
        <f t="shared" si="419"/>
        <v>159846.87740437523</v>
      </c>
      <c r="BE120" s="417">
        <f t="shared" si="419"/>
        <v>182682.14560500023</v>
      </c>
      <c r="BF120" s="417">
        <f t="shared" si="419"/>
        <v>205517.41380562529</v>
      </c>
      <c r="BG120" s="417">
        <f t="shared" si="419"/>
        <v>228352.68200625034</v>
      </c>
      <c r="BH120" s="417">
        <f t="shared" si="419"/>
        <v>251187.95020687528</v>
      </c>
      <c r="BI120" s="417">
        <f t="shared" si="419"/>
        <v>280873.79886768787</v>
      </c>
      <c r="BJ120" s="417">
        <f t="shared" si="419"/>
        <v>280873.79886768787</v>
      </c>
      <c r="BK120" s="417">
        <f t="shared" si="419"/>
        <v>280873.79886768787</v>
      </c>
      <c r="BL120" s="417">
        <f t="shared" si="419"/>
        <v>280873.79886768787</v>
      </c>
      <c r="BM120" s="417">
        <f t="shared" si="419"/>
        <v>280873.79886768787</v>
      </c>
      <c r="BN120" s="417">
        <f t="shared" si="419"/>
        <v>280873.79886768787</v>
      </c>
      <c r="BO120" s="417">
        <f t="shared" si="419"/>
        <v>280873.79886768787</v>
      </c>
      <c r="BP120" s="417">
        <f t="shared" si="419"/>
        <v>280873.79886768787</v>
      </c>
      <c r="BQ120" s="417">
        <f t="shared" si="419"/>
        <v>280873.79886768787</v>
      </c>
      <c r="BR120" s="417">
        <f t="shared" si="419"/>
        <v>280873.79886768787</v>
      </c>
      <c r="BS120" s="417">
        <f t="shared" si="419"/>
        <v>280873.79886768787</v>
      </c>
      <c r="BT120" s="417">
        <f t="shared" si="419"/>
        <v>280873.79886768787</v>
      </c>
      <c r="BU120" s="417">
        <f t="shared" si="419"/>
        <v>287895.64383938012</v>
      </c>
      <c r="BV120" s="417">
        <f t="shared" si="419"/>
        <v>287895.64383938012</v>
      </c>
      <c r="BW120" s="417">
        <f t="shared" si="419"/>
        <v>287895.64383938012</v>
      </c>
      <c r="BX120" s="417">
        <f t="shared" ref="BX120:DC120" si="420">SUM(BX108:BX119)</f>
        <v>287895.64383938012</v>
      </c>
      <c r="BY120" s="417">
        <f t="shared" si="420"/>
        <v>287895.64383938012</v>
      </c>
      <c r="BZ120" s="417">
        <f t="shared" si="420"/>
        <v>287895.64383938012</v>
      </c>
      <c r="CA120" s="417">
        <f t="shared" si="420"/>
        <v>287895.64383938012</v>
      </c>
      <c r="CB120" s="417">
        <f t="shared" si="420"/>
        <v>287895.64383938012</v>
      </c>
      <c r="CC120" s="417">
        <f t="shared" si="420"/>
        <v>287895.64383938012</v>
      </c>
      <c r="CD120" s="417">
        <f t="shared" si="420"/>
        <v>287895.64383938012</v>
      </c>
      <c r="CE120" s="417">
        <f t="shared" si="420"/>
        <v>287895.64383938012</v>
      </c>
      <c r="CF120" s="417">
        <f t="shared" si="420"/>
        <v>287895.64383938012</v>
      </c>
      <c r="CG120" s="417">
        <f t="shared" si="420"/>
        <v>295093.03493536456</v>
      </c>
      <c r="CH120" s="417">
        <f t="shared" si="420"/>
        <v>295093.03493536456</v>
      </c>
      <c r="CI120" s="417">
        <f t="shared" si="420"/>
        <v>295093.03493536456</v>
      </c>
      <c r="CJ120" s="417">
        <f t="shared" si="420"/>
        <v>295093.03493536456</v>
      </c>
      <c r="CK120" s="417">
        <f t="shared" si="420"/>
        <v>295093.03493536456</v>
      </c>
      <c r="CL120" s="417">
        <f t="shared" si="420"/>
        <v>295093.03493536456</v>
      </c>
      <c r="CM120" s="417">
        <f t="shared" si="420"/>
        <v>295093.03493536456</v>
      </c>
      <c r="CN120" s="417">
        <f t="shared" si="420"/>
        <v>295093.03493536456</v>
      </c>
      <c r="CO120" s="417">
        <f t="shared" si="420"/>
        <v>295093.03493536456</v>
      </c>
      <c r="CP120" s="417">
        <f t="shared" si="420"/>
        <v>295093.03493536456</v>
      </c>
      <c r="CQ120" s="417">
        <f t="shared" si="420"/>
        <v>295093.03493536456</v>
      </c>
      <c r="CR120" s="417">
        <f t="shared" si="420"/>
        <v>295093.03493536456</v>
      </c>
      <c r="CS120" s="417">
        <f t="shared" si="420"/>
        <v>302470.36080874869</v>
      </c>
      <c r="CT120" s="417">
        <f t="shared" si="420"/>
        <v>302470.36080874869</v>
      </c>
      <c r="CU120" s="417">
        <f t="shared" si="420"/>
        <v>302470.36080874869</v>
      </c>
      <c r="CV120" s="417">
        <f t="shared" si="420"/>
        <v>302470.36080874869</v>
      </c>
      <c r="CW120" s="417">
        <f t="shared" si="420"/>
        <v>302470.36080874869</v>
      </c>
      <c r="CX120" s="417">
        <f t="shared" si="420"/>
        <v>302470.36080874869</v>
      </c>
      <c r="CY120" s="417">
        <f t="shared" si="420"/>
        <v>302470.36080874869</v>
      </c>
      <c r="CZ120" s="417">
        <f t="shared" si="420"/>
        <v>302470.36080874869</v>
      </c>
      <c r="DA120" s="417">
        <f t="shared" si="420"/>
        <v>302470.36080874869</v>
      </c>
      <c r="DB120" s="417">
        <f t="shared" si="420"/>
        <v>302470.36080874869</v>
      </c>
      <c r="DC120" s="417">
        <f t="shared" si="420"/>
        <v>302470.36080874869</v>
      </c>
      <c r="DD120" s="417">
        <f t="shared" ref="DD120:EI120" si="421">SUM(DD108:DD119)</f>
        <v>302470.36080874869</v>
      </c>
      <c r="DE120" s="417">
        <f t="shared" si="421"/>
        <v>310032.11982896726</v>
      </c>
      <c r="DF120" s="417">
        <f t="shared" si="421"/>
        <v>310032.11982896726</v>
      </c>
      <c r="DG120" s="417">
        <f t="shared" si="421"/>
        <v>310032.11982896726</v>
      </c>
      <c r="DH120" s="417">
        <f t="shared" si="421"/>
        <v>310032.11982896726</v>
      </c>
      <c r="DI120" s="417">
        <f t="shared" si="421"/>
        <v>310032.11982896726</v>
      </c>
      <c r="DJ120" s="417">
        <f t="shared" si="421"/>
        <v>310032.11982896726</v>
      </c>
      <c r="DK120" s="417">
        <f t="shared" si="421"/>
        <v>310032.11982896726</v>
      </c>
      <c r="DL120" s="417">
        <f t="shared" si="421"/>
        <v>310032.11982896726</v>
      </c>
      <c r="DM120" s="417">
        <f t="shared" si="421"/>
        <v>310032.11982896726</v>
      </c>
      <c r="DN120" s="417">
        <f t="shared" si="421"/>
        <v>310032.11982896726</v>
      </c>
      <c r="DO120" s="417">
        <f t="shared" si="421"/>
        <v>310032.11982896726</v>
      </c>
      <c r="DP120" s="417">
        <f t="shared" si="421"/>
        <v>310032.11982896726</v>
      </c>
      <c r="DQ120" s="417">
        <f t="shared" si="421"/>
        <v>317782.9228246914</v>
      </c>
      <c r="DR120" s="417">
        <f t="shared" si="421"/>
        <v>317782.9228246914</v>
      </c>
      <c r="DS120" s="417">
        <f t="shared" si="421"/>
        <v>317782.9228246914</v>
      </c>
      <c r="DT120" s="417">
        <f t="shared" si="421"/>
        <v>317782.9228246914</v>
      </c>
      <c r="DU120" s="417">
        <f t="shared" si="421"/>
        <v>317782.9228246914</v>
      </c>
      <c r="DV120" s="417">
        <f t="shared" si="421"/>
        <v>317782.9228246914</v>
      </c>
      <c r="DW120" s="417">
        <f t="shared" si="421"/>
        <v>317782.9228246914</v>
      </c>
      <c r="DX120" s="417">
        <f t="shared" si="421"/>
        <v>317782.9228246914</v>
      </c>
      <c r="DY120" s="417">
        <f t="shared" si="421"/>
        <v>317782.9228246914</v>
      </c>
      <c r="DZ120" s="417">
        <f t="shared" si="421"/>
        <v>317782.9228246914</v>
      </c>
      <c r="EA120" s="417">
        <f t="shared" si="421"/>
        <v>317782.9228246914</v>
      </c>
      <c r="EB120" s="417">
        <f t="shared" si="421"/>
        <v>317782.9228246914</v>
      </c>
      <c r="EC120" s="417">
        <f t="shared" si="421"/>
        <v>325727.49589530873</v>
      </c>
      <c r="ED120" s="417">
        <f t="shared" si="421"/>
        <v>325727.49589530873</v>
      </c>
      <c r="EE120" s="417">
        <f t="shared" si="421"/>
        <v>325727.49589530873</v>
      </c>
      <c r="EF120" s="417">
        <f t="shared" si="421"/>
        <v>325727.49589530873</v>
      </c>
      <c r="EG120" s="417">
        <f t="shared" si="421"/>
        <v>325727.49589530873</v>
      </c>
      <c r="EH120" s="417">
        <f t="shared" si="421"/>
        <v>325727.49589530873</v>
      </c>
      <c r="EI120" s="417">
        <f t="shared" si="421"/>
        <v>325727.49589530873</v>
      </c>
      <c r="EJ120" s="417">
        <f t="shared" ref="EJ120:EN120" si="422">SUM(EJ108:EJ119)</f>
        <v>325727.49589530873</v>
      </c>
      <c r="EK120" s="417">
        <f t="shared" si="422"/>
        <v>325727.49589530873</v>
      </c>
      <c r="EL120" s="417">
        <f t="shared" si="422"/>
        <v>325727.49589530873</v>
      </c>
      <c r="EM120" s="417">
        <f t="shared" si="422"/>
        <v>325727.49589530873</v>
      </c>
      <c r="EN120" s="417">
        <f t="shared" si="422"/>
        <v>325727.49589530873</v>
      </c>
      <c r="EO120" s="208"/>
      <c r="EP120" s="464"/>
      <c r="EQ120" s="465"/>
      <c r="ER120" s="465"/>
      <c r="ES120" s="465"/>
      <c r="ET120" s="465"/>
      <c r="EU120" s="465"/>
      <c r="EV120" s="465"/>
      <c r="EW120" s="465"/>
      <c r="EX120" s="465"/>
      <c r="EY120" s="465"/>
      <c r="EZ120" s="465"/>
      <c r="FA120" s="465"/>
      <c r="FB120" s="465"/>
      <c r="FC120" s="465"/>
      <c r="FD120" s="465"/>
      <c r="FE120" s="465"/>
      <c r="FF120" s="465"/>
      <c r="FG120" s="465"/>
      <c r="FH120" s="465"/>
      <c r="FI120" s="465"/>
      <c r="FJ120" s="465"/>
      <c r="FK120" s="465"/>
      <c r="FL120" s="465"/>
      <c r="FM120" s="465"/>
      <c r="FN120" s="465"/>
      <c r="FO120" s="465"/>
      <c r="FP120" s="465"/>
      <c r="FQ120" s="465"/>
      <c r="FR120" s="465"/>
      <c r="FS120" s="465"/>
      <c r="FT120" s="465"/>
      <c r="FU120" s="465"/>
      <c r="FV120" s="465"/>
      <c r="FW120" s="465"/>
      <c r="FX120" s="465"/>
      <c r="FY120" s="465"/>
      <c r="FZ120" s="465"/>
      <c r="GA120" s="465"/>
      <c r="GB120" s="465"/>
      <c r="GC120" s="465"/>
      <c r="GD120" s="465"/>
      <c r="GE120" s="465"/>
      <c r="GF120" s="465"/>
      <c r="GG120" s="465"/>
      <c r="GH120" s="465"/>
      <c r="GI120" s="465"/>
      <c r="GJ120" s="465"/>
      <c r="GK120" s="465"/>
      <c r="GL120" s="465"/>
      <c r="GM120" s="465"/>
      <c r="GN120" s="465"/>
      <c r="GO120" s="465"/>
      <c r="GP120" s="465"/>
      <c r="GQ120" s="465"/>
      <c r="GR120" s="465"/>
      <c r="GS120" s="465"/>
      <c r="GT120" s="465"/>
      <c r="GU120" s="465"/>
      <c r="GV120" s="465"/>
      <c r="GW120" s="465"/>
      <c r="GX120" s="465"/>
      <c r="GY120" s="465"/>
      <c r="GZ120" s="465"/>
      <c r="HA120" s="465"/>
      <c r="HB120" s="465"/>
      <c r="HC120" s="465"/>
      <c r="HD120" s="465"/>
      <c r="HE120" s="465"/>
      <c r="HF120" s="465"/>
      <c r="HG120" s="465"/>
      <c r="HH120" s="465"/>
      <c r="HI120" s="465"/>
      <c r="HJ120" s="465"/>
      <c r="HK120" s="465"/>
      <c r="HL120" s="465"/>
      <c r="HM120" s="465"/>
      <c r="HN120" s="465"/>
      <c r="HO120" s="465"/>
      <c r="HP120" s="465"/>
      <c r="HQ120" s="465"/>
      <c r="HR120" s="465"/>
      <c r="HS120" s="465"/>
      <c r="HT120" s="465"/>
      <c r="HU120" s="465"/>
      <c r="HV120" s="465"/>
      <c r="HW120" s="465"/>
      <c r="HX120" s="465"/>
      <c r="HY120" s="465"/>
      <c r="HZ120" s="465"/>
      <c r="IA120" s="465"/>
      <c r="IB120" s="465"/>
      <c r="IC120" s="465"/>
      <c r="ID120" s="465"/>
      <c r="IE120" s="465"/>
      <c r="IF120" s="465"/>
      <c r="IG120" s="465"/>
      <c r="IH120" s="465"/>
      <c r="II120" s="465"/>
      <c r="IJ120" s="465"/>
      <c r="IK120" s="465"/>
      <c r="IL120" s="465"/>
      <c r="IM120" s="465"/>
      <c r="IN120" s="465"/>
      <c r="IO120" s="465"/>
      <c r="IP120" s="465"/>
      <c r="IQ120" s="465"/>
      <c r="IR120" s="465"/>
      <c r="IS120" s="465"/>
      <c r="IT120" s="465"/>
      <c r="IU120" s="465"/>
      <c r="IV120" s="465"/>
      <c r="IW120" s="465"/>
      <c r="IX120" s="465"/>
      <c r="IY120" s="465"/>
      <c r="IZ120" s="465"/>
      <c r="JA120" s="465"/>
      <c r="JB120" s="465"/>
      <c r="JC120" s="465"/>
      <c r="JD120" s="465"/>
      <c r="JE120" s="465"/>
      <c r="JF120" s="465"/>
      <c r="JG120" s="465"/>
      <c r="JH120" s="465"/>
      <c r="JI120" s="465"/>
      <c r="JJ120" s="465"/>
      <c r="JK120" s="465"/>
      <c r="JL120" s="465"/>
      <c r="JM120" s="465"/>
      <c r="JN120" s="465"/>
      <c r="JO120" s="465"/>
      <c r="JP120" s="465"/>
      <c r="JQ120" s="465"/>
      <c r="JR120" s="465"/>
      <c r="JS120" s="465"/>
      <c r="JT120" s="465"/>
      <c r="JU120" s="465"/>
      <c r="JV120" s="465"/>
      <c r="JW120" s="465"/>
      <c r="JX120" s="20"/>
      <c r="JY120"/>
      <c r="JZ120" s="466"/>
      <c r="KA120" s="466"/>
      <c r="KB120" s="466"/>
      <c r="KC120" s="466"/>
      <c r="KD120" s="466"/>
      <c r="KE120" s="466"/>
      <c r="KF120" s="466"/>
      <c r="KG120" s="466"/>
      <c r="KH120" s="466"/>
      <c r="KI120" s="466"/>
      <c r="KJ120" s="466"/>
      <c r="KK120" s="466"/>
      <c r="KL120" s="466"/>
      <c r="KM120" s="466"/>
      <c r="KN120" s="466"/>
      <c r="KO120" s="466"/>
      <c r="KP120" s="466"/>
      <c r="KQ120" s="466"/>
      <c r="KR120" s="466"/>
      <c r="KS120" s="466"/>
      <c r="KT120" s="466"/>
      <c r="KU120" s="466"/>
      <c r="KV120" s="466"/>
      <c r="KW120" s="466"/>
      <c r="KX120" s="466"/>
      <c r="KY120" s="466"/>
      <c r="KZ120" s="466"/>
      <c r="LA120" s="466"/>
      <c r="LB120" s="466"/>
      <c r="LC120" s="466"/>
      <c r="LD120" s="466"/>
      <c r="LE120" s="466"/>
      <c r="LF120" s="466"/>
      <c r="LG120" s="466"/>
      <c r="LH120" s="466"/>
      <c r="LI120" s="466"/>
      <c r="LJ120" s="466"/>
      <c r="LK120" s="466"/>
      <c r="LL120" s="466"/>
      <c r="LM120" s="466"/>
      <c r="LN120" s="466"/>
      <c r="LO120" s="466"/>
      <c r="LP120" s="466"/>
      <c r="LQ120" s="466"/>
      <c r="LR120" s="466"/>
      <c r="LS120" s="466"/>
      <c r="LT120" s="466"/>
      <c r="LU120" s="466"/>
      <c r="LV120" s="466"/>
      <c r="LW120" s="466"/>
      <c r="LX120" s="466"/>
      <c r="LY120" s="466"/>
      <c r="LZ120" s="466"/>
      <c r="MA120" s="466"/>
      <c r="MB120" s="466"/>
      <c r="MC120" s="466"/>
      <c r="MD120" s="466"/>
      <c r="ME120" s="466"/>
      <c r="MF120" s="466"/>
      <c r="MG120" s="466"/>
      <c r="MH120" s="466"/>
      <c r="MI120" s="466"/>
      <c r="MJ120" s="466"/>
      <c r="MK120" s="466"/>
      <c r="ML120" s="466"/>
      <c r="MM120" s="466"/>
      <c r="MN120" s="466"/>
      <c r="MO120" s="466"/>
      <c r="MP120" s="466"/>
      <c r="MQ120" s="466"/>
      <c r="MR120" s="466"/>
      <c r="MS120" s="466"/>
      <c r="MT120" s="466"/>
      <c r="MU120" s="466"/>
      <c r="MV120" s="466"/>
      <c r="MW120" s="466"/>
      <c r="MX120" s="466"/>
      <c r="MY120" s="466"/>
      <c r="MZ120" s="466"/>
      <c r="NA120" s="466"/>
      <c r="NB120" s="466"/>
      <c r="NC120" s="466"/>
      <c r="ND120" s="466"/>
      <c r="NE120" s="466"/>
      <c r="NF120" s="466"/>
      <c r="NG120" s="466"/>
      <c r="NH120" s="466"/>
      <c r="NI120" s="466"/>
      <c r="NJ120" s="466"/>
      <c r="NK120" s="466"/>
      <c r="NL120" s="466"/>
      <c r="NM120" s="466"/>
      <c r="NN120" s="466"/>
      <c r="NO120" s="466"/>
      <c r="NP120" s="466"/>
      <c r="NQ120" s="466"/>
      <c r="NR120" s="466"/>
      <c r="NS120" s="466"/>
      <c r="NT120" s="466"/>
      <c r="NU120" s="466"/>
      <c r="NV120" s="466"/>
      <c r="NW120" s="466"/>
      <c r="NX120" s="466"/>
      <c r="NY120" s="466"/>
      <c r="NZ120" s="466"/>
      <c r="OA120" s="466"/>
      <c r="OB120" s="466"/>
      <c r="OC120" s="466"/>
      <c r="OD120" s="466"/>
      <c r="OE120" s="466"/>
      <c r="OF120" s="466"/>
      <c r="OG120" s="466"/>
      <c r="OH120" s="466"/>
      <c r="OI120" s="466"/>
      <c r="OJ120" s="466"/>
      <c r="OK120" s="466"/>
      <c r="OL120" s="466"/>
      <c r="OM120" s="466"/>
      <c r="ON120" s="466"/>
      <c r="OO120" s="466"/>
      <c r="OP120" s="466"/>
      <c r="OQ120" s="466"/>
      <c r="OR120" s="466"/>
      <c r="OS120" s="466"/>
      <c r="OT120" s="466"/>
      <c r="OU120" s="466"/>
      <c r="OV120" s="466"/>
      <c r="OW120" s="466"/>
      <c r="OX120" s="466"/>
      <c r="OY120" s="466"/>
      <c r="OZ120" s="466"/>
      <c r="PA120" s="466"/>
      <c r="PB120" s="466"/>
      <c r="PC120" s="466"/>
      <c r="PD120" s="466"/>
      <c r="PE120" s="466"/>
      <c r="PF120" s="466"/>
      <c r="PG120" s="466"/>
      <c r="PH120" s="466"/>
    </row>
    <row r="121" spans="1:424" x14ac:dyDescent="0.35">
      <c r="A121"/>
      <c r="B121" s="475"/>
      <c r="C121" s="41"/>
      <c r="D121" s="41"/>
      <c r="E121" s="46"/>
      <c r="F121" s="134"/>
      <c r="G121" s="38"/>
      <c r="H121" s="38"/>
      <c r="I121" s="150"/>
      <c r="J121"/>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c r="CE121" s="75"/>
      <c r="CF121" s="75"/>
      <c r="CG121" s="75"/>
      <c r="CH121" s="75"/>
      <c r="CI121" s="75"/>
      <c r="CJ121" s="75"/>
      <c r="CK121" s="75"/>
      <c r="CL121" s="75"/>
      <c r="CM121" s="75"/>
      <c r="CN121" s="75"/>
      <c r="CO121" s="75"/>
      <c r="CP121" s="75"/>
      <c r="CQ121" s="75"/>
      <c r="CR121" s="75"/>
      <c r="CS121" s="75"/>
      <c r="CT121" s="75"/>
      <c r="CU121" s="75"/>
      <c r="CV121" s="75"/>
      <c r="CW121" s="75"/>
      <c r="CX121" s="75"/>
      <c r="CY121" s="75"/>
      <c r="CZ121" s="75"/>
      <c r="DA121" s="75"/>
      <c r="DB121" s="75"/>
      <c r="DC121" s="75"/>
      <c r="DD121" s="75"/>
      <c r="DE121" s="75"/>
      <c r="DF121" s="75"/>
      <c r="DG121" s="75"/>
      <c r="DH121" s="75"/>
      <c r="DI121" s="75"/>
      <c r="DJ121" s="75"/>
      <c r="DK121" s="75"/>
      <c r="DL121" s="75"/>
      <c r="DM121" s="75"/>
      <c r="DN121" s="75"/>
      <c r="DO121" s="75"/>
      <c r="DP121" s="75"/>
      <c r="DQ121" s="75"/>
      <c r="DR121" s="75"/>
      <c r="DS121" s="75"/>
      <c r="DT121" s="75"/>
      <c r="DU121" s="75"/>
      <c r="DV121" s="75"/>
      <c r="DW121" s="75"/>
      <c r="DX121" s="75"/>
      <c r="DY121" s="75"/>
      <c r="DZ121" s="75"/>
      <c r="EA121" s="75"/>
      <c r="EB121" s="75"/>
      <c r="EC121" s="75"/>
      <c r="ED121" s="75"/>
      <c r="EE121" s="75"/>
      <c r="EF121" s="75"/>
      <c r="EG121" s="75"/>
      <c r="EH121" s="75"/>
      <c r="EI121" s="75"/>
      <c r="EJ121" s="75"/>
      <c r="EK121" s="75"/>
      <c r="EL121" s="75"/>
      <c r="EM121" s="75"/>
      <c r="EN121" s="75"/>
      <c r="EO121" s="208"/>
      <c r="EP121" s="464"/>
      <c r="EQ121" s="465"/>
      <c r="ER121" s="465"/>
      <c r="ES121" s="465"/>
      <c r="ET121" s="465"/>
      <c r="EU121" s="465"/>
      <c r="EV121" s="465"/>
      <c r="EW121" s="465"/>
      <c r="EX121" s="465"/>
      <c r="EY121" s="465"/>
      <c r="EZ121" s="465"/>
      <c r="FA121" s="465"/>
      <c r="FB121" s="465"/>
      <c r="FC121" s="465"/>
      <c r="FD121" s="465"/>
      <c r="FE121" s="465"/>
      <c r="FF121" s="465"/>
      <c r="FG121" s="465"/>
      <c r="FH121" s="465"/>
      <c r="FI121" s="465"/>
      <c r="FJ121" s="465"/>
      <c r="FK121" s="465"/>
      <c r="FL121" s="465"/>
      <c r="FM121" s="465"/>
      <c r="FN121" s="465"/>
      <c r="FO121" s="465"/>
      <c r="FP121" s="465"/>
      <c r="FQ121" s="465"/>
      <c r="FR121" s="465"/>
      <c r="FS121" s="465"/>
      <c r="FT121" s="465"/>
      <c r="FU121" s="465"/>
      <c r="FV121" s="465"/>
      <c r="FW121" s="465"/>
      <c r="FX121" s="465"/>
      <c r="FY121" s="465"/>
      <c r="FZ121" s="465"/>
      <c r="GA121" s="465"/>
      <c r="GB121" s="465"/>
      <c r="GC121" s="465"/>
      <c r="GD121" s="465"/>
      <c r="GE121" s="465"/>
      <c r="GF121" s="465"/>
      <c r="GG121" s="465"/>
      <c r="GH121" s="465"/>
      <c r="GI121" s="465"/>
      <c r="GJ121" s="465"/>
      <c r="GK121" s="465"/>
      <c r="GL121" s="465"/>
      <c r="GM121" s="465"/>
      <c r="GN121" s="465"/>
      <c r="GO121" s="465"/>
      <c r="GP121" s="465"/>
      <c r="GQ121" s="465"/>
      <c r="GR121" s="465"/>
      <c r="GS121" s="465"/>
      <c r="GT121" s="465"/>
      <c r="GU121" s="465"/>
      <c r="GV121" s="465"/>
      <c r="GW121" s="465"/>
      <c r="GX121" s="465"/>
      <c r="GY121" s="465"/>
      <c r="GZ121" s="465"/>
      <c r="HA121" s="465"/>
      <c r="HB121" s="465"/>
      <c r="HC121" s="465"/>
      <c r="HD121" s="465"/>
      <c r="HE121" s="465"/>
      <c r="HF121" s="465"/>
      <c r="HG121" s="465"/>
      <c r="HH121" s="465"/>
      <c r="HI121" s="465"/>
      <c r="HJ121" s="465"/>
      <c r="HK121" s="465"/>
      <c r="HL121" s="465"/>
      <c r="HM121" s="465"/>
      <c r="HN121" s="465"/>
      <c r="HO121" s="465"/>
      <c r="HP121" s="465"/>
      <c r="HQ121" s="465"/>
      <c r="HR121" s="465"/>
      <c r="HS121" s="465"/>
      <c r="HT121" s="465"/>
      <c r="HU121" s="465"/>
      <c r="HV121" s="465"/>
      <c r="HW121" s="465"/>
      <c r="HX121" s="465"/>
      <c r="HY121" s="465"/>
      <c r="HZ121" s="465"/>
      <c r="IA121" s="465"/>
      <c r="IB121" s="465"/>
      <c r="IC121" s="465"/>
      <c r="ID121" s="465"/>
      <c r="IE121" s="465"/>
      <c r="IF121" s="465"/>
      <c r="IG121" s="465"/>
      <c r="IH121" s="465"/>
      <c r="II121" s="465"/>
      <c r="IJ121" s="465"/>
      <c r="IK121" s="465"/>
      <c r="IL121" s="465"/>
      <c r="IM121" s="465"/>
      <c r="IN121" s="465"/>
      <c r="IO121" s="465"/>
      <c r="IP121" s="465"/>
      <c r="IQ121" s="465"/>
      <c r="IR121" s="465"/>
      <c r="IS121" s="465"/>
      <c r="IT121" s="465"/>
      <c r="IU121" s="465"/>
      <c r="IV121" s="465"/>
      <c r="IW121" s="465"/>
      <c r="IX121" s="465"/>
      <c r="IY121" s="465"/>
      <c r="IZ121" s="465"/>
      <c r="JA121" s="465"/>
      <c r="JB121" s="465"/>
      <c r="JC121" s="465"/>
      <c r="JD121" s="465"/>
      <c r="JE121" s="465"/>
      <c r="JF121" s="465"/>
      <c r="JG121" s="465"/>
      <c r="JH121" s="465"/>
      <c r="JI121" s="465"/>
      <c r="JJ121" s="465"/>
      <c r="JK121" s="465"/>
      <c r="JL121" s="465"/>
      <c r="JM121" s="465"/>
      <c r="JN121" s="465"/>
      <c r="JO121" s="465"/>
      <c r="JP121" s="465"/>
      <c r="JQ121" s="465"/>
      <c r="JR121" s="465"/>
      <c r="JS121" s="465"/>
      <c r="JT121" s="465"/>
      <c r="JU121" s="465"/>
      <c r="JV121" s="465"/>
      <c r="JW121" s="465"/>
      <c r="JX121" s="20"/>
      <c r="JY121"/>
      <c r="JZ121" s="466"/>
      <c r="KA121" s="466"/>
      <c r="KB121" s="466"/>
      <c r="KC121" s="466"/>
      <c r="KD121" s="466"/>
      <c r="KE121" s="466"/>
      <c r="KF121" s="466"/>
      <c r="KG121" s="466"/>
      <c r="KH121" s="466"/>
      <c r="KI121" s="466"/>
      <c r="KJ121" s="466"/>
      <c r="KK121" s="466"/>
      <c r="KL121" s="466"/>
      <c r="KM121" s="466"/>
      <c r="KN121" s="466"/>
      <c r="KO121" s="466"/>
      <c r="KP121" s="466"/>
      <c r="KQ121" s="466"/>
      <c r="KR121" s="466"/>
      <c r="KS121" s="466"/>
      <c r="KT121" s="466"/>
      <c r="KU121" s="466"/>
      <c r="KV121" s="466"/>
      <c r="KW121" s="466"/>
      <c r="KX121" s="466"/>
      <c r="KY121" s="466"/>
      <c r="KZ121" s="466"/>
      <c r="LA121" s="466"/>
      <c r="LB121" s="466"/>
      <c r="LC121" s="466"/>
      <c r="LD121" s="466"/>
      <c r="LE121" s="466"/>
      <c r="LF121" s="466"/>
      <c r="LG121" s="466"/>
      <c r="LH121" s="466"/>
      <c r="LI121" s="466"/>
      <c r="LJ121" s="466"/>
      <c r="LK121" s="466"/>
      <c r="LL121" s="466"/>
      <c r="LM121" s="466"/>
      <c r="LN121" s="466"/>
      <c r="LO121" s="466"/>
      <c r="LP121" s="466"/>
      <c r="LQ121" s="466"/>
      <c r="LR121" s="466"/>
      <c r="LS121" s="466"/>
      <c r="LT121" s="466"/>
      <c r="LU121" s="466"/>
      <c r="LV121" s="466"/>
      <c r="LW121" s="466"/>
      <c r="LX121" s="466"/>
      <c r="LY121" s="466"/>
      <c r="LZ121" s="466"/>
      <c r="MA121" s="466"/>
      <c r="MB121" s="466"/>
      <c r="MC121" s="466"/>
      <c r="MD121" s="466"/>
      <c r="ME121" s="466"/>
      <c r="MF121" s="466"/>
      <c r="MG121" s="466"/>
      <c r="MH121" s="466"/>
      <c r="MI121" s="466"/>
      <c r="MJ121" s="466"/>
      <c r="MK121" s="466"/>
      <c r="ML121" s="466"/>
      <c r="MM121" s="466"/>
      <c r="MN121" s="466"/>
      <c r="MO121" s="466"/>
      <c r="MP121" s="466"/>
      <c r="MQ121" s="466"/>
      <c r="MR121" s="466"/>
      <c r="MS121" s="466"/>
      <c r="MT121" s="466"/>
      <c r="MU121" s="466"/>
      <c r="MV121" s="466"/>
      <c r="MW121" s="466"/>
      <c r="MX121" s="466"/>
      <c r="MY121" s="466"/>
      <c r="MZ121" s="466"/>
      <c r="NA121" s="466"/>
      <c r="NB121" s="466"/>
      <c r="NC121" s="466"/>
      <c r="ND121" s="466"/>
      <c r="NE121" s="466"/>
      <c r="NF121" s="466"/>
      <c r="NG121" s="466"/>
      <c r="NH121" s="466"/>
      <c r="NI121" s="466"/>
      <c r="NJ121" s="466"/>
      <c r="NK121" s="466"/>
      <c r="NL121" s="466"/>
      <c r="NM121" s="466"/>
      <c r="NN121" s="466"/>
      <c r="NO121" s="466"/>
      <c r="NP121" s="466"/>
      <c r="NQ121" s="466"/>
      <c r="NR121" s="466"/>
      <c r="NS121" s="466"/>
      <c r="NT121" s="466"/>
      <c r="NU121" s="466"/>
      <c r="NV121" s="466"/>
      <c r="NW121" s="466"/>
      <c r="NX121" s="466"/>
      <c r="NY121" s="466"/>
      <c r="NZ121" s="466"/>
      <c r="OA121" s="466"/>
      <c r="OB121" s="466"/>
      <c r="OC121" s="466"/>
      <c r="OD121" s="466"/>
      <c r="OE121" s="466"/>
      <c r="OF121" s="466"/>
      <c r="OG121" s="466"/>
      <c r="OH121" s="466"/>
      <c r="OI121" s="466"/>
      <c r="OJ121" s="466"/>
      <c r="OK121" s="466"/>
      <c r="OL121" s="466"/>
      <c r="OM121" s="466"/>
      <c r="ON121" s="466"/>
      <c r="OO121" s="466"/>
      <c r="OP121" s="466"/>
      <c r="OQ121" s="466"/>
      <c r="OR121" s="466"/>
      <c r="OS121" s="466"/>
      <c r="OT121" s="466"/>
      <c r="OU121" s="466"/>
      <c r="OV121" s="466"/>
      <c r="OW121" s="466"/>
      <c r="OX121" s="466"/>
      <c r="OY121" s="466"/>
      <c r="OZ121" s="466"/>
      <c r="PA121" s="466"/>
      <c r="PB121" s="466"/>
      <c r="PC121" s="466"/>
      <c r="PD121" s="466"/>
      <c r="PE121" s="466"/>
      <c r="PF121" s="466"/>
      <c r="PG121" s="466"/>
      <c r="PH121" s="466"/>
    </row>
    <row r="122" spans="1:424" x14ac:dyDescent="0.35">
      <c r="A122"/>
      <c r="B122" s="427" t="s">
        <v>283</v>
      </c>
      <c r="C122" s="467"/>
      <c r="D122" s="468" t="s">
        <v>132</v>
      </c>
      <c r="E122" s="412" t="s">
        <v>284</v>
      </c>
      <c r="F122" s="412" t="s">
        <v>285</v>
      </c>
      <c r="G122" s="412" t="s">
        <v>286</v>
      </c>
      <c r="H122" s="151" t="str">
        <f>"/"&amp;Unit_Type&amp;"/YR"</f>
        <v>/M2/YR</v>
      </c>
      <c r="I122" s="149" t="s">
        <v>275</v>
      </c>
      <c r="J122"/>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c r="CE122" s="75"/>
      <c r="CF122" s="75"/>
      <c r="CG122" s="75"/>
      <c r="CH122" s="75"/>
      <c r="CI122" s="75"/>
      <c r="CJ122" s="75"/>
      <c r="CK122" s="75"/>
      <c r="CL122" s="75"/>
      <c r="CM122" s="75"/>
      <c r="CN122" s="75"/>
      <c r="CO122" s="75"/>
      <c r="CP122" s="75"/>
      <c r="CQ122" s="75"/>
      <c r="CR122" s="75"/>
      <c r="CS122" s="75"/>
      <c r="CT122" s="75"/>
      <c r="CU122" s="75"/>
      <c r="CV122" s="75"/>
      <c r="CW122" s="75"/>
      <c r="CX122" s="75"/>
      <c r="CY122" s="75"/>
      <c r="CZ122" s="75"/>
      <c r="DA122" s="75"/>
      <c r="DB122" s="75"/>
      <c r="DC122" s="75"/>
      <c r="DD122" s="75"/>
      <c r="DE122" s="75"/>
      <c r="DF122" s="75"/>
      <c r="DG122" s="75"/>
      <c r="DH122" s="75"/>
      <c r="DI122" s="75"/>
      <c r="DJ122" s="75"/>
      <c r="DK122" s="75"/>
      <c r="DL122" s="75"/>
      <c r="DM122" s="75"/>
      <c r="DN122" s="75"/>
      <c r="DO122" s="75"/>
      <c r="DP122" s="75"/>
      <c r="DQ122" s="75"/>
      <c r="DR122" s="75"/>
      <c r="DS122" s="75"/>
      <c r="DT122" s="75"/>
      <c r="DU122" s="75"/>
      <c r="DV122" s="75"/>
      <c r="DW122" s="75"/>
      <c r="DX122" s="75"/>
      <c r="DY122" s="75"/>
      <c r="DZ122" s="75"/>
      <c r="EA122" s="75"/>
      <c r="EB122" s="75"/>
      <c r="EC122" s="75"/>
      <c r="ED122" s="75"/>
      <c r="EE122" s="75"/>
      <c r="EF122" s="75"/>
      <c r="EG122" s="75"/>
      <c r="EH122" s="75"/>
      <c r="EI122" s="75"/>
      <c r="EJ122" s="75"/>
      <c r="EK122" s="75"/>
      <c r="EL122" s="75"/>
      <c r="EM122" s="75"/>
      <c r="EN122" s="75"/>
      <c r="EO122" s="208"/>
      <c r="EP122" s="464"/>
      <c r="EQ122" s="465"/>
      <c r="ER122" s="465"/>
      <c r="ES122" s="465"/>
      <c r="ET122" s="465"/>
      <c r="EU122" s="465"/>
      <c r="EV122" s="465"/>
      <c r="EW122" s="465"/>
      <c r="EX122" s="465"/>
      <c r="EY122" s="465"/>
      <c r="EZ122" s="465"/>
      <c r="FA122" s="465"/>
      <c r="FB122" s="465"/>
      <c r="FC122" s="465"/>
      <c r="FD122" s="465"/>
      <c r="FE122" s="465"/>
      <c r="FF122" s="465"/>
      <c r="FG122" s="465"/>
      <c r="FH122" s="465"/>
      <c r="FI122" s="465"/>
      <c r="FJ122" s="465"/>
      <c r="FK122" s="465"/>
      <c r="FL122" s="465"/>
      <c r="FM122" s="465"/>
      <c r="FN122" s="465"/>
      <c r="FO122" s="465"/>
      <c r="FP122" s="465"/>
      <c r="FQ122" s="465"/>
      <c r="FR122" s="465"/>
      <c r="FS122" s="465"/>
      <c r="FT122" s="465"/>
      <c r="FU122" s="465"/>
      <c r="FV122" s="465"/>
      <c r="FW122" s="465"/>
      <c r="FX122" s="465"/>
      <c r="FY122" s="465"/>
      <c r="FZ122" s="465"/>
      <c r="GA122" s="465"/>
      <c r="GB122" s="465"/>
      <c r="GC122" s="465"/>
      <c r="GD122" s="465"/>
      <c r="GE122" s="465"/>
      <c r="GF122" s="465"/>
      <c r="GG122" s="465"/>
      <c r="GH122" s="465"/>
      <c r="GI122" s="465"/>
      <c r="GJ122" s="465"/>
      <c r="GK122" s="465"/>
      <c r="GL122" s="465"/>
      <c r="GM122" s="465"/>
      <c r="GN122" s="465"/>
      <c r="GO122" s="465"/>
      <c r="GP122" s="465"/>
      <c r="GQ122" s="465"/>
      <c r="GR122" s="465"/>
      <c r="GS122" s="465"/>
      <c r="GT122" s="465"/>
      <c r="GU122" s="465"/>
      <c r="GV122" s="465"/>
      <c r="GW122" s="465"/>
      <c r="GX122" s="465"/>
      <c r="GY122" s="465"/>
      <c r="GZ122" s="465"/>
      <c r="HA122" s="465"/>
      <c r="HB122" s="465"/>
      <c r="HC122" s="465"/>
      <c r="HD122" s="465"/>
      <c r="HE122" s="465"/>
      <c r="HF122" s="465"/>
      <c r="HG122" s="465"/>
      <c r="HH122" s="465"/>
      <c r="HI122" s="465"/>
      <c r="HJ122" s="465"/>
      <c r="HK122" s="465"/>
      <c r="HL122" s="465"/>
      <c r="HM122" s="465"/>
      <c r="HN122" s="465"/>
      <c r="HO122" s="465"/>
      <c r="HP122" s="465"/>
      <c r="HQ122" s="465"/>
      <c r="HR122" s="465"/>
      <c r="HS122" s="465"/>
      <c r="HT122" s="465"/>
      <c r="HU122" s="465"/>
      <c r="HV122" s="465"/>
      <c r="HW122" s="465"/>
      <c r="HX122" s="465"/>
      <c r="HY122" s="465"/>
      <c r="HZ122" s="465"/>
      <c r="IA122" s="465"/>
      <c r="IB122" s="465"/>
      <c r="IC122" s="465"/>
      <c r="ID122" s="465"/>
      <c r="IE122" s="465"/>
      <c r="IF122" s="465"/>
      <c r="IG122" s="465"/>
      <c r="IH122" s="465"/>
      <c r="II122" s="465"/>
      <c r="IJ122" s="465"/>
      <c r="IK122" s="465"/>
      <c r="IL122" s="465"/>
      <c r="IM122" s="465"/>
      <c r="IN122" s="465"/>
      <c r="IO122" s="465"/>
      <c r="IP122" s="465"/>
      <c r="IQ122" s="465"/>
      <c r="IR122" s="465"/>
      <c r="IS122" s="465"/>
      <c r="IT122" s="465"/>
      <c r="IU122" s="465"/>
      <c r="IV122" s="465"/>
      <c r="IW122" s="465"/>
      <c r="IX122" s="465"/>
      <c r="IY122" s="465"/>
      <c r="IZ122" s="465"/>
      <c r="JA122" s="465"/>
      <c r="JB122" s="465"/>
      <c r="JC122" s="465"/>
      <c r="JD122" s="465"/>
      <c r="JE122" s="465"/>
      <c r="JF122" s="465"/>
      <c r="JG122" s="465"/>
      <c r="JH122" s="465"/>
      <c r="JI122" s="465"/>
      <c r="JJ122" s="465"/>
      <c r="JK122" s="465"/>
      <c r="JL122" s="465"/>
      <c r="JM122" s="465"/>
      <c r="JN122" s="465"/>
      <c r="JO122" s="465"/>
      <c r="JP122" s="465"/>
      <c r="JQ122" s="465"/>
      <c r="JR122" s="465"/>
      <c r="JS122" s="465"/>
      <c r="JT122" s="465"/>
      <c r="JU122" s="465"/>
      <c r="JV122" s="465"/>
      <c r="JW122" s="465"/>
      <c r="JX122" s="20"/>
      <c r="JY122"/>
      <c r="JZ122" s="466"/>
      <c r="KA122" s="466"/>
      <c r="KB122" s="466"/>
      <c r="KC122" s="466"/>
      <c r="KD122" s="466"/>
      <c r="KE122" s="466"/>
      <c r="KF122" s="466"/>
      <c r="KG122" s="466"/>
      <c r="KH122" s="466"/>
      <c r="KI122" s="466"/>
      <c r="KJ122" s="466"/>
      <c r="KK122" s="466"/>
      <c r="KL122" s="466"/>
      <c r="KM122" s="466"/>
      <c r="KN122" s="466"/>
      <c r="KO122" s="466"/>
      <c r="KP122" s="466"/>
      <c r="KQ122" s="466"/>
      <c r="KR122" s="466"/>
      <c r="KS122" s="466"/>
      <c r="KT122" s="466"/>
      <c r="KU122" s="466"/>
      <c r="KV122" s="466"/>
      <c r="KW122" s="466"/>
      <c r="KX122" s="466"/>
      <c r="KY122" s="466"/>
      <c r="KZ122" s="466"/>
      <c r="LA122" s="466"/>
      <c r="LB122" s="466"/>
      <c r="LC122" s="466"/>
      <c r="LD122" s="466"/>
      <c r="LE122" s="466"/>
      <c r="LF122" s="466"/>
      <c r="LG122" s="466"/>
      <c r="LH122" s="466"/>
      <c r="LI122" s="466"/>
      <c r="LJ122" s="466"/>
      <c r="LK122" s="466"/>
      <c r="LL122" s="466"/>
      <c r="LM122" s="466"/>
      <c r="LN122" s="466"/>
      <c r="LO122" s="466"/>
      <c r="LP122" s="466"/>
      <c r="LQ122" s="466"/>
      <c r="LR122" s="466"/>
      <c r="LS122" s="466"/>
      <c r="LT122" s="466"/>
      <c r="LU122" s="466"/>
      <c r="LV122" s="466"/>
      <c r="LW122" s="466"/>
      <c r="LX122" s="466"/>
      <c r="LY122" s="466"/>
      <c r="LZ122" s="466"/>
      <c r="MA122" s="466"/>
      <c r="MB122" s="466"/>
      <c r="MC122" s="466"/>
      <c r="MD122" s="466"/>
      <c r="ME122" s="466"/>
      <c r="MF122" s="466"/>
      <c r="MG122" s="466"/>
      <c r="MH122" s="466"/>
      <c r="MI122" s="466"/>
      <c r="MJ122" s="466"/>
      <c r="MK122" s="466"/>
      <c r="ML122" s="466"/>
      <c r="MM122" s="466"/>
      <c r="MN122" s="466"/>
      <c r="MO122" s="466"/>
      <c r="MP122" s="466"/>
      <c r="MQ122" s="466"/>
      <c r="MR122" s="466"/>
      <c r="MS122" s="466"/>
      <c r="MT122" s="466"/>
      <c r="MU122" s="466"/>
      <c r="MV122" s="466"/>
      <c r="MW122" s="466"/>
      <c r="MX122" s="466"/>
      <c r="MY122" s="466"/>
      <c r="MZ122" s="466"/>
      <c r="NA122" s="466"/>
      <c r="NB122" s="466"/>
      <c r="NC122" s="466"/>
      <c r="ND122" s="466"/>
      <c r="NE122" s="466"/>
      <c r="NF122" s="466"/>
      <c r="NG122" s="466"/>
      <c r="NH122" s="466"/>
      <c r="NI122" s="466"/>
      <c r="NJ122" s="466"/>
      <c r="NK122" s="466"/>
      <c r="NL122" s="466"/>
      <c r="NM122" s="466"/>
      <c r="NN122" s="466"/>
      <c r="NO122" s="466"/>
      <c r="NP122" s="466"/>
      <c r="NQ122" s="466"/>
      <c r="NR122" s="466"/>
      <c r="NS122" s="466"/>
      <c r="NT122" s="466"/>
      <c r="NU122" s="466"/>
      <c r="NV122" s="466"/>
      <c r="NW122" s="466"/>
      <c r="NX122" s="466"/>
      <c r="NY122" s="466"/>
      <c r="NZ122" s="466"/>
      <c r="OA122" s="466"/>
      <c r="OB122" s="466"/>
      <c r="OC122" s="466"/>
      <c r="OD122" s="466"/>
      <c r="OE122" s="466"/>
      <c r="OF122" s="466"/>
      <c r="OG122" s="466"/>
      <c r="OH122" s="466"/>
      <c r="OI122" s="466"/>
      <c r="OJ122" s="466"/>
      <c r="OK122" s="466"/>
      <c r="OL122" s="466"/>
      <c r="OM122" s="466"/>
      <c r="ON122" s="466"/>
      <c r="OO122" s="466"/>
      <c r="OP122" s="466"/>
      <c r="OQ122" s="466"/>
      <c r="OR122" s="466"/>
      <c r="OS122" s="466"/>
      <c r="OT122" s="466"/>
      <c r="OU122" s="466"/>
      <c r="OV122" s="466"/>
      <c r="OW122" s="466"/>
      <c r="OX122" s="466"/>
      <c r="OY122" s="466"/>
      <c r="OZ122" s="466"/>
      <c r="PA122" s="466"/>
      <c r="PB122" s="466"/>
      <c r="PC122" s="466"/>
      <c r="PD122" s="466"/>
      <c r="PE122" s="466"/>
      <c r="PF122" s="466"/>
      <c r="PG122" s="466"/>
      <c r="PH122" s="466"/>
    </row>
    <row r="123" spans="1:424" x14ac:dyDescent="0.35">
      <c r="A123"/>
      <c r="B123" s="419" t="s">
        <v>287</v>
      </c>
      <c r="C123" s="414">
        <f>Timing_Operation_Begin_Month</f>
        <v>37</v>
      </c>
      <c r="D123" s="257">
        <f>$D$88</f>
        <v>37</v>
      </c>
      <c r="E123" s="476">
        <v>0</v>
      </c>
      <c r="F123" s="43">
        <f>$F$134</f>
        <v>2.5000000000000001E-2</v>
      </c>
      <c r="G123" s="39">
        <f>+I123/$I$105</f>
        <v>0.15445026178010471</v>
      </c>
      <c r="H123" s="297">
        <f>I123/Units</f>
        <v>30.075042328073344</v>
      </c>
      <c r="I123" s="837">
        <f>SUM('INPUT REGISTER'!$D$349:$D$350)-SUM('INPUT REGISTER'!$D$339:$D$343)</f>
        <v>2360000</v>
      </c>
      <c r="J123"/>
      <c r="K123"/>
      <c r="L123" s="75">
        <f t="shared" ref="L123:U125" si="423">IF(L$86&lt;$D123,0,$I123/12*(1+$F123)^INT(MAX(0,L$86-$D123)/12)*($E123+(1-$E123)*L$89))</f>
        <v>0</v>
      </c>
      <c r="M123" s="417">
        <f t="shared" si="423"/>
        <v>0</v>
      </c>
      <c r="N123" s="417">
        <f t="shared" si="423"/>
        <v>0</v>
      </c>
      <c r="O123" s="417">
        <f t="shared" si="423"/>
        <v>0</v>
      </c>
      <c r="P123" s="417">
        <f t="shared" si="423"/>
        <v>0</v>
      </c>
      <c r="Q123" s="417">
        <f t="shared" si="423"/>
        <v>0</v>
      </c>
      <c r="R123" s="417">
        <f t="shared" si="423"/>
        <v>0</v>
      </c>
      <c r="S123" s="417">
        <f t="shared" si="423"/>
        <v>0</v>
      </c>
      <c r="T123" s="417">
        <f t="shared" si="423"/>
        <v>0</v>
      </c>
      <c r="U123" s="417">
        <f t="shared" si="423"/>
        <v>0</v>
      </c>
      <c r="V123" s="417">
        <f t="shared" ref="V123:AE125" si="424">IF(V$86&lt;$D123,0,$I123/12*(1+$F123)^INT(MAX(0,V$86-$D123)/12)*($E123+(1-$E123)*V$89))</f>
        <v>0</v>
      </c>
      <c r="W123" s="417">
        <f t="shared" si="424"/>
        <v>0</v>
      </c>
      <c r="X123" s="417">
        <f t="shared" si="424"/>
        <v>0</v>
      </c>
      <c r="Y123" s="417">
        <f t="shared" si="424"/>
        <v>0</v>
      </c>
      <c r="Z123" s="417">
        <f t="shared" si="424"/>
        <v>0</v>
      </c>
      <c r="AA123" s="417">
        <f t="shared" si="424"/>
        <v>0</v>
      </c>
      <c r="AB123" s="417">
        <f t="shared" si="424"/>
        <v>0</v>
      </c>
      <c r="AC123" s="417">
        <f t="shared" si="424"/>
        <v>0</v>
      </c>
      <c r="AD123" s="417">
        <f t="shared" si="424"/>
        <v>0</v>
      </c>
      <c r="AE123" s="417">
        <f t="shared" si="424"/>
        <v>0</v>
      </c>
      <c r="AF123" s="417">
        <f t="shared" ref="AF123:AO125" si="425">IF(AF$86&lt;$D123,0,$I123/12*(1+$F123)^INT(MAX(0,AF$86-$D123)/12)*($E123+(1-$E123)*AF$89))</f>
        <v>0</v>
      </c>
      <c r="AG123" s="417">
        <f t="shared" si="425"/>
        <v>0</v>
      </c>
      <c r="AH123" s="417">
        <f t="shared" si="425"/>
        <v>0</v>
      </c>
      <c r="AI123" s="417">
        <f t="shared" si="425"/>
        <v>0</v>
      </c>
      <c r="AJ123" s="417">
        <f t="shared" si="425"/>
        <v>0</v>
      </c>
      <c r="AK123" s="417">
        <f t="shared" si="425"/>
        <v>0</v>
      </c>
      <c r="AL123" s="417">
        <f t="shared" si="425"/>
        <v>0</v>
      </c>
      <c r="AM123" s="417">
        <f t="shared" si="425"/>
        <v>0</v>
      </c>
      <c r="AN123" s="417">
        <f t="shared" si="425"/>
        <v>0</v>
      </c>
      <c r="AO123" s="417">
        <f t="shared" si="425"/>
        <v>0</v>
      </c>
      <c r="AP123" s="417">
        <f t="shared" ref="AP123:AY125" si="426">IF(AP$86&lt;$D123,0,$I123/12*(1+$F123)^INT(MAX(0,AP$86-$D123)/12)*($E123+(1-$E123)*AP$89))</f>
        <v>0</v>
      </c>
      <c r="AQ123" s="417">
        <f t="shared" si="426"/>
        <v>0</v>
      </c>
      <c r="AR123" s="417">
        <f t="shared" si="426"/>
        <v>0</v>
      </c>
      <c r="AS123" s="417">
        <f t="shared" si="426"/>
        <v>0</v>
      </c>
      <c r="AT123" s="417">
        <f t="shared" si="426"/>
        <v>0</v>
      </c>
      <c r="AU123" s="417">
        <f t="shared" si="426"/>
        <v>0</v>
      </c>
      <c r="AV123" s="417">
        <f t="shared" si="426"/>
        <v>0</v>
      </c>
      <c r="AW123" s="417">
        <f t="shared" si="426"/>
        <v>0</v>
      </c>
      <c r="AX123" s="417">
        <f t="shared" si="426"/>
        <v>16388.888888888887</v>
      </c>
      <c r="AY123" s="417">
        <f t="shared" si="426"/>
        <v>32777.777777777774</v>
      </c>
      <c r="AZ123" s="417">
        <f t="shared" ref="AZ123:BI125" si="427">IF(AZ$86&lt;$D123,0,$I123/12*(1+$F123)^INT(MAX(0,AZ$86-$D123)/12)*($E123+(1-$E123)*AZ$89))</f>
        <v>49166.666666666664</v>
      </c>
      <c r="BA123" s="417">
        <f t="shared" si="427"/>
        <v>65555.555555555547</v>
      </c>
      <c r="BB123" s="417">
        <f t="shared" si="427"/>
        <v>81944.444444444438</v>
      </c>
      <c r="BC123" s="417">
        <f t="shared" si="427"/>
        <v>98333.333333333328</v>
      </c>
      <c r="BD123" s="417">
        <f t="shared" si="427"/>
        <v>114722.22222222222</v>
      </c>
      <c r="BE123" s="417">
        <f t="shared" si="427"/>
        <v>131111.11111111109</v>
      </c>
      <c r="BF123" s="417">
        <f t="shared" si="427"/>
        <v>147500</v>
      </c>
      <c r="BG123" s="417">
        <f t="shared" si="427"/>
        <v>163888.88888888888</v>
      </c>
      <c r="BH123" s="417">
        <f t="shared" si="427"/>
        <v>180277.77777777775</v>
      </c>
      <c r="BI123" s="417">
        <f t="shared" si="427"/>
        <v>201583.33333333331</v>
      </c>
      <c r="BJ123" s="417">
        <f t="shared" ref="BJ123:BS125" si="428">IF(BJ$86&lt;$D123,0,$I123/12*(1+$F123)^INT(MAX(0,BJ$86-$D123)/12)*($E123+(1-$E123)*BJ$89))</f>
        <v>201583.33333333331</v>
      </c>
      <c r="BK123" s="417">
        <f t="shared" si="428"/>
        <v>201583.33333333331</v>
      </c>
      <c r="BL123" s="417">
        <f t="shared" si="428"/>
        <v>201583.33333333331</v>
      </c>
      <c r="BM123" s="417">
        <f t="shared" si="428"/>
        <v>201583.33333333331</v>
      </c>
      <c r="BN123" s="417">
        <f t="shared" si="428"/>
        <v>201583.33333333331</v>
      </c>
      <c r="BO123" s="417">
        <f t="shared" si="428"/>
        <v>201583.33333333331</v>
      </c>
      <c r="BP123" s="417">
        <f t="shared" si="428"/>
        <v>201583.33333333331</v>
      </c>
      <c r="BQ123" s="417">
        <f t="shared" si="428"/>
        <v>201583.33333333331</v>
      </c>
      <c r="BR123" s="417">
        <f t="shared" si="428"/>
        <v>201583.33333333331</v>
      </c>
      <c r="BS123" s="417">
        <f t="shared" si="428"/>
        <v>201583.33333333331</v>
      </c>
      <c r="BT123" s="417">
        <f t="shared" ref="BT123:CC125" si="429">IF(BT$86&lt;$D123,0,$I123/12*(1+$F123)^INT(MAX(0,BT$86-$D123)/12)*($E123+(1-$E123)*BT$89))</f>
        <v>201583.33333333331</v>
      </c>
      <c r="BU123" s="417">
        <f t="shared" si="429"/>
        <v>206622.91666666663</v>
      </c>
      <c r="BV123" s="417">
        <f t="shared" si="429"/>
        <v>206622.91666666663</v>
      </c>
      <c r="BW123" s="417">
        <f t="shared" si="429"/>
        <v>206622.91666666663</v>
      </c>
      <c r="BX123" s="417">
        <f t="shared" si="429"/>
        <v>206622.91666666663</v>
      </c>
      <c r="BY123" s="417">
        <f t="shared" si="429"/>
        <v>206622.91666666663</v>
      </c>
      <c r="BZ123" s="417">
        <f t="shared" si="429"/>
        <v>206622.91666666663</v>
      </c>
      <c r="CA123" s="417">
        <f t="shared" si="429"/>
        <v>206622.91666666663</v>
      </c>
      <c r="CB123" s="417">
        <f t="shared" si="429"/>
        <v>206622.91666666663</v>
      </c>
      <c r="CC123" s="417">
        <f t="shared" si="429"/>
        <v>206622.91666666663</v>
      </c>
      <c r="CD123" s="417">
        <f t="shared" ref="CD123:CM125" si="430">IF(CD$86&lt;$D123,0,$I123/12*(1+$F123)^INT(MAX(0,CD$86-$D123)/12)*($E123+(1-$E123)*CD$89))</f>
        <v>206622.91666666663</v>
      </c>
      <c r="CE123" s="417">
        <f t="shared" si="430"/>
        <v>206622.91666666663</v>
      </c>
      <c r="CF123" s="417">
        <f t="shared" si="430"/>
        <v>206622.91666666663</v>
      </c>
      <c r="CG123" s="417">
        <f t="shared" si="430"/>
        <v>211788.48958333328</v>
      </c>
      <c r="CH123" s="417">
        <f t="shared" si="430"/>
        <v>211788.48958333328</v>
      </c>
      <c r="CI123" s="417">
        <f t="shared" si="430"/>
        <v>211788.48958333328</v>
      </c>
      <c r="CJ123" s="417">
        <f t="shared" si="430"/>
        <v>211788.48958333328</v>
      </c>
      <c r="CK123" s="417">
        <f t="shared" si="430"/>
        <v>211788.48958333328</v>
      </c>
      <c r="CL123" s="417">
        <f t="shared" si="430"/>
        <v>211788.48958333328</v>
      </c>
      <c r="CM123" s="417">
        <f t="shared" si="430"/>
        <v>211788.48958333328</v>
      </c>
      <c r="CN123" s="417">
        <f t="shared" ref="CN123:CW125" si="431">IF(CN$86&lt;$D123,0,$I123/12*(1+$F123)^INT(MAX(0,CN$86-$D123)/12)*($E123+(1-$E123)*CN$89))</f>
        <v>211788.48958333328</v>
      </c>
      <c r="CO123" s="417">
        <f t="shared" si="431"/>
        <v>211788.48958333328</v>
      </c>
      <c r="CP123" s="417">
        <f t="shared" si="431"/>
        <v>211788.48958333328</v>
      </c>
      <c r="CQ123" s="417">
        <f t="shared" si="431"/>
        <v>211788.48958333328</v>
      </c>
      <c r="CR123" s="417">
        <f t="shared" si="431"/>
        <v>211788.48958333328</v>
      </c>
      <c r="CS123" s="417">
        <f t="shared" si="431"/>
        <v>217083.2018229166</v>
      </c>
      <c r="CT123" s="417">
        <f t="shared" si="431"/>
        <v>217083.2018229166</v>
      </c>
      <c r="CU123" s="417">
        <f t="shared" si="431"/>
        <v>217083.2018229166</v>
      </c>
      <c r="CV123" s="417">
        <f t="shared" si="431"/>
        <v>217083.2018229166</v>
      </c>
      <c r="CW123" s="417">
        <f t="shared" si="431"/>
        <v>217083.2018229166</v>
      </c>
      <c r="CX123" s="417">
        <f t="shared" ref="CX123:DG125" si="432">IF(CX$86&lt;$D123,0,$I123/12*(1+$F123)^INT(MAX(0,CX$86-$D123)/12)*($E123+(1-$E123)*CX$89))</f>
        <v>217083.2018229166</v>
      </c>
      <c r="CY123" s="417">
        <f t="shared" si="432"/>
        <v>217083.2018229166</v>
      </c>
      <c r="CZ123" s="417">
        <f t="shared" si="432"/>
        <v>217083.2018229166</v>
      </c>
      <c r="DA123" s="417">
        <f t="shared" si="432"/>
        <v>217083.2018229166</v>
      </c>
      <c r="DB123" s="417">
        <f t="shared" si="432"/>
        <v>217083.2018229166</v>
      </c>
      <c r="DC123" s="417">
        <f t="shared" si="432"/>
        <v>217083.2018229166</v>
      </c>
      <c r="DD123" s="417">
        <f t="shared" si="432"/>
        <v>217083.2018229166</v>
      </c>
      <c r="DE123" s="417">
        <f t="shared" si="432"/>
        <v>222510.28186848952</v>
      </c>
      <c r="DF123" s="417">
        <f t="shared" si="432"/>
        <v>222510.28186848952</v>
      </c>
      <c r="DG123" s="417">
        <f t="shared" si="432"/>
        <v>222510.28186848952</v>
      </c>
      <c r="DH123" s="417">
        <f t="shared" ref="DH123:DQ125" si="433">IF(DH$86&lt;$D123,0,$I123/12*(1+$F123)^INT(MAX(0,DH$86-$D123)/12)*($E123+(1-$E123)*DH$89))</f>
        <v>222510.28186848952</v>
      </c>
      <c r="DI123" s="417">
        <f t="shared" si="433"/>
        <v>222510.28186848952</v>
      </c>
      <c r="DJ123" s="417">
        <f t="shared" si="433"/>
        <v>222510.28186848952</v>
      </c>
      <c r="DK123" s="417">
        <f t="shared" si="433"/>
        <v>222510.28186848952</v>
      </c>
      <c r="DL123" s="417">
        <f t="shared" si="433"/>
        <v>222510.28186848952</v>
      </c>
      <c r="DM123" s="417">
        <f t="shared" si="433"/>
        <v>222510.28186848952</v>
      </c>
      <c r="DN123" s="417">
        <f t="shared" si="433"/>
        <v>222510.28186848952</v>
      </c>
      <c r="DO123" s="417">
        <f t="shared" si="433"/>
        <v>222510.28186848952</v>
      </c>
      <c r="DP123" s="417">
        <f t="shared" si="433"/>
        <v>222510.28186848952</v>
      </c>
      <c r="DQ123" s="417">
        <f t="shared" si="433"/>
        <v>228073.03891520173</v>
      </c>
      <c r="DR123" s="417">
        <f t="shared" ref="DR123:EA125" si="434">IF(DR$86&lt;$D123,0,$I123/12*(1+$F123)^INT(MAX(0,DR$86-$D123)/12)*($E123+(1-$E123)*DR$89))</f>
        <v>228073.03891520173</v>
      </c>
      <c r="DS123" s="417">
        <f t="shared" si="434"/>
        <v>228073.03891520173</v>
      </c>
      <c r="DT123" s="417">
        <f t="shared" si="434"/>
        <v>228073.03891520173</v>
      </c>
      <c r="DU123" s="417">
        <f t="shared" si="434"/>
        <v>228073.03891520173</v>
      </c>
      <c r="DV123" s="417">
        <f t="shared" si="434"/>
        <v>228073.03891520173</v>
      </c>
      <c r="DW123" s="417">
        <f t="shared" si="434"/>
        <v>228073.03891520173</v>
      </c>
      <c r="DX123" s="417">
        <f t="shared" si="434"/>
        <v>228073.03891520173</v>
      </c>
      <c r="DY123" s="417">
        <f t="shared" si="434"/>
        <v>228073.03891520173</v>
      </c>
      <c r="DZ123" s="417">
        <f t="shared" si="434"/>
        <v>228073.03891520173</v>
      </c>
      <c r="EA123" s="417">
        <f t="shared" si="434"/>
        <v>228073.03891520173</v>
      </c>
      <c r="EB123" s="417">
        <f t="shared" ref="EB123:EN125" si="435">IF(EB$86&lt;$D123,0,$I123/12*(1+$F123)^INT(MAX(0,EB$86-$D123)/12)*($E123+(1-$E123)*EB$89))</f>
        <v>228073.03891520173</v>
      </c>
      <c r="EC123" s="417">
        <f t="shared" si="435"/>
        <v>233774.86488808179</v>
      </c>
      <c r="ED123" s="417">
        <f t="shared" si="435"/>
        <v>233774.86488808179</v>
      </c>
      <c r="EE123" s="417">
        <f t="shared" si="435"/>
        <v>233774.86488808179</v>
      </c>
      <c r="EF123" s="417">
        <f t="shared" si="435"/>
        <v>233774.86488808179</v>
      </c>
      <c r="EG123" s="417">
        <f t="shared" si="435"/>
        <v>233774.86488808179</v>
      </c>
      <c r="EH123" s="417">
        <f t="shared" si="435"/>
        <v>233774.86488808179</v>
      </c>
      <c r="EI123" s="417">
        <f t="shared" si="435"/>
        <v>233774.86488808179</v>
      </c>
      <c r="EJ123" s="417">
        <f t="shared" si="435"/>
        <v>233774.86488808179</v>
      </c>
      <c r="EK123" s="417">
        <f t="shared" si="435"/>
        <v>233774.86488808179</v>
      </c>
      <c r="EL123" s="417">
        <f t="shared" si="435"/>
        <v>233774.86488808179</v>
      </c>
      <c r="EM123" s="417">
        <f t="shared" si="435"/>
        <v>233774.86488808179</v>
      </c>
      <c r="EN123" s="417">
        <f t="shared" si="435"/>
        <v>233774.86488808179</v>
      </c>
      <c r="EO123"/>
      <c r="EP123" s="219"/>
      <c r="EQ123" s="209"/>
      <c r="ER123" s="18"/>
      <c r="ES123" s="18"/>
      <c r="ET123" s="18"/>
      <c r="EU123" s="18"/>
      <c r="EV123" s="203"/>
      <c r="EW123" s="203"/>
      <c r="EX123" s="203"/>
      <c r="EY123" s="203"/>
      <c r="EZ123" s="203"/>
      <c r="FA123" s="203"/>
      <c r="FB123" s="203"/>
      <c r="FC123" s="203"/>
      <c r="FD123" s="203"/>
      <c r="FE123" s="203"/>
      <c r="FF123" s="203"/>
      <c r="FG123" s="203"/>
      <c r="FH123" s="203"/>
      <c r="FI123" s="203"/>
      <c r="FJ123" s="203"/>
      <c r="FK123" s="203"/>
      <c r="FL123" s="203"/>
      <c r="FM123" s="203"/>
      <c r="FN123" s="203"/>
      <c r="FO123" s="203"/>
      <c r="FP123" s="203"/>
      <c r="FQ123" s="203"/>
      <c r="FR123" s="203"/>
      <c r="FS123" s="203"/>
      <c r="FT123" s="203"/>
      <c r="FU123" s="203"/>
      <c r="FV123" s="203"/>
      <c r="FW123" s="203"/>
      <c r="FX123" s="203"/>
      <c r="FY123" s="203"/>
      <c r="FZ123" s="203"/>
      <c r="GA123" s="203"/>
      <c r="GB123" s="203"/>
      <c r="GC123" s="203"/>
      <c r="GD123" s="203"/>
      <c r="GE123" s="203"/>
      <c r="GF123" s="203"/>
      <c r="GG123" s="203"/>
      <c r="GH123" s="203"/>
      <c r="GI123" s="203"/>
      <c r="GJ123" s="203"/>
      <c r="GK123" s="203"/>
      <c r="GL123" s="203"/>
      <c r="GM123" s="203"/>
      <c r="GN123" s="203"/>
      <c r="GO123" s="203"/>
      <c r="GP123" s="203"/>
      <c r="GQ123" s="203"/>
      <c r="GR123" s="203"/>
      <c r="GS123" s="203"/>
      <c r="GT123" s="203"/>
      <c r="GU123" s="203"/>
      <c r="GV123" s="203"/>
      <c r="GW123" s="203"/>
      <c r="GX123" s="203"/>
      <c r="GY123" s="203"/>
      <c r="GZ123" s="203"/>
      <c r="HA123" s="203"/>
      <c r="HB123" s="203"/>
      <c r="HC123" s="203"/>
      <c r="HD123" s="203"/>
      <c r="HE123" s="203"/>
      <c r="HF123" s="203"/>
      <c r="HG123" s="203"/>
      <c r="HH123" s="203"/>
      <c r="HI123" s="203"/>
      <c r="HJ123" s="203"/>
      <c r="HK123" s="203"/>
      <c r="HL123" s="203"/>
      <c r="HM123" s="203"/>
      <c r="HN123" s="203"/>
      <c r="HO123" s="203"/>
      <c r="HP123" s="203"/>
      <c r="HQ123" s="203"/>
      <c r="HR123" s="203"/>
      <c r="HS123" s="203"/>
      <c r="HT123" s="203"/>
      <c r="HU123" s="203"/>
      <c r="HV123" s="203"/>
      <c r="HW123" s="203"/>
      <c r="HX123" s="203"/>
      <c r="HY123" s="203"/>
      <c r="HZ123" s="203"/>
      <c r="IA123" s="203"/>
      <c r="IB123" s="203"/>
      <c r="IC123" s="203"/>
      <c r="ID123" s="203"/>
      <c r="IE123" s="203"/>
      <c r="IF123" s="203"/>
      <c r="IG123" s="203"/>
      <c r="IH123" s="203"/>
      <c r="II123" s="203"/>
      <c r="IJ123" s="203"/>
      <c r="IK123" s="203"/>
      <c r="IL123" s="203"/>
      <c r="IM123" s="203"/>
      <c r="IN123" s="203"/>
      <c r="IO123" s="203"/>
      <c r="IP123" s="203"/>
      <c r="IQ123" s="203"/>
      <c r="IR123" s="203"/>
      <c r="IS123" s="203"/>
      <c r="IT123" s="203"/>
      <c r="IU123" s="203"/>
      <c r="IV123" s="203"/>
      <c r="IW123" s="203"/>
      <c r="IX123" s="203"/>
      <c r="IY123" s="203"/>
      <c r="IZ123" s="203"/>
      <c r="JA123" s="203"/>
      <c r="JB123" s="203"/>
      <c r="JC123" s="203"/>
      <c r="JD123" s="203"/>
      <c r="JE123" s="203"/>
      <c r="JF123" s="203"/>
      <c r="JG123" s="203"/>
      <c r="JH123" s="203"/>
      <c r="JI123" s="203"/>
      <c r="JJ123" s="203"/>
      <c r="JK123" s="203"/>
      <c r="JL123" s="203"/>
      <c r="JM123" s="203"/>
      <c r="JN123" s="203"/>
      <c r="JO123" s="203"/>
      <c r="JP123" s="203"/>
      <c r="JQ123" s="203"/>
      <c r="JR123" s="203"/>
      <c r="JS123" s="203"/>
      <c r="JT123" s="203"/>
      <c r="JU123" s="203"/>
      <c r="JV123" s="203"/>
      <c r="JW123" s="203"/>
      <c r="JX123" s="203"/>
      <c r="JY123"/>
      <c r="JZ123" s="262"/>
      <c r="KA123" s="262"/>
      <c r="KB123" s="262"/>
      <c r="KC123" s="262"/>
      <c r="KD123" s="262"/>
      <c r="KE123" s="262"/>
      <c r="KF123" s="262"/>
      <c r="KG123" s="262"/>
      <c r="KH123" s="262"/>
      <c r="KI123" s="262"/>
      <c r="KJ123" s="262"/>
      <c r="KK123" s="262"/>
      <c r="KL123" s="262"/>
      <c r="KM123" s="262"/>
      <c r="KN123" s="262"/>
      <c r="KO123" s="262"/>
      <c r="KP123" s="262"/>
      <c r="KQ123" s="262"/>
      <c r="KR123" s="262"/>
      <c r="KS123" s="262"/>
      <c r="KT123" s="262"/>
      <c r="KU123" s="262"/>
      <c r="KV123" s="262"/>
      <c r="KW123" s="262"/>
      <c r="KX123" s="262"/>
      <c r="KY123" s="262"/>
      <c r="KZ123" s="262"/>
      <c r="LA123" s="262"/>
      <c r="LB123" s="262"/>
      <c r="LC123" s="262"/>
      <c r="LD123" s="262"/>
      <c r="LE123" s="262"/>
      <c r="LF123" s="262"/>
      <c r="LG123" s="262"/>
      <c r="LH123" s="262"/>
      <c r="LI123" s="262"/>
      <c r="LJ123" s="262"/>
      <c r="LK123" s="262"/>
      <c r="LL123" s="262"/>
      <c r="LM123" s="262"/>
      <c r="LN123" s="262"/>
      <c r="LO123" s="262"/>
      <c r="LP123" s="262"/>
      <c r="LQ123" s="262"/>
      <c r="LR123" s="262"/>
      <c r="LS123" s="262"/>
      <c r="LT123" s="262"/>
      <c r="LU123" s="262"/>
      <c r="LV123" s="262"/>
      <c r="LW123" s="262"/>
      <c r="LX123" s="262"/>
      <c r="LY123" s="262"/>
      <c r="LZ123" s="262"/>
      <c r="MA123" s="262"/>
      <c r="MB123" s="262"/>
      <c r="MC123" s="262"/>
      <c r="MD123" s="262"/>
      <c r="ME123" s="262"/>
      <c r="MF123" s="262"/>
      <c r="MG123" s="262"/>
      <c r="MH123" s="262"/>
      <c r="MI123" s="262"/>
      <c r="MJ123" s="262"/>
      <c r="MK123" s="262"/>
      <c r="ML123" s="262"/>
      <c r="MM123" s="262"/>
      <c r="MN123" s="262"/>
      <c r="MO123" s="262"/>
      <c r="MP123" s="262"/>
      <c r="MQ123" s="262"/>
      <c r="MR123" s="262"/>
      <c r="MS123" s="262"/>
      <c r="MT123" s="262"/>
      <c r="MU123" s="262"/>
      <c r="MV123" s="262"/>
      <c r="MW123" s="262"/>
      <c r="MX123" s="262"/>
      <c r="MY123" s="262"/>
      <c r="MZ123" s="262"/>
      <c r="NA123" s="262"/>
      <c r="NB123" s="262"/>
      <c r="NC123" s="262"/>
      <c r="ND123" s="262"/>
      <c r="NE123" s="262"/>
      <c r="NF123" s="262"/>
      <c r="NG123" s="262"/>
      <c r="NH123" s="262"/>
      <c r="NI123" s="262"/>
      <c r="NJ123" s="262"/>
      <c r="NK123" s="262"/>
      <c r="NL123" s="262"/>
      <c r="NM123" s="262"/>
      <c r="NN123" s="262"/>
      <c r="NO123" s="262"/>
      <c r="NP123" s="262"/>
      <c r="NQ123" s="262"/>
      <c r="NR123" s="262"/>
      <c r="NS123" s="262"/>
      <c r="NT123" s="262"/>
      <c r="NU123" s="262"/>
      <c r="NV123" s="262"/>
      <c r="NW123" s="262"/>
      <c r="NX123" s="262"/>
      <c r="NY123" s="262"/>
      <c r="NZ123" s="262"/>
      <c r="OA123" s="262"/>
      <c r="OB123" s="262"/>
      <c r="OC123" s="262"/>
      <c r="OD123" s="262"/>
      <c r="OE123" s="262"/>
      <c r="OF123" s="262"/>
      <c r="OG123" s="262"/>
      <c r="OH123" s="262"/>
      <c r="OI123" s="262"/>
      <c r="OJ123" s="262"/>
      <c r="OK123" s="262"/>
      <c r="OL123" s="262"/>
      <c r="OM123" s="262"/>
      <c r="ON123" s="262"/>
      <c r="OO123" s="262"/>
      <c r="OP123" s="262"/>
      <c r="OQ123" s="262"/>
      <c r="OR123" s="262"/>
      <c r="OS123" s="262"/>
      <c r="OT123" s="262"/>
      <c r="OU123" s="262"/>
      <c r="OV123" s="262"/>
      <c r="OW123" s="262"/>
      <c r="OX123" s="262"/>
      <c r="OY123" s="262"/>
      <c r="OZ123" s="262"/>
      <c r="PA123" s="262"/>
      <c r="PB123" s="262"/>
      <c r="PC123" s="262"/>
      <c r="PD123" s="262"/>
      <c r="PE123" s="262"/>
      <c r="PF123" s="262"/>
      <c r="PG123" s="262"/>
      <c r="PH123" s="262"/>
    </row>
    <row r="124" spans="1:424" x14ac:dyDescent="0.35">
      <c r="A124"/>
      <c r="B124" s="419" t="s">
        <v>288</v>
      </c>
      <c r="C124" s="414">
        <f>Timing_Operation_Begin_Month</f>
        <v>37</v>
      </c>
      <c r="D124" s="257">
        <f>$D$88</f>
        <v>37</v>
      </c>
      <c r="E124" s="476">
        <v>1</v>
      </c>
      <c r="F124" s="43">
        <f>$F$134</f>
        <v>2.5000000000000001E-2</v>
      </c>
      <c r="G124" s="39">
        <f>+I124/$I$105</f>
        <v>1.8822120418848169E-2</v>
      </c>
      <c r="H124" s="297">
        <f>I124/Units</f>
        <v>3.6651026795078598</v>
      </c>
      <c r="I124" s="837">
        <f>'INPUT REGISTER'!$D$454</f>
        <v>287602</v>
      </c>
      <c r="J124"/>
      <c r="K124"/>
      <c r="L124" s="75">
        <f t="shared" si="423"/>
        <v>0</v>
      </c>
      <c r="M124" s="417">
        <f t="shared" si="423"/>
        <v>0</v>
      </c>
      <c r="N124" s="417">
        <f t="shared" si="423"/>
        <v>0</v>
      </c>
      <c r="O124" s="417">
        <f t="shared" si="423"/>
        <v>0</v>
      </c>
      <c r="P124" s="417">
        <f t="shared" si="423"/>
        <v>0</v>
      </c>
      <c r="Q124" s="417">
        <f t="shared" si="423"/>
        <v>0</v>
      </c>
      <c r="R124" s="417">
        <f t="shared" si="423"/>
        <v>0</v>
      </c>
      <c r="S124" s="417">
        <f t="shared" si="423"/>
        <v>0</v>
      </c>
      <c r="T124" s="417">
        <f t="shared" si="423"/>
        <v>0</v>
      </c>
      <c r="U124" s="417">
        <f t="shared" si="423"/>
        <v>0</v>
      </c>
      <c r="V124" s="417">
        <f t="shared" si="424"/>
        <v>0</v>
      </c>
      <c r="W124" s="417">
        <f t="shared" si="424"/>
        <v>0</v>
      </c>
      <c r="X124" s="417">
        <f t="shared" si="424"/>
        <v>0</v>
      </c>
      <c r="Y124" s="417">
        <f t="shared" si="424"/>
        <v>0</v>
      </c>
      <c r="Z124" s="417">
        <f t="shared" si="424"/>
        <v>0</v>
      </c>
      <c r="AA124" s="417">
        <f t="shared" si="424"/>
        <v>0</v>
      </c>
      <c r="AB124" s="417">
        <f t="shared" si="424"/>
        <v>0</v>
      </c>
      <c r="AC124" s="417">
        <f t="shared" si="424"/>
        <v>0</v>
      </c>
      <c r="AD124" s="417">
        <f t="shared" si="424"/>
        <v>0</v>
      </c>
      <c r="AE124" s="417">
        <f t="shared" si="424"/>
        <v>0</v>
      </c>
      <c r="AF124" s="417">
        <f t="shared" si="425"/>
        <v>0</v>
      </c>
      <c r="AG124" s="417">
        <f t="shared" si="425"/>
        <v>0</v>
      </c>
      <c r="AH124" s="417">
        <f t="shared" si="425"/>
        <v>0</v>
      </c>
      <c r="AI124" s="417">
        <f t="shared" si="425"/>
        <v>0</v>
      </c>
      <c r="AJ124" s="417">
        <f t="shared" si="425"/>
        <v>0</v>
      </c>
      <c r="AK124" s="417">
        <f t="shared" si="425"/>
        <v>0</v>
      </c>
      <c r="AL124" s="417">
        <f t="shared" si="425"/>
        <v>0</v>
      </c>
      <c r="AM124" s="417">
        <f t="shared" si="425"/>
        <v>0</v>
      </c>
      <c r="AN124" s="417">
        <f t="shared" si="425"/>
        <v>0</v>
      </c>
      <c r="AO124" s="417">
        <f t="shared" si="425"/>
        <v>0</v>
      </c>
      <c r="AP124" s="417">
        <f t="shared" si="426"/>
        <v>0</v>
      </c>
      <c r="AQ124" s="417">
        <f t="shared" si="426"/>
        <v>0</v>
      </c>
      <c r="AR124" s="417">
        <f t="shared" si="426"/>
        <v>0</v>
      </c>
      <c r="AS124" s="417">
        <f t="shared" si="426"/>
        <v>0</v>
      </c>
      <c r="AT124" s="417">
        <f t="shared" si="426"/>
        <v>0</v>
      </c>
      <c r="AU124" s="417">
        <f t="shared" si="426"/>
        <v>0</v>
      </c>
      <c r="AV124" s="417">
        <f t="shared" si="426"/>
        <v>0</v>
      </c>
      <c r="AW124" s="417">
        <f t="shared" si="426"/>
        <v>23966.833333333332</v>
      </c>
      <c r="AX124" s="417">
        <f t="shared" si="426"/>
        <v>23966.833333333332</v>
      </c>
      <c r="AY124" s="417">
        <f t="shared" si="426"/>
        <v>23966.833333333332</v>
      </c>
      <c r="AZ124" s="417">
        <f t="shared" si="427"/>
        <v>23966.833333333332</v>
      </c>
      <c r="BA124" s="417">
        <f t="shared" si="427"/>
        <v>23966.833333333332</v>
      </c>
      <c r="BB124" s="417">
        <f t="shared" si="427"/>
        <v>23966.833333333332</v>
      </c>
      <c r="BC124" s="417">
        <f t="shared" si="427"/>
        <v>23966.833333333332</v>
      </c>
      <c r="BD124" s="417">
        <f t="shared" si="427"/>
        <v>23966.833333333332</v>
      </c>
      <c r="BE124" s="417">
        <f t="shared" si="427"/>
        <v>23966.833333333332</v>
      </c>
      <c r="BF124" s="417">
        <f t="shared" si="427"/>
        <v>23966.833333333332</v>
      </c>
      <c r="BG124" s="417">
        <f t="shared" si="427"/>
        <v>23966.833333333332</v>
      </c>
      <c r="BH124" s="417">
        <f t="shared" si="427"/>
        <v>23966.833333333332</v>
      </c>
      <c r="BI124" s="417">
        <f t="shared" si="427"/>
        <v>24566.004166666662</v>
      </c>
      <c r="BJ124" s="417">
        <f t="shared" si="428"/>
        <v>24566.004166666662</v>
      </c>
      <c r="BK124" s="417">
        <f t="shared" si="428"/>
        <v>24566.004166666662</v>
      </c>
      <c r="BL124" s="417">
        <f t="shared" si="428"/>
        <v>24566.004166666662</v>
      </c>
      <c r="BM124" s="417">
        <f t="shared" si="428"/>
        <v>24566.004166666662</v>
      </c>
      <c r="BN124" s="417">
        <f t="shared" si="428"/>
        <v>24566.004166666662</v>
      </c>
      <c r="BO124" s="417">
        <f t="shared" si="428"/>
        <v>24566.004166666662</v>
      </c>
      <c r="BP124" s="417">
        <f t="shared" si="428"/>
        <v>24566.004166666662</v>
      </c>
      <c r="BQ124" s="417">
        <f t="shared" si="428"/>
        <v>24566.004166666662</v>
      </c>
      <c r="BR124" s="417">
        <f t="shared" si="428"/>
        <v>24566.004166666662</v>
      </c>
      <c r="BS124" s="417">
        <f t="shared" si="428"/>
        <v>24566.004166666662</v>
      </c>
      <c r="BT124" s="417">
        <f t="shared" si="429"/>
        <v>24566.004166666662</v>
      </c>
      <c r="BU124" s="417">
        <f t="shared" si="429"/>
        <v>25180.154270833329</v>
      </c>
      <c r="BV124" s="417">
        <f t="shared" si="429"/>
        <v>25180.154270833329</v>
      </c>
      <c r="BW124" s="417">
        <f t="shared" si="429"/>
        <v>25180.154270833329</v>
      </c>
      <c r="BX124" s="417">
        <f t="shared" si="429"/>
        <v>25180.154270833329</v>
      </c>
      <c r="BY124" s="417">
        <f t="shared" si="429"/>
        <v>25180.154270833329</v>
      </c>
      <c r="BZ124" s="417">
        <f t="shared" si="429"/>
        <v>25180.154270833329</v>
      </c>
      <c r="CA124" s="417">
        <f t="shared" si="429"/>
        <v>25180.154270833329</v>
      </c>
      <c r="CB124" s="417">
        <f t="shared" si="429"/>
        <v>25180.154270833329</v>
      </c>
      <c r="CC124" s="417">
        <f t="shared" si="429"/>
        <v>25180.154270833329</v>
      </c>
      <c r="CD124" s="417">
        <f t="shared" si="430"/>
        <v>25180.154270833329</v>
      </c>
      <c r="CE124" s="417">
        <f t="shared" si="430"/>
        <v>25180.154270833329</v>
      </c>
      <c r="CF124" s="417">
        <f t="shared" si="430"/>
        <v>25180.154270833329</v>
      </c>
      <c r="CG124" s="417">
        <f t="shared" si="430"/>
        <v>25809.658127604162</v>
      </c>
      <c r="CH124" s="417">
        <f t="shared" si="430"/>
        <v>25809.658127604162</v>
      </c>
      <c r="CI124" s="417">
        <f t="shared" si="430"/>
        <v>25809.658127604162</v>
      </c>
      <c r="CJ124" s="417">
        <f t="shared" si="430"/>
        <v>25809.658127604162</v>
      </c>
      <c r="CK124" s="417">
        <f t="shared" si="430"/>
        <v>25809.658127604162</v>
      </c>
      <c r="CL124" s="417">
        <f t="shared" si="430"/>
        <v>25809.658127604162</v>
      </c>
      <c r="CM124" s="417">
        <f t="shared" si="430"/>
        <v>25809.658127604162</v>
      </c>
      <c r="CN124" s="417">
        <f t="shared" si="431"/>
        <v>25809.658127604162</v>
      </c>
      <c r="CO124" s="417">
        <f t="shared" si="431"/>
        <v>25809.658127604162</v>
      </c>
      <c r="CP124" s="417">
        <f t="shared" si="431"/>
        <v>25809.658127604162</v>
      </c>
      <c r="CQ124" s="417">
        <f t="shared" si="431"/>
        <v>25809.658127604162</v>
      </c>
      <c r="CR124" s="417">
        <f t="shared" si="431"/>
        <v>25809.658127604162</v>
      </c>
      <c r="CS124" s="417">
        <f t="shared" si="431"/>
        <v>26454.899580794263</v>
      </c>
      <c r="CT124" s="417">
        <f t="shared" si="431"/>
        <v>26454.899580794263</v>
      </c>
      <c r="CU124" s="417">
        <f t="shared" si="431"/>
        <v>26454.899580794263</v>
      </c>
      <c r="CV124" s="417">
        <f t="shared" si="431"/>
        <v>26454.899580794263</v>
      </c>
      <c r="CW124" s="417">
        <f t="shared" si="431"/>
        <v>26454.899580794263</v>
      </c>
      <c r="CX124" s="417">
        <f t="shared" si="432"/>
        <v>26454.899580794263</v>
      </c>
      <c r="CY124" s="417">
        <f t="shared" si="432"/>
        <v>26454.899580794263</v>
      </c>
      <c r="CZ124" s="417">
        <f t="shared" si="432"/>
        <v>26454.899580794263</v>
      </c>
      <c r="DA124" s="417">
        <f t="shared" si="432"/>
        <v>26454.899580794263</v>
      </c>
      <c r="DB124" s="417">
        <f t="shared" si="432"/>
        <v>26454.899580794263</v>
      </c>
      <c r="DC124" s="417">
        <f t="shared" si="432"/>
        <v>26454.899580794263</v>
      </c>
      <c r="DD124" s="417">
        <f t="shared" si="432"/>
        <v>26454.899580794263</v>
      </c>
      <c r="DE124" s="417">
        <f t="shared" si="432"/>
        <v>27116.272070314117</v>
      </c>
      <c r="DF124" s="417">
        <f t="shared" si="432"/>
        <v>27116.272070314117</v>
      </c>
      <c r="DG124" s="417">
        <f t="shared" si="432"/>
        <v>27116.272070314117</v>
      </c>
      <c r="DH124" s="417">
        <f t="shared" si="433"/>
        <v>27116.272070314117</v>
      </c>
      <c r="DI124" s="417">
        <f t="shared" si="433"/>
        <v>27116.272070314117</v>
      </c>
      <c r="DJ124" s="417">
        <f t="shared" si="433"/>
        <v>27116.272070314117</v>
      </c>
      <c r="DK124" s="417">
        <f t="shared" si="433"/>
        <v>27116.272070314117</v>
      </c>
      <c r="DL124" s="417">
        <f t="shared" si="433"/>
        <v>27116.272070314117</v>
      </c>
      <c r="DM124" s="417">
        <f t="shared" si="433"/>
        <v>27116.272070314117</v>
      </c>
      <c r="DN124" s="417">
        <f t="shared" si="433"/>
        <v>27116.272070314117</v>
      </c>
      <c r="DO124" s="417">
        <f t="shared" si="433"/>
        <v>27116.272070314117</v>
      </c>
      <c r="DP124" s="417">
        <f t="shared" si="433"/>
        <v>27116.272070314117</v>
      </c>
      <c r="DQ124" s="417">
        <f t="shared" si="433"/>
        <v>27794.178872071971</v>
      </c>
      <c r="DR124" s="417">
        <f t="shared" si="434"/>
        <v>27794.178872071971</v>
      </c>
      <c r="DS124" s="417">
        <f t="shared" si="434"/>
        <v>27794.178872071971</v>
      </c>
      <c r="DT124" s="417">
        <f t="shared" si="434"/>
        <v>27794.178872071971</v>
      </c>
      <c r="DU124" s="417">
        <f t="shared" si="434"/>
        <v>27794.178872071971</v>
      </c>
      <c r="DV124" s="417">
        <f t="shared" si="434"/>
        <v>27794.178872071971</v>
      </c>
      <c r="DW124" s="417">
        <f t="shared" si="434"/>
        <v>27794.178872071971</v>
      </c>
      <c r="DX124" s="417">
        <f t="shared" si="434"/>
        <v>27794.178872071971</v>
      </c>
      <c r="DY124" s="417">
        <f t="shared" si="434"/>
        <v>27794.178872071971</v>
      </c>
      <c r="DZ124" s="417">
        <f t="shared" si="434"/>
        <v>27794.178872071971</v>
      </c>
      <c r="EA124" s="417">
        <f t="shared" si="434"/>
        <v>27794.178872071971</v>
      </c>
      <c r="EB124" s="417">
        <f t="shared" si="435"/>
        <v>27794.178872071971</v>
      </c>
      <c r="EC124" s="417">
        <f t="shared" si="435"/>
        <v>28489.033343873769</v>
      </c>
      <c r="ED124" s="417">
        <f t="shared" si="435"/>
        <v>28489.033343873769</v>
      </c>
      <c r="EE124" s="417">
        <f t="shared" si="435"/>
        <v>28489.033343873769</v>
      </c>
      <c r="EF124" s="417">
        <f t="shared" si="435"/>
        <v>28489.033343873769</v>
      </c>
      <c r="EG124" s="417">
        <f t="shared" si="435"/>
        <v>28489.033343873769</v>
      </c>
      <c r="EH124" s="417">
        <f t="shared" si="435"/>
        <v>28489.033343873769</v>
      </c>
      <c r="EI124" s="417">
        <f t="shared" si="435"/>
        <v>28489.033343873769</v>
      </c>
      <c r="EJ124" s="417">
        <f t="shared" si="435"/>
        <v>28489.033343873769</v>
      </c>
      <c r="EK124" s="417">
        <f t="shared" si="435"/>
        <v>28489.033343873769</v>
      </c>
      <c r="EL124" s="417">
        <f t="shared" si="435"/>
        <v>28489.033343873769</v>
      </c>
      <c r="EM124" s="417">
        <f t="shared" si="435"/>
        <v>28489.033343873769</v>
      </c>
      <c r="EN124" s="417">
        <f t="shared" si="435"/>
        <v>28489.033343873769</v>
      </c>
      <c r="EO124"/>
      <c r="EP124" s="219"/>
      <c r="EQ124" s="209"/>
      <c r="ER124" s="18"/>
      <c r="ES124" s="18"/>
      <c r="ET124" s="18"/>
      <c r="EU124" s="18"/>
      <c r="EV124" s="203"/>
      <c r="EW124" s="203"/>
      <c r="EX124" s="203"/>
      <c r="EY124" s="203"/>
      <c r="EZ124" s="203"/>
      <c r="FA124" s="203"/>
      <c r="FB124" s="203"/>
      <c r="FC124" s="203"/>
      <c r="FD124" s="203"/>
      <c r="FE124" s="203"/>
      <c r="FF124" s="203"/>
      <c r="FG124" s="203"/>
      <c r="FH124" s="203"/>
      <c r="FI124" s="203"/>
      <c r="FJ124" s="203"/>
      <c r="FK124" s="203"/>
      <c r="FL124" s="203"/>
      <c r="FM124" s="203"/>
      <c r="FN124" s="203"/>
      <c r="FO124" s="203"/>
      <c r="FP124" s="203"/>
      <c r="FQ124" s="203"/>
      <c r="FR124" s="203"/>
      <c r="FS124" s="203"/>
      <c r="FT124" s="203"/>
      <c r="FU124" s="203"/>
      <c r="FV124" s="203"/>
      <c r="FW124" s="203"/>
      <c r="FX124" s="203"/>
      <c r="FY124" s="203"/>
      <c r="FZ124" s="203"/>
      <c r="GA124" s="203"/>
      <c r="GB124" s="203"/>
      <c r="GC124" s="203"/>
      <c r="GD124" s="203"/>
      <c r="GE124" s="203"/>
      <c r="GF124" s="203"/>
      <c r="GG124" s="203"/>
      <c r="GH124" s="203"/>
      <c r="GI124" s="203"/>
      <c r="GJ124" s="203"/>
      <c r="GK124" s="203"/>
      <c r="GL124" s="203"/>
      <c r="GM124" s="203"/>
      <c r="GN124" s="203"/>
      <c r="GO124" s="203"/>
      <c r="GP124" s="203"/>
      <c r="GQ124" s="203"/>
      <c r="GR124" s="203"/>
      <c r="GS124" s="203"/>
      <c r="GT124" s="203"/>
      <c r="GU124" s="203"/>
      <c r="GV124" s="203"/>
      <c r="GW124" s="203"/>
      <c r="GX124" s="203"/>
      <c r="GY124" s="203"/>
      <c r="GZ124" s="203"/>
      <c r="HA124" s="203"/>
      <c r="HB124" s="203"/>
      <c r="HC124" s="203"/>
      <c r="HD124" s="203"/>
      <c r="HE124" s="203"/>
      <c r="HF124" s="203"/>
      <c r="HG124" s="203"/>
      <c r="HH124" s="203"/>
      <c r="HI124" s="203"/>
      <c r="HJ124" s="203"/>
      <c r="HK124" s="203"/>
      <c r="HL124" s="203"/>
      <c r="HM124" s="203"/>
      <c r="HN124" s="203"/>
      <c r="HO124" s="203"/>
      <c r="HP124" s="203"/>
      <c r="HQ124" s="203"/>
      <c r="HR124" s="203"/>
      <c r="HS124" s="203"/>
      <c r="HT124" s="203"/>
      <c r="HU124" s="203"/>
      <c r="HV124" s="203"/>
      <c r="HW124" s="203"/>
      <c r="HX124" s="203"/>
      <c r="HY124" s="203"/>
      <c r="HZ124" s="203"/>
      <c r="IA124" s="203"/>
      <c r="IB124" s="203"/>
      <c r="IC124" s="203"/>
      <c r="ID124" s="203"/>
      <c r="IE124" s="203"/>
      <c r="IF124" s="203"/>
      <c r="IG124" s="203"/>
      <c r="IH124" s="203"/>
      <c r="II124" s="203"/>
      <c r="IJ124" s="203"/>
      <c r="IK124" s="203"/>
      <c r="IL124" s="203"/>
      <c r="IM124" s="203"/>
      <c r="IN124" s="203"/>
      <c r="IO124" s="203"/>
      <c r="IP124" s="203"/>
      <c r="IQ124" s="203"/>
      <c r="IR124" s="203"/>
      <c r="IS124" s="203"/>
      <c r="IT124" s="203"/>
      <c r="IU124" s="203"/>
      <c r="IV124" s="203"/>
      <c r="IW124" s="203"/>
      <c r="IX124" s="203"/>
      <c r="IY124" s="203"/>
      <c r="IZ124" s="203"/>
      <c r="JA124" s="203"/>
      <c r="JB124" s="203"/>
      <c r="JC124" s="203"/>
      <c r="JD124" s="203"/>
      <c r="JE124" s="203"/>
      <c r="JF124" s="203"/>
      <c r="JG124" s="203"/>
      <c r="JH124" s="203"/>
      <c r="JI124" s="203"/>
      <c r="JJ124" s="203"/>
      <c r="JK124" s="203"/>
      <c r="JL124" s="203"/>
      <c r="JM124" s="203"/>
      <c r="JN124" s="203"/>
      <c r="JO124" s="203"/>
      <c r="JP124" s="203"/>
      <c r="JQ124" s="203"/>
      <c r="JR124" s="203"/>
      <c r="JS124" s="203"/>
      <c r="JT124" s="203"/>
      <c r="JU124" s="203"/>
      <c r="JV124" s="203"/>
      <c r="JW124" s="203"/>
      <c r="JX124" s="203"/>
      <c r="JY124"/>
      <c r="JZ124" s="262"/>
      <c r="KA124" s="262"/>
      <c r="KB124" s="262"/>
      <c r="KC124" s="262"/>
      <c r="KD124" s="262"/>
      <c r="KE124" s="262"/>
      <c r="KF124" s="262"/>
      <c r="KG124" s="262"/>
      <c r="KH124" s="262"/>
      <c r="KI124" s="262"/>
      <c r="KJ124" s="262"/>
      <c r="KK124" s="262"/>
      <c r="KL124" s="262"/>
      <c r="KM124" s="262"/>
      <c r="KN124" s="262"/>
      <c r="KO124" s="262"/>
      <c r="KP124" s="262"/>
      <c r="KQ124" s="262"/>
      <c r="KR124" s="262"/>
      <c r="KS124" s="262"/>
      <c r="KT124" s="262"/>
      <c r="KU124" s="262"/>
      <c r="KV124" s="262"/>
      <c r="KW124" s="262"/>
      <c r="KX124" s="262"/>
      <c r="KY124" s="262"/>
      <c r="KZ124" s="262"/>
      <c r="LA124" s="262"/>
      <c r="LB124" s="262"/>
      <c r="LC124" s="262"/>
      <c r="LD124" s="262"/>
      <c r="LE124" s="262"/>
      <c r="LF124" s="262"/>
      <c r="LG124" s="262"/>
      <c r="LH124" s="262"/>
      <c r="LI124" s="262"/>
      <c r="LJ124" s="262"/>
      <c r="LK124" s="262"/>
      <c r="LL124" s="262"/>
      <c r="LM124" s="262"/>
      <c r="LN124" s="262"/>
      <c r="LO124" s="262"/>
      <c r="LP124" s="262"/>
      <c r="LQ124" s="262"/>
      <c r="LR124" s="262"/>
      <c r="LS124" s="262"/>
      <c r="LT124" s="262"/>
      <c r="LU124" s="262"/>
      <c r="LV124" s="262"/>
      <c r="LW124" s="262"/>
      <c r="LX124" s="262"/>
      <c r="LY124" s="262"/>
      <c r="LZ124" s="262"/>
      <c r="MA124" s="262"/>
      <c r="MB124" s="262"/>
      <c r="MC124" s="262"/>
      <c r="MD124" s="262"/>
      <c r="ME124" s="262"/>
      <c r="MF124" s="262"/>
      <c r="MG124" s="262"/>
      <c r="MH124" s="262"/>
      <c r="MI124" s="262"/>
      <c r="MJ124" s="262"/>
      <c r="MK124" s="262"/>
      <c r="ML124" s="262"/>
      <c r="MM124" s="262"/>
      <c r="MN124" s="262"/>
      <c r="MO124" s="262"/>
      <c r="MP124" s="262"/>
      <c r="MQ124" s="262"/>
      <c r="MR124" s="262"/>
      <c r="MS124" s="262"/>
      <c r="MT124" s="262"/>
      <c r="MU124" s="262"/>
      <c r="MV124" s="262"/>
      <c r="MW124" s="262"/>
      <c r="MX124" s="262"/>
      <c r="MY124" s="262"/>
      <c r="MZ124" s="262"/>
      <c r="NA124" s="262"/>
      <c r="NB124" s="262"/>
      <c r="NC124" s="262"/>
      <c r="ND124" s="262"/>
      <c r="NE124" s="262"/>
      <c r="NF124" s="262"/>
      <c r="NG124" s="262"/>
      <c r="NH124" s="262"/>
      <c r="NI124" s="262"/>
      <c r="NJ124" s="262"/>
      <c r="NK124" s="262"/>
      <c r="NL124" s="262"/>
      <c r="NM124" s="262"/>
      <c r="NN124" s="262"/>
      <c r="NO124" s="262"/>
      <c r="NP124" s="262"/>
      <c r="NQ124" s="262"/>
      <c r="NR124" s="262"/>
      <c r="NS124" s="262"/>
      <c r="NT124" s="262"/>
      <c r="NU124" s="262"/>
      <c r="NV124" s="262"/>
      <c r="NW124" s="262"/>
      <c r="NX124" s="262"/>
      <c r="NY124" s="262"/>
      <c r="NZ124" s="262"/>
      <c r="OA124" s="262"/>
      <c r="OB124" s="262"/>
      <c r="OC124" s="262"/>
      <c r="OD124" s="262"/>
      <c r="OE124" s="262"/>
      <c r="OF124" s="262"/>
      <c r="OG124" s="262"/>
      <c r="OH124" s="262"/>
      <c r="OI124" s="262"/>
      <c r="OJ124" s="262"/>
      <c r="OK124" s="262"/>
      <c r="OL124" s="262"/>
      <c r="OM124" s="262"/>
      <c r="ON124" s="262"/>
      <c r="OO124" s="262"/>
      <c r="OP124" s="262"/>
      <c r="OQ124" s="262"/>
      <c r="OR124" s="262"/>
      <c r="OS124" s="262"/>
      <c r="OT124" s="262"/>
      <c r="OU124" s="262"/>
      <c r="OV124" s="262"/>
      <c r="OW124" s="262"/>
      <c r="OX124" s="262"/>
      <c r="OY124" s="262"/>
      <c r="OZ124" s="262"/>
      <c r="PA124" s="262"/>
      <c r="PB124" s="262"/>
      <c r="PC124" s="262"/>
      <c r="PD124" s="262"/>
      <c r="PE124" s="262"/>
      <c r="PF124" s="262"/>
      <c r="PG124" s="262"/>
      <c r="PH124" s="262"/>
    </row>
    <row r="125" spans="1:424" x14ac:dyDescent="0.35">
      <c r="A125"/>
      <c r="B125" s="419" t="s">
        <v>289</v>
      </c>
      <c r="C125" s="414">
        <v>7</v>
      </c>
      <c r="D125" s="257">
        <f>$D$88</f>
        <v>37</v>
      </c>
      <c r="E125" s="476">
        <v>0</v>
      </c>
      <c r="F125" s="838">
        <f>'URWLD COMPANY INPUTS'!$F$80</f>
        <v>2.5000000000000001E-2</v>
      </c>
      <c r="G125" s="39">
        <f>I125/$I$105</f>
        <v>1.8072198787562694</v>
      </c>
      <c r="H125" s="297">
        <f>I125/Units</f>
        <v>351.90755731520346</v>
      </c>
      <c r="I125" s="837">
        <f>MAX(0,'DATA MAP'!$E$65*1000000-SUM($I$105,$I$120,$I$123:$I$124))</f>
        <v>27614319.747395799</v>
      </c>
      <c r="J125"/>
      <c r="K125"/>
      <c r="L125" s="75">
        <f t="shared" si="423"/>
        <v>0</v>
      </c>
      <c r="M125" s="422">
        <f t="shared" si="423"/>
        <v>0</v>
      </c>
      <c r="N125" s="422">
        <f t="shared" si="423"/>
        <v>0</v>
      </c>
      <c r="O125" s="422">
        <f t="shared" si="423"/>
        <v>0</v>
      </c>
      <c r="P125" s="422">
        <f t="shared" si="423"/>
        <v>0</v>
      </c>
      <c r="Q125" s="422">
        <f t="shared" si="423"/>
        <v>0</v>
      </c>
      <c r="R125" s="422">
        <f t="shared" si="423"/>
        <v>0</v>
      </c>
      <c r="S125" s="422">
        <f t="shared" si="423"/>
        <v>0</v>
      </c>
      <c r="T125" s="422">
        <f t="shared" si="423"/>
        <v>0</v>
      </c>
      <c r="U125" s="422">
        <f t="shared" si="423"/>
        <v>0</v>
      </c>
      <c r="V125" s="422">
        <f t="shared" si="424"/>
        <v>0</v>
      </c>
      <c r="W125" s="422">
        <f t="shared" si="424"/>
        <v>0</v>
      </c>
      <c r="X125" s="422">
        <f t="shared" si="424"/>
        <v>0</v>
      </c>
      <c r="Y125" s="422">
        <f t="shared" si="424"/>
        <v>0</v>
      </c>
      <c r="Z125" s="422">
        <f t="shared" si="424"/>
        <v>0</v>
      </c>
      <c r="AA125" s="422">
        <f t="shared" si="424"/>
        <v>0</v>
      </c>
      <c r="AB125" s="422">
        <f t="shared" si="424"/>
        <v>0</v>
      </c>
      <c r="AC125" s="422">
        <f t="shared" si="424"/>
        <v>0</v>
      </c>
      <c r="AD125" s="422">
        <f t="shared" si="424"/>
        <v>0</v>
      </c>
      <c r="AE125" s="422">
        <f t="shared" si="424"/>
        <v>0</v>
      </c>
      <c r="AF125" s="422">
        <f t="shared" si="425"/>
        <v>0</v>
      </c>
      <c r="AG125" s="422">
        <f t="shared" si="425"/>
        <v>0</v>
      </c>
      <c r="AH125" s="422">
        <f t="shared" si="425"/>
        <v>0</v>
      </c>
      <c r="AI125" s="422">
        <f t="shared" si="425"/>
        <v>0</v>
      </c>
      <c r="AJ125" s="422">
        <f t="shared" si="425"/>
        <v>0</v>
      </c>
      <c r="AK125" s="422">
        <f t="shared" si="425"/>
        <v>0</v>
      </c>
      <c r="AL125" s="422">
        <f t="shared" si="425"/>
        <v>0</v>
      </c>
      <c r="AM125" s="422">
        <f t="shared" si="425"/>
        <v>0</v>
      </c>
      <c r="AN125" s="422">
        <f t="shared" si="425"/>
        <v>0</v>
      </c>
      <c r="AO125" s="422">
        <f t="shared" si="425"/>
        <v>0</v>
      </c>
      <c r="AP125" s="422">
        <f t="shared" si="426"/>
        <v>0</v>
      </c>
      <c r="AQ125" s="422">
        <f t="shared" si="426"/>
        <v>0</v>
      </c>
      <c r="AR125" s="422">
        <f t="shared" si="426"/>
        <v>0</v>
      </c>
      <c r="AS125" s="422">
        <f t="shared" si="426"/>
        <v>0</v>
      </c>
      <c r="AT125" s="422">
        <f t="shared" si="426"/>
        <v>0</v>
      </c>
      <c r="AU125" s="422">
        <f t="shared" si="426"/>
        <v>0</v>
      </c>
      <c r="AV125" s="422">
        <f t="shared" si="426"/>
        <v>0</v>
      </c>
      <c r="AW125" s="422">
        <f t="shared" si="426"/>
        <v>0</v>
      </c>
      <c r="AX125" s="422">
        <f t="shared" si="426"/>
        <v>191766.10935691526</v>
      </c>
      <c r="AY125" s="422">
        <f t="shared" si="426"/>
        <v>383532.21871383052</v>
      </c>
      <c r="AZ125" s="422">
        <f t="shared" si="427"/>
        <v>575298.3280707458</v>
      </c>
      <c r="BA125" s="422">
        <f t="shared" si="427"/>
        <v>767064.43742766103</v>
      </c>
      <c r="BB125" s="422">
        <f t="shared" si="427"/>
        <v>958830.54678457638</v>
      </c>
      <c r="BC125" s="422">
        <f t="shared" si="427"/>
        <v>1150596.6561414916</v>
      </c>
      <c r="BD125" s="422">
        <f t="shared" si="427"/>
        <v>1342362.765498407</v>
      </c>
      <c r="BE125" s="422">
        <f t="shared" si="427"/>
        <v>1534128.8748553221</v>
      </c>
      <c r="BF125" s="422">
        <f t="shared" si="427"/>
        <v>1725894.9842122374</v>
      </c>
      <c r="BG125" s="422">
        <f t="shared" si="427"/>
        <v>1917661.0935691528</v>
      </c>
      <c r="BH125" s="422">
        <f t="shared" si="427"/>
        <v>2109427.2029260676</v>
      </c>
      <c r="BI125" s="422">
        <f t="shared" si="427"/>
        <v>2358723.1450900575</v>
      </c>
      <c r="BJ125" s="422">
        <f t="shared" si="428"/>
        <v>2358723.1450900575</v>
      </c>
      <c r="BK125" s="422">
        <f t="shared" si="428"/>
        <v>2358723.1450900575</v>
      </c>
      <c r="BL125" s="422">
        <f t="shared" si="428"/>
        <v>2358723.1450900575</v>
      </c>
      <c r="BM125" s="422">
        <f t="shared" si="428"/>
        <v>2358723.1450900575</v>
      </c>
      <c r="BN125" s="422">
        <f t="shared" si="428"/>
        <v>2358723.1450900575</v>
      </c>
      <c r="BO125" s="422">
        <f t="shared" si="428"/>
        <v>2358723.1450900575</v>
      </c>
      <c r="BP125" s="422">
        <f t="shared" si="428"/>
        <v>2358723.1450900575</v>
      </c>
      <c r="BQ125" s="422">
        <f t="shared" si="428"/>
        <v>2358723.1450900575</v>
      </c>
      <c r="BR125" s="422">
        <f t="shared" si="428"/>
        <v>2358723.1450900575</v>
      </c>
      <c r="BS125" s="422">
        <f t="shared" si="428"/>
        <v>2358723.1450900575</v>
      </c>
      <c r="BT125" s="422">
        <f t="shared" si="429"/>
        <v>2358723.1450900575</v>
      </c>
      <c r="BU125" s="422">
        <f t="shared" si="429"/>
        <v>2417691.2237173091</v>
      </c>
      <c r="BV125" s="422">
        <f t="shared" si="429"/>
        <v>2417691.2237173091</v>
      </c>
      <c r="BW125" s="422">
        <f t="shared" si="429"/>
        <v>2417691.2237173091</v>
      </c>
      <c r="BX125" s="422">
        <f t="shared" si="429"/>
        <v>2417691.2237173091</v>
      </c>
      <c r="BY125" s="422">
        <f t="shared" si="429"/>
        <v>2417691.2237173091</v>
      </c>
      <c r="BZ125" s="422">
        <f t="shared" si="429"/>
        <v>2417691.2237173091</v>
      </c>
      <c r="CA125" s="422">
        <f t="shared" si="429"/>
        <v>2417691.2237173091</v>
      </c>
      <c r="CB125" s="422">
        <f t="shared" si="429"/>
        <v>2417691.2237173091</v>
      </c>
      <c r="CC125" s="422">
        <f t="shared" si="429"/>
        <v>2417691.2237173091</v>
      </c>
      <c r="CD125" s="422">
        <f t="shared" si="430"/>
        <v>2417691.2237173091</v>
      </c>
      <c r="CE125" s="422">
        <f t="shared" si="430"/>
        <v>2417691.2237173091</v>
      </c>
      <c r="CF125" s="422">
        <f t="shared" si="430"/>
        <v>2417691.2237173091</v>
      </c>
      <c r="CG125" s="422">
        <f t="shared" si="430"/>
        <v>2478133.5043102419</v>
      </c>
      <c r="CH125" s="422">
        <f t="shared" si="430"/>
        <v>2478133.5043102419</v>
      </c>
      <c r="CI125" s="422">
        <f t="shared" si="430"/>
        <v>2478133.5043102419</v>
      </c>
      <c r="CJ125" s="422">
        <f t="shared" si="430"/>
        <v>2478133.5043102419</v>
      </c>
      <c r="CK125" s="422">
        <f t="shared" si="430"/>
        <v>2478133.5043102419</v>
      </c>
      <c r="CL125" s="422">
        <f t="shared" si="430"/>
        <v>2478133.5043102419</v>
      </c>
      <c r="CM125" s="422">
        <f t="shared" si="430"/>
        <v>2478133.5043102419</v>
      </c>
      <c r="CN125" s="422">
        <f t="shared" si="431"/>
        <v>2478133.5043102419</v>
      </c>
      <c r="CO125" s="422">
        <f t="shared" si="431"/>
        <v>2478133.5043102419</v>
      </c>
      <c r="CP125" s="422">
        <f t="shared" si="431"/>
        <v>2478133.5043102419</v>
      </c>
      <c r="CQ125" s="422">
        <f t="shared" si="431"/>
        <v>2478133.5043102419</v>
      </c>
      <c r="CR125" s="422">
        <f t="shared" si="431"/>
        <v>2478133.5043102419</v>
      </c>
      <c r="CS125" s="422">
        <f t="shared" si="431"/>
        <v>2540086.8419179977</v>
      </c>
      <c r="CT125" s="422">
        <f t="shared" si="431"/>
        <v>2540086.8419179977</v>
      </c>
      <c r="CU125" s="422">
        <f t="shared" si="431"/>
        <v>2540086.8419179977</v>
      </c>
      <c r="CV125" s="422">
        <f t="shared" si="431"/>
        <v>2540086.8419179977</v>
      </c>
      <c r="CW125" s="422">
        <f t="shared" si="431"/>
        <v>2540086.8419179977</v>
      </c>
      <c r="CX125" s="422">
        <f t="shared" si="432"/>
        <v>2540086.8419179977</v>
      </c>
      <c r="CY125" s="422">
        <f t="shared" si="432"/>
        <v>2540086.8419179977</v>
      </c>
      <c r="CZ125" s="422">
        <f t="shared" si="432"/>
        <v>2540086.8419179977</v>
      </c>
      <c r="DA125" s="422">
        <f t="shared" si="432"/>
        <v>2540086.8419179977</v>
      </c>
      <c r="DB125" s="422">
        <f t="shared" si="432"/>
        <v>2540086.8419179977</v>
      </c>
      <c r="DC125" s="422">
        <f t="shared" si="432"/>
        <v>2540086.8419179977</v>
      </c>
      <c r="DD125" s="422">
        <f t="shared" si="432"/>
        <v>2540086.8419179977</v>
      </c>
      <c r="DE125" s="422">
        <f t="shared" si="432"/>
        <v>2603589.0129659474</v>
      </c>
      <c r="DF125" s="422">
        <f t="shared" si="432"/>
        <v>2603589.0129659474</v>
      </c>
      <c r="DG125" s="422">
        <f t="shared" si="432"/>
        <v>2603589.0129659474</v>
      </c>
      <c r="DH125" s="422">
        <f t="shared" si="433"/>
        <v>2603589.0129659474</v>
      </c>
      <c r="DI125" s="422">
        <f t="shared" si="433"/>
        <v>2603589.0129659474</v>
      </c>
      <c r="DJ125" s="422">
        <f t="shared" si="433"/>
        <v>2603589.0129659474</v>
      </c>
      <c r="DK125" s="422">
        <f t="shared" si="433"/>
        <v>2603589.0129659474</v>
      </c>
      <c r="DL125" s="422">
        <f t="shared" si="433"/>
        <v>2603589.0129659474</v>
      </c>
      <c r="DM125" s="422">
        <f t="shared" si="433"/>
        <v>2603589.0129659474</v>
      </c>
      <c r="DN125" s="422">
        <f t="shared" si="433"/>
        <v>2603589.0129659474</v>
      </c>
      <c r="DO125" s="422">
        <f t="shared" si="433"/>
        <v>2603589.0129659474</v>
      </c>
      <c r="DP125" s="422">
        <f t="shared" si="433"/>
        <v>2603589.0129659474</v>
      </c>
      <c r="DQ125" s="422">
        <f t="shared" si="433"/>
        <v>2668678.7382900957</v>
      </c>
      <c r="DR125" s="422">
        <f t="shared" si="434"/>
        <v>2668678.7382900957</v>
      </c>
      <c r="DS125" s="422">
        <f t="shared" si="434"/>
        <v>2668678.7382900957</v>
      </c>
      <c r="DT125" s="422">
        <f t="shared" si="434"/>
        <v>2668678.7382900957</v>
      </c>
      <c r="DU125" s="422">
        <f t="shared" si="434"/>
        <v>2668678.7382900957</v>
      </c>
      <c r="DV125" s="422">
        <f t="shared" si="434"/>
        <v>2668678.7382900957</v>
      </c>
      <c r="DW125" s="422">
        <f t="shared" si="434"/>
        <v>2668678.7382900957</v>
      </c>
      <c r="DX125" s="422">
        <f t="shared" si="434"/>
        <v>2668678.7382900957</v>
      </c>
      <c r="DY125" s="422">
        <f t="shared" si="434"/>
        <v>2668678.7382900957</v>
      </c>
      <c r="DZ125" s="422">
        <f t="shared" si="434"/>
        <v>2668678.7382900957</v>
      </c>
      <c r="EA125" s="422">
        <f t="shared" si="434"/>
        <v>2668678.7382900957</v>
      </c>
      <c r="EB125" s="422">
        <f t="shared" si="435"/>
        <v>2668678.7382900957</v>
      </c>
      <c r="EC125" s="422">
        <f t="shared" si="435"/>
        <v>2735395.706747348</v>
      </c>
      <c r="ED125" s="422">
        <f t="shared" si="435"/>
        <v>2735395.706747348</v>
      </c>
      <c r="EE125" s="422">
        <f t="shared" si="435"/>
        <v>2735395.706747348</v>
      </c>
      <c r="EF125" s="422">
        <f t="shared" si="435"/>
        <v>2735395.706747348</v>
      </c>
      <c r="EG125" s="422">
        <f t="shared" si="435"/>
        <v>2735395.706747348</v>
      </c>
      <c r="EH125" s="422">
        <f t="shared" si="435"/>
        <v>2735395.706747348</v>
      </c>
      <c r="EI125" s="422">
        <f t="shared" si="435"/>
        <v>2735395.706747348</v>
      </c>
      <c r="EJ125" s="422">
        <f t="shared" si="435"/>
        <v>2735395.706747348</v>
      </c>
      <c r="EK125" s="422">
        <f t="shared" si="435"/>
        <v>2735395.706747348</v>
      </c>
      <c r="EL125" s="422">
        <f t="shared" si="435"/>
        <v>2735395.706747348</v>
      </c>
      <c r="EM125" s="422">
        <f t="shared" si="435"/>
        <v>2735395.706747348</v>
      </c>
      <c r="EN125" s="422">
        <f t="shared" si="435"/>
        <v>2735395.706747348</v>
      </c>
      <c r="EO125"/>
      <c r="EP125" s="219"/>
      <c r="EQ125" s="209"/>
      <c r="ER125" s="18"/>
      <c r="ES125" s="18"/>
      <c r="ET125" s="18"/>
      <c r="EU125" s="18"/>
      <c r="EV125" s="203"/>
      <c r="EW125" s="203"/>
      <c r="EX125" s="203"/>
      <c r="EY125" s="203"/>
      <c r="EZ125" s="203"/>
      <c r="FA125" s="203"/>
      <c r="FB125" s="203"/>
      <c r="FC125" s="203"/>
      <c r="FD125" s="203"/>
      <c r="FE125" s="203"/>
      <c r="FF125" s="203"/>
      <c r="FG125" s="203"/>
      <c r="FH125" s="203"/>
      <c r="FI125" s="203"/>
      <c r="FJ125" s="203"/>
      <c r="FK125" s="203"/>
      <c r="FL125" s="203"/>
      <c r="FM125" s="203"/>
      <c r="FN125" s="203"/>
      <c r="FO125" s="203"/>
      <c r="FP125" s="203"/>
      <c r="FQ125" s="203"/>
      <c r="FR125" s="203"/>
      <c r="FS125" s="203"/>
      <c r="FT125" s="203"/>
      <c r="FU125" s="203"/>
      <c r="FV125" s="203"/>
      <c r="FW125" s="203"/>
      <c r="FX125" s="203"/>
      <c r="FY125" s="203"/>
      <c r="FZ125" s="203"/>
      <c r="GA125" s="203"/>
      <c r="GB125" s="203"/>
      <c r="GC125" s="203"/>
      <c r="GD125" s="203"/>
      <c r="GE125" s="203"/>
      <c r="GF125" s="203"/>
      <c r="GG125" s="203"/>
      <c r="GH125" s="203"/>
      <c r="GI125" s="203"/>
      <c r="GJ125" s="203"/>
      <c r="GK125" s="203"/>
      <c r="GL125" s="203"/>
      <c r="GM125" s="203"/>
      <c r="GN125" s="203"/>
      <c r="GO125" s="203"/>
      <c r="GP125" s="203"/>
      <c r="GQ125" s="203"/>
      <c r="GR125" s="203"/>
      <c r="GS125" s="203"/>
      <c r="GT125" s="203"/>
      <c r="GU125" s="203"/>
      <c r="GV125" s="203"/>
      <c r="GW125" s="203"/>
      <c r="GX125" s="203"/>
      <c r="GY125" s="203"/>
      <c r="GZ125" s="203"/>
      <c r="HA125" s="203"/>
      <c r="HB125" s="203"/>
      <c r="HC125" s="203"/>
      <c r="HD125" s="203"/>
      <c r="HE125" s="203"/>
      <c r="HF125" s="203"/>
      <c r="HG125" s="203"/>
      <c r="HH125" s="203"/>
      <c r="HI125" s="203"/>
      <c r="HJ125" s="203"/>
      <c r="HK125" s="203"/>
      <c r="HL125" s="203"/>
      <c r="HM125" s="203"/>
      <c r="HN125" s="203"/>
      <c r="HO125" s="203"/>
      <c r="HP125" s="203"/>
      <c r="HQ125" s="203"/>
      <c r="HR125" s="203"/>
      <c r="HS125" s="203"/>
      <c r="HT125" s="203"/>
      <c r="HU125" s="203"/>
      <c r="HV125" s="203"/>
      <c r="HW125" s="203"/>
      <c r="HX125" s="203"/>
      <c r="HY125" s="203"/>
      <c r="HZ125" s="203"/>
      <c r="IA125" s="203"/>
      <c r="IB125" s="203"/>
      <c r="IC125" s="203"/>
      <c r="ID125" s="203"/>
      <c r="IE125" s="203"/>
      <c r="IF125" s="203"/>
      <c r="IG125" s="203"/>
      <c r="IH125" s="203"/>
      <c r="II125" s="203"/>
      <c r="IJ125" s="203"/>
      <c r="IK125" s="203"/>
      <c r="IL125" s="203"/>
      <c r="IM125" s="203"/>
      <c r="IN125" s="203"/>
      <c r="IO125" s="203"/>
      <c r="IP125" s="203"/>
      <c r="IQ125" s="203"/>
      <c r="IR125" s="203"/>
      <c r="IS125" s="203"/>
      <c r="IT125" s="203"/>
      <c r="IU125" s="203"/>
      <c r="IV125" s="203"/>
      <c r="IW125" s="203"/>
      <c r="IX125" s="203"/>
      <c r="IY125" s="203"/>
      <c r="IZ125" s="203"/>
      <c r="JA125" s="203"/>
      <c r="JB125" s="203"/>
      <c r="JC125" s="203"/>
      <c r="JD125" s="203"/>
      <c r="JE125" s="203"/>
      <c r="JF125" s="203"/>
      <c r="JG125" s="203"/>
      <c r="JH125" s="203"/>
      <c r="JI125" s="203"/>
      <c r="JJ125" s="203"/>
      <c r="JK125" s="203"/>
      <c r="JL125" s="203"/>
      <c r="JM125" s="203"/>
      <c r="JN125" s="203"/>
      <c r="JO125" s="203"/>
      <c r="JP125" s="203"/>
      <c r="JQ125" s="203"/>
      <c r="JR125" s="203"/>
      <c r="JS125" s="203"/>
      <c r="JT125" s="203"/>
      <c r="JU125" s="203"/>
      <c r="JV125" s="203"/>
      <c r="JW125" s="203"/>
      <c r="JX125" s="203"/>
      <c r="JY125"/>
      <c r="JZ125" s="262"/>
      <c r="KA125" s="262"/>
      <c r="KB125" s="262"/>
      <c r="KC125" s="262"/>
      <c r="KD125" s="262"/>
      <c r="KE125" s="262"/>
      <c r="KF125" s="262"/>
      <c r="KG125" s="262"/>
      <c r="KH125" s="262"/>
      <c r="KI125" s="262"/>
      <c r="KJ125" s="262"/>
      <c r="KK125" s="262"/>
      <c r="KL125" s="262"/>
      <c r="KM125" s="262"/>
      <c r="KN125" s="262"/>
      <c r="KO125" s="262"/>
      <c r="KP125" s="262"/>
      <c r="KQ125" s="262"/>
      <c r="KR125" s="262"/>
      <c r="KS125" s="262"/>
      <c r="KT125" s="262"/>
      <c r="KU125" s="262"/>
      <c r="KV125" s="262"/>
      <c r="KW125" s="262"/>
      <c r="KX125" s="262"/>
      <c r="KY125" s="262"/>
      <c r="KZ125" s="262"/>
      <c r="LA125" s="262"/>
      <c r="LB125" s="262"/>
      <c r="LC125" s="262"/>
      <c r="LD125" s="262"/>
      <c r="LE125" s="262"/>
      <c r="LF125" s="262"/>
      <c r="LG125" s="262"/>
      <c r="LH125" s="262"/>
      <c r="LI125" s="262"/>
      <c r="LJ125" s="262"/>
      <c r="LK125" s="262"/>
      <c r="LL125" s="262"/>
      <c r="LM125" s="262"/>
      <c r="LN125" s="262"/>
      <c r="LO125" s="262"/>
      <c r="LP125" s="262"/>
      <c r="LQ125" s="262"/>
      <c r="LR125" s="262"/>
      <c r="LS125" s="262"/>
      <c r="LT125" s="262"/>
      <c r="LU125" s="262"/>
      <c r="LV125" s="262"/>
      <c r="LW125" s="262"/>
      <c r="LX125" s="262"/>
      <c r="LY125" s="262"/>
      <c r="LZ125" s="262"/>
      <c r="MA125" s="262"/>
      <c r="MB125" s="262"/>
      <c r="MC125" s="262"/>
      <c r="MD125" s="262"/>
      <c r="ME125" s="262"/>
      <c r="MF125" s="262"/>
      <c r="MG125" s="262"/>
      <c r="MH125" s="262"/>
      <c r="MI125" s="262"/>
      <c r="MJ125" s="262"/>
      <c r="MK125" s="262"/>
      <c r="ML125" s="262"/>
      <c r="MM125" s="262"/>
      <c r="MN125" s="262"/>
      <c r="MO125" s="262"/>
      <c r="MP125" s="262"/>
      <c r="MQ125" s="262"/>
      <c r="MR125" s="262"/>
      <c r="MS125" s="262"/>
      <c r="MT125" s="262"/>
      <c r="MU125" s="262"/>
      <c r="MV125" s="262"/>
      <c r="MW125" s="262"/>
      <c r="MX125" s="262"/>
      <c r="MY125" s="262"/>
      <c r="MZ125" s="262"/>
      <c r="NA125" s="262"/>
      <c r="NB125" s="262"/>
      <c r="NC125" s="262"/>
      <c r="ND125" s="262"/>
      <c r="NE125" s="262"/>
      <c r="NF125" s="262"/>
      <c r="NG125" s="262"/>
      <c r="NH125" s="262"/>
      <c r="NI125" s="262"/>
      <c r="NJ125" s="262"/>
      <c r="NK125" s="262"/>
      <c r="NL125" s="262"/>
      <c r="NM125" s="262"/>
      <c r="NN125" s="262"/>
      <c r="NO125" s="262"/>
      <c r="NP125" s="262"/>
      <c r="NQ125" s="262"/>
      <c r="NR125" s="262"/>
      <c r="NS125" s="262"/>
      <c r="NT125" s="262"/>
      <c r="NU125" s="262"/>
      <c r="NV125" s="262"/>
      <c r="NW125" s="262"/>
      <c r="NX125" s="262"/>
      <c r="NY125" s="262"/>
      <c r="NZ125" s="262"/>
      <c r="OA125" s="262"/>
      <c r="OB125" s="262"/>
      <c r="OC125" s="262"/>
      <c r="OD125" s="262"/>
      <c r="OE125" s="262"/>
      <c r="OF125" s="262"/>
      <c r="OG125" s="262"/>
      <c r="OH125" s="262"/>
      <c r="OI125" s="262"/>
      <c r="OJ125" s="262"/>
      <c r="OK125" s="262"/>
      <c r="OL125" s="262"/>
      <c r="OM125" s="262"/>
      <c r="ON125" s="262"/>
      <c r="OO125" s="262"/>
      <c r="OP125" s="262"/>
      <c r="OQ125" s="262"/>
      <c r="OR125" s="262"/>
      <c r="OS125" s="262"/>
      <c r="OT125" s="262"/>
      <c r="OU125" s="262"/>
      <c r="OV125" s="262"/>
      <c r="OW125" s="262"/>
      <c r="OX125" s="262"/>
      <c r="OY125" s="262"/>
      <c r="OZ125" s="262"/>
      <c r="PA125" s="262"/>
      <c r="PB125" s="262"/>
      <c r="PC125" s="262"/>
      <c r="PD125" s="262"/>
      <c r="PE125" s="262"/>
      <c r="PF125" s="262"/>
      <c r="PG125" s="262"/>
      <c r="PH125" s="262"/>
    </row>
    <row r="126" spans="1:424" x14ac:dyDescent="0.35">
      <c r="A126"/>
      <c r="B126" s="427" t="s">
        <v>290</v>
      </c>
      <c r="C126" s="41">
        <f>IF(I126=0,0,SUMPRODUCT(F123:F125,I123:I125)/I126)</f>
        <v>2.5000000000000001E-2</v>
      </c>
      <c r="D126" s="41"/>
      <c r="E126" s="46"/>
      <c r="F126" s="147"/>
      <c r="G126" s="39">
        <f>+I126/$I$105</f>
        <v>1.9804922609552225</v>
      </c>
      <c r="H126" s="38">
        <f>SUM(I123:I125)</f>
        <v>30261921.747395799</v>
      </c>
      <c r="I126" s="445">
        <f>SUM(I123:I125)</f>
        <v>30261921.747395799</v>
      </c>
      <c r="J126"/>
      <c r="K126" s="75"/>
      <c r="L126" s="75">
        <f t="shared" ref="L126:AQ126" si="436">SUM(L123:L125)</f>
        <v>0</v>
      </c>
      <c r="M126" s="75">
        <f t="shared" si="436"/>
        <v>0</v>
      </c>
      <c r="N126" s="75">
        <f t="shared" si="436"/>
        <v>0</v>
      </c>
      <c r="O126" s="75">
        <f t="shared" si="436"/>
        <v>0</v>
      </c>
      <c r="P126" s="75">
        <f t="shared" si="436"/>
        <v>0</v>
      </c>
      <c r="Q126" s="75">
        <f t="shared" si="436"/>
        <v>0</v>
      </c>
      <c r="R126" s="75">
        <f t="shared" si="436"/>
        <v>0</v>
      </c>
      <c r="S126" s="75">
        <f t="shared" si="436"/>
        <v>0</v>
      </c>
      <c r="T126" s="75">
        <f t="shared" si="436"/>
        <v>0</v>
      </c>
      <c r="U126" s="75">
        <f t="shared" si="436"/>
        <v>0</v>
      </c>
      <c r="V126" s="75">
        <f t="shared" si="436"/>
        <v>0</v>
      </c>
      <c r="W126" s="75">
        <f t="shared" si="436"/>
        <v>0</v>
      </c>
      <c r="X126" s="75">
        <f t="shared" si="436"/>
        <v>0</v>
      </c>
      <c r="Y126" s="75">
        <f t="shared" si="436"/>
        <v>0</v>
      </c>
      <c r="Z126" s="75">
        <f t="shared" si="436"/>
        <v>0</v>
      </c>
      <c r="AA126" s="75">
        <f t="shared" si="436"/>
        <v>0</v>
      </c>
      <c r="AB126" s="75">
        <f t="shared" si="436"/>
        <v>0</v>
      </c>
      <c r="AC126" s="75">
        <f t="shared" si="436"/>
        <v>0</v>
      </c>
      <c r="AD126" s="75">
        <f t="shared" si="436"/>
        <v>0</v>
      </c>
      <c r="AE126" s="75">
        <f t="shared" si="436"/>
        <v>0</v>
      </c>
      <c r="AF126" s="75">
        <f t="shared" si="436"/>
        <v>0</v>
      </c>
      <c r="AG126" s="75">
        <f t="shared" si="436"/>
        <v>0</v>
      </c>
      <c r="AH126" s="75">
        <f t="shared" si="436"/>
        <v>0</v>
      </c>
      <c r="AI126" s="75">
        <f t="shared" si="436"/>
        <v>0</v>
      </c>
      <c r="AJ126" s="75">
        <f t="shared" si="436"/>
        <v>0</v>
      </c>
      <c r="AK126" s="75">
        <f t="shared" si="436"/>
        <v>0</v>
      </c>
      <c r="AL126" s="75">
        <f t="shared" si="436"/>
        <v>0</v>
      </c>
      <c r="AM126" s="75">
        <f t="shared" si="436"/>
        <v>0</v>
      </c>
      <c r="AN126" s="75">
        <f t="shared" si="436"/>
        <v>0</v>
      </c>
      <c r="AO126" s="75">
        <f t="shared" si="436"/>
        <v>0</v>
      </c>
      <c r="AP126" s="75">
        <f t="shared" si="436"/>
        <v>0</v>
      </c>
      <c r="AQ126" s="75">
        <f t="shared" si="436"/>
        <v>0</v>
      </c>
      <c r="AR126" s="75">
        <f t="shared" ref="AR126:BW126" si="437">SUM(AR123:AR125)</f>
        <v>0</v>
      </c>
      <c r="AS126" s="75">
        <f t="shared" si="437"/>
        <v>0</v>
      </c>
      <c r="AT126" s="75">
        <f t="shared" si="437"/>
        <v>0</v>
      </c>
      <c r="AU126" s="75">
        <f t="shared" si="437"/>
        <v>0</v>
      </c>
      <c r="AV126" s="75">
        <f t="shared" si="437"/>
        <v>0</v>
      </c>
      <c r="AW126" s="75">
        <f t="shared" si="437"/>
        <v>23966.833333333332</v>
      </c>
      <c r="AX126" s="75">
        <f t="shared" si="437"/>
        <v>232121.83157913748</v>
      </c>
      <c r="AY126" s="75">
        <f t="shared" si="437"/>
        <v>440276.82982494164</v>
      </c>
      <c r="AZ126" s="75">
        <f t="shared" si="437"/>
        <v>648431.8280707458</v>
      </c>
      <c r="BA126" s="75">
        <f t="shared" si="437"/>
        <v>856586.82631654991</v>
      </c>
      <c r="BB126" s="75">
        <f t="shared" si="437"/>
        <v>1064741.8245623542</v>
      </c>
      <c r="BC126" s="75">
        <f t="shared" si="437"/>
        <v>1272896.8228081584</v>
      </c>
      <c r="BD126" s="75">
        <f t="shared" si="437"/>
        <v>1481051.8210539625</v>
      </c>
      <c r="BE126" s="75">
        <f t="shared" si="437"/>
        <v>1689206.8192997666</v>
      </c>
      <c r="BF126" s="75">
        <f t="shared" si="437"/>
        <v>1897361.8175455707</v>
      </c>
      <c r="BG126" s="75">
        <f t="shared" si="437"/>
        <v>2105516.815791375</v>
      </c>
      <c r="BH126" s="75">
        <f t="shared" si="437"/>
        <v>2313671.8140371786</v>
      </c>
      <c r="BI126" s="75">
        <f t="shared" si="437"/>
        <v>2584872.4825900574</v>
      </c>
      <c r="BJ126" s="75">
        <f t="shared" si="437"/>
        <v>2584872.4825900574</v>
      </c>
      <c r="BK126" s="75">
        <f t="shared" si="437"/>
        <v>2584872.4825900574</v>
      </c>
      <c r="BL126" s="75">
        <f t="shared" si="437"/>
        <v>2584872.4825900574</v>
      </c>
      <c r="BM126" s="75">
        <f t="shared" si="437"/>
        <v>2584872.4825900574</v>
      </c>
      <c r="BN126" s="75">
        <f t="shared" si="437"/>
        <v>2584872.4825900574</v>
      </c>
      <c r="BO126" s="75">
        <f t="shared" si="437"/>
        <v>2584872.4825900574</v>
      </c>
      <c r="BP126" s="75">
        <f t="shared" si="437"/>
        <v>2584872.4825900574</v>
      </c>
      <c r="BQ126" s="75">
        <f t="shared" si="437"/>
        <v>2584872.4825900574</v>
      </c>
      <c r="BR126" s="75">
        <f t="shared" si="437"/>
        <v>2584872.4825900574</v>
      </c>
      <c r="BS126" s="75">
        <f t="shared" si="437"/>
        <v>2584872.4825900574</v>
      </c>
      <c r="BT126" s="75">
        <f t="shared" si="437"/>
        <v>2584872.4825900574</v>
      </c>
      <c r="BU126" s="75">
        <f t="shared" si="437"/>
        <v>2649494.2946548089</v>
      </c>
      <c r="BV126" s="75">
        <f t="shared" si="437"/>
        <v>2649494.2946548089</v>
      </c>
      <c r="BW126" s="75">
        <f t="shared" si="437"/>
        <v>2649494.2946548089</v>
      </c>
      <c r="BX126" s="75">
        <f t="shared" ref="BX126:DC126" si="438">SUM(BX123:BX125)</f>
        <v>2649494.2946548089</v>
      </c>
      <c r="BY126" s="75">
        <f t="shared" si="438"/>
        <v>2649494.2946548089</v>
      </c>
      <c r="BZ126" s="75">
        <f t="shared" si="438"/>
        <v>2649494.2946548089</v>
      </c>
      <c r="CA126" s="75">
        <f t="shared" si="438"/>
        <v>2649494.2946548089</v>
      </c>
      <c r="CB126" s="75">
        <f t="shared" si="438"/>
        <v>2649494.2946548089</v>
      </c>
      <c r="CC126" s="75">
        <f t="shared" si="438"/>
        <v>2649494.2946548089</v>
      </c>
      <c r="CD126" s="75">
        <f t="shared" si="438"/>
        <v>2649494.2946548089</v>
      </c>
      <c r="CE126" s="75">
        <f t="shared" si="438"/>
        <v>2649494.2946548089</v>
      </c>
      <c r="CF126" s="75">
        <f t="shared" si="438"/>
        <v>2649494.2946548089</v>
      </c>
      <c r="CG126" s="75">
        <f t="shared" si="438"/>
        <v>2715731.6520211794</v>
      </c>
      <c r="CH126" s="75">
        <f t="shared" si="438"/>
        <v>2715731.6520211794</v>
      </c>
      <c r="CI126" s="75">
        <f t="shared" si="438"/>
        <v>2715731.6520211794</v>
      </c>
      <c r="CJ126" s="75">
        <f t="shared" si="438"/>
        <v>2715731.6520211794</v>
      </c>
      <c r="CK126" s="75">
        <f t="shared" si="438"/>
        <v>2715731.6520211794</v>
      </c>
      <c r="CL126" s="75">
        <f t="shared" si="438"/>
        <v>2715731.6520211794</v>
      </c>
      <c r="CM126" s="75">
        <f t="shared" si="438"/>
        <v>2715731.6520211794</v>
      </c>
      <c r="CN126" s="75">
        <f t="shared" si="438"/>
        <v>2715731.6520211794</v>
      </c>
      <c r="CO126" s="75">
        <f t="shared" si="438"/>
        <v>2715731.6520211794</v>
      </c>
      <c r="CP126" s="75">
        <f t="shared" si="438"/>
        <v>2715731.6520211794</v>
      </c>
      <c r="CQ126" s="75">
        <f t="shared" si="438"/>
        <v>2715731.6520211794</v>
      </c>
      <c r="CR126" s="75">
        <f t="shared" si="438"/>
        <v>2715731.6520211794</v>
      </c>
      <c r="CS126" s="75">
        <f t="shared" si="438"/>
        <v>2783624.9433217086</v>
      </c>
      <c r="CT126" s="75">
        <f t="shared" si="438"/>
        <v>2783624.9433217086</v>
      </c>
      <c r="CU126" s="75">
        <f t="shared" si="438"/>
        <v>2783624.9433217086</v>
      </c>
      <c r="CV126" s="75">
        <f t="shared" si="438"/>
        <v>2783624.9433217086</v>
      </c>
      <c r="CW126" s="75">
        <f t="shared" si="438"/>
        <v>2783624.9433217086</v>
      </c>
      <c r="CX126" s="75">
        <f t="shared" si="438"/>
        <v>2783624.9433217086</v>
      </c>
      <c r="CY126" s="75">
        <f t="shared" si="438"/>
        <v>2783624.9433217086</v>
      </c>
      <c r="CZ126" s="75">
        <f t="shared" si="438"/>
        <v>2783624.9433217086</v>
      </c>
      <c r="DA126" s="75">
        <f t="shared" si="438"/>
        <v>2783624.9433217086</v>
      </c>
      <c r="DB126" s="75">
        <f t="shared" si="438"/>
        <v>2783624.9433217086</v>
      </c>
      <c r="DC126" s="75">
        <f t="shared" si="438"/>
        <v>2783624.9433217086</v>
      </c>
      <c r="DD126" s="75">
        <f t="shared" ref="DD126:EI126" si="439">SUM(DD123:DD125)</f>
        <v>2783624.9433217086</v>
      </c>
      <c r="DE126" s="75">
        <f t="shared" si="439"/>
        <v>2853215.5669047511</v>
      </c>
      <c r="DF126" s="75">
        <f t="shared" si="439"/>
        <v>2853215.5669047511</v>
      </c>
      <c r="DG126" s="75">
        <f t="shared" si="439"/>
        <v>2853215.5669047511</v>
      </c>
      <c r="DH126" s="75">
        <f t="shared" si="439"/>
        <v>2853215.5669047511</v>
      </c>
      <c r="DI126" s="75">
        <f t="shared" si="439"/>
        <v>2853215.5669047511</v>
      </c>
      <c r="DJ126" s="75">
        <f t="shared" si="439"/>
        <v>2853215.5669047511</v>
      </c>
      <c r="DK126" s="75">
        <f t="shared" si="439"/>
        <v>2853215.5669047511</v>
      </c>
      <c r="DL126" s="75">
        <f t="shared" si="439"/>
        <v>2853215.5669047511</v>
      </c>
      <c r="DM126" s="75">
        <f t="shared" si="439"/>
        <v>2853215.5669047511</v>
      </c>
      <c r="DN126" s="75">
        <f t="shared" si="439"/>
        <v>2853215.5669047511</v>
      </c>
      <c r="DO126" s="75">
        <f t="shared" si="439"/>
        <v>2853215.5669047511</v>
      </c>
      <c r="DP126" s="75">
        <f t="shared" si="439"/>
        <v>2853215.5669047511</v>
      </c>
      <c r="DQ126" s="75">
        <f t="shared" si="439"/>
        <v>2924545.9560773694</v>
      </c>
      <c r="DR126" s="75">
        <f t="shared" si="439"/>
        <v>2924545.9560773694</v>
      </c>
      <c r="DS126" s="75">
        <f t="shared" si="439"/>
        <v>2924545.9560773694</v>
      </c>
      <c r="DT126" s="75">
        <f t="shared" si="439"/>
        <v>2924545.9560773694</v>
      </c>
      <c r="DU126" s="75">
        <f t="shared" si="439"/>
        <v>2924545.9560773694</v>
      </c>
      <c r="DV126" s="75">
        <f t="shared" si="439"/>
        <v>2924545.9560773694</v>
      </c>
      <c r="DW126" s="75">
        <f t="shared" si="439"/>
        <v>2924545.9560773694</v>
      </c>
      <c r="DX126" s="75">
        <f t="shared" si="439"/>
        <v>2924545.9560773694</v>
      </c>
      <c r="DY126" s="75">
        <f t="shared" si="439"/>
        <v>2924545.9560773694</v>
      </c>
      <c r="DZ126" s="75">
        <f t="shared" si="439"/>
        <v>2924545.9560773694</v>
      </c>
      <c r="EA126" s="75">
        <f t="shared" si="439"/>
        <v>2924545.9560773694</v>
      </c>
      <c r="EB126" s="75">
        <f t="shared" si="439"/>
        <v>2924545.9560773694</v>
      </c>
      <c r="EC126" s="75">
        <f t="shared" si="439"/>
        <v>2997659.6049793037</v>
      </c>
      <c r="ED126" s="75">
        <f t="shared" si="439"/>
        <v>2997659.6049793037</v>
      </c>
      <c r="EE126" s="75">
        <f t="shared" si="439"/>
        <v>2997659.6049793037</v>
      </c>
      <c r="EF126" s="75">
        <f t="shared" si="439"/>
        <v>2997659.6049793037</v>
      </c>
      <c r="EG126" s="75">
        <f t="shared" si="439"/>
        <v>2997659.6049793037</v>
      </c>
      <c r="EH126" s="75">
        <f t="shared" si="439"/>
        <v>2997659.6049793037</v>
      </c>
      <c r="EI126" s="75">
        <f t="shared" si="439"/>
        <v>2997659.6049793037</v>
      </c>
      <c r="EJ126" s="75">
        <f t="shared" ref="EJ126:EN126" si="440">SUM(EJ123:EJ125)</f>
        <v>2997659.6049793037</v>
      </c>
      <c r="EK126" s="75">
        <f t="shared" si="440"/>
        <v>2997659.6049793037</v>
      </c>
      <c r="EL126" s="75">
        <f t="shared" si="440"/>
        <v>2997659.6049793037</v>
      </c>
      <c r="EM126" s="75">
        <f t="shared" si="440"/>
        <v>2997659.6049793037</v>
      </c>
      <c r="EN126" s="75">
        <f t="shared" si="440"/>
        <v>2997659.6049793037</v>
      </c>
      <c r="EO126" s="208"/>
      <c r="EP126" s="464"/>
      <c r="EQ126" s="465"/>
      <c r="ER126" s="465"/>
      <c r="ES126" s="465"/>
      <c r="ET126" s="465"/>
      <c r="EU126" s="465"/>
      <c r="EV126" s="465"/>
      <c r="EW126" s="465"/>
      <c r="EX126" s="465"/>
      <c r="EY126" s="465"/>
      <c r="EZ126" s="465"/>
      <c r="FA126" s="465"/>
      <c r="FB126" s="465"/>
      <c r="FC126" s="465"/>
      <c r="FD126" s="465"/>
      <c r="FE126" s="465"/>
      <c r="FF126" s="465"/>
      <c r="FG126" s="465"/>
      <c r="FH126" s="465"/>
      <c r="FI126" s="465"/>
      <c r="FJ126" s="465"/>
      <c r="FK126" s="465"/>
      <c r="FL126" s="465"/>
      <c r="FM126" s="465"/>
      <c r="FN126" s="465"/>
      <c r="FO126" s="465"/>
      <c r="FP126" s="465"/>
      <c r="FQ126" s="465"/>
      <c r="FR126" s="465"/>
      <c r="FS126" s="465"/>
      <c r="FT126" s="465"/>
      <c r="FU126" s="465"/>
      <c r="FV126" s="465"/>
      <c r="FW126" s="465"/>
      <c r="FX126" s="465"/>
      <c r="FY126" s="465"/>
      <c r="FZ126" s="465"/>
      <c r="GA126" s="465"/>
      <c r="GB126" s="465"/>
      <c r="GC126" s="465"/>
      <c r="GD126" s="465"/>
      <c r="GE126" s="465"/>
      <c r="GF126" s="465"/>
      <c r="GG126" s="465"/>
      <c r="GH126" s="465"/>
      <c r="GI126" s="465"/>
      <c r="GJ126" s="465"/>
      <c r="GK126" s="465"/>
      <c r="GL126" s="465"/>
      <c r="GM126" s="465"/>
      <c r="GN126" s="465"/>
      <c r="GO126" s="465"/>
      <c r="GP126" s="465"/>
      <c r="GQ126" s="465"/>
      <c r="GR126" s="465"/>
      <c r="GS126" s="465"/>
      <c r="GT126" s="465"/>
      <c r="GU126" s="465"/>
      <c r="GV126" s="465"/>
      <c r="GW126" s="465"/>
      <c r="GX126" s="465"/>
      <c r="GY126" s="465"/>
      <c r="GZ126" s="465"/>
      <c r="HA126" s="465"/>
      <c r="HB126" s="465"/>
      <c r="HC126" s="465"/>
      <c r="HD126" s="465"/>
      <c r="HE126" s="465"/>
      <c r="HF126" s="465"/>
      <c r="HG126" s="465"/>
      <c r="HH126" s="465"/>
      <c r="HI126" s="465"/>
      <c r="HJ126" s="465"/>
      <c r="HK126" s="465"/>
      <c r="HL126" s="465"/>
      <c r="HM126" s="465"/>
      <c r="HN126" s="465"/>
      <c r="HO126" s="465"/>
      <c r="HP126" s="465"/>
      <c r="HQ126" s="465"/>
      <c r="HR126" s="465"/>
      <c r="HS126" s="465"/>
      <c r="HT126" s="465"/>
      <c r="HU126" s="465"/>
      <c r="HV126" s="465"/>
      <c r="HW126" s="465"/>
      <c r="HX126" s="465"/>
      <c r="HY126" s="465"/>
      <c r="HZ126" s="465"/>
      <c r="IA126" s="465"/>
      <c r="IB126" s="465"/>
      <c r="IC126" s="465"/>
      <c r="ID126" s="465"/>
      <c r="IE126" s="465"/>
      <c r="IF126" s="465"/>
      <c r="IG126" s="465"/>
      <c r="IH126" s="465"/>
      <c r="II126" s="465"/>
      <c r="IJ126" s="465"/>
      <c r="IK126" s="465"/>
      <c r="IL126" s="465"/>
      <c r="IM126" s="465"/>
      <c r="IN126" s="465"/>
      <c r="IO126" s="465"/>
      <c r="IP126" s="465"/>
      <c r="IQ126" s="465"/>
      <c r="IR126" s="465"/>
      <c r="IS126" s="465"/>
      <c r="IT126" s="465"/>
      <c r="IU126" s="465"/>
      <c r="IV126" s="465"/>
      <c r="IW126" s="465"/>
      <c r="IX126" s="465"/>
      <c r="IY126" s="465"/>
      <c r="IZ126" s="465"/>
      <c r="JA126" s="465"/>
      <c r="JB126" s="465"/>
      <c r="JC126" s="465"/>
      <c r="JD126" s="465"/>
      <c r="JE126" s="465"/>
      <c r="JF126" s="465"/>
      <c r="JG126" s="465"/>
      <c r="JH126" s="465"/>
      <c r="JI126" s="465"/>
      <c r="JJ126" s="465"/>
      <c r="JK126" s="465"/>
      <c r="JL126" s="465"/>
      <c r="JM126" s="465"/>
      <c r="JN126" s="465"/>
      <c r="JO126" s="465"/>
      <c r="JP126" s="465"/>
      <c r="JQ126" s="465"/>
      <c r="JR126" s="465"/>
      <c r="JS126" s="465"/>
      <c r="JT126" s="465"/>
      <c r="JU126" s="465"/>
      <c r="JV126" s="465"/>
      <c r="JW126" s="465"/>
      <c r="JX126" s="20"/>
      <c r="JY126"/>
      <c r="JZ126" s="466"/>
      <c r="KA126" s="466"/>
      <c r="KB126" s="466"/>
      <c r="KC126" s="466"/>
      <c r="KD126" s="466"/>
      <c r="KE126" s="466"/>
      <c r="KF126" s="466"/>
      <c r="KG126" s="466"/>
      <c r="KH126" s="466"/>
      <c r="KI126" s="466"/>
      <c r="KJ126" s="466"/>
      <c r="KK126" s="466"/>
      <c r="KL126" s="466"/>
      <c r="KM126" s="466"/>
      <c r="KN126" s="466"/>
      <c r="KO126" s="466"/>
      <c r="KP126" s="466"/>
      <c r="KQ126" s="466"/>
      <c r="KR126" s="466"/>
      <c r="KS126" s="466"/>
      <c r="KT126" s="466"/>
      <c r="KU126" s="466"/>
      <c r="KV126" s="466"/>
      <c r="KW126" s="466"/>
      <c r="KX126" s="466"/>
      <c r="KY126" s="466"/>
      <c r="KZ126" s="466"/>
      <c r="LA126" s="466"/>
      <c r="LB126" s="466"/>
      <c r="LC126" s="466"/>
      <c r="LD126" s="466"/>
      <c r="LE126" s="466"/>
      <c r="LF126" s="466"/>
      <c r="LG126" s="466"/>
      <c r="LH126" s="466"/>
      <c r="LI126" s="466"/>
      <c r="LJ126" s="466"/>
      <c r="LK126" s="466"/>
      <c r="LL126" s="466"/>
      <c r="LM126" s="466"/>
      <c r="LN126" s="466"/>
      <c r="LO126" s="466"/>
      <c r="LP126" s="466"/>
      <c r="LQ126" s="466"/>
      <c r="LR126" s="466"/>
      <c r="LS126" s="466"/>
      <c r="LT126" s="466"/>
      <c r="LU126" s="466"/>
      <c r="LV126" s="466"/>
      <c r="LW126" s="466"/>
      <c r="LX126" s="466"/>
      <c r="LY126" s="466"/>
      <c r="LZ126" s="466"/>
      <c r="MA126" s="466"/>
      <c r="MB126" s="466"/>
      <c r="MC126" s="466"/>
      <c r="MD126" s="466"/>
      <c r="ME126" s="466"/>
      <c r="MF126" s="466"/>
      <c r="MG126" s="466"/>
      <c r="MH126" s="466"/>
      <c r="MI126" s="466"/>
      <c r="MJ126" s="466"/>
      <c r="MK126" s="466"/>
      <c r="ML126" s="466"/>
      <c r="MM126" s="466"/>
      <c r="MN126" s="466"/>
      <c r="MO126" s="466"/>
      <c r="MP126" s="466"/>
      <c r="MQ126" s="466"/>
      <c r="MR126" s="466"/>
      <c r="MS126" s="466"/>
      <c r="MT126" s="466"/>
      <c r="MU126" s="466"/>
      <c r="MV126" s="466"/>
      <c r="MW126" s="466"/>
      <c r="MX126" s="466"/>
      <c r="MY126" s="466"/>
      <c r="MZ126" s="466"/>
      <c r="NA126" s="466"/>
      <c r="NB126" s="466"/>
      <c r="NC126" s="466"/>
      <c r="ND126" s="466"/>
      <c r="NE126" s="466"/>
      <c r="NF126" s="466"/>
      <c r="NG126" s="466"/>
      <c r="NH126" s="466"/>
      <c r="NI126" s="466"/>
      <c r="NJ126" s="466"/>
      <c r="NK126" s="466"/>
      <c r="NL126" s="466"/>
      <c r="NM126" s="466"/>
      <c r="NN126" s="466"/>
      <c r="NO126" s="466"/>
      <c r="NP126" s="466"/>
      <c r="NQ126" s="466"/>
      <c r="NR126" s="466"/>
      <c r="NS126" s="466"/>
      <c r="NT126" s="466"/>
      <c r="NU126" s="466"/>
      <c r="NV126" s="466"/>
      <c r="NW126" s="466"/>
      <c r="NX126" s="466"/>
      <c r="NY126" s="466"/>
      <c r="NZ126" s="466"/>
      <c r="OA126" s="466"/>
      <c r="OB126" s="466"/>
      <c r="OC126" s="466"/>
      <c r="OD126" s="466"/>
      <c r="OE126" s="466"/>
      <c r="OF126" s="466"/>
      <c r="OG126" s="466"/>
      <c r="OH126" s="466"/>
      <c r="OI126" s="466"/>
      <c r="OJ126" s="466"/>
      <c r="OK126" s="466"/>
      <c r="OL126" s="466"/>
      <c r="OM126" s="466"/>
      <c r="ON126" s="466"/>
      <c r="OO126" s="466"/>
      <c r="OP126" s="466"/>
      <c r="OQ126" s="466"/>
      <c r="OR126" s="466"/>
      <c r="OS126" s="466"/>
      <c r="OT126" s="466"/>
      <c r="OU126" s="466"/>
      <c r="OV126" s="466"/>
      <c r="OW126" s="466"/>
      <c r="OX126" s="466"/>
      <c r="OY126" s="466"/>
      <c r="OZ126" s="466"/>
      <c r="PA126" s="466"/>
      <c r="PB126" s="466"/>
      <c r="PC126" s="466"/>
      <c r="PD126" s="466"/>
      <c r="PE126" s="466"/>
      <c r="PF126" s="466"/>
      <c r="PG126" s="466"/>
      <c r="PH126" s="466"/>
    </row>
    <row r="127" spans="1:424" x14ac:dyDescent="0.35">
      <c r="A127"/>
      <c r="B127" s="475"/>
      <c r="C127" s="41"/>
      <c r="D127" s="41"/>
      <c r="E127" s="46"/>
      <c r="F127" s="134"/>
      <c r="G127" s="38"/>
      <c r="H127" s="38"/>
      <c r="I127" s="150"/>
      <c r="J127"/>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75"/>
      <c r="CC127" s="75"/>
      <c r="CD127" s="75"/>
      <c r="CE127" s="75"/>
      <c r="CF127" s="75"/>
      <c r="CG127" s="75"/>
      <c r="CH127" s="75"/>
      <c r="CI127" s="75"/>
      <c r="CJ127" s="75"/>
      <c r="CK127" s="75"/>
      <c r="CL127" s="75"/>
      <c r="CM127" s="75"/>
      <c r="CN127" s="75"/>
      <c r="CO127" s="75"/>
      <c r="CP127" s="75"/>
      <c r="CQ127" s="75"/>
      <c r="CR127" s="75"/>
      <c r="CS127" s="75"/>
      <c r="CT127" s="75"/>
      <c r="CU127" s="75"/>
      <c r="CV127" s="75"/>
      <c r="CW127" s="75"/>
      <c r="CX127" s="75"/>
      <c r="CY127" s="75"/>
      <c r="CZ127" s="75"/>
      <c r="DA127" s="75"/>
      <c r="DB127" s="75"/>
      <c r="DC127" s="75"/>
      <c r="DD127" s="75"/>
      <c r="DE127" s="75"/>
      <c r="DF127" s="75"/>
      <c r="DG127" s="75"/>
      <c r="DH127" s="75"/>
      <c r="DI127" s="75"/>
      <c r="DJ127" s="75"/>
      <c r="DK127" s="75"/>
      <c r="DL127" s="75"/>
      <c r="DM127" s="75"/>
      <c r="DN127" s="75"/>
      <c r="DO127" s="75"/>
      <c r="DP127" s="75"/>
      <c r="DQ127" s="75"/>
      <c r="DR127" s="75"/>
      <c r="DS127" s="75"/>
      <c r="DT127" s="75"/>
      <c r="DU127" s="75"/>
      <c r="DV127" s="75"/>
      <c r="DW127" s="75"/>
      <c r="DX127" s="75"/>
      <c r="DY127" s="75"/>
      <c r="DZ127" s="75"/>
      <c r="EA127" s="75"/>
      <c r="EB127" s="75"/>
      <c r="EC127" s="75"/>
      <c r="ED127" s="75"/>
      <c r="EE127" s="75"/>
      <c r="EF127" s="75"/>
      <c r="EG127" s="75"/>
      <c r="EH127" s="75"/>
      <c r="EI127" s="75"/>
      <c r="EJ127" s="75"/>
      <c r="EK127" s="75"/>
      <c r="EL127" s="75"/>
      <c r="EM127" s="75"/>
      <c r="EN127" s="75"/>
      <c r="EO127" s="208"/>
      <c r="EP127" s="464"/>
      <c r="EQ127" s="465"/>
      <c r="ER127" s="465"/>
      <c r="ES127" s="465"/>
      <c r="ET127" s="465"/>
      <c r="EU127" s="465"/>
      <c r="EV127" s="465"/>
      <c r="EW127" s="465"/>
      <c r="EX127" s="465"/>
      <c r="EY127" s="465"/>
      <c r="EZ127" s="465"/>
      <c r="FA127" s="465"/>
      <c r="FB127" s="465"/>
      <c r="FC127" s="465"/>
      <c r="FD127" s="465"/>
      <c r="FE127" s="465"/>
      <c r="FF127" s="465"/>
      <c r="FG127" s="465"/>
      <c r="FH127" s="465"/>
      <c r="FI127" s="465"/>
      <c r="FJ127" s="465"/>
      <c r="FK127" s="465"/>
      <c r="FL127" s="465"/>
      <c r="FM127" s="465"/>
      <c r="FN127" s="465"/>
      <c r="FO127" s="465"/>
      <c r="FP127" s="465"/>
      <c r="FQ127" s="465"/>
      <c r="FR127" s="465"/>
      <c r="FS127" s="465"/>
      <c r="FT127" s="465"/>
      <c r="FU127" s="465"/>
      <c r="FV127" s="465"/>
      <c r="FW127" s="465"/>
      <c r="FX127" s="465"/>
      <c r="FY127" s="465"/>
      <c r="FZ127" s="465"/>
      <c r="GA127" s="465"/>
      <c r="GB127" s="465"/>
      <c r="GC127" s="465"/>
      <c r="GD127" s="465"/>
      <c r="GE127" s="465"/>
      <c r="GF127" s="465"/>
      <c r="GG127" s="465"/>
      <c r="GH127" s="465"/>
      <c r="GI127" s="465"/>
      <c r="GJ127" s="465"/>
      <c r="GK127" s="465"/>
      <c r="GL127" s="465"/>
      <c r="GM127" s="465"/>
      <c r="GN127" s="465"/>
      <c r="GO127" s="465"/>
      <c r="GP127" s="465"/>
      <c r="GQ127" s="465"/>
      <c r="GR127" s="465"/>
      <c r="GS127" s="465"/>
      <c r="GT127" s="465"/>
      <c r="GU127" s="465"/>
      <c r="GV127" s="465"/>
      <c r="GW127" s="465"/>
      <c r="GX127" s="465"/>
      <c r="GY127" s="465"/>
      <c r="GZ127" s="465"/>
      <c r="HA127" s="465"/>
      <c r="HB127" s="465"/>
      <c r="HC127" s="465"/>
      <c r="HD127" s="465"/>
      <c r="HE127" s="465"/>
      <c r="HF127" s="465"/>
      <c r="HG127" s="465"/>
      <c r="HH127" s="465"/>
      <c r="HI127" s="465"/>
      <c r="HJ127" s="465"/>
      <c r="HK127" s="465"/>
      <c r="HL127" s="465"/>
      <c r="HM127" s="465"/>
      <c r="HN127" s="465"/>
      <c r="HO127" s="465"/>
      <c r="HP127" s="465"/>
      <c r="HQ127" s="465"/>
      <c r="HR127" s="465"/>
      <c r="HS127" s="465"/>
      <c r="HT127" s="465"/>
      <c r="HU127" s="465"/>
      <c r="HV127" s="465"/>
      <c r="HW127" s="465"/>
      <c r="HX127" s="465"/>
      <c r="HY127" s="465"/>
      <c r="HZ127" s="465"/>
      <c r="IA127" s="465"/>
      <c r="IB127" s="465"/>
      <c r="IC127" s="465"/>
      <c r="ID127" s="465"/>
      <c r="IE127" s="465"/>
      <c r="IF127" s="465"/>
      <c r="IG127" s="465"/>
      <c r="IH127" s="465"/>
      <c r="II127" s="465"/>
      <c r="IJ127" s="465"/>
      <c r="IK127" s="465"/>
      <c r="IL127" s="465"/>
      <c r="IM127" s="465"/>
      <c r="IN127" s="465"/>
      <c r="IO127" s="465"/>
      <c r="IP127" s="465"/>
      <c r="IQ127" s="465"/>
      <c r="IR127" s="465"/>
      <c r="IS127" s="465"/>
      <c r="IT127" s="465"/>
      <c r="IU127" s="465"/>
      <c r="IV127" s="465"/>
      <c r="IW127" s="465"/>
      <c r="IX127" s="465"/>
      <c r="IY127" s="465"/>
      <c r="IZ127" s="465"/>
      <c r="JA127" s="465"/>
      <c r="JB127" s="465"/>
      <c r="JC127" s="465"/>
      <c r="JD127" s="465"/>
      <c r="JE127" s="465"/>
      <c r="JF127" s="465"/>
      <c r="JG127" s="465"/>
      <c r="JH127" s="465"/>
      <c r="JI127" s="465"/>
      <c r="JJ127" s="465"/>
      <c r="JK127" s="465"/>
      <c r="JL127" s="465"/>
      <c r="JM127" s="465"/>
      <c r="JN127" s="465"/>
      <c r="JO127" s="465"/>
      <c r="JP127" s="465"/>
      <c r="JQ127" s="465"/>
      <c r="JR127" s="465"/>
      <c r="JS127" s="465"/>
      <c r="JT127" s="465"/>
      <c r="JU127" s="465"/>
      <c r="JV127" s="465"/>
      <c r="JW127" s="465"/>
      <c r="JX127" s="20"/>
      <c r="JY127"/>
      <c r="JZ127" s="466"/>
      <c r="KA127" s="466"/>
      <c r="KB127" s="466"/>
      <c r="KC127" s="466"/>
      <c r="KD127" s="466"/>
      <c r="KE127" s="466"/>
      <c r="KF127" s="466"/>
      <c r="KG127" s="466"/>
      <c r="KH127" s="466"/>
      <c r="KI127" s="466"/>
      <c r="KJ127" s="466"/>
      <c r="KK127" s="466"/>
      <c r="KL127" s="466"/>
      <c r="KM127" s="466"/>
      <c r="KN127" s="466"/>
      <c r="KO127" s="466"/>
      <c r="KP127" s="466"/>
      <c r="KQ127" s="466"/>
      <c r="KR127" s="466"/>
      <c r="KS127" s="466"/>
      <c r="KT127" s="466"/>
      <c r="KU127" s="466"/>
      <c r="KV127" s="466"/>
      <c r="KW127" s="466"/>
      <c r="KX127" s="466"/>
      <c r="KY127" s="466"/>
      <c r="KZ127" s="466"/>
      <c r="LA127" s="466"/>
      <c r="LB127" s="466"/>
      <c r="LC127" s="466"/>
      <c r="LD127" s="466"/>
      <c r="LE127" s="466"/>
      <c r="LF127" s="466"/>
      <c r="LG127" s="466"/>
      <c r="LH127" s="466"/>
      <c r="LI127" s="466"/>
      <c r="LJ127" s="466"/>
      <c r="LK127" s="466"/>
      <c r="LL127" s="466"/>
      <c r="LM127" s="466"/>
      <c r="LN127" s="466"/>
      <c r="LO127" s="466"/>
      <c r="LP127" s="466"/>
      <c r="LQ127" s="466"/>
      <c r="LR127" s="466"/>
      <c r="LS127" s="466"/>
      <c r="LT127" s="466"/>
      <c r="LU127" s="466"/>
      <c r="LV127" s="466"/>
      <c r="LW127" s="466"/>
      <c r="LX127" s="466"/>
      <c r="LY127" s="466"/>
      <c r="LZ127" s="466"/>
      <c r="MA127" s="466"/>
      <c r="MB127" s="466"/>
      <c r="MC127" s="466"/>
      <c r="MD127" s="466"/>
      <c r="ME127" s="466"/>
      <c r="MF127" s="466"/>
      <c r="MG127" s="466"/>
      <c r="MH127" s="466"/>
      <c r="MI127" s="466"/>
      <c r="MJ127" s="466"/>
      <c r="MK127" s="466"/>
      <c r="ML127" s="466"/>
      <c r="MM127" s="466"/>
      <c r="MN127" s="466"/>
      <c r="MO127" s="466"/>
      <c r="MP127" s="466"/>
      <c r="MQ127" s="466"/>
      <c r="MR127" s="466"/>
      <c r="MS127" s="466"/>
      <c r="MT127" s="466"/>
      <c r="MU127" s="466"/>
      <c r="MV127" s="466"/>
      <c r="MW127" s="466"/>
      <c r="MX127" s="466"/>
      <c r="MY127" s="466"/>
      <c r="MZ127" s="466"/>
      <c r="NA127" s="466"/>
      <c r="NB127" s="466"/>
      <c r="NC127" s="466"/>
      <c r="ND127" s="466"/>
      <c r="NE127" s="466"/>
      <c r="NF127" s="466"/>
      <c r="NG127" s="466"/>
      <c r="NH127" s="466"/>
      <c r="NI127" s="466"/>
      <c r="NJ127" s="466"/>
      <c r="NK127" s="466"/>
      <c r="NL127" s="466"/>
      <c r="NM127" s="466"/>
      <c r="NN127" s="466"/>
      <c r="NO127" s="466"/>
      <c r="NP127" s="466"/>
      <c r="NQ127" s="466"/>
      <c r="NR127" s="466"/>
      <c r="NS127" s="466"/>
      <c r="NT127" s="466"/>
      <c r="NU127" s="466"/>
      <c r="NV127" s="466"/>
      <c r="NW127" s="466"/>
      <c r="NX127" s="466"/>
      <c r="NY127" s="466"/>
      <c r="NZ127" s="466"/>
      <c r="OA127" s="466"/>
      <c r="OB127" s="466"/>
      <c r="OC127" s="466"/>
      <c r="OD127" s="466"/>
      <c r="OE127" s="466"/>
      <c r="OF127" s="466"/>
      <c r="OG127" s="466"/>
      <c r="OH127" s="466"/>
      <c r="OI127" s="466"/>
      <c r="OJ127" s="466"/>
      <c r="OK127" s="466"/>
      <c r="OL127" s="466"/>
      <c r="OM127" s="466"/>
      <c r="ON127" s="466"/>
      <c r="OO127" s="466"/>
      <c r="OP127" s="466"/>
      <c r="OQ127" s="466"/>
      <c r="OR127" s="466"/>
      <c r="OS127" s="466"/>
      <c r="OT127" s="466"/>
      <c r="OU127" s="466"/>
      <c r="OV127" s="466"/>
      <c r="OW127" s="466"/>
      <c r="OX127" s="466"/>
      <c r="OY127" s="466"/>
      <c r="OZ127" s="466"/>
      <c r="PA127" s="466"/>
      <c r="PB127" s="466"/>
      <c r="PC127" s="466"/>
      <c r="PD127" s="466"/>
      <c r="PE127" s="466"/>
      <c r="PF127" s="466"/>
      <c r="PG127" s="466"/>
      <c r="PH127" s="466"/>
    </row>
    <row r="128" spans="1:424" x14ac:dyDescent="0.35">
      <c r="A128"/>
      <c r="B128" s="427" t="s">
        <v>291</v>
      </c>
      <c r="C128" s="41">
        <f>+I120+I105+I126</f>
        <v>48830200.368285805</v>
      </c>
      <c r="D128" s="41"/>
      <c r="E128" s="46"/>
      <c r="F128" s="134"/>
      <c r="G128" s="38"/>
      <c r="H128" s="148"/>
      <c r="I128" s="445">
        <f>SUM(I105,I120,I126)</f>
        <v>48830200.368285805</v>
      </c>
      <c r="J128"/>
      <c r="K128" s="75"/>
      <c r="L128" s="75">
        <f t="shared" ref="L128:AQ128" si="441">SUM(L105,L120,L126)</f>
        <v>0</v>
      </c>
      <c r="M128" s="75">
        <f t="shared" si="441"/>
        <v>0</v>
      </c>
      <c r="N128" s="75">
        <f t="shared" si="441"/>
        <v>0</v>
      </c>
      <c r="O128" s="75">
        <f t="shared" si="441"/>
        <v>0</v>
      </c>
      <c r="P128" s="75">
        <f t="shared" si="441"/>
        <v>0</v>
      </c>
      <c r="Q128" s="75">
        <f t="shared" si="441"/>
        <v>0</v>
      </c>
      <c r="R128" s="75">
        <f t="shared" si="441"/>
        <v>0</v>
      </c>
      <c r="S128" s="75">
        <f t="shared" si="441"/>
        <v>0</v>
      </c>
      <c r="T128" s="75">
        <f t="shared" si="441"/>
        <v>0</v>
      </c>
      <c r="U128" s="75">
        <f t="shared" si="441"/>
        <v>0</v>
      </c>
      <c r="V128" s="75">
        <f t="shared" si="441"/>
        <v>0</v>
      </c>
      <c r="W128" s="75">
        <f t="shared" si="441"/>
        <v>0</v>
      </c>
      <c r="X128" s="75">
        <f t="shared" si="441"/>
        <v>0</v>
      </c>
      <c r="Y128" s="75">
        <f t="shared" si="441"/>
        <v>0</v>
      </c>
      <c r="Z128" s="75">
        <f t="shared" si="441"/>
        <v>0</v>
      </c>
      <c r="AA128" s="75">
        <f t="shared" si="441"/>
        <v>0</v>
      </c>
      <c r="AB128" s="75">
        <f t="shared" si="441"/>
        <v>0</v>
      </c>
      <c r="AC128" s="75">
        <f t="shared" si="441"/>
        <v>0</v>
      </c>
      <c r="AD128" s="75">
        <f t="shared" si="441"/>
        <v>0</v>
      </c>
      <c r="AE128" s="75">
        <f t="shared" si="441"/>
        <v>0</v>
      </c>
      <c r="AF128" s="75">
        <f t="shared" si="441"/>
        <v>0</v>
      </c>
      <c r="AG128" s="75">
        <f t="shared" si="441"/>
        <v>0</v>
      </c>
      <c r="AH128" s="75">
        <f t="shared" si="441"/>
        <v>716666.66666666663</v>
      </c>
      <c r="AI128" s="75">
        <f t="shared" si="441"/>
        <v>716666.66666666663</v>
      </c>
      <c r="AJ128" s="75">
        <f t="shared" si="441"/>
        <v>716666.66666666663</v>
      </c>
      <c r="AK128" s="75">
        <f t="shared" si="441"/>
        <v>933333.33333333326</v>
      </c>
      <c r="AL128" s="75">
        <f t="shared" si="441"/>
        <v>933333.33333333326</v>
      </c>
      <c r="AM128" s="75">
        <f t="shared" si="441"/>
        <v>933333.33333333326</v>
      </c>
      <c r="AN128" s="75">
        <f t="shared" si="441"/>
        <v>1107500</v>
      </c>
      <c r="AO128" s="75">
        <f t="shared" si="441"/>
        <v>1107500</v>
      </c>
      <c r="AP128" s="75">
        <f t="shared" si="441"/>
        <v>1107500</v>
      </c>
      <c r="AQ128" s="75">
        <f t="shared" si="441"/>
        <v>1265833.3333333333</v>
      </c>
      <c r="AR128" s="75">
        <f t="shared" ref="AR128:BW128" si="442">SUM(AR105,AR120,AR126)</f>
        <v>1265833.3333333333</v>
      </c>
      <c r="AS128" s="75">
        <f t="shared" si="442"/>
        <v>1265833.3333333333</v>
      </c>
      <c r="AT128" s="75">
        <f t="shared" si="442"/>
        <v>1298416.6666666665</v>
      </c>
      <c r="AU128" s="75">
        <f t="shared" si="442"/>
        <v>1298416.6666666665</v>
      </c>
      <c r="AV128" s="75">
        <f t="shared" si="442"/>
        <v>1298416.6666666665</v>
      </c>
      <c r="AW128" s="75">
        <f t="shared" si="442"/>
        <v>1329966.833333333</v>
      </c>
      <c r="AX128" s="75">
        <f t="shared" si="442"/>
        <v>1560296.5185666289</v>
      </c>
      <c r="AY128" s="75">
        <f t="shared" si="442"/>
        <v>1790626.2037999253</v>
      </c>
      <c r="AZ128" s="75">
        <f t="shared" si="442"/>
        <v>2029033.466005954</v>
      </c>
      <c r="BA128" s="75">
        <f t="shared" si="442"/>
        <v>2260023.7324523833</v>
      </c>
      <c r="BB128" s="75">
        <f t="shared" si="442"/>
        <v>2491013.9988988126</v>
      </c>
      <c r="BC128" s="75">
        <f t="shared" si="442"/>
        <v>2727545.9320119084</v>
      </c>
      <c r="BD128" s="75">
        <f t="shared" si="442"/>
        <v>2958536.1984583372</v>
      </c>
      <c r="BE128" s="75">
        <f t="shared" si="442"/>
        <v>3189526.4649047665</v>
      </c>
      <c r="BF128" s="75">
        <f t="shared" si="442"/>
        <v>3446740.4813511958</v>
      </c>
      <c r="BG128" s="75">
        <f t="shared" si="442"/>
        <v>3677730.7477976251</v>
      </c>
      <c r="BH128" s="75">
        <f t="shared" si="442"/>
        <v>3908721.0142440535</v>
      </c>
      <c r="BI128" s="75">
        <f t="shared" si="442"/>
        <v>4217456.2814577445</v>
      </c>
      <c r="BJ128" s="75">
        <f t="shared" si="442"/>
        <v>4217456.2814577445</v>
      </c>
      <c r="BK128" s="75">
        <f t="shared" si="442"/>
        <v>4217456.2814577445</v>
      </c>
      <c r="BL128" s="75">
        <f t="shared" si="442"/>
        <v>4223765.4689577445</v>
      </c>
      <c r="BM128" s="75">
        <f t="shared" si="442"/>
        <v>4223765.4689577445</v>
      </c>
      <c r="BN128" s="75">
        <f t="shared" si="442"/>
        <v>4223765.4689577445</v>
      </c>
      <c r="BO128" s="75">
        <f t="shared" si="442"/>
        <v>4229501.0939577445</v>
      </c>
      <c r="BP128" s="75">
        <f t="shared" si="442"/>
        <v>4229501.0939577445</v>
      </c>
      <c r="BQ128" s="75">
        <f t="shared" si="442"/>
        <v>4229501.0939577445</v>
      </c>
      <c r="BR128" s="75">
        <f t="shared" si="442"/>
        <v>4256642.6752077453</v>
      </c>
      <c r="BS128" s="75">
        <f t="shared" si="442"/>
        <v>4256642.6752077453</v>
      </c>
      <c r="BT128" s="75">
        <f t="shared" si="442"/>
        <v>4256642.6752077453</v>
      </c>
      <c r="BU128" s="75">
        <f t="shared" si="442"/>
        <v>4336409.7884941883</v>
      </c>
      <c r="BV128" s="75">
        <f t="shared" si="442"/>
        <v>4336409.7884941883</v>
      </c>
      <c r="BW128" s="75">
        <f t="shared" si="442"/>
        <v>4336409.7884941883</v>
      </c>
      <c r="BX128" s="75">
        <f t="shared" ref="BX128:DC128" si="443">SUM(BX105,BX120,BX126)</f>
        <v>4342939.797556689</v>
      </c>
      <c r="BY128" s="75">
        <f t="shared" si="443"/>
        <v>4342939.797556689</v>
      </c>
      <c r="BZ128" s="75">
        <f t="shared" si="443"/>
        <v>4342939.797556689</v>
      </c>
      <c r="CA128" s="75">
        <f t="shared" si="443"/>
        <v>4348876.1694316883</v>
      </c>
      <c r="CB128" s="75">
        <f t="shared" si="443"/>
        <v>4348876.1694316883</v>
      </c>
      <c r="CC128" s="75">
        <f t="shared" si="443"/>
        <v>4348876.1694316883</v>
      </c>
      <c r="CD128" s="75">
        <f t="shared" si="443"/>
        <v>4376967.7060254384</v>
      </c>
      <c r="CE128" s="75">
        <f t="shared" si="443"/>
        <v>4376967.7060254384</v>
      </c>
      <c r="CF128" s="75">
        <f t="shared" si="443"/>
        <v>4376967.7060254384</v>
      </c>
      <c r="CG128" s="75">
        <f t="shared" si="443"/>
        <v>4458810.2317065438</v>
      </c>
      <c r="CH128" s="75">
        <f t="shared" si="443"/>
        <v>4458810.2317065438</v>
      </c>
      <c r="CI128" s="75">
        <f t="shared" si="443"/>
        <v>4458810.2317065438</v>
      </c>
      <c r="CJ128" s="75">
        <f t="shared" si="443"/>
        <v>4465568.7910862304</v>
      </c>
      <c r="CK128" s="75">
        <f t="shared" si="443"/>
        <v>4465568.7910862304</v>
      </c>
      <c r="CL128" s="75">
        <f t="shared" si="443"/>
        <v>4465568.7910862304</v>
      </c>
      <c r="CM128" s="75">
        <f t="shared" si="443"/>
        <v>4471712.9359768555</v>
      </c>
      <c r="CN128" s="75">
        <f t="shared" si="443"/>
        <v>4471712.9359768555</v>
      </c>
      <c r="CO128" s="75">
        <f t="shared" si="443"/>
        <v>4471712.9359768555</v>
      </c>
      <c r="CP128" s="75">
        <f t="shared" si="443"/>
        <v>4500787.6763513871</v>
      </c>
      <c r="CQ128" s="75">
        <f t="shared" si="443"/>
        <v>4500787.6763513871</v>
      </c>
      <c r="CR128" s="75">
        <f t="shared" si="443"/>
        <v>4500787.6763513871</v>
      </c>
      <c r="CS128" s="75">
        <f t="shared" si="443"/>
        <v>4584760.3429467063</v>
      </c>
      <c r="CT128" s="75">
        <f t="shared" si="443"/>
        <v>4584760.3429467063</v>
      </c>
      <c r="CU128" s="75">
        <f t="shared" si="443"/>
        <v>4584760.3429467063</v>
      </c>
      <c r="CV128" s="75">
        <f t="shared" si="443"/>
        <v>4591755.4519046834</v>
      </c>
      <c r="CW128" s="75">
        <f t="shared" si="443"/>
        <v>4591755.4519046834</v>
      </c>
      <c r="CX128" s="75">
        <f t="shared" si="443"/>
        <v>4591755.4519046834</v>
      </c>
      <c r="CY128" s="75">
        <f t="shared" si="443"/>
        <v>4598114.64186648</v>
      </c>
      <c r="CZ128" s="75">
        <f t="shared" si="443"/>
        <v>4598114.64186648</v>
      </c>
      <c r="DA128" s="75">
        <f t="shared" si="443"/>
        <v>4598114.64186648</v>
      </c>
      <c r="DB128" s="75">
        <f t="shared" si="443"/>
        <v>4628206.9981541205</v>
      </c>
      <c r="DC128" s="75">
        <f t="shared" si="443"/>
        <v>4628206.9981541205</v>
      </c>
      <c r="DD128" s="75">
        <f t="shared" ref="DD128:EN128" si="444">SUM(DD105,DD120,DD126)</f>
        <v>4628206.9981541205</v>
      </c>
      <c r="DE128" s="75">
        <f t="shared" si="444"/>
        <v>4714366.001908537</v>
      </c>
      <c r="DF128" s="75">
        <f t="shared" si="444"/>
        <v>4714366.001908537</v>
      </c>
      <c r="DG128" s="75">
        <f t="shared" si="444"/>
        <v>4714366.001908537</v>
      </c>
      <c r="DH128" s="75">
        <f t="shared" si="444"/>
        <v>4721605.9396800417</v>
      </c>
      <c r="DI128" s="75">
        <f t="shared" si="444"/>
        <v>4721605.9396800417</v>
      </c>
      <c r="DJ128" s="75">
        <f t="shared" si="444"/>
        <v>4721605.9396800417</v>
      </c>
      <c r="DK128" s="75">
        <f t="shared" si="444"/>
        <v>4728187.7012905022</v>
      </c>
      <c r="DL128" s="75">
        <f t="shared" si="444"/>
        <v>4728187.7012905022</v>
      </c>
      <c r="DM128" s="75">
        <f t="shared" si="444"/>
        <v>4728187.7012905022</v>
      </c>
      <c r="DN128" s="75">
        <f t="shared" si="444"/>
        <v>4759333.290048209</v>
      </c>
      <c r="DO128" s="75">
        <f t="shared" si="444"/>
        <v>4759333.290048209</v>
      </c>
      <c r="DP128" s="75">
        <f t="shared" si="444"/>
        <v>4759333.290048209</v>
      </c>
      <c r="DQ128" s="75">
        <f t="shared" si="444"/>
        <v>4847736.3351079971</v>
      </c>
      <c r="DR128" s="75">
        <f t="shared" si="444"/>
        <v>4847736.3351079971</v>
      </c>
      <c r="DS128" s="75">
        <f t="shared" si="444"/>
        <v>4847736.3351079971</v>
      </c>
      <c r="DT128" s="75">
        <f t="shared" si="444"/>
        <v>4855229.6707015056</v>
      </c>
      <c r="DU128" s="75">
        <f t="shared" si="444"/>
        <v>4855229.6707015056</v>
      </c>
      <c r="DV128" s="75">
        <f t="shared" si="444"/>
        <v>4855229.6707015056</v>
      </c>
      <c r="DW128" s="75">
        <f t="shared" si="444"/>
        <v>4862041.793968332</v>
      </c>
      <c r="DX128" s="75">
        <f t="shared" si="444"/>
        <v>4862041.793968332</v>
      </c>
      <c r="DY128" s="75">
        <f t="shared" si="444"/>
        <v>4862041.793968332</v>
      </c>
      <c r="DZ128" s="75">
        <f t="shared" si="444"/>
        <v>4894277.4783325586</v>
      </c>
      <c r="EA128" s="75">
        <f t="shared" si="444"/>
        <v>4894277.4783325586</v>
      </c>
      <c r="EB128" s="75">
        <f t="shared" si="444"/>
        <v>4894277.4783325586</v>
      </c>
      <c r="EC128" s="75">
        <f t="shared" si="444"/>
        <v>4984983.8180477563</v>
      </c>
      <c r="ED128" s="75">
        <f t="shared" si="444"/>
        <v>4984983.8180477563</v>
      </c>
      <c r="EE128" s="75">
        <f t="shared" si="444"/>
        <v>4984983.8180477563</v>
      </c>
      <c r="EF128" s="75">
        <f t="shared" si="444"/>
        <v>4992739.4203870371</v>
      </c>
      <c r="EG128" s="75">
        <f t="shared" si="444"/>
        <v>4992739.4203870371</v>
      </c>
      <c r="EH128" s="75">
        <f t="shared" si="444"/>
        <v>4992739.4203870371</v>
      </c>
      <c r="EI128" s="75">
        <f t="shared" si="444"/>
        <v>4999789.9679682022</v>
      </c>
      <c r="EJ128" s="75">
        <f t="shared" si="444"/>
        <v>4999789.9679682022</v>
      </c>
      <c r="EK128" s="75">
        <f t="shared" si="444"/>
        <v>4999789.9679682022</v>
      </c>
      <c r="EL128" s="75">
        <f t="shared" si="444"/>
        <v>5033153.9012851771</v>
      </c>
      <c r="EM128" s="75">
        <f t="shared" si="444"/>
        <v>5033153.9012851771</v>
      </c>
      <c r="EN128" s="75">
        <f t="shared" si="444"/>
        <v>5033153.9012851771</v>
      </c>
      <c r="EO128" s="208"/>
      <c r="EP128" s="464"/>
      <c r="EQ128" s="465"/>
      <c r="ER128" s="465"/>
      <c r="ES128" s="465"/>
      <c r="ET128" s="465"/>
      <c r="EU128" s="465"/>
      <c r="EV128" s="465"/>
      <c r="EW128" s="465"/>
      <c r="EX128" s="465"/>
      <c r="EY128" s="465"/>
      <c r="EZ128" s="465"/>
      <c r="FA128" s="465"/>
      <c r="FB128" s="465"/>
      <c r="FC128" s="465"/>
      <c r="FD128" s="465"/>
      <c r="FE128" s="465"/>
      <c r="FF128" s="465"/>
      <c r="FG128" s="465"/>
      <c r="FH128" s="465"/>
      <c r="FI128" s="465"/>
      <c r="FJ128" s="465"/>
      <c r="FK128" s="465"/>
      <c r="FL128" s="465"/>
      <c r="FM128" s="465"/>
      <c r="FN128" s="465"/>
      <c r="FO128" s="465"/>
      <c r="FP128" s="465"/>
      <c r="FQ128" s="465"/>
      <c r="FR128" s="465"/>
      <c r="FS128" s="465"/>
      <c r="FT128" s="465"/>
      <c r="FU128" s="465"/>
      <c r="FV128" s="465"/>
      <c r="FW128" s="465"/>
      <c r="FX128" s="465"/>
      <c r="FY128" s="465"/>
      <c r="FZ128" s="465"/>
      <c r="GA128" s="465"/>
      <c r="GB128" s="465"/>
      <c r="GC128" s="465"/>
      <c r="GD128" s="465"/>
      <c r="GE128" s="465"/>
      <c r="GF128" s="465"/>
      <c r="GG128" s="465"/>
      <c r="GH128" s="465"/>
      <c r="GI128" s="465"/>
      <c r="GJ128" s="465"/>
      <c r="GK128" s="465"/>
      <c r="GL128" s="465"/>
      <c r="GM128" s="465"/>
      <c r="GN128" s="465"/>
      <c r="GO128" s="465"/>
      <c r="GP128" s="465"/>
      <c r="GQ128" s="465"/>
      <c r="GR128" s="465"/>
      <c r="GS128" s="465"/>
      <c r="GT128" s="465"/>
      <c r="GU128" s="465"/>
      <c r="GV128" s="465"/>
      <c r="GW128" s="465"/>
      <c r="GX128" s="465"/>
      <c r="GY128" s="465"/>
      <c r="GZ128" s="465"/>
      <c r="HA128" s="465"/>
      <c r="HB128" s="465"/>
      <c r="HC128" s="465"/>
      <c r="HD128" s="465"/>
      <c r="HE128" s="465"/>
      <c r="HF128" s="465"/>
      <c r="HG128" s="465"/>
      <c r="HH128" s="465"/>
      <c r="HI128" s="465"/>
      <c r="HJ128" s="465"/>
      <c r="HK128" s="465"/>
      <c r="HL128" s="465"/>
      <c r="HM128" s="465"/>
      <c r="HN128" s="465"/>
      <c r="HO128" s="465"/>
      <c r="HP128" s="465"/>
      <c r="HQ128" s="465"/>
      <c r="HR128" s="465"/>
      <c r="HS128" s="465"/>
      <c r="HT128" s="465"/>
      <c r="HU128" s="465"/>
      <c r="HV128" s="465"/>
      <c r="HW128" s="465"/>
      <c r="HX128" s="465"/>
      <c r="HY128" s="465"/>
      <c r="HZ128" s="465"/>
      <c r="IA128" s="465"/>
      <c r="IB128" s="465"/>
      <c r="IC128" s="465"/>
      <c r="ID128" s="465"/>
      <c r="IE128" s="465"/>
      <c r="IF128" s="465"/>
      <c r="IG128" s="465"/>
      <c r="IH128" s="465"/>
      <c r="II128" s="465"/>
      <c r="IJ128" s="465"/>
      <c r="IK128" s="465"/>
      <c r="IL128" s="465"/>
      <c r="IM128" s="465"/>
      <c r="IN128" s="465"/>
      <c r="IO128" s="465"/>
      <c r="IP128" s="465"/>
      <c r="IQ128" s="465"/>
      <c r="IR128" s="465"/>
      <c r="IS128" s="465"/>
      <c r="IT128" s="465"/>
      <c r="IU128" s="465"/>
      <c r="IV128" s="465"/>
      <c r="IW128" s="465"/>
      <c r="IX128" s="465"/>
      <c r="IY128" s="465"/>
      <c r="IZ128" s="465"/>
      <c r="JA128" s="465"/>
      <c r="JB128" s="465"/>
      <c r="JC128" s="465"/>
      <c r="JD128" s="465"/>
      <c r="JE128" s="465"/>
      <c r="JF128" s="465"/>
      <c r="JG128" s="465"/>
      <c r="JH128" s="465"/>
      <c r="JI128" s="465"/>
      <c r="JJ128" s="465"/>
      <c r="JK128" s="465"/>
      <c r="JL128" s="465"/>
      <c r="JM128" s="465"/>
      <c r="JN128" s="465"/>
      <c r="JO128" s="465"/>
      <c r="JP128" s="465"/>
      <c r="JQ128" s="465"/>
      <c r="JR128" s="465"/>
      <c r="JS128" s="465"/>
      <c r="JT128" s="465"/>
      <c r="JU128" s="465"/>
      <c r="JV128" s="465"/>
      <c r="JW128" s="465"/>
      <c r="JX128" s="20"/>
      <c r="JY128"/>
      <c r="JZ128" s="466"/>
      <c r="KA128" s="466"/>
      <c r="KB128" s="466"/>
      <c r="KC128" s="466"/>
      <c r="KD128" s="466"/>
      <c r="KE128" s="466"/>
      <c r="KF128" s="466"/>
      <c r="KG128" s="466"/>
      <c r="KH128" s="466"/>
      <c r="KI128" s="466"/>
      <c r="KJ128" s="466"/>
      <c r="KK128" s="466"/>
      <c r="KL128" s="466"/>
      <c r="KM128" s="466"/>
      <c r="KN128" s="466"/>
      <c r="KO128" s="466"/>
      <c r="KP128" s="466"/>
      <c r="KQ128" s="466"/>
      <c r="KR128" s="466"/>
      <c r="KS128" s="466"/>
      <c r="KT128" s="466"/>
      <c r="KU128" s="466"/>
      <c r="KV128" s="466"/>
      <c r="KW128" s="466"/>
      <c r="KX128" s="466"/>
      <c r="KY128" s="466"/>
      <c r="KZ128" s="466"/>
      <c r="LA128" s="466"/>
      <c r="LB128" s="466"/>
      <c r="LC128" s="466"/>
      <c r="LD128" s="466"/>
      <c r="LE128" s="466"/>
      <c r="LF128" s="466"/>
      <c r="LG128" s="466"/>
      <c r="LH128" s="466"/>
      <c r="LI128" s="466"/>
      <c r="LJ128" s="466"/>
      <c r="LK128" s="466"/>
      <c r="LL128" s="466"/>
      <c r="LM128" s="466"/>
      <c r="LN128" s="466"/>
      <c r="LO128" s="466"/>
      <c r="LP128" s="466"/>
      <c r="LQ128" s="466"/>
      <c r="LR128" s="466"/>
      <c r="LS128" s="466"/>
      <c r="LT128" s="466"/>
      <c r="LU128" s="466"/>
      <c r="LV128" s="466"/>
      <c r="LW128" s="466"/>
      <c r="LX128" s="466"/>
      <c r="LY128" s="466"/>
      <c r="LZ128" s="466"/>
      <c r="MA128" s="466"/>
      <c r="MB128" s="466"/>
      <c r="MC128" s="466"/>
      <c r="MD128" s="466"/>
      <c r="ME128" s="466"/>
      <c r="MF128" s="466"/>
      <c r="MG128" s="466"/>
      <c r="MH128" s="466"/>
      <c r="MI128" s="466"/>
      <c r="MJ128" s="466"/>
      <c r="MK128" s="466"/>
      <c r="ML128" s="466"/>
      <c r="MM128" s="466"/>
      <c r="MN128" s="466"/>
      <c r="MO128" s="466"/>
      <c r="MP128" s="466"/>
      <c r="MQ128" s="466"/>
      <c r="MR128" s="466"/>
      <c r="MS128" s="466"/>
      <c r="MT128" s="466"/>
      <c r="MU128" s="466"/>
      <c r="MV128" s="466"/>
      <c r="MW128" s="466"/>
      <c r="MX128" s="466"/>
      <c r="MY128" s="466"/>
      <c r="MZ128" s="466"/>
      <c r="NA128" s="466"/>
      <c r="NB128" s="466"/>
      <c r="NC128" s="466"/>
      <c r="ND128" s="466"/>
      <c r="NE128" s="466"/>
      <c r="NF128" s="466"/>
      <c r="NG128" s="466"/>
      <c r="NH128" s="466"/>
      <c r="NI128" s="466"/>
      <c r="NJ128" s="466"/>
      <c r="NK128" s="466"/>
      <c r="NL128" s="466"/>
      <c r="NM128" s="466"/>
      <c r="NN128" s="466"/>
      <c r="NO128" s="466"/>
      <c r="NP128" s="466"/>
      <c r="NQ128" s="466"/>
      <c r="NR128" s="466"/>
      <c r="NS128" s="466"/>
      <c r="NT128" s="466"/>
      <c r="NU128" s="466"/>
      <c r="NV128" s="466"/>
      <c r="NW128" s="466"/>
      <c r="NX128" s="466"/>
      <c r="NY128" s="466"/>
      <c r="NZ128" s="466"/>
      <c r="OA128" s="466"/>
      <c r="OB128" s="466"/>
      <c r="OC128" s="466"/>
      <c r="OD128" s="466"/>
      <c r="OE128" s="466"/>
      <c r="OF128" s="466"/>
      <c r="OG128" s="466"/>
      <c r="OH128" s="466"/>
      <c r="OI128" s="466"/>
      <c r="OJ128" s="466"/>
      <c r="OK128" s="466"/>
      <c r="OL128" s="466"/>
      <c r="OM128" s="466"/>
      <c r="ON128" s="466"/>
      <c r="OO128" s="466"/>
      <c r="OP128" s="466"/>
      <c r="OQ128" s="466"/>
      <c r="OR128" s="466"/>
      <c r="OS128" s="466"/>
      <c r="OT128" s="466"/>
      <c r="OU128" s="466"/>
      <c r="OV128" s="466"/>
      <c r="OW128" s="466"/>
      <c r="OX128" s="466"/>
      <c r="OY128" s="466"/>
      <c r="OZ128" s="466"/>
      <c r="PA128" s="466"/>
      <c r="PB128" s="466"/>
      <c r="PC128" s="466"/>
      <c r="PD128" s="466"/>
      <c r="PE128" s="466"/>
      <c r="PF128" s="466"/>
      <c r="PG128" s="466"/>
      <c r="PH128" s="466"/>
    </row>
    <row r="129" spans="1:424" x14ac:dyDescent="0.35">
      <c r="A129"/>
      <c r="B129" s="444" t="s">
        <v>292</v>
      </c>
      <c r="C129" s="414">
        <v>0</v>
      </c>
      <c r="D129" s="400"/>
      <c r="E129" s="400"/>
      <c r="F129" s="414"/>
      <c r="G129" s="43"/>
      <c r="H129" s="151" t="str">
        <f>"/"&amp;Unit_Type&amp;"/YR"</f>
        <v>/M2/YR</v>
      </c>
      <c r="I129" s="477">
        <f>-$G$129*I128</f>
        <v>0</v>
      </c>
      <c r="J129"/>
      <c r="K129" s="75"/>
      <c r="L129" s="202">
        <f t="shared" ref="L129:AQ129" si="445">-$G$129*L128</f>
        <v>0</v>
      </c>
      <c r="M129" s="202">
        <f t="shared" si="445"/>
        <v>0</v>
      </c>
      <c r="N129" s="202">
        <f t="shared" si="445"/>
        <v>0</v>
      </c>
      <c r="O129" s="202">
        <f t="shared" si="445"/>
        <v>0</v>
      </c>
      <c r="P129" s="202">
        <f t="shared" si="445"/>
        <v>0</v>
      </c>
      <c r="Q129" s="202">
        <f t="shared" si="445"/>
        <v>0</v>
      </c>
      <c r="R129" s="202">
        <f t="shared" si="445"/>
        <v>0</v>
      </c>
      <c r="S129" s="202">
        <f t="shared" si="445"/>
        <v>0</v>
      </c>
      <c r="T129" s="202">
        <f t="shared" si="445"/>
        <v>0</v>
      </c>
      <c r="U129" s="202">
        <f t="shared" si="445"/>
        <v>0</v>
      </c>
      <c r="V129" s="202">
        <f t="shared" si="445"/>
        <v>0</v>
      </c>
      <c r="W129" s="202">
        <f t="shared" si="445"/>
        <v>0</v>
      </c>
      <c r="X129" s="202">
        <f t="shared" si="445"/>
        <v>0</v>
      </c>
      <c r="Y129" s="202">
        <f t="shared" si="445"/>
        <v>0</v>
      </c>
      <c r="Z129" s="202">
        <f t="shared" si="445"/>
        <v>0</v>
      </c>
      <c r="AA129" s="202">
        <f t="shared" si="445"/>
        <v>0</v>
      </c>
      <c r="AB129" s="202">
        <f t="shared" si="445"/>
        <v>0</v>
      </c>
      <c r="AC129" s="202">
        <f t="shared" si="445"/>
        <v>0</v>
      </c>
      <c r="AD129" s="202">
        <f t="shared" si="445"/>
        <v>0</v>
      </c>
      <c r="AE129" s="202">
        <f t="shared" si="445"/>
        <v>0</v>
      </c>
      <c r="AF129" s="202">
        <f t="shared" si="445"/>
        <v>0</v>
      </c>
      <c r="AG129" s="202">
        <f t="shared" si="445"/>
        <v>0</v>
      </c>
      <c r="AH129" s="202">
        <f t="shared" si="445"/>
        <v>0</v>
      </c>
      <c r="AI129" s="202">
        <f t="shared" si="445"/>
        <v>0</v>
      </c>
      <c r="AJ129" s="202">
        <f t="shared" si="445"/>
        <v>0</v>
      </c>
      <c r="AK129" s="202">
        <f t="shared" si="445"/>
        <v>0</v>
      </c>
      <c r="AL129" s="202">
        <f t="shared" si="445"/>
        <v>0</v>
      </c>
      <c r="AM129" s="202">
        <f t="shared" si="445"/>
        <v>0</v>
      </c>
      <c r="AN129" s="202">
        <f t="shared" si="445"/>
        <v>0</v>
      </c>
      <c r="AO129" s="202">
        <f t="shared" si="445"/>
        <v>0</v>
      </c>
      <c r="AP129" s="202">
        <f t="shared" si="445"/>
        <v>0</v>
      </c>
      <c r="AQ129" s="202">
        <f t="shared" si="445"/>
        <v>0</v>
      </c>
      <c r="AR129" s="202">
        <f t="shared" ref="AR129:BW129" si="446">-$G$129*AR128</f>
        <v>0</v>
      </c>
      <c r="AS129" s="202">
        <f t="shared" si="446"/>
        <v>0</v>
      </c>
      <c r="AT129" s="202">
        <f t="shared" si="446"/>
        <v>0</v>
      </c>
      <c r="AU129" s="202">
        <f t="shared" si="446"/>
        <v>0</v>
      </c>
      <c r="AV129" s="202">
        <f t="shared" si="446"/>
        <v>0</v>
      </c>
      <c r="AW129" s="202">
        <f t="shared" si="446"/>
        <v>0</v>
      </c>
      <c r="AX129" s="202">
        <f t="shared" si="446"/>
        <v>0</v>
      </c>
      <c r="AY129" s="202">
        <f t="shared" si="446"/>
        <v>0</v>
      </c>
      <c r="AZ129" s="202">
        <f t="shared" si="446"/>
        <v>0</v>
      </c>
      <c r="BA129" s="202">
        <f t="shared" si="446"/>
        <v>0</v>
      </c>
      <c r="BB129" s="202">
        <f t="shared" si="446"/>
        <v>0</v>
      </c>
      <c r="BC129" s="202">
        <f t="shared" si="446"/>
        <v>0</v>
      </c>
      <c r="BD129" s="202">
        <f t="shared" si="446"/>
        <v>0</v>
      </c>
      <c r="BE129" s="202">
        <f t="shared" si="446"/>
        <v>0</v>
      </c>
      <c r="BF129" s="202">
        <f t="shared" si="446"/>
        <v>0</v>
      </c>
      <c r="BG129" s="202">
        <f t="shared" si="446"/>
        <v>0</v>
      </c>
      <c r="BH129" s="202">
        <f t="shared" si="446"/>
        <v>0</v>
      </c>
      <c r="BI129" s="202">
        <f t="shared" si="446"/>
        <v>0</v>
      </c>
      <c r="BJ129" s="202">
        <f t="shared" si="446"/>
        <v>0</v>
      </c>
      <c r="BK129" s="202">
        <f t="shared" si="446"/>
        <v>0</v>
      </c>
      <c r="BL129" s="202">
        <f t="shared" si="446"/>
        <v>0</v>
      </c>
      <c r="BM129" s="202">
        <f t="shared" si="446"/>
        <v>0</v>
      </c>
      <c r="BN129" s="202">
        <f t="shared" si="446"/>
        <v>0</v>
      </c>
      <c r="BO129" s="202">
        <f t="shared" si="446"/>
        <v>0</v>
      </c>
      <c r="BP129" s="202">
        <f t="shared" si="446"/>
        <v>0</v>
      </c>
      <c r="BQ129" s="202">
        <f t="shared" si="446"/>
        <v>0</v>
      </c>
      <c r="BR129" s="202">
        <f t="shared" si="446"/>
        <v>0</v>
      </c>
      <c r="BS129" s="202">
        <f t="shared" si="446"/>
        <v>0</v>
      </c>
      <c r="BT129" s="202">
        <f t="shared" si="446"/>
        <v>0</v>
      </c>
      <c r="BU129" s="202">
        <f t="shared" si="446"/>
        <v>0</v>
      </c>
      <c r="BV129" s="202">
        <f t="shared" si="446"/>
        <v>0</v>
      </c>
      <c r="BW129" s="202">
        <f t="shared" si="446"/>
        <v>0</v>
      </c>
      <c r="BX129" s="202">
        <f t="shared" ref="BX129:DC129" si="447">-$G$129*BX128</f>
        <v>0</v>
      </c>
      <c r="BY129" s="202">
        <f t="shared" si="447"/>
        <v>0</v>
      </c>
      <c r="BZ129" s="202">
        <f t="shared" si="447"/>
        <v>0</v>
      </c>
      <c r="CA129" s="202">
        <f t="shared" si="447"/>
        <v>0</v>
      </c>
      <c r="CB129" s="202">
        <f t="shared" si="447"/>
        <v>0</v>
      </c>
      <c r="CC129" s="202">
        <f t="shared" si="447"/>
        <v>0</v>
      </c>
      <c r="CD129" s="202">
        <f t="shared" si="447"/>
        <v>0</v>
      </c>
      <c r="CE129" s="202">
        <f t="shared" si="447"/>
        <v>0</v>
      </c>
      <c r="CF129" s="202">
        <f t="shared" si="447"/>
        <v>0</v>
      </c>
      <c r="CG129" s="202">
        <f t="shared" si="447"/>
        <v>0</v>
      </c>
      <c r="CH129" s="202">
        <f t="shared" si="447"/>
        <v>0</v>
      </c>
      <c r="CI129" s="202">
        <f t="shared" si="447"/>
        <v>0</v>
      </c>
      <c r="CJ129" s="202">
        <f t="shared" si="447"/>
        <v>0</v>
      </c>
      <c r="CK129" s="202">
        <f t="shared" si="447"/>
        <v>0</v>
      </c>
      <c r="CL129" s="202">
        <f t="shared" si="447"/>
        <v>0</v>
      </c>
      <c r="CM129" s="202">
        <f t="shared" si="447"/>
        <v>0</v>
      </c>
      <c r="CN129" s="202">
        <f t="shared" si="447"/>
        <v>0</v>
      </c>
      <c r="CO129" s="202">
        <f t="shared" si="447"/>
        <v>0</v>
      </c>
      <c r="CP129" s="202">
        <f t="shared" si="447"/>
        <v>0</v>
      </c>
      <c r="CQ129" s="202">
        <f t="shared" si="447"/>
        <v>0</v>
      </c>
      <c r="CR129" s="202">
        <f t="shared" si="447"/>
        <v>0</v>
      </c>
      <c r="CS129" s="202">
        <f t="shared" si="447"/>
        <v>0</v>
      </c>
      <c r="CT129" s="202">
        <f t="shared" si="447"/>
        <v>0</v>
      </c>
      <c r="CU129" s="202">
        <f t="shared" si="447"/>
        <v>0</v>
      </c>
      <c r="CV129" s="202">
        <f t="shared" si="447"/>
        <v>0</v>
      </c>
      <c r="CW129" s="202">
        <f t="shared" si="447"/>
        <v>0</v>
      </c>
      <c r="CX129" s="202">
        <f t="shared" si="447"/>
        <v>0</v>
      </c>
      <c r="CY129" s="202">
        <f t="shared" si="447"/>
        <v>0</v>
      </c>
      <c r="CZ129" s="202">
        <f t="shared" si="447"/>
        <v>0</v>
      </c>
      <c r="DA129" s="202">
        <f t="shared" si="447"/>
        <v>0</v>
      </c>
      <c r="DB129" s="202">
        <f t="shared" si="447"/>
        <v>0</v>
      </c>
      <c r="DC129" s="202">
        <f t="shared" si="447"/>
        <v>0</v>
      </c>
      <c r="DD129" s="202">
        <f t="shared" ref="DD129:EI129" si="448">-$G$129*DD128</f>
        <v>0</v>
      </c>
      <c r="DE129" s="202">
        <f t="shared" si="448"/>
        <v>0</v>
      </c>
      <c r="DF129" s="202">
        <f t="shared" si="448"/>
        <v>0</v>
      </c>
      <c r="DG129" s="202">
        <f t="shared" si="448"/>
        <v>0</v>
      </c>
      <c r="DH129" s="202">
        <f t="shared" si="448"/>
        <v>0</v>
      </c>
      <c r="DI129" s="202">
        <f t="shared" si="448"/>
        <v>0</v>
      </c>
      <c r="DJ129" s="202">
        <f t="shared" si="448"/>
        <v>0</v>
      </c>
      <c r="DK129" s="202">
        <f t="shared" si="448"/>
        <v>0</v>
      </c>
      <c r="DL129" s="202">
        <f t="shared" si="448"/>
        <v>0</v>
      </c>
      <c r="DM129" s="202">
        <f t="shared" si="448"/>
        <v>0</v>
      </c>
      <c r="DN129" s="202">
        <f t="shared" si="448"/>
        <v>0</v>
      </c>
      <c r="DO129" s="202">
        <f t="shared" si="448"/>
        <v>0</v>
      </c>
      <c r="DP129" s="202">
        <f t="shared" si="448"/>
        <v>0</v>
      </c>
      <c r="DQ129" s="202">
        <f t="shared" si="448"/>
        <v>0</v>
      </c>
      <c r="DR129" s="202">
        <f t="shared" si="448"/>
        <v>0</v>
      </c>
      <c r="DS129" s="202">
        <f t="shared" si="448"/>
        <v>0</v>
      </c>
      <c r="DT129" s="202">
        <f t="shared" si="448"/>
        <v>0</v>
      </c>
      <c r="DU129" s="202">
        <f t="shared" si="448"/>
        <v>0</v>
      </c>
      <c r="DV129" s="202">
        <f t="shared" si="448"/>
        <v>0</v>
      </c>
      <c r="DW129" s="202">
        <f t="shared" si="448"/>
        <v>0</v>
      </c>
      <c r="DX129" s="202">
        <f t="shared" si="448"/>
        <v>0</v>
      </c>
      <c r="DY129" s="202">
        <f t="shared" si="448"/>
        <v>0</v>
      </c>
      <c r="DZ129" s="202">
        <f t="shared" si="448"/>
        <v>0</v>
      </c>
      <c r="EA129" s="202">
        <f t="shared" si="448"/>
        <v>0</v>
      </c>
      <c r="EB129" s="202">
        <f t="shared" si="448"/>
        <v>0</v>
      </c>
      <c r="EC129" s="202">
        <f t="shared" si="448"/>
        <v>0</v>
      </c>
      <c r="ED129" s="202">
        <f t="shared" si="448"/>
        <v>0</v>
      </c>
      <c r="EE129" s="202">
        <f t="shared" si="448"/>
        <v>0</v>
      </c>
      <c r="EF129" s="202">
        <f t="shared" si="448"/>
        <v>0</v>
      </c>
      <c r="EG129" s="202">
        <f t="shared" si="448"/>
        <v>0</v>
      </c>
      <c r="EH129" s="202">
        <f t="shared" si="448"/>
        <v>0</v>
      </c>
      <c r="EI129" s="202">
        <f t="shared" si="448"/>
        <v>0</v>
      </c>
      <c r="EJ129" s="202">
        <f t="shared" ref="EJ129:EN129" si="449">-$G$129*EJ128</f>
        <v>0</v>
      </c>
      <c r="EK129" s="202">
        <f t="shared" si="449"/>
        <v>0</v>
      </c>
      <c r="EL129" s="202">
        <f t="shared" si="449"/>
        <v>0</v>
      </c>
      <c r="EM129" s="202">
        <f t="shared" si="449"/>
        <v>0</v>
      </c>
      <c r="EN129" s="202">
        <f t="shared" si="449"/>
        <v>0</v>
      </c>
      <c r="EO129" s="208"/>
      <c r="EP129" s="464"/>
      <c r="EQ129" s="465"/>
      <c r="ER129" s="465"/>
      <c r="ES129" s="465"/>
      <c r="ET129" s="465"/>
      <c r="EU129" s="465"/>
      <c r="EV129" s="465"/>
      <c r="EW129" s="465"/>
      <c r="EX129" s="465"/>
      <c r="EY129" s="465"/>
      <c r="EZ129" s="465"/>
      <c r="FA129" s="465"/>
      <c r="FB129" s="465"/>
      <c r="FC129" s="465"/>
      <c r="FD129" s="465"/>
      <c r="FE129" s="465"/>
      <c r="FF129" s="465"/>
      <c r="FG129" s="465"/>
      <c r="FH129" s="465"/>
      <c r="FI129" s="465"/>
      <c r="FJ129" s="465"/>
      <c r="FK129" s="465"/>
      <c r="FL129" s="465"/>
      <c r="FM129" s="465"/>
      <c r="FN129" s="465"/>
      <c r="FO129" s="465"/>
      <c r="FP129" s="465"/>
      <c r="FQ129" s="465"/>
      <c r="FR129" s="465"/>
      <c r="FS129" s="465"/>
      <c r="FT129" s="465"/>
      <c r="FU129" s="465"/>
      <c r="FV129" s="465"/>
      <c r="FW129" s="465"/>
      <c r="FX129" s="465"/>
      <c r="FY129" s="465"/>
      <c r="FZ129" s="465"/>
      <c r="GA129" s="465"/>
      <c r="GB129" s="465"/>
      <c r="GC129" s="465"/>
      <c r="GD129" s="465"/>
      <c r="GE129" s="465"/>
      <c r="GF129" s="465"/>
      <c r="GG129" s="465"/>
      <c r="GH129" s="465"/>
      <c r="GI129" s="465"/>
      <c r="GJ129" s="465"/>
      <c r="GK129" s="465"/>
      <c r="GL129" s="465"/>
      <c r="GM129" s="465"/>
      <c r="GN129" s="465"/>
      <c r="GO129" s="465"/>
      <c r="GP129" s="465"/>
      <c r="GQ129" s="465"/>
      <c r="GR129" s="465"/>
      <c r="GS129" s="465"/>
      <c r="GT129" s="465"/>
      <c r="GU129" s="465"/>
      <c r="GV129" s="465"/>
      <c r="GW129" s="465"/>
      <c r="GX129" s="465"/>
      <c r="GY129" s="465"/>
      <c r="GZ129" s="465"/>
      <c r="HA129" s="465"/>
      <c r="HB129" s="465"/>
      <c r="HC129" s="465"/>
      <c r="HD129" s="465"/>
      <c r="HE129" s="465"/>
      <c r="HF129" s="465"/>
      <c r="HG129" s="465"/>
      <c r="HH129" s="465"/>
      <c r="HI129" s="465"/>
      <c r="HJ129" s="465"/>
      <c r="HK129" s="465"/>
      <c r="HL129" s="465"/>
      <c r="HM129" s="465"/>
      <c r="HN129" s="465"/>
      <c r="HO129" s="465"/>
      <c r="HP129" s="465"/>
      <c r="HQ129" s="465"/>
      <c r="HR129" s="465"/>
      <c r="HS129" s="465"/>
      <c r="HT129" s="465"/>
      <c r="HU129" s="465"/>
      <c r="HV129" s="465"/>
      <c r="HW129" s="465"/>
      <c r="HX129" s="465"/>
      <c r="HY129" s="465"/>
      <c r="HZ129" s="465"/>
      <c r="IA129" s="465"/>
      <c r="IB129" s="465"/>
      <c r="IC129" s="465"/>
      <c r="ID129" s="465"/>
      <c r="IE129" s="465"/>
      <c r="IF129" s="465"/>
      <c r="IG129" s="465"/>
      <c r="IH129" s="465"/>
      <c r="II129" s="465"/>
      <c r="IJ129" s="465"/>
      <c r="IK129" s="465"/>
      <c r="IL129" s="465"/>
      <c r="IM129" s="465"/>
      <c r="IN129" s="465"/>
      <c r="IO129" s="465"/>
      <c r="IP129" s="465"/>
      <c r="IQ129" s="465"/>
      <c r="IR129" s="465"/>
      <c r="IS129" s="465"/>
      <c r="IT129" s="465"/>
      <c r="IU129" s="465"/>
      <c r="IV129" s="465"/>
      <c r="IW129" s="465"/>
      <c r="IX129" s="465"/>
      <c r="IY129" s="465"/>
      <c r="IZ129" s="465"/>
      <c r="JA129" s="465"/>
      <c r="JB129" s="465"/>
      <c r="JC129" s="465"/>
      <c r="JD129" s="465"/>
      <c r="JE129" s="465"/>
      <c r="JF129" s="465"/>
      <c r="JG129" s="465"/>
      <c r="JH129" s="465"/>
      <c r="JI129" s="465"/>
      <c r="JJ129" s="465"/>
      <c r="JK129" s="465"/>
      <c r="JL129" s="465"/>
      <c r="JM129" s="465"/>
      <c r="JN129" s="465"/>
      <c r="JO129" s="465"/>
      <c r="JP129" s="465"/>
      <c r="JQ129" s="465"/>
      <c r="JR129" s="465"/>
      <c r="JS129" s="465"/>
      <c r="JT129" s="465"/>
      <c r="JU129" s="465"/>
      <c r="JV129" s="465"/>
      <c r="JW129" s="465"/>
      <c r="JX129" s="20"/>
      <c r="JY129"/>
      <c r="JZ129" s="466"/>
      <c r="KA129" s="466"/>
      <c r="KB129" s="466"/>
      <c r="KC129" s="466"/>
      <c r="KD129" s="466"/>
      <c r="KE129" s="466"/>
      <c r="KF129" s="466"/>
      <c r="KG129" s="466"/>
      <c r="KH129" s="466"/>
      <c r="KI129" s="466"/>
      <c r="KJ129" s="466"/>
      <c r="KK129" s="466"/>
      <c r="KL129" s="466"/>
      <c r="KM129" s="466"/>
      <c r="KN129" s="466"/>
      <c r="KO129" s="466"/>
      <c r="KP129" s="466"/>
      <c r="KQ129" s="466"/>
      <c r="KR129" s="466"/>
      <c r="KS129" s="466"/>
      <c r="KT129" s="466"/>
      <c r="KU129" s="466"/>
      <c r="KV129" s="466"/>
      <c r="KW129" s="466"/>
      <c r="KX129" s="466"/>
      <c r="KY129" s="466"/>
      <c r="KZ129" s="466"/>
      <c r="LA129" s="466"/>
      <c r="LB129" s="466"/>
      <c r="LC129" s="466"/>
      <c r="LD129" s="466"/>
      <c r="LE129" s="466"/>
      <c r="LF129" s="466"/>
      <c r="LG129" s="466"/>
      <c r="LH129" s="466"/>
      <c r="LI129" s="466"/>
      <c r="LJ129" s="466"/>
      <c r="LK129" s="466"/>
      <c r="LL129" s="466"/>
      <c r="LM129" s="466"/>
      <c r="LN129" s="466"/>
      <c r="LO129" s="466"/>
      <c r="LP129" s="466"/>
      <c r="LQ129" s="466"/>
      <c r="LR129" s="466"/>
      <c r="LS129" s="466"/>
      <c r="LT129" s="466"/>
      <c r="LU129" s="466"/>
      <c r="LV129" s="466"/>
      <c r="LW129" s="466"/>
      <c r="LX129" s="466"/>
      <c r="LY129" s="466"/>
      <c r="LZ129" s="466"/>
      <c r="MA129" s="466"/>
      <c r="MB129" s="466"/>
      <c r="MC129" s="466"/>
      <c r="MD129" s="466"/>
      <c r="ME129" s="466"/>
      <c r="MF129" s="466"/>
      <c r="MG129" s="466"/>
      <c r="MH129" s="466"/>
      <c r="MI129" s="466"/>
      <c r="MJ129" s="466"/>
      <c r="MK129" s="466"/>
      <c r="ML129" s="466"/>
      <c r="MM129" s="466"/>
      <c r="MN129" s="466"/>
      <c r="MO129" s="466"/>
      <c r="MP129" s="466"/>
      <c r="MQ129" s="466"/>
      <c r="MR129" s="466"/>
      <c r="MS129" s="466"/>
      <c r="MT129" s="466"/>
      <c r="MU129" s="466"/>
      <c r="MV129" s="466"/>
      <c r="MW129" s="466"/>
      <c r="MX129" s="466"/>
      <c r="MY129" s="466"/>
      <c r="MZ129" s="466"/>
      <c r="NA129" s="466"/>
      <c r="NB129" s="466"/>
      <c r="NC129" s="466"/>
      <c r="ND129" s="466"/>
      <c r="NE129" s="466"/>
      <c r="NF129" s="466"/>
      <c r="NG129" s="466"/>
      <c r="NH129" s="466"/>
      <c r="NI129" s="466"/>
      <c r="NJ129" s="466"/>
      <c r="NK129" s="466"/>
      <c r="NL129" s="466"/>
      <c r="NM129" s="466"/>
      <c r="NN129" s="466"/>
      <c r="NO129" s="466"/>
      <c r="NP129" s="466"/>
      <c r="NQ129" s="466"/>
      <c r="NR129" s="466"/>
      <c r="NS129" s="466"/>
      <c r="NT129" s="466"/>
      <c r="NU129" s="466"/>
      <c r="NV129" s="466"/>
      <c r="NW129" s="466"/>
      <c r="NX129" s="466"/>
      <c r="NY129" s="466"/>
      <c r="NZ129" s="466"/>
      <c r="OA129" s="466"/>
      <c r="OB129" s="466"/>
      <c r="OC129" s="466"/>
      <c r="OD129" s="466"/>
      <c r="OE129" s="466"/>
      <c r="OF129" s="466"/>
      <c r="OG129" s="466"/>
      <c r="OH129" s="466"/>
      <c r="OI129" s="466"/>
      <c r="OJ129" s="466"/>
      <c r="OK129" s="466"/>
      <c r="OL129" s="466"/>
      <c r="OM129" s="466"/>
      <c r="ON129" s="466"/>
      <c r="OO129" s="466"/>
      <c r="OP129" s="466"/>
      <c r="OQ129" s="466"/>
      <c r="OR129" s="466"/>
      <c r="OS129" s="466"/>
      <c r="OT129" s="466"/>
      <c r="OU129" s="466"/>
      <c r="OV129" s="466"/>
      <c r="OW129" s="466"/>
      <c r="OX129" s="466"/>
      <c r="OY129" s="466"/>
      <c r="OZ129" s="466"/>
      <c r="PA129" s="466"/>
      <c r="PB129" s="466"/>
      <c r="PC129" s="466"/>
      <c r="PD129" s="466"/>
      <c r="PE129" s="466"/>
      <c r="PF129" s="466"/>
      <c r="PG129" s="466"/>
      <c r="PH129" s="466"/>
    </row>
    <row r="130" spans="1:424" s="28" customFormat="1" x14ac:dyDescent="0.35">
      <c r="A130" s="478"/>
      <c r="B130" s="34" t="s">
        <v>293</v>
      </c>
      <c r="C130" s="479">
        <f t="array" ref="C130">I130/Units_Ind</f>
        <v>622.27556905275344</v>
      </c>
      <c r="D130" s="454"/>
      <c r="E130" s="454"/>
      <c r="F130" s="152"/>
      <c r="G130" s="136"/>
      <c r="H130" s="148"/>
      <c r="I130" s="445">
        <f>SUM(I128:I129)</f>
        <v>48830200.368285805</v>
      </c>
      <c r="J130"/>
      <c r="K130" s="223" t="s">
        <v>63</v>
      </c>
      <c r="L130" s="75">
        <f t="shared" ref="L130:AQ130" si="450">SUM(L128:L129)</f>
        <v>0</v>
      </c>
      <c r="M130" s="75">
        <f t="shared" si="450"/>
        <v>0</v>
      </c>
      <c r="N130" s="75">
        <f t="shared" si="450"/>
        <v>0</v>
      </c>
      <c r="O130" s="75">
        <f t="shared" si="450"/>
        <v>0</v>
      </c>
      <c r="P130" s="75">
        <f t="shared" si="450"/>
        <v>0</v>
      </c>
      <c r="Q130" s="75">
        <f t="shared" si="450"/>
        <v>0</v>
      </c>
      <c r="R130" s="75">
        <f t="shared" si="450"/>
        <v>0</v>
      </c>
      <c r="S130" s="75">
        <f t="shared" si="450"/>
        <v>0</v>
      </c>
      <c r="T130" s="75">
        <f t="shared" si="450"/>
        <v>0</v>
      </c>
      <c r="U130" s="75">
        <f t="shared" si="450"/>
        <v>0</v>
      </c>
      <c r="V130" s="75">
        <f t="shared" si="450"/>
        <v>0</v>
      </c>
      <c r="W130" s="75">
        <f t="shared" si="450"/>
        <v>0</v>
      </c>
      <c r="X130" s="75">
        <f t="shared" si="450"/>
        <v>0</v>
      </c>
      <c r="Y130" s="75">
        <f t="shared" si="450"/>
        <v>0</v>
      </c>
      <c r="Z130" s="75">
        <f t="shared" si="450"/>
        <v>0</v>
      </c>
      <c r="AA130" s="75">
        <f t="shared" si="450"/>
        <v>0</v>
      </c>
      <c r="AB130" s="75">
        <f t="shared" si="450"/>
        <v>0</v>
      </c>
      <c r="AC130" s="75">
        <f t="shared" si="450"/>
        <v>0</v>
      </c>
      <c r="AD130" s="75">
        <f t="shared" si="450"/>
        <v>0</v>
      </c>
      <c r="AE130" s="75">
        <f t="shared" si="450"/>
        <v>0</v>
      </c>
      <c r="AF130" s="75">
        <f t="shared" si="450"/>
        <v>0</v>
      </c>
      <c r="AG130" s="75">
        <f t="shared" si="450"/>
        <v>0</v>
      </c>
      <c r="AH130" s="75">
        <f t="shared" si="450"/>
        <v>716666.66666666663</v>
      </c>
      <c r="AI130" s="75">
        <f t="shared" si="450"/>
        <v>716666.66666666663</v>
      </c>
      <c r="AJ130" s="75">
        <f t="shared" si="450"/>
        <v>716666.66666666663</v>
      </c>
      <c r="AK130" s="75">
        <f t="shared" si="450"/>
        <v>933333.33333333326</v>
      </c>
      <c r="AL130" s="75">
        <f t="shared" si="450"/>
        <v>933333.33333333326</v>
      </c>
      <c r="AM130" s="75">
        <f t="shared" si="450"/>
        <v>933333.33333333326</v>
      </c>
      <c r="AN130" s="75">
        <f t="shared" si="450"/>
        <v>1107500</v>
      </c>
      <c r="AO130" s="75">
        <f t="shared" si="450"/>
        <v>1107500</v>
      </c>
      <c r="AP130" s="75">
        <f t="shared" si="450"/>
        <v>1107500</v>
      </c>
      <c r="AQ130" s="75">
        <f t="shared" si="450"/>
        <v>1265833.3333333333</v>
      </c>
      <c r="AR130" s="75">
        <f t="shared" ref="AR130:BW130" si="451">SUM(AR128:AR129)</f>
        <v>1265833.3333333333</v>
      </c>
      <c r="AS130" s="75">
        <f t="shared" si="451"/>
        <v>1265833.3333333333</v>
      </c>
      <c r="AT130" s="75">
        <f t="shared" si="451"/>
        <v>1298416.6666666665</v>
      </c>
      <c r="AU130" s="75">
        <f t="shared" si="451"/>
        <v>1298416.6666666665</v>
      </c>
      <c r="AV130" s="75">
        <f t="shared" si="451"/>
        <v>1298416.6666666665</v>
      </c>
      <c r="AW130" s="75">
        <f t="shared" si="451"/>
        <v>1329966.833333333</v>
      </c>
      <c r="AX130" s="75">
        <f t="shared" si="451"/>
        <v>1560296.5185666289</v>
      </c>
      <c r="AY130" s="75">
        <f t="shared" si="451"/>
        <v>1790626.2037999253</v>
      </c>
      <c r="AZ130" s="75">
        <f t="shared" si="451"/>
        <v>2029033.466005954</v>
      </c>
      <c r="BA130" s="75">
        <f t="shared" si="451"/>
        <v>2260023.7324523833</v>
      </c>
      <c r="BB130" s="75">
        <f t="shared" si="451"/>
        <v>2491013.9988988126</v>
      </c>
      <c r="BC130" s="75">
        <f t="shared" si="451"/>
        <v>2727545.9320119084</v>
      </c>
      <c r="BD130" s="75">
        <f t="shared" si="451"/>
        <v>2958536.1984583372</v>
      </c>
      <c r="BE130" s="75">
        <f t="shared" si="451"/>
        <v>3189526.4649047665</v>
      </c>
      <c r="BF130" s="75">
        <f t="shared" si="451"/>
        <v>3446740.4813511958</v>
      </c>
      <c r="BG130" s="75">
        <f t="shared" si="451"/>
        <v>3677730.7477976251</v>
      </c>
      <c r="BH130" s="75">
        <f t="shared" si="451"/>
        <v>3908721.0142440535</v>
      </c>
      <c r="BI130" s="75">
        <f t="shared" si="451"/>
        <v>4217456.2814577445</v>
      </c>
      <c r="BJ130" s="75">
        <f t="shared" si="451"/>
        <v>4217456.2814577445</v>
      </c>
      <c r="BK130" s="75">
        <f t="shared" si="451"/>
        <v>4217456.2814577445</v>
      </c>
      <c r="BL130" s="75">
        <f t="shared" si="451"/>
        <v>4223765.4689577445</v>
      </c>
      <c r="BM130" s="75">
        <f t="shared" si="451"/>
        <v>4223765.4689577445</v>
      </c>
      <c r="BN130" s="75">
        <f t="shared" si="451"/>
        <v>4223765.4689577445</v>
      </c>
      <c r="BO130" s="75">
        <f t="shared" si="451"/>
        <v>4229501.0939577445</v>
      </c>
      <c r="BP130" s="75">
        <f t="shared" si="451"/>
        <v>4229501.0939577445</v>
      </c>
      <c r="BQ130" s="75">
        <f t="shared" si="451"/>
        <v>4229501.0939577445</v>
      </c>
      <c r="BR130" s="75">
        <f t="shared" si="451"/>
        <v>4256642.6752077453</v>
      </c>
      <c r="BS130" s="75">
        <f t="shared" si="451"/>
        <v>4256642.6752077453</v>
      </c>
      <c r="BT130" s="75">
        <f t="shared" si="451"/>
        <v>4256642.6752077453</v>
      </c>
      <c r="BU130" s="75">
        <f t="shared" si="451"/>
        <v>4336409.7884941883</v>
      </c>
      <c r="BV130" s="75">
        <f t="shared" si="451"/>
        <v>4336409.7884941883</v>
      </c>
      <c r="BW130" s="75">
        <f t="shared" si="451"/>
        <v>4336409.7884941883</v>
      </c>
      <c r="BX130" s="75">
        <f t="shared" ref="BX130:DC130" si="452">SUM(BX128:BX129)</f>
        <v>4342939.797556689</v>
      </c>
      <c r="BY130" s="75">
        <f t="shared" si="452"/>
        <v>4342939.797556689</v>
      </c>
      <c r="BZ130" s="75">
        <f t="shared" si="452"/>
        <v>4342939.797556689</v>
      </c>
      <c r="CA130" s="75">
        <f t="shared" si="452"/>
        <v>4348876.1694316883</v>
      </c>
      <c r="CB130" s="75">
        <f t="shared" si="452"/>
        <v>4348876.1694316883</v>
      </c>
      <c r="CC130" s="75">
        <f t="shared" si="452"/>
        <v>4348876.1694316883</v>
      </c>
      <c r="CD130" s="75">
        <f t="shared" si="452"/>
        <v>4376967.7060254384</v>
      </c>
      <c r="CE130" s="75">
        <f t="shared" si="452"/>
        <v>4376967.7060254384</v>
      </c>
      <c r="CF130" s="75">
        <f t="shared" si="452"/>
        <v>4376967.7060254384</v>
      </c>
      <c r="CG130" s="75">
        <f t="shared" si="452"/>
        <v>4458810.2317065438</v>
      </c>
      <c r="CH130" s="75">
        <f t="shared" si="452"/>
        <v>4458810.2317065438</v>
      </c>
      <c r="CI130" s="75">
        <f t="shared" si="452"/>
        <v>4458810.2317065438</v>
      </c>
      <c r="CJ130" s="75">
        <f t="shared" si="452"/>
        <v>4465568.7910862304</v>
      </c>
      <c r="CK130" s="75">
        <f t="shared" si="452"/>
        <v>4465568.7910862304</v>
      </c>
      <c r="CL130" s="75">
        <f t="shared" si="452"/>
        <v>4465568.7910862304</v>
      </c>
      <c r="CM130" s="75">
        <f t="shared" si="452"/>
        <v>4471712.9359768555</v>
      </c>
      <c r="CN130" s="75">
        <f t="shared" si="452"/>
        <v>4471712.9359768555</v>
      </c>
      <c r="CO130" s="75">
        <f t="shared" si="452"/>
        <v>4471712.9359768555</v>
      </c>
      <c r="CP130" s="75">
        <f t="shared" si="452"/>
        <v>4500787.6763513871</v>
      </c>
      <c r="CQ130" s="75">
        <f t="shared" si="452"/>
        <v>4500787.6763513871</v>
      </c>
      <c r="CR130" s="75">
        <f t="shared" si="452"/>
        <v>4500787.6763513871</v>
      </c>
      <c r="CS130" s="75">
        <f t="shared" si="452"/>
        <v>4584760.3429467063</v>
      </c>
      <c r="CT130" s="75">
        <f t="shared" si="452"/>
        <v>4584760.3429467063</v>
      </c>
      <c r="CU130" s="75">
        <f t="shared" si="452"/>
        <v>4584760.3429467063</v>
      </c>
      <c r="CV130" s="75">
        <f t="shared" si="452"/>
        <v>4591755.4519046834</v>
      </c>
      <c r="CW130" s="75">
        <f t="shared" si="452"/>
        <v>4591755.4519046834</v>
      </c>
      <c r="CX130" s="75">
        <f t="shared" si="452"/>
        <v>4591755.4519046834</v>
      </c>
      <c r="CY130" s="75">
        <f t="shared" si="452"/>
        <v>4598114.64186648</v>
      </c>
      <c r="CZ130" s="75">
        <f t="shared" si="452"/>
        <v>4598114.64186648</v>
      </c>
      <c r="DA130" s="75">
        <f t="shared" si="452"/>
        <v>4598114.64186648</v>
      </c>
      <c r="DB130" s="75">
        <f t="shared" si="452"/>
        <v>4628206.9981541205</v>
      </c>
      <c r="DC130" s="75">
        <f t="shared" si="452"/>
        <v>4628206.9981541205</v>
      </c>
      <c r="DD130" s="75">
        <f t="shared" ref="DD130:EI130" si="453">SUM(DD128:DD129)</f>
        <v>4628206.9981541205</v>
      </c>
      <c r="DE130" s="75">
        <f t="shared" si="453"/>
        <v>4714366.001908537</v>
      </c>
      <c r="DF130" s="75">
        <f t="shared" si="453"/>
        <v>4714366.001908537</v>
      </c>
      <c r="DG130" s="75">
        <f t="shared" si="453"/>
        <v>4714366.001908537</v>
      </c>
      <c r="DH130" s="75">
        <f t="shared" si="453"/>
        <v>4721605.9396800417</v>
      </c>
      <c r="DI130" s="75">
        <f t="shared" si="453"/>
        <v>4721605.9396800417</v>
      </c>
      <c r="DJ130" s="75">
        <f t="shared" si="453"/>
        <v>4721605.9396800417</v>
      </c>
      <c r="DK130" s="75">
        <f t="shared" si="453"/>
        <v>4728187.7012905022</v>
      </c>
      <c r="DL130" s="75">
        <f t="shared" si="453"/>
        <v>4728187.7012905022</v>
      </c>
      <c r="DM130" s="75">
        <f t="shared" si="453"/>
        <v>4728187.7012905022</v>
      </c>
      <c r="DN130" s="75">
        <f t="shared" si="453"/>
        <v>4759333.290048209</v>
      </c>
      <c r="DO130" s="75">
        <f t="shared" si="453"/>
        <v>4759333.290048209</v>
      </c>
      <c r="DP130" s="75">
        <f t="shared" si="453"/>
        <v>4759333.290048209</v>
      </c>
      <c r="DQ130" s="75">
        <f t="shared" si="453"/>
        <v>4847736.3351079971</v>
      </c>
      <c r="DR130" s="75">
        <f t="shared" si="453"/>
        <v>4847736.3351079971</v>
      </c>
      <c r="DS130" s="75">
        <f t="shared" si="453"/>
        <v>4847736.3351079971</v>
      </c>
      <c r="DT130" s="75">
        <f t="shared" si="453"/>
        <v>4855229.6707015056</v>
      </c>
      <c r="DU130" s="75">
        <f t="shared" si="453"/>
        <v>4855229.6707015056</v>
      </c>
      <c r="DV130" s="75">
        <f t="shared" si="453"/>
        <v>4855229.6707015056</v>
      </c>
      <c r="DW130" s="75">
        <f t="shared" si="453"/>
        <v>4862041.793968332</v>
      </c>
      <c r="DX130" s="75">
        <f t="shared" si="453"/>
        <v>4862041.793968332</v>
      </c>
      <c r="DY130" s="75">
        <f t="shared" si="453"/>
        <v>4862041.793968332</v>
      </c>
      <c r="DZ130" s="75">
        <f t="shared" si="453"/>
        <v>4894277.4783325586</v>
      </c>
      <c r="EA130" s="75">
        <f t="shared" si="453"/>
        <v>4894277.4783325586</v>
      </c>
      <c r="EB130" s="75">
        <f t="shared" si="453"/>
        <v>4894277.4783325586</v>
      </c>
      <c r="EC130" s="75">
        <f t="shared" si="453"/>
        <v>4984983.8180477563</v>
      </c>
      <c r="ED130" s="75">
        <f t="shared" si="453"/>
        <v>4984983.8180477563</v>
      </c>
      <c r="EE130" s="75">
        <f t="shared" si="453"/>
        <v>4984983.8180477563</v>
      </c>
      <c r="EF130" s="75">
        <f t="shared" si="453"/>
        <v>4992739.4203870371</v>
      </c>
      <c r="EG130" s="75">
        <f t="shared" si="453"/>
        <v>4992739.4203870371</v>
      </c>
      <c r="EH130" s="75">
        <f t="shared" si="453"/>
        <v>4992739.4203870371</v>
      </c>
      <c r="EI130" s="75">
        <f t="shared" si="453"/>
        <v>4999789.9679682022</v>
      </c>
      <c r="EJ130" s="75">
        <f t="shared" ref="EJ130:EN130" si="454">SUM(EJ128:EJ129)</f>
        <v>4999789.9679682022</v>
      </c>
      <c r="EK130" s="75">
        <f t="shared" si="454"/>
        <v>4999789.9679682022</v>
      </c>
      <c r="EL130" s="75">
        <f t="shared" si="454"/>
        <v>5033153.9012851771</v>
      </c>
      <c r="EM130" s="75">
        <f t="shared" si="454"/>
        <v>5033153.9012851771</v>
      </c>
      <c r="EN130" s="75">
        <f t="shared" si="454"/>
        <v>5033153.9012851771</v>
      </c>
      <c r="EO130" s="480"/>
      <c r="EP130" s="481"/>
      <c r="EQ130" s="482"/>
      <c r="ER130" s="482"/>
      <c r="ES130" s="482"/>
      <c r="ET130" s="482"/>
      <c r="EU130" s="482"/>
      <c r="EV130" s="482"/>
      <c r="EW130" s="482"/>
      <c r="EX130" s="482"/>
      <c r="EY130" s="482"/>
      <c r="EZ130" s="482"/>
      <c r="FA130" s="482"/>
      <c r="FB130" s="482"/>
      <c r="FC130" s="482"/>
      <c r="FD130" s="482"/>
      <c r="FE130" s="482"/>
      <c r="FF130" s="482"/>
      <c r="FG130" s="482"/>
      <c r="FH130" s="482"/>
      <c r="FI130" s="482"/>
      <c r="FJ130" s="482"/>
      <c r="FK130" s="482"/>
      <c r="FL130" s="482"/>
      <c r="FM130" s="482"/>
      <c r="FN130" s="482"/>
      <c r="FO130" s="482"/>
      <c r="FP130" s="482"/>
      <c r="FQ130" s="482"/>
      <c r="FR130" s="482"/>
      <c r="FS130" s="482"/>
      <c r="FT130" s="482"/>
      <c r="FU130" s="482"/>
      <c r="FV130" s="482"/>
      <c r="FW130" s="482"/>
      <c r="FX130" s="482"/>
      <c r="FY130" s="482"/>
      <c r="FZ130" s="482"/>
      <c r="GA130" s="482"/>
      <c r="GB130" s="482"/>
      <c r="GC130" s="482"/>
      <c r="GD130" s="482"/>
      <c r="GE130" s="482"/>
      <c r="GF130" s="482"/>
      <c r="GG130" s="482"/>
      <c r="GH130" s="482"/>
      <c r="GI130" s="482"/>
      <c r="GJ130" s="482"/>
      <c r="GK130" s="482"/>
      <c r="GL130" s="482"/>
      <c r="GM130" s="482"/>
      <c r="GN130" s="482"/>
      <c r="GO130" s="482"/>
      <c r="GP130" s="482"/>
      <c r="GQ130" s="482"/>
      <c r="GR130" s="482"/>
      <c r="GS130" s="482"/>
      <c r="GT130" s="482"/>
      <c r="GU130" s="482"/>
      <c r="GV130" s="482"/>
      <c r="GW130" s="482"/>
      <c r="GX130" s="482"/>
      <c r="GY130" s="482"/>
      <c r="GZ130" s="482"/>
      <c r="HA130" s="482"/>
      <c r="HB130" s="482"/>
      <c r="HC130" s="482"/>
      <c r="HD130" s="482"/>
      <c r="HE130" s="482"/>
      <c r="HF130" s="482"/>
      <c r="HG130" s="482"/>
      <c r="HH130" s="482"/>
      <c r="HI130" s="482"/>
      <c r="HJ130" s="482"/>
      <c r="HK130" s="482"/>
      <c r="HL130" s="482"/>
      <c r="HM130" s="482"/>
      <c r="HN130" s="482"/>
      <c r="HO130" s="482"/>
      <c r="HP130" s="482"/>
      <c r="HQ130" s="482"/>
      <c r="HR130" s="482"/>
      <c r="HS130" s="482"/>
      <c r="HT130" s="482"/>
      <c r="HU130" s="482"/>
      <c r="HV130" s="482"/>
      <c r="HW130" s="482"/>
      <c r="HX130" s="482"/>
      <c r="HY130" s="482"/>
      <c r="HZ130" s="482"/>
      <c r="IA130" s="482"/>
      <c r="IB130" s="482"/>
      <c r="IC130" s="482"/>
      <c r="ID130" s="482"/>
      <c r="IE130" s="482"/>
      <c r="IF130" s="482"/>
      <c r="IG130" s="482"/>
      <c r="IH130" s="482"/>
      <c r="II130" s="482"/>
      <c r="IJ130" s="482"/>
      <c r="IK130" s="482"/>
      <c r="IL130" s="482"/>
      <c r="IM130" s="482"/>
      <c r="IN130" s="482"/>
      <c r="IO130" s="482"/>
      <c r="IP130" s="482"/>
      <c r="IQ130" s="482"/>
      <c r="IR130" s="482"/>
      <c r="IS130" s="482"/>
      <c r="IT130" s="482"/>
      <c r="IU130" s="482"/>
      <c r="IV130" s="482"/>
      <c r="IW130" s="482"/>
      <c r="IX130" s="482"/>
      <c r="IY130" s="482"/>
      <c r="IZ130" s="482"/>
      <c r="JA130" s="482"/>
      <c r="JB130" s="482"/>
      <c r="JC130" s="482"/>
      <c r="JD130" s="482"/>
      <c r="JE130" s="482"/>
      <c r="JF130" s="482"/>
      <c r="JG130" s="482"/>
      <c r="JH130" s="482"/>
      <c r="JI130" s="482"/>
      <c r="JJ130" s="482"/>
      <c r="JK130" s="482"/>
      <c r="JL130" s="482"/>
      <c r="JM130" s="482"/>
      <c r="JN130" s="482"/>
      <c r="JO130" s="482"/>
      <c r="JP130" s="482"/>
      <c r="JQ130" s="482"/>
      <c r="JR130" s="482"/>
      <c r="JS130" s="482"/>
      <c r="JT130" s="482"/>
      <c r="JU130" s="482"/>
      <c r="JV130" s="482"/>
      <c r="JW130" s="482"/>
      <c r="JX130" s="20"/>
      <c r="JY130"/>
      <c r="JZ130" s="483"/>
      <c r="KA130" s="483"/>
      <c r="KB130" s="483"/>
      <c r="KC130" s="483"/>
      <c r="KD130" s="483"/>
      <c r="KE130" s="483"/>
      <c r="KF130" s="483"/>
      <c r="KG130" s="483"/>
      <c r="KH130" s="483"/>
      <c r="KI130" s="483"/>
      <c r="KJ130" s="483"/>
      <c r="KK130" s="483"/>
      <c r="KL130" s="483"/>
      <c r="KM130" s="483"/>
      <c r="KN130" s="483"/>
      <c r="KO130" s="483"/>
      <c r="KP130" s="483"/>
      <c r="KQ130" s="483"/>
      <c r="KR130" s="483"/>
      <c r="KS130" s="483"/>
      <c r="KT130" s="483"/>
      <c r="KU130" s="483"/>
      <c r="KV130" s="483"/>
      <c r="KW130" s="483"/>
      <c r="KX130" s="483"/>
      <c r="KY130" s="483"/>
      <c r="KZ130" s="483"/>
      <c r="LA130" s="483"/>
      <c r="LB130" s="483"/>
      <c r="LC130" s="483"/>
      <c r="LD130" s="483"/>
      <c r="LE130" s="483"/>
      <c r="LF130" s="483"/>
      <c r="LG130" s="483"/>
      <c r="LH130" s="483"/>
      <c r="LI130" s="483"/>
      <c r="LJ130" s="483"/>
      <c r="LK130" s="483"/>
      <c r="LL130" s="483"/>
      <c r="LM130" s="483"/>
      <c r="LN130" s="483"/>
      <c r="LO130" s="483"/>
      <c r="LP130" s="483"/>
      <c r="LQ130" s="483"/>
      <c r="LR130" s="483"/>
      <c r="LS130" s="483"/>
      <c r="LT130" s="483"/>
      <c r="LU130" s="483"/>
      <c r="LV130" s="483"/>
      <c r="LW130" s="483"/>
      <c r="LX130" s="483"/>
      <c r="LY130" s="483"/>
      <c r="LZ130" s="483"/>
      <c r="MA130" s="483"/>
      <c r="MB130" s="483"/>
      <c r="MC130" s="483"/>
      <c r="MD130" s="483"/>
      <c r="ME130" s="483"/>
      <c r="MF130" s="483"/>
      <c r="MG130" s="483"/>
      <c r="MH130" s="483"/>
      <c r="MI130" s="483"/>
      <c r="MJ130" s="483"/>
      <c r="MK130" s="483"/>
      <c r="ML130" s="483"/>
      <c r="MM130" s="483"/>
      <c r="MN130" s="483"/>
      <c r="MO130" s="483"/>
      <c r="MP130" s="483"/>
      <c r="MQ130" s="483"/>
      <c r="MR130" s="483"/>
      <c r="MS130" s="483"/>
      <c r="MT130" s="483"/>
      <c r="MU130" s="483"/>
      <c r="MV130" s="483"/>
      <c r="MW130" s="483"/>
      <c r="MX130" s="483"/>
      <c r="MY130" s="483"/>
      <c r="MZ130" s="483"/>
      <c r="NA130" s="483"/>
      <c r="NB130" s="483"/>
      <c r="NC130" s="483"/>
      <c r="ND130" s="483"/>
      <c r="NE130" s="483"/>
      <c r="NF130" s="483"/>
      <c r="NG130" s="483"/>
      <c r="NH130" s="483"/>
      <c r="NI130" s="483"/>
      <c r="NJ130" s="483"/>
      <c r="NK130" s="483"/>
      <c r="NL130" s="483"/>
      <c r="NM130" s="483"/>
      <c r="NN130" s="483"/>
      <c r="NO130" s="483"/>
      <c r="NP130" s="483"/>
      <c r="NQ130" s="483"/>
      <c r="NR130" s="483"/>
      <c r="NS130" s="483"/>
      <c r="NT130" s="483"/>
      <c r="NU130" s="483"/>
      <c r="NV130" s="483"/>
      <c r="NW130" s="483"/>
      <c r="NX130" s="483"/>
      <c r="NY130" s="483"/>
      <c r="NZ130" s="483"/>
      <c r="OA130" s="483"/>
      <c r="OB130" s="483"/>
      <c r="OC130" s="483"/>
      <c r="OD130" s="483"/>
      <c r="OE130" s="483"/>
      <c r="OF130" s="483"/>
      <c r="OG130" s="483"/>
      <c r="OH130" s="483"/>
      <c r="OI130" s="483"/>
      <c r="OJ130" s="483"/>
      <c r="OK130" s="483"/>
      <c r="OL130" s="483"/>
      <c r="OM130" s="483"/>
      <c r="ON130" s="483"/>
      <c r="OO130" s="483"/>
      <c r="OP130" s="483"/>
      <c r="OQ130" s="483"/>
      <c r="OR130" s="483"/>
      <c r="OS130" s="483"/>
      <c r="OT130" s="483"/>
      <c r="OU130" s="483"/>
      <c r="OV130" s="483"/>
      <c r="OW130" s="483"/>
      <c r="OX130" s="483"/>
      <c r="OY130" s="483"/>
      <c r="OZ130" s="483"/>
      <c r="PA130" s="483"/>
      <c r="PB130" s="483"/>
      <c r="PC130" s="483"/>
      <c r="PD130" s="483"/>
      <c r="PE130" s="483"/>
      <c r="PF130" s="483"/>
      <c r="PG130" s="483"/>
      <c r="PH130" s="483"/>
    </row>
    <row r="131" spans="1:424" x14ac:dyDescent="0.35">
      <c r="A131"/>
      <c r="B131" s="469"/>
      <c r="C131" s="414"/>
      <c r="D131" s="400"/>
      <c r="E131" s="400"/>
      <c r="F131" s="414"/>
      <c r="G131" s="40"/>
      <c r="H131" s="40"/>
      <c r="I131" s="41"/>
      <c r="J131"/>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75"/>
      <c r="CC131" s="75"/>
      <c r="CD131" s="75"/>
      <c r="CE131" s="75"/>
      <c r="CF131" s="75"/>
      <c r="CG131" s="75"/>
      <c r="CH131" s="75"/>
      <c r="CI131" s="75"/>
      <c r="CJ131" s="75"/>
      <c r="CK131" s="75"/>
      <c r="CL131" s="75"/>
      <c r="CM131" s="75"/>
      <c r="CN131" s="75"/>
      <c r="CO131" s="75"/>
      <c r="CP131" s="75"/>
      <c r="CQ131" s="75"/>
      <c r="CR131" s="75"/>
      <c r="CS131" s="75"/>
      <c r="CT131" s="75"/>
      <c r="CU131" s="75"/>
      <c r="CV131" s="75"/>
      <c r="CW131" s="75"/>
      <c r="CX131" s="75"/>
      <c r="CY131" s="75"/>
      <c r="CZ131" s="75"/>
      <c r="DA131" s="75"/>
      <c r="DB131" s="75"/>
      <c r="DC131" s="75"/>
      <c r="DD131" s="75"/>
      <c r="DE131" s="75"/>
      <c r="DF131" s="75"/>
      <c r="DG131" s="75"/>
      <c r="DH131" s="75"/>
      <c r="DI131" s="75"/>
      <c r="DJ131" s="75"/>
      <c r="DK131" s="75"/>
      <c r="DL131" s="75"/>
      <c r="DM131" s="75"/>
      <c r="DN131" s="75"/>
      <c r="DO131" s="75"/>
      <c r="DP131" s="75"/>
      <c r="DQ131" s="75"/>
      <c r="DR131" s="75"/>
      <c r="DS131" s="75"/>
      <c r="DT131" s="75"/>
      <c r="DU131" s="75"/>
      <c r="DV131" s="75"/>
      <c r="DW131" s="75"/>
      <c r="DX131" s="75"/>
      <c r="DY131" s="75"/>
      <c r="DZ131" s="75"/>
      <c r="EA131" s="75"/>
      <c r="EB131" s="75"/>
      <c r="EC131" s="75"/>
      <c r="ED131" s="75"/>
      <c r="EE131" s="75"/>
      <c r="EF131" s="75"/>
      <c r="EG131" s="75"/>
      <c r="EH131" s="75"/>
      <c r="EI131" s="75"/>
      <c r="EJ131" s="75"/>
      <c r="EK131" s="75"/>
      <c r="EL131" s="75"/>
      <c r="EM131" s="75"/>
      <c r="EN131" s="75"/>
      <c r="EO131" s="208"/>
      <c r="EP131" s="464"/>
      <c r="EQ131" s="465"/>
      <c r="ER131" s="465"/>
      <c r="ES131" s="465"/>
      <c r="ET131" s="465"/>
      <c r="EU131" s="465"/>
      <c r="EV131" s="465"/>
      <c r="EW131" s="465"/>
      <c r="EX131" s="465"/>
      <c r="EY131" s="465"/>
      <c r="EZ131" s="465"/>
      <c r="FA131" s="465"/>
      <c r="FB131" s="465"/>
      <c r="FC131" s="465"/>
      <c r="FD131" s="465"/>
      <c r="FE131" s="465"/>
      <c r="FF131" s="465"/>
      <c r="FG131" s="465"/>
      <c r="FH131" s="465"/>
      <c r="FI131" s="465"/>
      <c r="FJ131" s="465"/>
      <c r="FK131" s="465"/>
      <c r="FL131" s="465"/>
      <c r="FM131" s="465"/>
      <c r="FN131" s="465"/>
      <c r="FO131" s="465"/>
      <c r="FP131" s="465"/>
      <c r="FQ131" s="465"/>
      <c r="FR131" s="465"/>
      <c r="FS131" s="465"/>
      <c r="FT131" s="465"/>
      <c r="FU131" s="465"/>
      <c r="FV131" s="465"/>
      <c r="FW131" s="465"/>
      <c r="FX131" s="465"/>
      <c r="FY131" s="465"/>
      <c r="FZ131" s="465"/>
      <c r="GA131" s="465"/>
      <c r="GB131" s="465"/>
      <c r="GC131" s="465"/>
      <c r="GD131" s="465"/>
      <c r="GE131" s="465"/>
      <c r="GF131" s="465"/>
      <c r="GG131" s="465"/>
      <c r="GH131" s="465"/>
      <c r="GI131" s="465"/>
      <c r="GJ131" s="465"/>
      <c r="GK131" s="465"/>
      <c r="GL131" s="465"/>
      <c r="GM131" s="465"/>
      <c r="GN131" s="465"/>
      <c r="GO131" s="465"/>
      <c r="GP131" s="465"/>
      <c r="GQ131" s="465"/>
      <c r="GR131" s="465"/>
      <c r="GS131" s="465"/>
      <c r="GT131" s="465"/>
      <c r="GU131" s="465"/>
      <c r="GV131" s="465"/>
      <c r="GW131" s="465"/>
      <c r="GX131" s="465"/>
      <c r="GY131" s="465"/>
      <c r="GZ131" s="465"/>
      <c r="HA131" s="465"/>
      <c r="HB131" s="465"/>
      <c r="HC131" s="465"/>
      <c r="HD131" s="465"/>
      <c r="HE131" s="465"/>
      <c r="HF131" s="465"/>
      <c r="HG131" s="465"/>
      <c r="HH131" s="465"/>
      <c r="HI131" s="465"/>
      <c r="HJ131" s="465"/>
      <c r="HK131" s="465"/>
      <c r="HL131" s="465"/>
      <c r="HM131" s="465"/>
      <c r="HN131" s="465"/>
      <c r="HO131" s="465"/>
      <c r="HP131" s="465"/>
      <c r="HQ131" s="465"/>
      <c r="HR131" s="465"/>
      <c r="HS131" s="465"/>
      <c r="HT131" s="465"/>
      <c r="HU131" s="465"/>
      <c r="HV131" s="465"/>
      <c r="HW131" s="465"/>
      <c r="HX131" s="465"/>
      <c r="HY131" s="465"/>
      <c r="HZ131" s="465"/>
      <c r="IA131" s="465"/>
      <c r="IB131" s="465"/>
      <c r="IC131" s="465"/>
      <c r="ID131" s="465"/>
      <c r="IE131" s="465"/>
      <c r="IF131" s="465"/>
      <c r="IG131" s="465"/>
      <c r="IH131" s="465"/>
      <c r="II131" s="465"/>
      <c r="IJ131" s="465"/>
      <c r="IK131" s="465"/>
      <c r="IL131" s="465"/>
      <c r="IM131" s="465"/>
      <c r="IN131" s="465"/>
      <c r="IO131" s="465"/>
      <c r="IP131" s="465"/>
      <c r="IQ131" s="465"/>
      <c r="IR131" s="465"/>
      <c r="IS131" s="465"/>
      <c r="IT131" s="465"/>
      <c r="IU131" s="465"/>
      <c r="IV131" s="465"/>
      <c r="IW131" s="465"/>
      <c r="IX131" s="465"/>
      <c r="IY131" s="465"/>
      <c r="IZ131" s="465"/>
      <c r="JA131" s="465"/>
      <c r="JB131" s="465"/>
      <c r="JC131" s="465"/>
      <c r="JD131" s="465"/>
      <c r="JE131" s="465"/>
      <c r="JF131" s="465"/>
      <c r="JG131" s="465"/>
      <c r="JH131" s="465"/>
      <c r="JI131" s="465"/>
      <c r="JJ131" s="465"/>
      <c r="JK131" s="465"/>
      <c r="JL131" s="465"/>
      <c r="JM131" s="465"/>
      <c r="JN131" s="465"/>
      <c r="JO131" s="465"/>
      <c r="JP131" s="465"/>
      <c r="JQ131" s="465"/>
      <c r="JR131" s="465"/>
      <c r="JS131" s="465"/>
      <c r="JT131" s="465"/>
      <c r="JU131" s="465"/>
      <c r="JV131" s="465"/>
      <c r="JW131" s="465"/>
      <c r="JX131" s="20"/>
      <c r="JY131"/>
      <c r="JZ131" s="466"/>
      <c r="KA131" s="466"/>
      <c r="KB131" s="466"/>
      <c r="KC131" s="466"/>
      <c r="KD131" s="466"/>
      <c r="KE131" s="466"/>
      <c r="KF131" s="466"/>
      <c r="KG131" s="466"/>
      <c r="KH131" s="466"/>
      <c r="KI131" s="466"/>
      <c r="KJ131" s="466"/>
      <c r="KK131" s="466"/>
      <c r="KL131" s="466"/>
      <c r="KM131" s="466"/>
      <c r="KN131" s="466"/>
      <c r="KO131" s="466"/>
      <c r="KP131" s="466"/>
      <c r="KQ131" s="466"/>
      <c r="KR131" s="466"/>
      <c r="KS131" s="466"/>
      <c r="KT131" s="466"/>
      <c r="KU131" s="466"/>
      <c r="KV131" s="466"/>
      <c r="KW131" s="466"/>
      <c r="KX131" s="466"/>
      <c r="KY131" s="466"/>
      <c r="KZ131" s="466"/>
      <c r="LA131" s="466"/>
      <c r="LB131" s="466"/>
      <c r="LC131" s="466"/>
      <c r="LD131" s="466"/>
      <c r="LE131" s="466"/>
      <c r="LF131" s="466"/>
      <c r="LG131" s="466"/>
      <c r="LH131" s="466"/>
      <c r="LI131" s="466"/>
      <c r="LJ131" s="466"/>
      <c r="LK131" s="466"/>
      <c r="LL131" s="466"/>
      <c r="LM131" s="466"/>
      <c r="LN131" s="466"/>
      <c r="LO131" s="466"/>
      <c r="LP131" s="466"/>
      <c r="LQ131" s="466"/>
      <c r="LR131" s="466"/>
      <c r="LS131" s="466"/>
      <c r="LT131" s="466"/>
      <c r="LU131" s="466"/>
      <c r="LV131" s="466"/>
      <c r="LW131" s="466"/>
      <c r="LX131" s="466"/>
      <c r="LY131" s="466"/>
      <c r="LZ131" s="466"/>
      <c r="MA131" s="466"/>
      <c r="MB131" s="466"/>
      <c r="MC131" s="466"/>
      <c r="MD131" s="466"/>
      <c r="ME131" s="466"/>
      <c r="MF131" s="466"/>
      <c r="MG131" s="466"/>
      <c r="MH131" s="466"/>
      <c r="MI131" s="466"/>
      <c r="MJ131" s="466"/>
      <c r="MK131" s="466"/>
      <c r="ML131" s="466"/>
      <c r="MM131" s="466"/>
      <c r="MN131" s="466"/>
      <c r="MO131" s="466"/>
      <c r="MP131" s="466"/>
      <c r="MQ131" s="466"/>
      <c r="MR131" s="466"/>
      <c r="MS131" s="466"/>
      <c r="MT131" s="466"/>
      <c r="MU131" s="466"/>
      <c r="MV131" s="466"/>
      <c r="MW131" s="466"/>
      <c r="MX131" s="466"/>
      <c r="MY131" s="466"/>
      <c r="MZ131" s="466"/>
      <c r="NA131" s="466"/>
      <c r="NB131" s="466"/>
      <c r="NC131" s="466"/>
      <c r="ND131" s="466"/>
      <c r="NE131" s="466"/>
      <c r="NF131" s="466"/>
      <c r="NG131" s="466"/>
      <c r="NH131" s="466"/>
      <c r="NI131" s="466"/>
      <c r="NJ131" s="466"/>
      <c r="NK131" s="466"/>
      <c r="NL131" s="466"/>
      <c r="NM131" s="466"/>
      <c r="NN131" s="466"/>
      <c r="NO131" s="466"/>
      <c r="NP131" s="466"/>
      <c r="NQ131" s="466"/>
      <c r="NR131" s="466"/>
      <c r="NS131" s="466"/>
      <c r="NT131" s="466"/>
      <c r="NU131" s="466"/>
      <c r="NV131" s="466"/>
      <c r="NW131" s="466"/>
      <c r="NX131" s="466"/>
      <c r="NY131" s="466"/>
      <c r="NZ131" s="466"/>
      <c r="OA131" s="466"/>
      <c r="OB131" s="466"/>
      <c r="OC131" s="466"/>
      <c r="OD131" s="466"/>
      <c r="OE131" s="466"/>
      <c r="OF131" s="466"/>
      <c r="OG131" s="466"/>
      <c r="OH131" s="466"/>
      <c r="OI131" s="466"/>
      <c r="OJ131" s="466"/>
      <c r="OK131" s="466"/>
      <c r="OL131" s="466"/>
      <c r="OM131" s="466"/>
      <c r="ON131" s="466"/>
      <c r="OO131" s="466"/>
      <c r="OP131" s="466"/>
      <c r="OQ131" s="466"/>
      <c r="OR131" s="466"/>
      <c r="OS131" s="466"/>
      <c r="OT131" s="466"/>
      <c r="OU131" s="466"/>
      <c r="OV131" s="466"/>
      <c r="OW131" s="466"/>
      <c r="OX131" s="466"/>
      <c r="OY131" s="466"/>
      <c r="OZ131" s="466"/>
      <c r="PA131" s="466"/>
      <c r="PB131" s="466"/>
      <c r="PC131" s="466"/>
      <c r="PD131" s="466"/>
      <c r="PE131" s="466"/>
      <c r="PF131" s="466"/>
      <c r="PG131" s="466"/>
      <c r="PH131" s="466"/>
    </row>
    <row r="132" spans="1:424" x14ac:dyDescent="0.35">
      <c r="A132"/>
      <c r="B132" s="406"/>
      <c r="C132" s="484">
        <v>260</v>
      </c>
      <c r="D132" s="407"/>
      <c r="E132" s="407"/>
      <c r="F132" s="407"/>
      <c r="G132" s="407"/>
      <c r="H132" s="407"/>
      <c r="I132" s="407"/>
      <c r="J132"/>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75"/>
      <c r="CC132" s="75"/>
      <c r="CD132" s="75"/>
      <c r="CE132" s="75"/>
      <c r="CF132" s="75"/>
      <c r="CG132" s="75"/>
      <c r="CH132" s="75"/>
      <c r="CI132" s="75"/>
      <c r="CJ132" s="75"/>
      <c r="CK132" s="75"/>
      <c r="CL132" s="75"/>
      <c r="CM132" s="75"/>
      <c r="CN132" s="75"/>
      <c r="CO132" s="75"/>
      <c r="CP132" s="75"/>
      <c r="CQ132" s="75"/>
      <c r="CR132" s="75"/>
      <c r="CS132" s="75"/>
      <c r="CT132" s="75"/>
      <c r="CU132" s="75"/>
      <c r="CV132" s="75"/>
      <c r="CW132" s="75"/>
      <c r="CX132" s="75"/>
      <c r="CY132" s="75"/>
      <c r="CZ132" s="75"/>
      <c r="DA132" s="75"/>
      <c r="DB132" s="75"/>
      <c r="DC132" s="75"/>
      <c r="DD132" s="75"/>
      <c r="DE132" s="75"/>
      <c r="DF132" s="75"/>
      <c r="DG132" s="75"/>
      <c r="DH132" s="75"/>
      <c r="DI132" s="75"/>
      <c r="DJ132" s="75"/>
      <c r="DK132" s="75"/>
      <c r="DL132" s="75"/>
      <c r="DM132" s="75"/>
      <c r="DN132" s="75"/>
      <c r="DO132" s="75"/>
      <c r="DP132" s="75"/>
      <c r="DQ132" s="75"/>
      <c r="DR132" s="75"/>
      <c r="DS132" s="75"/>
      <c r="DT132" s="75"/>
      <c r="DU132" s="75"/>
      <c r="DV132" s="75"/>
      <c r="DW132" s="75"/>
      <c r="DX132" s="75"/>
      <c r="DY132" s="75"/>
      <c r="DZ132" s="75"/>
      <c r="EA132" s="75"/>
      <c r="EB132" s="75"/>
      <c r="EC132" s="75"/>
      <c r="ED132" s="75"/>
      <c r="EE132" s="75"/>
      <c r="EF132" s="75"/>
      <c r="EG132" s="75"/>
      <c r="EH132" s="75"/>
      <c r="EI132" s="75"/>
      <c r="EJ132" s="75"/>
      <c r="EK132" s="75"/>
      <c r="EL132" s="75"/>
      <c r="EM132" s="75"/>
      <c r="EN132" s="75"/>
      <c r="EO132" s="208"/>
      <c r="EP132" s="464"/>
      <c r="EQ132" s="465"/>
      <c r="ER132" s="465"/>
      <c r="ES132" s="465"/>
      <c r="ET132" s="465"/>
      <c r="EU132" s="465"/>
      <c r="EV132" s="465"/>
      <c r="EW132" s="465"/>
      <c r="EX132" s="465"/>
      <c r="EY132" s="465"/>
      <c r="EZ132" s="465"/>
      <c r="FA132" s="465"/>
      <c r="FB132" s="465"/>
      <c r="FC132" s="465"/>
      <c r="FD132" s="465"/>
      <c r="FE132" s="465"/>
      <c r="FF132" s="465"/>
      <c r="FG132" s="465"/>
      <c r="FH132" s="465"/>
      <c r="FI132" s="465"/>
      <c r="FJ132" s="465"/>
      <c r="FK132" s="465"/>
      <c r="FL132" s="465"/>
      <c r="FM132" s="465"/>
      <c r="FN132" s="465"/>
      <c r="FO132" s="465"/>
      <c r="FP132" s="465"/>
      <c r="FQ132" s="465"/>
      <c r="FR132" s="465"/>
      <c r="FS132" s="465"/>
      <c r="FT132" s="465"/>
      <c r="FU132" s="465"/>
      <c r="FV132" s="465"/>
      <c r="FW132" s="465"/>
      <c r="FX132" s="465"/>
      <c r="FY132" s="465"/>
      <c r="FZ132" s="465"/>
      <c r="GA132" s="465"/>
      <c r="GB132" s="465"/>
      <c r="GC132" s="465"/>
      <c r="GD132" s="465"/>
      <c r="GE132" s="465"/>
      <c r="GF132" s="465"/>
      <c r="GG132" s="465"/>
      <c r="GH132" s="465"/>
      <c r="GI132" s="465"/>
      <c r="GJ132" s="465"/>
      <c r="GK132" s="465"/>
      <c r="GL132" s="465"/>
      <c r="GM132" s="465"/>
      <c r="GN132" s="465"/>
      <c r="GO132" s="465"/>
      <c r="GP132" s="465"/>
      <c r="GQ132" s="465"/>
      <c r="GR132" s="465"/>
      <c r="GS132" s="465"/>
      <c r="GT132" s="465"/>
      <c r="GU132" s="465"/>
      <c r="GV132" s="465"/>
      <c r="GW132" s="465"/>
      <c r="GX132" s="465"/>
      <c r="GY132" s="465"/>
      <c r="GZ132" s="465"/>
      <c r="HA132" s="465"/>
      <c r="HB132" s="465"/>
      <c r="HC132" s="465"/>
      <c r="HD132" s="465"/>
      <c r="HE132" s="465"/>
      <c r="HF132" s="465"/>
      <c r="HG132" s="465"/>
      <c r="HH132" s="465"/>
      <c r="HI132" s="465"/>
      <c r="HJ132" s="465"/>
      <c r="HK132" s="465"/>
      <c r="HL132" s="465"/>
      <c r="HM132" s="465"/>
      <c r="HN132" s="465"/>
      <c r="HO132" s="465"/>
      <c r="HP132" s="465"/>
      <c r="HQ132" s="465"/>
      <c r="HR132" s="465"/>
      <c r="HS132" s="465"/>
      <c r="HT132" s="465"/>
      <c r="HU132" s="465"/>
      <c r="HV132" s="465"/>
      <c r="HW132" s="465"/>
      <c r="HX132" s="465"/>
      <c r="HY132" s="465"/>
      <c r="HZ132" s="465"/>
      <c r="IA132" s="465"/>
      <c r="IB132" s="465"/>
      <c r="IC132" s="465"/>
      <c r="ID132" s="465"/>
      <c r="IE132" s="465"/>
      <c r="IF132" s="465"/>
      <c r="IG132" s="465"/>
      <c r="IH132" s="465"/>
      <c r="II132" s="465"/>
      <c r="IJ132" s="465"/>
      <c r="IK132" s="465"/>
      <c r="IL132" s="465"/>
      <c r="IM132" s="465"/>
      <c r="IN132" s="465"/>
      <c r="IO132" s="465"/>
      <c r="IP132" s="465"/>
      <c r="IQ132" s="465"/>
      <c r="IR132" s="465"/>
      <c r="IS132" s="465"/>
      <c r="IT132" s="465"/>
      <c r="IU132" s="465"/>
      <c r="IV132" s="465"/>
      <c r="IW132" s="465"/>
      <c r="IX132" s="465"/>
      <c r="IY132" s="465"/>
      <c r="IZ132" s="465"/>
      <c r="JA132" s="465"/>
      <c r="JB132" s="465"/>
      <c r="JC132" s="465"/>
      <c r="JD132" s="465"/>
      <c r="JE132" s="465"/>
      <c r="JF132" s="465"/>
      <c r="JG132" s="465"/>
      <c r="JH132" s="465"/>
      <c r="JI132" s="465"/>
      <c r="JJ132" s="465"/>
      <c r="JK132" s="465"/>
      <c r="JL132" s="465"/>
      <c r="JM132" s="465"/>
      <c r="JN132" s="465"/>
      <c r="JO132" s="465"/>
      <c r="JP132" s="465"/>
      <c r="JQ132" s="465"/>
      <c r="JR132" s="465"/>
      <c r="JS132" s="465"/>
      <c r="JT132" s="465"/>
      <c r="JU132" s="465"/>
      <c r="JV132" s="465"/>
      <c r="JW132" s="465"/>
      <c r="JX132" s="20"/>
      <c r="JY132"/>
      <c r="JZ132" s="466"/>
      <c r="KA132" s="466"/>
      <c r="KB132" s="466"/>
      <c r="KC132" s="466"/>
      <c r="KD132" s="466"/>
      <c r="KE132" s="466"/>
      <c r="KF132" s="466"/>
      <c r="KG132" s="466"/>
      <c r="KH132" s="466"/>
      <c r="KI132" s="466"/>
      <c r="KJ132" s="466"/>
      <c r="KK132" s="466"/>
      <c r="KL132" s="466"/>
      <c r="KM132" s="466"/>
      <c r="KN132" s="466"/>
      <c r="KO132" s="466"/>
      <c r="KP132" s="466"/>
      <c r="KQ132" s="466"/>
      <c r="KR132" s="466"/>
      <c r="KS132" s="466"/>
      <c r="KT132" s="466"/>
      <c r="KU132" s="466"/>
      <c r="KV132" s="466"/>
      <c r="KW132" s="466"/>
      <c r="KX132" s="466"/>
      <c r="KY132" s="466"/>
      <c r="KZ132" s="466"/>
      <c r="LA132" s="466"/>
      <c r="LB132" s="466"/>
      <c r="LC132" s="466"/>
      <c r="LD132" s="466"/>
      <c r="LE132" s="466"/>
      <c r="LF132" s="466"/>
      <c r="LG132" s="466"/>
      <c r="LH132" s="466"/>
      <c r="LI132" s="466"/>
      <c r="LJ132" s="466"/>
      <c r="LK132" s="466"/>
      <c r="LL132" s="466"/>
      <c r="LM132" s="466"/>
      <c r="LN132" s="466"/>
      <c r="LO132" s="466"/>
      <c r="LP132" s="466"/>
      <c r="LQ132" s="466"/>
      <c r="LR132" s="466"/>
      <c r="LS132" s="466"/>
      <c r="LT132" s="466"/>
      <c r="LU132" s="466"/>
      <c r="LV132" s="466"/>
      <c r="LW132" s="466"/>
      <c r="LX132" s="466"/>
      <c r="LY132" s="466"/>
      <c r="LZ132" s="466"/>
      <c r="MA132" s="466"/>
      <c r="MB132" s="466"/>
      <c r="MC132" s="466"/>
      <c r="MD132" s="466"/>
      <c r="ME132" s="466"/>
      <c r="MF132" s="466"/>
      <c r="MG132" s="466"/>
      <c r="MH132" s="466"/>
      <c r="MI132" s="466"/>
      <c r="MJ132" s="466"/>
      <c r="MK132" s="466"/>
      <c r="ML132" s="466"/>
      <c r="MM132" s="466"/>
      <c r="MN132" s="466"/>
      <c r="MO132" s="466"/>
      <c r="MP132" s="466"/>
      <c r="MQ132" s="466"/>
      <c r="MR132" s="466"/>
      <c r="MS132" s="466"/>
      <c r="MT132" s="466"/>
      <c r="MU132" s="466"/>
      <c r="MV132" s="466"/>
      <c r="MW132" s="466"/>
      <c r="MX132" s="466"/>
      <c r="MY132" s="466"/>
      <c r="MZ132" s="466"/>
      <c r="NA132" s="466"/>
      <c r="NB132" s="466"/>
      <c r="NC132" s="466"/>
      <c r="ND132" s="466"/>
      <c r="NE132" s="466"/>
      <c r="NF132" s="466"/>
      <c r="NG132" s="466"/>
      <c r="NH132" s="466"/>
      <c r="NI132" s="466"/>
      <c r="NJ132" s="466"/>
      <c r="NK132" s="466"/>
      <c r="NL132" s="466"/>
      <c r="NM132" s="466"/>
      <c r="NN132" s="466"/>
      <c r="NO132" s="466"/>
      <c r="NP132" s="466"/>
      <c r="NQ132" s="466"/>
      <c r="NR132" s="466"/>
      <c r="NS132" s="466"/>
      <c r="NT132" s="466"/>
      <c r="NU132" s="466"/>
      <c r="NV132" s="466"/>
      <c r="NW132" s="466"/>
      <c r="NX132" s="466"/>
      <c r="NY132" s="466"/>
      <c r="NZ132" s="466"/>
      <c r="OA132" s="466"/>
      <c r="OB132" s="466"/>
      <c r="OC132" s="466"/>
      <c r="OD132" s="466"/>
      <c r="OE132" s="466"/>
      <c r="OF132" s="466"/>
      <c r="OG132" s="466"/>
      <c r="OH132" s="466"/>
      <c r="OI132" s="466"/>
      <c r="OJ132" s="466"/>
      <c r="OK132" s="466"/>
      <c r="OL132" s="466"/>
      <c r="OM132" s="466"/>
      <c r="ON132" s="466"/>
      <c r="OO132" s="466"/>
      <c r="OP132" s="466"/>
      <c r="OQ132" s="466"/>
      <c r="OR132" s="466"/>
      <c r="OS132" s="466"/>
      <c r="OT132" s="466"/>
      <c r="OU132" s="466"/>
      <c r="OV132" s="466"/>
      <c r="OW132" s="466"/>
      <c r="OX132" s="466"/>
      <c r="OY132" s="466"/>
      <c r="OZ132" s="466"/>
      <c r="PA132" s="466"/>
      <c r="PB132" s="466"/>
      <c r="PC132" s="466"/>
      <c r="PD132" s="466"/>
      <c r="PE132" s="466"/>
      <c r="PF132" s="466"/>
      <c r="PG132" s="466"/>
      <c r="PH132" s="466"/>
    </row>
    <row r="133" spans="1:424" x14ac:dyDescent="0.35">
      <c r="A133"/>
      <c r="B133" s="449"/>
      <c r="C133" s="485">
        <v>250</v>
      </c>
      <c r="D133" s="412"/>
      <c r="E133" s="412"/>
      <c r="F133" s="412" t="s">
        <v>294</v>
      </c>
      <c r="G133" s="412" t="s">
        <v>295</v>
      </c>
      <c r="H133" s="151" t="str">
        <f>+H129</f>
        <v>/M2/YR</v>
      </c>
      <c r="I133" s="412" t="s">
        <v>275</v>
      </c>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s="219"/>
      <c r="EQ133" s="209"/>
      <c r="ER133" s="18"/>
      <c r="ES133" s="18"/>
      <c r="ET133" s="18"/>
      <c r="EU133" s="18"/>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c r="FY133" s="20"/>
      <c r="FZ133" s="20"/>
      <c r="GA133" s="20"/>
      <c r="GB133" s="20"/>
      <c r="GC133" s="20"/>
      <c r="GD133" s="20"/>
      <c r="GE133" s="20"/>
      <c r="GF133" s="20"/>
      <c r="GG133" s="20"/>
      <c r="GH133" s="20"/>
      <c r="GI133" s="20"/>
      <c r="GJ133" s="20"/>
      <c r="GK133" s="20"/>
      <c r="GL133" s="20"/>
      <c r="GM133" s="20"/>
      <c r="GN133" s="20"/>
      <c r="GO133" s="20"/>
      <c r="GP133" s="20"/>
      <c r="GQ133" s="20"/>
      <c r="GR133" s="20"/>
      <c r="GS133" s="20"/>
      <c r="GT133" s="20"/>
      <c r="GU133" s="20"/>
      <c r="GV133" s="20"/>
      <c r="GW133" s="20"/>
      <c r="GX133" s="20"/>
      <c r="GY133" s="20"/>
      <c r="GZ133" s="20"/>
      <c r="HA133" s="20"/>
      <c r="HB133" s="20"/>
      <c r="HC133" s="20"/>
      <c r="HD133" s="20"/>
      <c r="HE133" s="20"/>
      <c r="HF133" s="20"/>
      <c r="HG133" s="20"/>
      <c r="HH133" s="20"/>
      <c r="HI133" s="20"/>
      <c r="HJ133" s="20"/>
      <c r="HK133" s="20"/>
      <c r="HL133" s="20"/>
      <c r="HM133" s="20"/>
      <c r="HN133" s="20"/>
      <c r="HO133" s="20"/>
      <c r="HP133" s="20"/>
      <c r="HQ133" s="20"/>
      <c r="HR133" s="20"/>
      <c r="HS133" s="20"/>
      <c r="HT133" s="20"/>
      <c r="HU133" s="20"/>
      <c r="HV133" s="20"/>
      <c r="HW133" s="20"/>
      <c r="HX133" s="20"/>
      <c r="HY133" s="20"/>
      <c r="HZ133" s="20"/>
      <c r="IA133" s="20"/>
      <c r="IB133" s="20"/>
      <c r="IC133" s="20"/>
      <c r="ID133" s="20"/>
      <c r="IE133" s="20"/>
      <c r="IF133" s="20"/>
      <c r="IG133" s="20"/>
      <c r="IH133" s="20"/>
      <c r="II133" s="20"/>
      <c r="IJ133" s="20"/>
      <c r="IK133" s="20"/>
      <c r="IL133" s="20"/>
      <c r="IM133" s="20"/>
      <c r="IN133" s="20"/>
      <c r="IO133" s="20"/>
      <c r="IP133" s="20"/>
      <c r="IQ133" s="20"/>
      <c r="IR133" s="20"/>
      <c r="IS133" s="20"/>
      <c r="IT133" s="20"/>
      <c r="IU133" s="20"/>
      <c r="IV133" s="20"/>
      <c r="IW133" s="20"/>
      <c r="IX133" s="20"/>
      <c r="IY133" s="20"/>
      <c r="IZ133" s="20"/>
      <c r="JA133" s="20"/>
      <c r="JB133" s="20"/>
      <c r="JC133" s="20"/>
      <c r="JD133" s="20"/>
      <c r="JE133" s="20"/>
      <c r="JF133" s="20"/>
      <c r="JG133" s="20"/>
      <c r="JH133" s="20"/>
      <c r="JI133" s="20"/>
      <c r="JJ133" s="20"/>
      <c r="JK133" s="20"/>
      <c r="JL133" s="20"/>
      <c r="JM133" s="20"/>
      <c r="JN133" s="20"/>
      <c r="JO133" s="20"/>
      <c r="JP133" s="20"/>
      <c r="JQ133" s="20"/>
      <c r="JR133" s="20"/>
      <c r="JS133" s="20"/>
      <c r="JT133" s="20"/>
      <c r="JU133" s="20"/>
      <c r="JV133" s="20"/>
      <c r="JW133" s="20"/>
      <c r="JX133" s="20"/>
      <c r="JY133"/>
      <c r="JZ133" s="262"/>
      <c r="KA133" s="262"/>
      <c r="KB133" s="262"/>
      <c r="KC133" s="262"/>
      <c r="KD133" s="262"/>
      <c r="KE133" s="262"/>
      <c r="KF133" s="262"/>
      <c r="KG133" s="262"/>
      <c r="KH133" s="262"/>
      <c r="KI133" s="262"/>
      <c r="KJ133" s="262"/>
      <c r="KK133" s="262"/>
      <c r="KL133" s="262"/>
      <c r="KM133" s="262"/>
      <c r="KN133" s="262"/>
      <c r="KO133" s="262"/>
      <c r="KP133" s="262"/>
      <c r="KQ133" s="262"/>
      <c r="KR133" s="262"/>
      <c r="KS133" s="262"/>
      <c r="KT133" s="262"/>
      <c r="KU133" s="262"/>
      <c r="KV133" s="262"/>
      <c r="KW133" s="262"/>
      <c r="KX133" s="262"/>
      <c r="KY133" s="262"/>
      <c r="KZ133" s="262"/>
      <c r="LA133" s="262"/>
      <c r="LB133" s="262"/>
      <c r="LC133" s="262"/>
      <c r="LD133" s="262"/>
      <c r="LE133" s="262"/>
      <c r="LF133" s="262"/>
      <c r="LG133" s="262"/>
      <c r="LH133" s="262"/>
      <c r="LI133" s="262"/>
      <c r="LJ133" s="262"/>
      <c r="LK133" s="262"/>
      <c r="LL133" s="262"/>
      <c r="LM133" s="262"/>
      <c r="LN133" s="262"/>
      <c r="LO133" s="262"/>
      <c r="LP133" s="262"/>
      <c r="LQ133" s="262"/>
      <c r="LR133" s="262"/>
      <c r="LS133" s="262"/>
      <c r="LT133" s="262"/>
      <c r="LU133" s="262"/>
      <c r="LV133" s="262"/>
      <c r="LW133" s="262"/>
      <c r="LX133" s="262"/>
      <c r="LY133" s="262"/>
      <c r="LZ133" s="262"/>
      <c r="MA133" s="262"/>
      <c r="MB133" s="262"/>
      <c r="MC133" s="262"/>
      <c r="MD133" s="262"/>
      <c r="ME133" s="262"/>
      <c r="MF133" s="262"/>
      <c r="MG133" s="262"/>
      <c r="MH133" s="262"/>
      <c r="MI133" s="262"/>
      <c r="MJ133" s="262"/>
      <c r="MK133" s="262"/>
      <c r="ML133" s="262"/>
      <c r="MM133" s="262"/>
      <c r="MN133" s="262"/>
      <c r="MO133" s="262"/>
      <c r="MP133" s="262"/>
      <c r="MQ133" s="262"/>
      <c r="MR133" s="262"/>
      <c r="MS133" s="262"/>
      <c r="MT133" s="262"/>
      <c r="MU133" s="262"/>
      <c r="MV133" s="262"/>
      <c r="MW133" s="262"/>
      <c r="MX133" s="262"/>
      <c r="MY133" s="262"/>
      <c r="MZ133" s="262"/>
      <c r="NA133" s="262"/>
      <c r="NB133" s="262"/>
      <c r="NC133" s="262"/>
      <c r="ND133" s="262"/>
      <c r="NE133" s="262"/>
      <c r="NF133" s="262"/>
      <c r="NG133" s="262"/>
      <c r="NH133" s="262"/>
      <c r="NI133" s="262"/>
      <c r="NJ133" s="262"/>
      <c r="NK133" s="262"/>
      <c r="NL133" s="262"/>
      <c r="NM133" s="262"/>
      <c r="NN133" s="262"/>
      <c r="NO133" s="262"/>
      <c r="NP133" s="262"/>
      <c r="NQ133" s="262"/>
      <c r="NR133" s="262"/>
      <c r="NS133" s="262"/>
      <c r="NT133" s="262"/>
      <c r="NU133" s="262"/>
      <c r="NV133" s="262"/>
      <c r="NW133" s="262"/>
      <c r="NX133" s="262"/>
      <c r="NY133" s="262"/>
      <c r="NZ133" s="262"/>
      <c r="OA133" s="262"/>
      <c r="OB133" s="262"/>
      <c r="OC133" s="262"/>
      <c r="OD133" s="262"/>
      <c r="OE133" s="262"/>
      <c r="OF133" s="262"/>
      <c r="OG133" s="262"/>
      <c r="OH133" s="262"/>
      <c r="OI133" s="262"/>
      <c r="OJ133" s="262"/>
      <c r="OK133" s="262"/>
      <c r="OL133" s="262"/>
      <c r="OM133" s="262"/>
      <c r="ON133" s="262"/>
      <c r="OO133" s="262"/>
      <c r="OP133" s="262"/>
      <c r="OQ133" s="262"/>
      <c r="OR133" s="262"/>
      <c r="OS133" s="262"/>
      <c r="OT133" s="262"/>
      <c r="OU133" s="262"/>
      <c r="OV133" s="262"/>
      <c r="OW133" s="262"/>
      <c r="OX133" s="262"/>
      <c r="OY133" s="262"/>
      <c r="OZ133" s="262"/>
      <c r="PA133" s="262"/>
      <c r="PB133" s="262"/>
      <c r="PC133" s="262"/>
      <c r="PD133" s="262"/>
      <c r="PE133" s="262"/>
      <c r="PF133" s="262"/>
      <c r="PG133" s="262"/>
      <c r="PH133" s="262"/>
    </row>
    <row r="134" spans="1:424" x14ac:dyDescent="0.35">
      <c r="A134"/>
      <c r="B134" s="427" t="s">
        <v>296</v>
      </c>
      <c r="C134" s="414">
        <v>0.25</v>
      </c>
      <c r="D134" s="450">
        <f>$D$88</f>
        <v>37</v>
      </c>
      <c r="E134" s="53">
        <v>0</v>
      </c>
      <c r="F134" s="838">
        <f>'URWLD COMPANY INPUTS'!$F$80</f>
        <v>2.5000000000000001E-2</v>
      </c>
      <c r="G134" s="57">
        <f>IF($I$130=0,"",I134/$I$130)</f>
        <v>6.7341083921205303E-2</v>
      </c>
      <c r="H134" s="143">
        <f>I134/Units</f>
        <v>41.904711317697256</v>
      </c>
      <c r="I134" s="837">
        <f>'DATA MAP'!$B$379*1000000</f>
        <v>3288278.6208900046</v>
      </c>
      <c r="J134"/>
      <c r="K134"/>
      <c r="L134" s="75">
        <f t="shared" ref="L134:AQ134" si="455">IF(L$86&lt;$D134,0,$I134/12*(1+$F134)^INT(MAX(0,L$86-$D134)/12)*L$89)</f>
        <v>0</v>
      </c>
      <c r="M134" s="417">
        <f t="shared" si="455"/>
        <v>0</v>
      </c>
      <c r="N134" s="417">
        <f t="shared" si="455"/>
        <v>0</v>
      </c>
      <c r="O134" s="417">
        <f t="shared" si="455"/>
        <v>0</v>
      </c>
      <c r="P134" s="417">
        <f t="shared" si="455"/>
        <v>0</v>
      </c>
      <c r="Q134" s="417">
        <f t="shared" si="455"/>
        <v>0</v>
      </c>
      <c r="R134" s="417">
        <f t="shared" si="455"/>
        <v>0</v>
      </c>
      <c r="S134" s="417">
        <f t="shared" si="455"/>
        <v>0</v>
      </c>
      <c r="T134" s="417">
        <f t="shared" si="455"/>
        <v>0</v>
      </c>
      <c r="U134" s="417">
        <f t="shared" si="455"/>
        <v>0</v>
      </c>
      <c r="V134" s="417">
        <f t="shared" si="455"/>
        <v>0</v>
      </c>
      <c r="W134" s="417">
        <f t="shared" si="455"/>
        <v>0</v>
      </c>
      <c r="X134" s="417">
        <f t="shared" si="455"/>
        <v>0</v>
      </c>
      <c r="Y134" s="417">
        <f t="shared" si="455"/>
        <v>0</v>
      </c>
      <c r="Z134" s="417">
        <f t="shared" si="455"/>
        <v>0</v>
      </c>
      <c r="AA134" s="417">
        <f t="shared" si="455"/>
        <v>0</v>
      </c>
      <c r="AB134" s="417">
        <f t="shared" si="455"/>
        <v>0</v>
      </c>
      <c r="AC134" s="417">
        <f t="shared" si="455"/>
        <v>0</v>
      </c>
      <c r="AD134" s="417">
        <f t="shared" si="455"/>
        <v>0</v>
      </c>
      <c r="AE134" s="417">
        <f t="shared" si="455"/>
        <v>0</v>
      </c>
      <c r="AF134" s="417">
        <f t="shared" si="455"/>
        <v>0</v>
      </c>
      <c r="AG134" s="417">
        <f t="shared" si="455"/>
        <v>0</v>
      </c>
      <c r="AH134" s="417">
        <f t="shared" si="455"/>
        <v>0</v>
      </c>
      <c r="AI134" s="417">
        <f t="shared" si="455"/>
        <v>0</v>
      </c>
      <c r="AJ134" s="417">
        <f t="shared" si="455"/>
        <v>0</v>
      </c>
      <c r="AK134" s="417">
        <f t="shared" si="455"/>
        <v>0</v>
      </c>
      <c r="AL134" s="417">
        <f t="shared" si="455"/>
        <v>0</v>
      </c>
      <c r="AM134" s="417">
        <f t="shared" si="455"/>
        <v>0</v>
      </c>
      <c r="AN134" s="417">
        <f t="shared" si="455"/>
        <v>0</v>
      </c>
      <c r="AO134" s="417">
        <f t="shared" si="455"/>
        <v>0</v>
      </c>
      <c r="AP134" s="417">
        <f t="shared" si="455"/>
        <v>0</v>
      </c>
      <c r="AQ134" s="417">
        <f t="shared" si="455"/>
        <v>0</v>
      </c>
      <c r="AR134" s="417">
        <f t="shared" ref="AR134:BW134" si="456">IF(AR$86&lt;$D134,0,$I134/12*(1+$F134)^INT(MAX(0,AR$86-$D134)/12)*AR$89)</f>
        <v>0</v>
      </c>
      <c r="AS134" s="417">
        <f t="shared" si="456"/>
        <v>0</v>
      </c>
      <c r="AT134" s="417">
        <f t="shared" si="456"/>
        <v>0</v>
      </c>
      <c r="AU134" s="417">
        <f t="shared" si="456"/>
        <v>0</v>
      </c>
      <c r="AV134" s="417">
        <f t="shared" si="456"/>
        <v>0</v>
      </c>
      <c r="AW134" s="417">
        <f t="shared" si="456"/>
        <v>0</v>
      </c>
      <c r="AX134" s="417">
        <f t="shared" si="456"/>
        <v>22835.268200625029</v>
      </c>
      <c r="AY134" s="417">
        <f t="shared" si="456"/>
        <v>45670.536401250058</v>
      </c>
      <c r="AZ134" s="417">
        <f t="shared" si="456"/>
        <v>68505.80460187509</v>
      </c>
      <c r="BA134" s="417">
        <f t="shared" si="456"/>
        <v>91341.072802500115</v>
      </c>
      <c r="BB134" s="417">
        <f t="shared" si="456"/>
        <v>114176.34100312516</v>
      </c>
      <c r="BC134" s="417">
        <f t="shared" si="456"/>
        <v>137011.60920375018</v>
      </c>
      <c r="BD134" s="417">
        <f t="shared" si="456"/>
        <v>159846.87740437523</v>
      </c>
      <c r="BE134" s="417">
        <f t="shared" si="456"/>
        <v>182682.14560500023</v>
      </c>
      <c r="BF134" s="417">
        <f t="shared" si="456"/>
        <v>205517.41380562529</v>
      </c>
      <c r="BG134" s="417">
        <f t="shared" si="456"/>
        <v>228352.68200625031</v>
      </c>
      <c r="BH134" s="417">
        <f t="shared" si="456"/>
        <v>251187.95020687531</v>
      </c>
      <c r="BI134" s="417">
        <f t="shared" si="456"/>
        <v>280873.79886768787</v>
      </c>
      <c r="BJ134" s="417">
        <f t="shared" si="456"/>
        <v>280873.79886768787</v>
      </c>
      <c r="BK134" s="417">
        <f t="shared" si="456"/>
        <v>280873.79886768787</v>
      </c>
      <c r="BL134" s="417">
        <f t="shared" si="456"/>
        <v>280873.79886768787</v>
      </c>
      <c r="BM134" s="417">
        <f t="shared" si="456"/>
        <v>280873.79886768787</v>
      </c>
      <c r="BN134" s="417">
        <f t="shared" si="456"/>
        <v>280873.79886768787</v>
      </c>
      <c r="BO134" s="417">
        <f t="shared" si="456"/>
        <v>280873.79886768787</v>
      </c>
      <c r="BP134" s="417">
        <f t="shared" si="456"/>
        <v>280873.79886768787</v>
      </c>
      <c r="BQ134" s="417">
        <f t="shared" si="456"/>
        <v>280873.79886768787</v>
      </c>
      <c r="BR134" s="417">
        <f t="shared" si="456"/>
        <v>280873.79886768787</v>
      </c>
      <c r="BS134" s="417">
        <f t="shared" si="456"/>
        <v>280873.79886768787</v>
      </c>
      <c r="BT134" s="417">
        <f t="shared" si="456"/>
        <v>280873.79886768787</v>
      </c>
      <c r="BU134" s="417">
        <f t="shared" si="456"/>
        <v>287895.64383938006</v>
      </c>
      <c r="BV134" s="417">
        <f t="shared" si="456"/>
        <v>287895.64383938006</v>
      </c>
      <c r="BW134" s="417">
        <f t="shared" si="456"/>
        <v>287895.64383938006</v>
      </c>
      <c r="BX134" s="417">
        <f t="shared" ref="BX134:DC134" si="457">IF(BX$86&lt;$D134,0,$I134/12*(1+$F134)^INT(MAX(0,BX$86-$D134)/12)*BX$89)</f>
        <v>287895.64383938006</v>
      </c>
      <c r="BY134" s="417">
        <f t="shared" si="457"/>
        <v>287895.64383938006</v>
      </c>
      <c r="BZ134" s="417">
        <f t="shared" si="457"/>
        <v>287895.64383938006</v>
      </c>
      <c r="CA134" s="417">
        <f t="shared" si="457"/>
        <v>287895.64383938006</v>
      </c>
      <c r="CB134" s="417">
        <f t="shared" si="457"/>
        <v>287895.64383938006</v>
      </c>
      <c r="CC134" s="417">
        <f t="shared" si="457"/>
        <v>287895.64383938006</v>
      </c>
      <c r="CD134" s="417">
        <f t="shared" si="457"/>
        <v>287895.64383938006</v>
      </c>
      <c r="CE134" s="417">
        <f t="shared" si="457"/>
        <v>287895.64383938006</v>
      </c>
      <c r="CF134" s="417">
        <f t="shared" si="457"/>
        <v>287895.64383938006</v>
      </c>
      <c r="CG134" s="417">
        <f t="shared" si="457"/>
        <v>295093.03493536456</v>
      </c>
      <c r="CH134" s="417">
        <f t="shared" si="457"/>
        <v>295093.03493536456</v>
      </c>
      <c r="CI134" s="417">
        <f t="shared" si="457"/>
        <v>295093.03493536456</v>
      </c>
      <c r="CJ134" s="417">
        <f t="shared" si="457"/>
        <v>295093.03493536456</v>
      </c>
      <c r="CK134" s="417">
        <f t="shared" si="457"/>
        <v>295093.03493536456</v>
      </c>
      <c r="CL134" s="417">
        <f t="shared" si="457"/>
        <v>295093.03493536456</v>
      </c>
      <c r="CM134" s="417">
        <f t="shared" si="457"/>
        <v>295093.03493536456</v>
      </c>
      <c r="CN134" s="417">
        <f t="shared" si="457"/>
        <v>295093.03493536456</v>
      </c>
      <c r="CO134" s="417">
        <f t="shared" si="457"/>
        <v>295093.03493536456</v>
      </c>
      <c r="CP134" s="417">
        <f t="shared" si="457"/>
        <v>295093.03493536456</v>
      </c>
      <c r="CQ134" s="417">
        <f t="shared" si="457"/>
        <v>295093.03493536456</v>
      </c>
      <c r="CR134" s="417">
        <f t="shared" si="457"/>
        <v>295093.03493536456</v>
      </c>
      <c r="CS134" s="417">
        <f t="shared" si="457"/>
        <v>302470.36080874864</v>
      </c>
      <c r="CT134" s="417">
        <f t="shared" si="457"/>
        <v>302470.36080874864</v>
      </c>
      <c r="CU134" s="417">
        <f t="shared" si="457"/>
        <v>302470.36080874864</v>
      </c>
      <c r="CV134" s="417">
        <f t="shared" si="457"/>
        <v>302470.36080874864</v>
      </c>
      <c r="CW134" s="417">
        <f t="shared" si="457"/>
        <v>302470.36080874864</v>
      </c>
      <c r="CX134" s="417">
        <f t="shared" si="457"/>
        <v>302470.36080874864</v>
      </c>
      <c r="CY134" s="417">
        <f t="shared" si="457"/>
        <v>302470.36080874864</v>
      </c>
      <c r="CZ134" s="417">
        <f t="shared" si="457"/>
        <v>302470.36080874864</v>
      </c>
      <c r="DA134" s="417">
        <f t="shared" si="457"/>
        <v>302470.36080874864</v>
      </c>
      <c r="DB134" s="417">
        <f t="shared" si="457"/>
        <v>302470.36080874864</v>
      </c>
      <c r="DC134" s="417">
        <f t="shared" si="457"/>
        <v>302470.36080874864</v>
      </c>
      <c r="DD134" s="417">
        <f t="shared" ref="DD134:EN134" si="458">IF(DD$86&lt;$D134,0,$I134/12*(1+$F134)^INT(MAX(0,DD$86-$D134)/12)*DD$89)</f>
        <v>302470.36080874864</v>
      </c>
      <c r="DE134" s="417">
        <f t="shared" si="458"/>
        <v>310032.11982896732</v>
      </c>
      <c r="DF134" s="417">
        <f t="shared" si="458"/>
        <v>310032.11982896732</v>
      </c>
      <c r="DG134" s="417">
        <f t="shared" si="458"/>
        <v>310032.11982896732</v>
      </c>
      <c r="DH134" s="417">
        <f t="shared" si="458"/>
        <v>310032.11982896732</v>
      </c>
      <c r="DI134" s="417">
        <f t="shared" si="458"/>
        <v>310032.11982896732</v>
      </c>
      <c r="DJ134" s="417">
        <f t="shared" si="458"/>
        <v>310032.11982896732</v>
      </c>
      <c r="DK134" s="417">
        <f t="shared" si="458"/>
        <v>310032.11982896732</v>
      </c>
      <c r="DL134" s="417">
        <f t="shared" si="458"/>
        <v>310032.11982896732</v>
      </c>
      <c r="DM134" s="417">
        <f t="shared" si="458"/>
        <v>310032.11982896732</v>
      </c>
      <c r="DN134" s="417">
        <f t="shared" si="458"/>
        <v>310032.11982896732</v>
      </c>
      <c r="DO134" s="417">
        <f t="shared" si="458"/>
        <v>310032.11982896732</v>
      </c>
      <c r="DP134" s="417">
        <f t="shared" si="458"/>
        <v>310032.11982896732</v>
      </c>
      <c r="DQ134" s="417">
        <f t="shared" si="458"/>
        <v>317782.92282469146</v>
      </c>
      <c r="DR134" s="417">
        <f t="shared" si="458"/>
        <v>317782.92282469146</v>
      </c>
      <c r="DS134" s="417">
        <f t="shared" si="458"/>
        <v>317782.92282469146</v>
      </c>
      <c r="DT134" s="417">
        <f t="shared" si="458"/>
        <v>317782.92282469146</v>
      </c>
      <c r="DU134" s="417">
        <f t="shared" si="458"/>
        <v>317782.92282469146</v>
      </c>
      <c r="DV134" s="417">
        <f t="shared" si="458"/>
        <v>317782.92282469146</v>
      </c>
      <c r="DW134" s="417">
        <f t="shared" si="458"/>
        <v>317782.92282469146</v>
      </c>
      <c r="DX134" s="417">
        <f t="shared" si="458"/>
        <v>317782.92282469146</v>
      </c>
      <c r="DY134" s="417">
        <f t="shared" si="458"/>
        <v>317782.92282469146</v>
      </c>
      <c r="DZ134" s="417">
        <f t="shared" si="458"/>
        <v>317782.92282469146</v>
      </c>
      <c r="EA134" s="417">
        <f t="shared" si="458"/>
        <v>317782.92282469146</v>
      </c>
      <c r="EB134" s="417">
        <f t="shared" si="458"/>
        <v>317782.92282469146</v>
      </c>
      <c r="EC134" s="417">
        <f t="shared" si="458"/>
        <v>325727.49589530879</v>
      </c>
      <c r="ED134" s="417">
        <f t="shared" si="458"/>
        <v>325727.49589530879</v>
      </c>
      <c r="EE134" s="417">
        <f t="shared" si="458"/>
        <v>325727.49589530879</v>
      </c>
      <c r="EF134" s="417">
        <f t="shared" si="458"/>
        <v>325727.49589530879</v>
      </c>
      <c r="EG134" s="417">
        <f t="shared" si="458"/>
        <v>325727.49589530879</v>
      </c>
      <c r="EH134" s="417">
        <f t="shared" si="458"/>
        <v>325727.49589530879</v>
      </c>
      <c r="EI134" s="417">
        <f t="shared" si="458"/>
        <v>325727.49589530879</v>
      </c>
      <c r="EJ134" s="417">
        <f t="shared" si="458"/>
        <v>325727.49589530879</v>
      </c>
      <c r="EK134" s="417">
        <f t="shared" si="458"/>
        <v>325727.49589530879</v>
      </c>
      <c r="EL134" s="417">
        <f t="shared" si="458"/>
        <v>325727.49589530879</v>
      </c>
      <c r="EM134" s="417">
        <f t="shared" si="458"/>
        <v>325727.49589530879</v>
      </c>
      <c r="EN134" s="417">
        <f t="shared" si="458"/>
        <v>325727.49589530879</v>
      </c>
      <c r="EO134"/>
      <c r="EP134" s="219"/>
      <c r="EQ134" s="209"/>
      <c r="ER134" s="18"/>
      <c r="ES134" s="18"/>
      <c r="ET134" s="18"/>
      <c r="EU134" s="18"/>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c r="FY134" s="20"/>
      <c r="FZ134" s="20"/>
      <c r="GA134" s="20"/>
      <c r="GB134" s="20"/>
      <c r="GC134" s="20"/>
      <c r="GD134" s="20"/>
      <c r="GE134" s="20"/>
      <c r="GF134" s="20"/>
      <c r="GG134" s="20"/>
      <c r="GH134" s="20"/>
      <c r="GI134" s="20"/>
      <c r="GJ134" s="20"/>
      <c r="GK134" s="20"/>
      <c r="GL134" s="20"/>
      <c r="GM134" s="20"/>
      <c r="GN134" s="20"/>
      <c r="GO134" s="20"/>
      <c r="GP134" s="20"/>
      <c r="GQ134" s="20"/>
      <c r="GR134" s="20"/>
      <c r="GS134" s="20"/>
      <c r="GT134" s="20"/>
      <c r="GU134" s="20"/>
      <c r="GV134" s="20"/>
      <c r="GW134" s="20"/>
      <c r="GX134" s="20"/>
      <c r="GY134" s="20"/>
      <c r="GZ134" s="20"/>
      <c r="HA134" s="20"/>
      <c r="HB134" s="20"/>
      <c r="HC134" s="20"/>
      <c r="HD134" s="20"/>
      <c r="HE134" s="20"/>
      <c r="HF134" s="20"/>
      <c r="HG134" s="20"/>
      <c r="HH134" s="20"/>
      <c r="HI134" s="20"/>
      <c r="HJ134" s="20"/>
      <c r="HK134" s="20"/>
      <c r="HL134" s="20"/>
      <c r="HM134" s="20"/>
      <c r="HN134" s="20"/>
      <c r="HO134" s="20"/>
      <c r="HP134" s="20"/>
      <c r="HQ134" s="20"/>
      <c r="HR134" s="20"/>
      <c r="HS134" s="20"/>
      <c r="HT134" s="20"/>
      <c r="HU134" s="20"/>
      <c r="HV134" s="20"/>
      <c r="HW134" s="20"/>
      <c r="HX134" s="20"/>
      <c r="HY134" s="20"/>
      <c r="HZ134" s="20"/>
      <c r="IA134" s="20"/>
      <c r="IB134" s="20"/>
      <c r="IC134" s="20"/>
      <c r="ID134" s="20"/>
      <c r="IE134" s="20"/>
      <c r="IF134" s="20"/>
      <c r="IG134" s="20"/>
      <c r="IH134" s="20"/>
      <c r="II134" s="20"/>
      <c r="IJ134" s="20"/>
      <c r="IK134" s="20"/>
      <c r="IL134" s="20"/>
      <c r="IM134" s="20"/>
      <c r="IN134" s="20"/>
      <c r="IO134" s="20"/>
      <c r="IP134" s="20"/>
      <c r="IQ134" s="20"/>
      <c r="IR134" s="20"/>
      <c r="IS134" s="20"/>
      <c r="IT134" s="20"/>
      <c r="IU134" s="20"/>
      <c r="IV134" s="20"/>
      <c r="IW134" s="20"/>
      <c r="IX134" s="20"/>
      <c r="IY134" s="20"/>
      <c r="IZ134" s="20"/>
      <c r="JA134" s="20"/>
      <c r="JB134" s="20"/>
      <c r="JC134" s="20"/>
      <c r="JD134" s="20"/>
      <c r="JE134" s="20"/>
      <c r="JF134" s="20"/>
      <c r="JG134" s="20"/>
      <c r="JH134" s="20"/>
      <c r="JI134" s="20"/>
      <c r="JJ134" s="20"/>
      <c r="JK134" s="20"/>
      <c r="JL134" s="20"/>
      <c r="JM134" s="20"/>
      <c r="JN134" s="20"/>
      <c r="JO134" s="20"/>
      <c r="JP134" s="20"/>
      <c r="JQ134" s="20"/>
      <c r="JR134" s="20"/>
      <c r="JS134" s="20"/>
      <c r="JT134" s="20"/>
      <c r="JU134" s="20"/>
      <c r="JV134" s="20"/>
      <c r="JW134" s="20"/>
      <c r="JX134" s="20"/>
      <c r="JY134"/>
      <c r="JZ134" s="262"/>
      <c r="KA134" s="262"/>
      <c r="KB134" s="262"/>
      <c r="KC134" s="262"/>
      <c r="KD134" s="262"/>
      <c r="KE134" s="262"/>
      <c r="KF134" s="262"/>
      <c r="KG134" s="262"/>
      <c r="KH134" s="262"/>
      <c r="KI134" s="262"/>
      <c r="KJ134" s="262"/>
      <c r="KK134" s="262"/>
      <c r="KL134" s="262"/>
      <c r="KM134" s="262"/>
      <c r="KN134" s="262"/>
      <c r="KO134" s="262"/>
      <c r="KP134" s="262"/>
      <c r="KQ134" s="262"/>
      <c r="KR134" s="262"/>
      <c r="KS134" s="262"/>
      <c r="KT134" s="262"/>
      <c r="KU134" s="262"/>
      <c r="KV134" s="262"/>
      <c r="KW134" s="262"/>
      <c r="KX134" s="262"/>
      <c r="KY134" s="262"/>
      <c r="KZ134" s="262"/>
      <c r="LA134" s="262"/>
      <c r="LB134" s="262"/>
      <c r="LC134" s="262"/>
      <c r="LD134" s="262"/>
      <c r="LE134" s="262"/>
      <c r="LF134" s="262"/>
      <c r="LG134" s="262"/>
      <c r="LH134" s="262"/>
      <c r="LI134" s="262"/>
      <c r="LJ134" s="262"/>
      <c r="LK134" s="262"/>
      <c r="LL134" s="262"/>
      <c r="LM134" s="262"/>
      <c r="LN134" s="262"/>
      <c r="LO134" s="262"/>
      <c r="LP134" s="262"/>
      <c r="LQ134" s="262"/>
      <c r="LR134" s="262"/>
      <c r="LS134" s="262"/>
      <c r="LT134" s="262"/>
      <c r="LU134" s="262"/>
      <c r="LV134" s="262"/>
      <c r="LW134" s="262"/>
      <c r="LX134" s="262"/>
      <c r="LY134" s="262"/>
      <c r="LZ134" s="262"/>
      <c r="MA134" s="262"/>
      <c r="MB134" s="262"/>
      <c r="MC134" s="262"/>
      <c r="MD134" s="262"/>
      <c r="ME134" s="262"/>
      <c r="MF134" s="262"/>
      <c r="MG134" s="262"/>
      <c r="MH134" s="262"/>
      <c r="MI134" s="262"/>
      <c r="MJ134" s="262"/>
      <c r="MK134" s="262"/>
      <c r="ML134" s="262"/>
      <c r="MM134" s="262"/>
      <c r="MN134" s="262"/>
      <c r="MO134" s="262"/>
      <c r="MP134" s="262"/>
      <c r="MQ134" s="262"/>
      <c r="MR134" s="262"/>
      <c r="MS134" s="262"/>
      <c r="MT134" s="262"/>
      <c r="MU134" s="262"/>
      <c r="MV134" s="262"/>
      <c r="MW134" s="262"/>
      <c r="MX134" s="262"/>
      <c r="MY134" s="262"/>
      <c r="MZ134" s="262"/>
      <c r="NA134" s="262"/>
      <c r="NB134" s="262"/>
      <c r="NC134" s="262"/>
      <c r="ND134" s="262"/>
      <c r="NE134" s="262"/>
      <c r="NF134" s="262"/>
      <c r="NG134" s="262"/>
      <c r="NH134" s="262"/>
      <c r="NI134" s="262"/>
      <c r="NJ134" s="262"/>
      <c r="NK134" s="262"/>
      <c r="NL134" s="262"/>
      <c r="NM134" s="262"/>
      <c r="NN134" s="262"/>
      <c r="NO134" s="262"/>
      <c r="NP134" s="262"/>
      <c r="NQ134" s="262"/>
      <c r="NR134" s="262"/>
      <c r="NS134" s="262"/>
      <c r="NT134" s="262"/>
      <c r="NU134" s="262"/>
      <c r="NV134" s="262"/>
      <c r="NW134" s="262"/>
      <c r="NX134" s="262"/>
      <c r="NY134" s="262"/>
      <c r="NZ134" s="262"/>
      <c r="OA134" s="262"/>
      <c r="OB134" s="262"/>
      <c r="OC134" s="262"/>
      <c r="OD134" s="262"/>
      <c r="OE134" s="262"/>
      <c r="OF134" s="262"/>
      <c r="OG134" s="262"/>
      <c r="OH134" s="262"/>
      <c r="OI134" s="262"/>
      <c r="OJ134" s="262"/>
      <c r="OK134" s="262"/>
      <c r="OL134" s="262"/>
      <c r="OM134" s="262"/>
      <c r="ON134" s="262"/>
      <c r="OO134" s="262"/>
      <c r="OP134" s="262"/>
      <c r="OQ134" s="262"/>
      <c r="OR134" s="262"/>
      <c r="OS134" s="262"/>
      <c r="OT134" s="262"/>
      <c r="OU134" s="262"/>
      <c r="OV134" s="262"/>
      <c r="OW134" s="262"/>
      <c r="OX134" s="262"/>
      <c r="OY134" s="262"/>
      <c r="OZ134" s="262"/>
      <c r="PA134" s="262"/>
      <c r="PB134" s="262"/>
      <c r="PC134" s="262"/>
      <c r="PD134" s="262"/>
      <c r="PE134" s="262"/>
      <c r="PF134" s="262"/>
      <c r="PG134" s="262"/>
      <c r="PH134" s="262"/>
    </row>
    <row r="135" spans="1:424" x14ac:dyDescent="0.35">
      <c r="A135"/>
      <c r="B135" s="427" t="s">
        <v>297</v>
      </c>
      <c r="C135" s="414">
        <v>0</v>
      </c>
      <c r="D135" s="400"/>
      <c r="E135" s="53"/>
      <c r="F135" s="43">
        <f>$F$134</f>
        <v>2.5000000000000001E-2</v>
      </c>
      <c r="G135" s="43">
        <v>0.03</v>
      </c>
      <c r="H135" s="148">
        <f>+REL_Mgmt_Fee_Proforma/Units</f>
        <v>0</v>
      </c>
      <c r="I135" s="424">
        <v>0</v>
      </c>
      <c r="J135"/>
      <c r="K135"/>
      <c r="L135" s="417">
        <f t="shared" ref="L135:U137" si="459">IF(L$86="","",0)</f>
        <v>0</v>
      </c>
      <c r="M135" s="417">
        <f t="shared" si="459"/>
        <v>0</v>
      </c>
      <c r="N135" s="417">
        <f t="shared" si="459"/>
        <v>0</v>
      </c>
      <c r="O135" s="417">
        <f t="shared" si="459"/>
        <v>0</v>
      </c>
      <c r="P135" s="417">
        <f t="shared" si="459"/>
        <v>0</v>
      </c>
      <c r="Q135" s="417">
        <f t="shared" si="459"/>
        <v>0</v>
      </c>
      <c r="R135" s="417">
        <f t="shared" si="459"/>
        <v>0</v>
      </c>
      <c r="S135" s="417">
        <f t="shared" si="459"/>
        <v>0</v>
      </c>
      <c r="T135" s="417">
        <f t="shared" si="459"/>
        <v>0</v>
      </c>
      <c r="U135" s="417">
        <f t="shared" si="459"/>
        <v>0</v>
      </c>
      <c r="V135" s="417">
        <f t="shared" ref="V135:AE137" si="460">IF(V$86="","",0)</f>
        <v>0</v>
      </c>
      <c r="W135" s="417">
        <f t="shared" si="460"/>
        <v>0</v>
      </c>
      <c r="X135" s="417">
        <f t="shared" si="460"/>
        <v>0</v>
      </c>
      <c r="Y135" s="417">
        <f t="shared" si="460"/>
        <v>0</v>
      </c>
      <c r="Z135" s="417">
        <f t="shared" si="460"/>
        <v>0</v>
      </c>
      <c r="AA135" s="417">
        <f t="shared" si="460"/>
        <v>0</v>
      </c>
      <c r="AB135" s="417">
        <f t="shared" si="460"/>
        <v>0</v>
      </c>
      <c r="AC135" s="417">
        <f t="shared" si="460"/>
        <v>0</v>
      </c>
      <c r="AD135" s="417">
        <f t="shared" si="460"/>
        <v>0</v>
      </c>
      <c r="AE135" s="417">
        <f t="shared" si="460"/>
        <v>0</v>
      </c>
      <c r="AF135" s="417">
        <f t="shared" ref="AF135:AO137" si="461">IF(AF$86="","",0)</f>
        <v>0</v>
      </c>
      <c r="AG135" s="417">
        <f t="shared" si="461"/>
        <v>0</v>
      </c>
      <c r="AH135" s="417">
        <f t="shared" si="461"/>
        <v>0</v>
      </c>
      <c r="AI135" s="417">
        <f t="shared" si="461"/>
        <v>0</v>
      </c>
      <c r="AJ135" s="417">
        <f t="shared" si="461"/>
        <v>0</v>
      </c>
      <c r="AK135" s="417">
        <f t="shared" si="461"/>
        <v>0</v>
      </c>
      <c r="AL135" s="417">
        <f t="shared" si="461"/>
        <v>0</v>
      </c>
      <c r="AM135" s="417">
        <f t="shared" si="461"/>
        <v>0</v>
      </c>
      <c r="AN135" s="417">
        <f t="shared" si="461"/>
        <v>0</v>
      </c>
      <c r="AO135" s="417">
        <f t="shared" si="461"/>
        <v>0</v>
      </c>
      <c r="AP135" s="417">
        <f t="shared" ref="AP135:AY137" si="462">IF(AP$86="","",0)</f>
        <v>0</v>
      </c>
      <c r="AQ135" s="417">
        <f t="shared" si="462"/>
        <v>0</v>
      </c>
      <c r="AR135" s="417">
        <f t="shared" si="462"/>
        <v>0</v>
      </c>
      <c r="AS135" s="417">
        <f t="shared" si="462"/>
        <v>0</v>
      </c>
      <c r="AT135" s="417">
        <f t="shared" si="462"/>
        <v>0</v>
      </c>
      <c r="AU135" s="417">
        <f t="shared" si="462"/>
        <v>0</v>
      </c>
      <c r="AV135" s="417">
        <f t="shared" si="462"/>
        <v>0</v>
      </c>
      <c r="AW135" s="417">
        <f t="shared" si="462"/>
        <v>0</v>
      </c>
      <c r="AX135" s="417">
        <f t="shared" si="462"/>
        <v>0</v>
      </c>
      <c r="AY135" s="417">
        <f t="shared" si="462"/>
        <v>0</v>
      </c>
      <c r="AZ135" s="417">
        <f t="shared" ref="AZ135:BI137" si="463">IF(AZ$86="","",0)</f>
        <v>0</v>
      </c>
      <c r="BA135" s="417">
        <f t="shared" si="463"/>
        <v>0</v>
      </c>
      <c r="BB135" s="417">
        <f t="shared" si="463"/>
        <v>0</v>
      </c>
      <c r="BC135" s="417">
        <f t="shared" si="463"/>
        <v>0</v>
      </c>
      <c r="BD135" s="417">
        <f t="shared" si="463"/>
        <v>0</v>
      </c>
      <c r="BE135" s="417">
        <f t="shared" si="463"/>
        <v>0</v>
      </c>
      <c r="BF135" s="417">
        <f t="shared" si="463"/>
        <v>0</v>
      </c>
      <c r="BG135" s="417">
        <f t="shared" si="463"/>
        <v>0</v>
      </c>
      <c r="BH135" s="417">
        <f t="shared" si="463"/>
        <v>0</v>
      </c>
      <c r="BI135" s="417">
        <f t="shared" si="463"/>
        <v>0</v>
      </c>
      <c r="BJ135" s="417">
        <f t="shared" ref="BJ135:BS137" si="464">IF(BJ$86="","",0)</f>
        <v>0</v>
      </c>
      <c r="BK135" s="417">
        <f t="shared" si="464"/>
        <v>0</v>
      </c>
      <c r="BL135" s="417">
        <f t="shared" si="464"/>
        <v>0</v>
      </c>
      <c r="BM135" s="417">
        <f t="shared" si="464"/>
        <v>0</v>
      </c>
      <c r="BN135" s="417">
        <f t="shared" si="464"/>
        <v>0</v>
      </c>
      <c r="BO135" s="417">
        <f t="shared" si="464"/>
        <v>0</v>
      </c>
      <c r="BP135" s="417">
        <f t="shared" si="464"/>
        <v>0</v>
      </c>
      <c r="BQ135" s="417">
        <f t="shared" si="464"/>
        <v>0</v>
      </c>
      <c r="BR135" s="417">
        <f t="shared" si="464"/>
        <v>0</v>
      </c>
      <c r="BS135" s="417">
        <f t="shared" si="464"/>
        <v>0</v>
      </c>
      <c r="BT135" s="417">
        <f t="shared" ref="BT135:CC137" si="465">IF(BT$86="","",0)</f>
        <v>0</v>
      </c>
      <c r="BU135" s="417">
        <f t="shared" si="465"/>
        <v>0</v>
      </c>
      <c r="BV135" s="417">
        <f t="shared" si="465"/>
        <v>0</v>
      </c>
      <c r="BW135" s="417">
        <f t="shared" si="465"/>
        <v>0</v>
      </c>
      <c r="BX135" s="417">
        <f t="shared" si="465"/>
        <v>0</v>
      </c>
      <c r="BY135" s="417">
        <f t="shared" si="465"/>
        <v>0</v>
      </c>
      <c r="BZ135" s="417">
        <f t="shared" si="465"/>
        <v>0</v>
      </c>
      <c r="CA135" s="417">
        <f t="shared" si="465"/>
        <v>0</v>
      </c>
      <c r="CB135" s="417">
        <f t="shared" si="465"/>
        <v>0</v>
      </c>
      <c r="CC135" s="417">
        <f t="shared" si="465"/>
        <v>0</v>
      </c>
      <c r="CD135" s="417">
        <f t="shared" ref="CD135:CM137" si="466">IF(CD$86="","",0)</f>
        <v>0</v>
      </c>
      <c r="CE135" s="417">
        <f t="shared" si="466"/>
        <v>0</v>
      </c>
      <c r="CF135" s="417">
        <f t="shared" si="466"/>
        <v>0</v>
      </c>
      <c r="CG135" s="417">
        <f t="shared" si="466"/>
        <v>0</v>
      </c>
      <c r="CH135" s="417">
        <f t="shared" si="466"/>
        <v>0</v>
      </c>
      <c r="CI135" s="417">
        <f t="shared" si="466"/>
        <v>0</v>
      </c>
      <c r="CJ135" s="417">
        <f t="shared" si="466"/>
        <v>0</v>
      </c>
      <c r="CK135" s="417">
        <f t="shared" si="466"/>
        <v>0</v>
      </c>
      <c r="CL135" s="417">
        <f t="shared" si="466"/>
        <v>0</v>
      </c>
      <c r="CM135" s="417">
        <f t="shared" si="466"/>
        <v>0</v>
      </c>
      <c r="CN135" s="417">
        <f t="shared" ref="CN135:CW137" si="467">IF(CN$86="","",0)</f>
        <v>0</v>
      </c>
      <c r="CO135" s="417">
        <f t="shared" si="467"/>
        <v>0</v>
      </c>
      <c r="CP135" s="417">
        <f t="shared" si="467"/>
        <v>0</v>
      </c>
      <c r="CQ135" s="417">
        <f t="shared" si="467"/>
        <v>0</v>
      </c>
      <c r="CR135" s="417">
        <f t="shared" si="467"/>
        <v>0</v>
      </c>
      <c r="CS135" s="417">
        <f t="shared" si="467"/>
        <v>0</v>
      </c>
      <c r="CT135" s="417">
        <f t="shared" si="467"/>
        <v>0</v>
      </c>
      <c r="CU135" s="417">
        <f t="shared" si="467"/>
        <v>0</v>
      </c>
      <c r="CV135" s="417">
        <f t="shared" si="467"/>
        <v>0</v>
      </c>
      <c r="CW135" s="417">
        <f t="shared" si="467"/>
        <v>0</v>
      </c>
      <c r="CX135" s="417">
        <f t="shared" ref="CX135:DG137" si="468">IF(CX$86="","",0)</f>
        <v>0</v>
      </c>
      <c r="CY135" s="417">
        <f t="shared" si="468"/>
        <v>0</v>
      </c>
      <c r="CZ135" s="417">
        <f t="shared" si="468"/>
        <v>0</v>
      </c>
      <c r="DA135" s="417">
        <f t="shared" si="468"/>
        <v>0</v>
      </c>
      <c r="DB135" s="417">
        <f t="shared" si="468"/>
        <v>0</v>
      </c>
      <c r="DC135" s="417">
        <f t="shared" si="468"/>
        <v>0</v>
      </c>
      <c r="DD135" s="417">
        <f t="shared" si="468"/>
        <v>0</v>
      </c>
      <c r="DE135" s="417">
        <f t="shared" si="468"/>
        <v>0</v>
      </c>
      <c r="DF135" s="417">
        <f t="shared" si="468"/>
        <v>0</v>
      </c>
      <c r="DG135" s="417">
        <f t="shared" si="468"/>
        <v>0</v>
      </c>
      <c r="DH135" s="417">
        <f t="shared" ref="DH135:DQ137" si="469">IF(DH$86="","",0)</f>
        <v>0</v>
      </c>
      <c r="DI135" s="417">
        <f t="shared" si="469"/>
        <v>0</v>
      </c>
      <c r="DJ135" s="417">
        <f t="shared" si="469"/>
        <v>0</v>
      </c>
      <c r="DK135" s="417">
        <f t="shared" si="469"/>
        <v>0</v>
      </c>
      <c r="DL135" s="417">
        <f t="shared" si="469"/>
        <v>0</v>
      </c>
      <c r="DM135" s="417">
        <f t="shared" si="469"/>
        <v>0</v>
      </c>
      <c r="DN135" s="417">
        <f t="shared" si="469"/>
        <v>0</v>
      </c>
      <c r="DO135" s="417">
        <f t="shared" si="469"/>
        <v>0</v>
      </c>
      <c r="DP135" s="417">
        <f t="shared" si="469"/>
        <v>0</v>
      </c>
      <c r="DQ135" s="417">
        <f t="shared" si="469"/>
        <v>0</v>
      </c>
      <c r="DR135" s="417">
        <f t="shared" ref="DR135:EA137" si="470">IF(DR$86="","",0)</f>
        <v>0</v>
      </c>
      <c r="DS135" s="417">
        <f t="shared" si="470"/>
        <v>0</v>
      </c>
      <c r="DT135" s="417">
        <f t="shared" si="470"/>
        <v>0</v>
      </c>
      <c r="DU135" s="417">
        <f t="shared" si="470"/>
        <v>0</v>
      </c>
      <c r="DV135" s="417">
        <f t="shared" si="470"/>
        <v>0</v>
      </c>
      <c r="DW135" s="417">
        <f t="shared" si="470"/>
        <v>0</v>
      </c>
      <c r="DX135" s="417">
        <f t="shared" si="470"/>
        <v>0</v>
      </c>
      <c r="DY135" s="417">
        <f t="shared" si="470"/>
        <v>0</v>
      </c>
      <c r="DZ135" s="417">
        <f t="shared" si="470"/>
        <v>0</v>
      </c>
      <c r="EA135" s="417">
        <f t="shared" si="470"/>
        <v>0</v>
      </c>
      <c r="EB135" s="417">
        <f t="shared" ref="EB135:EN137" si="471">IF(EB$86="","",0)</f>
        <v>0</v>
      </c>
      <c r="EC135" s="417">
        <f t="shared" si="471"/>
        <v>0</v>
      </c>
      <c r="ED135" s="417">
        <f t="shared" si="471"/>
        <v>0</v>
      </c>
      <c r="EE135" s="417">
        <f t="shared" si="471"/>
        <v>0</v>
      </c>
      <c r="EF135" s="417">
        <f t="shared" si="471"/>
        <v>0</v>
      </c>
      <c r="EG135" s="417">
        <f t="shared" si="471"/>
        <v>0</v>
      </c>
      <c r="EH135" s="417">
        <f t="shared" si="471"/>
        <v>0</v>
      </c>
      <c r="EI135" s="417">
        <f t="shared" si="471"/>
        <v>0</v>
      </c>
      <c r="EJ135" s="417">
        <f t="shared" si="471"/>
        <v>0</v>
      </c>
      <c r="EK135" s="417">
        <f t="shared" si="471"/>
        <v>0</v>
      </c>
      <c r="EL135" s="417">
        <f t="shared" si="471"/>
        <v>0</v>
      </c>
      <c r="EM135" s="417">
        <f t="shared" si="471"/>
        <v>0</v>
      </c>
      <c r="EN135" s="417">
        <f t="shared" si="471"/>
        <v>0</v>
      </c>
      <c r="EO135"/>
      <c r="EP135" s="219"/>
      <c r="EQ135" s="209"/>
      <c r="ER135" s="18"/>
      <c r="ES135" s="18"/>
      <c r="ET135" s="18"/>
      <c r="EU135" s="18"/>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c r="FY135" s="20"/>
      <c r="FZ135" s="20"/>
      <c r="GA135" s="20"/>
      <c r="GB135" s="20"/>
      <c r="GC135" s="20"/>
      <c r="GD135" s="20"/>
      <c r="GE135" s="20"/>
      <c r="GF135" s="20"/>
      <c r="GG135" s="20"/>
      <c r="GH135" s="20"/>
      <c r="GI135" s="20"/>
      <c r="GJ135" s="20"/>
      <c r="GK135" s="20"/>
      <c r="GL135" s="20"/>
      <c r="GM135" s="20"/>
      <c r="GN135" s="20"/>
      <c r="GO135" s="20"/>
      <c r="GP135" s="20"/>
      <c r="GQ135" s="20"/>
      <c r="GR135" s="20"/>
      <c r="GS135" s="20"/>
      <c r="GT135" s="20"/>
      <c r="GU135" s="20"/>
      <c r="GV135" s="20"/>
      <c r="GW135" s="20"/>
      <c r="GX135" s="20"/>
      <c r="GY135" s="20"/>
      <c r="GZ135" s="20"/>
      <c r="HA135" s="20"/>
      <c r="HB135" s="20"/>
      <c r="HC135" s="20"/>
      <c r="HD135" s="20"/>
      <c r="HE135" s="20"/>
      <c r="HF135" s="20"/>
      <c r="HG135" s="20"/>
      <c r="HH135" s="20"/>
      <c r="HI135" s="20"/>
      <c r="HJ135" s="20"/>
      <c r="HK135" s="20"/>
      <c r="HL135" s="20"/>
      <c r="HM135" s="20"/>
      <c r="HN135" s="20"/>
      <c r="HO135" s="20"/>
      <c r="HP135" s="20"/>
      <c r="HQ135" s="20"/>
      <c r="HR135" s="20"/>
      <c r="HS135" s="20"/>
      <c r="HT135" s="20"/>
      <c r="HU135" s="20"/>
      <c r="HV135" s="20"/>
      <c r="HW135" s="20"/>
      <c r="HX135" s="20"/>
      <c r="HY135" s="20"/>
      <c r="HZ135" s="20"/>
      <c r="IA135" s="20"/>
      <c r="IB135" s="20"/>
      <c r="IC135" s="20"/>
      <c r="ID135" s="20"/>
      <c r="IE135" s="20"/>
      <c r="IF135" s="20"/>
      <c r="IG135" s="20"/>
      <c r="IH135" s="20"/>
      <c r="II135" s="20"/>
      <c r="IJ135" s="20"/>
      <c r="IK135" s="20"/>
      <c r="IL135" s="20"/>
      <c r="IM135" s="20"/>
      <c r="IN135" s="20"/>
      <c r="IO135" s="20"/>
      <c r="IP135" s="20"/>
      <c r="IQ135" s="20"/>
      <c r="IR135" s="20"/>
      <c r="IS135" s="20"/>
      <c r="IT135" s="20"/>
      <c r="IU135" s="20"/>
      <c r="IV135" s="20"/>
      <c r="IW135" s="20"/>
      <c r="IX135" s="20"/>
      <c r="IY135" s="20"/>
      <c r="IZ135" s="20"/>
      <c r="JA135" s="20"/>
      <c r="JB135" s="20"/>
      <c r="JC135" s="20"/>
      <c r="JD135" s="20"/>
      <c r="JE135" s="20"/>
      <c r="JF135" s="20"/>
      <c r="JG135" s="20"/>
      <c r="JH135" s="20"/>
      <c r="JI135" s="20"/>
      <c r="JJ135" s="20"/>
      <c r="JK135" s="20"/>
      <c r="JL135" s="20"/>
      <c r="JM135" s="20"/>
      <c r="JN135" s="20"/>
      <c r="JO135" s="20"/>
      <c r="JP135" s="20"/>
      <c r="JQ135" s="20"/>
      <c r="JR135" s="20"/>
      <c r="JS135" s="20"/>
      <c r="JT135" s="20"/>
      <c r="JU135" s="20"/>
      <c r="JV135" s="20"/>
      <c r="JW135" s="20"/>
      <c r="JX135" s="20"/>
      <c r="JY135"/>
      <c r="JZ135" s="262"/>
      <c r="KA135" s="262"/>
      <c r="KB135" s="262"/>
      <c r="KC135" s="262"/>
      <c r="KD135" s="262"/>
      <c r="KE135" s="262"/>
      <c r="KF135" s="262"/>
      <c r="KG135" s="262"/>
      <c r="KH135" s="262"/>
      <c r="KI135" s="262"/>
      <c r="KJ135" s="262"/>
      <c r="KK135" s="262"/>
      <c r="KL135" s="262"/>
      <c r="KM135" s="262"/>
      <c r="KN135" s="262"/>
      <c r="KO135" s="262"/>
      <c r="KP135" s="262"/>
      <c r="KQ135" s="262"/>
      <c r="KR135" s="262"/>
      <c r="KS135" s="262"/>
      <c r="KT135" s="262"/>
      <c r="KU135" s="262"/>
      <c r="KV135" s="262"/>
      <c r="KW135" s="262"/>
      <c r="KX135" s="262"/>
      <c r="KY135" s="262"/>
      <c r="KZ135" s="262"/>
      <c r="LA135" s="262"/>
      <c r="LB135" s="262"/>
      <c r="LC135" s="262"/>
      <c r="LD135" s="262"/>
      <c r="LE135" s="262"/>
      <c r="LF135" s="262"/>
      <c r="LG135" s="262"/>
      <c r="LH135" s="262"/>
      <c r="LI135" s="262"/>
      <c r="LJ135" s="262"/>
      <c r="LK135" s="262"/>
      <c r="LL135" s="262"/>
      <c r="LM135" s="262"/>
      <c r="LN135" s="262"/>
      <c r="LO135" s="262"/>
      <c r="LP135" s="262"/>
      <c r="LQ135" s="262"/>
      <c r="LR135" s="262"/>
      <c r="LS135" s="262"/>
      <c r="LT135" s="262"/>
      <c r="LU135" s="262"/>
      <c r="LV135" s="262"/>
      <c r="LW135" s="262"/>
      <c r="LX135" s="262"/>
      <c r="LY135" s="262"/>
      <c r="LZ135" s="262"/>
      <c r="MA135" s="262"/>
      <c r="MB135" s="262"/>
      <c r="MC135" s="262"/>
      <c r="MD135" s="262"/>
      <c r="ME135" s="262"/>
      <c r="MF135" s="262"/>
      <c r="MG135" s="262"/>
      <c r="MH135" s="262"/>
      <c r="MI135" s="262"/>
      <c r="MJ135" s="262"/>
      <c r="MK135" s="262"/>
      <c r="ML135" s="262"/>
      <c r="MM135" s="262"/>
      <c r="MN135" s="262"/>
      <c r="MO135" s="262"/>
      <c r="MP135" s="262"/>
      <c r="MQ135" s="262"/>
      <c r="MR135" s="262"/>
      <c r="MS135" s="262"/>
      <c r="MT135" s="262"/>
      <c r="MU135" s="262"/>
      <c r="MV135" s="262"/>
      <c r="MW135" s="262"/>
      <c r="MX135" s="262"/>
      <c r="MY135" s="262"/>
      <c r="MZ135" s="262"/>
      <c r="NA135" s="262"/>
      <c r="NB135" s="262"/>
      <c r="NC135" s="262"/>
      <c r="ND135" s="262"/>
      <c r="NE135" s="262"/>
      <c r="NF135" s="262"/>
      <c r="NG135" s="262"/>
      <c r="NH135" s="262"/>
      <c r="NI135" s="262"/>
      <c r="NJ135" s="262"/>
      <c r="NK135" s="262"/>
      <c r="NL135" s="262"/>
      <c r="NM135" s="262"/>
      <c r="NN135" s="262"/>
      <c r="NO135" s="262"/>
      <c r="NP135" s="262"/>
      <c r="NQ135" s="262"/>
      <c r="NR135" s="262"/>
      <c r="NS135" s="262"/>
      <c r="NT135" s="262"/>
      <c r="NU135" s="262"/>
      <c r="NV135" s="262"/>
      <c r="NW135" s="262"/>
      <c r="NX135" s="262"/>
      <c r="NY135" s="262"/>
      <c r="NZ135" s="262"/>
      <c r="OA135" s="262"/>
      <c r="OB135" s="262"/>
      <c r="OC135" s="262"/>
      <c r="OD135" s="262"/>
      <c r="OE135" s="262"/>
      <c r="OF135" s="262"/>
      <c r="OG135" s="262"/>
      <c r="OH135" s="262"/>
      <c r="OI135" s="262"/>
      <c r="OJ135" s="262"/>
      <c r="OK135" s="262"/>
      <c r="OL135" s="262"/>
      <c r="OM135" s="262"/>
      <c r="ON135" s="262"/>
      <c r="OO135" s="262"/>
      <c r="OP135" s="262"/>
      <c r="OQ135" s="262"/>
      <c r="OR135" s="262"/>
      <c r="OS135" s="262"/>
      <c r="OT135" s="262"/>
      <c r="OU135" s="262"/>
      <c r="OV135" s="262"/>
      <c r="OW135" s="262"/>
      <c r="OX135" s="262"/>
      <c r="OY135" s="262"/>
      <c r="OZ135" s="262"/>
      <c r="PA135" s="262"/>
      <c r="PB135" s="262"/>
      <c r="PC135" s="262"/>
      <c r="PD135" s="262"/>
      <c r="PE135" s="262"/>
      <c r="PF135" s="262"/>
      <c r="PG135" s="262"/>
      <c r="PH135" s="262"/>
    </row>
    <row r="136" spans="1:424" x14ac:dyDescent="0.35">
      <c r="A136"/>
      <c r="B136" s="427" t="s">
        <v>298</v>
      </c>
      <c r="C136" s="414">
        <v>1</v>
      </c>
      <c r="D136" s="400"/>
      <c r="E136" s="53"/>
      <c r="F136" s="43">
        <f>$F$134</f>
        <v>2.5000000000000001E-2</v>
      </c>
      <c r="G136" s="39">
        <f>IF($I$130=0,"",I136/$I$130)</f>
        <v>0</v>
      </c>
      <c r="H136" s="143">
        <v>2</v>
      </c>
      <c r="I136" s="424">
        <v>0</v>
      </c>
      <c r="J136"/>
      <c r="K136"/>
      <c r="L136" s="75">
        <f t="shared" si="459"/>
        <v>0</v>
      </c>
      <c r="M136" s="417">
        <f t="shared" si="459"/>
        <v>0</v>
      </c>
      <c r="N136" s="417">
        <f t="shared" si="459"/>
        <v>0</v>
      </c>
      <c r="O136" s="417">
        <f t="shared" si="459"/>
        <v>0</v>
      </c>
      <c r="P136" s="417">
        <f t="shared" si="459"/>
        <v>0</v>
      </c>
      <c r="Q136" s="417">
        <f t="shared" si="459"/>
        <v>0</v>
      </c>
      <c r="R136" s="417">
        <f t="shared" si="459"/>
        <v>0</v>
      </c>
      <c r="S136" s="417">
        <f t="shared" si="459"/>
        <v>0</v>
      </c>
      <c r="T136" s="417">
        <f t="shared" si="459"/>
        <v>0</v>
      </c>
      <c r="U136" s="417">
        <f t="shared" si="459"/>
        <v>0</v>
      </c>
      <c r="V136" s="417">
        <f t="shared" si="460"/>
        <v>0</v>
      </c>
      <c r="W136" s="417">
        <f t="shared" si="460"/>
        <v>0</v>
      </c>
      <c r="X136" s="417">
        <f t="shared" si="460"/>
        <v>0</v>
      </c>
      <c r="Y136" s="417">
        <f t="shared" si="460"/>
        <v>0</v>
      </c>
      <c r="Z136" s="417">
        <f t="shared" si="460"/>
        <v>0</v>
      </c>
      <c r="AA136" s="417">
        <f t="shared" si="460"/>
        <v>0</v>
      </c>
      <c r="AB136" s="417">
        <f t="shared" si="460"/>
        <v>0</v>
      </c>
      <c r="AC136" s="417">
        <f t="shared" si="460"/>
        <v>0</v>
      </c>
      <c r="AD136" s="417">
        <f t="shared" si="460"/>
        <v>0</v>
      </c>
      <c r="AE136" s="417">
        <f t="shared" si="460"/>
        <v>0</v>
      </c>
      <c r="AF136" s="417">
        <f t="shared" si="461"/>
        <v>0</v>
      </c>
      <c r="AG136" s="417">
        <f t="shared" si="461"/>
        <v>0</v>
      </c>
      <c r="AH136" s="417">
        <f t="shared" si="461"/>
        <v>0</v>
      </c>
      <c r="AI136" s="417">
        <f t="shared" si="461"/>
        <v>0</v>
      </c>
      <c r="AJ136" s="417">
        <f t="shared" si="461"/>
        <v>0</v>
      </c>
      <c r="AK136" s="417">
        <f t="shared" si="461"/>
        <v>0</v>
      </c>
      <c r="AL136" s="417">
        <f t="shared" si="461"/>
        <v>0</v>
      </c>
      <c r="AM136" s="417">
        <f t="shared" si="461"/>
        <v>0</v>
      </c>
      <c r="AN136" s="417">
        <f t="shared" si="461"/>
        <v>0</v>
      </c>
      <c r="AO136" s="417">
        <f t="shared" si="461"/>
        <v>0</v>
      </c>
      <c r="AP136" s="417">
        <f t="shared" si="462"/>
        <v>0</v>
      </c>
      <c r="AQ136" s="417">
        <f t="shared" si="462"/>
        <v>0</v>
      </c>
      <c r="AR136" s="417">
        <f t="shared" si="462"/>
        <v>0</v>
      </c>
      <c r="AS136" s="417">
        <f t="shared" si="462"/>
        <v>0</v>
      </c>
      <c r="AT136" s="417">
        <f t="shared" si="462"/>
        <v>0</v>
      </c>
      <c r="AU136" s="417">
        <f t="shared" si="462"/>
        <v>0</v>
      </c>
      <c r="AV136" s="417">
        <f t="shared" si="462"/>
        <v>0</v>
      </c>
      <c r="AW136" s="417">
        <f t="shared" si="462"/>
        <v>0</v>
      </c>
      <c r="AX136" s="417">
        <f t="shared" si="462"/>
        <v>0</v>
      </c>
      <c r="AY136" s="417">
        <f t="shared" si="462"/>
        <v>0</v>
      </c>
      <c r="AZ136" s="417">
        <f t="shared" si="463"/>
        <v>0</v>
      </c>
      <c r="BA136" s="417">
        <f t="shared" si="463"/>
        <v>0</v>
      </c>
      <c r="BB136" s="417">
        <f t="shared" si="463"/>
        <v>0</v>
      </c>
      <c r="BC136" s="417">
        <f t="shared" si="463"/>
        <v>0</v>
      </c>
      <c r="BD136" s="417">
        <f t="shared" si="463"/>
        <v>0</v>
      </c>
      <c r="BE136" s="417">
        <f t="shared" si="463"/>
        <v>0</v>
      </c>
      <c r="BF136" s="417">
        <f t="shared" si="463"/>
        <v>0</v>
      </c>
      <c r="BG136" s="417">
        <f t="shared" si="463"/>
        <v>0</v>
      </c>
      <c r="BH136" s="417">
        <f t="shared" si="463"/>
        <v>0</v>
      </c>
      <c r="BI136" s="417">
        <f t="shared" si="463"/>
        <v>0</v>
      </c>
      <c r="BJ136" s="417">
        <f t="shared" si="464"/>
        <v>0</v>
      </c>
      <c r="BK136" s="417">
        <f t="shared" si="464"/>
        <v>0</v>
      </c>
      <c r="BL136" s="417">
        <f t="shared" si="464"/>
        <v>0</v>
      </c>
      <c r="BM136" s="417">
        <f t="shared" si="464"/>
        <v>0</v>
      </c>
      <c r="BN136" s="417">
        <f t="shared" si="464"/>
        <v>0</v>
      </c>
      <c r="BO136" s="417">
        <f t="shared" si="464"/>
        <v>0</v>
      </c>
      <c r="BP136" s="417">
        <f t="shared" si="464"/>
        <v>0</v>
      </c>
      <c r="BQ136" s="417">
        <f t="shared" si="464"/>
        <v>0</v>
      </c>
      <c r="BR136" s="417">
        <f t="shared" si="464"/>
        <v>0</v>
      </c>
      <c r="BS136" s="417">
        <f t="shared" si="464"/>
        <v>0</v>
      </c>
      <c r="BT136" s="417">
        <f t="shared" si="465"/>
        <v>0</v>
      </c>
      <c r="BU136" s="417">
        <f t="shared" si="465"/>
        <v>0</v>
      </c>
      <c r="BV136" s="417">
        <f t="shared" si="465"/>
        <v>0</v>
      </c>
      <c r="BW136" s="417">
        <f t="shared" si="465"/>
        <v>0</v>
      </c>
      <c r="BX136" s="417">
        <f t="shared" si="465"/>
        <v>0</v>
      </c>
      <c r="BY136" s="417">
        <f t="shared" si="465"/>
        <v>0</v>
      </c>
      <c r="BZ136" s="417">
        <f t="shared" si="465"/>
        <v>0</v>
      </c>
      <c r="CA136" s="417">
        <f t="shared" si="465"/>
        <v>0</v>
      </c>
      <c r="CB136" s="417">
        <f t="shared" si="465"/>
        <v>0</v>
      </c>
      <c r="CC136" s="417">
        <f t="shared" si="465"/>
        <v>0</v>
      </c>
      <c r="CD136" s="417">
        <f t="shared" si="466"/>
        <v>0</v>
      </c>
      <c r="CE136" s="417">
        <f t="shared" si="466"/>
        <v>0</v>
      </c>
      <c r="CF136" s="417">
        <f t="shared" si="466"/>
        <v>0</v>
      </c>
      <c r="CG136" s="417">
        <f t="shared" si="466"/>
        <v>0</v>
      </c>
      <c r="CH136" s="417">
        <f t="shared" si="466"/>
        <v>0</v>
      </c>
      <c r="CI136" s="417">
        <f t="shared" si="466"/>
        <v>0</v>
      </c>
      <c r="CJ136" s="417">
        <f t="shared" si="466"/>
        <v>0</v>
      </c>
      <c r="CK136" s="417">
        <f t="shared" si="466"/>
        <v>0</v>
      </c>
      <c r="CL136" s="417">
        <f t="shared" si="466"/>
        <v>0</v>
      </c>
      <c r="CM136" s="417">
        <f t="shared" si="466"/>
        <v>0</v>
      </c>
      <c r="CN136" s="417">
        <f t="shared" si="467"/>
        <v>0</v>
      </c>
      <c r="CO136" s="417">
        <f t="shared" si="467"/>
        <v>0</v>
      </c>
      <c r="CP136" s="417">
        <f t="shared" si="467"/>
        <v>0</v>
      </c>
      <c r="CQ136" s="417">
        <f t="shared" si="467"/>
        <v>0</v>
      </c>
      <c r="CR136" s="417">
        <f t="shared" si="467"/>
        <v>0</v>
      </c>
      <c r="CS136" s="417">
        <f t="shared" si="467"/>
        <v>0</v>
      </c>
      <c r="CT136" s="417">
        <f t="shared" si="467"/>
        <v>0</v>
      </c>
      <c r="CU136" s="417">
        <f t="shared" si="467"/>
        <v>0</v>
      </c>
      <c r="CV136" s="417">
        <f t="shared" si="467"/>
        <v>0</v>
      </c>
      <c r="CW136" s="417">
        <f t="shared" si="467"/>
        <v>0</v>
      </c>
      <c r="CX136" s="417">
        <f t="shared" si="468"/>
        <v>0</v>
      </c>
      <c r="CY136" s="417">
        <f t="shared" si="468"/>
        <v>0</v>
      </c>
      <c r="CZ136" s="417">
        <f t="shared" si="468"/>
        <v>0</v>
      </c>
      <c r="DA136" s="417">
        <f t="shared" si="468"/>
        <v>0</v>
      </c>
      <c r="DB136" s="417">
        <f t="shared" si="468"/>
        <v>0</v>
      </c>
      <c r="DC136" s="417">
        <f t="shared" si="468"/>
        <v>0</v>
      </c>
      <c r="DD136" s="417">
        <f t="shared" si="468"/>
        <v>0</v>
      </c>
      <c r="DE136" s="417">
        <f t="shared" si="468"/>
        <v>0</v>
      </c>
      <c r="DF136" s="417">
        <f t="shared" si="468"/>
        <v>0</v>
      </c>
      <c r="DG136" s="417">
        <f t="shared" si="468"/>
        <v>0</v>
      </c>
      <c r="DH136" s="417">
        <f t="shared" si="469"/>
        <v>0</v>
      </c>
      <c r="DI136" s="417">
        <f t="shared" si="469"/>
        <v>0</v>
      </c>
      <c r="DJ136" s="417">
        <f t="shared" si="469"/>
        <v>0</v>
      </c>
      <c r="DK136" s="417">
        <f t="shared" si="469"/>
        <v>0</v>
      </c>
      <c r="DL136" s="417">
        <f t="shared" si="469"/>
        <v>0</v>
      </c>
      <c r="DM136" s="417">
        <f t="shared" si="469"/>
        <v>0</v>
      </c>
      <c r="DN136" s="417">
        <f t="shared" si="469"/>
        <v>0</v>
      </c>
      <c r="DO136" s="417">
        <f t="shared" si="469"/>
        <v>0</v>
      </c>
      <c r="DP136" s="417">
        <f t="shared" si="469"/>
        <v>0</v>
      </c>
      <c r="DQ136" s="417">
        <f t="shared" si="469"/>
        <v>0</v>
      </c>
      <c r="DR136" s="417">
        <f t="shared" si="470"/>
        <v>0</v>
      </c>
      <c r="DS136" s="417">
        <f t="shared" si="470"/>
        <v>0</v>
      </c>
      <c r="DT136" s="417">
        <f t="shared" si="470"/>
        <v>0</v>
      </c>
      <c r="DU136" s="417">
        <f t="shared" si="470"/>
        <v>0</v>
      </c>
      <c r="DV136" s="417">
        <f t="shared" si="470"/>
        <v>0</v>
      </c>
      <c r="DW136" s="417">
        <f t="shared" si="470"/>
        <v>0</v>
      </c>
      <c r="DX136" s="417">
        <f t="shared" si="470"/>
        <v>0</v>
      </c>
      <c r="DY136" s="417">
        <f t="shared" si="470"/>
        <v>0</v>
      </c>
      <c r="DZ136" s="417">
        <f t="shared" si="470"/>
        <v>0</v>
      </c>
      <c r="EA136" s="417">
        <f t="shared" si="470"/>
        <v>0</v>
      </c>
      <c r="EB136" s="417">
        <f t="shared" si="471"/>
        <v>0</v>
      </c>
      <c r="EC136" s="417">
        <f t="shared" si="471"/>
        <v>0</v>
      </c>
      <c r="ED136" s="417">
        <f t="shared" si="471"/>
        <v>0</v>
      </c>
      <c r="EE136" s="417">
        <f t="shared" si="471"/>
        <v>0</v>
      </c>
      <c r="EF136" s="417">
        <f t="shared" si="471"/>
        <v>0</v>
      </c>
      <c r="EG136" s="417">
        <f t="shared" si="471"/>
        <v>0</v>
      </c>
      <c r="EH136" s="417">
        <f t="shared" si="471"/>
        <v>0</v>
      </c>
      <c r="EI136" s="417">
        <f t="shared" si="471"/>
        <v>0</v>
      </c>
      <c r="EJ136" s="417">
        <f t="shared" si="471"/>
        <v>0</v>
      </c>
      <c r="EK136" s="417">
        <f t="shared" si="471"/>
        <v>0</v>
      </c>
      <c r="EL136" s="417">
        <f t="shared" si="471"/>
        <v>0</v>
      </c>
      <c r="EM136" s="417">
        <f t="shared" si="471"/>
        <v>0</v>
      </c>
      <c r="EN136" s="417">
        <f t="shared" si="471"/>
        <v>0</v>
      </c>
      <c r="EO136"/>
      <c r="EP136" s="219" t="s">
        <v>299</v>
      </c>
      <c r="EQ136" s="209"/>
      <c r="ER136" s="18"/>
      <c r="ES136" s="18"/>
      <c r="ET136" s="18"/>
      <c r="EU136" s="18"/>
      <c r="EV136" s="203">
        <f t="shared" ref="EV136:GA136" si="472">ROUNDUP(L91/12,0)</f>
        <v>0</v>
      </c>
      <c r="EW136" s="203">
        <f t="shared" si="472"/>
        <v>0</v>
      </c>
      <c r="EX136" s="203">
        <f t="shared" si="472"/>
        <v>0</v>
      </c>
      <c r="EY136" s="203">
        <f t="shared" si="472"/>
        <v>0</v>
      </c>
      <c r="EZ136" s="203">
        <f t="shared" si="472"/>
        <v>0</v>
      </c>
      <c r="FA136" s="203">
        <f t="shared" si="472"/>
        <v>0</v>
      </c>
      <c r="FB136" s="203">
        <f t="shared" si="472"/>
        <v>0</v>
      </c>
      <c r="FC136" s="203">
        <f t="shared" si="472"/>
        <v>0</v>
      </c>
      <c r="FD136" s="203">
        <f t="shared" si="472"/>
        <v>0</v>
      </c>
      <c r="FE136" s="203">
        <f t="shared" si="472"/>
        <v>0</v>
      </c>
      <c r="FF136" s="203">
        <f t="shared" si="472"/>
        <v>0</v>
      </c>
      <c r="FG136" s="203">
        <f t="shared" si="472"/>
        <v>0</v>
      </c>
      <c r="FH136" s="203">
        <f t="shared" si="472"/>
        <v>0</v>
      </c>
      <c r="FI136" s="203">
        <f t="shared" si="472"/>
        <v>0</v>
      </c>
      <c r="FJ136" s="203">
        <f t="shared" si="472"/>
        <v>0</v>
      </c>
      <c r="FK136" s="203">
        <f t="shared" si="472"/>
        <v>0</v>
      </c>
      <c r="FL136" s="203">
        <f t="shared" si="472"/>
        <v>0</v>
      </c>
      <c r="FM136" s="203">
        <f t="shared" si="472"/>
        <v>0</v>
      </c>
      <c r="FN136" s="203">
        <f t="shared" si="472"/>
        <v>0</v>
      </c>
      <c r="FO136" s="203">
        <f t="shared" si="472"/>
        <v>0</v>
      </c>
      <c r="FP136" s="203">
        <f t="shared" si="472"/>
        <v>0</v>
      </c>
      <c r="FQ136" s="203">
        <f t="shared" si="472"/>
        <v>0</v>
      </c>
      <c r="FR136" s="203">
        <f t="shared" si="472"/>
        <v>0</v>
      </c>
      <c r="FS136" s="203">
        <f t="shared" si="472"/>
        <v>0</v>
      </c>
      <c r="FT136" s="203">
        <f t="shared" si="472"/>
        <v>0</v>
      </c>
      <c r="FU136" s="203">
        <f t="shared" si="472"/>
        <v>0</v>
      </c>
      <c r="FV136" s="203">
        <f t="shared" si="472"/>
        <v>0</v>
      </c>
      <c r="FW136" s="203">
        <f t="shared" si="472"/>
        <v>0</v>
      </c>
      <c r="FX136" s="203">
        <f t="shared" si="472"/>
        <v>0</v>
      </c>
      <c r="FY136" s="203">
        <f t="shared" si="472"/>
        <v>0</v>
      </c>
      <c r="FZ136" s="203">
        <f t="shared" si="472"/>
        <v>0</v>
      </c>
      <c r="GA136" s="203">
        <f t="shared" si="472"/>
        <v>0</v>
      </c>
      <c r="GB136" s="203">
        <f t="shared" ref="GB136:HG136" si="473">ROUNDUP(AR91/12,0)</f>
        <v>0</v>
      </c>
      <c r="GC136" s="203">
        <f t="shared" si="473"/>
        <v>0</v>
      </c>
      <c r="GD136" s="203">
        <f t="shared" si="473"/>
        <v>0</v>
      </c>
      <c r="GE136" s="203">
        <f t="shared" si="473"/>
        <v>0</v>
      </c>
      <c r="GF136" s="203">
        <f t="shared" si="473"/>
        <v>0</v>
      </c>
      <c r="GG136" s="203">
        <f t="shared" si="473"/>
        <v>1</v>
      </c>
      <c r="GH136" s="203">
        <f t="shared" si="473"/>
        <v>1</v>
      </c>
      <c r="GI136" s="203">
        <f t="shared" si="473"/>
        <v>1</v>
      </c>
      <c r="GJ136" s="203">
        <f t="shared" si="473"/>
        <v>1</v>
      </c>
      <c r="GK136" s="203">
        <f t="shared" si="473"/>
        <v>1</v>
      </c>
      <c r="GL136" s="203">
        <f t="shared" si="473"/>
        <v>1</v>
      </c>
      <c r="GM136" s="203">
        <f t="shared" si="473"/>
        <v>1</v>
      </c>
      <c r="GN136" s="203">
        <f t="shared" si="473"/>
        <v>1</v>
      </c>
      <c r="GO136" s="203">
        <f t="shared" si="473"/>
        <v>1</v>
      </c>
      <c r="GP136" s="203">
        <f t="shared" si="473"/>
        <v>1</v>
      </c>
      <c r="GQ136" s="203">
        <f t="shared" si="473"/>
        <v>1</v>
      </c>
      <c r="GR136" s="203">
        <f t="shared" si="473"/>
        <v>1</v>
      </c>
      <c r="GS136" s="203">
        <f t="shared" si="473"/>
        <v>2</v>
      </c>
      <c r="GT136" s="203">
        <f t="shared" si="473"/>
        <v>2</v>
      </c>
      <c r="GU136" s="203">
        <f t="shared" si="473"/>
        <v>2</v>
      </c>
      <c r="GV136" s="203">
        <f t="shared" si="473"/>
        <v>2</v>
      </c>
      <c r="GW136" s="203">
        <f t="shared" si="473"/>
        <v>2</v>
      </c>
      <c r="GX136" s="203">
        <f t="shared" si="473"/>
        <v>2</v>
      </c>
      <c r="GY136" s="203">
        <f t="shared" si="473"/>
        <v>2</v>
      </c>
      <c r="GZ136" s="203">
        <f t="shared" si="473"/>
        <v>2</v>
      </c>
      <c r="HA136" s="203">
        <f t="shared" si="473"/>
        <v>2</v>
      </c>
      <c r="HB136" s="203">
        <f t="shared" si="473"/>
        <v>2</v>
      </c>
      <c r="HC136" s="203">
        <f t="shared" si="473"/>
        <v>2</v>
      </c>
      <c r="HD136" s="203">
        <f t="shared" si="473"/>
        <v>2</v>
      </c>
      <c r="HE136" s="203">
        <f t="shared" si="473"/>
        <v>3</v>
      </c>
      <c r="HF136" s="203">
        <f t="shared" si="473"/>
        <v>3</v>
      </c>
      <c r="HG136" s="203">
        <f t="shared" si="473"/>
        <v>3</v>
      </c>
      <c r="HH136" s="203">
        <f t="shared" ref="HH136:IM136" si="474">ROUNDUP(BX91/12,0)</f>
        <v>3</v>
      </c>
      <c r="HI136" s="203">
        <f t="shared" si="474"/>
        <v>3</v>
      </c>
      <c r="HJ136" s="203">
        <f t="shared" si="474"/>
        <v>3</v>
      </c>
      <c r="HK136" s="203">
        <f t="shared" si="474"/>
        <v>3</v>
      </c>
      <c r="HL136" s="203">
        <f t="shared" si="474"/>
        <v>3</v>
      </c>
      <c r="HM136" s="203">
        <f t="shared" si="474"/>
        <v>3</v>
      </c>
      <c r="HN136" s="203">
        <f t="shared" si="474"/>
        <v>3</v>
      </c>
      <c r="HO136" s="203">
        <f t="shared" si="474"/>
        <v>3</v>
      </c>
      <c r="HP136" s="203">
        <f t="shared" si="474"/>
        <v>3</v>
      </c>
      <c r="HQ136" s="203">
        <f t="shared" si="474"/>
        <v>4</v>
      </c>
      <c r="HR136" s="203">
        <f t="shared" si="474"/>
        <v>4</v>
      </c>
      <c r="HS136" s="203">
        <f t="shared" si="474"/>
        <v>4</v>
      </c>
      <c r="HT136" s="203">
        <f t="shared" si="474"/>
        <v>4</v>
      </c>
      <c r="HU136" s="203">
        <f t="shared" si="474"/>
        <v>4</v>
      </c>
      <c r="HV136" s="203">
        <f t="shared" si="474"/>
        <v>4</v>
      </c>
      <c r="HW136" s="203">
        <f t="shared" si="474"/>
        <v>4</v>
      </c>
      <c r="HX136" s="203">
        <f t="shared" si="474"/>
        <v>4</v>
      </c>
      <c r="HY136" s="203">
        <f t="shared" si="474"/>
        <v>4</v>
      </c>
      <c r="HZ136" s="203">
        <f t="shared" si="474"/>
        <v>4</v>
      </c>
      <c r="IA136" s="203">
        <f t="shared" si="474"/>
        <v>4</v>
      </c>
      <c r="IB136" s="203">
        <f t="shared" si="474"/>
        <v>4</v>
      </c>
      <c r="IC136" s="203">
        <f t="shared" si="474"/>
        <v>5</v>
      </c>
      <c r="ID136" s="203">
        <f t="shared" si="474"/>
        <v>5</v>
      </c>
      <c r="IE136" s="203">
        <f t="shared" si="474"/>
        <v>5</v>
      </c>
      <c r="IF136" s="203">
        <f t="shared" si="474"/>
        <v>5</v>
      </c>
      <c r="IG136" s="203">
        <f t="shared" si="474"/>
        <v>5</v>
      </c>
      <c r="IH136" s="203">
        <f t="shared" si="474"/>
        <v>5</v>
      </c>
      <c r="II136" s="203">
        <f t="shared" si="474"/>
        <v>5</v>
      </c>
      <c r="IJ136" s="203">
        <f t="shared" si="474"/>
        <v>5</v>
      </c>
      <c r="IK136" s="203">
        <f t="shared" si="474"/>
        <v>5</v>
      </c>
      <c r="IL136" s="203">
        <f t="shared" si="474"/>
        <v>5</v>
      </c>
      <c r="IM136" s="203">
        <f t="shared" si="474"/>
        <v>5</v>
      </c>
      <c r="IN136" s="203">
        <f t="shared" ref="IN136:JS136" si="475">ROUNDUP(DD91/12,0)</f>
        <v>5</v>
      </c>
      <c r="IO136" s="203">
        <f t="shared" si="475"/>
        <v>6</v>
      </c>
      <c r="IP136" s="203">
        <f t="shared" si="475"/>
        <v>6</v>
      </c>
      <c r="IQ136" s="203">
        <f t="shared" si="475"/>
        <v>6</v>
      </c>
      <c r="IR136" s="203">
        <f t="shared" si="475"/>
        <v>6</v>
      </c>
      <c r="IS136" s="203">
        <f t="shared" si="475"/>
        <v>6</v>
      </c>
      <c r="IT136" s="203">
        <f t="shared" si="475"/>
        <v>6</v>
      </c>
      <c r="IU136" s="203">
        <f t="shared" si="475"/>
        <v>6</v>
      </c>
      <c r="IV136" s="203">
        <f t="shared" si="475"/>
        <v>6</v>
      </c>
      <c r="IW136" s="203">
        <f t="shared" si="475"/>
        <v>6</v>
      </c>
      <c r="IX136" s="203">
        <f t="shared" si="475"/>
        <v>6</v>
      </c>
      <c r="IY136" s="203">
        <f t="shared" si="475"/>
        <v>6</v>
      </c>
      <c r="IZ136" s="203">
        <f t="shared" si="475"/>
        <v>6</v>
      </c>
      <c r="JA136" s="203">
        <f t="shared" si="475"/>
        <v>7</v>
      </c>
      <c r="JB136" s="203">
        <f t="shared" si="475"/>
        <v>7</v>
      </c>
      <c r="JC136" s="203">
        <f t="shared" si="475"/>
        <v>7</v>
      </c>
      <c r="JD136" s="203">
        <f t="shared" si="475"/>
        <v>7</v>
      </c>
      <c r="JE136" s="203">
        <f t="shared" si="475"/>
        <v>7</v>
      </c>
      <c r="JF136" s="203">
        <f t="shared" si="475"/>
        <v>7</v>
      </c>
      <c r="JG136" s="203">
        <f t="shared" si="475"/>
        <v>7</v>
      </c>
      <c r="JH136" s="203">
        <f t="shared" si="475"/>
        <v>7</v>
      </c>
      <c r="JI136" s="203">
        <f t="shared" si="475"/>
        <v>7</v>
      </c>
      <c r="JJ136" s="203">
        <f t="shared" si="475"/>
        <v>7</v>
      </c>
      <c r="JK136" s="203">
        <f t="shared" si="475"/>
        <v>7</v>
      </c>
      <c r="JL136" s="203">
        <f t="shared" si="475"/>
        <v>7</v>
      </c>
      <c r="JM136" s="203">
        <f t="shared" si="475"/>
        <v>8</v>
      </c>
      <c r="JN136" s="203">
        <f t="shared" si="475"/>
        <v>8</v>
      </c>
      <c r="JO136" s="203">
        <f t="shared" si="475"/>
        <v>8</v>
      </c>
      <c r="JP136" s="203">
        <f t="shared" si="475"/>
        <v>8</v>
      </c>
      <c r="JQ136" s="203">
        <f t="shared" si="475"/>
        <v>8</v>
      </c>
      <c r="JR136" s="203">
        <f t="shared" si="475"/>
        <v>8</v>
      </c>
      <c r="JS136" s="203">
        <f t="shared" si="475"/>
        <v>8</v>
      </c>
      <c r="JT136" s="203">
        <f>ROUNDUP(EJ91/12,0)</f>
        <v>8</v>
      </c>
      <c r="JU136" s="203">
        <f>ROUNDUP(EK91/12,0)</f>
        <v>8</v>
      </c>
      <c r="JV136" s="203">
        <f>ROUNDUP(EL91/12,0)</f>
        <v>8</v>
      </c>
      <c r="JW136" s="203">
        <f>ROUNDUP(EM91/12,0)</f>
        <v>8</v>
      </c>
      <c r="JX136" s="203">
        <f>ROUNDUP(EN91/12,0)</f>
        <v>8</v>
      </c>
      <c r="JY136"/>
      <c r="JZ136" s="262"/>
      <c r="KA136" s="262"/>
      <c r="KB136" s="262"/>
      <c r="KC136" s="262"/>
      <c r="KD136" s="262"/>
      <c r="KE136" s="262"/>
      <c r="KF136" s="262"/>
      <c r="KG136" s="262"/>
      <c r="KH136" s="262"/>
      <c r="KI136" s="262"/>
      <c r="KJ136" s="262"/>
      <c r="KK136" s="262"/>
      <c r="KL136" s="262"/>
      <c r="KM136" s="262"/>
      <c r="KN136" s="262"/>
      <c r="KO136" s="262"/>
      <c r="KP136" s="262"/>
      <c r="KQ136" s="262"/>
      <c r="KR136" s="262"/>
      <c r="KS136" s="262"/>
      <c r="KT136" s="262"/>
      <c r="KU136" s="262"/>
      <c r="KV136" s="262"/>
      <c r="KW136" s="262"/>
      <c r="KX136" s="262"/>
      <c r="KY136" s="262"/>
      <c r="KZ136" s="262"/>
      <c r="LA136" s="262"/>
      <c r="LB136" s="262"/>
      <c r="LC136" s="262"/>
      <c r="LD136" s="262"/>
      <c r="LE136" s="262"/>
      <c r="LF136" s="262"/>
      <c r="LG136" s="262"/>
      <c r="LH136" s="262"/>
      <c r="LI136" s="262"/>
      <c r="LJ136" s="262"/>
      <c r="LK136" s="262"/>
      <c r="LL136" s="262"/>
      <c r="LM136" s="262"/>
      <c r="LN136" s="262"/>
      <c r="LO136" s="262"/>
      <c r="LP136" s="262"/>
      <c r="LQ136" s="262"/>
      <c r="LR136" s="262"/>
      <c r="LS136" s="262"/>
      <c r="LT136" s="262"/>
      <c r="LU136" s="262"/>
      <c r="LV136" s="262"/>
      <c r="LW136" s="262"/>
      <c r="LX136" s="262"/>
      <c r="LY136" s="262"/>
      <c r="LZ136" s="262"/>
      <c r="MA136" s="262"/>
      <c r="MB136" s="262"/>
      <c r="MC136" s="262"/>
      <c r="MD136" s="262"/>
      <c r="ME136" s="262"/>
      <c r="MF136" s="262"/>
      <c r="MG136" s="262"/>
      <c r="MH136" s="262"/>
      <c r="MI136" s="262"/>
      <c r="MJ136" s="262"/>
      <c r="MK136" s="262"/>
      <c r="ML136" s="262"/>
      <c r="MM136" s="262"/>
      <c r="MN136" s="262"/>
      <c r="MO136" s="262"/>
      <c r="MP136" s="262"/>
      <c r="MQ136" s="262"/>
      <c r="MR136" s="262"/>
      <c r="MS136" s="262"/>
      <c r="MT136" s="262"/>
      <c r="MU136" s="262"/>
      <c r="MV136" s="262"/>
      <c r="MW136" s="262"/>
      <c r="MX136" s="262"/>
      <c r="MY136" s="262"/>
      <c r="MZ136" s="262"/>
      <c r="NA136" s="262"/>
      <c r="NB136" s="262"/>
      <c r="NC136" s="262"/>
      <c r="ND136" s="262"/>
      <c r="NE136" s="262"/>
      <c r="NF136" s="262"/>
      <c r="NG136" s="262"/>
      <c r="NH136" s="262"/>
      <c r="NI136" s="262"/>
      <c r="NJ136" s="262"/>
      <c r="NK136" s="262"/>
      <c r="NL136" s="262"/>
      <c r="NM136" s="262"/>
      <c r="NN136" s="262"/>
      <c r="NO136" s="262"/>
      <c r="NP136" s="262"/>
      <c r="NQ136" s="262"/>
      <c r="NR136" s="262"/>
      <c r="NS136" s="262"/>
      <c r="NT136" s="262"/>
      <c r="NU136" s="262"/>
      <c r="NV136" s="262"/>
      <c r="NW136" s="262"/>
      <c r="NX136" s="262"/>
      <c r="NY136" s="262"/>
      <c r="NZ136" s="262"/>
      <c r="OA136" s="262"/>
      <c r="OB136" s="262"/>
      <c r="OC136" s="262"/>
      <c r="OD136" s="262"/>
      <c r="OE136" s="262"/>
      <c r="OF136" s="262"/>
      <c r="OG136" s="262"/>
      <c r="OH136" s="262"/>
      <c r="OI136" s="262"/>
      <c r="OJ136" s="262"/>
      <c r="OK136" s="262"/>
      <c r="OL136" s="262"/>
      <c r="OM136" s="262"/>
      <c r="ON136" s="262"/>
      <c r="OO136" s="262"/>
      <c r="OP136" s="262"/>
      <c r="OQ136" s="262"/>
      <c r="OR136" s="262"/>
      <c r="OS136" s="262"/>
      <c r="OT136" s="262"/>
      <c r="OU136" s="262"/>
      <c r="OV136" s="262"/>
      <c r="OW136" s="262"/>
      <c r="OX136" s="262"/>
      <c r="OY136" s="262"/>
      <c r="OZ136" s="262"/>
      <c r="PA136" s="262"/>
      <c r="PB136" s="262"/>
      <c r="PC136" s="262"/>
      <c r="PD136" s="262"/>
      <c r="PE136" s="262"/>
      <c r="PF136" s="262"/>
      <c r="PG136" s="262"/>
      <c r="PH136" s="262"/>
    </row>
    <row r="137" spans="1:424" x14ac:dyDescent="0.35">
      <c r="A137"/>
      <c r="B137" s="427" t="s">
        <v>300</v>
      </c>
      <c r="C137" s="429" t="s">
        <v>301</v>
      </c>
      <c r="D137" s="39">
        <f>+I137/Valuation_Trended</f>
        <v>0</v>
      </c>
      <c r="E137" s="69">
        <f>$F$134</f>
        <v>2.5000000000000001E-2</v>
      </c>
      <c r="F137" s="145"/>
      <c r="G137" s="250">
        <f>IF($I$130=0,"",I137/$I$130)</f>
        <v>0</v>
      </c>
      <c r="H137" s="146">
        <v>4</v>
      </c>
      <c r="I137" s="477">
        <v>0</v>
      </c>
      <c r="J137"/>
      <c r="K137" s="208"/>
      <c r="L137" s="202">
        <f t="shared" si="459"/>
        <v>0</v>
      </c>
      <c r="M137" s="422">
        <f t="shared" si="459"/>
        <v>0</v>
      </c>
      <c r="N137" s="422">
        <f t="shared" si="459"/>
        <v>0</v>
      </c>
      <c r="O137" s="422">
        <f t="shared" si="459"/>
        <v>0</v>
      </c>
      <c r="P137" s="422">
        <f t="shared" si="459"/>
        <v>0</v>
      </c>
      <c r="Q137" s="422">
        <f t="shared" si="459"/>
        <v>0</v>
      </c>
      <c r="R137" s="422">
        <f t="shared" si="459"/>
        <v>0</v>
      </c>
      <c r="S137" s="422">
        <f t="shared" si="459"/>
        <v>0</v>
      </c>
      <c r="T137" s="422">
        <f t="shared" si="459"/>
        <v>0</v>
      </c>
      <c r="U137" s="422">
        <f t="shared" si="459"/>
        <v>0</v>
      </c>
      <c r="V137" s="422">
        <f t="shared" si="460"/>
        <v>0</v>
      </c>
      <c r="W137" s="422">
        <f t="shared" si="460"/>
        <v>0</v>
      </c>
      <c r="X137" s="422">
        <f t="shared" si="460"/>
        <v>0</v>
      </c>
      <c r="Y137" s="422">
        <f t="shared" si="460"/>
        <v>0</v>
      </c>
      <c r="Z137" s="422">
        <f t="shared" si="460"/>
        <v>0</v>
      </c>
      <c r="AA137" s="422">
        <f t="shared" si="460"/>
        <v>0</v>
      </c>
      <c r="AB137" s="422">
        <f t="shared" si="460"/>
        <v>0</v>
      </c>
      <c r="AC137" s="422">
        <f t="shared" si="460"/>
        <v>0</v>
      </c>
      <c r="AD137" s="422">
        <f t="shared" si="460"/>
        <v>0</v>
      </c>
      <c r="AE137" s="422">
        <f t="shared" si="460"/>
        <v>0</v>
      </c>
      <c r="AF137" s="422">
        <f t="shared" si="461"/>
        <v>0</v>
      </c>
      <c r="AG137" s="422">
        <f t="shared" si="461"/>
        <v>0</v>
      </c>
      <c r="AH137" s="422">
        <f t="shared" si="461"/>
        <v>0</v>
      </c>
      <c r="AI137" s="422">
        <f t="shared" si="461"/>
        <v>0</v>
      </c>
      <c r="AJ137" s="422">
        <f t="shared" si="461"/>
        <v>0</v>
      </c>
      <c r="AK137" s="422">
        <f t="shared" si="461"/>
        <v>0</v>
      </c>
      <c r="AL137" s="422">
        <f t="shared" si="461"/>
        <v>0</v>
      </c>
      <c r="AM137" s="422">
        <f t="shared" si="461"/>
        <v>0</v>
      </c>
      <c r="AN137" s="422">
        <f t="shared" si="461"/>
        <v>0</v>
      </c>
      <c r="AO137" s="422">
        <f t="shared" si="461"/>
        <v>0</v>
      </c>
      <c r="AP137" s="422">
        <f t="shared" si="462"/>
        <v>0</v>
      </c>
      <c r="AQ137" s="422">
        <f t="shared" si="462"/>
        <v>0</v>
      </c>
      <c r="AR137" s="422">
        <f t="shared" si="462"/>
        <v>0</v>
      </c>
      <c r="AS137" s="422">
        <f t="shared" si="462"/>
        <v>0</v>
      </c>
      <c r="AT137" s="422">
        <f t="shared" si="462"/>
        <v>0</v>
      </c>
      <c r="AU137" s="422">
        <f t="shared" si="462"/>
        <v>0</v>
      </c>
      <c r="AV137" s="422">
        <f t="shared" si="462"/>
        <v>0</v>
      </c>
      <c r="AW137" s="422">
        <f t="shared" si="462"/>
        <v>0</v>
      </c>
      <c r="AX137" s="422">
        <f t="shared" si="462"/>
        <v>0</v>
      </c>
      <c r="AY137" s="422">
        <f t="shared" si="462"/>
        <v>0</v>
      </c>
      <c r="AZ137" s="422">
        <f t="shared" si="463"/>
        <v>0</v>
      </c>
      <c r="BA137" s="422">
        <f t="shared" si="463"/>
        <v>0</v>
      </c>
      <c r="BB137" s="422">
        <f t="shared" si="463"/>
        <v>0</v>
      </c>
      <c r="BC137" s="422">
        <f t="shared" si="463"/>
        <v>0</v>
      </c>
      <c r="BD137" s="422">
        <f t="shared" si="463"/>
        <v>0</v>
      </c>
      <c r="BE137" s="422">
        <f t="shared" si="463"/>
        <v>0</v>
      </c>
      <c r="BF137" s="422">
        <f t="shared" si="463"/>
        <v>0</v>
      </c>
      <c r="BG137" s="422">
        <f t="shared" si="463"/>
        <v>0</v>
      </c>
      <c r="BH137" s="422">
        <f t="shared" si="463"/>
        <v>0</v>
      </c>
      <c r="BI137" s="422">
        <f t="shared" si="463"/>
        <v>0</v>
      </c>
      <c r="BJ137" s="422">
        <f t="shared" si="464"/>
        <v>0</v>
      </c>
      <c r="BK137" s="422">
        <f t="shared" si="464"/>
        <v>0</v>
      </c>
      <c r="BL137" s="422">
        <f t="shared" si="464"/>
        <v>0</v>
      </c>
      <c r="BM137" s="422">
        <f t="shared" si="464"/>
        <v>0</v>
      </c>
      <c r="BN137" s="422">
        <f t="shared" si="464"/>
        <v>0</v>
      </c>
      <c r="BO137" s="422">
        <f t="shared" si="464"/>
        <v>0</v>
      </c>
      <c r="BP137" s="422">
        <f t="shared" si="464"/>
        <v>0</v>
      </c>
      <c r="BQ137" s="422">
        <f t="shared" si="464"/>
        <v>0</v>
      </c>
      <c r="BR137" s="422">
        <f t="shared" si="464"/>
        <v>0</v>
      </c>
      <c r="BS137" s="422">
        <f t="shared" si="464"/>
        <v>0</v>
      </c>
      <c r="BT137" s="422">
        <f t="shared" si="465"/>
        <v>0</v>
      </c>
      <c r="BU137" s="422">
        <f t="shared" si="465"/>
        <v>0</v>
      </c>
      <c r="BV137" s="422">
        <f t="shared" si="465"/>
        <v>0</v>
      </c>
      <c r="BW137" s="422">
        <f t="shared" si="465"/>
        <v>0</v>
      </c>
      <c r="BX137" s="422">
        <f t="shared" si="465"/>
        <v>0</v>
      </c>
      <c r="BY137" s="422">
        <f t="shared" si="465"/>
        <v>0</v>
      </c>
      <c r="BZ137" s="422">
        <f t="shared" si="465"/>
        <v>0</v>
      </c>
      <c r="CA137" s="422">
        <f t="shared" si="465"/>
        <v>0</v>
      </c>
      <c r="CB137" s="422">
        <f t="shared" si="465"/>
        <v>0</v>
      </c>
      <c r="CC137" s="422">
        <f t="shared" si="465"/>
        <v>0</v>
      </c>
      <c r="CD137" s="422">
        <f t="shared" si="466"/>
        <v>0</v>
      </c>
      <c r="CE137" s="422">
        <f t="shared" si="466"/>
        <v>0</v>
      </c>
      <c r="CF137" s="422">
        <f t="shared" si="466"/>
        <v>0</v>
      </c>
      <c r="CG137" s="422">
        <f t="shared" si="466"/>
        <v>0</v>
      </c>
      <c r="CH137" s="422">
        <f t="shared" si="466"/>
        <v>0</v>
      </c>
      <c r="CI137" s="422">
        <f t="shared" si="466"/>
        <v>0</v>
      </c>
      <c r="CJ137" s="422">
        <f t="shared" si="466"/>
        <v>0</v>
      </c>
      <c r="CK137" s="422">
        <f t="shared" si="466"/>
        <v>0</v>
      </c>
      <c r="CL137" s="422">
        <f t="shared" si="466"/>
        <v>0</v>
      </c>
      <c r="CM137" s="422">
        <f t="shared" si="466"/>
        <v>0</v>
      </c>
      <c r="CN137" s="422">
        <f t="shared" si="467"/>
        <v>0</v>
      </c>
      <c r="CO137" s="422">
        <f t="shared" si="467"/>
        <v>0</v>
      </c>
      <c r="CP137" s="422">
        <f t="shared" si="467"/>
        <v>0</v>
      </c>
      <c r="CQ137" s="422">
        <f t="shared" si="467"/>
        <v>0</v>
      </c>
      <c r="CR137" s="422">
        <f t="shared" si="467"/>
        <v>0</v>
      </c>
      <c r="CS137" s="422">
        <f t="shared" si="467"/>
        <v>0</v>
      </c>
      <c r="CT137" s="422">
        <f t="shared" si="467"/>
        <v>0</v>
      </c>
      <c r="CU137" s="422">
        <f t="shared" si="467"/>
        <v>0</v>
      </c>
      <c r="CV137" s="422">
        <f t="shared" si="467"/>
        <v>0</v>
      </c>
      <c r="CW137" s="422">
        <f t="shared" si="467"/>
        <v>0</v>
      </c>
      <c r="CX137" s="422">
        <f t="shared" si="468"/>
        <v>0</v>
      </c>
      <c r="CY137" s="422">
        <f t="shared" si="468"/>
        <v>0</v>
      </c>
      <c r="CZ137" s="422">
        <f t="shared" si="468"/>
        <v>0</v>
      </c>
      <c r="DA137" s="422">
        <f t="shared" si="468"/>
        <v>0</v>
      </c>
      <c r="DB137" s="422">
        <f t="shared" si="468"/>
        <v>0</v>
      </c>
      <c r="DC137" s="422">
        <f t="shared" si="468"/>
        <v>0</v>
      </c>
      <c r="DD137" s="422">
        <f t="shared" si="468"/>
        <v>0</v>
      </c>
      <c r="DE137" s="422">
        <f t="shared" si="468"/>
        <v>0</v>
      </c>
      <c r="DF137" s="422">
        <f t="shared" si="468"/>
        <v>0</v>
      </c>
      <c r="DG137" s="422">
        <f t="shared" si="468"/>
        <v>0</v>
      </c>
      <c r="DH137" s="422">
        <f t="shared" si="469"/>
        <v>0</v>
      </c>
      <c r="DI137" s="422">
        <f t="shared" si="469"/>
        <v>0</v>
      </c>
      <c r="DJ137" s="422">
        <f t="shared" si="469"/>
        <v>0</v>
      </c>
      <c r="DK137" s="422">
        <f t="shared" si="469"/>
        <v>0</v>
      </c>
      <c r="DL137" s="422">
        <f t="shared" si="469"/>
        <v>0</v>
      </c>
      <c r="DM137" s="422">
        <f t="shared" si="469"/>
        <v>0</v>
      </c>
      <c r="DN137" s="422">
        <f t="shared" si="469"/>
        <v>0</v>
      </c>
      <c r="DO137" s="422">
        <f t="shared" si="469"/>
        <v>0</v>
      </c>
      <c r="DP137" s="422">
        <f t="shared" si="469"/>
        <v>0</v>
      </c>
      <c r="DQ137" s="422">
        <f t="shared" si="469"/>
        <v>0</v>
      </c>
      <c r="DR137" s="422">
        <f t="shared" si="470"/>
        <v>0</v>
      </c>
      <c r="DS137" s="422">
        <f t="shared" si="470"/>
        <v>0</v>
      </c>
      <c r="DT137" s="422">
        <f t="shared" si="470"/>
        <v>0</v>
      </c>
      <c r="DU137" s="422">
        <f t="shared" si="470"/>
        <v>0</v>
      </c>
      <c r="DV137" s="422">
        <f t="shared" si="470"/>
        <v>0</v>
      </c>
      <c r="DW137" s="422">
        <f t="shared" si="470"/>
        <v>0</v>
      </c>
      <c r="DX137" s="422">
        <f t="shared" si="470"/>
        <v>0</v>
      </c>
      <c r="DY137" s="422">
        <f t="shared" si="470"/>
        <v>0</v>
      </c>
      <c r="DZ137" s="422">
        <f t="shared" si="470"/>
        <v>0</v>
      </c>
      <c r="EA137" s="422">
        <f t="shared" si="470"/>
        <v>0</v>
      </c>
      <c r="EB137" s="422">
        <f t="shared" si="471"/>
        <v>0</v>
      </c>
      <c r="EC137" s="422">
        <f t="shared" si="471"/>
        <v>0</v>
      </c>
      <c r="ED137" s="422">
        <f t="shared" si="471"/>
        <v>0</v>
      </c>
      <c r="EE137" s="422">
        <f t="shared" si="471"/>
        <v>0</v>
      </c>
      <c r="EF137" s="422">
        <f t="shared" si="471"/>
        <v>0</v>
      </c>
      <c r="EG137" s="422">
        <f t="shared" si="471"/>
        <v>0</v>
      </c>
      <c r="EH137" s="422">
        <f t="shared" si="471"/>
        <v>0</v>
      </c>
      <c r="EI137" s="422">
        <f t="shared" si="471"/>
        <v>0</v>
      </c>
      <c r="EJ137" s="422">
        <f t="shared" si="471"/>
        <v>0</v>
      </c>
      <c r="EK137" s="422">
        <f t="shared" si="471"/>
        <v>0</v>
      </c>
      <c r="EL137" s="422">
        <f t="shared" si="471"/>
        <v>0</v>
      </c>
      <c r="EM137" s="422">
        <f t="shared" si="471"/>
        <v>0</v>
      </c>
      <c r="EN137" s="422">
        <f t="shared" si="471"/>
        <v>0</v>
      </c>
      <c r="EO137" s="208"/>
      <c r="EP137" s="486" t="s">
        <v>302</v>
      </c>
      <c r="EQ137" s="487"/>
      <c r="ER137" s="487"/>
      <c r="ES137" s="487"/>
      <c r="ET137" s="487"/>
      <c r="EU137" s="487"/>
      <c r="EV137" s="256">
        <f>IF(EV136&lt;1,0,IF(EV136&lt;2,$G$88,IF(EV136&lt;3,$G$89,IF(EV136&lt;4,$I$88,1))))</f>
        <v>0</v>
      </c>
      <c r="EW137" s="256">
        <f t="shared" ref="EW137:HH137" si="476">IF(EW136&lt;1,0,IF(EW136&lt;2,$G$88,IF(EW136&lt;3,$G$89,IF(EW136&lt;4,$I$88,1))))</f>
        <v>0</v>
      </c>
      <c r="EX137" s="256">
        <f t="shared" si="476"/>
        <v>0</v>
      </c>
      <c r="EY137" s="256">
        <f t="shared" si="476"/>
        <v>0</v>
      </c>
      <c r="EZ137" s="256">
        <f t="shared" si="476"/>
        <v>0</v>
      </c>
      <c r="FA137" s="256">
        <f t="shared" si="476"/>
        <v>0</v>
      </c>
      <c r="FB137" s="256">
        <f t="shared" si="476"/>
        <v>0</v>
      </c>
      <c r="FC137" s="256">
        <f t="shared" si="476"/>
        <v>0</v>
      </c>
      <c r="FD137" s="256">
        <f t="shared" si="476"/>
        <v>0</v>
      </c>
      <c r="FE137" s="256">
        <f t="shared" si="476"/>
        <v>0</v>
      </c>
      <c r="FF137" s="256">
        <f t="shared" si="476"/>
        <v>0</v>
      </c>
      <c r="FG137" s="256">
        <f t="shared" si="476"/>
        <v>0</v>
      </c>
      <c r="FH137" s="256">
        <f t="shared" si="476"/>
        <v>0</v>
      </c>
      <c r="FI137" s="256">
        <f t="shared" si="476"/>
        <v>0</v>
      </c>
      <c r="FJ137" s="256">
        <f t="shared" si="476"/>
        <v>0</v>
      </c>
      <c r="FK137" s="256">
        <f t="shared" si="476"/>
        <v>0</v>
      </c>
      <c r="FL137" s="256">
        <f t="shared" si="476"/>
        <v>0</v>
      </c>
      <c r="FM137" s="256">
        <f t="shared" si="476"/>
        <v>0</v>
      </c>
      <c r="FN137" s="256">
        <f t="shared" si="476"/>
        <v>0</v>
      </c>
      <c r="FO137" s="256">
        <f t="shared" si="476"/>
        <v>0</v>
      </c>
      <c r="FP137" s="256">
        <f t="shared" si="476"/>
        <v>0</v>
      </c>
      <c r="FQ137" s="256">
        <f t="shared" si="476"/>
        <v>0</v>
      </c>
      <c r="FR137" s="256">
        <f t="shared" si="476"/>
        <v>0</v>
      </c>
      <c r="FS137" s="256">
        <f t="shared" si="476"/>
        <v>0</v>
      </c>
      <c r="FT137" s="256">
        <f t="shared" si="476"/>
        <v>0</v>
      </c>
      <c r="FU137" s="256">
        <f t="shared" si="476"/>
        <v>0</v>
      </c>
      <c r="FV137" s="256">
        <f t="shared" si="476"/>
        <v>0</v>
      </c>
      <c r="FW137" s="256">
        <f t="shared" si="476"/>
        <v>0</v>
      </c>
      <c r="FX137" s="256">
        <f t="shared" si="476"/>
        <v>0</v>
      </c>
      <c r="FY137" s="256">
        <f t="shared" si="476"/>
        <v>0</v>
      </c>
      <c r="FZ137" s="256">
        <f t="shared" si="476"/>
        <v>0</v>
      </c>
      <c r="GA137" s="256">
        <f t="shared" si="476"/>
        <v>0</v>
      </c>
      <c r="GB137" s="256">
        <f t="shared" si="476"/>
        <v>0</v>
      </c>
      <c r="GC137" s="256">
        <f t="shared" si="476"/>
        <v>0</v>
      </c>
      <c r="GD137" s="256">
        <f t="shared" si="476"/>
        <v>0</v>
      </c>
      <c r="GE137" s="256">
        <f t="shared" si="476"/>
        <v>0</v>
      </c>
      <c r="GF137" s="256">
        <f t="shared" si="476"/>
        <v>0</v>
      </c>
      <c r="GG137" s="256">
        <f t="shared" si="476"/>
        <v>0.5</v>
      </c>
      <c r="GH137" s="256">
        <f t="shared" si="476"/>
        <v>0.5</v>
      </c>
      <c r="GI137" s="256">
        <f t="shared" si="476"/>
        <v>0.5</v>
      </c>
      <c r="GJ137" s="256">
        <f t="shared" si="476"/>
        <v>0.5</v>
      </c>
      <c r="GK137" s="256">
        <f t="shared" si="476"/>
        <v>0.5</v>
      </c>
      <c r="GL137" s="256">
        <f t="shared" si="476"/>
        <v>0.5</v>
      </c>
      <c r="GM137" s="256">
        <f t="shared" si="476"/>
        <v>0.5</v>
      </c>
      <c r="GN137" s="256">
        <f t="shared" si="476"/>
        <v>0.5</v>
      </c>
      <c r="GO137" s="256">
        <f t="shared" si="476"/>
        <v>0.5</v>
      </c>
      <c r="GP137" s="256">
        <f t="shared" si="476"/>
        <v>0.5</v>
      </c>
      <c r="GQ137" s="256">
        <f t="shared" si="476"/>
        <v>0.5</v>
      </c>
      <c r="GR137" s="256">
        <f t="shared" si="476"/>
        <v>0.5</v>
      </c>
      <c r="GS137" s="256">
        <f t="shared" si="476"/>
        <v>0.75</v>
      </c>
      <c r="GT137" s="256">
        <f t="shared" si="476"/>
        <v>0.75</v>
      </c>
      <c r="GU137" s="256">
        <f t="shared" si="476"/>
        <v>0.75</v>
      </c>
      <c r="GV137" s="256">
        <f t="shared" si="476"/>
        <v>0.75</v>
      </c>
      <c r="GW137" s="256">
        <f t="shared" si="476"/>
        <v>0.75</v>
      </c>
      <c r="GX137" s="256">
        <f t="shared" si="476"/>
        <v>0.75</v>
      </c>
      <c r="GY137" s="256">
        <f t="shared" si="476"/>
        <v>0.75</v>
      </c>
      <c r="GZ137" s="256">
        <f t="shared" si="476"/>
        <v>0.75</v>
      </c>
      <c r="HA137" s="256">
        <f t="shared" si="476"/>
        <v>0.75</v>
      </c>
      <c r="HB137" s="256">
        <f t="shared" si="476"/>
        <v>0.75</v>
      </c>
      <c r="HC137" s="256">
        <f t="shared" si="476"/>
        <v>0.75</v>
      </c>
      <c r="HD137" s="256">
        <f t="shared" si="476"/>
        <v>0.75</v>
      </c>
      <c r="HE137" s="256">
        <f t="shared" si="476"/>
        <v>1</v>
      </c>
      <c r="HF137" s="256">
        <f t="shared" si="476"/>
        <v>1</v>
      </c>
      <c r="HG137" s="256">
        <f t="shared" si="476"/>
        <v>1</v>
      </c>
      <c r="HH137" s="256">
        <f t="shared" si="476"/>
        <v>1</v>
      </c>
      <c r="HI137" s="256">
        <f t="shared" ref="HI137:JT137" si="477">IF(HI136&lt;1,0,IF(HI136&lt;2,$G$88,IF(HI136&lt;3,$G$89,IF(HI136&lt;4,$I$88,1))))</f>
        <v>1</v>
      </c>
      <c r="HJ137" s="256">
        <f t="shared" si="477"/>
        <v>1</v>
      </c>
      <c r="HK137" s="256">
        <f t="shared" si="477"/>
        <v>1</v>
      </c>
      <c r="HL137" s="256">
        <f t="shared" si="477"/>
        <v>1</v>
      </c>
      <c r="HM137" s="256">
        <f t="shared" si="477"/>
        <v>1</v>
      </c>
      <c r="HN137" s="256">
        <f t="shared" si="477"/>
        <v>1</v>
      </c>
      <c r="HO137" s="256">
        <f t="shared" si="477"/>
        <v>1</v>
      </c>
      <c r="HP137" s="256">
        <f t="shared" si="477"/>
        <v>1</v>
      </c>
      <c r="HQ137" s="256">
        <f t="shared" si="477"/>
        <v>1</v>
      </c>
      <c r="HR137" s="256">
        <f t="shared" si="477"/>
        <v>1</v>
      </c>
      <c r="HS137" s="256">
        <f t="shared" si="477"/>
        <v>1</v>
      </c>
      <c r="HT137" s="256">
        <f t="shared" si="477"/>
        <v>1</v>
      </c>
      <c r="HU137" s="256">
        <f t="shared" si="477"/>
        <v>1</v>
      </c>
      <c r="HV137" s="256">
        <f t="shared" si="477"/>
        <v>1</v>
      </c>
      <c r="HW137" s="256">
        <f t="shared" si="477"/>
        <v>1</v>
      </c>
      <c r="HX137" s="256">
        <f t="shared" si="477"/>
        <v>1</v>
      </c>
      <c r="HY137" s="256">
        <f t="shared" si="477"/>
        <v>1</v>
      </c>
      <c r="HZ137" s="256">
        <f t="shared" si="477"/>
        <v>1</v>
      </c>
      <c r="IA137" s="256">
        <f t="shared" si="477"/>
        <v>1</v>
      </c>
      <c r="IB137" s="256">
        <f t="shared" si="477"/>
        <v>1</v>
      </c>
      <c r="IC137" s="256">
        <f t="shared" si="477"/>
        <v>1</v>
      </c>
      <c r="ID137" s="256">
        <f t="shared" si="477"/>
        <v>1</v>
      </c>
      <c r="IE137" s="256">
        <f t="shared" si="477"/>
        <v>1</v>
      </c>
      <c r="IF137" s="256">
        <f t="shared" si="477"/>
        <v>1</v>
      </c>
      <c r="IG137" s="256">
        <f t="shared" si="477"/>
        <v>1</v>
      </c>
      <c r="IH137" s="256">
        <f t="shared" si="477"/>
        <v>1</v>
      </c>
      <c r="II137" s="256">
        <f t="shared" si="477"/>
        <v>1</v>
      </c>
      <c r="IJ137" s="256">
        <f t="shared" si="477"/>
        <v>1</v>
      </c>
      <c r="IK137" s="256">
        <f t="shared" si="477"/>
        <v>1</v>
      </c>
      <c r="IL137" s="256">
        <f t="shared" si="477"/>
        <v>1</v>
      </c>
      <c r="IM137" s="256">
        <f t="shared" si="477"/>
        <v>1</v>
      </c>
      <c r="IN137" s="256">
        <f t="shared" si="477"/>
        <v>1</v>
      </c>
      <c r="IO137" s="256">
        <f t="shared" si="477"/>
        <v>1</v>
      </c>
      <c r="IP137" s="256">
        <f t="shared" si="477"/>
        <v>1</v>
      </c>
      <c r="IQ137" s="256">
        <f t="shared" si="477"/>
        <v>1</v>
      </c>
      <c r="IR137" s="256">
        <f t="shared" si="477"/>
        <v>1</v>
      </c>
      <c r="IS137" s="256">
        <f t="shared" si="477"/>
        <v>1</v>
      </c>
      <c r="IT137" s="256">
        <f t="shared" si="477"/>
        <v>1</v>
      </c>
      <c r="IU137" s="256">
        <f t="shared" si="477"/>
        <v>1</v>
      </c>
      <c r="IV137" s="256">
        <f t="shared" si="477"/>
        <v>1</v>
      </c>
      <c r="IW137" s="256">
        <f t="shared" si="477"/>
        <v>1</v>
      </c>
      <c r="IX137" s="256">
        <f t="shared" si="477"/>
        <v>1</v>
      </c>
      <c r="IY137" s="256">
        <f t="shared" si="477"/>
        <v>1</v>
      </c>
      <c r="IZ137" s="256">
        <f t="shared" si="477"/>
        <v>1</v>
      </c>
      <c r="JA137" s="256">
        <f t="shared" si="477"/>
        <v>1</v>
      </c>
      <c r="JB137" s="256">
        <f t="shared" si="477"/>
        <v>1</v>
      </c>
      <c r="JC137" s="256">
        <f t="shared" si="477"/>
        <v>1</v>
      </c>
      <c r="JD137" s="256">
        <f t="shared" si="477"/>
        <v>1</v>
      </c>
      <c r="JE137" s="256">
        <f t="shared" si="477"/>
        <v>1</v>
      </c>
      <c r="JF137" s="256">
        <f t="shared" si="477"/>
        <v>1</v>
      </c>
      <c r="JG137" s="256">
        <f t="shared" si="477"/>
        <v>1</v>
      </c>
      <c r="JH137" s="256">
        <f t="shared" si="477"/>
        <v>1</v>
      </c>
      <c r="JI137" s="256">
        <f t="shared" si="477"/>
        <v>1</v>
      </c>
      <c r="JJ137" s="256">
        <f t="shared" si="477"/>
        <v>1</v>
      </c>
      <c r="JK137" s="256">
        <f t="shared" si="477"/>
        <v>1</v>
      </c>
      <c r="JL137" s="256">
        <f t="shared" si="477"/>
        <v>1</v>
      </c>
      <c r="JM137" s="256">
        <f t="shared" si="477"/>
        <v>1</v>
      </c>
      <c r="JN137" s="256">
        <f t="shared" si="477"/>
        <v>1</v>
      </c>
      <c r="JO137" s="256">
        <f t="shared" si="477"/>
        <v>1</v>
      </c>
      <c r="JP137" s="256">
        <f t="shared" si="477"/>
        <v>1</v>
      </c>
      <c r="JQ137" s="256">
        <f t="shared" si="477"/>
        <v>1</v>
      </c>
      <c r="JR137" s="256">
        <f t="shared" si="477"/>
        <v>1</v>
      </c>
      <c r="JS137" s="256">
        <f t="shared" si="477"/>
        <v>1</v>
      </c>
      <c r="JT137" s="256">
        <f t="shared" si="477"/>
        <v>1</v>
      </c>
      <c r="JU137" s="256">
        <f>IF(JU136&lt;1,0,IF(JU136&lt;2,$G$88,IF(JU136&lt;3,$G$89,IF(JU136&lt;4,$I$88,1))))</f>
        <v>1</v>
      </c>
      <c r="JV137" s="256">
        <f>IF(JV136&lt;1,0,IF(JV136&lt;2,$G$88,IF(JV136&lt;3,$G$89,IF(JV136&lt;4,$I$88,1))))</f>
        <v>1</v>
      </c>
      <c r="JW137" s="256">
        <f>IF(JW136&lt;1,0,IF(JW136&lt;2,$G$88,IF(JW136&lt;3,$G$89,IF(JW136&lt;4,$I$88,1))))</f>
        <v>1</v>
      </c>
      <c r="JX137" s="256">
        <f>IF(JX136&lt;1,0,IF(JX136&lt;2,$G$88,IF(JX136&lt;3,$G$89,IF(JX136&lt;4,$I$88,1))))</f>
        <v>1</v>
      </c>
      <c r="JY137"/>
      <c r="JZ137" s="466"/>
      <c r="KA137" s="466"/>
      <c r="KB137" s="466"/>
      <c r="KC137" s="466"/>
      <c r="KD137" s="466"/>
      <c r="KE137" s="466"/>
      <c r="KF137" s="466"/>
      <c r="KG137" s="466"/>
      <c r="KH137" s="466"/>
      <c r="KI137" s="466"/>
      <c r="KJ137" s="466"/>
      <c r="KK137" s="466"/>
      <c r="KL137" s="466"/>
      <c r="KM137" s="466"/>
      <c r="KN137" s="466"/>
      <c r="KO137" s="466"/>
      <c r="KP137" s="466"/>
      <c r="KQ137" s="466"/>
      <c r="KR137" s="466"/>
      <c r="KS137" s="466"/>
      <c r="KT137" s="466"/>
      <c r="KU137" s="466"/>
      <c r="KV137" s="466"/>
      <c r="KW137" s="466"/>
      <c r="KX137" s="466"/>
      <c r="KY137" s="466"/>
      <c r="KZ137" s="466"/>
      <c r="LA137" s="466"/>
      <c r="LB137" s="466"/>
      <c r="LC137" s="466"/>
      <c r="LD137" s="466"/>
      <c r="LE137" s="466"/>
      <c r="LF137" s="466"/>
      <c r="LG137" s="466"/>
      <c r="LH137" s="466"/>
      <c r="LI137" s="466"/>
      <c r="LJ137" s="466"/>
      <c r="LK137" s="466"/>
      <c r="LL137" s="466"/>
      <c r="LM137" s="466"/>
      <c r="LN137" s="466"/>
      <c r="LO137" s="466"/>
      <c r="LP137" s="466"/>
      <c r="LQ137" s="466"/>
      <c r="LR137" s="466"/>
      <c r="LS137" s="466"/>
      <c r="LT137" s="466"/>
      <c r="LU137" s="466"/>
      <c r="LV137" s="466"/>
      <c r="LW137" s="466"/>
      <c r="LX137" s="466"/>
      <c r="LY137" s="466"/>
      <c r="LZ137" s="466"/>
      <c r="MA137" s="466"/>
      <c r="MB137" s="466"/>
      <c r="MC137" s="466"/>
      <c r="MD137" s="466"/>
      <c r="ME137" s="466"/>
      <c r="MF137" s="466"/>
      <c r="MG137" s="466"/>
      <c r="MH137" s="466"/>
      <c r="MI137" s="466"/>
      <c r="MJ137" s="466"/>
      <c r="MK137" s="466"/>
      <c r="ML137" s="466"/>
      <c r="MM137" s="466"/>
      <c r="MN137" s="466"/>
      <c r="MO137" s="466"/>
      <c r="MP137" s="466"/>
      <c r="MQ137" s="466"/>
      <c r="MR137" s="466"/>
      <c r="MS137" s="466"/>
      <c r="MT137" s="466"/>
      <c r="MU137" s="466"/>
      <c r="MV137" s="466"/>
      <c r="MW137" s="466"/>
      <c r="MX137" s="466"/>
      <c r="MY137" s="466"/>
      <c r="MZ137" s="466"/>
      <c r="NA137" s="466"/>
      <c r="NB137" s="466"/>
      <c r="NC137" s="466"/>
      <c r="ND137" s="466"/>
      <c r="NE137" s="466"/>
      <c r="NF137" s="466"/>
      <c r="NG137" s="466"/>
      <c r="NH137" s="466"/>
      <c r="NI137" s="466"/>
      <c r="NJ137" s="466"/>
      <c r="NK137" s="466"/>
      <c r="NL137" s="466"/>
      <c r="NM137" s="466"/>
      <c r="NN137" s="466"/>
      <c r="NO137" s="466"/>
      <c r="NP137" s="466"/>
      <c r="NQ137" s="466"/>
      <c r="NR137" s="466"/>
      <c r="NS137" s="466"/>
      <c r="NT137" s="466"/>
      <c r="NU137" s="466"/>
      <c r="NV137" s="466"/>
      <c r="NW137" s="466"/>
      <c r="NX137" s="466"/>
      <c r="NY137" s="466"/>
      <c r="NZ137" s="466"/>
      <c r="OA137" s="466"/>
      <c r="OB137" s="466"/>
      <c r="OC137" s="466"/>
      <c r="OD137" s="466"/>
      <c r="OE137" s="466"/>
      <c r="OF137" s="466"/>
      <c r="OG137" s="466"/>
      <c r="OH137" s="466"/>
      <c r="OI137" s="466"/>
      <c r="OJ137" s="466"/>
      <c r="OK137" s="466"/>
      <c r="OL137" s="466"/>
      <c r="OM137" s="466"/>
      <c r="ON137" s="466"/>
      <c r="OO137" s="466"/>
      <c r="OP137" s="466"/>
      <c r="OQ137" s="466"/>
      <c r="OR137" s="466"/>
      <c r="OS137" s="466"/>
      <c r="OT137" s="466"/>
      <c r="OU137" s="466"/>
      <c r="OV137" s="466"/>
      <c r="OW137" s="466"/>
      <c r="OX137" s="466"/>
      <c r="OY137" s="466"/>
      <c r="OZ137" s="466"/>
      <c r="PA137" s="466"/>
      <c r="PB137" s="466"/>
      <c r="PC137" s="466"/>
      <c r="PD137" s="466"/>
      <c r="PE137" s="466"/>
      <c r="PF137" s="466"/>
      <c r="PG137" s="466"/>
      <c r="PH137" s="466"/>
    </row>
    <row r="138" spans="1:424" x14ac:dyDescent="0.35">
      <c r="A138"/>
      <c r="B138" s="34" t="s">
        <v>303</v>
      </c>
      <c r="C138" s="41">
        <f>IF(I138=0,"",SUMPRODUCT(F134:F137,I134:I137)/I138)</f>
        <v>2.5000000000000001E-2</v>
      </c>
      <c r="D138" s="41"/>
      <c r="E138" s="41"/>
      <c r="F138" s="147"/>
      <c r="G138" s="57">
        <f>IF($I$130=0,"",I138/$I$130)</f>
        <v>6.7341083921205303E-2</v>
      </c>
      <c r="H138" s="148">
        <f t="array" ref="H138">I138/Units_Ind</f>
        <v>41.904711317697256</v>
      </c>
      <c r="I138" s="445">
        <f>SUM(I134:I137)</f>
        <v>3288278.6208900046</v>
      </c>
      <c r="J138"/>
      <c r="K138" s="223" t="s">
        <v>304</v>
      </c>
      <c r="L138" s="75">
        <f t="shared" ref="L138:AQ138" si="478">SUM(L134:L137)</f>
        <v>0</v>
      </c>
      <c r="M138" s="417">
        <f t="shared" si="478"/>
        <v>0</v>
      </c>
      <c r="N138" s="417">
        <f t="shared" si="478"/>
        <v>0</v>
      </c>
      <c r="O138" s="417">
        <f t="shared" si="478"/>
        <v>0</v>
      </c>
      <c r="P138" s="417">
        <f t="shared" si="478"/>
        <v>0</v>
      </c>
      <c r="Q138" s="417">
        <f t="shared" si="478"/>
        <v>0</v>
      </c>
      <c r="R138" s="417">
        <f t="shared" si="478"/>
        <v>0</v>
      </c>
      <c r="S138" s="417">
        <f t="shared" si="478"/>
        <v>0</v>
      </c>
      <c r="T138" s="417">
        <f t="shared" si="478"/>
        <v>0</v>
      </c>
      <c r="U138" s="417">
        <f t="shared" si="478"/>
        <v>0</v>
      </c>
      <c r="V138" s="417">
        <f t="shared" si="478"/>
        <v>0</v>
      </c>
      <c r="W138" s="417">
        <f t="shared" si="478"/>
        <v>0</v>
      </c>
      <c r="X138" s="417">
        <f t="shared" si="478"/>
        <v>0</v>
      </c>
      <c r="Y138" s="417">
        <f t="shared" si="478"/>
        <v>0</v>
      </c>
      <c r="Z138" s="417">
        <f t="shared" si="478"/>
        <v>0</v>
      </c>
      <c r="AA138" s="417">
        <f t="shared" si="478"/>
        <v>0</v>
      </c>
      <c r="AB138" s="417">
        <f t="shared" si="478"/>
        <v>0</v>
      </c>
      <c r="AC138" s="417">
        <f t="shared" si="478"/>
        <v>0</v>
      </c>
      <c r="AD138" s="417">
        <f t="shared" si="478"/>
        <v>0</v>
      </c>
      <c r="AE138" s="417">
        <f t="shared" si="478"/>
        <v>0</v>
      </c>
      <c r="AF138" s="417">
        <f t="shared" si="478"/>
        <v>0</v>
      </c>
      <c r="AG138" s="417">
        <f t="shared" si="478"/>
        <v>0</v>
      </c>
      <c r="AH138" s="417">
        <f t="shared" si="478"/>
        <v>0</v>
      </c>
      <c r="AI138" s="417">
        <f t="shared" si="478"/>
        <v>0</v>
      </c>
      <c r="AJ138" s="417">
        <f t="shared" si="478"/>
        <v>0</v>
      </c>
      <c r="AK138" s="417">
        <f t="shared" si="478"/>
        <v>0</v>
      </c>
      <c r="AL138" s="417">
        <f t="shared" si="478"/>
        <v>0</v>
      </c>
      <c r="AM138" s="417">
        <f t="shared" si="478"/>
        <v>0</v>
      </c>
      <c r="AN138" s="417">
        <f t="shared" si="478"/>
        <v>0</v>
      </c>
      <c r="AO138" s="417">
        <f t="shared" si="478"/>
        <v>0</v>
      </c>
      <c r="AP138" s="417">
        <f t="shared" si="478"/>
        <v>0</v>
      </c>
      <c r="AQ138" s="417">
        <f t="shared" si="478"/>
        <v>0</v>
      </c>
      <c r="AR138" s="417">
        <f t="shared" ref="AR138:BW138" si="479">SUM(AR134:AR137)</f>
        <v>0</v>
      </c>
      <c r="AS138" s="417">
        <f t="shared" si="479"/>
        <v>0</v>
      </c>
      <c r="AT138" s="417">
        <f t="shared" si="479"/>
        <v>0</v>
      </c>
      <c r="AU138" s="417">
        <f t="shared" si="479"/>
        <v>0</v>
      </c>
      <c r="AV138" s="417">
        <f t="shared" si="479"/>
        <v>0</v>
      </c>
      <c r="AW138" s="417">
        <f t="shared" si="479"/>
        <v>0</v>
      </c>
      <c r="AX138" s="417">
        <f t="shared" si="479"/>
        <v>22835.268200625029</v>
      </c>
      <c r="AY138" s="417">
        <f t="shared" si="479"/>
        <v>45670.536401250058</v>
      </c>
      <c r="AZ138" s="417">
        <f t="shared" si="479"/>
        <v>68505.80460187509</v>
      </c>
      <c r="BA138" s="417">
        <f t="shared" si="479"/>
        <v>91341.072802500115</v>
      </c>
      <c r="BB138" s="417">
        <f t="shared" si="479"/>
        <v>114176.34100312516</v>
      </c>
      <c r="BC138" s="417">
        <f t="shared" si="479"/>
        <v>137011.60920375018</v>
      </c>
      <c r="BD138" s="417">
        <f t="shared" si="479"/>
        <v>159846.87740437523</v>
      </c>
      <c r="BE138" s="417">
        <f t="shared" si="479"/>
        <v>182682.14560500023</v>
      </c>
      <c r="BF138" s="417">
        <f t="shared" si="479"/>
        <v>205517.41380562529</v>
      </c>
      <c r="BG138" s="417">
        <f t="shared" si="479"/>
        <v>228352.68200625031</v>
      </c>
      <c r="BH138" s="417">
        <f t="shared" si="479"/>
        <v>251187.95020687531</v>
      </c>
      <c r="BI138" s="417">
        <f t="shared" si="479"/>
        <v>280873.79886768787</v>
      </c>
      <c r="BJ138" s="417">
        <f t="shared" si="479"/>
        <v>280873.79886768787</v>
      </c>
      <c r="BK138" s="417">
        <f t="shared" si="479"/>
        <v>280873.79886768787</v>
      </c>
      <c r="BL138" s="417">
        <f t="shared" si="479"/>
        <v>280873.79886768787</v>
      </c>
      <c r="BM138" s="417">
        <f t="shared" si="479"/>
        <v>280873.79886768787</v>
      </c>
      <c r="BN138" s="417">
        <f t="shared" si="479"/>
        <v>280873.79886768787</v>
      </c>
      <c r="BO138" s="417">
        <f t="shared" si="479"/>
        <v>280873.79886768787</v>
      </c>
      <c r="BP138" s="417">
        <f t="shared" si="479"/>
        <v>280873.79886768787</v>
      </c>
      <c r="BQ138" s="417">
        <f t="shared" si="479"/>
        <v>280873.79886768787</v>
      </c>
      <c r="BR138" s="417">
        <f t="shared" si="479"/>
        <v>280873.79886768787</v>
      </c>
      <c r="BS138" s="417">
        <f t="shared" si="479"/>
        <v>280873.79886768787</v>
      </c>
      <c r="BT138" s="417">
        <f t="shared" si="479"/>
        <v>280873.79886768787</v>
      </c>
      <c r="BU138" s="417">
        <f t="shared" si="479"/>
        <v>287895.64383938006</v>
      </c>
      <c r="BV138" s="417">
        <f t="shared" si="479"/>
        <v>287895.64383938006</v>
      </c>
      <c r="BW138" s="417">
        <f t="shared" si="479"/>
        <v>287895.64383938006</v>
      </c>
      <c r="BX138" s="417">
        <f t="shared" ref="BX138:DC138" si="480">SUM(BX134:BX137)</f>
        <v>287895.64383938006</v>
      </c>
      <c r="BY138" s="417">
        <f t="shared" si="480"/>
        <v>287895.64383938006</v>
      </c>
      <c r="BZ138" s="417">
        <f t="shared" si="480"/>
        <v>287895.64383938006</v>
      </c>
      <c r="CA138" s="417">
        <f t="shared" si="480"/>
        <v>287895.64383938006</v>
      </c>
      <c r="CB138" s="417">
        <f t="shared" si="480"/>
        <v>287895.64383938006</v>
      </c>
      <c r="CC138" s="417">
        <f t="shared" si="480"/>
        <v>287895.64383938006</v>
      </c>
      <c r="CD138" s="417">
        <f t="shared" si="480"/>
        <v>287895.64383938006</v>
      </c>
      <c r="CE138" s="417">
        <f t="shared" si="480"/>
        <v>287895.64383938006</v>
      </c>
      <c r="CF138" s="417">
        <f t="shared" si="480"/>
        <v>287895.64383938006</v>
      </c>
      <c r="CG138" s="417">
        <f t="shared" si="480"/>
        <v>295093.03493536456</v>
      </c>
      <c r="CH138" s="417">
        <f t="shared" si="480"/>
        <v>295093.03493536456</v>
      </c>
      <c r="CI138" s="417">
        <f t="shared" si="480"/>
        <v>295093.03493536456</v>
      </c>
      <c r="CJ138" s="417">
        <f t="shared" si="480"/>
        <v>295093.03493536456</v>
      </c>
      <c r="CK138" s="417">
        <f t="shared" si="480"/>
        <v>295093.03493536456</v>
      </c>
      <c r="CL138" s="417">
        <f t="shared" si="480"/>
        <v>295093.03493536456</v>
      </c>
      <c r="CM138" s="417">
        <f t="shared" si="480"/>
        <v>295093.03493536456</v>
      </c>
      <c r="CN138" s="417">
        <f t="shared" si="480"/>
        <v>295093.03493536456</v>
      </c>
      <c r="CO138" s="417">
        <f t="shared" si="480"/>
        <v>295093.03493536456</v>
      </c>
      <c r="CP138" s="417">
        <f t="shared" si="480"/>
        <v>295093.03493536456</v>
      </c>
      <c r="CQ138" s="417">
        <f t="shared" si="480"/>
        <v>295093.03493536456</v>
      </c>
      <c r="CR138" s="417">
        <f t="shared" si="480"/>
        <v>295093.03493536456</v>
      </c>
      <c r="CS138" s="417">
        <f t="shared" si="480"/>
        <v>302470.36080874864</v>
      </c>
      <c r="CT138" s="417">
        <f t="shared" si="480"/>
        <v>302470.36080874864</v>
      </c>
      <c r="CU138" s="417">
        <f t="shared" si="480"/>
        <v>302470.36080874864</v>
      </c>
      <c r="CV138" s="417">
        <f t="shared" si="480"/>
        <v>302470.36080874864</v>
      </c>
      <c r="CW138" s="417">
        <f t="shared" si="480"/>
        <v>302470.36080874864</v>
      </c>
      <c r="CX138" s="417">
        <f t="shared" si="480"/>
        <v>302470.36080874864</v>
      </c>
      <c r="CY138" s="417">
        <f t="shared" si="480"/>
        <v>302470.36080874864</v>
      </c>
      <c r="CZ138" s="417">
        <f t="shared" si="480"/>
        <v>302470.36080874864</v>
      </c>
      <c r="DA138" s="417">
        <f t="shared" si="480"/>
        <v>302470.36080874864</v>
      </c>
      <c r="DB138" s="417">
        <f t="shared" si="480"/>
        <v>302470.36080874864</v>
      </c>
      <c r="DC138" s="417">
        <f t="shared" si="480"/>
        <v>302470.36080874864</v>
      </c>
      <c r="DD138" s="417">
        <f t="shared" ref="DD138:EI138" si="481">SUM(DD134:DD137)</f>
        <v>302470.36080874864</v>
      </c>
      <c r="DE138" s="417">
        <f t="shared" si="481"/>
        <v>310032.11982896732</v>
      </c>
      <c r="DF138" s="417">
        <f t="shared" si="481"/>
        <v>310032.11982896732</v>
      </c>
      <c r="DG138" s="417">
        <f t="shared" si="481"/>
        <v>310032.11982896732</v>
      </c>
      <c r="DH138" s="417">
        <f t="shared" si="481"/>
        <v>310032.11982896732</v>
      </c>
      <c r="DI138" s="417">
        <f t="shared" si="481"/>
        <v>310032.11982896732</v>
      </c>
      <c r="DJ138" s="417">
        <f t="shared" si="481"/>
        <v>310032.11982896732</v>
      </c>
      <c r="DK138" s="417">
        <f t="shared" si="481"/>
        <v>310032.11982896732</v>
      </c>
      <c r="DL138" s="417">
        <f t="shared" si="481"/>
        <v>310032.11982896732</v>
      </c>
      <c r="DM138" s="417">
        <f t="shared" si="481"/>
        <v>310032.11982896732</v>
      </c>
      <c r="DN138" s="417">
        <f t="shared" si="481"/>
        <v>310032.11982896732</v>
      </c>
      <c r="DO138" s="417">
        <f t="shared" si="481"/>
        <v>310032.11982896732</v>
      </c>
      <c r="DP138" s="417">
        <f t="shared" si="481"/>
        <v>310032.11982896732</v>
      </c>
      <c r="DQ138" s="417">
        <f t="shared" si="481"/>
        <v>317782.92282469146</v>
      </c>
      <c r="DR138" s="417">
        <f t="shared" si="481"/>
        <v>317782.92282469146</v>
      </c>
      <c r="DS138" s="417">
        <f t="shared" si="481"/>
        <v>317782.92282469146</v>
      </c>
      <c r="DT138" s="417">
        <f t="shared" si="481"/>
        <v>317782.92282469146</v>
      </c>
      <c r="DU138" s="417">
        <f t="shared" si="481"/>
        <v>317782.92282469146</v>
      </c>
      <c r="DV138" s="417">
        <f t="shared" si="481"/>
        <v>317782.92282469146</v>
      </c>
      <c r="DW138" s="417">
        <f t="shared" si="481"/>
        <v>317782.92282469146</v>
      </c>
      <c r="DX138" s="417">
        <f t="shared" si="481"/>
        <v>317782.92282469146</v>
      </c>
      <c r="DY138" s="417">
        <f t="shared" si="481"/>
        <v>317782.92282469146</v>
      </c>
      <c r="DZ138" s="417">
        <f t="shared" si="481"/>
        <v>317782.92282469146</v>
      </c>
      <c r="EA138" s="417">
        <f t="shared" si="481"/>
        <v>317782.92282469146</v>
      </c>
      <c r="EB138" s="417">
        <f t="shared" si="481"/>
        <v>317782.92282469146</v>
      </c>
      <c r="EC138" s="417">
        <f t="shared" si="481"/>
        <v>325727.49589530879</v>
      </c>
      <c r="ED138" s="417">
        <f t="shared" si="481"/>
        <v>325727.49589530879</v>
      </c>
      <c r="EE138" s="417">
        <f t="shared" si="481"/>
        <v>325727.49589530879</v>
      </c>
      <c r="EF138" s="417">
        <f t="shared" si="481"/>
        <v>325727.49589530879</v>
      </c>
      <c r="EG138" s="417">
        <f t="shared" si="481"/>
        <v>325727.49589530879</v>
      </c>
      <c r="EH138" s="417">
        <f t="shared" si="481"/>
        <v>325727.49589530879</v>
      </c>
      <c r="EI138" s="417">
        <f t="shared" si="481"/>
        <v>325727.49589530879</v>
      </c>
      <c r="EJ138" s="417">
        <f t="shared" ref="EJ138:EN138" si="482">SUM(EJ134:EJ137)</f>
        <v>325727.49589530879</v>
      </c>
      <c r="EK138" s="417">
        <f t="shared" si="482"/>
        <v>325727.49589530879</v>
      </c>
      <c r="EL138" s="417">
        <f t="shared" si="482"/>
        <v>325727.49589530879</v>
      </c>
      <c r="EM138" s="417">
        <f t="shared" si="482"/>
        <v>325727.49589530879</v>
      </c>
      <c r="EN138" s="417">
        <f t="shared" si="482"/>
        <v>325727.49589530879</v>
      </c>
      <c r="EO138" s="208"/>
      <c r="EP138" s="219"/>
      <c r="EQ138" s="18" t="s">
        <v>305</v>
      </c>
      <c r="ER138" s="20">
        <f>COUNTA($B$134:$B$137)</f>
        <v>4</v>
      </c>
      <c r="ES138" s="465"/>
      <c r="ET138" s="465"/>
      <c r="EU138" s="465"/>
      <c r="EV138" s="465"/>
      <c r="EW138" s="465"/>
      <c r="EX138" s="465"/>
      <c r="EY138" s="465"/>
      <c r="EZ138" s="465"/>
      <c r="FA138" s="465"/>
      <c r="FB138" s="465"/>
      <c r="FC138" s="465"/>
      <c r="FD138" s="465"/>
      <c r="FE138" s="465"/>
      <c r="FF138" s="465"/>
      <c r="FG138" s="465"/>
      <c r="FH138" s="465"/>
      <c r="FI138" s="465"/>
      <c r="FJ138" s="465"/>
      <c r="FK138" s="465"/>
      <c r="FL138" s="465"/>
      <c r="FM138" s="465"/>
      <c r="FN138" s="465"/>
      <c r="FO138" s="465"/>
      <c r="FP138" s="465"/>
      <c r="FQ138" s="465"/>
      <c r="FR138" s="465"/>
      <c r="FS138" s="465"/>
      <c r="FT138" s="465"/>
      <c r="FU138" s="465"/>
      <c r="FV138" s="465"/>
      <c r="FW138" s="465"/>
      <c r="FX138" s="465"/>
      <c r="FY138" s="465"/>
      <c r="FZ138" s="465"/>
      <c r="GA138" s="465"/>
      <c r="GB138" s="465"/>
      <c r="GC138" s="465"/>
      <c r="GD138" s="465"/>
      <c r="GE138" s="465"/>
      <c r="GF138" s="465"/>
      <c r="GG138" s="465"/>
      <c r="GH138" s="465"/>
      <c r="GI138" s="465"/>
      <c r="GJ138" s="465"/>
      <c r="GK138" s="465"/>
      <c r="GL138" s="465"/>
      <c r="GM138" s="465"/>
      <c r="GN138" s="465"/>
      <c r="GO138" s="465"/>
      <c r="GP138" s="465"/>
      <c r="GQ138" s="465"/>
      <c r="GR138" s="465"/>
      <c r="GS138" s="465"/>
      <c r="GT138" s="465"/>
      <c r="GU138" s="465"/>
      <c r="GV138" s="465"/>
      <c r="GW138" s="465"/>
      <c r="GX138" s="465"/>
      <c r="GY138" s="465"/>
      <c r="GZ138" s="465"/>
      <c r="HA138" s="465"/>
      <c r="HB138" s="465"/>
      <c r="HC138" s="465"/>
      <c r="HD138" s="465"/>
      <c r="HE138" s="465"/>
      <c r="HF138" s="465"/>
      <c r="HG138" s="465"/>
      <c r="HH138" s="465"/>
      <c r="HI138" s="465"/>
      <c r="HJ138" s="465"/>
      <c r="HK138" s="465"/>
      <c r="HL138" s="465"/>
      <c r="HM138" s="465"/>
      <c r="HN138" s="465"/>
      <c r="HO138" s="465"/>
      <c r="HP138" s="465"/>
      <c r="HQ138" s="465"/>
      <c r="HR138" s="465"/>
      <c r="HS138" s="465"/>
      <c r="HT138" s="465"/>
      <c r="HU138" s="465"/>
      <c r="HV138" s="465"/>
      <c r="HW138" s="465"/>
      <c r="HX138" s="465"/>
      <c r="HY138" s="465"/>
      <c r="HZ138" s="465"/>
      <c r="IA138" s="465"/>
      <c r="IB138" s="465"/>
      <c r="IC138" s="465"/>
      <c r="ID138" s="465"/>
      <c r="IE138" s="465"/>
      <c r="IF138" s="465"/>
      <c r="IG138" s="465"/>
      <c r="IH138" s="465"/>
      <c r="II138" s="465"/>
      <c r="IJ138" s="465"/>
      <c r="IK138" s="465"/>
      <c r="IL138" s="465"/>
      <c r="IM138" s="465"/>
      <c r="IN138" s="465"/>
      <c r="IO138" s="465"/>
      <c r="IP138" s="465"/>
      <c r="IQ138" s="465"/>
      <c r="IR138" s="465"/>
      <c r="IS138" s="465"/>
      <c r="IT138" s="465"/>
      <c r="IU138" s="465"/>
      <c r="IV138" s="465"/>
      <c r="IW138" s="465"/>
      <c r="IX138" s="465"/>
      <c r="IY138" s="465"/>
      <c r="IZ138" s="465"/>
      <c r="JA138" s="465"/>
      <c r="JB138" s="465"/>
      <c r="JC138" s="465"/>
      <c r="JD138" s="465"/>
      <c r="JE138" s="465"/>
      <c r="JF138" s="465"/>
      <c r="JG138" s="465"/>
      <c r="JH138" s="465"/>
      <c r="JI138" s="465"/>
      <c r="JJ138" s="465"/>
      <c r="JK138" s="465"/>
      <c r="JL138" s="465"/>
      <c r="JM138" s="465"/>
      <c r="JN138" s="465"/>
      <c r="JO138" s="465"/>
      <c r="JP138" s="465"/>
      <c r="JQ138" s="465"/>
      <c r="JR138" s="465"/>
      <c r="JS138" s="465"/>
      <c r="JT138" s="465"/>
      <c r="JU138" s="465"/>
      <c r="JV138" s="465"/>
      <c r="JW138" s="465"/>
      <c r="JX138" s="20"/>
      <c r="JY138"/>
      <c r="JZ138" s="466"/>
      <c r="KA138" s="466"/>
      <c r="KB138" s="466"/>
      <c r="KC138" s="466"/>
      <c r="KD138" s="466"/>
      <c r="KE138" s="466"/>
      <c r="KF138" s="466"/>
      <c r="KG138" s="466"/>
      <c r="KH138" s="466"/>
      <c r="KI138" s="466"/>
      <c r="KJ138" s="466"/>
      <c r="KK138" s="466"/>
      <c r="KL138" s="466"/>
      <c r="KM138" s="466"/>
      <c r="KN138" s="466"/>
      <c r="KO138" s="466"/>
      <c r="KP138" s="466"/>
      <c r="KQ138" s="466"/>
      <c r="KR138" s="466"/>
      <c r="KS138" s="466"/>
      <c r="KT138" s="466"/>
      <c r="KU138" s="466"/>
      <c r="KV138" s="466"/>
      <c r="KW138" s="466"/>
      <c r="KX138" s="466"/>
      <c r="KY138" s="466"/>
      <c r="KZ138" s="466"/>
      <c r="LA138" s="466"/>
      <c r="LB138" s="466"/>
      <c r="LC138" s="466"/>
      <c r="LD138" s="466"/>
      <c r="LE138" s="466"/>
      <c r="LF138" s="466"/>
      <c r="LG138" s="466"/>
      <c r="LH138" s="466"/>
      <c r="LI138" s="466"/>
      <c r="LJ138" s="466"/>
      <c r="LK138" s="466"/>
      <c r="LL138" s="466"/>
      <c r="LM138" s="466"/>
      <c r="LN138" s="466"/>
      <c r="LO138" s="466"/>
      <c r="LP138" s="466"/>
      <c r="LQ138" s="466"/>
      <c r="LR138" s="466"/>
      <c r="LS138" s="466"/>
      <c r="LT138" s="466"/>
      <c r="LU138" s="466"/>
      <c r="LV138" s="466"/>
      <c r="LW138" s="466"/>
      <c r="LX138" s="466"/>
      <c r="LY138" s="466"/>
      <c r="LZ138" s="466"/>
      <c r="MA138" s="466"/>
      <c r="MB138" s="466"/>
      <c r="MC138" s="466"/>
      <c r="MD138" s="466"/>
      <c r="ME138" s="466"/>
      <c r="MF138" s="466"/>
      <c r="MG138" s="466"/>
      <c r="MH138" s="466"/>
      <c r="MI138" s="466"/>
      <c r="MJ138" s="466"/>
      <c r="MK138" s="466"/>
      <c r="ML138" s="466"/>
      <c r="MM138" s="466"/>
      <c r="MN138" s="466"/>
      <c r="MO138" s="466"/>
      <c r="MP138" s="466"/>
      <c r="MQ138" s="466"/>
      <c r="MR138" s="466"/>
      <c r="MS138" s="466"/>
      <c r="MT138" s="466"/>
      <c r="MU138" s="466"/>
      <c r="MV138" s="466"/>
      <c r="MW138" s="466"/>
      <c r="MX138" s="466"/>
      <c r="MY138" s="466"/>
      <c r="MZ138" s="466"/>
      <c r="NA138" s="466"/>
      <c r="NB138" s="466"/>
      <c r="NC138" s="466"/>
      <c r="ND138" s="466"/>
      <c r="NE138" s="466"/>
      <c r="NF138" s="466"/>
      <c r="NG138" s="466"/>
      <c r="NH138" s="466"/>
      <c r="NI138" s="466"/>
      <c r="NJ138" s="466"/>
      <c r="NK138" s="466"/>
      <c r="NL138" s="466"/>
      <c r="NM138" s="466"/>
      <c r="NN138" s="466"/>
      <c r="NO138" s="466"/>
      <c r="NP138" s="466"/>
      <c r="NQ138" s="466"/>
      <c r="NR138" s="466"/>
      <c r="NS138" s="466"/>
      <c r="NT138" s="466"/>
      <c r="NU138" s="466"/>
      <c r="NV138" s="466"/>
      <c r="NW138" s="466"/>
      <c r="NX138" s="466"/>
      <c r="NY138" s="466"/>
      <c r="NZ138" s="466"/>
      <c r="OA138" s="466"/>
      <c r="OB138" s="466"/>
      <c r="OC138" s="466"/>
      <c r="OD138" s="466"/>
      <c r="OE138" s="466"/>
      <c r="OF138" s="466"/>
      <c r="OG138" s="466"/>
      <c r="OH138" s="466"/>
      <c r="OI138" s="466"/>
      <c r="OJ138" s="466"/>
      <c r="OK138" s="466"/>
      <c r="OL138" s="466"/>
      <c r="OM138" s="466"/>
      <c r="ON138" s="466"/>
      <c r="OO138" s="466"/>
      <c r="OP138" s="466"/>
      <c r="OQ138" s="466"/>
      <c r="OR138" s="466"/>
      <c r="OS138" s="466"/>
      <c r="OT138" s="466"/>
      <c r="OU138" s="466"/>
      <c r="OV138" s="466"/>
      <c r="OW138" s="466"/>
      <c r="OX138" s="466"/>
      <c r="OY138" s="466"/>
      <c r="OZ138" s="466"/>
      <c r="PA138" s="466"/>
      <c r="PB138" s="466"/>
      <c r="PC138" s="466"/>
      <c r="PD138" s="466"/>
      <c r="PE138" s="466"/>
      <c r="PF138" s="466"/>
      <c r="PG138" s="466"/>
      <c r="PH138" s="466"/>
    </row>
    <row r="139" spans="1:424" x14ac:dyDescent="0.35">
      <c r="A139"/>
      <c r="B139" s="469"/>
      <c r="C139" s="41"/>
      <c r="D139" s="41"/>
      <c r="E139" s="41"/>
      <c r="F139" s="41"/>
      <c r="G139" s="134"/>
      <c r="H139" s="148"/>
      <c r="I139" s="134"/>
      <c r="J139"/>
      <c r="K139" s="208"/>
      <c r="L139" s="208"/>
      <c r="M139" s="208"/>
      <c r="N139" s="208"/>
      <c r="O139" s="208"/>
      <c r="P139" s="208"/>
      <c r="Q139" s="208"/>
      <c r="R139" s="208"/>
      <c r="S139" s="208"/>
      <c r="T139" s="208"/>
      <c r="U139" s="208"/>
      <c r="V139" s="208"/>
      <c r="W139" s="208"/>
      <c r="X139" s="208"/>
      <c r="Y139" s="208"/>
      <c r="Z139" s="208"/>
      <c r="AA139" s="208"/>
      <c r="AB139" s="208"/>
      <c r="AC139" s="208"/>
      <c r="AD139" s="208"/>
      <c r="AE139" s="208"/>
      <c r="AF139" s="208"/>
      <c r="AG139" s="208"/>
      <c r="AH139" s="208"/>
      <c r="AI139" s="208"/>
      <c r="AJ139" s="208"/>
      <c r="AK139" s="208"/>
      <c r="AL139" s="208"/>
      <c r="AM139" s="208"/>
      <c r="AN139" s="208"/>
      <c r="AO139" s="208"/>
      <c r="AP139" s="208"/>
      <c r="AQ139" s="208"/>
      <c r="AR139" s="208"/>
      <c r="AS139" s="208"/>
      <c r="AT139" s="208"/>
      <c r="AU139" s="208"/>
      <c r="AV139" s="208"/>
      <c r="AW139" s="208"/>
      <c r="AX139" s="208"/>
      <c r="AY139" s="208"/>
      <c r="AZ139" s="208"/>
      <c r="BA139" s="208"/>
      <c r="BB139" s="208"/>
      <c r="BC139" s="208"/>
      <c r="BD139" s="208"/>
      <c r="BE139" s="208"/>
      <c r="BF139" s="208"/>
      <c r="BG139" s="208"/>
      <c r="BH139" s="208"/>
      <c r="BI139" s="208"/>
      <c r="BJ139" s="208"/>
      <c r="BK139" s="208"/>
      <c r="BL139" s="208"/>
      <c r="BM139" s="208"/>
      <c r="BN139" s="208"/>
      <c r="BO139" s="208"/>
      <c r="BP139" s="208"/>
      <c r="BQ139" s="208"/>
      <c r="BR139" s="208"/>
      <c r="BS139" s="208"/>
      <c r="BT139" s="208"/>
      <c r="BU139" s="208"/>
      <c r="BV139" s="208"/>
      <c r="BW139" s="208"/>
      <c r="BX139" s="208"/>
      <c r="BY139" s="208"/>
      <c r="BZ139" s="208"/>
      <c r="CA139" s="208"/>
      <c r="CB139" s="208"/>
      <c r="CC139" s="208"/>
      <c r="CD139" s="208"/>
      <c r="CE139" s="208"/>
      <c r="CF139" s="208"/>
      <c r="CG139" s="208"/>
      <c r="CH139" s="208"/>
      <c r="CI139" s="208"/>
      <c r="CJ139" s="208"/>
      <c r="CK139" s="208"/>
      <c r="CL139" s="208"/>
      <c r="CM139" s="208"/>
      <c r="CN139" s="208"/>
      <c r="CO139" s="208"/>
      <c r="CP139" s="208"/>
      <c r="CQ139" s="208"/>
      <c r="CR139" s="208"/>
      <c r="CS139" s="208"/>
      <c r="CT139" s="208"/>
      <c r="CU139" s="208"/>
      <c r="CV139" s="208"/>
      <c r="CW139" s="208"/>
      <c r="CX139" s="208"/>
      <c r="CY139" s="208"/>
      <c r="CZ139" s="208"/>
      <c r="DA139" s="208"/>
      <c r="DB139" s="208"/>
      <c r="DC139" s="208"/>
      <c r="DD139" s="208"/>
      <c r="DE139" s="208"/>
      <c r="DF139" s="208"/>
      <c r="DG139" s="208"/>
      <c r="DH139" s="208"/>
      <c r="DI139" s="208"/>
      <c r="DJ139" s="208"/>
      <c r="DK139" s="208"/>
      <c r="DL139" s="208"/>
      <c r="DM139" s="208"/>
      <c r="DN139" s="208"/>
      <c r="DO139" s="208"/>
      <c r="DP139" s="208"/>
      <c r="DQ139" s="208"/>
      <c r="DR139" s="208"/>
      <c r="DS139" s="208"/>
      <c r="DT139" s="208"/>
      <c r="DU139" s="208"/>
      <c r="DV139" s="208"/>
      <c r="DW139" s="208"/>
      <c r="DX139" s="208"/>
      <c r="DY139" s="208"/>
      <c r="DZ139" s="208"/>
      <c r="EA139" s="208"/>
      <c r="EB139" s="208"/>
      <c r="EC139" s="208"/>
      <c r="ED139" s="208"/>
      <c r="EE139" s="208"/>
      <c r="EF139" s="208"/>
      <c r="EG139" s="208"/>
      <c r="EH139" s="208"/>
      <c r="EI139" s="208"/>
      <c r="EJ139" s="208"/>
      <c r="EK139" s="208"/>
      <c r="EL139" s="208"/>
      <c r="EM139" s="208"/>
      <c r="EN139" s="208"/>
      <c r="EO139" s="208"/>
      <c r="EP139" s="464"/>
      <c r="EQ139" s="465"/>
      <c r="ER139" s="465"/>
      <c r="ES139" s="465"/>
      <c r="ET139" s="465"/>
      <c r="EU139" s="465"/>
      <c r="EV139" s="465"/>
      <c r="EW139" s="465"/>
      <c r="EX139" s="465"/>
      <c r="EY139" s="465"/>
      <c r="EZ139" s="465"/>
      <c r="FA139" s="465"/>
      <c r="FB139" s="465"/>
      <c r="FC139" s="465"/>
      <c r="FD139" s="465"/>
      <c r="FE139" s="465"/>
      <c r="FF139" s="465"/>
      <c r="FG139" s="465"/>
      <c r="FH139" s="465"/>
      <c r="FI139" s="465"/>
      <c r="FJ139" s="465"/>
      <c r="FK139" s="465"/>
      <c r="FL139" s="465"/>
      <c r="FM139" s="465"/>
      <c r="FN139" s="465"/>
      <c r="FO139" s="465"/>
      <c r="FP139" s="465"/>
      <c r="FQ139" s="465"/>
      <c r="FR139" s="465"/>
      <c r="FS139" s="465"/>
      <c r="FT139" s="465"/>
      <c r="FU139" s="465"/>
      <c r="FV139" s="465"/>
      <c r="FW139" s="465"/>
      <c r="FX139" s="465"/>
      <c r="FY139" s="465"/>
      <c r="FZ139" s="465"/>
      <c r="GA139" s="465"/>
      <c r="GB139" s="465"/>
      <c r="GC139" s="465"/>
      <c r="GD139" s="465"/>
      <c r="GE139" s="465"/>
      <c r="GF139" s="465"/>
      <c r="GG139" s="465"/>
      <c r="GH139" s="465"/>
      <c r="GI139" s="465"/>
      <c r="GJ139" s="465"/>
      <c r="GK139" s="465"/>
      <c r="GL139" s="465"/>
      <c r="GM139" s="465"/>
      <c r="GN139" s="465"/>
      <c r="GO139" s="465"/>
      <c r="GP139" s="465"/>
      <c r="GQ139" s="465"/>
      <c r="GR139" s="465"/>
      <c r="GS139" s="465"/>
      <c r="GT139" s="465"/>
      <c r="GU139" s="465"/>
      <c r="GV139" s="465"/>
      <c r="GW139" s="465"/>
      <c r="GX139" s="465"/>
      <c r="GY139" s="465"/>
      <c r="GZ139" s="465"/>
      <c r="HA139" s="465"/>
      <c r="HB139" s="465"/>
      <c r="HC139" s="465"/>
      <c r="HD139" s="465"/>
      <c r="HE139" s="465"/>
      <c r="HF139" s="465"/>
      <c r="HG139" s="465"/>
      <c r="HH139" s="465"/>
      <c r="HI139" s="465"/>
      <c r="HJ139" s="465"/>
      <c r="HK139" s="465"/>
      <c r="HL139" s="465"/>
      <c r="HM139" s="465"/>
      <c r="HN139" s="465"/>
      <c r="HO139" s="465"/>
      <c r="HP139" s="465"/>
      <c r="HQ139" s="465"/>
      <c r="HR139" s="465"/>
      <c r="HS139" s="465"/>
      <c r="HT139" s="465"/>
      <c r="HU139" s="465"/>
      <c r="HV139" s="465"/>
      <c r="HW139" s="465"/>
      <c r="HX139" s="465"/>
      <c r="HY139" s="465"/>
      <c r="HZ139" s="465"/>
      <c r="IA139" s="465"/>
      <c r="IB139" s="465"/>
      <c r="IC139" s="465"/>
      <c r="ID139" s="465"/>
      <c r="IE139" s="465"/>
      <c r="IF139" s="465"/>
      <c r="IG139" s="465"/>
      <c r="IH139" s="465"/>
      <c r="II139" s="465"/>
      <c r="IJ139" s="465"/>
      <c r="IK139" s="465"/>
      <c r="IL139" s="465"/>
      <c r="IM139" s="465"/>
      <c r="IN139" s="465"/>
      <c r="IO139" s="465"/>
      <c r="IP139" s="465"/>
      <c r="IQ139" s="465"/>
      <c r="IR139" s="465"/>
      <c r="IS139" s="465"/>
      <c r="IT139" s="465"/>
      <c r="IU139" s="465"/>
      <c r="IV139" s="465"/>
      <c r="IW139" s="465"/>
      <c r="IX139" s="465"/>
      <c r="IY139" s="465"/>
      <c r="IZ139" s="465"/>
      <c r="JA139" s="465"/>
      <c r="JB139" s="465"/>
      <c r="JC139" s="465"/>
      <c r="JD139" s="465"/>
      <c r="JE139" s="465"/>
      <c r="JF139" s="465"/>
      <c r="JG139" s="465"/>
      <c r="JH139" s="465"/>
      <c r="JI139" s="465"/>
      <c r="JJ139" s="465"/>
      <c r="JK139" s="465"/>
      <c r="JL139" s="465"/>
      <c r="JM139" s="465"/>
      <c r="JN139" s="465"/>
      <c r="JO139" s="465"/>
      <c r="JP139" s="465"/>
      <c r="JQ139" s="465"/>
      <c r="JR139" s="465"/>
      <c r="JS139" s="465"/>
      <c r="JT139" s="465"/>
      <c r="JU139" s="465"/>
      <c r="JV139" s="465"/>
      <c r="JW139" s="465"/>
      <c r="JX139" s="20"/>
      <c r="JY139"/>
      <c r="JZ139" s="466"/>
      <c r="KA139" s="466"/>
      <c r="KB139" s="466"/>
      <c r="KC139" s="466"/>
      <c r="KD139" s="466"/>
      <c r="KE139" s="466"/>
      <c r="KF139" s="466"/>
      <c r="KG139" s="466"/>
      <c r="KH139" s="466"/>
      <c r="KI139" s="466"/>
      <c r="KJ139" s="466"/>
      <c r="KK139" s="466"/>
      <c r="KL139" s="466"/>
      <c r="KM139" s="466"/>
      <c r="KN139" s="466"/>
      <c r="KO139" s="466"/>
      <c r="KP139" s="466"/>
      <c r="KQ139" s="466"/>
      <c r="KR139" s="466"/>
      <c r="KS139" s="466"/>
      <c r="KT139" s="466"/>
      <c r="KU139" s="466"/>
      <c r="KV139" s="466"/>
      <c r="KW139" s="466"/>
      <c r="KX139" s="466"/>
      <c r="KY139" s="466"/>
      <c r="KZ139" s="466"/>
      <c r="LA139" s="466"/>
      <c r="LB139" s="466"/>
      <c r="LC139" s="466"/>
      <c r="LD139" s="466"/>
      <c r="LE139" s="466"/>
      <c r="LF139" s="466"/>
      <c r="LG139" s="466"/>
      <c r="LH139" s="466"/>
      <c r="LI139" s="466"/>
      <c r="LJ139" s="466"/>
      <c r="LK139" s="466"/>
      <c r="LL139" s="466"/>
      <c r="LM139" s="466"/>
      <c r="LN139" s="466"/>
      <c r="LO139" s="466"/>
      <c r="LP139" s="466"/>
      <c r="LQ139" s="466"/>
      <c r="LR139" s="466"/>
      <c r="LS139" s="466"/>
      <c r="LT139" s="466"/>
      <c r="LU139" s="466"/>
      <c r="LV139" s="466"/>
      <c r="LW139" s="466"/>
      <c r="LX139" s="466"/>
      <c r="LY139" s="466"/>
      <c r="LZ139" s="466"/>
      <c r="MA139" s="466"/>
      <c r="MB139" s="466"/>
      <c r="MC139" s="466"/>
      <c r="MD139" s="466"/>
      <c r="ME139" s="466"/>
      <c r="MF139" s="466"/>
      <c r="MG139" s="466"/>
      <c r="MH139" s="466"/>
      <c r="MI139" s="466"/>
      <c r="MJ139" s="466"/>
      <c r="MK139" s="466"/>
      <c r="ML139" s="466"/>
      <c r="MM139" s="466"/>
      <c r="MN139" s="466"/>
      <c r="MO139" s="466"/>
      <c r="MP139" s="466"/>
      <c r="MQ139" s="466"/>
      <c r="MR139" s="466"/>
      <c r="MS139" s="466"/>
      <c r="MT139" s="466"/>
      <c r="MU139" s="466"/>
      <c r="MV139" s="466"/>
      <c r="MW139" s="466"/>
      <c r="MX139" s="466"/>
      <c r="MY139" s="466"/>
      <c r="MZ139" s="466"/>
      <c r="NA139" s="466"/>
      <c r="NB139" s="466"/>
      <c r="NC139" s="466"/>
      <c r="ND139" s="466"/>
      <c r="NE139" s="466"/>
      <c r="NF139" s="466"/>
      <c r="NG139" s="466"/>
      <c r="NH139" s="466"/>
      <c r="NI139" s="466"/>
      <c r="NJ139" s="466"/>
      <c r="NK139" s="466"/>
      <c r="NL139" s="466"/>
      <c r="NM139" s="466"/>
      <c r="NN139" s="466"/>
      <c r="NO139" s="466"/>
      <c r="NP139" s="466"/>
      <c r="NQ139" s="466"/>
      <c r="NR139" s="466"/>
      <c r="NS139" s="466"/>
      <c r="NT139" s="466"/>
      <c r="NU139" s="466"/>
      <c r="NV139" s="466"/>
      <c r="NW139" s="466"/>
      <c r="NX139" s="466"/>
      <c r="NY139" s="466"/>
      <c r="NZ139" s="466"/>
      <c r="OA139" s="466"/>
      <c r="OB139" s="466"/>
      <c r="OC139" s="466"/>
      <c r="OD139" s="466"/>
      <c r="OE139" s="466"/>
      <c r="OF139" s="466"/>
      <c r="OG139" s="466"/>
      <c r="OH139" s="466"/>
      <c r="OI139" s="466"/>
      <c r="OJ139" s="466"/>
      <c r="OK139" s="466"/>
      <c r="OL139" s="466"/>
      <c r="OM139" s="466"/>
      <c r="ON139" s="466"/>
      <c r="OO139" s="466"/>
      <c r="OP139" s="466"/>
      <c r="OQ139" s="466"/>
      <c r="OR139" s="466"/>
      <c r="OS139" s="466"/>
      <c r="OT139" s="466"/>
      <c r="OU139" s="466"/>
      <c r="OV139" s="466"/>
      <c r="OW139" s="466"/>
      <c r="OX139" s="466"/>
      <c r="OY139" s="466"/>
      <c r="OZ139" s="466"/>
      <c r="PA139" s="466"/>
      <c r="PB139" s="466"/>
      <c r="PC139" s="466"/>
      <c r="PD139" s="466"/>
      <c r="PE139" s="466"/>
      <c r="PF139" s="466"/>
      <c r="PG139" s="466"/>
      <c r="PH139" s="466"/>
    </row>
    <row r="140" spans="1:424" s="25" customFormat="1" x14ac:dyDescent="0.35">
      <c r="A140" s="437"/>
      <c r="B140" s="488"/>
      <c r="C140" s="153">
        <f t="array" ref="C140">I140/Units_Ind</f>
        <v>580.37085773505612</v>
      </c>
      <c r="D140" s="153"/>
      <c r="E140" s="153"/>
      <c r="F140" s="153"/>
      <c r="G140" s="136"/>
      <c r="H140" s="154"/>
      <c r="I140" s="489">
        <f>I130-I138</f>
        <v>45541921.747395799</v>
      </c>
      <c r="J140"/>
      <c r="K140" s="223" t="s">
        <v>69</v>
      </c>
      <c r="L140" s="204">
        <f t="shared" ref="L140:AQ140" si="483">L130-L138</f>
        <v>0</v>
      </c>
      <c r="M140" s="441">
        <f t="shared" si="483"/>
        <v>0</v>
      </c>
      <c r="N140" s="441">
        <f t="shared" si="483"/>
        <v>0</v>
      </c>
      <c r="O140" s="441">
        <f t="shared" si="483"/>
        <v>0</v>
      </c>
      <c r="P140" s="441">
        <f t="shared" si="483"/>
        <v>0</v>
      </c>
      <c r="Q140" s="441">
        <f t="shared" si="483"/>
        <v>0</v>
      </c>
      <c r="R140" s="441">
        <f t="shared" si="483"/>
        <v>0</v>
      </c>
      <c r="S140" s="441">
        <f t="shared" si="483"/>
        <v>0</v>
      </c>
      <c r="T140" s="441">
        <f t="shared" si="483"/>
        <v>0</v>
      </c>
      <c r="U140" s="441">
        <f t="shared" si="483"/>
        <v>0</v>
      </c>
      <c r="V140" s="441">
        <f t="shared" si="483"/>
        <v>0</v>
      </c>
      <c r="W140" s="441">
        <f t="shared" si="483"/>
        <v>0</v>
      </c>
      <c r="X140" s="441">
        <f t="shared" si="483"/>
        <v>0</v>
      </c>
      <c r="Y140" s="441">
        <f t="shared" si="483"/>
        <v>0</v>
      </c>
      <c r="Z140" s="441">
        <f t="shared" si="483"/>
        <v>0</v>
      </c>
      <c r="AA140" s="441">
        <f t="shared" si="483"/>
        <v>0</v>
      </c>
      <c r="AB140" s="441">
        <f t="shared" si="483"/>
        <v>0</v>
      </c>
      <c r="AC140" s="441">
        <f t="shared" si="483"/>
        <v>0</v>
      </c>
      <c r="AD140" s="441">
        <f t="shared" si="483"/>
        <v>0</v>
      </c>
      <c r="AE140" s="441">
        <f t="shared" si="483"/>
        <v>0</v>
      </c>
      <c r="AF140" s="441">
        <f t="shared" si="483"/>
        <v>0</v>
      </c>
      <c r="AG140" s="441">
        <f t="shared" si="483"/>
        <v>0</v>
      </c>
      <c r="AH140" s="441">
        <f t="shared" si="483"/>
        <v>716666.66666666663</v>
      </c>
      <c r="AI140" s="441">
        <f t="shared" si="483"/>
        <v>716666.66666666663</v>
      </c>
      <c r="AJ140" s="441">
        <f t="shared" si="483"/>
        <v>716666.66666666663</v>
      </c>
      <c r="AK140" s="441">
        <f t="shared" si="483"/>
        <v>933333.33333333326</v>
      </c>
      <c r="AL140" s="441">
        <f t="shared" si="483"/>
        <v>933333.33333333326</v>
      </c>
      <c r="AM140" s="441">
        <f t="shared" si="483"/>
        <v>933333.33333333326</v>
      </c>
      <c r="AN140" s="441">
        <f t="shared" si="483"/>
        <v>1107500</v>
      </c>
      <c r="AO140" s="441">
        <f t="shared" si="483"/>
        <v>1107500</v>
      </c>
      <c r="AP140" s="441">
        <f t="shared" si="483"/>
        <v>1107500</v>
      </c>
      <c r="AQ140" s="441">
        <f t="shared" si="483"/>
        <v>1265833.3333333333</v>
      </c>
      <c r="AR140" s="441">
        <f t="shared" ref="AR140:BW140" si="484">AR130-AR138</f>
        <v>1265833.3333333333</v>
      </c>
      <c r="AS140" s="441">
        <f t="shared" si="484"/>
        <v>1265833.3333333333</v>
      </c>
      <c r="AT140" s="441">
        <f t="shared" si="484"/>
        <v>1298416.6666666665</v>
      </c>
      <c r="AU140" s="441">
        <f t="shared" si="484"/>
        <v>1298416.6666666665</v>
      </c>
      <c r="AV140" s="441">
        <f t="shared" si="484"/>
        <v>1298416.6666666665</v>
      </c>
      <c r="AW140" s="441">
        <f t="shared" si="484"/>
        <v>1329966.833333333</v>
      </c>
      <c r="AX140" s="441">
        <f t="shared" si="484"/>
        <v>1537461.250366004</v>
      </c>
      <c r="AY140" s="441">
        <f t="shared" si="484"/>
        <v>1744955.6673986751</v>
      </c>
      <c r="AZ140" s="441">
        <f t="shared" si="484"/>
        <v>1960527.6614040788</v>
      </c>
      <c r="BA140" s="441">
        <f t="shared" si="484"/>
        <v>2168682.6596498829</v>
      </c>
      <c r="BB140" s="441">
        <f t="shared" si="484"/>
        <v>2376837.6578956875</v>
      </c>
      <c r="BC140" s="441">
        <f t="shared" si="484"/>
        <v>2590534.3228081581</v>
      </c>
      <c r="BD140" s="441">
        <f t="shared" si="484"/>
        <v>2798689.3210539622</v>
      </c>
      <c r="BE140" s="441">
        <f t="shared" si="484"/>
        <v>3006844.3192997663</v>
      </c>
      <c r="BF140" s="441">
        <f t="shared" si="484"/>
        <v>3241223.0675455704</v>
      </c>
      <c r="BG140" s="441">
        <f t="shared" si="484"/>
        <v>3449378.065791375</v>
      </c>
      <c r="BH140" s="441">
        <f t="shared" si="484"/>
        <v>3657533.0640371782</v>
      </c>
      <c r="BI140" s="441">
        <f t="shared" si="484"/>
        <v>3936582.4825900565</v>
      </c>
      <c r="BJ140" s="441">
        <f t="shared" si="484"/>
        <v>3936582.4825900565</v>
      </c>
      <c r="BK140" s="441">
        <f t="shared" si="484"/>
        <v>3936582.4825900565</v>
      </c>
      <c r="BL140" s="441">
        <f t="shared" si="484"/>
        <v>3942891.6700900565</v>
      </c>
      <c r="BM140" s="441">
        <f t="shared" si="484"/>
        <v>3942891.6700900565</v>
      </c>
      <c r="BN140" s="441">
        <f t="shared" si="484"/>
        <v>3942891.6700900565</v>
      </c>
      <c r="BO140" s="441">
        <f t="shared" si="484"/>
        <v>3948627.2950900565</v>
      </c>
      <c r="BP140" s="441">
        <f t="shared" si="484"/>
        <v>3948627.2950900565</v>
      </c>
      <c r="BQ140" s="441">
        <f t="shared" si="484"/>
        <v>3948627.2950900565</v>
      </c>
      <c r="BR140" s="441">
        <f t="shared" si="484"/>
        <v>3975768.8763400572</v>
      </c>
      <c r="BS140" s="441">
        <f t="shared" si="484"/>
        <v>3975768.8763400572</v>
      </c>
      <c r="BT140" s="441">
        <f t="shared" si="484"/>
        <v>3975768.8763400572</v>
      </c>
      <c r="BU140" s="441">
        <f t="shared" si="484"/>
        <v>4048514.1446548081</v>
      </c>
      <c r="BV140" s="441">
        <f t="shared" si="484"/>
        <v>4048514.1446548081</v>
      </c>
      <c r="BW140" s="441">
        <f t="shared" si="484"/>
        <v>4048514.1446548081</v>
      </c>
      <c r="BX140" s="441">
        <f t="shared" ref="BX140:DC140" si="485">BX130-BX138</f>
        <v>4055044.1537173088</v>
      </c>
      <c r="BY140" s="441">
        <f t="shared" si="485"/>
        <v>4055044.1537173088</v>
      </c>
      <c r="BZ140" s="441">
        <f t="shared" si="485"/>
        <v>4055044.1537173088</v>
      </c>
      <c r="CA140" s="441">
        <f t="shared" si="485"/>
        <v>4060980.525592308</v>
      </c>
      <c r="CB140" s="441">
        <f t="shared" si="485"/>
        <v>4060980.525592308</v>
      </c>
      <c r="CC140" s="441">
        <f t="shared" si="485"/>
        <v>4060980.525592308</v>
      </c>
      <c r="CD140" s="441">
        <f t="shared" si="485"/>
        <v>4089072.0621860581</v>
      </c>
      <c r="CE140" s="441">
        <f t="shared" si="485"/>
        <v>4089072.0621860581</v>
      </c>
      <c r="CF140" s="441">
        <f t="shared" si="485"/>
        <v>4089072.0621860581</v>
      </c>
      <c r="CG140" s="441">
        <f t="shared" si="485"/>
        <v>4163717.1967711793</v>
      </c>
      <c r="CH140" s="441">
        <f t="shared" si="485"/>
        <v>4163717.1967711793</v>
      </c>
      <c r="CI140" s="441">
        <f t="shared" si="485"/>
        <v>4163717.1967711793</v>
      </c>
      <c r="CJ140" s="441">
        <f t="shared" si="485"/>
        <v>4170475.7561508659</v>
      </c>
      <c r="CK140" s="441">
        <f t="shared" si="485"/>
        <v>4170475.7561508659</v>
      </c>
      <c r="CL140" s="441">
        <f t="shared" si="485"/>
        <v>4170475.7561508659</v>
      </c>
      <c r="CM140" s="441">
        <f t="shared" si="485"/>
        <v>4176619.901041491</v>
      </c>
      <c r="CN140" s="441">
        <f t="shared" si="485"/>
        <v>4176619.901041491</v>
      </c>
      <c r="CO140" s="441">
        <f t="shared" si="485"/>
        <v>4176619.901041491</v>
      </c>
      <c r="CP140" s="441">
        <f t="shared" si="485"/>
        <v>4205694.6414160226</v>
      </c>
      <c r="CQ140" s="441">
        <f t="shared" si="485"/>
        <v>4205694.6414160226</v>
      </c>
      <c r="CR140" s="441">
        <f t="shared" si="485"/>
        <v>4205694.6414160226</v>
      </c>
      <c r="CS140" s="441">
        <f t="shared" si="485"/>
        <v>4282289.9821379576</v>
      </c>
      <c r="CT140" s="441">
        <f t="shared" si="485"/>
        <v>4282289.9821379576</v>
      </c>
      <c r="CU140" s="441">
        <f t="shared" si="485"/>
        <v>4282289.9821379576</v>
      </c>
      <c r="CV140" s="441">
        <f t="shared" si="485"/>
        <v>4289285.0910959346</v>
      </c>
      <c r="CW140" s="441">
        <f t="shared" si="485"/>
        <v>4289285.0910959346</v>
      </c>
      <c r="CX140" s="441">
        <f t="shared" si="485"/>
        <v>4289285.0910959346</v>
      </c>
      <c r="CY140" s="441">
        <f t="shared" si="485"/>
        <v>4295644.2810577312</v>
      </c>
      <c r="CZ140" s="441">
        <f t="shared" si="485"/>
        <v>4295644.2810577312</v>
      </c>
      <c r="DA140" s="441">
        <f t="shared" si="485"/>
        <v>4295644.2810577312</v>
      </c>
      <c r="DB140" s="441">
        <f t="shared" si="485"/>
        <v>4325736.6373453718</v>
      </c>
      <c r="DC140" s="441">
        <f t="shared" si="485"/>
        <v>4325736.6373453718</v>
      </c>
      <c r="DD140" s="441">
        <f t="shared" ref="DD140:EN140" si="486">DD130-DD138</f>
        <v>4325736.6373453718</v>
      </c>
      <c r="DE140" s="441">
        <f t="shared" si="486"/>
        <v>4404333.8820795696</v>
      </c>
      <c r="DF140" s="441">
        <f t="shared" si="486"/>
        <v>4404333.8820795696</v>
      </c>
      <c r="DG140" s="441">
        <f t="shared" si="486"/>
        <v>4404333.8820795696</v>
      </c>
      <c r="DH140" s="441">
        <f t="shared" si="486"/>
        <v>4411573.8198510744</v>
      </c>
      <c r="DI140" s="441">
        <f t="shared" si="486"/>
        <v>4411573.8198510744</v>
      </c>
      <c r="DJ140" s="441">
        <f t="shared" si="486"/>
        <v>4411573.8198510744</v>
      </c>
      <c r="DK140" s="441">
        <f t="shared" si="486"/>
        <v>4418155.5814615348</v>
      </c>
      <c r="DL140" s="441">
        <f t="shared" si="486"/>
        <v>4418155.5814615348</v>
      </c>
      <c r="DM140" s="441">
        <f t="shared" si="486"/>
        <v>4418155.5814615348</v>
      </c>
      <c r="DN140" s="441">
        <f t="shared" si="486"/>
        <v>4449301.1702192416</v>
      </c>
      <c r="DO140" s="441">
        <f t="shared" si="486"/>
        <v>4449301.1702192416</v>
      </c>
      <c r="DP140" s="441">
        <f t="shared" si="486"/>
        <v>4449301.1702192416</v>
      </c>
      <c r="DQ140" s="441">
        <f t="shared" si="486"/>
        <v>4529953.412283306</v>
      </c>
      <c r="DR140" s="441">
        <f t="shared" si="486"/>
        <v>4529953.412283306</v>
      </c>
      <c r="DS140" s="441">
        <f t="shared" si="486"/>
        <v>4529953.412283306</v>
      </c>
      <c r="DT140" s="441">
        <f t="shared" si="486"/>
        <v>4537446.7478768146</v>
      </c>
      <c r="DU140" s="441">
        <f t="shared" si="486"/>
        <v>4537446.7478768146</v>
      </c>
      <c r="DV140" s="441">
        <f t="shared" si="486"/>
        <v>4537446.7478768146</v>
      </c>
      <c r="DW140" s="441">
        <f t="shared" si="486"/>
        <v>4544258.871143641</v>
      </c>
      <c r="DX140" s="441">
        <f t="shared" si="486"/>
        <v>4544258.871143641</v>
      </c>
      <c r="DY140" s="441">
        <f t="shared" si="486"/>
        <v>4544258.871143641</v>
      </c>
      <c r="DZ140" s="441">
        <f t="shared" si="486"/>
        <v>4576494.5555078676</v>
      </c>
      <c r="EA140" s="441">
        <f t="shared" si="486"/>
        <v>4576494.5555078676</v>
      </c>
      <c r="EB140" s="441">
        <f t="shared" si="486"/>
        <v>4576494.5555078676</v>
      </c>
      <c r="EC140" s="441">
        <f t="shared" si="486"/>
        <v>4659256.3221524479</v>
      </c>
      <c r="ED140" s="441">
        <f t="shared" si="486"/>
        <v>4659256.3221524479</v>
      </c>
      <c r="EE140" s="441">
        <f t="shared" si="486"/>
        <v>4659256.3221524479</v>
      </c>
      <c r="EF140" s="441">
        <f t="shared" si="486"/>
        <v>4667011.9244917287</v>
      </c>
      <c r="EG140" s="441">
        <f t="shared" si="486"/>
        <v>4667011.9244917287</v>
      </c>
      <c r="EH140" s="441">
        <f t="shared" si="486"/>
        <v>4667011.9244917287</v>
      </c>
      <c r="EI140" s="441">
        <f t="shared" si="486"/>
        <v>4674062.4720728938</v>
      </c>
      <c r="EJ140" s="441">
        <f t="shared" si="486"/>
        <v>4674062.4720728938</v>
      </c>
      <c r="EK140" s="441">
        <f t="shared" si="486"/>
        <v>4674062.4720728938</v>
      </c>
      <c r="EL140" s="441">
        <f t="shared" si="486"/>
        <v>4707426.4053898687</v>
      </c>
      <c r="EM140" s="441">
        <f t="shared" si="486"/>
        <v>4707426.4053898687</v>
      </c>
      <c r="EN140" s="441">
        <f t="shared" si="486"/>
        <v>4707426.4053898687</v>
      </c>
      <c r="EO140" s="490"/>
      <c r="EP140" s="491"/>
      <c r="EQ140" s="492"/>
      <c r="ER140" s="492"/>
      <c r="ES140" s="492"/>
      <c r="ET140" s="492"/>
      <c r="EU140" s="492"/>
      <c r="EV140" s="492"/>
      <c r="EW140" s="492"/>
      <c r="EX140" s="492"/>
      <c r="EY140" s="492"/>
      <c r="EZ140" s="492"/>
      <c r="FA140" s="492"/>
      <c r="FB140" s="492"/>
      <c r="FC140" s="492"/>
      <c r="FD140" s="492"/>
      <c r="FE140" s="492"/>
      <c r="FF140" s="492"/>
      <c r="FG140" s="492"/>
      <c r="FH140" s="492"/>
      <c r="FI140" s="492"/>
      <c r="FJ140" s="492"/>
      <c r="FK140" s="492"/>
      <c r="FL140" s="492"/>
      <c r="FM140" s="492"/>
      <c r="FN140" s="492"/>
      <c r="FO140" s="492"/>
      <c r="FP140" s="492"/>
      <c r="FQ140" s="492"/>
      <c r="FR140" s="492"/>
      <c r="FS140" s="492"/>
      <c r="FT140" s="492"/>
      <c r="FU140" s="492"/>
      <c r="FV140" s="492"/>
      <c r="FW140" s="492"/>
      <c r="FX140" s="492"/>
      <c r="FY140" s="492"/>
      <c r="FZ140" s="492"/>
      <c r="GA140" s="492"/>
      <c r="GB140" s="492"/>
      <c r="GC140" s="492"/>
      <c r="GD140" s="492"/>
      <c r="GE140" s="492"/>
      <c r="GF140" s="492"/>
      <c r="GG140" s="492"/>
      <c r="GH140" s="492"/>
      <c r="GI140" s="492"/>
      <c r="GJ140" s="492"/>
      <c r="GK140" s="492"/>
      <c r="GL140" s="492"/>
      <c r="GM140" s="492"/>
      <c r="GN140" s="492"/>
      <c r="GO140" s="492"/>
      <c r="GP140" s="492"/>
      <c r="GQ140" s="492"/>
      <c r="GR140" s="492"/>
      <c r="GS140" s="492"/>
      <c r="GT140" s="492"/>
      <c r="GU140" s="492"/>
      <c r="GV140" s="492"/>
      <c r="GW140" s="492"/>
      <c r="GX140" s="492"/>
      <c r="GY140" s="492"/>
      <c r="GZ140" s="492"/>
      <c r="HA140" s="492"/>
      <c r="HB140" s="492"/>
      <c r="HC140" s="492"/>
      <c r="HD140" s="492"/>
      <c r="HE140" s="492"/>
      <c r="HF140" s="492"/>
      <c r="HG140" s="492"/>
      <c r="HH140" s="492"/>
      <c r="HI140" s="492"/>
      <c r="HJ140" s="492"/>
      <c r="HK140" s="492"/>
      <c r="HL140" s="492"/>
      <c r="HM140" s="492"/>
      <c r="HN140" s="492"/>
      <c r="HO140" s="492"/>
      <c r="HP140" s="492"/>
      <c r="HQ140" s="492"/>
      <c r="HR140" s="492"/>
      <c r="HS140" s="492"/>
      <c r="HT140" s="492"/>
      <c r="HU140" s="492"/>
      <c r="HV140" s="492"/>
      <c r="HW140" s="492"/>
      <c r="HX140" s="492"/>
      <c r="HY140" s="492"/>
      <c r="HZ140" s="492"/>
      <c r="IA140" s="492"/>
      <c r="IB140" s="492"/>
      <c r="IC140" s="492"/>
      <c r="ID140" s="492"/>
      <c r="IE140" s="492"/>
      <c r="IF140" s="492"/>
      <c r="IG140" s="492"/>
      <c r="IH140" s="492"/>
      <c r="II140" s="492"/>
      <c r="IJ140" s="492"/>
      <c r="IK140" s="492"/>
      <c r="IL140" s="492"/>
      <c r="IM140" s="492"/>
      <c r="IN140" s="492"/>
      <c r="IO140" s="492"/>
      <c r="IP140" s="492"/>
      <c r="IQ140" s="492"/>
      <c r="IR140" s="492"/>
      <c r="IS140" s="492"/>
      <c r="IT140" s="492"/>
      <c r="IU140" s="492"/>
      <c r="IV140" s="492"/>
      <c r="IW140" s="492"/>
      <c r="IX140" s="492"/>
      <c r="IY140" s="492"/>
      <c r="IZ140" s="492"/>
      <c r="JA140" s="492"/>
      <c r="JB140" s="492"/>
      <c r="JC140" s="492"/>
      <c r="JD140" s="492"/>
      <c r="JE140" s="492"/>
      <c r="JF140" s="492"/>
      <c r="JG140" s="492"/>
      <c r="JH140" s="492"/>
      <c r="JI140" s="492"/>
      <c r="JJ140" s="492"/>
      <c r="JK140" s="492"/>
      <c r="JL140" s="492"/>
      <c r="JM140" s="492"/>
      <c r="JN140" s="492"/>
      <c r="JO140" s="492"/>
      <c r="JP140" s="492"/>
      <c r="JQ140" s="492"/>
      <c r="JR140" s="492"/>
      <c r="JS140" s="492"/>
      <c r="JT140" s="492"/>
      <c r="JU140" s="492"/>
      <c r="JV140" s="492"/>
      <c r="JW140" s="492"/>
      <c r="JX140" s="20"/>
      <c r="JY140"/>
      <c r="JZ140" s="493"/>
      <c r="KA140" s="493"/>
      <c r="KB140" s="493"/>
      <c r="KC140" s="493"/>
      <c r="KD140" s="493"/>
      <c r="KE140" s="493"/>
      <c r="KF140" s="493"/>
      <c r="KG140" s="493"/>
      <c r="KH140" s="493"/>
      <c r="KI140" s="493"/>
      <c r="KJ140" s="493"/>
      <c r="KK140" s="493"/>
      <c r="KL140" s="493"/>
      <c r="KM140" s="493"/>
      <c r="KN140" s="493"/>
      <c r="KO140" s="493"/>
      <c r="KP140" s="493"/>
      <c r="KQ140" s="493"/>
      <c r="KR140" s="493"/>
      <c r="KS140" s="493"/>
      <c r="KT140" s="493"/>
      <c r="KU140" s="493"/>
      <c r="KV140" s="493"/>
      <c r="KW140" s="493"/>
      <c r="KX140" s="493"/>
      <c r="KY140" s="493"/>
      <c r="KZ140" s="493"/>
      <c r="LA140" s="493"/>
      <c r="LB140" s="493"/>
      <c r="LC140" s="493"/>
      <c r="LD140" s="493"/>
      <c r="LE140" s="493"/>
      <c r="LF140" s="493"/>
      <c r="LG140" s="493"/>
      <c r="LH140" s="493"/>
      <c r="LI140" s="493"/>
      <c r="LJ140" s="493"/>
      <c r="LK140" s="493"/>
      <c r="LL140" s="493"/>
      <c r="LM140" s="493"/>
      <c r="LN140" s="493"/>
      <c r="LO140" s="493"/>
      <c r="LP140" s="493"/>
      <c r="LQ140" s="493"/>
      <c r="LR140" s="493"/>
      <c r="LS140" s="493"/>
      <c r="LT140" s="493"/>
      <c r="LU140" s="493"/>
      <c r="LV140" s="493"/>
      <c r="LW140" s="493"/>
      <c r="LX140" s="493"/>
      <c r="LY140" s="493"/>
      <c r="LZ140" s="493"/>
      <c r="MA140" s="493"/>
      <c r="MB140" s="493"/>
      <c r="MC140" s="493"/>
      <c r="MD140" s="493"/>
      <c r="ME140" s="493"/>
      <c r="MF140" s="493"/>
      <c r="MG140" s="493"/>
      <c r="MH140" s="493"/>
      <c r="MI140" s="493"/>
      <c r="MJ140" s="493"/>
      <c r="MK140" s="493"/>
      <c r="ML140" s="493"/>
      <c r="MM140" s="493"/>
      <c r="MN140" s="493"/>
      <c r="MO140" s="493"/>
      <c r="MP140" s="493"/>
      <c r="MQ140" s="493"/>
      <c r="MR140" s="493"/>
      <c r="MS140" s="493"/>
      <c r="MT140" s="493"/>
      <c r="MU140" s="493"/>
      <c r="MV140" s="493"/>
      <c r="MW140" s="493"/>
      <c r="MX140" s="493"/>
      <c r="MY140" s="493"/>
      <c r="MZ140" s="493"/>
      <c r="NA140" s="493"/>
      <c r="NB140" s="493"/>
      <c r="NC140" s="493"/>
      <c r="ND140" s="493"/>
      <c r="NE140" s="493"/>
      <c r="NF140" s="493"/>
      <c r="NG140" s="493"/>
      <c r="NH140" s="493"/>
      <c r="NI140" s="493"/>
      <c r="NJ140" s="493"/>
      <c r="NK140" s="493"/>
      <c r="NL140" s="493"/>
      <c r="NM140" s="493"/>
      <c r="NN140" s="493"/>
      <c r="NO140" s="493"/>
      <c r="NP140" s="493"/>
      <c r="NQ140" s="493"/>
      <c r="NR140" s="493"/>
      <c r="NS140" s="493"/>
      <c r="NT140" s="493"/>
      <c r="NU140" s="493"/>
      <c r="NV140" s="493"/>
      <c r="NW140" s="493"/>
      <c r="NX140" s="493"/>
      <c r="NY140" s="493"/>
      <c r="NZ140" s="493"/>
      <c r="OA140" s="493"/>
      <c r="OB140" s="493"/>
      <c r="OC140" s="493"/>
      <c r="OD140" s="493"/>
      <c r="OE140" s="493"/>
      <c r="OF140" s="493"/>
      <c r="OG140" s="493"/>
      <c r="OH140" s="493"/>
      <c r="OI140" s="493"/>
      <c r="OJ140" s="493"/>
      <c r="OK140" s="493"/>
      <c r="OL140" s="493"/>
      <c r="OM140" s="493"/>
      <c r="ON140" s="493"/>
      <c r="OO140" s="493"/>
      <c r="OP140" s="493"/>
      <c r="OQ140" s="493"/>
      <c r="OR140" s="493"/>
      <c r="OS140" s="493"/>
      <c r="OT140" s="493"/>
      <c r="OU140" s="493"/>
      <c r="OV140" s="493"/>
      <c r="OW140" s="493"/>
      <c r="OX140" s="493"/>
      <c r="OY140" s="493"/>
      <c r="OZ140" s="493"/>
      <c r="PA140" s="493"/>
      <c r="PB140" s="493"/>
      <c r="PC140" s="493"/>
      <c r="PD140" s="493"/>
      <c r="PE140" s="493"/>
      <c r="PF140" s="493"/>
      <c r="PG140" s="493"/>
      <c r="PH140" s="493"/>
    </row>
    <row r="141" spans="1:424" x14ac:dyDescent="0.35">
      <c r="A141"/>
      <c r="B141" s="469"/>
      <c r="C141" s="41"/>
      <c r="D141" s="41"/>
      <c r="E141" s="41"/>
      <c r="F141" s="41"/>
      <c r="G141" s="134"/>
      <c r="H141" s="134"/>
      <c r="I141" s="134"/>
      <c r="J141"/>
      <c r="K141" s="494"/>
      <c r="L141" s="208"/>
      <c r="M141" s="208"/>
      <c r="N141" s="208"/>
      <c r="O141" s="208"/>
      <c r="P141" s="208"/>
      <c r="Q141" s="208"/>
      <c r="R141" s="208"/>
      <c r="S141" s="208"/>
      <c r="T141" s="208"/>
      <c r="U141" s="208"/>
      <c r="V141" s="208"/>
      <c r="W141" s="208"/>
      <c r="X141" s="208"/>
      <c r="Y141" s="208"/>
      <c r="Z141" s="208"/>
      <c r="AA141" s="208"/>
      <c r="AB141" s="208"/>
      <c r="AC141" s="208"/>
      <c r="AD141" s="208"/>
      <c r="AE141" s="208"/>
      <c r="AF141" s="208"/>
      <c r="AG141" s="208"/>
      <c r="AH141" s="208"/>
      <c r="AI141" s="208"/>
      <c r="AJ141" s="208"/>
      <c r="AK141" s="208"/>
      <c r="AL141" s="208"/>
      <c r="AM141" s="208"/>
      <c r="AN141" s="208"/>
      <c r="AO141" s="210"/>
      <c r="AP141" s="208"/>
      <c r="AQ141" s="208"/>
      <c r="AR141" s="208"/>
      <c r="AS141" s="208"/>
      <c r="AT141" s="208"/>
      <c r="AU141" s="208"/>
      <c r="AV141" s="208"/>
      <c r="AW141" s="208"/>
      <c r="AX141" s="208"/>
      <c r="AY141" s="208"/>
      <c r="AZ141" s="208"/>
      <c r="BA141" s="208"/>
      <c r="BB141" s="208"/>
      <c r="BC141" s="208"/>
      <c r="BD141" s="208"/>
      <c r="BE141" s="208"/>
      <c r="BF141" s="208"/>
      <c r="BG141" s="208"/>
      <c r="BH141" s="208"/>
      <c r="BI141" s="208"/>
      <c r="BJ141" s="208"/>
      <c r="BK141" s="208"/>
      <c r="BL141" s="208"/>
      <c r="BM141" s="208"/>
      <c r="BN141" s="208"/>
      <c r="BO141" s="208"/>
      <c r="BP141" s="208"/>
      <c r="BQ141" s="208"/>
      <c r="BR141" s="208"/>
      <c r="BS141" s="208"/>
      <c r="BT141" s="208"/>
      <c r="BU141" s="208"/>
      <c r="BV141" s="208"/>
      <c r="BW141" s="208"/>
      <c r="BX141" s="208"/>
      <c r="BY141" s="208"/>
      <c r="BZ141" s="208"/>
      <c r="CA141" s="208"/>
      <c r="CB141" s="208"/>
      <c r="CC141" s="208"/>
      <c r="CD141" s="208"/>
      <c r="CE141" s="208"/>
      <c r="CF141" s="208"/>
      <c r="CG141" s="208"/>
      <c r="CH141" s="208"/>
      <c r="CI141" s="208"/>
      <c r="CJ141" s="208"/>
      <c r="CK141" s="208"/>
      <c r="CL141" s="208"/>
      <c r="CM141" s="208"/>
      <c r="CN141" s="208"/>
      <c r="CO141" s="208"/>
      <c r="CP141" s="208"/>
      <c r="CQ141" s="208"/>
      <c r="CR141" s="208"/>
      <c r="CS141" s="208"/>
      <c r="CT141" s="208"/>
      <c r="CU141" s="208"/>
      <c r="CV141" s="208"/>
      <c r="CW141" s="208"/>
      <c r="CX141" s="208"/>
      <c r="CY141" s="208"/>
      <c r="CZ141" s="208"/>
      <c r="DA141" s="208"/>
      <c r="DB141" s="208"/>
      <c r="DC141" s="208"/>
      <c r="DD141" s="208"/>
      <c r="DE141" s="208"/>
      <c r="DF141" s="208"/>
      <c r="DG141" s="208"/>
      <c r="DH141" s="208"/>
      <c r="DI141" s="208"/>
      <c r="DJ141" s="208"/>
      <c r="DK141" s="208"/>
      <c r="DL141" s="208"/>
      <c r="DM141" s="208"/>
      <c r="DN141" s="208"/>
      <c r="DO141" s="208"/>
      <c r="DP141" s="208"/>
      <c r="DQ141" s="208"/>
      <c r="DR141" s="208"/>
      <c r="DS141" s="208"/>
      <c r="DT141" s="208"/>
      <c r="DU141" s="208"/>
      <c r="DV141" s="208"/>
      <c r="DW141" s="208"/>
      <c r="DX141" s="208"/>
      <c r="DY141" s="208"/>
      <c r="DZ141" s="208"/>
      <c r="EA141" s="208"/>
      <c r="EB141" s="208"/>
      <c r="EC141" s="208"/>
      <c r="ED141" s="208"/>
      <c r="EE141" s="208"/>
      <c r="EF141" s="208"/>
      <c r="EG141" s="208"/>
      <c r="EH141" s="208"/>
      <c r="EI141" s="208"/>
      <c r="EJ141" s="208"/>
      <c r="EK141" s="208"/>
      <c r="EL141" s="208"/>
      <c r="EM141" s="208"/>
      <c r="EN141" s="208"/>
      <c r="EO141" s="208"/>
      <c r="EP141" s="464"/>
      <c r="EQ141" s="465"/>
      <c r="ER141" s="465"/>
      <c r="ES141" s="465"/>
      <c r="ET141" s="465"/>
      <c r="EU141" s="465"/>
      <c r="EV141" s="465"/>
      <c r="EW141" s="465"/>
      <c r="EX141" s="465"/>
      <c r="EY141" s="465"/>
      <c r="EZ141" s="465"/>
      <c r="FA141" s="465"/>
      <c r="FB141" s="465"/>
      <c r="FC141" s="465"/>
      <c r="FD141" s="465"/>
      <c r="FE141" s="465"/>
      <c r="FF141" s="465"/>
      <c r="FG141" s="465"/>
      <c r="FH141" s="465"/>
      <c r="FI141" s="465"/>
      <c r="FJ141" s="465"/>
      <c r="FK141" s="465"/>
      <c r="FL141" s="465"/>
      <c r="FM141" s="465"/>
      <c r="FN141" s="465"/>
      <c r="FO141" s="465"/>
      <c r="FP141" s="465"/>
      <c r="FQ141" s="465"/>
      <c r="FR141" s="465"/>
      <c r="FS141" s="465"/>
      <c r="FT141" s="465"/>
      <c r="FU141" s="465"/>
      <c r="FV141" s="465"/>
      <c r="FW141" s="465"/>
      <c r="FX141" s="465"/>
      <c r="FY141" s="465"/>
      <c r="FZ141" s="465"/>
      <c r="GA141" s="465"/>
      <c r="GB141" s="465"/>
      <c r="GC141" s="465"/>
      <c r="GD141" s="465"/>
      <c r="GE141" s="465"/>
      <c r="GF141" s="465"/>
      <c r="GG141" s="465"/>
      <c r="GH141" s="465"/>
      <c r="GI141" s="465"/>
      <c r="GJ141" s="465"/>
      <c r="GK141" s="465"/>
      <c r="GL141" s="465"/>
      <c r="GM141" s="465"/>
      <c r="GN141" s="465"/>
      <c r="GO141" s="465"/>
      <c r="GP141" s="465"/>
      <c r="GQ141" s="465"/>
      <c r="GR141" s="465"/>
      <c r="GS141" s="465"/>
      <c r="GT141" s="465"/>
      <c r="GU141" s="465"/>
      <c r="GV141" s="465"/>
      <c r="GW141" s="465"/>
      <c r="GX141" s="465"/>
      <c r="GY141" s="465"/>
      <c r="GZ141" s="465"/>
      <c r="HA141" s="465"/>
      <c r="HB141" s="465"/>
      <c r="HC141" s="465"/>
      <c r="HD141" s="465"/>
      <c r="HE141" s="465"/>
      <c r="HF141" s="465"/>
      <c r="HG141" s="465"/>
      <c r="HH141" s="465"/>
      <c r="HI141" s="465"/>
      <c r="HJ141" s="465"/>
      <c r="HK141" s="465"/>
      <c r="HL141" s="465"/>
      <c r="HM141" s="465"/>
      <c r="HN141" s="465"/>
      <c r="HO141" s="465"/>
      <c r="HP141" s="465"/>
      <c r="HQ141" s="465"/>
      <c r="HR141" s="465"/>
      <c r="HS141" s="465"/>
      <c r="HT141" s="465"/>
      <c r="HU141" s="465"/>
      <c r="HV141" s="465"/>
      <c r="HW141" s="465"/>
      <c r="HX141" s="465"/>
      <c r="HY141" s="465"/>
      <c r="HZ141" s="465"/>
      <c r="IA141" s="465"/>
      <c r="IB141" s="465"/>
      <c r="IC141" s="465"/>
      <c r="ID141" s="465"/>
      <c r="IE141" s="465"/>
      <c r="IF141" s="465"/>
      <c r="IG141" s="465"/>
      <c r="IH141" s="465"/>
      <c r="II141" s="465"/>
      <c r="IJ141" s="465"/>
      <c r="IK141" s="465"/>
      <c r="IL141" s="465"/>
      <c r="IM141" s="465"/>
      <c r="IN141" s="465"/>
      <c r="IO141" s="465"/>
      <c r="IP141" s="465"/>
      <c r="IQ141" s="465"/>
      <c r="IR141" s="465"/>
      <c r="IS141" s="465"/>
      <c r="IT141" s="465"/>
      <c r="IU141" s="465"/>
      <c r="IV141" s="465"/>
      <c r="IW141" s="465"/>
      <c r="IX141" s="465"/>
      <c r="IY141" s="465"/>
      <c r="IZ141" s="465"/>
      <c r="JA141" s="465"/>
      <c r="JB141" s="465"/>
      <c r="JC141" s="465"/>
      <c r="JD141" s="465"/>
      <c r="JE141" s="465"/>
      <c r="JF141" s="465"/>
      <c r="JG141" s="465"/>
      <c r="JH141" s="465"/>
      <c r="JI141" s="465"/>
      <c r="JJ141" s="465"/>
      <c r="JK141" s="465"/>
      <c r="JL141" s="465"/>
      <c r="JM141" s="465"/>
      <c r="JN141" s="465"/>
      <c r="JO141" s="465"/>
      <c r="JP141" s="465"/>
      <c r="JQ141" s="465"/>
      <c r="JR141" s="465"/>
      <c r="JS141" s="465"/>
      <c r="JT141" s="465"/>
      <c r="JU141" s="465"/>
      <c r="JV141" s="465"/>
      <c r="JW141" s="465"/>
      <c r="JX141" s="20"/>
      <c r="JY141"/>
      <c r="JZ141" s="466"/>
      <c r="KA141" s="466"/>
      <c r="KB141" s="466"/>
      <c r="KC141" s="466"/>
      <c r="KD141" s="466"/>
      <c r="KE141" s="466"/>
      <c r="KF141" s="466"/>
      <c r="KG141" s="466"/>
      <c r="KH141" s="466"/>
      <c r="KI141" s="466"/>
      <c r="KJ141" s="466"/>
      <c r="KK141" s="466"/>
      <c r="KL141" s="466"/>
      <c r="KM141" s="466"/>
      <c r="KN141" s="466"/>
      <c r="KO141" s="466"/>
      <c r="KP141" s="466"/>
      <c r="KQ141" s="466"/>
      <c r="KR141" s="466"/>
      <c r="KS141" s="466"/>
      <c r="KT141" s="466"/>
      <c r="KU141" s="466"/>
      <c r="KV141" s="466"/>
      <c r="KW141" s="466"/>
      <c r="KX141" s="466"/>
      <c r="KY141" s="466"/>
      <c r="KZ141" s="466"/>
      <c r="LA141" s="466"/>
      <c r="LB141" s="466"/>
      <c r="LC141" s="466"/>
      <c r="LD141" s="466"/>
      <c r="LE141" s="466"/>
      <c r="LF141" s="466"/>
      <c r="LG141" s="466"/>
      <c r="LH141" s="466"/>
      <c r="LI141" s="466"/>
      <c r="LJ141" s="466"/>
      <c r="LK141" s="466"/>
      <c r="LL141" s="466"/>
      <c r="LM141" s="466"/>
      <c r="LN141" s="466"/>
      <c r="LO141" s="466"/>
      <c r="LP141" s="466"/>
      <c r="LQ141" s="466"/>
      <c r="LR141" s="466"/>
      <c r="LS141" s="466"/>
      <c r="LT141" s="466"/>
      <c r="LU141" s="466"/>
      <c r="LV141" s="466"/>
      <c r="LW141" s="466"/>
      <c r="LX141" s="466"/>
      <c r="LY141" s="466"/>
      <c r="LZ141" s="466"/>
      <c r="MA141" s="466"/>
      <c r="MB141" s="466"/>
      <c r="MC141" s="466"/>
      <c r="MD141" s="466"/>
      <c r="ME141" s="466"/>
      <c r="MF141" s="466"/>
      <c r="MG141" s="466"/>
      <c r="MH141" s="466"/>
      <c r="MI141" s="466"/>
      <c r="MJ141" s="466"/>
      <c r="MK141" s="466"/>
      <c r="ML141" s="466"/>
      <c r="MM141" s="466"/>
      <c r="MN141" s="466"/>
      <c r="MO141" s="466"/>
      <c r="MP141" s="466"/>
      <c r="MQ141" s="466"/>
      <c r="MR141" s="466"/>
      <c r="MS141" s="466"/>
      <c r="MT141" s="466"/>
      <c r="MU141" s="466"/>
      <c r="MV141" s="466"/>
      <c r="MW141" s="466"/>
      <c r="MX141" s="466"/>
      <c r="MY141" s="466"/>
      <c r="MZ141" s="466"/>
      <c r="NA141" s="466"/>
      <c r="NB141" s="466"/>
      <c r="NC141" s="466"/>
      <c r="ND141" s="466"/>
      <c r="NE141" s="466"/>
      <c r="NF141" s="466"/>
      <c r="NG141" s="466"/>
      <c r="NH141" s="466"/>
      <c r="NI141" s="466"/>
      <c r="NJ141" s="466"/>
      <c r="NK141" s="466"/>
      <c r="NL141" s="466"/>
      <c r="NM141" s="466"/>
      <c r="NN141" s="466"/>
      <c r="NO141" s="466"/>
      <c r="NP141" s="466"/>
      <c r="NQ141" s="466"/>
      <c r="NR141" s="466"/>
      <c r="NS141" s="466"/>
      <c r="NT141" s="466"/>
      <c r="NU141" s="466"/>
      <c r="NV141" s="466"/>
      <c r="NW141" s="466"/>
      <c r="NX141" s="466"/>
      <c r="NY141" s="466"/>
      <c r="NZ141" s="466"/>
      <c r="OA141" s="466"/>
      <c r="OB141" s="466"/>
      <c r="OC141" s="466"/>
      <c r="OD141" s="466"/>
      <c r="OE141" s="466"/>
      <c r="OF141" s="466"/>
      <c r="OG141" s="466"/>
      <c r="OH141" s="466"/>
      <c r="OI141" s="466"/>
      <c r="OJ141" s="466"/>
      <c r="OK141" s="466"/>
      <c r="OL141" s="466"/>
      <c r="OM141" s="466"/>
      <c r="ON141" s="466"/>
      <c r="OO141" s="466"/>
      <c r="OP141" s="466"/>
      <c r="OQ141" s="466"/>
      <c r="OR141" s="466"/>
      <c r="OS141" s="466"/>
      <c r="OT141" s="466"/>
      <c r="OU141" s="466"/>
      <c r="OV141" s="466"/>
      <c r="OW141" s="466"/>
      <c r="OX141" s="466"/>
      <c r="OY141" s="466"/>
      <c r="OZ141" s="466"/>
      <c r="PA141" s="466"/>
      <c r="PB141" s="466"/>
      <c r="PC141" s="466"/>
      <c r="PD141" s="466"/>
      <c r="PE141" s="466"/>
      <c r="PF141" s="466"/>
      <c r="PG141" s="466"/>
      <c r="PH141" s="466"/>
    </row>
    <row r="142" spans="1:424" x14ac:dyDescent="0.35">
      <c r="A142"/>
      <c r="B142" s="406" t="s">
        <v>306</v>
      </c>
      <c r="C142" s="76"/>
      <c r="D142" s="78"/>
      <c r="E142" s="78"/>
      <c r="F142" s="77"/>
      <c r="G142" s="77"/>
      <c r="H142" s="78"/>
      <c r="I142" s="78"/>
      <c r="J142"/>
      <c r="K142" s="494"/>
      <c r="L142" s="208"/>
      <c r="M142" s="208"/>
      <c r="N142" s="208"/>
      <c r="O142" s="208"/>
      <c r="P142" s="208"/>
      <c r="Q142" s="208"/>
      <c r="R142" s="208"/>
      <c r="S142" s="208"/>
      <c r="T142" s="208"/>
      <c r="U142" s="208"/>
      <c r="V142" s="208"/>
      <c r="W142" s="208"/>
      <c r="X142" s="208"/>
      <c r="Y142" s="208"/>
      <c r="Z142" s="208"/>
      <c r="AA142" s="208"/>
      <c r="AB142" s="208"/>
      <c r="AC142" s="208"/>
      <c r="AD142" s="208"/>
      <c r="AE142" s="208"/>
      <c r="AF142" s="208"/>
      <c r="AG142" s="208"/>
      <c r="AH142" s="208"/>
      <c r="AI142" s="208"/>
      <c r="AJ142" s="208"/>
      <c r="AK142" s="208"/>
      <c r="AL142" s="208"/>
      <c r="AM142" s="208"/>
      <c r="AN142" s="208"/>
      <c r="AO142" s="208"/>
      <c r="AP142" s="208"/>
      <c r="AQ142" s="208"/>
      <c r="AR142" s="208"/>
      <c r="AS142" s="208"/>
      <c r="AT142" s="208"/>
      <c r="AU142" s="208"/>
      <c r="AV142" s="208"/>
      <c r="AW142" s="208"/>
      <c r="AX142" s="208"/>
      <c r="AY142" s="208"/>
      <c r="AZ142" s="208"/>
      <c r="BA142" s="208"/>
      <c r="BB142" s="208"/>
      <c r="BC142" s="208"/>
      <c r="BD142" s="208"/>
      <c r="BE142" s="208"/>
      <c r="BF142" s="208"/>
      <c r="BG142" s="208"/>
      <c r="BH142" s="208"/>
      <c r="BI142" s="208"/>
      <c r="BJ142" s="208"/>
      <c r="BK142" s="208"/>
      <c r="BL142" s="208"/>
      <c r="BM142" s="208"/>
      <c r="BN142" s="208"/>
      <c r="BO142" s="208"/>
      <c r="BP142" s="208"/>
      <c r="BQ142" s="208"/>
      <c r="BR142" s="208"/>
      <c r="BS142" s="208"/>
      <c r="BT142" s="208"/>
      <c r="BU142" s="208"/>
      <c r="BV142" s="208"/>
      <c r="BW142" s="208"/>
      <c r="BX142" s="208"/>
      <c r="BY142" s="208"/>
      <c r="BZ142" s="208"/>
      <c r="CA142" s="208"/>
      <c r="CB142" s="208"/>
      <c r="CC142" s="208"/>
      <c r="CD142" s="208"/>
      <c r="CE142" s="208"/>
      <c r="CF142" s="208"/>
      <c r="CG142" s="208"/>
      <c r="CH142" s="208"/>
      <c r="CI142" s="208"/>
      <c r="CJ142" s="208"/>
      <c r="CK142" s="208"/>
      <c r="CL142" s="208"/>
      <c r="CM142" s="208"/>
      <c r="CN142" s="208"/>
      <c r="CO142" s="208"/>
      <c r="CP142" s="208"/>
      <c r="CQ142" s="208"/>
      <c r="CR142" s="208"/>
      <c r="CS142" s="208"/>
      <c r="CT142" s="208"/>
      <c r="CU142" s="208"/>
      <c r="CV142" s="208"/>
      <c r="CW142" s="208"/>
      <c r="CX142" s="208"/>
      <c r="CY142" s="208"/>
      <c r="CZ142" s="208"/>
      <c r="DA142" s="208"/>
      <c r="DB142" s="208"/>
      <c r="DC142" s="208"/>
      <c r="DD142" s="208"/>
      <c r="DE142" s="208"/>
      <c r="DF142" s="208"/>
      <c r="DG142" s="208"/>
      <c r="DH142" s="208"/>
      <c r="DI142" s="208"/>
      <c r="DJ142" s="208"/>
      <c r="DK142" s="208"/>
      <c r="DL142" s="208"/>
      <c r="DM142" s="208"/>
      <c r="DN142" s="208"/>
      <c r="DO142" s="208"/>
      <c r="DP142" s="208"/>
      <c r="DQ142" s="208"/>
      <c r="DR142" s="208"/>
      <c r="DS142" s="208"/>
      <c r="DT142" s="208"/>
      <c r="DU142" s="208"/>
      <c r="DV142" s="208"/>
      <c r="DW142" s="208"/>
      <c r="DX142" s="208"/>
      <c r="DY142" s="208"/>
      <c r="DZ142" s="208"/>
      <c r="EA142" s="208"/>
      <c r="EB142" s="208"/>
      <c r="EC142" s="208"/>
      <c r="ED142" s="208"/>
      <c r="EE142" s="208"/>
      <c r="EF142" s="208"/>
      <c r="EG142" s="208"/>
      <c r="EH142" s="208"/>
      <c r="EI142" s="208"/>
      <c r="EJ142" s="208"/>
      <c r="EK142" s="208"/>
      <c r="EL142" s="208"/>
      <c r="EM142" s="208"/>
      <c r="EN142" s="208"/>
      <c r="EO142" s="208"/>
      <c r="EP142" s="464"/>
      <c r="EQ142" s="465"/>
      <c r="ER142" s="465"/>
      <c r="ES142" s="465"/>
      <c r="ET142" s="465"/>
      <c r="EU142" s="465"/>
      <c r="EV142" s="465"/>
      <c r="EW142" s="465"/>
      <c r="EX142" s="465"/>
      <c r="EY142" s="465"/>
      <c r="EZ142" s="465"/>
      <c r="FA142" s="465"/>
      <c r="FB142" s="465"/>
      <c r="FC142" s="465"/>
      <c r="FD142" s="465"/>
      <c r="FE142" s="465"/>
      <c r="FF142" s="465"/>
      <c r="FG142" s="465"/>
      <c r="FH142" s="465"/>
      <c r="FI142" s="465"/>
      <c r="FJ142" s="465"/>
      <c r="FK142" s="465"/>
      <c r="FL142" s="465"/>
      <c r="FM142" s="465"/>
      <c r="FN142" s="465"/>
      <c r="FO142" s="465"/>
      <c r="FP142" s="465"/>
      <c r="FQ142" s="465"/>
      <c r="FR142" s="465"/>
      <c r="FS142" s="465"/>
      <c r="FT142" s="465"/>
      <c r="FU142" s="465"/>
      <c r="FV142" s="465"/>
      <c r="FW142" s="465"/>
      <c r="FX142" s="465"/>
      <c r="FY142" s="465"/>
      <c r="FZ142" s="465"/>
      <c r="GA142" s="465"/>
      <c r="GB142" s="465"/>
      <c r="GC142" s="465"/>
      <c r="GD142" s="465"/>
      <c r="GE142" s="465"/>
      <c r="GF142" s="465"/>
      <c r="GG142" s="465"/>
      <c r="GH142" s="465"/>
      <c r="GI142" s="465"/>
      <c r="GJ142" s="465"/>
      <c r="GK142" s="465"/>
      <c r="GL142" s="465"/>
      <c r="GM142" s="465"/>
      <c r="GN142" s="465"/>
      <c r="GO142" s="465"/>
      <c r="GP142" s="465"/>
      <c r="GQ142" s="465"/>
      <c r="GR142" s="465"/>
      <c r="GS142" s="465"/>
      <c r="GT142" s="465"/>
      <c r="GU142" s="465"/>
      <c r="GV142" s="465"/>
      <c r="GW142" s="465"/>
      <c r="GX142" s="465"/>
      <c r="GY142" s="465"/>
      <c r="GZ142" s="465"/>
      <c r="HA142" s="465"/>
      <c r="HB142" s="465"/>
      <c r="HC142" s="465"/>
      <c r="HD142" s="465"/>
      <c r="HE142" s="465"/>
      <c r="HF142" s="465"/>
      <c r="HG142" s="465"/>
      <c r="HH142" s="465"/>
      <c r="HI142" s="465"/>
      <c r="HJ142" s="465"/>
      <c r="HK142" s="465"/>
      <c r="HL142" s="465"/>
      <c r="HM142" s="465"/>
      <c r="HN142" s="465"/>
      <c r="HO142" s="465"/>
      <c r="HP142" s="465"/>
      <c r="HQ142" s="465"/>
      <c r="HR142" s="465"/>
      <c r="HS142" s="465"/>
      <c r="HT142" s="465"/>
      <c r="HU142" s="465"/>
      <c r="HV142" s="465"/>
      <c r="HW142" s="465"/>
      <c r="HX142" s="465"/>
      <c r="HY142" s="465"/>
      <c r="HZ142" s="465"/>
      <c r="IA142" s="465"/>
      <c r="IB142" s="465"/>
      <c r="IC142" s="465"/>
      <c r="ID142" s="465"/>
      <c r="IE142" s="465"/>
      <c r="IF142" s="465"/>
      <c r="IG142" s="465"/>
      <c r="IH142" s="465"/>
      <c r="II142" s="465"/>
      <c r="IJ142" s="465"/>
      <c r="IK142" s="465"/>
      <c r="IL142" s="465"/>
      <c r="IM142" s="465"/>
      <c r="IN142" s="465"/>
      <c r="IO142" s="465"/>
      <c r="IP142" s="465"/>
      <c r="IQ142" s="465"/>
      <c r="IR142" s="465"/>
      <c r="IS142" s="465"/>
      <c r="IT142" s="465"/>
      <c r="IU142" s="465"/>
      <c r="IV142" s="465"/>
      <c r="IW142" s="465"/>
      <c r="IX142" s="465"/>
      <c r="IY142" s="465"/>
      <c r="IZ142" s="465"/>
      <c r="JA142" s="465"/>
      <c r="JB142" s="465"/>
      <c r="JC142" s="465"/>
      <c r="JD142" s="465"/>
      <c r="JE142" s="465"/>
      <c r="JF142" s="465"/>
      <c r="JG142" s="465"/>
      <c r="JH142" s="465"/>
      <c r="JI142" s="465"/>
      <c r="JJ142" s="465"/>
      <c r="JK142" s="465"/>
      <c r="JL142" s="465"/>
      <c r="JM142" s="465"/>
      <c r="JN142" s="465"/>
      <c r="JO142" s="465"/>
      <c r="JP142" s="465"/>
      <c r="JQ142" s="465"/>
      <c r="JR142" s="465"/>
      <c r="JS142" s="465"/>
      <c r="JT142" s="465"/>
      <c r="JU142" s="465"/>
      <c r="JV142" s="465"/>
      <c r="JW142" s="465"/>
      <c r="JX142" s="20"/>
      <c r="JY142"/>
      <c r="JZ142" s="466"/>
      <c r="KA142" s="466"/>
      <c r="KB142" s="466"/>
      <c r="KC142" s="466"/>
      <c r="KD142" s="466"/>
      <c r="KE142" s="466"/>
      <c r="KF142" s="466"/>
      <c r="KG142" s="466"/>
      <c r="KH142" s="466"/>
      <c r="KI142" s="466"/>
      <c r="KJ142" s="466"/>
      <c r="KK142" s="466"/>
      <c r="KL142" s="466"/>
      <c r="KM142" s="466"/>
      <c r="KN142" s="466"/>
      <c r="KO142" s="466"/>
      <c r="KP142" s="466"/>
      <c r="KQ142" s="466"/>
      <c r="KR142" s="466"/>
      <c r="KS142" s="466"/>
      <c r="KT142" s="466"/>
      <c r="KU142" s="466"/>
      <c r="KV142" s="466"/>
      <c r="KW142" s="466"/>
      <c r="KX142" s="466"/>
      <c r="KY142" s="466"/>
      <c r="KZ142" s="466"/>
      <c r="LA142" s="466"/>
      <c r="LB142" s="466"/>
      <c r="LC142" s="466"/>
      <c r="LD142" s="466"/>
      <c r="LE142" s="466"/>
      <c r="LF142" s="466"/>
      <c r="LG142" s="466"/>
      <c r="LH142" s="466"/>
      <c r="LI142" s="466"/>
      <c r="LJ142" s="466"/>
      <c r="LK142" s="466"/>
      <c r="LL142" s="466"/>
      <c r="LM142" s="466"/>
      <c r="LN142" s="466"/>
      <c r="LO142" s="466"/>
      <c r="LP142" s="466"/>
      <c r="LQ142" s="466"/>
      <c r="LR142" s="466"/>
      <c r="LS142" s="466"/>
      <c r="LT142" s="466"/>
      <c r="LU142" s="466"/>
      <c r="LV142" s="466"/>
      <c r="LW142" s="466"/>
      <c r="LX142" s="466"/>
      <c r="LY142" s="466"/>
      <c r="LZ142" s="466"/>
      <c r="MA142" s="466"/>
      <c r="MB142" s="466"/>
      <c r="MC142" s="466"/>
      <c r="MD142" s="466"/>
      <c r="ME142" s="466"/>
      <c r="MF142" s="466"/>
      <c r="MG142" s="466"/>
      <c r="MH142" s="466"/>
      <c r="MI142" s="466"/>
      <c r="MJ142" s="466"/>
      <c r="MK142" s="466"/>
      <c r="ML142" s="466"/>
      <c r="MM142" s="466"/>
      <c r="MN142" s="466"/>
      <c r="MO142" s="466"/>
      <c r="MP142" s="466"/>
      <c r="MQ142" s="466"/>
      <c r="MR142" s="466"/>
      <c r="MS142" s="466"/>
      <c r="MT142" s="466"/>
      <c r="MU142" s="466"/>
      <c r="MV142" s="466"/>
      <c r="MW142" s="466"/>
      <c r="MX142" s="466"/>
      <c r="MY142" s="466"/>
      <c r="MZ142" s="466"/>
      <c r="NA142" s="466"/>
      <c r="NB142" s="466"/>
      <c r="NC142" s="466"/>
      <c r="ND142" s="466"/>
      <c r="NE142" s="466"/>
      <c r="NF142" s="466"/>
      <c r="NG142" s="466"/>
      <c r="NH142" s="466"/>
      <c r="NI142" s="466"/>
      <c r="NJ142" s="466"/>
      <c r="NK142" s="466"/>
      <c r="NL142" s="466"/>
      <c r="NM142" s="466"/>
      <c r="NN142" s="466"/>
      <c r="NO142" s="466"/>
      <c r="NP142" s="466"/>
      <c r="NQ142" s="466"/>
      <c r="NR142" s="466"/>
      <c r="NS142" s="466"/>
      <c r="NT142" s="466"/>
      <c r="NU142" s="466"/>
      <c r="NV142" s="466"/>
      <c r="NW142" s="466"/>
      <c r="NX142" s="466"/>
      <c r="NY142" s="466"/>
      <c r="NZ142" s="466"/>
      <c r="OA142" s="466"/>
      <c r="OB142" s="466"/>
      <c r="OC142" s="466"/>
      <c r="OD142" s="466"/>
      <c r="OE142" s="466"/>
      <c r="OF142" s="466"/>
      <c r="OG142" s="466"/>
      <c r="OH142" s="466"/>
      <c r="OI142" s="466"/>
      <c r="OJ142" s="466"/>
      <c r="OK142" s="466"/>
      <c r="OL142" s="466"/>
      <c r="OM142" s="466"/>
      <c r="ON142" s="466"/>
      <c r="OO142" s="466"/>
      <c r="OP142" s="466"/>
      <c r="OQ142" s="466"/>
      <c r="OR142" s="466"/>
      <c r="OS142" s="466"/>
      <c r="OT142" s="466"/>
      <c r="OU142" s="466"/>
      <c r="OV142" s="466"/>
      <c r="OW142" s="466"/>
      <c r="OX142" s="466"/>
      <c r="OY142" s="466"/>
      <c r="OZ142" s="466"/>
      <c r="PA142" s="466"/>
      <c r="PB142" s="466"/>
      <c r="PC142" s="466"/>
      <c r="PD142" s="466"/>
      <c r="PE142" s="466"/>
      <c r="PF142" s="466"/>
      <c r="PG142" s="466"/>
      <c r="PH142" s="466"/>
    </row>
    <row r="143" spans="1:424" x14ac:dyDescent="0.35">
      <c r="A143"/>
      <c r="B143" s="155" t="s">
        <v>307</v>
      </c>
      <c r="C143" s="41"/>
      <c r="D143" s="149" t="s">
        <v>308</v>
      </c>
      <c r="E143" s="149" t="s">
        <v>309</v>
      </c>
      <c r="F143" s="156"/>
      <c r="G143" s="495" t="s">
        <v>310</v>
      </c>
      <c r="H143" s="149" t="s">
        <v>308</v>
      </c>
      <c r="I143" s="149" t="s">
        <v>309</v>
      </c>
      <c r="J143"/>
      <c r="K143" s="494"/>
      <c r="L143" s="208"/>
      <c r="M143" s="208"/>
      <c r="N143" s="208"/>
      <c r="O143" s="208"/>
      <c r="P143" s="208"/>
      <c r="Q143" s="208"/>
      <c r="R143" s="208"/>
      <c r="S143" s="208"/>
      <c r="T143" s="208"/>
      <c r="U143" s="208"/>
      <c r="V143" s="208"/>
      <c r="W143" s="208"/>
      <c r="X143" s="208"/>
      <c r="Y143" s="208"/>
      <c r="Z143" s="208"/>
      <c r="AA143" s="208"/>
      <c r="AB143" s="208"/>
      <c r="AC143" s="208"/>
      <c r="AD143" s="208"/>
      <c r="AE143" s="208"/>
      <c r="AF143" s="208"/>
      <c r="AG143" s="208"/>
      <c r="AH143" s="208"/>
      <c r="AI143" s="208"/>
      <c r="AJ143" s="208"/>
      <c r="AK143" s="208"/>
      <c r="AL143" s="208"/>
      <c r="AM143" s="208"/>
      <c r="AN143" s="208"/>
      <c r="AO143" s="208"/>
      <c r="AP143" s="208"/>
      <c r="AQ143" s="208"/>
      <c r="AR143" s="208"/>
      <c r="AS143" s="208"/>
      <c r="AT143" s="208"/>
      <c r="AU143" s="208"/>
      <c r="AV143" s="208"/>
      <c r="AW143" s="208"/>
      <c r="AX143" s="208"/>
      <c r="AY143" s="208"/>
      <c r="AZ143" s="208"/>
      <c r="BA143" s="208"/>
      <c r="BB143" s="208"/>
      <c r="BC143" s="208"/>
      <c r="BD143" s="208"/>
      <c r="BE143" s="208"/>
      <c r="BF143" s="208"/>
      <c r="BG143" s="208"/>
      <c r="BH143" s="208"/>
      <c r="BI143" s="208"/>
      <c r="BJ143" s="208"/>
      <c r="BK143" s="208"/>
      <c r="BL143" s="208"/>
      <c r="BM143" s="208"/>
      <c r="BN143" s="208"/>
      <c r="BO143" s="208"/>
      <c r="BP143" s="208"/>
      <c r="BQ143" s="208"/>
      <c r="BR143" s="208"/>
      <c r="BS143" s="208"/>
      <c r="BT143" s="208"/>
      <c r="BU143" s="208"/>
      <c r="BV143" s="208"/>
      <c r="BW143" s="208"/>
      <c r="BX143" s="208"/>
      <c r="BY143" s="208"/>
      <c r="BZ143" s="208"/>
      <c r="CA143" s="208"/>
      <c r="CB143" s="208"/>
      <c r="CC143" s="208"/>
      <c r="CD143" s="208"/>
      <c r="CE143" s="208"/>
      <c r="CF143" s="208"/>
      <c r="CG143" s="208"/>
      <c r="CH143" s="208"/>
      <c r="CI143" s="208"/>
      <c r="CJ143" s="208"/>
      <c r="CK143" s="208"/>
      <c r="CL143" s="208"/>
      <c r="CM143" s="208"/>
      <c r="CN143" s="208"/>
      <c r="CO143" s="208"/>
      <c r="CP143" s="208"/>
      <c r="CQ143" s="208"/>
      <c r="CR143" s="208"/>
      <c r="CS143" s="208"/>
      <c r="CT143" s="208"/>
      <c r="CU143" s="208"/>
      <c r="CV143" s="208"/>
      <c r="CW143" s="208"/>
      <c r="CX143" s="208"/>
      <c r="CY143" s="208"/>
      <c r="CZ143" s="208"/>
      <c r="DA143" s="208"/>
      <c r="DB143" s="208"/>
      <c r="DC143" s="208"/>
      <c r="DD143" s="208"/>
      <c r="DE143" s="208"/>
      <c r="DF143" s="208"/>
      <c r="DG143" s="208"/>
      <c r="DH143" s="208"/>
      <c r="DI143" s="208"/>
      <c r="DJ143" s="208"/>
      <c r="DK143" s="208"/>
      <c r="DL143" s="208"/>
      <c r="DM143" s="208"/>
      <c r="DN143" s="208"/>
      <c r="DO143" s="208"/>
      <c r="DP143" s="208"/>
      <c r="DQ143" s="208"/>
      <c r="DR143" s="208"/>
      <c r="DS143" s="208"/>
      <c r="DT143" s="208"/>
      <c r="DU143" s="208"/>
      <c r="DV143" s="208"/>
      <c r="DW143" s="208"/>
      <c r="DX143" s="208"/>
      <c r="DY143" s="208"/>
      <c r="DZ143" s="208"/>
      <c r="EA143" s="208"/>
      <c r="EB143" s="208"/>
      <c r="EC143" s="208"/>
      <c r="ED143" s="208"/>
      <c r="EE143" s="208"/>
      <c r="EF143" s="208"/>
      <c r="EG143" s="208"/>
      <c r="EH143" s="208"/>
      <c r="EI143" s="208"/>
      <c r="EJ143" s="208"/>
      <c r="EK143" s="208"/>
      <c r="EL143" s="208"/>
      <c r="EM143" s="208"/>
      <c r="EN143" s="208"/>
      <c r="EO143" s="208"/>
      <c r="EP143" s="464"/>
      <c r="EQ143" s="465"/>
      <c r="ER143" s="465"/>
      <c r="ES143" s="465"/>
      <c r="ET143" s="465"/>
      <c r="EU143" s="465"/>
      <c r="EV143" s="465"/>
      <c r="EW143" s="465"/>
      <c r="EX143" s="465"/>
      <c r="EY143" s="465"/>
      <c r="EZ143" s="465"/>
      <c r="FA143" s="465"/>
      <c r="FB143" s="465"/>
      <c r="FC143" s="465"/>
      <c r="FD143" s="465"/>
      <c r="FE143" s="465"/>
      <c r="FF143" s="465"/>
      <c r="FG143" s="465"/>
      <c r="FH143" s="465"/>
      <c r="FI143" s="465"/>
      <c r="FJ143" s="465"/>
      <c r="FK143" s="465"/>
      <c r="FL143" s="465"/>
      <c r="FM143" s="465"/>
      <c r="FN143" s="465"/>
      <c r="FO143" s="465"/>
      <c r="FP143" s="465"/>
      <c r="FQ143" s="465"/>
      <c r="FR143" s="465"/>
      <c r="FS143" s="465"/>
      <c r="FT143" s="465"/>
      <c r="FU143" s="465"/>
      <c r="FV143" s="465"/>
      <c r="FW143" s="465"/>
      <c r="FX143" s="465"/>
      <c r="FY143" s="465"/>
      <c r="FZ143" s="465"/>
      <c r="GA143" s="465"/>
      <c r="GB143" s="465"/>
      <c r="GC143" s="465"/>
      <c r="GD143" s="465"/>
      <c r="GE143" s="465"/>
      <c r="GF143" s="465"/>
      <c r="GG143" s="465"/>
      <c r="GH143" s="465"/>
      <c r="GI143" s="465"/>
      <c r="GJ143" s="465"/>
      <c r="GK143" s="465"/>
      <c r="GL143" s="465"/>
      <c r="GM143" s="465"/>
      <c r="GN143" s="465"/>
      <c r="GO143" s="465"/>
      <c r="GP143" s="465"/>
      <c r="GQ143" s="465"/>
      <c r="GR143" s="465"/>
      <c r="GS143" s="465"/>
      <c r="GT143" s="465"/>
      <c r="GU143" s="465"/>
      <c r="GV143" s="465"/>
      <c r="GW143" s="465"/>
      <c r="GX143" s="465"/>
      <c r="GY143" s="465"/>
      <c r="GZ143" s="465"/>
      <c r="HA143" s="465"/>
      <c r="HB143" s="465"/>
      <c r="HC143" s="465"/>
      <c r="HD143" s="465"/>
      <c r="HE143" s="465"/>
      <c r="HF143" s="465"/>
      <c r="HG143" s="465"/>
      <c r="HH143" s="465"/>
      <c r="HI143" s="465"/>
      <c r="HJ143" s="465"/>
      <c r="HK143" s="465"/>
      <c r="HL143" s="465"/>
      <c r="HM143" s="465"/>
      <c r="HN143" s="465"/>
      <c r="HO143" s="465"/>
      <c r="HP143" s="465"/>
      <c r="HQ143" s="465"/>
      <c r="HR143" s="465"/>
      <c r="HS143" s="465"/>
      <c r="HT143" s="465"/>
      <c r="HU143" s="465"/>
      <c r="HV143" s="465"/>
      <c r="HW143" s="465"/>
      <c r="HX143" s="465"/>
      <c r="HY143" s="465"/>
      <c r="HZ143" s="465"/>
      <c r="IA143" s="465"/>
      <c r="IB143" s="465"/>
      <c r="IC143" s="465"/>
      <c r="ID143" s="465"/>
      <c r="IE143" s="465"/>
      <c r="IF143" s="465"/>
      <c r="IG143" s="465"/>
      <c r="IH143" s="465"/>
      <c r="II143" s="465"/>
      <c r="IJ143" s="465"/>
      <c r="IK143" s="465"/>
      <c r="IL143" s="465"/>
      <c r="IM143" s="465"/>
      <c r="IN143" s="465"/>
      <c r="IO143" s="465"/>
      <c r="IP143" s="465"/>
      <c r="IQ143" s="465"/>
      <c r="IR143" s="465"/>
      <c r="IS143" s="465"/>
      <c r="IT143" s="465"/>
      <c r="IU143" s="465"/>
      <c r="IV143" s="465"/>
      <c r="IW143" s="465"/>
      <c r="IX143" s="465"/>
      <c r="IY143" s="465"/>
      <c r="IZ143" s="465"/>
      <c r="JA143" s="465"/>
      <c r="JB143" s="465"/>
      <c r="JC143" s="465"/>
      <c r="JD143" s="465"/>
      <c r="JE143" s="465"/>
      <c r="JF143" s="465"/>
      <c r="JG143" s="465"/>
      <c r="JH143" s="465"/>
      <c r="JI143" s="465"/>
      <c r="JJ143" s="465"/>
      <c r="JK143" s="465"/>
      <c r="JL143" s="465"/>
      <c r="JM143" s="465"/>
      <c r="JN143" s="465"/>
      <c r="JO143" s="465"/>
      <c r="JP143" s="465"/>
      <c r="JQ143" s="465"/>
      <c r="JR143" s="465"/>
      <c r="JS143" s="465"/>
      <c r="JT143" s="465"/>
      <c r="JU143" s="465"/>
      <c r="JV143" s="465"/>
      <c r="JW143" s="465"/>
      <c r="JX143" s="20"/>
      <c r="JY143"/>
      <c r="JZ143" s="466"/>
      <c r="KA143" s="466"/>
      <c r="KB143" s="466"/>
      <c r="KC143" s="466"/>
      <c r="KD143" s="466"/>
      <c r="KE143" s="466"/>
      <c r="KF143" s="466"/>
      <c r="KG143" s="466"/>
      <c r="KH143" s="466"/>
      <c r="KI143" s="466"/>
      <c r="KJ143" s="466"/>
      <c r="KK143" s="466"/>
      <c r="KL143" s="466"/>
      <c r="KM143" s="466"/>
      <c r="KN143" s="466"/>
      <c r="KO143" s="466"/>
      <c r="KP143" s="466"/>
      <c r="KQ143" s="466"/>
      <c r="KR143" s="466"/>
      <c r="KS143" s="466"/>
      <c r="KT143" s="466"/>
      <c r="KU143" s="466"/>
      <c r="KV143" s="466"/>
      <c r="KW143" s="466"/>
      <c r="KX143" s="466"/>
      <c r="KY143" s="466"/>
      <c r="KZ143" s="466"/>
      <c r="LA143" s="466"/>
      <c r="LB143" s="466"/>
      <c r="LC143" s="466"/>
      <c r="LD143" s="466"/>
      <c r="LE143" s="466"/>
      <c r="LF143" s="466"/>
      <c r="LG143" s="466"/>
      <c r="LH143" s="466"/>
      <c r="LI143" s="466"/>
      <c r="LJ143" s="466"/>
      <c r="LK143" s="466"/>
      <c r="LL143" s="466"/>
      <c r="LM143" s="466"/>
      <c r="LN143" s="466"/>
      <c r="LO143" s="466"/>
      <c r="LP143" s="466"/>
      <c r="LQ143" s="466"/>
      <c r="LR143" s="466"/>
      <c r="LS143" s="466"/>
      <c r="LT143" s="466"/>
      <c r="LU143" s="466"/>
      <c r="LV143" s="466"/>
      <c r="LW143" s="466"/>
      <c r="LX143" s="466"/>
      <c r="LY143" s="466"/>
      <c r="LZ143" s="466"/>
      <c r="MA143" s="466"/>
      <c r="MB143" s="466"/>
      <c r="MC143" s="466"/>
      <c r="MD143" s="466"/>
      <c r="ME143" s="466"/>
      <c r="MF143" s="466"/>
      <c r="MG143" s="466"/>
      <c r="MH143" s="466"/>
      <c r="MI143" s="466"/>
      <c r="MJ143" s="466"/>
      <c r="MK143" s="466"/>
      <c r="ML143" s="466"/>
      <c r="MM143" s="466"/>
      <c r="MN143" s="466"/>
      <c r="MO143" s="466"/>
      <c r="MP143" s="466"/>
      <c r="MQ143" s="466"/>
      <c r="MR143" s="466"/>
      <c r="MS143" s="466"/>
      <c r="MT143" s="466"/>
      <c r="MU143" s="466"/>
      <c r="MV143" s="466"/>
      <c r="MW143" s="466"/>
      <c r="MX143" s="466"/>
      <c r="MY143" s="466"/>
      <c r="MZ143" s="466"/>
      <c r="NA143" s="466"/>
      <c r="NB143" s="466"/>
      <c r="NC143" s="466"/>
      <c r="ND143" s="466"/>
      <c r="NE143" s="466"/>
      <c r="NF143" s="466"/>
      <c r="NG143" s="466"/>
      <c r="NH143" s="466"/>
      <c r="NI143" s="466"/>
      <c r="NJ143" s="466"/>
      <c r="NK143" s="466"/>
      <c r="NL143" s="466"/>
      <c r="NM143" s="466"/>
      <c r="NN143" s="466"/>
      <c r="NO143" s="466"/>
      <c r="NP143" s="466"/>
      <c r="NQ143" s="466"/>
      <c r="NR143" s="466"/>
      <c r="NS143" s="466"/>
      <c r="NT143" s="466"/>
      <c r="NU143" s="466"/>
      <c r="NV143" s="466"/>
      <c r="NW143" s="466"/>
      <c r="NX143" s="466"/>
      <c r="NY143" s="466"/>
      <c r="NZ143" s="466"/>
      <c r="OA143" s="466"/>
      <c r="OB143" s="466"/>
      <c r="OC143" s="466"/>
      <c r="OD143" s="466"/>
      <c r="OE143" s="466"/>
      <c r="OF143" s="466"/>
      <c r="OG143" s="466"/>
      <c r="OH143" s="466"/>
      <c r="OI143" s="466"/>
      <c r="OJ143" s="466"/>
      <c r="OK143" s="466"/>
      <c r="OL143" s="466"/>
      <c r="OM143" s="466"/>
      <c r="ON143" s="466"/>
      <c r="OO143" s="466"/>
      <c r="OP143" s="466"/>
      <c r="OQ143" s="466"/>
      <c r="OR143" s="466"/>
      <c r="OS143" s="466"/>
      <c r="OT143" s="466"/>
      <c r="OU143" s="466"/>
      <c r="OV143" s="466"/>
      <c r="OW143" s="466"/>
      <c r="OX143" s="466"/>
      <c r="OY143" s="466"/>
      <c r="OZ143" s="466"/>
      <c r="PA143" s="466"/>
      <c r="PB143" s="466"/>
      <c r="PC143" s="466"/>
      <c r="PD143" s="466"/>
      <c r="PE143" s="466"/>
      <c r="PF143" s="466"/>
      <c r="PG143" s="466"/>
      <c r="PH143" s="466"/>
    </row>
    <row r="144" spans="1:424" x14ac:dyDescent="0.35">
      <c r="A144"/>
      <c r="B144" s="91" t="s">
        <v>311</v>
      </c>
      <c r="C144" s="41"/>
      <c r="D144" s="52">
        <f>1-E144</f>
        <v>1</v>
      </c>
      <c r="E144" s="884">
        <f>0</f>
        <v>0</v>
      </c>
      <c r="F144" s="156"/>
      <c r="G144" s="48" t="str">
        <f>+B149</f>
        <v>Downtime + Free Rent</v>
      </c>
      <c r="H144" s="424">
        <f>D145*Units*(D149/12)*D144</f>
        <v>0</v>
      </c>
      <c r="I144" s="424">
        <f>E145*Units*(E149/12)*E144</f>
        <v>0</v>
      </c>
      <c r="J144"/>
      <c r="K144" s="494"/>
      <c r="L144" s="208"/>
      <c r="M144" s="208"/>
      <c r="N144" s="208"/>
      <c r="O144" s="208"/>
      <c r="P144" s="208"/>
      <c r="Q144" s="208"/>
      <c r="R144" s="208"/>
      <c r="S144" s="208"/>
      <c r="T144" s="208"/>
      <c r="U144" s="208"/>
      <c r="V144" s="208"/>
      <c r="W144" s="208"/>
      <c r="X144" s="208"/>
      <c r="Y144" s="208"/>
      <c r="Z144" s="208"/>
      <c r="AA144" s="208"/>
      <c r="AB144" s="208"/>
      <c r="AC144" s="208"/>
      <c r="AD144" s="208"/>
      <c r="AE144" s="208"/>
      <c r="AF144" s="208"/>
      <c r="AG144" s="208"/>
      <c r="AH144" s="208"/>
      <c r="AI144" s="208"/>
      <c r="AJ144" s="208"/>
      <c r="AK144" s="208"/>
      <c r="AL144" s="208"/>
      <c r="AM144" s="208"/>
      <c r="AN144" s="208"/>
      <c r="AO144" s="208"/>
      <c r="AP144" s="208"/>
      <c r="AQ144" s="208"/>
      <c r="AR144" s="208"/>
      <c r="AS144" s="208"/>
      <c r="AT144" s="208"/>
      <c r="AU144" s="208"/>
      <c r="AV144" s="208"/>
      <c r="AW144" s="208"/>
      <c r="AX144" s="208"/>
      <c r="AY144" s="208"/>
      <c r="AZ144" s="208"/>
      <c r="BA144" s="208"/>
      <c r="BB144" s="208"/>
      <c r="BC144" s="208"/>
      <c r="BD144" s="208"/>
      <c r="BE144" s="208"/>
      <c r="BF144" s="208"/>
      <c r="BG144" s="208"/>
      <c r="BH144" s="208"/>
      <c r="BI144" s="208"/>
      <c r="BJ144" s="208"/>
      <c r="BK144" s="208"/>
      <c r="BL144" s="208"/>
      <c r="BM144" s="208"/>
      <c r="BN144" s="208"/>
      <c r="BO144" s="208"/>
      <c r="BP144" s="208"/>
      <c r="BQ144" s="208"/>
      <c r="BR144" s="208"/>
      <c r="BS144" s="208"/>
      <c r="BT144" s="208"/>
      <c r="BU144" s="208"/>
      <c r="BV144" s="208"/>
      <c r="BW144" s="208"/>
      <c r="BX144" s="208"/>
      <c r="BY144" s="208"/>
      <c r="BZ144" s="208"/>
      <c r="CA144" s="208"/>
      <c r="CB144" s="208"/>
      <c r="CC144" s="208"/>
      <c r="CD144" s="208"/>
      <c r="CE144" s="208"/>
      <c r="CF144" s="208"/>
      <c r="CG144" s="208"/>
      <c r="CH144" s="208"/>
      <c r="CI144" s="208"/>
      <c r="CJ144" s="208"/>
      <c r="CK144" s="208"/>
      <c r="CL144" s="208"/>
      <c r="CM144" s="208"/>
      <c r="CN144" s="208"/>
      <c r="CO144" s="208"/>
      <c r="CP144" s="208"/>
      <c r="CQ144" s="208"/>
      <c r="CR144" s="208"/>
      <c r="CS144" s="208"/>
      <c r="CT144" s="208"/>
      <c r="CU144" s="208"/>
      <c r="CV144" s="208"/>
      <c r="CW144" s="208"/>
      <c r="CX144" s="208"/>
      <c r="CY144" s="208"/>
      <c r="CZ144" s="208"/>
      <c r="DA144" s="208"/>
      <c r="DB144" s="208"/>
      <c r="DC144" s="208"/>
      <c r="DD144" s="208"/>
      <c r="DE144" s="208"/>
      <c r="DF144" s="208"/>
      <c r="DG144" s="208"/>
      <c r="DH144" s="208"/>
      <c r="DI144" s="208"/>
      <c r="DJ144" s="208"/>
      <c r="DK144" s="208"/>
      <c r="DL144" s="208"/>
      <c r="DM144" s="208"/>
      <c r="DN144" s="208"/>
      <c r="DO144" s="208"/>
      <c r="DP144" s="208"/>
      <c r="DQ144" s="208"/>
      <c r="DR144" s="208"/>
      <c r="DS144" s="208"/>
      <c r="DT144" s="208"/>
      <c r="DU144" s="208"/>
      <c r="DV144" s="208"/>
      <c r="DW144" s="208"/>
      <c r="DX144" s="208"/>
      <c r="DY144" s="208"/>
      <c r="DZ144" s="208"/>
      <c r="EA144" s="208"/>
      <c r="EB144" s="208"/>
      <c r="EC144" s="208"/>
      <c r="ED144" s="208"/>
      <c r="EE144" s="208"/>
      <c r="EF144" s="208"/>
      <c r="EG144" s="208"/>
      <c r="EH144" s="208"/>
      <c r="EI144" s="208"/>
      <c r="EJ144" s="208"/>
      <c r="EK144" s="208"/>
      <c r="EL144" s="208"/>
      <c r="EM144" s="208"/>
      <c r="EN144" s="208"/>
      <c r="EO144" s="208"/>
      <c r="EP144" s="464"/>
      <c r="EQ144" s="465"/>
      <c r="ER144" s="465"/>
      <c r="ES144" s="465"/>
      <c r="ET144" s="465"/>
      <c r="EU144" s="465"/>
      <c r="EV144" s="465"/>
      <c r="EW144" s="465"/>
      <c r="EX144" s="465"/>
      <c r="EY144" s="465"/>
      <c r="EZ144" s="465"/>
      <c r="FA144" s="465"/>
      <c r="FB144" s="465"/>
      <c r="FC144" s="465"/>
      <c r="FD144" s="465"/>
      <c r="FE144" s="465"/>
      <c r="FF144" s="465"/>
      <c r="FG144" s="465"/>
      <c r="FH144" s="465"/>
      <c r="FI144" s="465"/>
      <c r="FJ144" s="465"/>
      <c r="FK144" s="465"/>
      <c r="FL144" s="465"/>
      <c r="FM144" s="465"/>
      <c r="FN144" s="465"/>
      <c r="FO144" s="465"/>
      <c r="FP144" s="465"/>
      <c r="FQ144" s="465"/>
      <c r="FR144" s="465"/>
      <c r="FS144" s="465"/>
      <c r="FT144" s="465"/>
      <c r="FU144" s="465"/>
      <c r="FV144" s="465"/>
      <c r="FW144" s="465"/>
      <c r="FX144" s="465"/>
      <c r="FY144" s="465"/>
      <c r="FZ144" s="465"/>
      <c r="GA144" s="465"/>
      <c r="GB144" s="465"/>
      <c r="GC144" s="465"/>
      <c r="GD144" s="465"/>
      <c r="GE144" s="465"/>
      <c r="GF144" s="465"/>
      <c r="GG144" s="465"/>
      <c r="GH144" s="465"/>
      <c r="GI144" s="465"/>
      <c r="GJ144" s="465"/>
      <c r="GK144" s="465"/>
      <c r="GL144" s="465"/>
      <c r="GM144" s="465"/>
      <c r="GN144" s="465"/>
      <c r="GO144" s="465"/>
      <c r="GP144" s="465"/>
      <c r="GQ144" s="465"/>
      <c r="GR144" s="465"/>
      <c r="GS144" s="465"/>
      <c r="GT144" s="465"/>
      <c r="GU144" s="465"/>
      <c r="GV144" s="465"/>
      <c r="GW144" s="465"/>
      <c r="GX144" s="465"/>
      <c r="GY144" s="465"/>
      <c r="GZ144" s="465"/>
      <c r="HA144" s="465"/>
      <c r="HB144" s="465"/>
      <c r="HC144" s="465"/>
      <c r="HD144" s="465"/>
      <c r="HE144" s="465"/>
      <c r="HF144" s="465"/>
      <c r="HG144" s="465"/>
      <c r="HH144" s="465"/>
      <c r="HI144" s="465"/>
      <c r="HJ144" s="465"/>
      <c r="HK144" s="465"/>
      <c r="HL144" s="465"/>
      <c r="HM144" s="465"/>
      <c r="HN144" s="465"/>
      <c r="HO144" s="465"/>
      <c r="HP144" s="465"/>
      <c r="HQ144" s="465"/>
      <c r="HR144" s="465"/>
      <c r="HS144" s="465"/>
      <c r="HT144" s="465"/>
      <c r="HU144" s="465"/>
      <c r="HV144" s="465"/>
      <c r="HW144" s="465"/>
      <c r="HX144" s="465"/>
      <c r="HY144" s="465"/>
      <c r="HZ144" s="465"/>
      <c r="IA144" s="465"/>
      <c r="IB144" s="465"/>
      <c r="IC144" s="465"/>
      <c r="ID144" s="465"/>
      <c r="IE144" s="465"/>
      <c r="IF144" s="465"/>
      <c r="IG144" s="465"/>
      <c r="IH144" s="465"/>
      <c r="II144" s="465"/>
      <c r="IJ144" s="465"/>
      <c r="IK144" s="465"/>
      <c r="IL144" s="465"/>
      <c r="IM144" s="465"/>
      <c r="IN144" s="465"/>
      <c r="IO144" s="465"/>
      <c r="IP144" s="465"/>
      <c r="IQ144" s="465"/>
      <c r="IR144" s="465"/>
      <c r="IS144" s="465"/>
      <c r="IT144" s="465"/>
      <c r="IU144" s="465"/>
      <c r="IV144" s="465"/>
      <c r="IW144" s="465"/>
      <c r="IX144" s="465"/>
      <c r="IY144" s="465"/>
      <c r="IZ144" s="465"/>
      <c r="JA144" s="465"/>
      <c r="JB144" s="465"/>
      <c r="JC144" s="465"/>
      <c r="JD144" s="465"/>
      <c r="JE144" s="465"/>
      <c r="JF144" s="465"/>
      <c r="JG144" s="465"/>
      <c r="JH144" s="465"/>
      <c r="JI144" s="465"/>
      <c r="JJ144" s="465"/>
      <c r="JK144" s="465"/>
      <c r="JL144" s="465"/>
      <c r="JM144" s="465"/>
      <c r="JN144" s="465"/>
      <c r="JO144" s="465"/>
      <c r="JP144" s="465"/>
      <c r="JQ144" s="465"/>
      <c r="JR144" s="465"/>
      <c r="JS144" s="465"/>
      <c r="JT144" s="465"/>
      <c r="JU144" s="465"/>
      <c r="JV144" s="465"/>
      <c r="JW144" s="465"/>
      <c r="JX144" s="20"/>
      <c r="JY144"/>
      <c r="JZ144" s="466"/>
      <c r="KA144" s="466"/>
      <c r="KB144" s="466"/>
      <c r="KC144" s="466"/>
      <c r="KD144" s="466"/>
      <c r="KE144" s="466"/>
      <c r="KF144" s="466"/>
      <c r="KG144" s="466"/>
      <c r="KH144" s="466"/>
      <c r="KI144" s="466"/>
      <c r="KJ144" s="466"/>
      <c r="KK144" s="466"/>
      <c r="KL144" s="466"/>
      <c r="KM144" s="466"/>
      <c r="KN144" s="466"/>
      <c r="KO144" s="466"/>
      <c r="KP144" s="466"/>
      <c r="KQ144" s="466"/>
      <c r="KR144" s="466"/>
      <c r="KS144" s="466"/>
      <c r="KT144" s="466"/>
      <c r="KU144" s="466"/>
      <c r="KV144" s="466"/>
      <c r="KW144" s="466"/>
      <c r="KX144" s="466"/>
      <c r="KY144" s="466"/>
      <c r="KZ144" s="466"/>
      <c r="LA144" s="466"/>
      <c r="LB144" s="466"/>
      <c r="LC144" s="466"/>
      <c r="LD144" s="466"/>
      <c r="LE144" s="466"/>
      <c r="LF144" s="466"/>
      <c r="LG144" s="466"/>
      <c r="LH144" s="466"/>
      <c r="LI144" s="466"/>
      <c r="LJ144" s="466"/>
      <c r="LK144" s="466"/>
      <c r="LL144" s="466"/>
      <c r="LM144" s="466"/>
      <c r="LN144" s="466"/>
      <c r="LO144" s="466"/>
      <c r="LP144" s="466"/>
      <c r="LQ144" s="466"/>
      <c r="LR144" s="466"/>
      <c r="LS144" s="466"/>
      <c r="LT144" s="466"/>
      <c r="LU144" s="466"/>
      <c r="LV144" s="466"/>
      <c r="LW144" s="466"/>
      <c r="LX144" s="466"/>
      <c r="LY144" s="466"/>
      <c r="LZ144" s="466"/>
      <c r="MA144" s="466"/>
      <c r="MB144" s="466"/>
      <c r="MC144" s="466"/>
      <c r="MD144" s="466"/>
      <c r="ME144" s="466"/>
      <c r="MF144" s="466"/>
      <c r="MG144" s="466"/>
      <c r="MH144" s="466"/>
      <c r="MI144" s="466"/>
      <c r="MJ144" s="466"/>
      <c r="MK144" s="466"/>
      <c r="ML144" s="466"/>
      <c r="MM144" s="466"/>
      <c r="MN144" s="466"/>
      <c r="MO144" s="466"/>
      <c r="MP144" s="466"/>
      <c r="MQ144" s="466"/>
      <c r="MR144" s="466"/>
      <c r="MS144" s="466"/>
      <c r="MT144" s="466"/>
      <c r="MU144" s="466"/>
      <c r="MV144" s="466"/>
      <c r="MW144" s="466"/>
      <c r="MX144" s="466"/>
      <c r="MY144" s="466"/>
      <c r="MZ144" s="466"/>
      <c r="NA144" s="466"/>
      <c r="NB144" s="466"/>
      <c r="NC144" s="466"/>
      <c r="ND144" s="466"/>
      <c r="NE144" s="466"/>
      <c r="NF144" s="466"/>
      <c r="NG144" s="466"/>
      <c r="NH144" s="466"/>
      <c r="NI144" s="466"/>
      <c r="NJ144" s="466"/>
      <c r="NK144" s="466"/>
      <c r="NL144" s="466"/>
      <c r="NM144" s="466"/>
      <c r="NN144" s="466"/>
      <c r="NO144" s="466"/>
      <c r="NP144" s="466"/>
      <c r="NQ144" s="466"/>
      <c r="NR144" s="466"/>
      <c r="NS144" s="466"/>
      <c r="NT144" s="466"/>
      <c r="NU144" s="466"/>
      <c r="NV144" s="466"/>
      <c r="NW144" s="466"/>
      <c r="NX144" s="466"/>
      <c r="NY144" s="466"/>
      <c r="NZ144" s="466"/>
      <c r="OA144" s="466"/>
      <c r="OB144" s="466"/>
      <c r="OC144" s="466"/>
      <c r="OD144" s="466"/>
      <c r="OE144" s="466"/>
      <c r="OF144" s="466"/>
      <c r="OG144" s="466"/>
      <c r="OH144" s="466"/>
      <c r="OI144" s="466"/>
      <c r="OJ144" s="466"/>
      <c r="OK144" s="466"/>
      <c r="OL144" s="466"/>
      <c r="OM144" s="466"/>
      <c r="ON144" s="466"/>
      <c r="OO144" s="466"/>
      <c r="OP144" s="466"/>
      <c r="OQ144" s="466"/>
      <c r="OR144" s="466"/>
      <c r="OS144" s="466"/>
      <c r="OT144" s="466"/>
      <c r="OU144" s="466"/>
      <c r="OV144" s="466"/>
      <c r="OW144" s="466"/>
      <c r="OX144" s="466"/>
      <c r="OY144" s="466"/>
      <c r="OZ144" s="466"/>
      <c r="PA144" s="466"/>
      <c r="PB144" s="466"/>
      <c r="PC144" s="466"/>
      <c r="PD144" s="466"/>
      <c r="PE144" s="466"/>
      <c r="PF144" s="466"/>
      <c r="PG144" s="466"/>
      <c r="PH144" s="466"/>
    </row>
    <row r="145" spans="1:424" x14ac:dyDescent="0.35">
      <c r="A145"/>
      <c r="B145" s="91" t="s">
        <v>312</v>
      </c>
      <c r="C145" s="414"/>
      <c r="D145" s="143">
        <f>$H$105</f>
        <v>194.72315541227147</v>
      </c>
      <c r="E145" s="143">
        <f>$H$105</f>
        <v>194.72315541227147</v>
      </c>
      <c r="F145" s="156" t="str">
        <f>"/"&amp;Unit_Type</f>
        <v>/M2</v>
      </c>
      <c r="G145" s="48" t="s">
        <v>313</v>
      </c>
      <c r="H145" s="424">
        <f>D146*Units_Ind*D144</f>
        <v>0</v>
      </c>
      <c r="I145" s="424">
        <f>E146*Units_Ind*E144</f>
        <v>0</v>
      </c>
      <c r="J145"/>
      <c r="K145" s="494"/>
      <c r="L145" s="208"/>
      <c r="M145" s="208"/>
      <c r="N145" s="208"/>
      <c r="O145" s="208"/>
      <c r="P145" s="208"/>
      <c r="Q145" s="208"/>
      <c r="R145" s="208"/>
      <c r="S145" s="208"/>
      <c r="T145" s="208"/>
      <c r="U145" s="208"/>
      <c r="V145" s="208"/>
      <c r="W145" s="208"/>
      <c r="X145" s="208"/>
      <c r="Y145" s="208"/>
      <c r="Z145" s="208"/>
      <c r="AA145" s="208"/>
      <c r="AB145" s="208"/>
      <c r="AC145" s="208"/>
      <c r="AD145" s="208"/>
      <c r="AE145" s="208"/>
      <c r="AF145" s="208"/>
      <c r="AG145" s="208"/>
      <c r="AH145" s="208"/>
      <c r="AI145" s="208"/>
      <c r="AJ145" s="208"/>
      <c r="AK145" s="208"/>
      <c r="AL145" s="208"/>
      <c r="AM145" s="208"/>
      <c r="AN145" s="208"/>
      <c r="AO145" s="208"/>
      <c r="AP145" s="208"/>
      <c r="AQ145" s="208"/>
      <c r="AR145" s="208"/>
      <c r="AS145" s="208"/>
      <c r="AT145" s="208"/>
      <c r="AU145" s="208"/>
      <c r="AV145" s="208"/>
      <c r="AW145" s="208"/>
      <c r="AX145" s="208"/>
      <c r="AY145" s="208"/>
      <c r="AZ145" s="208"/>
      <c r="BA145" s="208"/>
      <c r="BB145" s="208"/>
      <c r="BC145" s="208"/>
      <c r="BD145" s="208"/>
      <c r="BE145" s="208"/>
      <c r="BF145" s="208"/>
      <c r="BG145" s="208"/>
      <c r="BH145" s="208"/>
      <c r="BI145" s="208"/>
      <c r="BJ145" s="208"/>
      <c r="BK145" s="208"/>
      <c r="BL145" s="208"/>
      <c r="BM145" s="208"/>
      <c r="BN145" s="208"/>
      <c r="BO145" s="208"/>
      <c r="BP145" s="208"/>
      <c r="BQ145" s="208"/>
      <c r="BR145" s="208"/>
      <c r="BS145" s="208"/>
      <c r="BT145" s="208"/>
      <c r="BU145" s="208"/>
      <c r="BV145" s="208"/>
      <c r="BW145" s="208"/>
      <c r="BX145" s="208"/>
      <c r="BY145" s="208"/>
      <c r="BZ145" s="208"/>
      <c r="CA145" s="208"/>
      <c r="CB145" s="208"/>
      <c r="CC145" s="208"/>
      <c r="CD145" s="208"/>
      <c r="CE145" s="208"/>
      <c r="CF145" s="208"/>
      <c r="CG145" s="208"/>
      <c r="CH145" s="208"/>
      <c r="CI145" s="208"/>
      <c r="CJ145" s="208"/>
      <c r="CK145" s="208"/>
      <c r="CL145" s="208"/>
      <c r="CM145" s="208"/>
      <c r="CN145" s="208"/>
      <c r="CO145" s="208"/>
      <c r="CP145" s="208"/>
      <c r="CQ145" s="208"/>
      <c r="CR145" s="208"/>
      <c r="CS145" s="208"/>
      <c r="CT145" s="208"/>
      <c r="CU145" s="208"/>
      <c r="CV145" s="208"/>
      <c r="CW145" s="208"/>
      <c r="CX145" s="208"/>
      <c r="CY145" s="208"/>
      <c r="CZ145" s="208"/>
      <c r="DA145" s="208"/>
      <c r="DB145" s="208"/>
      <c r="DC145" s="208"/>
      <c r="DD145" s="208"/>
      <c r="DE145" s="208"/>
      <c r="DF145" s="208"/>
      <c r="DG145" s="208"/>
      <c r="DH145" s="208"/>
      <c r="DI145" s="208"/>
      <c r="DJ145" s="208"/>
      <c r="DK145" s="208"/>
      <c r="DL145" s="208"/>
      <c r="DM145" s="208"/>
      <c r="DN145" s="208"/>
      <c r="DO145" s="208"/>
      <c r="DP145" s="208"/>
      <c r="DQ145" s="208"/>
      <c r="DR145" s="208"/>
      <c r="DS145" s="208"/>
      <c r="DT145" s="208"/>
      <c r="DU145" s="208"/>
      <c r="DV145" s="208"/>
      <c r="DW145" s="208"/>
      <c r="DX145" s="208"/>
      <c r="DY145" s="208"/>
      <c r="DZ145" s="208"/>
      <c r="EA145" s="208"/>
      <c r="EB145" s="208"/>
      <c r="EC145" s="208"/>
      <c r="ED145" s="208"/>
      <c r="EE145" s="208"/>
      <c r="EF145" s="208"/>
      <c r="EG145" s="208"/>
      <c r="EH145" s="208"/>
      <c r="EI145" s="208"/>
      <c r="EJ145" s="208"/>
      <c r="EK145" s="208"/>
      <c r="EL145" s="208"/>
      <c r="EM145" s="208"/>
      <c r="EN145" s="208"/>
      <c r="EO145" s="208"/>
      <c r="EP145" s="464"/>
      <c r="EQ145" s="465"/>
      <c r="ER145" s="465"/>
      <c r="ES145" s="465"/>
      <c r="ET145" s="465"/>
      <c r="EU145" s="465"/>
      <c r="EV145" s="465"/>
      <c r="EW145" s="465"/>
      <c r="EX145" s="465"/>
      <c r="EY145" s="465"/>
      <c r="EZ145" s="465"/>
      <c r="FA145" s="465"/>
      <c r="FB145" s="465"/>
      <c r="FC145" s="465"/>
      <c r="FD145" s="465"/>
      <c r="FE145" s="465"/>
      <c r="FF145" s="465"/>
      <c r="FG145" s="465"/>
      <c r="FH145" s="465"/>
      <c r="FI145" s="465"/>
      <c r="FJ145" s="465"/>
      <c r="FK145" s="465"/>
      <c r="FL145" s="465"/>
      <c r="FM145" s="465"/>
      <c r="FN145" s="465"/>
      <c r="FO145" s="465"/>
      <c r="FP145" s="465"/>
      <c r="FQ145" s="465"/>
      <c r="FR145" s="465"/>
      <c r="FS145" s="465"/>
      <c r="FT145" s="465"/>
      <c r="FU145" s="465"/>
      <c r="FV145" s="465"/>
      <c r="FW145" s="465"/>
      <c r="FX145" s="465"/>
      <c r="FY145" s="465"/>
      <c r="FZ145" s="465"/>
      <c r="GA145" s="465"/>
      <c r="GB145" s="465"/>
      <c r="GC145" s="465"/>
      <c r="GD145" s="465"/>
      <c r="GE145" s="465"/>
      <c r="GF145" s="465"/>
      <c r="GG145" s="465"/>
      <c r="GH145" s="465"/>
      <c r="GI145" s="465"/>
      <c r="GJ145" s="465"/>
      <c r="GK145" s="465"/>
      <c r="GL145" s="465"/>
      <c r="GM145" s="465"/>
      <c r="GN145" s="465"/>
      <c r="GO145" s="465"/>
      <c r="GP145" s="465"/>
      <c r="GQ145" s="465"/>
      <c r="GR145" s="465"/>
      <c r="GS145" s="465"/>
      <c r="GT145" s="465"/>
      <c r="GU145" s="465"/>
      <c r="GV145" s="465"/>
      <c r="GW145" s="465"/>
      <c r="GX145" s="465"/>
      <c r="GY145" s="465"/>
      <c r="GZ145" s="465"/>
      <c r="HA145" s="465"/>
      <c r="HB145" s="465"/>
      <c r="HC145" s="465"/>
      <c r="HD145" s="465"/>
      <c r="HE145" s="465"/>
      <c r="HF145" s="465"/>
      <c r="HG145" s="465"/>
      <c r="HH145" s="465"/>
      <c r="HI145" s="465"/>
      <c r="HJ145" s="465"/>
      <c r="HK145" s="465"/>
      <c r="HL145" s="465"/>
      <c r="HM145" s="465"/>
      <c r="HN145" s="465"/>
      <c r="HO145" s="465"/>
      <c r="HP145" s="465"/>
      <c r="HQ145" s="465"/>
      <c r="HR145" s="465"/>
      <c r="HS145" s="465"/>
      <c r="HT145" s="465"/>
      <c r="HU145" s="465"/>
      <c r="HV145" s="465"/>
      <c r="HW145" s="465"/>
      <c r="HX145" s="465"/>
      <c r="HY145" s="465"/>
      <c r="HZ145" s="465"/>
      <c r="IA145" s="465"/>
      <c r="IB145" s="465"/>
      <c r="IC145" s="465"/>
      <c r="ID145" s="465"/>
      <c r="IE145" s="465"/>
      <c r="IF145" s="465"/>
      <c r="IG145" s="465"/>
      <c r="IH145" s="465"/>
      <c r="II145" s="465"/>
      <c r="IJ145" s="465"/>
      <c r="IK145" s="465"/>
      <c r="IL145" s="465"/>
      <c r="IM145" s="465"/>
      <c r="IN145" s="465"/>
      <c r="IO145" s="465"/>
      <c r="IP145" s="465"/>
      <c r="IQ145" s="465"/>
      <c r="IR145" s="465"/>
      <c r="IS145" s="465"/>
      <c r="IT145" s="465"/>
      <c r="IU145" s="465"/>
      <c r="IV145" s="465"/>
      <c r="IW145" s="465"/>
      <c r="IX145" s="465"/>
      <c r="IY145" s="465"/>
      <c r="IZ145" s="465"/>
      <c r="JA145" s="465"/>
      <c r="JB145" s="465"/>
      <c r="JC145" s="465"/>
      <c r="JD145" s="465"/>
      <c r="JE145" s="465"/>
      <c r="JF145" s="465"/>
      <c r="JG145" s="465"/>
      <c r="JH145" s="465"/>
      <c r="JI145" s="465"/>
      <c r="JJ145" s="465"/>
      <c r="JK145" s="465"/>
      <c r="JL145" s="465"/>
      <c r="JM145" s="465"/>
      <c r="JN145" s="465"/>
      <c r="JO145" s="465"/>
      <c r="JP145" s="465"/>
      <c r="JQ145" s="465"/>
      <c r="JR145" s="465"/>
      <c r="JS145" s="465"/>
      <c r="JT145" s="465"/>
      <c r="JU145" s="465"/>
      <c r="JV145" s="465"/>
      <c r="JW145" s="465"/>
      <c r="JX145" s="20"/>
      <c r="JY145"/>
      <c r="JZ145" s="466"/>
      <c r="KA145" s="466"/>
      <c r="KB145" s="466"/>
      <c r="KC145" s="466"/>
      <c r="KD145" s="466"/>
      <c r="KE145" s="466"/>
      <c r="KF145" s="466"/>
      <c r="KG145" s="466"/>
      <c r="KH145" s="466"/>
      <c r="KI145" s="466"/>
      <c r="KJ145" s="466"/>
      <c r="KK145" s="466"/>
      <c r="KL145" s="466"/>
      <c r="KM145" s="466"/>
      <c r="KN145" s="466"/>
      <c r="KO145" s="466"/>
      <c r="KP145" s="466"/>
      <c r="KQ145" s="466"/>
      <c r="KR145" s="466"/>
      <c r="KS145" s="466"/>
      <c r="KT145" s="466"/>
      <c r="KU145" s="466"/>
      <c r="KV145" s="466"/>
      <c r="KW145" s="466"/>
      <c r="KX145" s="466"/>
      <c r="KY145" s="466"/>
      <c r="KZ145" s="466"/>
      <c r="LA145" s="466"/>
      <c r="LB145" s="466"/>
      <c r="LC145" s="466"/>
      <c r="LD145" s="466"/>
      <c r="LE145" s="466"/>
      <c r="LF145" s="466"/>
      <c r="LG145" s="466"/>
      <c r="LH145" s="466"/>
      <c r="LI145" s="466"/>
      <c r="LJ145" s="466"/>
      <c r="LK145" s="466"/>
      <c r="LL145" s="466"/>
      <c r="LM145" s="466"/>
      <c r="LN145" s="466"/>
      <c r="LO145" s="466"/>
      <c r="LP145" s="466"/>
      <c r="LQ145" s="466"/>
      <c r="LR145" s="466"/>
      <c r="LS145" s="466"/>
      <c r="LT145" s="466"/>
      <c r="LU145" s="466"/>
      <c r="LV145" s="466"/>
      <c r="LW145" s="466"/>
      <c r="LX145" s="466"/>
      <c r="LY145" s="466"/>
      <c r="LZ145" s="466"/>
      <c r="MA145" s="466"/>
      <c r="MB145" s="466"/>
      <c r="MC145" s="466"/>
      <c r="MD145" s="466"/>
      <c r="ME145" s="466"/>
      <c r="MF145" s="466"/>
      <c r="MG145" s="466"/>
      <c r="MH145" s="466"/>
      <c r="MI145" s="466"/>
      <c r="MJ145" s="466"/>
      <c r="MK145" s="466"/>
      <c r="ML145" s="466"/>
      <c r="MM145" s="466"/>
      <c r="MN145" s="466"/>
      <c r="MO145" s="466"/>
      <c r="MP145" s="466"/>
      <c r="MQ145" s="466"/>
      <c r="MR145" s="466"/>
      <c r="MS145" s="466"/>
      <c r="MT145" s="466"/>
      <c r="MU145" s="466"/>
      <c r="MV145" s="466"/>
      <c r="MW145" s="466"/>
      <c r="MX145" s="466"/>
      <c r="MY145" s="466"/>
      <c r="MZ145" s="466"/>
      <c r="NA145" s="466"/>
      <c r="NB145" s="466"/>
      <c r="NC145" s="466"/>
      <c r="ND145" s="466"/>
      <c r="NE145" s="466"/>
      <c r="NF145" s="466"/>
      <c r="NG145" s="466"/>
      <c r="NH145" s="466"/>
      <c r="NI145" s="466"/>
      <c r="NJ145" s="466"/>
      <c r="NK145" s="466"/>
      <c r="NL145" s="466"/>
      <c r="NM145" s="466"/>
      <c r="NN145" s="466"/>
      <c r="NO145" s="466"/>
      <c r="NP145" s="466"/>
      <c r="NQ145" s="466"/>
      <c r="NR145" s="466"/>
      <c r="NS145" s="466"/>
      <c r="NT145" s="466"/>
      <c r="NU145" s="466"/>
      <c r="NV145" s="466"/>
      <c r="NW145" s="466"/>
      <c r="NX145" s="466"/>
      <c r="NY145" s="466"/>
      <c r="NZ145" s="466"/>
      <c r="OA145" s="466"/>
      <c r="OB145" s="466"/>
      <c r="OC145" s="466"/>
      <c r="OD145" s="466"/>
      <c r="OE145" s="466"/>
      <c r="OF145" s="466"/>
      <c r="OG145" s="466"/>
      <c r="OH145" s="466"/>
      <c r="OI145" s="466"/>
      <c r="OJ145" s="466"/>
      <c r="OK145" s="466"/>
      <c r="OL145" s="466"/>
      <c r="OM145" s="466"/>
      <c r="ON145" s="466"/>
      <c r="OO145" s="466"/>
      <c r="OP145" s="466"/>
      <c r="OQ145" s="466"/>
      <c r="OR145" s="466"/>
      <c r="OS145" s="466"/>
      <c r="OT145" s="466"/>
      <c r="OU145" s="466"/>
      <c r="OV145" s="466"/>
      <c r="OW145" s="466"/>
      <c r="OX145" s="466"/>
      <c r="OY145" s="466"/>
      <c r="OZ145" s="466"/>
      <c r="PA145" s="466"/>
      <c r="PB145" s="466"/>
      <c r="PC145" s="466"/>
      <c r="PD145" s="466"/>
      <c r="PE145" s="466"/>
      <c r="PF145" s="466"/>
      <c r="PG145" s="466"/>
      <c r="PH145" s="466"/>
    </row>
    <row r="146" spans="1:424" x14ac:dyDescent="0.35">
      <c r="A146"/>
      <c r="B146" s="91" t="s">
        <v>313</v>
      </c>
      <c r="C146" s="157"/>
      <c r="D146" s="297">
        <f>0</f>
        <v>0</v>
      </c>
      <c r="E146" s="297">
        <f>0</f>
        <v>0</v>
      </c>
      <c r="F146" s="156" t="str">
        <f>"/"&amp;Unit_Type</f>
        <v>/M2</v>
      </c>
      <c r="G146" s="48" t="s">
        <v>314</v>
      </c>
      <c r="H146" s="477">
        <f>(D145*Units_Ind*D148*D147)*D144</f>
        <v>0</v>
      </c>
      <c r="I146" s="477">
        <f>(E145*Units_Ind*E148*E147)*E144</f>
        <v>0</v>
      </c>
      <c r="J146"/>
      <c r="K146" s="494"/>
      <c r="L146" s="208"/>
      <c r="M146" s="208"/>
      <c r="N146" s="208"/>
      <c r="O146" s="208"/>
      <c r="P146" s="208"/>
      <c r="Q146" s="208"/>
      <c r="R146" s="208"/>
      <c r="S146" s="208"/>
      <c r="T146" s="208"/>
      <c r="U146" s="208"/>
      <c r="V146" s="208"/>
      <c r="W146" s="208"/>
      <c r="X146" s="208"/>
      <c r="Y146" s="208"/>
      <c r="Z146" s="208"/>
      <c r="AA146" s="208"/>
      <c r="AB146" s="208"/>
      <c r="AC146" s="208"/>
      <c r="AD146" s="208"/>
      <c r="AE146" s="208"/>
      <c r="AF146" s="208"/>
      <c r="AG146" s="208"/>
      <c r="AH146" s="208"/>
      <c r="AI146" s="208"/>
      <c r="AJ146" s="208"/>
      <c r="AK146" s="208"/>
      <c r="AL146" s="208"/>
      <c r="AM146" s="208"/>
      <c r="AN146" s="208"/>
      <c r="AO146" s="208"/>
      <c r="AP146" s="208"/>
      <c r="AQ146" s="208"/>
      <c r="AR146" s="208"/>
      <c r="AS146" s="208"/>
      <c r="AT146" s="208"/>
      <c r="AU146" s="208"/>
      <c r="AV146" s="208"/>
      <c r="AW146" s="208"/>
      <c r="AX146" s="208"/>
      <c r="AY146" s="208"/>
      <c r="AZ146" s="208"/>
      <c r="BA146" s="208"/>
      <c r="BB146" s="208"/>
      <c r="BC146" s="208"/>
      <c r="BD146" s="208"/>
      <c r="BE146" s="208"/>
      <c r="BF146" s="208"/>
      <c r="BG146" s="208"/>
      <c r="BH146" s="208"/>
      <c r="BI146" s="208"/>
      <c r="BJ146" s="208"/>
      <c r="BK146" s="208"/>
      <c r="BL146" s="208"/>
      <c r="BM146" s="208"/>
      <c r="BN146" s="208"/>
      <c r="BO146" s="208"/>
      <c r="BP146" s="208"/>
      <c r="BQ146" s="208"/>
      <c r="BR146" s="208"/>
      <c r="BS146" s="208"/>
      <c r="BT146" s="208"/>
      <c r="BU146" s="208"/>
      <c r="BV146" s="208"/>
      <c r="BW146" s="208"/>
      <c r="BX146" s="208"/>
      <c r="BY146" s="208"/>
      <c r="BZ146" s="208"/>
      <c r="CA146" s="208"/>
      <c r="CB146" s="208"/>
      <c r="CC146" s="208"/>
      <c r="CD146" s="208"/>
      <c r="CE146" s="208"/>
      <c r="CF146" s="208"/>
      <c r="CG146" s="208"/>
      <c r="CH146" s="208"/>
      <c r="CI146" s="208"/>
      <c r="CJ146" s="208"/>
      <c r="CK146" s="208"/>
      <c r="CL146" s="208"/>
      <c r="CM146" s="208"/>
      <c r="CN146" s="208"/>
      <c r="CO146" s="208"/>
      <c r="CP146" s="208"/>
      <c r="CQ146" s="208"/>
      <c r="CR146" s="208"/>
      <c r="CS146" s="208"/>
      <c r="CT146" s="208"/>
      <c r="CU146" s="208"/>
      <c r="CV146" s="208"/>
      <c r="CW146" s="208"/>
      <c r="CX146" s="208"/>
      <c r="CY146" s="208"/>
      <c r="CZ146" s="208"/>
      <c r="DA146" s="208"/>
      <c r="DB146" s="208"/>
      <c r="DC146" s="208"/>
      <c r="DD146" s="208"/>
      <c r="DE146" s="208"/>
      <c r="DF146" s="208"/>
      <c r="DG146" s="208"/>
      <c r="DH146" s="208"/>
      <c r="DI146" s="208"/>
      <c r="DJ146" s="208"/>
      <c r="DK146" s="208"/>
      <c r="DL146" s="208"/>
      <c r="DM146" s="208"/>
      <c r="DN146" s="208"/>
      <c r="DO146" s="208"/>
      <c r="DP146" s="208"/>
      <c r="DQ146" s="208"/>
      <c r="DR146" s="208"/>
      <c r="DS146" s="208"/>
      <c r="DT146" s="208"/>
      <c r="DU146" s="208"/>
      <c r="DV146" s="208"/>
      <c r="DW146" s="208"/>
      <c r="DX146" s="208"/>
      <c r="DY146" s="208"/>
      <c r="DZ146" s="208"/>
      <c r="EA146" s="208"/>
      <c r="EB146" s="208"/>
      <c r="EC146" s="208"/>
      <c r="ED146" s="208"/>
      <c r="EE146" s="208"/>
      <c r="EF146" s="208"/>
      <c r="EG146" s="208"/>
      <c r="EH146" s="208"/>
      <c r="EI146" s="208"/>
      <c r="EJ146" s="208"/>
      <c r="EK146" s="208"/>
      <c r="EL146" s="208"/>
      <c r="EM146" s="208"/>
      <c r="EN146" s="208"/>
      <c r="EO146" s="208"/>
      <c r="EP146" s="464"/>
      <c r="EQ146" s="465"/>
      <c r="ER146" s="465"/>
      <c r="ES146" s="465"/>
      <c r="ET146" s="465"/>
      <c r="EU146" s="465"/>
      <c r="EV146" s="465"/>
      <c r="EW146" s="465"/>
      <c r="EX146" s="465"/>
      <c r="EY146" s="465"/>
      <c r="EZ146" s="465"/>
      <c r="FA146" s="465"/>
      <c r="FB146" s="465"/>
      <c r="FC146" s="465"/>
      <c r="FD146" s="465"/>
      <c r="FE146" s="465"/>
      <c r="FF146" s="465"/>
      <c r="FG146" s="465"/>
      <c r="FH146" s="465"/>
      <c r="FI146" s="465"/>
      <c r="FJ146" s="465"/>
      <c r="FK146" s="465"/>
      <c r="FL146" s="465"/>
      <c r="FM146" s="465"/>
      <c r="FN146" s="465"/>
      <c r="FO146" s="465"/>
      <c r="FP146" s="465"/>
      <c r="FQ146" s="465"/>
      <c r="FR146" s="465"/>
      <c r="FS146" s="465"/>
      <c r="FT146" s="465"/>
      <c r="FU146" s="465"/>
      <c r="FV146" s="465"/>
      <c r="FW146" s="465"/>
      <c r="FX146" s="465"/>
      <c r="FY146" s="465"/>
      <c r="FZ146" s="465"/>
      <c r="GA146" s="465"/>
      <c r="GB146" s="465"/>
      <c r="GC146" s="465"/>
      <c r="GD146" s="465"/>
      <c r="GE146" s="465"/>
      <c r="GF146" s="465"/>
      <c r="GG146" s="465"/>
      <c r="GH146" s="465"/>
      <c r="GI146" s="465"/>
      <c r="GJ146" s="465"/>
      <c r="GK146" s="465"/>
      <c r="GL146" s="465"/>
      <c r="GM146" s="465"/>
      <c r="GN146" s="465"/>
      <c r="GO146" s="465"/>
      <c r="GP146" s="465"/>
      <c r="GQ146" s="465"/>
      <c r="GR146" s="465"/>
      <c r="GS146" s="465"/>
      <c r="GT146" s="465"/>
      <c r="GU146" s="465"/>
      <c r="GV146" s="465"/>
      <c r="GW146" s="465"/>
      <c r="GX146" s="465"/>
      <c r="GY146" s="465"/>
      <c r="GZ146" s="465"/>
      <c r="HA146" s="465"/>
      <c r="HB146" s="465"/>
      <c r="HC146" s="465"/>
      <c r="HD146" s="465"/>
      <c r="HE146" s="465"/>
      <c r="HF146" s="465"/>
      <c r="HG146" s="465"/>
      <c r="HH146" s="465"/>
      <c r="HI146" s="465"/>
      <c r="HJ146" s="465"/>
      <c r="HK146" s="465"/>
      <c r="HL146" s="465"/>
      <c r="HM146" s="465"/>
      <c r="HN146" s="465"/>
      <c r="HO146" s="465"/>
      <c r="HP146" s="465"/>
      <c r="HQ146" s="465"/>
      <c r="HR146" s="465"/>
      <c r="HS146" s="465"/>
      <c r="HT146" s="465"/>
      <c r="HU146" s="465"/>
      <c r="HV146" s="465"/>
      <c r="HW146" s="465"/>
      <c r="HX146" s="465"/>
      <c r="HY146" s="465"/>
      <c r="HZ146" s="465"/>
      <c r="IA146" s="465"/>
      <c r="IB146" s="465"/>
      <c r="IC146" s="465"/>
      <c r="ID146" s="465"/>
      <c r="IE146" s="465"/>
      <c r="IF146" s="465"/>
      <c r="IG146" s="465"/>
      <c r="IH146" s="465"/>
      <c r="II146" s="465"/>
      <c r="IJ146" s="465"/>
      <c r="IK146" s="465"/>
      <c r="IL146" s="465"/>
      <c r="IM146" s="465"/>
      <c r="IN146" s="465"/>
      <c r="IO146" s="465"/>
      <c r="IP146" s="465"/>
      <c r="IQ146" s="465"/>
      <c r="IR146" s="465"/>
      <c r="IS146" s="465"/>
      <c r="IT146" s="465"/>
      <c r="IU146" s="465"/>
      <c r="IV146" s="465"/>
      <c r="IW146" s="465"/>
      <c r="IX146" s="465"/>
      <c r="IY146" s="465"/>
      <c r="IZ146" s="465"/>
      <c r="JA146" s="465"/>
      <c r="JB146" s="465"/>
      <c r="JC146" s="465"/>
      <c r="JD146" s="465"/>
      <c r="JE146" s="465"/>
      <c r="JF146" s="465"/>
      <c r="JG146" s="465"/>
      <c r="JH146" s="465"/>
      <c r="JI146" s="465"/>
      <c r="JJ146" s="465"/>
      <c r="JK146" s="465"/>
      <c r="JL146" s="465"/>
      <c r="JM146" s="465"/>
      <c r="JN146" s="465"/>
      <c r="JO146" s="465"/>
      <c r="JP146" s="465"/>
      <c r="JQ146" s="465"/>
      <c r="JR146" s="465"/>
      <c r="JS146" s="465"/>
      <c r="JT146" s="465"/>
      <c r="JU146" s="465"/>
      <c r="JV146" s="465"/>
      <c r="JW146" s="465"/>
      <c r="JX146" s="20"/>
      <c r="JY146"/>
      <c r="JZ146" s="466"/>
      <c r="KA146" s="466"/>
      <c r="KB146" s="466"/>
      <c r="KC146" s="466"/>
      <c r="KD146" s="466"/>
      <c r="KE146" s="466"/>
      <c r="KF146" s="466"/>
      <c r="KG146" s="466"/>
      <c r="KH146" s="466"/>
      <c r="KI146" s="466"/>
      <c r="KJ146" s="466"/>
      <c r="KK146" s="466"/>
      <c r="KL146" s="466"/>
      <c r="KM146" s="466"/>
      <c r="KN146" s="466"/>
      <c r="KO146" s="466"/>
      <c r="KP146" s="466"/>
      <c r="KQ146" s="466"/>
      <c r="KR146" s="466"/>
      <c r="KS146" s="466"/>
      <c r="KT146" s="466"/>
      <c r="KU146" s="466"/>
      <c r="KV146" s="466"/>
      <c r="KW146" s="466"/>
      <c r="KX146" s="466"/>
      <c r="KY146" s="466"/>
      <c r="KZ146" s="466"/>
      <c r="LA146" s="466"/>
      <c r="LB146" s="466"/>
      <c r="LC146" s="466"/>
      <c r="LD146" s="466"/>
      <c r="LE146" s="466"/>
      <c r="LF146" s="466"/>
      <c r="LG146" s="466"/>
      <c r="LH146" s="466"/>
      <c r="LI146" s="466"/>
      <c r="LJ146" s="466"/>
      <c r="LK146" s="466"/>
      <c r="LL146" s="466"/>
      <c r="LM146" s="466"/>
      <c r="LN146" s="466"/>
      <c r="LO146" s="466"/>
      <c r="LP146" s="466"/>
      <c r="LQ146" s="466"/>
      <c r="LR146" s="466"/>
      <c r="LS146" s="466"/>
      <c r="LT146" s="466"/>
      <c r="LU146" s="466"/>
      <c r="LV146" s="466"/>
      <c r="LW146" s="466"/>
      <c r="LX146" s="466"/>
      <c r="LY146" s="466"/>
      <c r="LZ146" s="466"/>
      <c r="MA146" s="466"/>
      <c r="MB146" s="466"/>
      <c r="MC146" s="466"/>
      <c r="MD146" s="466"/>
      <c r="ME146" s="466"/>
      <c r="MF146" s="466"/>
      <c r="MG146" s="466"/>
      <c r="MH146" s="466"/>
      <c r="MI146" s="466"/>
      <c r="MJ146" s="466"/>
      <c r="MK146" s="466"/>
      <c r="ML146" s="466"/>
      <c r="MM146" s="466"/>
      <c r="MN146" s="466"/>
      <c r="MO146" s="466"/>
      <c r="MP146" s="466"/>
      <c r="MQ146" s="466"/>
      <c r="MR146" s="466"/>
      <c r="MS146" s="466"/>
      <c r="MT146" s="466"/>
      <c r="MU146" s="466"/>
      <c r="MV146" s="466"/>
      <c r="MW146" s="466"/>
      <c r="MX146" s="466"/>
      <c r="MY146" s="466"/>
      <c r="MZ146" s="466"/>
      <c r="NA146" s="466"/>
      <c r="NB146" s="466"/>
      <c r="NC146" s="466"/>
      <c r="ND146" s="466"/>
      <c r="NE146" s="466"/>
      <c r="NF146" s="466"/>
      <c r="NG146" s="466"/>
      <c r="NH146" s="466"/>
      <c r="NI146" s="466"/>
      <c r="NJ146" s="466"/>
      <c r="NK146" s="466"/>
      <c r="NL146" s="466"/>
      <c r="NM146" s="466"/>
      <c r="NN146" s="466"/>
      <c r="NO146" s="466"/>
      <c r="NP146" s="466"/>
      <c r="NQ146" s="466"/>
      <c r="NR146" s="466"/>
      <c r="NS146" s="466"/>
      <c r="NT146" s="466"/>
      <c r="NU146" s="466"/>
      <c r="NV146" s="466"/>
      <c r="NW146" s="466"/>
      <c r="NX146" s="466"/>
      <c r="NY146" s="466"/>
      <c r="NZ146" s="466"/>
      <c r="OA146" s="466"/>
      <c r="OB146" s="466"/>
      <c r="OC146" s="466"/>
      <c r="OD146" s="466"/>
      <c r="OE146" s="466"/>
      <c r="OF146" s="466"/>
      <c r="OG146" s="466"/>
      <c r="OH146" s="466"/>
      <c r="OI146" s="466"/>
      <c r="OJ146" s="466"/>
      <c r="OK146" s="466"/>
      <c r="OL146" s="466"/>
      <c r="OM146" s="466"/>
      <c r="ON146" s="466"/>
      <c r="OO146" s="466"/>
      <c r="OP146" s="466"/>
      <c r="OQ146" s="466"/>
      <c r="OR146" s="466"/>
      <c r="OS146" s="466"/>
      <c r="OT146" s="466"/>
      <c r="OU146" s="466"/>
      <c r="OV146" s="466"/>
      <c r="OW146" s="466"/>
      <c r="OX146" s="466"/>
      <c r="OY146" s="466"/>
      <c r="OZ146" s="466"/>
      <c r="PA146" s="466"/>
      <c r="PB146" s="466"/>
      <c r="PC146" s="466"/>
      <c r="PD146" s="466"/>
      <c r="PE146" s="466"/>
      <c r="PF146" s="466"/>
      <c r="PG146" s="466"/>
      <c r="PH146" s="466"/>
    </row>
    <row r="147" spans="1:424" x14ac:dyDescent="0.35">
      <c r="A147"/>
      <c r="B147" s="91" t="s">
        <v>314</v>
      </c>
      <c r="C147" s="53"/>
      <c r="D147" s="884">
        <f>0</f>
        <v>0</v>
      </c>
      <c r="E147" s="884">
        <f>0</f>
        <v>0</v>
      </c>
      <c r="F147" s="156"/>
      <c r="G147" s="48" t="s">
        <v>315</v>
      </c>
      <c r="H147" s="424">
        <f>SUM(H144:H146)</f>
        <v>0</v>
      </c>
      <c r="I147" s="424">
        <f>SUM(I144:I146)</f>
        <v>0</v>
      </c>
      <c r="J147"/>
      <c r="K147" s="494"/>
      <c r="L147" s="208"/>
      <c r="M147" s="208"/>
      <c r="N147" s="208"/>
      <c r="O147" s="208"/>
      <c r="P147" s="208"/>
      <c r="Q147" s="208"/>
      <c r="R147" s="208"/>
      <c r="S147" s="208"/>
      <c r="T147" s="208"/>
      <c r="U147" s="208"/>
      <c r="V147" s="208"/>
      <c r="W147" s="208"/>
      <c r="X147" s="208"/>
      <c r="Y147" s="208"/>
      <c r="Z147" s="208"/>
      <c r="AA147" s="208"/>
      <c r="AB147" s="208"/>
      <c r="AC147" s="208"/>
      <c r="AD147" s="208"/>
      <c r="AE147" s="208"/>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c r="BS147" s="208"/>
      <c r="BT147" s="208"/>
      <c r="BU147" s="208"/>
      <c r="BV147" s="208"/>
      <c r="BW147" s="208"/>
      <c r="BX147" s="208"/>
      <c r="BY147" s="208"/>
      <c r="BZ147" s="208"/>
      <c r="CA147" s="208"/>
      <c r="CB147" s="208"/>
      <c r="CC147" s="208"/>
      <c r="CD147" s="208"/>
      <c r="CE147" s="208"/>
      <c r="CF147" s="208"/>
      <c r="CG147" s="208"/>
      <c r="CH147" s="208"/>
      <c r="CI147" s="208"/>
      <c r="CJ147" s="208"/>
      <c r="CK147" s="208"/>
      <c r="CL147" s="208"/>
      <c r="CM147" s="208"/>
      <c r="CN147" s="208"/>
      <c r="CO147" s="208"/>
      <c r="CP147" s="208"/>
      <c r="CQ147" s="208"/>
      <c r="CR147" s="208"/>
      <c r="CS147" s="208"/>
      <c r="CT147" s="208"/>
      <c r="CU147" s="208"/>
      <c r="CV147" s="208"/>
      <c r="CW147" s="208"/>
      <c r="CX147" s="208"/>
      <c r="CY147" s="208"/>
      <c r="CZ147" s="208"/>
      <c r="DA147" s="208"/>
      <c r="DB147" s="208"/>
      <c r="DC147" s="208"/>
      <c r="DD147" s="208"/>
      <c r="DE147" s="208"/>
      <c r="DF147" s="208"/>
      <c r="DG147" s="208"/>
      <c r="DH147" s="208"/>
      <c r="DI147" s="208"/>
      <c r="DJ147" s="208"/>
      <c r="DK147" s="208"/>
      <c r="DL147" s="208"/>
      <c r="DM147" s="208"/>
      <c r="DN147" s="208"/>
      <c r="DO147" s="208"/>
      <c r="DP147" s="208"/>
      <c r="DQ147" s="208"/>
      <c r="DR147" s="208"/>
      <c r="DS147" s="208"/>
      <c r="DT147" s="208"/>
      <c r="DU147" s="208"/>
      <c r="DV147" s="208"/>
      <c r="DW147" s="208"/>
      <c r="DX147" s="208"/>
      <c r="DY147" s="208"/>
      <c r="DZ147" s="208"/>
      <c r="EA147" s="208"/>
      <c r="EB147" s="208"/>
      <c r="EC147" s="208"/>
      <c r="ED147" s="208"/>
      <c r="EE147" s="208"/>
      <c r="EF147" s="208"/>
      <c r="EG147" s="208"/>
      <c r="EH147" s="208"/>
      <c r="EI147" s="208"/>
      <c r="EJ147" s="208"/>
      <c r="EK147" s="208"/>
      <c r="EL147" s="208"/>
      <c r="EM147" s="208"/>
      <c r="EN147" s="208"/>
      <c r="EO147" s="208"/>
      <c r="EP147" s="464"/>
      <c r="EQ147" s="465"/>
      <c r="ER147" s="465"/>
      <c r="ES147" s="465"/>
      <c r="ET147" s="465"/>
      <c r="EU147" s="465"/>
      <c r="EV147" s="465"/>
      <c r="EW147" s="465"/>
      <c r="EX147" s="465"/>
      <c r="EY147" s="465"/>
      <c r="EZ147" s="465"/>
      <c r="FA147" s="465"/>
      <c r="FB147" s="465"/>
      <c r="FC147" s="465"/>
      <c r="FD147" s="465"/>
      <c r="FE147" s="465"/>
      <c r="FF147" s="465"/>
      <c r="FG147" s="465"/>
      <c r="FH147" s="465"/>
      <c r="FI147" s="465"/>
      <c r="FJ147" s="465"/>
      <c r="FK147" s="465"/>
      <c r="FL147" s="465"/>
      <c r="FM147" s="465"/>
      <c r="FN147" s="465"/>
      <c r="FO147" s="465"/>
      <c r="FP147" s="465"/>
      <c r="FQ147" s="465"/>
      <c r="FR147" s="465"/>
      <c r="FS147" s="465"/>
      <c r="FT147" s="465"/>
      <c r="FU147" s="465"/>
      <c r="FV147" s="465"/>
      <c r="FW147" s="465"/>
      <c r="FX147" s="465"/>
      <c r="FY147" s="465"/>
      <c r="FZ147" s="465"/>
      <c r="GA147" s="465"/>
      <c r="GB147" s="465"/>
      <c r="GC147" s="465"/>
      <c r="GD147" s="465"/>
      <c r="GE147" s="465"/>
      <c r="GF147" s="465"/>
      <c r="GG147" s="465"/>
      <c r="GH147" s="465"/>
      <c r="GI147" s="465"/>
      <c r="GJ147" s="465"/>
      <c r="GK147" s="465"/>
      <c r="GL147" s="465"/>
      <c r="GM147" s="465"/>
      <c r="GN147" s="465"/>
      <c r="GO147" s="465"/>
      <c r="GP147" s="465"/>
      <c r="GQ147" s="465"/>
      <c r="GR147" s="465"/>
      <c r="GS147" s="465"/>
      <c r="GT147" s="465"/>
      <c r="GU147" s="465"/>
      <c r="GV147" s="465"/>
      <c r="GW147" s="465"/>
      <c r="GX147" s="465"/>
      <c r="GY147" s="465"/>
      <c r="GZ147" s="465"/>
      <c r="HA147" s="465"/>
      <c r="HB147" s="465"/>
      <c r="HC147" s="465"/>
      <c r="HD147" s="465"/>
      <c r="HE147" s="465"/>
      <c r="HF147" s="465"/>
      <c r="HG147" s="465"/>
      <c r="HH147" s="465"/>
      <c r="HI147" s="465"/>
      <c r="HJ147" s="465"/>
      <c r="HK147" s="465"/>
      <c r="HL147" s="465"/>
      <c r="HM147" s="465"/>
      <c r="HN147" s="465"/>
      <c r="HO147" s="465"/>
      <c r="HP147" s="465"/>
      <c r="HQ147" s="465"/>
      <c r="HR147" s="465"/>
      <c r="HS147" s="465"/>
      <c r="HT147" s="465"/>
      <c r="HU147" s="465"/>
      <c r="HV147" s="465"/>
      <c r="HW147" s="465"/>
      <c r="HX147" s="465"/>
      <c r="HY147" s="465"/>
      <c r="HZ147" s="465"/>
      <c r="IA147" s="465"/>
      <c r="IB147" s="465"/>
      <c r="IC147" s="465"/>
      <c r="ID147" s="465"/>
      <c r="IE147" s="465"/>
      <c r="IF147" s="465"/>
      <c r="IG147" s="465"/>
      <c r="IH147" s="465"/>
      <c r="II147" s="465"/>
      <c r="IJ147" s="465"/>
      <c r="IK147" s="465"/>
      <c r="IL147" s="465"/>
      <c r="IM147" s="465"/>
      <c r="IN147" s="465"/>
      <c r="IO147" s="465"/>
      <c r="IP147" s="465"/>
      <c r="IQ147" s="465"/>
      <c r="IR147" s="465"/>
      <c r="IS147" s="465"/>
      <c r="IT147" s="465"/>
      <c r="IU147" s="465"/>
      <c r="IV147" s="465"/>
      <c r="IW147" s="465"/>
      <c r="IX147" s="465"/>
      <c r="IY147" s="465"/>
      <c r="IZ147" s="465"/>
      <c r="JA147" s="465"/>
      <c r="JB147" s="465"/>
      <c r="JC147" s="465"/>
      <c r="JD147" s="465"/>
      <c r="JE147" s="465"/>
      <c r="JF147" s="465"/>
      <c r="JG147" s="465"/>
      <c r="JH147" s="465"/>
      <c r="JI147" s="465"/>
      <c r="JJ147" s="465"/>
      <c r="JK147" s="465"/>
      <c r="JL147" s="465"/>
      <c r="JM147" s="465"/>
      <c r="JN147" s="465"/>
      <c r="JO147" s="465"/>
      <c r="JP147" s="465"/>
      <c r="JQ147" s="465"/>
      <c r="JR147" s="465"/>
      <c r="JS147" s="465"/>
      <c r="JT147" s="465"/>
      <c r="JU147" s="465"/>
      <c r="JV147" s="465"/>
      <c r="JW147" s="465"/>
      <c r="JX147" s="20"/>
      <c r="JY147"/>
      <c r="JZ147" s="466"/>
      <c r="KA147" s="466"/>
      <c r="KB147" s="466"/>
      <c r="KC147" s="466"/>
      <c r="KD147" s="466"/>
      <c r="KE147" s="466"/>
      <c r="KF147" s="466"/>
      <c r="KG147" s="466"/>
      <c r="KH147" s="466"/>
      <c r="KI147" s="466"/>
      <c r="KJ147" s="466"/>
      <c r="KK147" s="466"/>
      <c r="KL147" s="466"/>
      <c r="KM147" s="466"/>
      <c r="KN147" s="466"/>
      <c r="KO147" s="466"/>
      <c r="KP147" s="466"/>
      <c r="KQ147" s="466"/>
      <c r="KR147" s="466"/>
      <c r="KS147" s="466"/>
      <c r="KT147" s="466"/>
      <c r="KU147" s="466"/>
      <c r="KV147" s="466"/>
      <c r="KW147" s="466"/>
      <c r="KX147" s="466"/>
      <c r="KY147" s="466"/>
      <c r="KZ147" s="466"/>
      <c r="LA147" s="466"/>
      <c r="LB147" s="466"/>
      <c r="LC147" s="466"/>
      <c r="LD147" s="466"/>
      <c r="LE147" s="466"/>
      <c r="LF147" s="466"/>
      <c r="LG147" s="466"/>
      <c r="LH147" s="466"/>
      <c r="LI147" s="466"/>
      <c r="LJ147" s="466"/>
      <c r="LK147" s="466"/>
      <c r="LL147" s="466"/>
      <c r="LM147" s="466"/>
      <c r="LN147" s="466"/>
      <c r="LO147" s="466"/>
      <c r="LP147" s="466"/>
      <c r="LQ147" s="466"/>
      <c r="LR147" s="466"/>
      <c r="LS147" s="466"/>
      <c r="LT147" s="466"/>
      <c r="LU147" s="466"/>
      <c r="LV147" s="466"/>
      <c r="LW147" s="466"/>
      <c r="LX147" s="466"/>
      <c r="LY147" s="466"/>
      <c r="LZ147" s="466"/>
      <c r="MA147" s="466"/>
      <c r="MB147" s="466"/>
      <c r="MC147" s="466"/>
      <c r="MD147" s="466"/>
      <c r="ME147" s="466"/>
      <c r="MF147" s="466"/>
      <c r="MG147" s="466"/>
      <c r="MH147" s="466"/>
      <c r="MI147" s="466"/>
      <c r="MJ147" s="466"/>
      <c r="MK147" s="466"/>
      <c r="ML147" s="466"/>
      <c r="MM147" s="466"/>
      <c r="MN147" s="466"/>
      <c r="MO147" s="466"/>
      <c r="MP147" s="466"/>
      <c r="MQ147" s="466"/>
      <c r="MR147" s="466"/>
      <c r="MS147" s="466"/>
      <c r="MT147" s="466"/>
      <c r="MU147" s="466"/>
      <c r="MV147" s="466"/>
      <c r="MW147" s="466"/>
      <c r="MX147" s="466"/>
      <c r="MY147" s="466"/>
      <c r="MZ147" s="466"/>
      <c r="NA147" s="466"/>
      <c r="NB147" s="466"/>
      <c r="NC147" s="466"/>
      <c r="ND147" s="466"/>
      <c r="NE147" s="466"/>
      <c r="NF147" s="466"/>
      <c r="NG147" s="466"/>
      <c r="NH147" s="466"/>
      <c r="NI147" s="466"/>
      <c r="NJ147" s="466"/>
      <c r="NK147" s="466"/>
      <c r="NL147" s="466"/>
      <c r="NM147" s="466"/>
      <c r="NN147" s="466"/>
      <c r="NO147" s="466"/>
      <c r="NP147" s="466"/>
      <c r="NQ147" s="466"/>
      <c r="NR147" s="466"/>
      <c r="NS147" s="466"/>
      <c r="NT147" s="466"/>
      <c r="NU147" s="466"/>
      <c r="NV147" s="466"/>
      <c r="NW147" s="466"/>
      <c r="NX147" s="466"/>
      <c r="NY147" s="466"/>
      <c r="NZ147" s="466"/>
      <c r="OA147" s="466"/>
      <c r="OB147" s="466"/>
      <c r="OC147" s="466"/>
      <c r="OD147" s="466"/>
      <c r="OE147" s="466"/>
      <c r="OF147" s="466"/>
      <c r="OG147" s="466"/>
      <c r="OH147" s="466"/>
      <c r="OI147" s="466"/>
      <c r="OJ147" s="466"/>
      <c r="OK147" s="466"/>
      <c r="OL147" s="466"/>
      <c r="OM147" s="466"/>
      <c r="ON147" s="466"/>
      <c r="OO147" s="466"/>
      <c r="OP147" s="466"/>
      <c r="OQ147" s="466"/>
      <c r="OR147" s="466"/>
      <c r="OS147" s="466"/>
      <c r="OT147" s="466"/>
      <c r="OU147" s="466"/>
      <c r="OV147" s="466"/>
      <c r="OW147" s="466"/>
      <c r="OX147" s="466"/>
      <c r="OY147" s="466"/>
      <c r="OZ147" s="466"/>
      <c r="PA147" s="466"/>
      <c r="PB147" s="466"/>
      <c r="PC147" s="466"/>
      <c r="PD147" s="466"/>
      <c r="PE147" s="466"/>
      <c r="PF147" s="466"/>
      <c r="PG147" s="466"/>
      <c r="PH147" s="466"/>
    </row>
    <row r="148" spans="1:424" x14ac:dyDescent="0.35">
      <c r="A148"/>
      <c r="B148" s="158" t="s">
        <v>316</v>
      </c>
      <c r="C148" s="159"/>
      <c r="D148" s="885">
        <f>'INPUT REGISTER'!$F$483</f>
        <v>3</v>
      </c>
      <c r="E148" s="885">
        <f>'INPUT REGISTER'!$F$483</f>
        <v>3</v>
      </c>
      <c r="F148" s="156"/>
      <c r="G148" s="48" t="s">
        <v>317</v>
      </c>
      <c r="H148" s="424">
        <f>H147/D148</f>
        <v>0</v>
      </c>
      <c r="I148" s="424">
        <f>I147/E148</f>
        <v>0</v>
      </c>
      <c r="J148"/>
      <c r="K148" s="494"/>
      <c r="L148" s="208"/>
      <c r="M148" s="208"/>
      <c r="N148" s="208"/>
      <c r="O148" s="208"/>
      <c r="P148" s="208"/>
      <c r="Q148" s="208"/>
      <c r="R148" s="208"/>
      <c r="S148" s="208"/>
      <c r="T148" s="208"/>
      <c r="U148" s="208"/>
      <c r="V148" s="208"/>
      <c r="W148" s="208"/>
      <c r="X148" s="208"/>
      <c r="Y148" s="208"/>
      <c r="Z148" s="208"/>
      <c r="AA148" s="208"/>
      <c r="AB148" s="208"/>
      <c r="AC148" s="208"/>
      <c r="AD148" s="208"/>
      <c r="AE148" s="208"/>
      <c r="AF148" s="208"/>
      <c r="AG148" s="208"/>
      <c r="AH148" s="208"/>
      <c r="AI148" s="208"/>
      <c r="AJ148" s="208"/>
      <c r="AK148" s="208"/>
      <c r="AL148" s="208"/>
      <c r="AM148" s="208"/>
      <c r="AN148" s="208"/>
      <c r="AO148" s="208"/>
      <c r="AP148" s="208"/>
      <c r="AQ148" s="208"/>
      <c r="AR148" s="208"/>
      <c r="AS148" s="208"/>
      <c r="AT148" s="208"/>
      <c r="AU148" s="208"/>
      <c r="AV148" s="208"/>
      <c r="AW148" s="208"/>
      <c r="AX148" s="208"/>
      <c r="AY148" s="208"/>
      <c r="AZ148" s="208"/>
      <c r="BA148" s="208"/>
      <c r="BB148" s="208"/>
      <c r="BC148" s="208"/>
      <c r="BD148" s="208"/>
      <c r="BE148" s="208"/>
      <c r="BF148" s="208"/>
      <c r="BG148" s="208"/>
      <c r="BH148" s="208"/>
      <c r="BI148" s="208"/>
      <c r="BJ148" s="208"/>
      <c r="BK148" s="208"/>
      <c r="BL148" s="208"/>
      <c r="BM148" s="208"/>
      <c r="BN148" s="208"/>
      <c r="BO148" s="208"/>
      <c r="BP148" s="208"/>
      <c r="BQ148" s="208"/>
      <c r="BR148" s="208"/>
      <c r="BS148" s="208"/>
      <c r="BT148" s="208"/>
      <c r="BU148" s="208"/>
      <c r="BV148" s="208"/>
      <c r="BW148" s="208"/>
      <c r="BX148" s="208"/>
      <c r="BY148" s="208"/>
      <c r="BZ148" s="208"/>
      <c r="CA148" s="208"/>
      <c r="CB148" s="208"/>
      <c r="CC148" s="208"/>
      <c r="CD148" s="208"/>
      <c r="CE148" s="208"/>
      <c r="CF148" s="208"/>
      <c r="CG148" s="208"/>
      <c r="CH148" s="208"/>
      <c r="CI148" s="208"/>
      <c r="CJ148" s="208"/>
      <c r="CK148" s="208"/>
      <c r="CL148" s="208"/>
      <c r="CM148" s="208"/>
      <c r="CN148" s="208"/>
      <c r="CO148" s="208"/>
      <c r="CP148" s="208"/>
      <c r="CQ148" s="208"/>
      <c r="CR148" s="208"/>
      <c r="CS148" s="208"/>
      <c r="CT148" s="208"/>
      <c r="CU148" s="208"/>
      <c r="CV148" s="208"/>
      <c r="CW148" s="208"/>
      <c r="CX148" s="208"/>
      <c r="CY148" s="208"/>
      <c r="CZ148" s="208"/>
      <c r="DA148" s="208"/>
      <c r="DB148" s="208"/>
      <c r="DC148" s="208"/>
      <c r="DD148" s="208"/>
      <c r="DE148" s="208"/>
      <c r="DF148" s="208"/>
      <c r="DG148" s="208"/>
      <c r="DH148" s="208"/>
      <c r="DI148" s="208"/>
      <c r="DJ148" s="208"/>
      <c r="DK148" s="208"/>
      <c r="DL148" s="208"/>
      <c r="DM148" s="208"/>
      <c r="DN148" s="208"/>
      <c r="DO148" s="208"/>
      <c r="DP148" s="208"/>
      <c r="DQ148" s="208"/>
      <c r="DR148" s="208"/>
      <c r="DS148" s="208"/>
      <c r="DT148" s="208"/>
      <c r="DU148" s="208"/>
      <c r="DV148" s="208"/>
      <c r="DW148" s="208"/>
      <c r="DX148" s="208"/>
      <c r="DY148" s="208"/>
      <c r="DZ148" s="208"/>
      <c r="EA148" s="208"/>
      <c r="EB148" s="208"/>
      <c r="EC148" s="208"/>
      <c r="ED148" s="208"/>
      <c r="EE148" s="208"/>
      <c r="EF148" s="208"/>
      <c r="EG148" s="208"/>
      <c r="EH148" s="208"/>
      <c r="EI148" s="208"/>
      <c r="EJ148" s="208"/>
      <c r="EK148" s="208"/>
      <c r="EL148" s="208"/>
      <c r="EM148" s="208"/>
      <c r="EN148" s="208"/>
      <c r="EO148" s="208"/>
      <c r="EP148" s="464"/>
      <c r="EQ148" s="465"/>
      <c r="ER148" s="465"/>
      <c r="ES148" s="465"/>
      <c r="ET148" s="465"/>
      <c r="EU148" s="465"/>
      <c r="EV148" s="465"/>
      <c r="EW148" s="465"/>
      <c r="EX148" s="465"/>
      <c r="EY148" s="465"/>
      <c r="EZ148" s="465"/>
      <c r="FA148" s="465"/>
      <c r="FB148" s="465"/>
      <c r="FC148" s="465"/>
      <c r="FD148" s="465"/>
      <c r="FE148" s="465"/>
      <c r="FF148" s="465"/>
      <c r="FG148" s="465"/>
      <c r="FH148" s="465"/>
      <c r="FI148" s="465"/>
      <c r="FJ148" s="465"/>
      <c r="FK148" s="465"/>
      <c r="FL148" s="465"/>
      <c r="FM148" s="465"/>
      <c r="FN148" s="465"/>
      <c r="FO148" s="465"/>
      <c r="FP148" s="465"/>
      <c r="FQ148" s="465"/>
      <c r="FR148" s="465"/>
      <c r="FS148" s="465"/>
      <c r="FT148" s="465"/>
      <c r="FU148" s="465"/>
      <c r="FV148" s="465"/>
      <c r="FW148" s="465"/>
      <c r="FX148" s="465"/>
      <c r="FY148" s="465"/>
      <c r="FZ148" s="465"/>
      <c r="GA148" s="465"/>
      <c r="GB148" s="465"/>
      <c r="GC148" s="465"/>
      <c r="GD148" s="465"/>
      <c r="GE148" s="465"/>
      <c r="GF148" s="465"/>
      <c r="GG148" s="465"/>
      <c r="GH148" s="465"/>
      <c r="GI148" s="465"/>
      <c r="GJ148" s="465"/>
      <c r="GK148" s="465"/>
      <c r="GL148" s="465"/>
      <c r="GM148" s="465"/>
      <c r="GN148" s="465"/>
      <c r="GO148" s="465"/>
      <c r="GP148" s="465"/>
      <c r="GQ148" s="465"/>
      <c r="GR148" s="465"/>
      <c r="GS148" s="465"/>
      <c r="GT148" s="465"/>
      <c r="GU148" s="465"/>
      <c r="GV148" s="465"/>
      <c r="GW148" s="465"/>
      <c r="GX148" s="465"/>
      <c r="GY148" s="465"/>
      <c r="GZ148" s="465"/>
      <c r="HA148" s="465"/>
      <c r="HB148" s="465"/>
      <c r="HC148" s="465"/>
      <c r="HD148" s="465"/>
      <c r="HE148" s="465"/>
      <c r="HF148" s="465"/>
      <c r="HG148" s="465"/>
      <c r="HH148" s="465"/>
      <c r="HI148" s="465"/>
      <c r="HJ148" s="465"/>
      <c r="HK148" s="465"/>
      <c r="HL148" s="465"/>
      <c r="HM148" s="465"/>
      <c r="HN148" s="465"/>
      <c r="HO148" s="465"/>
      <c r="HP148" s="465"/>
      <c r="HQ148" s="465"/>
      <c r="HR148" s="465"/>
      <c r="HS148" s="465"/>
      <c r="HT148" s="465"/>
      <c r="HU148" s="465"/>
      <c r="HV148" s="465"/>
      <c r="HW148" s="465"/>
      <c r="HX148" s="465"/>
      <c r="HY148" s="465"/>
      <c r="HZ148" s="465"/>
      <c r="IA148" s="465"/>
      <c r="IB148" s="465"/>
      <c r="IC148" s="465"/>
      <c r="ID148" s="465"/>
      <c r="IE148" s="465"/>
      <c r="IF148" s="465"/>
      <c r="IG148" s="465"/>
      <c r="IH148" s="465"/>
      <c r="II148" s="465"/>
      <c r="IJ148" s="465"/>
      <c r="IK148" s="465"/>
      <c r="IL148" s="465"/>
      <c r="IM148" s="465"/>
      <c r="IN148" s="465"/>
      <c r="IO148" s="465"/>
      <c r="IP148" s="465"/>
      <c r="IQ148" s="465"/>
      <c r="IR148" s="465"/>
      <c r="IS148" s="465"/>
      <c r="IT148" s="465"/>
      <c r="IU148" s="465"/>
      <c r="IV148" s="465"/>
      <c r="IW148" s="465"/>
      <c r="IX148" s="465"/>
      <c r="IY148" s="465"/>
      <c r="IZ148" s="465"/>
      <c r="JA148" s="465"/>
      <c r="JB148" s="465"/>
      <c r="JC148" s="465"/>
      <c r="JD148" s="465"/>
      <c r="JE148" s="465"/>
      <c r="JF148" s="465"/>
      <c r="JG148" s="465"/>
      <c r="JH148" s="465"/>
      <c r="JI148" s="465"/>
      <c r="JJ148" s="465"/>
      <c r="JK148" s="465"/>
      <c r="JL148" s="465"/>
      <c r="JM148" s="465"/>
      <c r="JN148" s="465"/>
      <c r="JO148" s="465"/>
      <c r="JP148" s="465"/>
      <c r="JQ148" s="465"/>
      <c r="JR148" s="465"/>
      <c r="JS148" s="465"/>
      <c r="JT148" s="465"/>
      <c r="JU148" s="465"/>
      <c r="JV148" s="465"/>
      <c r="JW148" s="465"/>
      <c r="JX148" s="20"/>
      <c r="JY148"/>
      <c r="JZ148" s="466"/>
      <c r="KA148" s="466"/>
      <c r="KB148" s="466"/>
      <c r="KC148" s="466"/>
      <c r="KD148" s="466"/>
      <c r="KE148" s="466"/>
      <c r="KF148" s="466"/>
      <c r="KG148" s="466"/>
      <c r="KH148" s="466"/>
      <c r="KI148" s="466"/>
      <c r="KJ148" s="466"/>
      <c r="KK148" s="466"/>
      <c r="KL148" s="466"/>
      <c r="KM148" s="466"/>
      <c r="KN148" s="466"/>
      <c r="KO148" s="466"/>
      <c r="KP148" s="466"/>
      <c r="KQ148" s="466"/>
      <c r="KR148" s="466"/>
      <c r="KS148" s="466"/>
      <c r="KT148" s="466"/>
      <c r="KU148" s="466"/>
      <c r="KV148" s="466"/>
      <c r="KW148" s="466"/>
      <c r="KX148" s="466"/>
      <c r="KY148" s="466"/>
      <c r="KZ148" s="466"/>
      <c r="LA148" s="466"/>
      <c r="LB148" s="466"/>
      <c r="LC148" s="466"/>
      <c r="LD148" s="466"/>
      <c r="LE148" s="466"/>
      <c r="LF148" s="466"/>
      <c r="LG148" s="466"/>
      <c r="LH148" s="466"/>
      <c r="LI148" s="466"/>
      <c r="LJ148" s="466"/>
      <c r="LK148" s="466"/>
      <c r="LL148" s="466"/>
      <c r="LM148" s="466"/>
      <c r="LN148" s="466"/>
      <c r="LO148" s="466"/>
      <c r="LP148" s="466"/>
      <c r="LQ148" s="466"/>
      <c r="LR148" s="466"/>
      <c r="LS148" s="466"/>
      <c r="LT148" s="466"/>
      <c r="LU148" s="466"/>
      <c r="LV148" s="466"/>
      <c r="LW148" s="466"/>
      <c r="LX148" s="466"/>
      <c r="LY148" s="466"/>
      <c r="LZ148" s="466"/>
      <c r="MA148" s="466"/>
      <c r="MB148" s="466"/>
      <c r="MC148" s="466"/>
      <c r="MD148" s="466"/>
      <c r="ME148" s="466"/>
      <c r="MF148" s="466"/>
      <c r="MG148" s="466"/>
      <c r="MH148" s="466"/>
      <c r="MI148" s="466"/>
      <c r="MJ148" s="466"/>
      <c r="MK148" s="466"/>
      <c r="ML148" s="466"/>
      <c r="MM148" s="466"/>
      <c r="MN148" s="466"/>
      <c r="MO148" s="466"/>
      <c r="MP148" s="466"/>
      <c r="MQ148" s="466"/>
      <c r="MR148" s="466"/>
      <c r="MS148" s="466"/>
      <c r="MT148" s="466"/>
      <c r="MU148" s="466"/>
      <c r="MV148" s="466"/>
      <c r="MW148" s="466"/>
      <c r="MX148" s="466"/>
      <c r="MY148" s="466"/>
      <c r="MZ148" s="466"/>
      <c r="NA148" s="466"/>
      <c r="NB148" s="466"/>
      <c r="NC148" s="466"/>
      <c r="ND148" s="466"/>
      <c r="NE148" s="466"/>
      <c r="NF148" s="466"/>
      <c r="NG148" s="466"/>
      <c r="NH148" s="466"/>
      <c r="NI148" s="466"/>
      <c r="NJ148" s="466"/>
      <c r="NK148" s="466"/>
      <c r="NL148" s="466"/>
      <c r="NM148" s="466"/>
      <c r="NN148" s="466"/>
      <c r="NO148" s="466"/>
      <c r="NP148" s="466"/>
      <c r="NQ148" s="466"/>
      <c r="NR148" s="466"/>
      <c r="NS148" s="466"/>
      <c r="NT148" s="466"/>
      <c r="NU148" s="466"/>
      <c r="NV148" s="466"/>
      <c r="NW148" s="466"/>
      <c r="NX148" s="466"/>
      <c r="NY148" s="466"/>
      <c r="NZ148" s="466"/>
      <c r="OA148" s="466"/>
      <c r="OB148" s="466"/>
      <c r="OC148" s="466"/>
      <c r="OD148" s="466"/>
      <c r="OE148" s="466"/>
      <c r="OF148" s="466"/>
      <c r="OG148" s="466"/>
      <c r="OH148" s="466"/>
      <c r="OI148" s="466"/>
      <c r="OJ148" s="466"/>
      <c r="OK148" s="466"/>
      <c r="OL148" s="466"/>
      <c r="OM148" s="466"/>
      <c r="ON148" s="466"/>
      <c r="OO148" s="466"/>
      <c r="OP148" s="466"/>
      <c r="OQ148" s="466"/>
      <c r="OR148" s="466"/>
      <c r="OS148" s="466"/>
      <c r="OT148" s="466"/>
      <c r="OU148" s="466"/>
      <c r="OV148" s="466"/>
      <c r="OW148" s="466"/>
      <c r="OX148" s="466"/>
      <c r="OY148" s="466"/>
      <c r="OZ148" s="466"/>
      <c r="PA148" s="466"/>
      <c r="PB148" s="466"/>
      <c r="PC148" s="466"/>
      <c r="PD148" s="466"/>
      <c r="PE148" s="466"/>
      <c r="PF148" s="466"/>
      <c r="PG148" s="466"/>
      <c r="PH148" s="466"/>
    </row>
    <row r="149" spans="1:424" x14ac:dyDescent="0.35">
      <c r="A149"/>
      <c r="B149" s="158" t="s">
        <v>318</v>
      </c>
      <c r="C149" s="485"/>
      <c r="D149" s="886">
        <f>'INPUT REGISTER'!$F$487</f>
        <v>0</v>
      </c>
      <c r="E149" s="886">
        <f>'INPUT REGISTER'!$F$487</f>
        <v>0</v>
      </c>
      <c r="F149" s="412"/>
      <c r="G149" s="41"/>
      <c r="H149" s="41"/>
      <c r="I149" s="53"/>
      <c r="J149"/>
      <c r="K149" s="494"/>
      <c r="L149" s="208"/>
      <c r="M149" s="208"/>
      <c r="N149" s="208"/>
      <c r="O149" s="208"/>
      <c r="P149" s="208"/>
      <c r="Q149" s="208"/>
      <c r="R149" s="208"/>
      <c r="S149" s="208"/>
      <c r="T149" s="208"/>
      <c r="U149" s="208"/>
      <c r="V149" s="208"/>
      <c r="W149" s="208"/>
      <c r="X149" s="208"/>
      <c r="Y149" s="208"/>
      <c r="Z149" s="208"/>
      <c r="AA149" s="208"/>
      <c r="AB149" s="208"/>
      <c r="AC149" s="208"/>
      <c r="AD149" s="208"/>
      <c r="AE149" s="208"/>
      <c r="AF149" s="208"/>
      <c r="AG149" s="208"/>
      <c r="AH149" s="208"/>
      <c r="AI149" s="208"/>
      <c r="AJ149" s="208"/>
      <c r="AK149" s="208"/>
      <c r="AL149" s="208"/>
      <c r="AM149" s="208"/>
      <c r="AN149" s="208"/>
      <c r="AO149" s="208"/>
      <c r="AP149" s="208"/>
      <c r="AQ149" s="208"/>
      <c r="AR149" s="208"/>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c r="BM149" s="208"/>
      <c r="BN149" s="208"/>
      <c r="BO149" s="208"/>
      <c r="BP149" s="208"/>
      <c r="BQ149" s="208"/>
      <c r="BR149" s="208"/>
      <c r="BS149" s="208"/>
      <c r="BT149" s="208"/>
      <c r="BU149" s="208"/>
      <c r="BV149" s="208"/>
      <c r="BW149" s="208"/>
      <c r="BX149" s="208"/>
      <c r="BY149" s="208"/>
      <c r="BZ149" s="208"/>
      <c r="CA149" s="208"/>
      <c r="CB149" s="208"/>
      <c r="CC149" s="208"/>
      <c r="CD149" s="208"/>
      <c r="CE149" s="208"/>
      <c r="CF149" s="208"/>
      <c r="CG149" s="208"/>
      <c r="CH149" s="208"/>
      <c r="CI149" s="208"/>
      <c r="CJ149" s="208"/>
      <c r="CK149" s="208"/>
      <c r="CL149" s="208"/>
      <c r="CM149" s="208"/>
      <c r="CN149" s="208"/>
      <c r="CO149" s="208"/>
      <c r="CP149" s="208"/>
      <c r="CQ149" s="208"/>
      <c r="CR149" s="208"/>
      <c r="CS149" s="208"/>
      <c r="CT149" s="208"/>
      <c r="CU149" s="208"/>
      <c r="CV149" s="208"/>
      <c r="CW149" s="208"/>
      <c r="CX149" s="208"/>
      <c r="CY149" s="208"/>
      <c r="CZ149" s="208"/>
      <c r="DA149" s="208"/>
      <c r="DB149" s="208"/>
      <c r="DC149" s="208"/>
      <c r="DD149" s="208"/>
      <c r="DE149" s="208"/>
      <c r="DF149" s="208"/>
      <c r="DG149" s="208"/>
      <c r="DH149" s="208"/>
      <c r="DI149" s="208"/>
      <c r="DJ149" s="208"/>
      <c r="DK149" s="208"/>
      <c r="DL149" s="208"/>
      <c r="DM149" s="208"/>
      <c r="DN149" s="208"/>
      <c r="DO149" s="208"/>
      <c r="DP149" s="208"/>
      <c r="DQ149" s="208"/>
      <c r="DR149" s="208"/>
      <c r="DS149" s="208"/>
      <c r="DT149" s="208"/>
      <c r="DU149" s="208"/>
      <c r="DV149" s="208"/>
      <c r="DW149" s="208"/>
      <c r="DX149" s="208"/>
      <c r="DY149" s="208"/>
      <c r="DZ149" s="208"/>
      <c r="EA149" s="208"/>
      <c r="EB149" s="208"/>
      <c r="EC149" s="208"/>
      <c r="ED149" s="208"/>
      <c r="EE149" s="208"/>
      <c r="EF149" s="208"/>
      <c r="EG149" s="208"/>
      <c r="EH149" s="208"/>
      <c r="EI149" s="208"/>
      <c r="EJ149" s="208"/>
      <c r="EK149" s="208"/>
      <c r="EL149" s="208"/>
      <c r="EM149" s="208"/>
      <c r="EN149" s="208"/>
      <c r="EO149" s="208"/>
      <c r="EP149" s="464"/>
      <c r="EQ149" s="465"/>
      <c r="ER149" s="465"/>
      <c r="ES149" s="465"/>
      <c r="ET149" s="465"/>
      <c r="EU149" s="465"/>
      <c r="EV149" s="465"/>
      <c r="EW149" s="465"/>
      <c r="EX149" s="465"/>
      <c r="EY149" s="465"/>
      <c r="EZ149" s="465"/>
      <c r="FA149" s="465"/>
      <c r="FB149" s="465"/>
      <c r="FC149" s="465"/>
      <c r="FD149" s="465"/>
      <c r="FE149" s="465"/>
      <c r="FF149" s="465"/>
      <c r="FG149" s="465"/>
      <c r="FH149" s="465"/>
      <c r="FI149" s="465"/>
      <c r="FJ149" s="465"/>
      <c r="FK149" s="465"/>
      <c r="FL149" s="465"/>
      <c r="FM149" s="465"/>
      <c r="FN149" s="465"/>
      <c r="FO149" s="465"/>
      <c r="FP149" s="465"/>
      <c r="FQ149" s="465"/>
      <c r="FR149" s="465"/>
      <c r="FS149" s="465"/>
      <c r="FT149" s="465"/>
      <c r="FU149" s="465"/>
      <c r="FV149" s="465"/>
      <c r="FW149" s="465"/>
      <c r="FX149" s="465"/>
      <c r="FY149" s="465"/>
      <c r="FZ149" s="465"/>
      <c r="GA149" s="465"/>
      <c r="GB149" s="465"/>
      <c r="GC149" s="465"/>
      <c r="GD149" s="465"/>
      <c r="GE149" s="465"/>
      <c r="GF149" s="465"/>
      <c r="GG149" s="465"/>
      <c r="GH149" s="465"/>
      <c r="GI149" s="465"/>
      <c r="GJ149" s="465"/>
      <c r="GK149" s="465"/>
      <c r="GL149" s="465"/>
      <c r="GM149" s="465"/>
      <c r="GN149" s="465"/>
      <c r="GO149" s="465"/>
      <c r="GP149" s="465"/>
      <c r="GQ149" s="465"/>
      <c r="GR149" s="465"/>
      <c r="GS149" s="465"/>
      <c r="GT149" s="465"/>
      <c r="GU149" s="465"/>
      <c r="GV149" s="465"/>
      <c r="GW149" s="465"/>
      <c r="GX149" s="465"/>
      <c r="GY149" s="465"/>
      <c r="GZ149" s="465"/>
      <c r="HA149" s="465"/>
      <c r="HB149" s="465"/>
      <c r="HC149" s="465"/>
      <c r="HD149" s="465"/>
      <c r="HE149" s="465"/>
      <c r="HF149" s="465"/>
      <c r="HG149" s="465"/>
      <c r="HH149" s="465"/>
      <c r="HI149" s="465"/>
      <c r="HJ149" s="465"/>
      <c r="HK149" s="465"/>
      <c r="HL149" s="465"/>
      <c r="HM149" s="465"/>
      <c r="HN149" s="465"/>
      <c r="HO149" s="465"/>
      <c r="HP149" s="465"/>
      <c r="HQ149" s="465"/>
      <c r="HR149" s="465"/>
      <c r="HS149" s="465"/>
      <c r="HT149" s="465"/>
      <c r="HU149" s="465"/>
      <c r="HV149" s="465"/>
      <c r="HW149" s="465"/>
      <c r="HX149" s="465"/>
      <c r="HY149" s="465"/>
      <c r="HZ149" s="465"/>
      <c r="IA149" s="465"/>
      <c r="IB149" s="465"/>
      <c r="IC149" s="465"/>
      <c r="ID149" s="465"/>
      <c r="IE149" s="465"/>
      <c r="IF149" s="465"/>
      <c r="IG149" s="465"/>
      <c r="IH149" s="465"/>
      <c r="II149" s="465"/>
      <c r="IJ149" s="465"/>
      <c r="IK149" s="465"/>
      <c r="IL149" s="465"/>
      <c r="IM149" s="465"/>
      <c r="IN149" s="465"/>
      <c r="IO149" s="465"/>
      <c r="IP149" s="465"/>
      <c r="IQ149" s="465"/>
      <c r="IR149" s="465"/>
      <c r="IS149" s="465"/>
      <c r="IT149" s="465"/>
      <c r="IU149" s="465"/>
      <c r="IV149" s="465"/>
      <c r="IW149" s="465"/>
      <c r="IX149" s="465"/>
      <c r="IY149" s="465"/>
      <c r="IZ149" s="465"/>
      <c r="JA149" s="465"/>
      <c r="JB149" s="465"/>
      <c r="JC149" s="465"/>
      <c r="JD149" s="465"/>
      <c r="JE149" s="465"/>
      <c r="JF149" s="465"/>
      <c r="JG149" s="465"/>
      <c r="JH149" s="465"/>
      <c r="JI149" s="465"/>
      <c r="JJ149" s="465"/>
      <c r="JK149" s="465"/>
      <c r="JL149" s="465"/>
      <c r="JM149" s="465"/>
      <c r="JN149" s="465"/>
      <c r="JO149" s="465"/>
      <c r="JP149" s="465"/>
      <c r="JQ149" s="465"/>
      <c r="JR149" s="465"/>
      <c r="JS149" s="465"/>
      <c r="JT149" s="465"/>
      <c r="JU149" s="465"/>
      <c r="JV149" s="465"/>
      <c r="JW149" s="465"/>
      <c r="JX149" s="20"/>
      <c r="JY149"/>
      <c r="JZ149" s="466"/>
      <c r="KA149" s="466"/>
      <c r="KB149" s="466"/>
      <c r="KC149" s="466"/>
      <c r="KD149" s="466"/>
      <c r="KE149" s="466"/>
      <c r="KF149" s="466"/>
      <c r="KG149" s="466"/>
      <c r="KH149" s="466"/>
      <c r="KI149" s="466"/>
      <c r="KJ149" s="466"/>
      <c r="KK149" s="466"/>
      <c r="KL149" s="466"/>
      <c r="KM149" s="466"/>
      <c r="KN149" s="466"/>
      <c r="KO149" s="466"/>
      <c r="KP149" s="466"/>
      <c r="KQ149" s="466"/>
      <c r="KR149" s="466"/>
      <c r="KS149" s="466"/>
      <c r="KT149" s="466"/>
      <c r="KU149" s="466"/>
      <c r="KV149" s="466"/>
      <c r="KW149" s="466"/>
      <c r="KX149" s="466"/>
      <c r="KY149" s="466"/>
      <c r="KZ149" s="466"/>
      <c r="LA149" s="466"/>
      <c r="LB149" s="466"/>
      <c r="LC149" s="466"/>
      <c r="LD149" s="466"/>
      <c r="LE149" s="466"/>
      <c r="LF149" s="466"/>
      <c r="LG149" s="466"/>
      <c r="LH149" s="466"/>
      <c r="LI149" s="466"/>
      <c r="LJ149" s="466"/>
      <c r="LK149" s="466"/>
      <c r="LL149" s="466"/>
      <c r="LM149" s="466"/>
      <c r="LN149" s="466"/>
      <c r="LO149" s="466"/>
      <c r="LP149" s="466"/>
      <c r="LQ149" s="466"/>
      <c r="LR149" s="466"/>
      <c r="LS149" s="466"/>
      <c r="LT149" s="466"/>
      <c r="LU149" s="466"/>
      <c r="LV149" s="466"/>
      <c r="LW149" s="466"/>
      <c r="LX149" s="466"/>
      <c r="LY149" s="466"/>
      <c r="LZ149" s="466"/>
      <c r="MA149" s="466"/>
      <c r="MB149" s="466"/>
      <c r="MC149" s="466"/>
      <c r="MD149" s="466"/>
      <c r="ME149" s="466"/>
      <c r="MF149" s="466"/>
      <c r="MG149" s="466"/>
      <c r="MH149" s="466"/>
      <c r="MI149" s="466"/>
      <c r="MJ149" s="466"/>
      <c r="MK149" s="466"/>
      <c r="ML149" s="466"/>
      <c r="MM149" s="466"/>
      <c r="MN149" s="466"/>
      <c r="MO149" s="466"/>
      <c r="MP149" s="466"/>
      <c r="MQ149" s="466"/>
      <c r="MR149" s="466"/>
      <c r="MS149" s="466"/>
      <c r="MT149" s="466"/>
      <c r="MU149" s="466"/>
      <c r="MV149" s="466"/>
      <c r="MW149" s="466"/>
      <c r="MX149" s="466"/>
      <c r="MY149" s="466"/>
      <c r="MZ149" s="466"/>
      <c r="NA149" s="466"/>
      <c r="NB149" s="466"/>
      <c r="NC149" s="466"/>
      <c r="ND149" s="466"/>
      <c r="NE149" s="466"/>
      <c r="NF149" s="466"/>
      <c r="NG149" s="466"/>
      <c r="NH149" s="466"/>
      <c r="NI149" s="466"/>
      <c r="NJ149" s="466"/>
      <c r="NK149" s="466"/>
      <c r="NL149" s="466"/>
      <c r="NM149" s="466"/>
      <c r="NN149" s="466"/>
      <c r="NO149" s="466"/>
      <c r="NP149" s="466"/>
      <c r="NQ149" s="466"/>
      <c r="NR149" s="466"/>
      <c r="NS149" s="466"/>
      <c r="NT149" s="466"/>
      <c r="NU149" s="466"/>
      <c r="NV149" s="466"/>
      <c r="NW149" s="466"/>
      <c r="NX149" s="466"/>
      <c r="NY149" s="466"/>
      <c r="NZ149" s="466"/>
      <c r="OA149" s="466"/>
      <c r="OB149" s="466"/>
      <c r="OC149" s="466"/>
      <c r="OD149" s="466"/>
      <c r="OE149" s="466"/>
      <c r="OF149" s="466"/>
      <c r="OG149" s="466"/>
      <c r="OH149" s="466"/>
      <c r="OI149" s="466"/>
      <c r="OJ149" s="466"/>
      <c r="OK149" s="466"/>
      <c r="OL149" s="466"/>
      <c r="OM149" s="466"/>
      <c r="ON149" s="466"/>
      <c r="OO149" s="466"/>
      <c r="OP149" s="466"/>
      <c r="OQ149" s="466"/>
      <c r="OR149" s="466"/>
      <c r="OS149" s="466"/>
      <c r="OT149" s="466"/>
      <c r="OU149" s="466"/>
      <c r="OV149" s="466"/>
      <c r="OW149" s="466"/>
      <c r="OX149" s="466"/>
      <c r="OY149" s="466"/>
      <c r="OZ149" s="466"/>
      <c r="PA149" s="466"/>
      <c r="PB149" s="466"/>
      <c r="PC149" s="466"/>
      <c r="PD149" s="466"/>
      <c r="PE149" s="466"/>
      <c r="PF149" s="466"/>
      <c r="PG149" s="466"/>
      <c r="PH149" s="466"/>
    </row>
    <row r="150" spans="1:424" x14ac:dyDescent="0.35">
      <c r="A150"/>
      <c r="B150" s="158"/>
      <c r="C150" s="485"/>
      <c r="D150" s="194"/>
      <c r="E150" s="412"/>
      <c r="F150" s="412" t="s">
        <v>319</v>
      </c>
      <c r="G150" s="41"/>
      <c r="H150" s="41"/>
      <c r="I150" s="53"/>
      <c r="J150"/>
      <c r="K150" s="494"/>
      <c r="L150" s="208"/>
      <c r="M150" s="208"/>
      <c r="N150" s="208"/>
      <c r="O150" s="208"/>
      <c r="P150" s="208"/>
      <c r="Q150" s="208"/>
      <c r="R150" s="208"/>
      <c r="S150" s="208"/>
      <c r="T150" s="208"/>
      <c r="U150" s="208"/>
      <c r="V150" s="208"/>
      <c r="W150" s="208"/>
      <c r="X150" s="208"/>
      <c r="Y150" s="208"/>
      <c r="Z150" s="208"/>
      <c r="AA150" s="208"/>
      <c r="AB150" s="208"/>
      <c r="AC150" s="208"/>
      <c r="AD150" s="208"/>
      <c r="AE150" s="208"/>
      <c r="AF150" s="208"/>
      <c r="AG150" s="208"/>
      <c r="AH150" s="208"/>
      <c r="AI150" s="208"/>
      <c r="AJ150" s="208"/>
      <c r="AK150" s="208"/>
      <c r="AL150" s="208"/>
      <c r="AM150" s="208"/>
      <c r="AN150" s="208"/>
      <c r="AO150" s="208"/>
      <c r="AP150" s="208"/>
      <c r="AQ150" s="208"/>
      <c r="AR150" s="208"/>
      <c r="AS150" s="208"/>
      <c r="AT150" s="208"/>
      <c r="AU150" s="208"/>
      <c r="AV150" s="208"/>
      <c r="AW150" s="208"/>
      <c r="AX150" s="208"/>
      <c r="AY150" s="208"/>
      <c r="AZ150" s="208"/>
      <c r="BA150" s="208"/>
      <c r="BB150" s="208"/>
      <c r="BC150" s="208"/>
      <c r="BD150" s="208"/>
      <c r="BE150" s="208"/>
      <c r="BF150" s="208"/>
      <c r="BG150" s="208"/>
      <c r="BH150" s="208"/>
      <c r="BI150" s="208"/>
      <c r="BJ150" s="208"/>
      <c r="BK150" s="208"/>
      <c r="BL150" s="208"/>
      <c r="BM150" s="208"/>
      <c r="BN150" s="208"/>
      <c r="BO150" s="208"/>
      <c r="BP150" s="208"/>
      <c r="BQ150" s="208"/>
      <c r="BR150" s="208"/>
      <c r="BS150" s="208"/>
      <c r="BT150" s="208"/>
      <c r="BU150" s="208"/>
      <c r="BV150" s="208"/>
      <c r="BW150" s="208"/>
      <c r="BX150" s="208"/>
      <c r="BY150" s="208"/>
      <c r="BZ150" s="208"/>
      <c r="CA150" s="208"/>
      <c r="CB150" s="208"/>
      <c r="CC150" s="208"/>
      <c r="CD150" s="208"/>
      <c r="CE150" s="208"/>
      <c r="CF150" s="208"/>
      <c r="CG150" s="208"/>
      <c r="CH150" s="208"/>
      <c r="CI150" s="208"/>
      <c r="CJ150" s="208"/>
      <c r="CK150" s="208"/>
      <c r="CL150" s="208"/>
      <c r="CM150" s="208"/>
      <c r="CN150" s="208"/>
      <c r="CO150" s="208"/>
      <c r="CP150" s="208"/>
      <c r="CQ150" s="208"/>
      <c r="CR150" s="208"/>
      <c r="CS150" s="208"/>
      <c r="CT150" s="208"/>
      <c r="CU150" s="208"/>
      <c r="CV150" s="208"/>
      <c r="CW150" s="208"/>
      <c r="CX150" s="208"/>
      <c r="CY150" s="208"/>
      <c r="CZ150" s="208"/>
      <c r="DA150" s="208"/>
      <c r="DB150" s="208"/>
      <c r="DC150" s="208"/>
      <c r="DD150" s="208"/>
      <c r="DE150" s="208"/>
      <c r="DF150" s="208"/>
      <c r="DG150" s="208"/>
      <c r="DH150" s="208"/>
      <c r="DI150" s="208"/>
      <c r="DJ150" s="208"/>
      <c r="DK150" s="208"/>
      <c r="DL150" s="208"/>
      <c r="DM150" s="208"/>
      <c r="DN150" s="208"/>
      <c r="DO150" s="208"/>
      <c r="DP150" s="208"/>
      <c r="DQ150" s="208"/>
      <c r="DR150" s="208"/>
      <c r="DS150" s="208"/>
      <c r="DT150" s="208"/>
      <c r="DU150" s="208"/>
      <c r="DV150" s="208"/>
      <c r="DW150" s="208"/>
      <c r="DX150" s="208"/>
      <c r="DY150" s="208"/>
      <c r="DZ150" s="208"/>
      <c r="EA150" s="208"/>
      <c r="EB150" s="208"/>
      <c r="EC150" s="208"/>
      <c r="ED150" s="208"/>
      <c r="EE150" s="208"/>
      <c r="EF150" s="208"/>
      <c r="EG150" s="208"/>
      <c r="EH150" s="208"/>
      <c r="EI150" s="208"/>
      <c r="EJ150" s="208"/>
      <c r="EK150" s="208"/>
      <c r="EL150" s="208"/>
      <c r="EM150" s="208"/>
      <c r="EN150" s="208"/>
      <c r="EO150" s="208"/>
      <c r="EP150" s="464"/>
      <c r="EQ150" s="465"/>
      <c r="ER150" s="465"/>
      <c r="ES150" s="465"/>
      <c r="ET150" s="465"/>
      <c r="EU150" s="465"/>
      <c r="EV150" s="465"/>
      <c r="EW150" s="465"/>
      <c r="EX150" s="465"/>
      <c r="EY150" s="465"/>
      <c r="EZ150" s="465"/>
      <c r="FA150" s="465"/>
      <c r="FB150" s="465"/>
      <c r="FC150" s="465"/>
      <c r="FD150" s="465"/>
      <c r="FE150" s="465"/>
      <c r="FF150" s="465"/>
      <c r="FG150" s="465"/>
      <c r="FH150" s="465"/>
      <c r="FI150" s="465"/>
      <c r="FJ150" s="465"/>
      <c r="FK150" s="465"/>
      <c r="FL150" s="465"/>
      <c r="FM150" s="465"/>
      <c r="FN150" s="465"/>
      <c r="FO150" s="465"/>
      <c r="FP150" s="465"/>
      <c r="FQ150" s="465"/>
      <c r="FR150" s="465"/>
      <c r="FS150" s="465"/>
      <c r="FT150" s="465"/>
      <c r="FU150" s="465"/>
      <c r="FV150" s="465"/>
      <c r="FW150" s="465"/>
      <c r="FX150" s="465"/>
      <c r="FY150" s="465"/>
      <c r="FZ150" s="465"/>
      <c r="GA150" s="465"/>
      <c r="GB150" s="465"/>
      <c r="GC150" s="465"/>
      <c r="GD150" s="465"/>
      <c r="GE150" s="465"/>
      <c r="GF150" s="465"/>
      <c r="GG150" s="465"/>
      <c r="GH150" s="465"/>
      <c r="GI150" s="465"/>
      <c r="GJ150" s="465"/>
      <c r="GK150" s="465"/>
      <c r="GL150" s="465"/>
      <c r="GM150" s="465"/>
      <c r="GN150" s="465"/>
      <c r="GO150" s="465"/>
      <c r="GP150" s="465"/>
      <c r="GQ150" s="465"/>
      <c r="GR150" s="465"/>
      <c r="GS150" s="465"/>
      <c r="GT150" s="465"/>
      <c r="GU150" s="465"/>
      <c r="GV150" s="465"/>
      <c r="GW150" s="465"/>
      <c r="GX150" s="465"/>
      <c r="GY150" s="465"/>
      <c r="GZ150" s="465"/>
      <c r="HA150" s="465"/>
      <c r="HB150" s="465"/>
      <c r="HC150" s="465"/>
      <c r="HD150" s="465"/>
      <c r="HE150" s="465"/>
      <c r="HF150" s="465"/>
      <c r="HG150" s="465"/>
      <c r="HH150" s="465"/>
      <c r="HI150" s="465"/>
      <c r="HJ150" s="465"/>
      <c r="HK150" s="465"/>
      <c r="HL150" s="465"/>
      <c r="HM150" s="465"/>
      <c r="HN150" s="465"/>
      <c r="HO150" s="465"/>
      <c r="HP150" s="465"/>
      <c r="HQ150" s="465"/>
      <c r="HR150" s="465"/>
      <c r="HS150" s="465"/>
      <c r="HT150" s="465"/>
      <c r="HU150" s="465"/>
      <c r="HV150" s="465"/>
      <c r="HW150" s="465"/>
      <c r="HX150" s="465"/>
      <c r="HY150" s="465"/>
      <c r="HZ150" s="465"/>
      <c r="IA150" s="465"/>
      <c r="IB150" s="465"/>
      <c r="IC150" s="465"/>
      <c r="ID150" s="465"/>
      <c r="IE150" s="465"/>
      <c r="IF150" s="465"/>
      <c r="IG150" s="465"/>
      <c r="IH150" s="465"/>
      <c r="II150" s="465"/>
      <c r="IJ150" s="465"/>
      <c r="IK150" s="465"/>
      <c r="IL150" s="465"/>
      <c r="IM150" s="465"/>
      <c r="IN150" s="465"/>
      <c r="IO150" s="465"/>
      <c r="IP150" s="465"/>
      <c r="IQ150" s="465"/>
      <c r="IR150" s="465"/>
      <c r="IS150" s="465"/>
      <c r="IT150" s="465"/>
      <c r="IU150" s="465"/>
      <c r="IV150" s="465"/>
      <c r="IW150" s="465"/>
      <c r="IX150" s="465"/>
      <c r="IY150" s="465"/>
      <c r="IZ150" s="465"/>
      <c r="JA150" s="465"/>
      <c r="JB150" s="465"/>
      <c r="JC150" s="465"/>
      <c r="JD150" s="465"/>
      <c r="JE150" s="465"/>
      <c r="JF150" s="465"/>
      <c r="JG150" s="465"/>
      <c r="JH150" s="465"/>
      <c r="JI150" s="465"/>
      <c r="JJ150" s="465"/>
      <c r="JK150" s="465"/>
      <c r="JL150" s="465"/>
      <c r="JM150" s="465"/>
      <c r="JN150" s="465"/>
      <c r="JO150" s="465"/>
      <c r="JP150" s="465"/>
      <c r="JQ150" s="465"/>
      <c r="JR150" s="465"/>
      <c r="JS150" s="465"/>
      <c r="JT150" s="465"/>
      <c r="JU150" s="465"/>
      <c r="JV150" s="465"/>
      <c r="JW150" s="465"/>
      <c r="JX150" s="20"/>
      <c r="JY150"/>
      <c r="JZ150" s="466"/>
      <c r="KA150" s="466"/>
      <c r="KB150" s="466"/>
      <c r="KC150" s="466"/>
      <c r="KD150" s="466"/>
      <c r="KE150" s="466"/>
      <c r="KF150" s="466"/>
      <c r="KG150" s="466"/>
      <c r="KH150" s="466"/>
      <c r="KI150" s="466"/>
      <c r="KJ150" s="466"/>
      <c r="KK150" s="466"/>
      <c r="KL150" s="466"/>
      <c r="KM150" s="466"/>
      <c r="KN150" s="466"/>
      <c r="KO150" s="466"/>
      <c r="KP150" s="466"/>
      <c r="KQ150" s="466"/>
      <c r="KR150" s="466"/>
      <c r="KS150" s="466"/>
      <c r="KT150" s="466"/>
      <c r="KU150" s="466"/>
      <c r="KV150" s="466"/>
      <c r="KW150" s="466"/>
      <c r="KX150" s="466"/>
      <c r="KY150" s="466"/>
      <c r="KZ150" s="466"/>
      <c r="LA150" s="466"/>
      <c r="LB150" s="466"/>
      <c r="LC150" s="466"/>
      <c r="LD150" s="466"/>
      <c r="LE150" s="466"/>
      <c r="LF150" s="466"/>
      <c r="LG150" s="466"/>
      <c r="LH150" s="466"/>
      <c r="LI150" s="466"/>
      <c r="LJ150" s="466"/>
      <c r="LK150" s="466"/>
      <c r="LL150" s="466"/>
      <c r="LM150" s="466"/>
      <c r="LN150" s="466"/>
      <c r="LO150" s="466"/>
      <c r="LP150" s="466"/>
      <c r="LQ150" s="466"/>
      <c r="LR150" s="466"/>
      <c r="LS150" s="466"/>
      <c r="LT150" s="466"/>
      <c r="LU150" s="466"/>
      <c r="LV150" s="466"/>
      <c r="LW150" s="466"/>
      <c r="LX150" s="466"/>
      <c r="LY150" s="466"/>
      <c r="LZ150" s="466"/>
      <c r="MA150" s="466"/>
      <c r="MB150" s="466"/>
      <c r="MC150" s="466"/>
      <c r="MD150" s="466"/>
      <c r="ME150" s="466"/>
      <c r="MF150" s="466"/>
      <c r="MG150" s="466"/>
      <c r="MH150" s="466"/>
      <c r="MI150" s="466"/>
      <c r="MJ150" s="466"/>
      <c r="MK150" s="466"/>
      <c r="ML150" s="466"/>
      <c r="MM150" s="466"/>
      <c r="MN150" s="466"/>
      <c r="MO150" s="466"/>
      <c r="MP150" s="466"/>
      <c r="MQ150" s="466"/>
      <c r="MR150" s="466"/>
      <c r="MS150" s="466"/>
      <c r="MT150" s="466"/>
      <c r="MU150" s="466"/>
      <c r="MV150" s="466"/>
      <c r="MW150" s="466"/>
      <c r="MX150" s="466"/>
      <c r="MY150" s="466"/>
      <c r="MZ150" s="466"/>
      <c r="NA150" s="466"/>
      <c r="NB150" s="466"/>
      <c r="NC150" s="466"/>
      <c r="ND150" s="466"/>
      <c r="NE150" s="466"/>
      <c r="NF150" s="466"/>
      <c r="NG150" s="466"/>
      <c r="NH150" s="466"/>
      <c r="NI150" s="466"/>
      <c r="NJ150" s="466"/>
      <c r="NK150" s="466"/>
      <c r="NL150" s="466"/>
      <c r="NM150" s="466"/>
      <c r="NN150" s="466"/>
      <c r="NO150" s="466"/>
      <c r="NP150" s="466"/>
      <c r="NQ150" s="466"/>
      <c r="NR150" s="466"/>
      <c r="NS150" s="466"/>
      <c r="NT150" s="466"/>
      <c r="NU150" s="466"/>
      <c r="NV150" s="466"/>
      <c r="NW150" s="466"/>
      <c r="NX150" s="466"/>
      <c r="NY150" s="466"/>
      <c r="NZ150" s="466"/>
      <c r="OA150" s="466"/>
      <c r="OB150" s="466"/>
      <c r="OC150" s="466"/>
      <c r="OD150" s="466"/>
      <c r="OE150" s="466"/>
      <c r="OF150" s="466"/>
      <c r="OG150" s="466"/>
      <c r="OH150" s="466"/>
      <c r="OI150" s="466"/>
      <c r="OJ150" s="466"/>
      <c r="OK150" s="466"/>
      <c r="OL150" s="466"/>
      <c r="OM150" s="466"/>
      <c r="ON150" s="466"/>
      <c r="OO150" s="466"/>
      <c r="OP150" s="466"/>
      <c r="OQ150" s="466"/>
      <c r="OR150" s="466"/>
      <c r="OS150" s="466"/>
      <c r="OT150" s="466"/>
      <c r="OU150" s="466"/>
      <c r="OV150" s="466"/>
      <c r="OW150" s="466"/>
      <c r="OX150" s="466"/>
      <c r="OY150" s="466"/>
      <c r="OZ150" s="466"/>
      <c r="PA150" s="466"/>
      <c r="PB150" s="466"/>
      <c r="PC150" s="466"/>
      <c r="PD150" s="466"/>
      <c r="PE150" s="466"/>
      <c r="PF150" s="466"/>
      <c r="PG150" s="466"/>
      <c r="PH150" s="466"/>
    </row>
    <row r="151" spans="1:424" x14ac:dyDescent="0.35">
      <c r="A151"/>
      <c r="B151" s="427" t="s">
        <v>320</v>
      </c>
      <c r="C151" s="485"/>
      <c r="D151" s="412"/>
      <c r="E151" s="412" t="s">
        <v>284</v>
      </c>
      <c r="F151" s="838">
        <f>'URWLD COMPANY INPUTS'!$F$80</f>
        <v>2.5000000000000001E-2</v>
      </c>
      <c r="G151" s="57">
        <f>IF($I$140=0,"",I151/$I$140)</f>
        <v>0</v>
      </c>
      <c r="H151" s="148">
        <f>I151/Units_Ind</f>
        <v>0</v>
      </c>
      <c r="I151" s="424">
        <f>I148+H148</f>
        <v>0</v>
      </c>
      <c r="J151"/>
      <c r="K151" s="494"/>
      <c r="L151" s="75"/>
      <c r="M151" s="417">
        <f t="shared" ref="M151:AR151" si="487">(M89=1)*$I151/12*(1+$F151)^(ROUNDUP(M$91/12,0)-1)</f>
        <v>0</v>
      </c>
      <c r="N151" s="417">
        <f t="shared" si="487"/>
        <v>0</v>
      </c>
      <c r="O151" s="417">
        <f t="shared" si="487"/>
        <v>0</v>
      </c>
      <c r="P151" s="417">
        <f t="shared" si="487"/>
        <v>0</v>
      </c>
      <c r="Q151" s="417">
        <f t="shared" si="487"/>
        <v>0</v>
      </c>
      <c r="R151" s="417">
        <f t="shared" si="487"/>
        <v>0</v>
      </c>
      <c r="S151" s="417">
        <f t="shared" si="487"/>
        <v>0</v>
      </c>
      <c r="T151" s="417">
        <f t="shared" si="487"/>
        <v>0</v>
      </c>
      <c r="U151" s="417">
        <f t="shared" si="487"/>
        <v>0</v>
      </c>
      <c r="V151" s="417">
        <f t="shared" si="487"/>
        <v>0</v>
      </c>
      <c r="W151" s="417">
        <f t="shared" si="487"/>
        <v>0</v>
      </c>
      <c r="X151" s="417">
        <f t="shared" si="487"/>
        <v>0</v>
      </c>
      <c r="Y151" s="417">
        <f t="shared" si="487"/>
        <v>0</v>
      </c>
      <c r="Z151" s="417">
        <f t="shared" si="487"/>
        <v>0</v>
      </c>
      <c r="AA151" s="417">
        <f t="shared" si="487"/>
        <v>0</v>
      </c>
      <c r="AB151" s="417">
        <f t="shared" si="487"/>
        <v>0</v>
      </c>
      <c r="AC151" s="417">
        <f t="shared" si="487"/>
        <v>0</v>
      </c>
      <c r="AD151" s="417">
        <f t="shared" si="487"/>
        <v>0</v>
      </c>
      <c r="AE151" s="417">
        <f t="shared" si="487"/>
        <v>0</v>
      </c>
      <c r="AF151" s="417">
        <f t="shared" si="487"/>
        <v>0</v>
      </c>
      <c r="AG151" s="417">
        <f t="shared" si="487"/>
        <v>0</v>
      </c>
      <c r="AH151" s="417">
        <f t="shared" si="487"/>
        <v>0</v>
      </c>
      <c r="AI151" s="417">
        <f t="shared" si="487"/>
        <v>0</v>
      </c>
      <c r="AJ151" s="417">
        <f t="shared" si="487"/>
        <v>0</v>
      </c>
      <c r="AK151" s="417">
        <f t="shared" si="487"/>
        <v>0</v>
      </c>
      <c r="AL151" s="417">
        <f t="shared" si="487"/>
        <v>0</v>
      </c>
      <c r="AM151" s="417">
        <f t="shared" si="487"/>
        <v>0</v>
      </c>
      <c r="AN151" s="417">
        <f t="shared" si="487"/>
        <v>0</v>
      </c>
      <c r="AO151" s="417">
        <f t="shared" si="487"/>
        <v>0</v>
      </c>
      <c r="AP151" s="417">
        <f t="shared" si="487"/>
        <v>0</v>
      </c>
      <c r="AQ151" s="417">
        <f t="shared" si="487"/>
        <v>0</v>
      </c>
      <c r="AR151" s="417">
        <f t="shared" si="487"/>
        <v>0</v>
      </c>
      <c r="AS151" s="417">
        <f t="shared" ref="AS151:BX151" si="488">(AS89=1)*$I151/12*(1+$F151)^(ROUNDUP(AS$91/12,0)-1)</f>
        <v>0</v>
      </c>
      <c r="AT151" s="417">
        <f t="shared" si="488"/>
        <v>0</v>
      </c>
      <c r="AU151" s="417">
        <f t="shared" si="488"/>
        <v>0</v>
      </c>
      <c r="AV151" s="417">
        <f t="shared" si="488"/>
        <v>0</v>
      </c>
      <c r="AW151" s="417">
        <f t="shared" si="488"/>
        <v>0</v>
      </c>
      <c r="AX151" s="417">
        <f t="shared" si="488"/>
        <v>0</v>
      </c>
      <c r="AY151" s="417">
        <f t="shared" si="488"/>
        <v>0</v>
      </c>
      <c r="AZ151" s="417">
        <f t="shared" si="488"/>
        <v>0</v>
      </c>
      <c r="BA151" s="417">
        <f t="shared" si="488"/>
        <v>0</v>
      </c>
      <c r="BB151" s="417">
        <f t="shared" si="488"/>
        <v>0</v>
      </c>
      <c r="BC151" s="417">
        <f t="shared" si="488"/>
        <v>0</v>
      </c>
      <c r="BD151" s="417">
        <f t="shared" si="488"/>
        <v>0</v>
      </c>
      <c r="BE151" s="417">
        <f t="shared" si="488"/>
        <v>0</v>
      </c>
      <c r="BF151" s="417">
        <f t="shared" si="488"/>
        <v>0</v>
      </c>
      <c r="BG151" s="417">
        <f t="shared" si="488"/>
        <v>0</v>
      </c>
      <c r="BH151" s="417">
        <f t="shared" si="488"/>
        <v>0</v>
      </c>
      <c r="BI151" s="417">
        <f t="shared" si="488"/>
        <v>0</v>
      </c>
      <c r="BJ151" s="417">
        <f t="shared" si="488"/>
        <v>0</v>
      </c>
      <c r="BK151" s="417">
        <f t="shared" si="488"/>
        <v>0</v>
      </c>
      <c r="BL151" s="417">
        <f t="shared" si="488"/>
        <v>0</v>
      </c>
      <c r="BM151" s="417">
        <f t="shared" si="488"/>
        <v>0</v>
      </c>
      <c r="BN151" s="417">
        <f t="shared" si="488"/>
        <v>0</v>
      </c>
      <c r="BO151" s="417">
        <f t="shared" si="488"/>
        <v>0</v>
      </c>
      <c r="BP151" s="417">
        <f t="shared" si="488"/>
        <v>0</v>
      </c>
      <c r="BQ151" s="417">
        <f t="shared" si="488"/>
        <v>0</v>
      </c>
      <c r="BR151" s="417">
        <f t="shared" si="488"/>
        <v>0</v>
      </c>
      <c r="BS151" s="417">
        <f t="shared" si="488"/>
        <v>0</v>
      </c>
      <c r="BT151" s="417">
        <f t="shared" si="488"/>
        <v>0</v>
      </c>
      <c r="BU151" s="417">
        <f t="shared" si="488"/>
        <v>0</v>
      </c>
      <c r="BV151" s="417">
        <f t="shared" si="488"/>
        <v>0</v>
      </c>
      <c r="BW151" s="417">
        <f t="shared" si="488"/>
        <v>0</v>
      </c>
      <c r="BX151" s="417">
        <f t="shared" si="488"/>
        <v>0</v>
      </c>
      <c r="BY151" s="417">
        <f t="shared" ref="BY151:DD151" si="489">(BY89=1)*$I151/12*(1+$F151)^(ROUNDUP(BY$91/12,0)-1)</f>
        <v>0</v>
      </c>
      <c r="BZ151" s="417">
        <f t="shared" si="489"/>
        <v>0</v>
      </c>
      <c r="CA151" s="417">
        <f t="shared" si="489"/>
        <v>0</v>
      </c>
      <c r="CB151" s="417">
        <f t="shared" si="489"/>
        <v>0</v>
      </c>
      <c r="CC151" s="417">
        <f t="shared" si="489"/>
        <v>0</v>
      </c>
      <c r="CD151" s="417">
        <f t="shared" si="489"/>
        <v>0</v>
      </c>
      <c r="CE151" s="417">
        <f t="shared" si="489"/>
        <v>0</v>
      </c>
      <c r="CF151" s="417">
        <f t="shared" si="489"/>
        <v>0</v>
      </c>
      <c r="CG151" s="417">
        <f t="shared" si="489"/>
        <v>0</v>
      </c>
      <c r="CH151" s="417">
        <f t="shared" si="489"/>
        <v>0</v>
      </c>
      <c r="CI151" s="417">
        <f t="shared" si="489"/>
        <v>0</v>
      </c>
      <c r="CJ151" s="417">
        <f t="shared" si="489"/>
        <v>0</v>
      </c>
      <c r="CK151" s="417">
        <f t="shared" si="489"/>
        <v>0</v>
      </c>
      <c r="CL151" s="417">
        <f t="shared" si="489"/>
        <v>0</v>
      </c>
      <c r="CM151" s="417">
        <f t="shared" si="489"/>
        <v>0</v>
      </c>
      <c r="CN151" s="417">
        <f t="shared" si="489"/>
        <v>0</v>
      </c>
      <c r="CO151" s="417">
        <f t="shared" si="489"/>
        <v>0</v>
      </c>
      <c r="CP151" s="417">
        <f t="shared" si="489"/>
        <v>0</v>
      </c>
      <c r="CQ151" s="417">
        <f t="shared" si="489"/>
        <v>0</v>
      </c>
      <c r="CR151" s="417">
        <f t="shared" si="489"/>
        <v>0</v>
      </c>
      <c r="CS151" s="417">
        <f t="shared" si="489"/>
        <v>0</v>
      </c>
      <c r="CT151" s="417">
        <f t="shared" si="489"/>
        <v>0</v>
      </c>
      <c r="CU151" s="417">
        <f t="shared" si="489"/>
        <v>0</v>
      </c>
      <c r="CV151" s="417">
        <f t="shared" si="489"/>
        <v>0</v>
      </c>
      <c r="CW151" s="417">
        <f t="shared" si="489"/>
        <v>0</v>
      </c>
      <c r="CX151" s="417">
        <f t="shared" si="489"/>
        <v>0</v>
      </c>
      <c r="CY151" s="417">
        <f t="shared" si="489"/>
        <v>0</v>
      </c>
      <c r="CZ151" s="417">
        <f t="shared" si="489"/>
        <v>0</v>
      </c>
      <c r="DA151" s="417">
        <f t="shared" si="489"/>
        <v>0</v>
      </c>
      <c r="DB151" s="417">
        <f t="shared" si="489"/>
        <v>0</v>
      </c>
      <c r="DC151" s="417">
        <f t="shared" si="489"/>
        <v>0</v>
      </c>
      <c r="DD151" s="417">
        <f t="shared" si="489"/>
        <v>0</v>
      </c>
      <c r="DE151" s="417">
        <f t="shared" ref="DE151:EN151" si="490">(DE89=1)*$I151/12*(1+$F151)^(ROUNDUP(DE$91/12,0)-1)</f>
        <v>0</v>
      </c>
      <c r="DF151" s="417">
        <f t="shared" si="490"/>
        <v>0</v>
      </c>
      <c r="DG151" s="417">
        <f t="shared" si="490"/>
        <v>0</v>
      </c>
      <c r="DH151" s="417">
        <f t="shared" si="490"/>
        <v>0</v>
      </c>
      <c r="DI151" s="417">
        <f t="shared" si="490"/>
        <v>0</v>
      </c>
      <c r="DJ151" s="417">
        <f t="shared" si="490"/>
        <v>0</v>
      </c>
      <c r="DK151" s="417">
        <f t="shared" si="490"/>
        <v>0</v>
      </c>
      <c r="DL151" s="417">
        <f t="shared" si="490"/>
        <v>0</v>
      </c>
      <c r="DM151" s="417">
        <f t="shared" si="490"/>
        <v>0</v>
      </c>
      <c r="DN151" s="417">
        <f t="shared" si="490"/>
        <v>0</v>
      </c>
      <c r="DO151" s="417">
        <f t="shared" si="490"/>
        <v>0</v>
      </c>
      <c r="DP151" s="417">
        <f t="shared" si="490"/>
        <v>0</v>
      </c>
      <c r="DQ151" s="417">
        <f t="shared" si="490"/>
        <v>0</v>
      </c>
      <c r="DR151" s="417">
        <f t="shared" si="490"/>
        <v>0</v>
      </c>
      <c r="DS151" s="417">
        <f t="shared" si="490"/>
        <v>0</v>
      </c>
      <c r="DT151" s="417">
        <f t="shared" si="490"/>
        <v>0</v>
      </c>
      <c r="DU151" s="417">
        <f t="shared" si="490"/>
        <v>0</v>
      </c>
      <c r="DV151" s="417">
        <f t="shared" si="490"/>
        <v>0</v>
      </c>
      <c r="DW151" s="417">
        <f t="shared" si="490"/>
        <v>0</v>
      </c>
      <c r="DX151" s="417">
        <f t="shared" si="490"/>
        <v>0</v>
      </c>
      <c r="DY151" s="417">
        <f t="shared" si="490"/>
        <v>0</v>
      </c>
      <c r="DZ151" s="417">
        <f t="shared" si="490"/>
        <v>0</v>
      </c>
      <c r="EA151" s="417">
        <f t="shared" si="490"/>
        <v>0</v>
      </c>
      <c r="EB151" s="417">
        <f t="shared" si="490"/>
        <v>0</v>
      </c>
      <c r="EC151" s="417">
        <f t="shared" si="490"/>
        <v>0</v>
      </c>
      <c r="ED151" s="417">
        <f t="shared" si="490"/>
        <v>0</v>
      </c>
      <c r="EE151" s="417">
        <f t="shared" si="490"/>
        <v>0</v>
      </c>
      <c r="EF151" s="417">
        <f t="shared" si="490"/>
        <v>0</v>
      </c>
      <c r="EG151" s="417">
        <f t="shared" si="490"/>
        <v>0</v>
      </c>
      <c r="EH151" s="417">
        <f t="shared" si="490"/>
        <v>0</v>
      </c>
      <c r="EI151" s="417">
        <f t="shared" si="490"/>
        <v>0</v>
      </c>
      <c r="EJ151" s="417">
        <f t="shared" si="490"/>
        <v>0</v>
      </c>
      <c r="EK151" s="417">
        <f t="shared" si="490"/>
        <v>0</v>
      </c>
      <c r="EL151" s="417">
        <f t="shared" si="490"/>
        <v>0</v>
      </c>
      <c r="EM151" s="417">
        <f t="shared" si="490"/>
        <v>0</v>
      </c>
      <c r="EN151" s="417">
        <f t="shared" si="490"/>
        <v>0</v>
      </c>
      <c r="EO151" s="208"/>
      <c r="EP151" s="464"/>
      <c r="EQ151" s="465"/>
      <c r="ER151" s="465"/>
      <c r="ES151" s="465"/>
      <c r="ET151" s="465"/>
      <c r="EU151" s="465"/>
      <c r="EV151" s="465"/>
      <c r="EW151" s="465"/>
      <c r="EX151" s="465"/>
      <c r="EY151" s="465"/>
      <c r="EZ151" s="465"/>
      <c r="FA151" s="465"/>
      <c r="FB151" s="465"/>
      <c r="FC151" s="465"/>
      <c r="FD151" s="465"/>
      <c r="FE151" s="465"/>
      <c r="FF151" s="465"/>
      <c r="FG151" s="465"/>
      <c r="FH151" s="465"/>
      <c r="FI151" s="465"/>
      <c r="FJ151" s="465"/>
      <c r="FK151" s="465"/>
      <c r="FL151" s="465"/>
      <c r="FM151" s="465"/>
      <c r="FN151" s="465"/>
      <c r="FO151" s="465"/>
      <c r="FP151" s="465"/>
      <c r="FQ151" s="465"/>
      <c r="FR151" s="465"/>
      <c r="FS151" s="465"/>
      <c r="FT151" s="465"/>
      <c r="FU151" s="465"/>
      <c r="FV151" s="465"/>
      <c r="FW151" s="465"/>
      <c r="FX151" s="465"/>
      <c r="FY151" s="465"/>
      <c r="FZ151" s="465"/>
      <c r="GA151" s="465"/>
      <c r="GB151" s="465"/>
      <c r="GC151" s="465"/>
      <c r="GD151" s="465"/>
      <c r="GE151" s="465"/>
      <c r="GF151" s="465"/>
      <c r="GG151" s="465"/>
      <c r="GH151" s="465"/>
      <c r="GI151" s="465"/>
      <c r="GJ151" s="465"/>
      <c r="GK151" s="465"/>
      <c r="GL151" s="465"/>
      <c r="GM151" s="465"/>
      <c r="GN151" s="465"/>
      <c r="GO151" s="465"/>
      <c r="GP151" s="465"/>
      <c r="GQ151" s="465"/>
      <c r="GR151" s="465"/>
      <c r="GS151" s="465"/>
      <c r="GT151" s="465"/>
      <c r="GU151" s="465"/>
      <c r="GV151" s="465"/>
      <c r="GW151" s="465"/>
      <c r="GX151" s="465"/>
      <c r="GY151" s="465"/>
      <c r="GZ151" s="465"/>
      <c r="HA151" s="465"/>
      <c r="HB151" s="465"/>
      <c r="HC151" s="465"/>
      <c r="HD151" s="465"/>
      <c r="HE151" s="465"/>
      <c r="HF151" s="465"/>
      <c r="HG151" s="465"/>
      <c r="HH151" s="465"/>
      <c r="HI151" s="465"/>
      <c r="HJ151" s="465"/>
      <c r="HK151" s="465"/>
      <c r="HL151" s="465"/>
      <c r="HM151" s="465"/>
      <c r="HN151" s="465"/>
      <c r="HO151" s="465"/>
      <c r="HP151" s="465"/>
      <c r="HQ151" s="465"/>
      <c r="HR151" s="465"/>
      <c r="HS151" s="465"/>
      <c r="HT151" s="465"/>
      <c r="HU151" s="465"/>
      <c r="HV151" s="465"/>
      <c r="HW151" s="465"/>
      <c r="HX151" s="465"/>
      <c r="HY151" s="465"/>
      <c r="HZ151" s="465"/>
      <c r="IA151" s="465"/>
      <c r="IB151" s="465"/>
      <c r="IC151" s="465"/>
      <c r="ID151" s="465"/>
      <c r="IE151" s="465"/>
      <c r="IF151" s="465"/>
      <c r="IG151" s="465"/>
      <c r="IH151" s="465"/>
      <c r="II151" s="465"/>
      <c r="IJ151" s="465"/>
      <c r="IK151" s="465"/>
      <c r="IL151" s="465"/>
      <c r="IM151" s="465"/>
      <c r="IN151" s="465"/>
      <c r="IO151" s="465"/>
      <c r="IP151" s="465"/>
      <c r="IQ151" s="465"/>
      <c r="IR151" s="465"/>
      <c r="IS151" s="465"/>
      <c r="IT151" s="465"/>
      <c r="IU151" s="465"/>
      <c r="IV151" s="465"/>
      <c r="IW151" s="465"/>
      <c r="IX151" s="465"/>
      <c r="IY151" s="465"/>
      <c r="IZ151" s="465"/>
      <c r="JA151" s="465"/>
      <c r="JB151" s="465"/>
      <c r="JC151" s="465"/>
      <c r="JD151" s="465"/>
      <c r="JE151" s="465"/>
      <c r="JF151" s="465"/>
      <c r="JG151" s="465"/>
      <c r="JH151" s="465"/>
      <c r="JI151" s="465"/>
      <c r="JJ151" s="465"/>
      <c r="JK151" s="465"/>
      <c r="JL151" s="465"/>
      <c r="JM151" s="465"/>
      <c r="JN151" s="465"/>
      <c r="JO151" s="465"/>
      <c r="JP151" s="465"/>
      <c r="JQ151" s="465"/>
      <c r="JR151" s="465"/>
      <c r="JS151" s="465"/>
      <c r="JT151" s="465"/>
      <c r="JU151" s="465"/>
      <c r="JV151" s="465"/>
      <c r="JW151" s="465"/>
      <c r="JX151" s="20"/>
      <c r="JY151"/>
      <c r="JZ151" s="466"/>
      <c r="KA151" s="466"/>
      <c r="KB151" s="466"/>
      <c r="KC151" s="466"/>
      <c r="KD151" s="466"/>
      <c r="KE151" s="466"/>
      <c r="KF151" s="466"/>
      <c r="KG151" s="466"/>
      <c r="KH151" s="466"/>
      <c r="KI151" s="466"/>
      <c r="KJ151" s="466"/>
      <c r="KK151" s="466"/>
      <c r="KL151" s="466"/>
      <c r="KM151" s="466"/>
      <c r="KN151" s="466"/>
      <c r="KO151" s="466"/>
      <c r="KP151" s="466"/>
      <c r="KQ151" s="466"/>
      <c r="KR151" s="466"/>
      <c r="KS151" s="466"/>
      <c r="KT151" s="466"/>
      <c r="KU151" s="466"/>
      <c r="KV151" s="466"/>
      <c r="KW151" s="466"/>
      <c r="KX151" s="466"/>
      <c r="KY151" s="466"/>
      <c r="KZ151" s="466"/>
      <c r="LA151" s="466"/>
      <c r="LB151" s="466"/>
      <c r="LC151" s="466"/>
      <c r="LD151" s="466"/>
      <c r="LE151" s="466"/>
      <c r="LF151" s="466"/>
      <c r="LG151" s="466"/>
      <c r="LH151" s="466"/>
      <c r="LI151" s="466"/>
      <c r="LJ151" s="466"/>
      <c r="LK151" s="466"/>
      <c r="LL151" s="466"/>
      <c r="LM151" s="466"/>
      <c r="LN151" s="466"/>
      <c r="LO151" s="466"/>
      <c r="LP151" s="466"/>
      <c r="LQ151" s="466"/>
      <c r="LR151" s="466"/>
      <c r="LS151" s="466"/>
      <c r="LT151" s="466"/>
      <c r="LU151" s="466"/>
      <c r="LV151" s="466"/>
      <c r="LW151" s="466"/>
      <c r="LX151" s="466"/>
      <c r="LY151" s="466"/>
      <c r="LZ151" s="466"/>
      <c r="MA151" s="466"/>
      <c r="MB151" s="466"/>
      <c r="MC151" s="466"/>
      <c r="MD151" s="466"/>
      <c r="ME151" s="466"/>
      <c r="MF151" s="466"/>
      <c r="MG151" s="466"/>
      <c r="MH151" s="466"/>
      <c r="MI151" s="466"/>
      <c r="MJ151" s="466"/>
      <c r="MK151" s="466"/>
      <c r="ML151" s="466"/>
      <c r="MM151" s="466"/>
      <c r="MN151" s="466"/>
      <c r="MO151" s="466"/>
      <c r="MP151" s="466"/>
      <c r="MQ151" s="466"/>
      <c r="MR151" s="466"/>
      <c r="MS151" s="466"/>
      <c r="MT151" s="466"/>
      <c r="MU151" s="466"/>
      <c r="MV151" s="466"/>
      <c r="MW151" s="466"/>
      <c r="MX151" s="466"/>
      <c r="MY151" s="466"/>
      <c r="MZ151" s="466"/>
      <c r="NA151" s="466"/>
      <c r="NB151" s="466"/>
      <c r="NC151" s="466"/>
      <c r="ND151" s="466"/>
      <c r="NE151" s="466"/>
      <c r="NF151" s="466"/>
      <c r="NG151" s="466"/>
      <c r="NH151" s="466"/>
      <c r="NI151" s="466"/>
      <c r="NJ151" s="466"/>
      <c r="NK151" s="466"/>
      <c r="NL151" s="466"/>
      <c r="NM151" s="466"/>
      <c r="NN151" s="466"/>
      <c r="NO151" s="466"/>
      <c r="NP151" s="466"/>
      <c r="NQ151" s="466"/>
      <c r="NR151" s="466"/>
      <c r="NS151" s="466"/>
      <c r="NT151" s="466"/>
      <c r="NU151" s="466"/>
      <c r="NV151" s="466"/>
      <c r="NW151" s="466"/>
      <c r="NX151" s="466"/>
      <c r="NY151" s="466"/>
      <c r="NZ151" s="466"/>
      <c r="OA151" s="466"/>
      <c r="OB151" s="466"/>
      <c r="OC151" s="466"/>
      <c r="OD151" s="466"/>
      <c r="OE151" s="466"/>
      <c r="OF151" s="466"/>
      <c r="OG151" s="466"/>
      <c r="OH151" s="466"/>
      <c r="OI151" s="466"/>
      <c r="OJ151" s="466"/>
      <c r="OK151" s="466"/>
      <c r="OL151" s="466"/>
      <c r="OM151" s="466"/>
      <c r="ON151" s="466"/>
      <c r="OO151" s="466"/>
      <c r="OP151" s="466"/>
      <c r="OQ151" s="466"/>
      <c r="OR151" s="466"/>
      <c r="OS151" s="466"/>
      <c r="OT151" s="466"/>
      <c r="OU151" s="466"/>
      <c r="OV151" s="466"/>
      <c r="OW151" s="466"/>
      <c r="OX151" s="466"/>
      <c r="OY151" s="466"/>
      <c r="OZ151" s="466"/>
      <c r="PA151" s="466"/>
      <c r="PB151" s="466"/>
      <c r="PC151" s="466"/>
      <c r="PD151" s="466"/>
      <c r="PE151" s="466"/>
      <c r="PF151" s="466"/>
      <c r="PG151" s="466"/>
      <c r="PH151" s="466"/>
    </row>
    <row r="152" spans="1:424" x14ac:dyDescent="0.35">
      <c r="A152"/>
      <c r="B152" s="427" t="s">
        <v>321</v>
      </c>
      <c r="C152" s="414"/>
      <c r="D152" s="400"/>
      <c r="E152" s="53">
        <v>1</v>
      </c>
      <c r="F152" s="838">
        <f>'URWLD COMPANY INPUTS'!$F$80</f>
        <v>2.5000000000000001E-2</v>
      </c>
      <c r="G152" s="250">
        <f>IF($I$140=0,"",I152/$I$140)</f>
        <v>0</v>
      </c>
      <c r="H152" s="843">
        <f>IF('URWLD COMPANY INPUTS'!$F$861="",0,IFERROR($I$140*'URWLD COMPANY INPUTS'!$F$861/Units_Ind,0))</f>
        <v>0</v>
      </c>
      <c r="I152" s="477">
        <f>+H152*Units_Ind</f>
        <v>0</v>
      </c>
      <c r="J152"/>
      <c r="K152" s="494"/>
      <c r="L152" s="202"/>
      <c r="M152" s="422">
        <f t="shared" ref="M152:AQ152" si="491">(M$91&gt;0)*(($I152/12*M$89*(1+$F152)^(ROUNDUP(M$91/12,0)-1))*(1-$E152)+($I152/12*(1+$F152)^(ROUNDUP(M$91/12,0)-1))*$E152)</f>
        <v>0</v>
      </c>
      <c r="N152" s="422">
        <f t="shared" si="491"/>
        <v>0</v>
      </c>
      <c r="O152" s="422">
        <f t="shared" si="491"/>
        <v>0</v>
      </c>
      <c r="P152" s="422">
        <f t="shared" si="491"/>
        <v>0</v>
      </c>
      <c r="Q152" s="422">
        <f t="shared" si="491"/>
        <v>0</v>
      </c>
      <c r="R152" s="422">
        <f t="shared" si="491"/>
        <v>0</v>
      </c>
      <c r="S152" s="422">
        <f t="shared" si="491"/>
        <v>0</v>
      </c>
      <c r="T152" s="422">
        <f t="shared" si="491"/>
        <v>0</v>
      </c>
      <c r="U152" s="422">
        <f t="shared" si="491"/>
        <v>0</v>
      </c>
      <c r="V152" s="422">
        <f t="shared" si="491"/>
        <v>0</v>
      </c>
      <c r="W152" s="422">
        <f t="shared" si="491"/>
        <v>0</v>
      </c>
      <c r="X152" s="422">
        <f t="shared" si="491"/>
        <v>0</v>
      </c>
      <c r="Y152" s="422">
        <f t="shared" si="491"/>
        <v>0</v>
      </c>
      <c r="Z152" s="422">
        <f t="shared" si="491"/>
        <v>0</v>
      </c>
      <c r="AA152" s="422">
        <f t="shared" si="491"/>
        <v>0</v>
      </c>
      <c r="AB152" s="422">
        <f t="shared" si="491"/>
        <v>0</v>
      </c>
      <c r="AC152" s="422">
        <f t="shared" si="491"/>
        <v>0</v>
      </c>
      <c r="AD152" s="422">
        <f t="shared" si="491"/>
        <v>0</v>
      </c>
      <c r="AE152" s="422">
        <f t="shared" si="491"/>
        <v>0</v>
      </c>
      <c r="AF152" s="422">
        <f t="shared" si="491"/>
        <v>0</v>
      </c>
      <c r="AG152" s="422">
        <f t="shared" si="491"/>
        <v>0</v>
      </c>
      <c r="AH152" s="422">
        <f t="shared" si="491"/>
        <v>0</v>
      </c>
      <c r="AI152" s="422">
        <f t="shared" si="491"/>
        <v>0</v>
      </c>
      <c r="AJ152" s="422">
        <f t="shared" si="491"/>
        <v>0</v>
      </c>
      <c r="AK152" s="422">
        <f t="shared" si="491"/>
        <v>0</v>
      </c>
      <c r="AL152" s="422">
        <f t="shared" si="491"/>
        <v>0</v>
      </c>
      <c r="AM152" s="422">
        <f t="shared" si="491"/>
        <v>0</v>
      </c>
      <c r="AN152" s="422">
        <f t="shared" si="491"/>
        <v>0</v>
      </c>
      <c r="AO152" s="422">
        <f t="shared" si="491"/>
        <v>0</v>
      </c>
      <c r="AP152" s="422">
        <f t="shared" si="491"/>
        <v>0</v>
      </c>
      <c r="AQ152" s="422">
        <f t="shared" si="491"/>
        <v>0</v>
      </c>
      <c r="AR152" s="422">
        <f t="shared" ref="AR152:BW152" si="492">(AR$91&gt;0)*(($I152/12*AR$89*(1+$F152)^(ROUNDUP(AR$91/12,0)-1))*(1-$E152)+($I152/12*(1+$F152)^(ROUNDUP(AR$91/12,0)-1))*$E152)</f>
        <v>0</v>
      </c>
      <c r="AS152" s="422">
        <f t="shared" si="492"/>
        <v>0</v>
      </c>
      <c r="AT152" s="422">
        <f t="shared" si="492"/>
        <v>0</v>
      </c>
      <c r="AU152" s="422">
        <f t="shared" si="492"/>
        <v>0</v>
      </c>
      <c r="AV152" s="422">
        <f t="shared" si="492"/>
        <v>0</v>
      </c>
      <c r="AW152" s="422">
        <f t="shared" si="492"/>
        <v>0</v>
      </c>
      <c r="AX152" s="422">
        <f t="shared" si="492"/>
        <v>0</v>
      </c>
      <c r="AY152" s="422">
        <f t="shared" si="492"/>
        <v>0</v>
      </c>
      <c r="AZ152" s="422">
        <f t="shared" si="492"/>
        <v>0</v>
      </c>
      <c r="BA152" s="422">
        <f t="shared" si="492"/>
        <v>0</v>
      </c>
      <c r="BB152" s="422">
        <f t="shared" si="492"/>
        <v>0</v>
      </c>
      <c r="BC152" s="422">
        <f t="shared" si="492"/>
        <v>0</v>
      </c>
      <c r="BD152" s="422">
        <f t="shared" si="492"/>
        <v>0</v>
      </c>
      <c r="BE152" s="422">
        <f t="shared" si="492"/>
        <v>0</v>
      </c>
      <c r="BF152" s="422">
        <f t="shared" si="492"/>
        <v>0</v>
      </c>
      <c r="BG152" s="422">
        <f t="shared" si="492"/>
        <v>0</v>
      </c>
      <c r="BH152" s="422">
        <f t="shared" si="492"/>
        <v>0</v>
      </c>
      <c r="BI152" s="422">
        <f t="shared" si="492"/>
        <v>0</v>
      </c>
      <c r="BJ152" s="422">
        <f t="shared" si="492"/>
        <v>0</v>
      </c>
      <c r="BK152" s="422">
        <f t="shared" si="492"/>
        <v>0</v>
      </c>
      <c r="BL152" s="422">
        <f t="shared" si="492"/>
        <v>0</v>
      </c>
      <c r="BM152" s="422">
        <f t="shared" si="492"/>
        <v>0</v>
      </c>
      <c r="BN152" s="422">
        <f t="shared" si="492"/>
        <v>0</v>
      </c>
      <c r="BO152" s="422">
        <f t="shared" si="492"/>
        <v>0</v>
      </c>
      <c r="BP152" s="422">
        <f t="shared" si="492"/>
        <v>0</v>
      </c>
      <c r="BQ152" s="422">
        <f t="shared" si="492"/>
        <v>0</v>
      </c>
      <c r="BR152" s="422">
        <f t="shared" si="492"/>
        <v>0</v>
      </c>
      <c r="BS152" s="422">
        <f t="shared" si="492"/>
        <v>0</v>
      </c>
      <c r="BT152" s="422">
        <f t="shared" si="492"/>
        <v>0</v>
      </c>
      <c r="BU152" s="422">
        <f t="shared" si="492"/>
        <v>0</v>
      </c>
      <c r="BV152" s="422">
        <f t="shared" si="492"/>
        <v>0</v>
      </c>
      <c r="BW152" s="422">
        <f t="shared" si="492"/>
        <v>0</v>
      </c>
      <c r="BX152" s="422">
        <f t="shared" ref="BX152:DC152" si="493">(BX$91&gt;0)*(($I152/12*BX$89*(1+$F152)^(ROUNDUP(BX$91/12,0)-1))*(1-$E152)+($I152/12*(1+$F152)^(ROUNDUP(BX$91/12,0)-1))*$E152)</f>
        <v>0</v>
      </c>
      <c r="BY152" s="422">
        <f t="shared" si="493"/>
        <v>0</v>
      </c>
      <c r="BZ152" s="422">
        <f t="shared" si="493"/>
        <v>0</v>
      </c>
      <c r="CA152" s="422">
        <f t="shared" si="493"/>
        <v>0</v>
      </c>
      <c r="CB152" s="422">
        <f t="shared" si="493"/>
        <v>0</v>
      </c>
      <c r="CC152" s="422">
        <f t="shared" si="493"/>
        <v>0</v>
      </c>
      <c r="CD152" s="422">
        <f t="shared" si="493"/>
        <v>0</v>
      </c>
      <c r="CE152" s="422">
        <f t="shared" si="493"/>
        <v>0</v>
      </c>
      <c r="CF152" s="422">
        <f t="shared" si="493"/>
        <v>0</v>
      </c>
      <c r="CG152" s="422">
        <f t="shared" si="493"/>
        <v>0</v>
      </c>
      <c r="CH152" s="422">
        <f t="shared" si="493"/>
        <v>0</v>
      </c>
      <c r="CI152" s="422">
        <f t="shared" si="493"/>
        <v>0</v>
      </c>
      <c r="CJ152" s="422">
        <f t="shared" si="493"/>
        <v>0</v>
      </c>
      <c r="CK152" s="422">
        <f t="shared" si="493"/>
        <v>0</v>
      </c>
      <c r="CL152" s="422">
        <f t="shared" si="493"/>
        <v>0</v>
      </c>
      <c r="CM152" s="422">
        <f t="shared" si="493"/>
        <v>0</v>
      </c>
      <c r="CN152" s="422">
        <f t="shared" si="493"/>
        <v>0</v>
      </c>
      <c r="CO152" s="422">
        <f t="shared" si="493"/>
        <v>0</v>
      </c>
      <c r="CP152" s="422">
        <f t="shared" si="493"/>
        <v>0</v>
      </c>
      <c r="CQ152" s="422">
        <f t="shared" si="493"/>
        <v>0</v>
      </c>
      <c r="CR152" s="422">
        <f t="shared" si="493"/>
        <v>0</v>
      </c>
      <c r="CS152" s="422">
        <f t="shared" si="493"/>
        <v>0</v>
      </c>
      <c r="CT152" s="422">
        <f t="shared" si="493"/>
        <v>0</v>
      </c>
      <c r="CU152" s="422">
        <f t="shared" si="493"/>
        <v>0</v>
      </c>
      <c r="CV152" s="422">
        <f t="shared" si="493"/>
        <v>0</v>
      </c>
      <c r="CW152" s="422">
        <f t="shared" si="493"/>
        <v>0</v>
      </c>
      <c r="CX152" s="422">
        <f t="shared" si="493"/>
        <v>0</v>
      </c>
      <c r="CY152" s="422">
        <f t="shared" si="493"/>
        <v>0</v>
      </c>
      <c r="CZ152" s="422">
        <f t="shared" si="493"/>
        <v>0</v>
      </c>
      <c r="DA152" s="422">
        <f t="shared" si="493"/>
        <v>0</v>
      </c>
      <c r="DB152" s="422">
        <f t="shared" si="493"/>
        <v>0</v>
      </c>
      <c r="DC152" s="422">
        <f t="shared" si="493"/>
        <v>0</v>
      </c>
      <c r="DD152" s="422">
        <f t="shared" ref="DD152:EN152" si="494">(DD$91&gt;0)*(($I152/12*DD$89*(1+$F152)^(ROUNDUP(DD$91/12,0)-1))*(1-$E152)+($I152/12*(1+$F152)^(ROUNDUP(DD$91/12,0)-1))*$E152)</f>
        <v>0</v>
      </c>
      <c r="DE152" s="422">
        <f t="shared" si="494"/>
        <v>0</v>
      </c>
      <c r="DF152" s="422">
        <f t="shared" si="494"/>
        <v>0</v>
      </c>
      <c r="DG152" s="422">
        <f t="shared" si="494"/>
        <v>0</v>
      </c>
      <c r="DH152" s="422">
        <f t="shared" si="494"/>
        <v>0</v>
      </c>
      <c r="DI152" s="422">
        <f t="shared" si="494"/>
        <v>0</v>
      </c>
      <c r="DJ152" s="422">
        <f t="shared" si="494"/>
        <v>0</v>
      </c>
      <c r="DK152" s="422">
        <f t="shared" si="494"/>
        <v>0</v>
      </c>
      <c r="DL152" s="422">
        <f t="shared" si="494"/>
        <v>0</v>
      </c>
      <c r="DM152" s="422">
        <f t="shared" si="494"/>
        <v>0</v>
      </c>
      <c r="DN152" s="422">
        <f t="shared" si="494"/>
        <v>0</v>
      </c>
      <c r="DO152" s="422">
        <f t="shared" si="494"/>
        <v>0</v>
      </c>
      <c r="DP152" s="422">
        <f t="shared" si="494"/>
        <v>0</v>
      </c>
      <c r="DQ152" s="422">
        <f t="shared" si="494"/>
        <v>0</v>
      </c>
      <c r="DR152" s="422">
        <f t="shared" si="494"/>
        <v>0</v>
      </c>
      <c r="DS152" s="422">
        <f t="shared" si="494"/>
        <v>0</v>
      </c>
      <c r="DT152" s="422">
        <f t="shared" si="494"/>
        <v>0</v>
      </c>
      <c r="DU152" s="422">
        <f t="shared" si="494"/>
        <v>0</v>
      </c>
      <c r="DV152" s="422">
        <f t="shared" si="494"/>
        <v>0</v>
      </c>
      <c r="DW152" s="422">
        <f t="shared" si="494"/>
        <v>0</v>
      </c>
      <c r="DX152" s="422">
        <f t="shared" si="494"/>
        <v>0</v>
      </c>
      <c r="DY152" s="422">
        <f t="shared" si="494"/>
        <v>0</v>
      </c>
      <c r="DZ152" s="422">
        <f t="shared" si="494"/>
        <v>0</v>
      </c>
      <c r="EA152" s="422">
        <f t="shared" si="494"/>
        <v>0</v>
      </c>
      <c r="EB152" s="422">
        <f t="shared" si="494"/>
        <v>0</v>
      </c>
      <c r="EC152" s="422">
        <f t="shared" si="494"/>
        <v>0</v>
      </c>
      <c r="ED152" s="422">
        <f t="shared" si="494"/>
        <v>0</v>
      </c>
      <c r="EE152" s="422">
        <f t="shared" si="494"/>
        <v>0</v>
      </c>
      <c r="EF152" s="422">
        <f t="shared" si="494"/>
        <v>0</v>
      </c>
      <c r="EG152" s="422">
        <f t="shared" si="494"/>
        <v>0</v>
      </c>
      <c r="EH152" s="422">
        <f t="shared" si="494"/>
        <v>0</v>
      </c>
      <c r="EI152" s="422">
        <f t="shared" si="494"/>
        <v>0</v>
      </c>
      <c r="EJ152" s="422">
        <f t="shared" si="494"/>
        <v>0</v>
      </c>
      <c r="EK152" s="422">
        <f t="shared" si="494"/>
        <v>0</v>
      </c>
      <c r="EL152" s="422">
        <f t="shared" si="494"/>
        <v>0</v>
      </c>
      <c r="EM152" s="422">
        <f t="shared" si="494"/>
        <v>0</v>
      </c>
      <c r="EN152" s="422">
        <f t="shared" si="494"/>
        <v>0</v>
      </c>
      <c r="EO152" s="208"/>
      <c r="EP152" s="464"/>
      <c r="EQ152" s="465"/>
      <c r="ER152" s="465"/>
      <c r="ES152" s="465"/>
      <c r="ET152" s="465"/>
      <c r="EU152" s="465"/>
      <c r="EV152" s="465"/>
      <c r="EW152" s="465"/>
      <c r="EX152" s="465"/>
      <c r="EY152" s="465"/>
      <c r="EZ152" s="465"/>
      <c r="FA152" s="465"/>
      <c r="FB152" s="465"/>
      <c r="FC152" s="465"/>
      <c r="FD152" s="465"/>
      <c r="FE152" s="465"/>
      <c r="FF152" s="465"/>
      <c r="FG152" s="465"/>
      <c r="FH152" s="465"/>
      <c r="FI152" s="465"/>
      <c r="FJ152" s="465"/>
      <c r="FK152" s="465"/>
      <c r="FL152" s="465"/>
      <c r="FM152" s="465"/>
      <c r="FN152" s="465"/>
      <c r="FO152" s="465"/>
      <c r="FP152" s="465"/>
      <c r="FQ152" s="465"/>
      <c r="FR152" s="465"/>
      <c r="FS152" s="465"/>
      <c r="FT152" s="465"/>
      <c r="FU152" s="465"/>
      <c r="FV152" s="465"/>
      <c r="FW152" s="465"/>
      <c r="FX152" s="465"/>
      <c r="FY152" s="465"/>
      <c r="FZ152" s="465"/>
      <c r="GA152" s="465"/>
      <c r="GB152" s="465"/>
      <c r="GC152" s="465"/>
      <c r="GD152" s="465"/>
      <c r="GE152" s="465"/>
      <c r="GF152" s="465"/>
      <c r="GG152" s="465"/>
      <c r="GH152" s="465"/>
      <c r="GI152" s="465"/>
      <c r="GJ152" s="465"/>
      <c r="GK152" s="465"/>
      <c r="GL152" s="465"/>
      <c r="GM152" s="465"/>
      <c r="GN152" s="465"/>
      <c r="GO152" s="465"/>
      <c r="GP152" s="465"/>
      <c r="GQ152" s="465"/>
      <c r="GR152" s="465"/>
      <c r="GS152" s="465"/>
      <c r="GT152" s="465"/>
      <c r="GU152" s="465"/>
      <c r="GV152" s="465"/>
      <c r="GW152" s="465"/>
      <c r="GX152" s="465"/>
      <c r="GY152" s="465"/>
      <c r="GZ152" s="465"/>
      <c r="HA152" s="465"/>
      <c r="HB152" s="465"/>
      <c r="HC152" s="465"/>
      <c r="HD152" s="465"/>
      <c r="HE152" s="465"/>
      <c r="HF152" s="465"/>
      <c r="HG152" s="465"/>
      <c r="HH152" s="465"/>
      <c r="HI152" s="465"/>
      <c r="HJ152" s="465"/>
      <c r="HK152" s="465"/>
      <c r="HL152" s="465"/>
      <c r="HM152" s="465"/>
      <c r="HN152" s="465"/>
      <c r="HO152" s="465"/>
      <c r="HP152" s="465"/>
      <c r="HQ152" s="465"/>
      <c r="HR152" s="465"/>
      <c r="HS152" s="465"/>
      <c r="HT152" s="465"/>
      <c r="HU152" s="465"/>
      <c r="HV152" s="465"/>
      <c r="HW152" s="465"/>
      <c r="HX152" s="465"/>
      <c r="HY152" s="465"/>
      <c r="HZ152" s="465"/>
      <c r="IA152" s="465"/>
      <c r="IB152" s="465"/>
      <c r="IC152" s="465"/>
      <c r="ID152" s="465"/>
      <c r="IE152" s="465"/>
      <c r="IF152" s="465"/>
      <c r="IG152" s="465"/>
      <c r="IH152" s="465"/>
      <c r="II152" s="465"/>
      <c r="IJ152" s="465"/>
      <c r="IK152" s="465"/>
      <c r="IL152" s="465"/>
      <c r="IM152" s="465"/>
      <c r="IN152" s="465"/>
      <c r="IO152" s="465"/>
      <c r="IP152" s="465"/>
      <c r="IQ152" s="465"/>
      <c r="IR152" s="465"/>
      <c r="IS152" s="465"/>
      <c r="IT152" s="465"/>
      <c r="IU152" s="465"/>
      <c r="IV152" s="465"/>
      <c r="IW152" s="465"/>
      <c r="IX152" s="465"/>
      <c r="IY152" s="465"/>
      <c r="IZ152" s="465"/>
      <c r="JA152" s="465"/>
      <c r="JB152" s="465"/>
      <c r="JC152" s="465"/>
      <c r="JD152" s="465"/>
      <c r="JE152" s="465"/>
      <c r="JF152" s="465"/>
      <c r="JG152" s="465"/>
      <c r="JH152" s="465"/>
      <c r="JI152" s="465"/>
      <c r="JJ152" s="465"/>
      <c r="JK152" s="465"/>
      <c r="JL152" s="465"/>
      <c r="JM152" s="465"/>
      <c r="JN152" s="465"/>
      <c r="JO152" s="465"/>
      <c r="JP152" s="465"/>
      <c r="JQ152" s="465"/>
      <c r="JR152" s="465"/>
      <c r="JS152" s="465"/>
      <c r="JT152" s="465"/>
      <c r="JU152" s="465"/>
      <c r="JV152" s="465"/>
      <c r="JW152" s="465"/>
      <c r="JX152" s="20"/>
      <c r="JY152"/>
      <c r="JZ152" s="466"/>
      <c r="KA152" s="466"/>
      <c r="KB152" s="466"/>
      <c r="KC152" s="466"/>
      <c r="KD152" s="466"/>
      <c r="KE152" s="466"/>
      <c r="KF152" s="466"/>
      <c r="KG152" s="466"/>
      <c r="KH152" s="466"/>
      <c r="KI152" s="466"/>
      <c r="KJ152" s="466"/>
      <c r="KK152" s="466"/>
      <c r="KL152" s="466"/>
      <c r="KM152" s="466"/>
      <c r="KN152" s="466"/>
      <c r="KO152" s="466"/>
      <c r="KP152" s="466"/>
      <c r="KQ152" s="466"/>
      <c r="KR152" s="466"/>
      <c r="KS152" s="466"/>
      <c r="KT152" s="466"/>
      <c r="KU152" s="466"/>
      <c r="KV152" s="466"/>
      <c r="KW152" s="466"/>
      <c r="KX152" s="466"/>
      <c r="KY152" s="466"/>
      <c r="KZ152" s="466"/>
      <c r="LA152" s="466"/>
      <c r="LB152" s="466"/>
      <c r="LC152" s="466"/>
      <c r="LD152" s="466"/>
      <c r="LE152" s="466"/>
      <c r="LF152" s="466"/>
      <c r="LG152" s="466"/>
      <c r="LH152" s="466"/>
      <c r="LI152" s="466"/>
      <c r="LJ152" s="466"/>
      <c r="LK152" s="466"/>
      <c r="LL152" s="466"/>
      <c r="LM152" s="466"/>
      <c r="LN152" s="466"/>
      <c r="LO152" s="466"/>
      <c r="LP152" s="466"/>
      <c r="LQ152" s="466"/>
      <c r="LR152" s="466"/>
      <c r="LS152" s="466"/>
      <c r="LT152" s="466"/>
      <c r="LU152" s="466"/>
      <c r="LV152" s="466"/>
      <c r="LW152" s="466"/>
      <c r="LX152" s="466"/>
      <c r="LY152" s="466"/>
      <c r="LZ152" s="466"/>
      <c r="MA152" s="466"/>
      <c r="MB152" s="466"/>
      <c r="MC152" s="466"/>
      <c r="MD152" s="466"/>
      <c r="ME152" s="466"/>
      <c r="MF152" s="466"/>
      <c r="MG152" s="466"/>
      <c r="MH152" s="466"/>
      <c r="MI152" s="466"/>
      <c r="MJ152" s="466"/>
      <c r="MK152" s="466"/>
      <c r="ML152" s="466"/>
      <c r="MM152" s="466"/>
      <c r="MN152" s="466"/>
      <c r="MO152" s="466"/>
      <c r="MP152" s="466"/>
      <c r="MQ152" s="466"/>
      <c r="MR152" s="466"/>
      <c r="MS152" s="466"/>
      <c r="MT152" s="466"/>
      <c r="MU152" s="466"/>
      <c r="MV152" s="466"/>
      <c r="MW152" s="466"/>
      <c r="MX152" s="466"/>
      <c r="MY152" s="466"/>
      <c r="MZ152" s="466"/>
      <c r="NA152" s="466"/>
      <c r="NB152" s="466"/>
      <c r="NC152" s="466"/>
      <c r="ND152" s="466"/>
      <c r="NE152" s="466"/>
      <c r="NF152" s="466"/>
      <c r="NG152" s="466"/>
      <c r="NH152" s="466"/>
      <c r="NI152" s="466"/>
      <c r="NJ152" s="466"/>
      <c r="NK152" s="466"/>
      <c r="NL152" s="466"/>
      <c r="NM152" s="466"/>
      <c r="NN152" s="466"/>
      <c r="NO152" s="466"/>
      <c r="NP152" s="466"/>
      <c r="NQ152" s="466"/>
      <c r="NR152" s="466"/>
      <c r="NS152" s="466"/>
      <c r="NT152" s="466"/>
      <c r="NU152" s="466"/>
      <c r="NV152" s="466"/>
      <c r="NW152" s="466"/>
      <c r="NX152" s="466"/>
      <c r="NY152" s="466"/>
      <c r="NZ152" s="466"/>
      <c r="OA152" s="466"/>
      <c r="OB152" s="466"/>
      <c r="OC152" s="466"/>
      <c r="OD152" s="466"/>
      <c r="OE152" s="466"/>
      <c r="OF152" s="466"/>
      <c r="OG152" s="466"/>
      <c r="OH152" s="466"/>
      <c r="OI152" s="466"/>
      <c r="OJ152" s="466"/>
      <c r="OK152" s="466"/>
      <c r="OL152" s="466"/>
      <c r="OM152" s="466"/>
      <c r="ON152" s="466"/>
      <c r="OO152" s="466"/>
      <c r="OP152" s="466"/>
      <c r="OQ152" s="466"/>
      <c r="OR152" s="466"/>
      <c r="OS152" s="466"/>
      <c r="OT152" s="466"/>
      <c r="OU152" s="466"/>
      <c r="OV152" s="466"/>
      <c r="OW152" s="466"/>
      <c r="OX152" s="466"/>
      <c r="OY152" s="466"/>
      <c r="OZ152" s="466"/>
      <c r="PA152" s="466"/>
      <c r="PB152" s="466"/>
      <c r="PC152" s="466"/>
      <c r="PD152" s="466"/>
      <c r="PE152" s="466"/>
      <c r="PF152" s="466"/>
      <c r="PG152" s="466"/>
      <c r="PH152" s="466"/>
    </row>
    <row r="153" spans="1:424" x14ac:dyDescent="0.35">
      <c r="A153"/>
      <c r="B153" s="34" t="s">
        <v>322</v>
      </c>
      <c r="C153" s="62"/>
      <c r="D153" s="62"/>
      <c r="E153" s="62"/>
      <c r="F153" s="62"/>
      <c r="G153" s="259">
        <f>IF($I$140=0,"",SUM(G151:G152))</f>
        <v>0</v>
      </c>
      <c r="H153" s="148">
        <f>SUM(H151:H152)</f>
        <v>0</v>
      </c>
      <c r="I153" s="445">
        <f>SUM(I151:I152)</f>
        <v>0</v>
      </c>
      <c r="J153"/>
      <c r="K153" s="223" t="s">
        <v>323</v>
      </c>
      <c r="L153" s="75"/>
      <c r="M153" s="417">
        <f t="shared" ref="M153:BX153" si="495">SUM(M151:M152)</f>
        <v>0</v>
      </c>
      <c r="N153" s="417">
        <f t="shared" si="495"/>
        <v>0</v>
      </c>
      <c r="O153" s="417">
        <f t="shared" si="495"/>
        <v>0</v>
      </c>
      <c r="P153" s="417">
        <f t="shared" si="495"/>
        <v>0</v>
      </c>
      <c r="Q153" s="417">
        <f t="shared" si="495"/>
        <v>0</v>
      </c>
      <c r="R153" s="417">
        <f t="shared" si="495"/>
        <v>0</v>
      </c>
      <c r="S153" s="417">
        <f t="shared" si="495"/>
        <v>0</v>
      </c>
      <c r="T153" s="417">
        <f t="shared" si="495"/>
        <v>0</v>
      </c>
      <c r="U153" s="417">
        <f t="shared" si="495"/>
        <v>0</v>
      </c>
      <c r="V153" s="417">
        <f t="shared" si="495"/>
        <v>0</v>
      </c>
      <c r="W153" s="417">
        <f t="shared" si="495"/>
        <v>0</v>
      </c>
      <c r="X153" s="417">
        <f t="shared" si="495"/>
        <v>0</v>
      </c>
      <c r="Y153" s="417">
        <f t="shared" si="495"/>
        <v>0</v>
      </c>
      <c r="Z153" s="417">
        <f t="shared" si="495"/>
        <v>0</v>
      </c>
      <c r="AA153" s="417">
        <f t="shared" si="495"/>
        <v>0</v>
      </c>
      <c r="AB153" s="417">
        <f t="shared" si="495"/>
        <v>0</v>
      </c>
      <c r="AC153" s="417">
        <f t="shared" si="495"/>
        <v>0</v>
      </c>
      <c r="AD153" s="417">
        <f t="shared" si="495"/>
        <v>0</v>
      </c>
      <c r="AE153" s="417">
        <f t="shared" si="495"/>
        <v>0</v>
      </c>
      <c r="AF153" s="417">
        <f t="shared" si="495"/>
        <v>0</v>
      </c>
      <c r="AG153" s="417">
        <f t="shared" si="495"/>
        <v>0</v>
      </c>
      <c r="AH153" s="417">
        <f t="shared" si="495"/>
        <v>0</v>
      </c>
      <c r="AI153" s="417">
        <f t="shared" si="495"/>
        <v>0</v>
      </c>
      <c r="AJ153" s="417">
        <f t="shared" si="495"/>
        <v>0</v>
      </c>
      <c r="AK153" s="417">
        <f t="shared" si="495"/>
        <v>0</v>
      </c>
      <c r="AL153" s="417">
        <f t="shared" si="495"/>
        <v>0</v>
      </c>
      <c r="AM153" s="417">
        <f t="shared" si="495"/>
        <v>0</v>
      </c>
      <c r="AN153" s="417">
        <f t="shared" si="495"/>
        <v>0</v>
      </c>
      <c r="AO153" s="417">
        <f t="shared" si="495"/>
        <v>0</v>
      </c>
      <c r="AP153" s="417">
        <f t="shared" si="495"/>
        <v>0</v>
      </c>
      <c r="AQ153" s="417">
        <f t="shared" si="495"/>
        <v>0</v>
      </c>
      <c r="AR153" s="417">
        <f t="shared" si="495"/>
        <v>0</v>
      </c>
      <c r="AS153" s="417">
        <f t="shared" si="495"/>
        <v>0</v>
      </c>
      <c r="AT153" s="417">
        <f t="shared" si="495"/>
        <v>0</v>
      </c>
      <c r="AU153" s="417">
        <f t="shared" si="495"/>
        <v>0</v>
      </c>
      <c r="AV153" s="417">
        <f t="shared" si="495"/>
        <v>0</v>
      </c>
      <c r="AW153" s="417">
        <f t="shared" si="495"/>
        <v>0</v>
      </c>
      <c r="AX153" s="417">
        <f t="shared" si="495"/>
        <v>0</v>
      </c>
      <c r="AY153" s="417">
        <f t="shared" si="495"/>
        <v>0</v>
      </c>
      <c r="AZ153" s="417">
        <f t="shared" si="495"/>
        <v>0</v>
      </c>
      <c r="BA153" s="417">
        <f t="shared" si="495"/>
        <v>0</v>
      </c>
      <c r="BB153" s="417">
        <f t="shared" si="495"/>
        <v>0</v>
      </c>
      <c r="BC153" s="417">
        <f t="shared" si="495"/>
        <v>0</v>
      </c>
      <c r="BD153" s="417">
        <f t="shared" si="495"/>
        <v>0</v>
      </c>
      <c r="BE153" s="417">
        <f t="shared" si="495"/>
        <v>0</v>
      </c>
      <c r="BF153" s="417">
        <f t="shared" si="495"/>
        <v>0</v>
      </c>
      <c r="BG153" s="417">
        <f t="shared" si="495"/>
        <v>0</v>
      </c>
      <c r="BH153" s="417">
        <f t="shared" si="495"/>
        <v>0</v>
      </c>
      <c r="BI153" s="417">
        <f t="shared" si="495"/>
        <v>0</v>
      </c>
      <c r="BJ153" s="417">
        <f t="shared" si="495"/>
        <v>0</v>
      </c>
      <c r="BK153" s="417">
        <f t="shared" si="495"/>
        <v>0</v>
      </c>
      <c r="BL153" s="417">
        <f t="shared" si="495"/>
        <v>0</v>
      </c>
      <c r="BM153" s="417">
        <f t="shared" si="495"/>
        <v>0</v>
      </c>
      <c r="BN153" s="417">
        <f t="shared" si="495"/>
        <v>0</v>
      </c>
      <c r="BO153" s="417">
        <f t="shared" si="495"/>
        <v>0</v>
      </c>
      <c r="BP153" s="417">
        <f t="shared" si="495"/>
        <v>0</v>
      </c>
      <c r="BQ153" s="417">
        <f t="shared" si="495"/>
        <v>0</v>
      </c>
      <c r="BR153" s="417">
        <f t="shared" si="495"/>
        <v>0</v>
      </c>
      <c r="BS153" s="417">
        <f t="shared" si="495"/>
        <v>0</v>
      </c>
      <c r="BT153" s="417">
        <f t="shared" si="495"/>
        <v>0</v>
      </c>
      <c r="BU153" s="417">
        <f t="shared" si="495"/>
        <v>0</v>
      </c>
      <c r="BV153" s="417">
        <f t="shared" si="495"/>
        <v>0</v>
      </c>
      <c r="BW153" s="417">
        <f t="shared" si="495"/>
        <v>0</v>
      </c>
      <c r="BX153" s="417">
        <f t="shared" si="495"/>
        <v>0</v>
      </c>
      <c r="BY153" s="417">
        <f t="shared" ref="BY153:EJ153" si="496">SUM(BY151:BY152)</f>
        <v>0</v>
      </c>
      <c r="BZ153" s="417">
        <f t="shared" si="496"/>
        <v>0</v>
      </c>
      <c r="CA153" s="417">
        <f t="shared" si="496"/>
        <v>0</v>
      </c>
      <c r="CB153" s="417">
        <f t="shared" si="496"/>
        <v>0</v>
      </c>
      <c r="CC153" s="417">
        <f t="shared" si="496"/>
        <v>0</v>
      </c>
      <c r="CD153" s="417">
        <f t="shared" si="496"/>
        <v>0</v>
      </c>
      <c r="CE153" s="417">
        <f t="shared" si="496"/>
        <v>0</v>
      </c>
      <c r="CF153" s="417">
        <f t="shared" si="496"/>
        <v>0</v>
      </c>
      <c r="CG153" s="417">
        <f t="shared" si="496"/>
        <v>0</v>
      </c>
      <c r="CH153" s="417">
        <f t="shared" si="496"/>
        <v>0</v>
      </c>
      <c r="CI153" s="417">
        <f t="shared" si="496"/>
        <v>0</v>
      </c>
      <c r="CJ153" s="417">
        <f t="shared" si="496"/>
        <v>0</v>
      </c>
      <c r="CK153" s="417">
        <f t="shared" si="496"/>
        <v>0</v>
      </c>
      <c r="CL153" s="417">
        <f t="shared" si="496"/>
        <v>0</v>
      </c>
      <c r="CM153" s="417">
        <f t="shared" si="496"/>
        <v>0</v>
      </c>
      <c r="CN153" s="417">
        <f t="shared" si="496"/>
        <v>0</v>
      </c>
      <c r="CO153" s="417">
        <f t="shared" si="496"/>
        <v>0</v>
      </c>
      <c r="CP153" s="417">
        <f t="shared" si="496"/>
        <v>0</v>
      </c>
      <c r="CQ153" s="417">
        <f t="shared" si="496"/>
        <v>0</v>
      </c>
      <c r="CR153" s="417">
        <f t="shared" si="496"/>
        <v>0</v>
      </c>
      <c r="CS153" s="417">
        <f t="shared" si="496"/>
        <v>0</v>
      </c>
      <c r="CT153" s="417">
        <f t="shared" si="496"/>
        <v>0</v>
      </c>
      <c r="CU153" s="417">
        <f t="shared" si="496"/>
        <v>0</v>
      </c>
      <c r="CV153" s="417">
        <f t="shared" si="496"/>
        <v>0</v>
      </c>
      <c r="CW153" s="417">
        <f t="shared" si="496"/>
        <v>0</v>
      </c>
      <c r="CX153" s="417">
        <f t="shared" si="496"/>
        <v>0</v>
      </c>
      <c r="CY153" s="417">
        <f t="shared" si="496"/>
        <v>0</v>
      </c>
      <c r="CZ153" s="417">
        <f t="shared" si="496"/>
        <v>0</v>
      </c>
      <c r="DA153" s="417">
        <f t="shared" si="496"/>
        <v>0</v>
      </c>
      <c r="DB153" s="417">
        <f t="shared" si="496"/>
        <v>0</v>
      </c>
      <c r="DC153" s="417">
        <f t="shared" si="496"/>
        <v>0</v>
      </c>
      <c r="DD153" s="417">
        <f t="shared" si="496"/>
        <v>0</v>
      </c>
      <c r="DE153" s="417">
        <f t="shared" si="496"/>
        <v>0</v>
      </c>
      <c r="DF153" s="417">
        <f t="shared" si="496"/>
        <v>0</v>
      </c>
      <c r="DG153" s="417">
        <f t="shared" si="496"/>
        <v>0</v>
      </c>
      <c r="DH153" s="417">
        <f t="shared" si="496"/>
        <v>0</v>
      </c>
      <c r="DI153" s="417">
        <f t="shared" si="496"/>
        <v>0</v>
      </c>
      <c r="DJ153" s="417">
        <f t="shared" si="496"/>
        <v>0</v>
      </c>
      <c r="DK153" s="417">
        <f t="shared" si="496"/>
        <v>0</v>
      </c>
      <c r="DL153" s="417">
        <f t="shared" si="496"/>
        <v>0</v>
      </c>
      <c r="DM153" s="417">
        <f t="shared" si="496"/>
        <v>0</v>
      </c>
      <c r="DN153" s="417">
        <f t="shared" si="496"/>
        <v>0</v>
      </c>
      <c r="DO153" s="417">
        <f t="shared" si="496"/>
        <v>0</v>
      </c>
      <c r="DP153" s="417">
        <f t="shared" si="496"/>
        <v>0</v>
      </c>
      <c r="DQ153" s="417">
        <f t="shared" si="496"/>
        <v>0</v>
      </c>
      <c r="DR153" s="417">
        <f t="shared" si="496"/>
        <v>0</v>
      </c>
      <c r="DS153" s="417">
        <f t="shared" si="496"/>
        <v>0</v>
      </c>
      <c r="DT153" s="417">
        <f t="shared" si="496"/>
        <v>0</v>
      </c>
      <c r="DU153" s="417">
        <f t="shared" si="496"/>
        <v>0</v>
      </c>
      <c r="DV153" s="417">
        <f t="shared" si="496"/>
        <v>0</v>
      </c>
      <c r="DW153" s="417">
        <f t="shared" si="496"/>
        <v>0</v>
      </c>
      <c r="DX153" s="417">
        <f t="shared" si="496"/>
        <v>0</v>
      </c>
      <c r="DY153" s="417">
        <f t="shared" si="496"/>
        <v>0</v>
      </c>
      <c r="DZ153" s="417">
        <f t="shared" si="496"/>
        <v>0</v>
      </c>
      <c r="EA153" s="417">
        <f t="shared" si="496"/>
        <v>0</v>
      </c>
      <c r="EB153" s="417">
        <f t="shared" si="496"/>
        <v>0</v>
      </c>
      <c r="EC153" s="417">
        <f t="shared" si="496"/>
        <v>0</v>
      </c>
      <c r="ED153" s="417">
        <f t="shared" si="496"/>
        <v>0</v>
      </c>
      <c r="EE153" s="417">
        <f t="shared" si="496"/>
        <v>0</v>
      </c>
      <c r="EF153" s="417">
        <f t="shared" si="496"/>
        <v>0</v>
      </c>
      <c r="EG153" s="417">
        <f t="shared" si="496"/>
        <v>0</v>
      </c>
      <c r="EH153" s="417">
        <f t="shared" si="496"/>
        <v>0</v>
      </c>
      <c r="EI153" s="417">
        <f t="shared" si="496"/>
        <v>0</v>
      </c>
      <c r="EJ153" s="417">
        <f t="shared" si="496"/>
        <v>0</v>
      </c>
      <c r="EK153" s="417">
        <f>SUM(EK151:EK152)</f>
        <v>0</v>
      </c>
      <c r="EL153" s="417">
        <f>SUM(EL151:EL152)</f>
        <v>0</v>
      </c>
      <c r="EM153" s="417">
        <f>SUM(EM151:EM152)</f>
        <v>0</v>
      </c>
      <c r="EN153" s="417">
        <f>SUM(EN151:EN152)</f>
        <v>0</v>
      </c>
      <c r="EO153"/>
      <c r="EP153" s="219"/>
      <c r="EQ153" s="18"/>
      <c r="ER153" s="209"/>
      <c r="ES153" s="18"/>
      <c r="ET153" s="18"/>
      <c r="EU153" s="18"/>
      <c r="EV153" s="18"/>
      <c r="EW153" s="20"/>
      <c r="EX153" s="20"/>
      <c r="EY153" s="20"/>
      <c r="EZ153" s="20"/>
      <c r="FA153" s="20"/>
      <c r="FB153" s="20"/>
      <c r="FC153" s="20"/>
      <c r="FD153" s="20"/>
      <c r="FE153" s="20"/>
      <c r="FF153" s="20"/>
      <c r="FG153" s="20"/>
      <c r="FH153" s="20"/>
      <c r="FI153" s="20"/>
      <c r="FJ153" s="20"/>
      <c r="FK153" s="20"/>
      <c r="FL153" s="20"/>
      <c r="FM153" s="20"/>
      <c r="FN153" s="20"/>
      <c r="FO153" s="20"/>
      <c r="FP153" s="20"/>
      <c r="FQ153" s="20"/>
      <c r="FR153" s="20"/>
      <c r="FS153" s="20"/>
      <c r="FT153" s="20"/>
      <c r="FU153" s="20"/>
      <c r="FV153" s="20"/>
      <c r="FW153" s="20"/>
      <c r="FX153" s="20"/>
      <c r="FY153" s="20"/>
      <c r="FZ153" s="20"/>
      <c r="GA153" s="20"/>
      <c r="GB153" s="20"/>
      <c r="GC153" s="20"/>
      <c r="GD153" s="20"/>
      <c r="GE153" s="20"/>
      <c r="GF153" s="20"/>
      <c r="GG153" s="20"/>
      <c r="GH153" s="20"/>
      <c r="GI153" s="20"/>
      <c r="GJ153" s="20"/>
      <c r="GK153" s="20"/>
      <c r="GL153" s="20"/>
      <c r="GM153" s="20"/>
      <c r="GN153" s="20"/>
      <c r="GO153" s="20"/>
      <c r="GP153" s="20"/>
      <c r="GQ153" s="20"/>
      <c r="GR153" s="20"/>
      <c r="GS153" s="20"/>
      <c r="GT153" s="20"/>
      <c r="GU153" s="20"/>
      <c r="GV153" s="20"/>
      <c r="GW153" s="20"/>
      <c r="GX153" s="20"/>
      <c r="GY153" s="20"/>
      <c r="GZ153" s="20"/>
      <c r="HA153" s="20"/>
      <c r="HB153" s="20"/>
      <c r="HC153" s="20"/>
      <c r="HD153" s="20"/>
      <c r="HE153" s="20"/>
      <c r="HF153" s="20"/>
      <c r="HG153" s="20"/>
      <c r="HH153" s="20"/>
      <c r="HI153" s="20"/>
      <c r="HJ153" s="20"/>
      <c r="HK153" s="20"/>
      <c r="HL153" s="20"/>
      <c r="HM153" s="20"/>
      <c r="HN153" s="20"/>
      <c r="HO153" s="20"/>
      <c r="HP153" s="20"/>
      <c r="HQ153" s="20"/>
      <c r="HR153" s="20"/>
      <c r="HS153" s="20"/>
      <c r="HT153" s="20"/>
      <c r="HU153" s="20"/>
      <c r="HV153" s="20"/>
      <c r="HW153" s="20"/>
      <c r="HX153" s="20"/>
      <c r="HY153" s="20"/>
      <c r="HZ153" s="20"/>
      <c r="IA153" s="20"/>
      <c r="IB153" s="20"/>
      <c r="IC153" s="20"/>
      <c r="ID153" s="20"/>
      <c r="IE153" s="20"/>
      <c r="IF153" s="20"/>
      <c r="IG153" s="20"/>
      <c r="IH153" s="20"/>
      <c r="II153" s="20"/>
      <c r="IJ153" s="20"/>
      <c r="IK153" s="20"/>
      <c r="IL153" s="20"/>
      <c r="IM153" s="20"/>
      <c r="IN153" s="20"/>
      <c r="IO153" s="20"/>
      <c r="IP153" s="20"/>
      <c r="IQ153" s="20"/>
      <c r="IR153" s="20"/>
      <c r="IS153" s="20"/>
      <c r="IT153" s="20"/>
      <c r="IU153" s="20"/>
      <c r="IV153" s="20"/>
      <c r="IW153" s="20"/>
      <c r="IX153" s="20"/>
      <c r="IY153" s="20"/>
      <c r="IZ153" s="20"/>
      <c r="JA153" s="20"/>
      <c r="JB153" s="20"/>
      <c r="JC153" s="20"/>
      <c r="JD153" s="20"/>
      <c r="JE153" s="20"/>
      <c r="JF153" s="20"/>
      <c r="JG153" s="20"/>
      <c r="JH153" s="20"/>
      <c r="JI153" s="20"/>
      <c r="JJ153" s="20"/>
      <c r="JK153" s="20"/>
      <c r="JL153" s="20"/>
      <c r="JM153" s="20"/>
      <c r="JN153" s="20"/>
      <c r="JO153" s="20"/>
      <c r="JP153" s="20"/>
      <c r="JQ153" s="20"/>
      <c r="JR153" s="20"/>
      <c r="JS153" s="20"/>
      <c r="JT153" s="20"/>
      <c r="JU153" s="20"/>
      <c r="JV153" s="20"/>
      <c r="JW153" s="20"/>
      <c r="JX153" s="20"/>
      <c r="JY153"/>
      <c r="JZ153" s="262"/>
      <c r="KA153" s="262"/>
      <c r="KB153" s="262"/>
      <c r="KC153" s="262"/>
      <c r="KD153" s="262"/>
      <c r="KE153" s="262"/>
      <c r="KF153" s="262"/>
      <c r="KG153" s="262"/>
      <c r="KH153" s="262"/>
      <c r="KI153" s="262"/>
      <c r="KJ153" s="262"/>
      <c r="KK153" s="262"/>
      <c r="KL153" s="262"/>
      <c r="KM153" s="262"/>
      <c r="KN153" s="262"/>
      <c r="KO153" s="262"/>
      <c r="KP153" s="262"/>
      <c r="KQ153" s="262"/>
      <c r="KR153" s="262"/>
      <c r="KS153" s="262"/>
      <c r="KT153" s="262"/>
      <c r="KU153" s="262"/>
      <c r="KV153" s="262"/>
      <c r="KW153" s="262"/>
      <c r="KX153" s="262"/>
      <c r="KY153" s="262"/>
      <c r="KZ153" s="262"/>
      <c r="LA153" s="262"/>
      <c r="LB153" s="262"/>
      <c r="LC153" s="262"/>
      <c r="LD153" s="262"/>
      <c r="LE153" s="262"/>
      <c r="LF153" s="262"/>
      <c r="LG153" s="262"/>
      <c r="LH153" s="262"/>
      <c r="LI153" s="262"/>
      <c r="LJ153" s="262"/>
      <c r="LK153" s="262"/>
      <c r="LL153" s="262"/>
      <c r="LM153" s="262"/>
      <c r="LN153" s="262"/>
      <c r="LO153" s="262"/>
      <c r="LP153" s="262"/>
      <c r="LQ153" s="262"/>
      <c r="LR153" s="262"/>
      <c r="LS153" s="262"/>
      <c r="LT153" s="262"/>
      <c r="LU153" s="262"/>
      <c r="LV153" s="262"/>
      <c r="LW153" s="262"/>
      <c r="LX153" s="262"/>
      <c r="LY153" s="262"/>
      <c r="LZ153" s="262"/>
      <c r="MA153" s="262"/>
      <c r="MB153" s="262"/>
      <c r="MC153" s="262"/>
      <c r="MD153" s="262"/>
      <c r="ME153" s="262"/>
      <c r="MF153" s="262"/>
      <c r="MG153" s="262"/>
      <c r="MH153" s="262"/>
      <c r="MI153" s="262"/>
      <c r="MJ153" s="262"/>
      <c r="MK153" s="262"/>
      <c r="ML153" s="262"/>
      <c r="MM153" s="262"/>
      <c r="MN153" s="262"/>
      <c r="MO153" s="262"/>
      <c r="MP153" s="262"/>
      <c r="MQ153" s="262"/>
      <c r="MR153" s="262"/>
      <c r="MS153" s="262"/>
      <c r="MT153" s="262"/>
      <c r="MU153" s="262"/>
      <c r="MV153" s="262"/>
      <c r="MW153" s="262"/>
      <c r="MX153" s="262"/>
      <c r="MY153" s="262"/>
      <c r="MZ153" s="262"/>
      <c r="NA153" s="262"/>
      <c r="NB153" s="262"/>
      <c r="NC153" s="262"/>
      <c r="ND153" s="262"/>
      <c r="NE153" s="262"/>
      <c r="NF153" s="262"/>
      <c r="NG153" s="262"/>
      <c r="NH153" s="262"/>
      <c r="NI153" s="262"/>
      <c r="NJ153" s="262"/>
      <c r="NK153" s="262"/>
      <c r="NL153" s="262"/>
      <c r="NM153" s="262"/>
      <c r="NN153" s="262"/>
      <c r="NO153" s="262"/>
      <c r="NP153" s="262"/>
      <c r="NQ153" s="262"/>
      <c r="NR153" s="262"/>
      <c r="NS153" s="262"/>
      <c r="NT153" s="262"/>
      <c r="NU153" s="262"/>
      <c r="NV153" s="262"/>
      <c r="NW153" s="262"/>
      <c r="NX153" s="262"/>
      <c r="NY153" s="262"/>
      <c r="NZ153" s="262"/>
      <c r="OA153" s="262"/>
      <c r="OB153" s="262"/>
      <c r="OC153" s="262"/>
      <c r="OD153" s="262"/>
      <c r="OE153" s="262"/>
      <c r="OF153" s="262"/>
      <c r="OG153" s="262"/>
      <c r="OH153" s="262"/>
      <c r="OI153" s="262"/>
      <c r="OJ153" s="262"/>
      <c r="OK153" s="262"/>
      <c r="OL153" s="262"/>
      <c r="OM153" s="262"/>
      <c r="ON153" s="262"/>
      <c r="OO153" s="262"/>
      <c r="OP153" s="262"/>
      <c r="OQ153" s="262"/>
      <c r="OR153" s="262"/>
      <c r="OS153" s="262"/>
      <c r="OT153" s="262"/>
      <c r="OU153" s="262"/>
      <c r="OV153" s="262"/>
      <c r="OW153" s="262"/>
      <c r="OX153" s="262"/>
      <c r="OY153" s="262"/>
      <c r="OZ153" s="262"/>
      <c r="PA153" s="262"/>
      <c r="PB153" s="262"/>
      <c r="PC153" s="262"/>
      <c r="PD153" s="262"/>
      <c r="PE153" s="262"/>
      <c r="PF153" s="262"/>
      <c r="PG153" s="262"/>
      <c r="PH153" s="262"/>
    </row>
    <row r="154" spans="1:424" x14ac:dyDescent="0.35">
      <c r="A154"/>
      <c r="B154" s="62"/>
      <c r="C154" s="62"/>
      <c r="D154" s="62"/>
      <c r="E154" s="62"/>
      <c r="F154" s="62"/>
      <c r="G154" s="136"/>
      <c r="H154" s="136"/>
      <c r="I154" s="136"/>
      <c r="J154"/>
      <c r="K154" s="223"/>
      <c r="L154"/>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c r="BT154" s="75"/>
      <c r="BU154" s="75"/>
      <c r="BV154" s="75"/>
      <c r="BW154" s="75"/>
      <c r="BX154" s="75"/>
      <c r="BY154" s="75"/>
      <c r="BZ154" s="75"/>
      <c r="CA154" s="75"/>
      <c r="CB154" s="75"/>
      <c r="CC154" s="75"/>
      <c r="CD154" s="75"/>
      <c r="CE154" s="75"/>
      <c r="CF154" s="75"/>
      <c r="CG154" s="75"/>
      <c r="CH154" s="75"/>
      <c r="CI154" s="75"/>
      <c r="CJ154" s="75"/>
      <c r="CK154" s="75"/>
      <c r="CL154" s="75"/>
      <c r="CM154" s="75"/>
      <c r="CN154" s="75"/>
      <c r="CO154" s="75"/>
      <c r="CP154" s="75"/>
      <c r="CQ154" s="75"/>
      <c r="CR154" s="75"/>
      <c r="CS154" s="75"/>
      <c r="CT154" s="75"/>
      <c r="CU154" s="75"/>
      <c r="CV154" s="75"/>
      <c r="CW154" s="75"/>
      <c r="CX154" s="75"/>
      <c r="CY154" s="75"/>
      <c r="CZ154" s="75"/>
      <c r="DA154" s="75"/>
      <c r="DB154" s="75"/>
      <c r="DC154" s="75"/>
      <c r="DD154" s="75"/>
      <c r="DE154" s="75"/>
      <c r="DF154" s="75"/>
      <c r="DG154" s="75"/>
      <c r="DH154" s="75"/>
      <c r="DI154" s="75"/>
      <c r="DJ154" s="75"/>
      <c r="DK154" s="75"/>
      <c r="DL154" s="75"/>
      <c r="DM154" s="75"/>
      <c r="DN154" s="75"/>
      <c r="DO154" s="75"/>
      <c r="DP154" s="75"/>
      <c r="DQ154" s="75"/>
      <c r="DR154" s="75"/>
      <c r="DS154" s="75"/>
      <c r="DT154" s="75"/>
      <c r="DU154" s="75"/>
      <c r="DV154" s="75"/>
      <c r="DW154" s="75"/>
      <c r="DX154" s="75"/>
      <c r="DY154" s="75"/>
      <c r="DZ154" s="75"/>
      <c r="EA154" s="75"/>
      <c r="EB154" s="75"/>
      <c r="EC154" s="75"/>
      <c r="ED154" s="75"/>
      <c r="EE154" s="75"/>
      <c r="EF154" s="75"/>
      <c r="EG154" s="75"/>
      <c r="EH154" s="75"/>
      <c r="EI154" s="75"/>
      <c r="EJ154" s="75"/>
      <c r="EK154" s="75"/>
      <c r="EL154" s="75"/>
      <c r="EM154" s="75"/>
      <c r="EN154" s="75"/>
      <c r="EO154"/>
      <c r="EP154" s="219"/>
      <c r="EQ154" s="18"/>
      <c r="ER154" s="209"/>
      <c r="ES154" s="18"/>
      <c r="ET154" s="18"/>
      <c r="EU154" s="18"/>
      <c r="EV154" s="18"/>
      <c r="EW154" s="20"/>
      <c r="EX154" s="20"/>
      <c r="EY154" s="20"/>
      <c r="EZ154" s="20"/>
      <c r="FA154" s="20"/>
      <c r="FB154" s="20"/>
      <c r="FC154" s="20"/>
      <c r="FD154" s="20"/>
      <c r="FE154" s="20"/>
      <c r="FF154" s="20"/>
      <c r="FG154" s="20"/>
      <c r="FH154" s="20"/>
      <c r="FI154" s="20"/>
      <c r="FJ154" s="20"/>
      <c r="FK154" s="20"/>
      <c r="FL154" s="20"/>
      <c r="FM154" s="20"/>
      <c r="FN154" s="20"/>
      <c r="FO154" s="20"/>
      <c r="FP154" s="20"/>
      <c r="FQ154" s="20"/>
      <c r="FR154" s="20"/>
      <c r="FS154" s="20"/>
      <c r="FT154" s="20"/>
      <c r="FU154" s="20"/>
      <c r="FV154" s="20"/>
      <c r="FW154" s="20"/>
      <c r="FX154" s="20"/>
      <c r="FY154" s="20"/>
      <c r="FZ154" s="20"/>
      <c r="GA154" s="20"/>
      <c r="GB154" s="20"/>
      <c r="GC154" s="20"/>
      <c r="GD154" s="20"/>
      <c r="GE154" s="20"/>
      <c r="GF154" s="20"/>
      <c r="GG154" s="20"/>
      <c r="GH154" s="20"/>
      <c r="GI154" s="20"/>
      <c r="GJ154" s="20"/>
      <c r="GK154" s="20"/>
      <c r="GL154" s="20"/>
      <c r="GM154" s="20"/>
      <c r="GN154" s="20"/>
      <c r="GO154" s="20"/>
      <c r="GP154" s="20"/>
      <c r="GQ154" s="20"/>
      <c r="GR154" s="20"/>
      <c r="GS154" s="20"/>
      <c r="GT154" s="20"/>
      <c r="GU154" s="20"/>
      <c r="GV154" s="20"/>
      <c r="GW154" s="20"/>
      <c r="GX154" s="20"/>
      <c r="GY154" s="20"/>
      <c r="GZ154" s="20"/>
      <c r="HA154" s="20"/>
      <c r="HB154" s="20"/>
      <c r="HC154" s="20"/>
      <c r="HD154" s="20"/>
      <c r="HE154" s="20"/>
      <c r="HF154" s="20"/>
      <c r="HG154" s="20"/>
      <c r="HH154" s="20"/>
      <c r="HI154" s="20"/>
      <c r="HJ154" s="20"/>
      <c r="HK154" s="20"/>
      <c r="HL154" s="20"/>
      <c r="HM154" s="20"/>
      <c r="HN154" s="20"/>
      <c r="HO154" s="20"/>
      <c r="HP154" s="20"/>
      <c r="HQ154" s="20"/>
      <c r="HR154" s="20"/>
      <c r="HS154" s="20"/>
      <c r="HT154" s="20"/>
      <c r="HU154" s="20"/>
      <c r="HV154" s="20"/>
      <c r="HW154" s="20"/>
      <c r="HX154" s="20"/>
      <c r="HY154" s="20"/>
      <c r="HZ154" s="20"/>
      <c r="IA154" s="20"/>
      <c r="IB154" s="20"/>
      <c r="IC154" s="20"/>
      <c r="ID154" s="20"/>
      <c r="IE154" s="20"/>
      <c r="IF154" s="20"/>
      <c r="IG154" s="20"/>
      <c r="IH154" s="20"/>
      <c r="II154" s="20"/>
      <c r="IJ154" s="20"/>
      <c r="IK154" s="20"/>
      <c r="IL154" s="20"/>
      <c r="IM154" s="20"/>
      <c r="IN154" s="20"/>
      <c r="IO154" s="20"/>
      <c r="IP154" s="20"/>
      <c r="IQ154" s="20"/>
      <c r="IR154" s="20"/>
      <c r="IS154" s="20"/>
      <c r="IT154" s="20"/>
      <c r="IU154" s="20"/>
      <c r="IV154" s="20"/>
      <c r="IW154" s="20"/>
      <c r="IX154" s="20"/>
      <c r="IY154" s="20"/>
      <c r="IZ154" s="20"/>
      <c r="JA154" s="20"/>
      <c r="JB154" s="20"/>
      <c r="JC154" s="20"/>
      <c r="JD154" s="20"/>
      <c r="JE154" s="20"/>
      <c r="JF154" s="20"/>
      <c r="JG154" s="20"/>
      <c r="JH154" s="20"/>
      <c r="JI154" s="20"/>
      <c r="JJ154" s="20"/>
      <c r="JK154" s="20"/>
      <c r="JL154" s="20"/>
      <c r="JM154" s="20"/>
      <c r="JN154" s="20"/>
      <c r="JO154" s="20"/>
      <c r="JP154" s="20"/>
      <c r="JQ154" s="20"/>
      <c r="JR154" s="20"/>
      <c r="JS154" s="20"/>
      <c r="JT154" s="20"/>
      <c r="JU154" s="20"/>
      <c r="JV154" s="20"/>
      <c r="JW154" s="20"/>
      <c r="JX154" s="20"/>
      <c r="JY154"/>
      <c r="JZ154" s="262"/>
      <c r="KA154" s="262"/>
      <c r="KB154" s="262"/>
      <c r="KC154" s="262"/>
      <c r="KD154" s="262"/>
      <c r="KE154" s="262"/>
      <c r="KF154" s="262"/>
      <c r="KG154" s="262"/>
      <c r="KH154" s="262"/>
      <c r="KI154" s="262"/>
      <c r="KJ154" s="262"/>
      <c r="KK154" s="262"/>
      <c r="KL154" s="262"/>
      <c r="KM154" s="262"/>
      <c r="KN154" s="262"/>
      <c r="KO154" s="262"/>
      <c r="KP154" s="262"/>
      <c r="KQ154" s="262"/>
      <c r="KR154" s="262"/>
      <c r="KS154" s="262"/>
      <c r="KT154" s="262"/>
      <c r="KU154" s="262"/>
      <c r="KV154" s="262"/>
      <c r="KW154" s="262"/>
      <c r="KX154" s="262"/>
      <c r="KY154" s="262"/>
      <c r="KZ154" s="262"/>
      <c r="LA154" s="262"/>
      <c r="LB154" s="262"/>
      <c r="LC154" s="262"/>
      <c r="LD154" s="262"/>
      <c r="LE154" s="262"/>
      <c r="LF154" s="262"/>
      <c r="LG154" s="262"/>
      <c r="LH154" s="262"/>
      <c r="LI154" s="262"/>
      <c r="LJ154" s="262"/>
      <c r="LK154" s="262"/>
      <c r="LL154" s="262"/>
      <c r="LM154" s="262"/>
      <c r="LN154" s="262"/>
      <c r="LO154" s="262"/>
      <c r="LP154" s="262"/>
      <c r="LQ154" s="262"/>
      <c r="LR154" s="262"/>
      <c r="LS154" s="262"/>
      <c r="LT154" s="262"/>
      <c r="LU154" s="262"/>
      <c r="LV154" s="262"/>
      <c r="LW154" s="262"/>
      <c r="LX154" s="262"/>
      <c r="LY154" s="262"/>
      <c r="LZ154" s="262"/>
      <c r="MA154" s="262"/>
      <c r="MB154" s="262"/>
      <c r="MC154" s="262"/>
      <c r="MD154" s="262"/>
      <c r="ME154" s="262"/>
      <c r="MF154" s="262"/>
      <c r="MG154" s="262"/>
      <c r="MH154" s="262"/>
      <c r="MI154" s="262"/>
      <c r="MJ154" s="262"/>
      <c r="MK154" s="262"/>
      <c r="ML154" s="262"/>
      <c r="MM154" s="262"/>
      <c r="MN154" s="262"/>
      <c r="MO154" s="262"/>
      <c r="MP154" s="262"/>
      <c r="MQ154" s="262"/>
      <c r="MR154" s="262"/>
      <c r="MS154" s="262"/>
      <c r="MT154" s="262"/>
      <c r="MU154" s="262"/>
      <c r="MV154" s="262"/>
      <c r="MW154" s="262"/>
      <c r="MX154" s="262"/>
      <c r="MY154" s="262"/>
      <c r="MZ154" s="262"/>
      <c r="NA154" s="262"/>
      <c r="NB154" s="262"/>
      <c r="NC154" s="262"/>
      <c r="ND154" s="262"/>
      <c r="NE154" s="262"/>
      <c r="NF154" s="262"/>
      <c r="NG154" s="262"/>
      <c r="NH154" s="262"/>
      <c r="NI154" s="262"/>
      <c r="NJ154" s="262"/>
      <c r="NK154" s="262"/>
      <c r="NL154" s="262"/>
      <c r="NM154" s="262"/>
      <c r="NN154" s="262"/>
      <c r="NO154" s="262"/>
      <c r="NP154" s="262"/>
      <c r="NQ154" s="262"/>
      <c r="NR154" s="262"/>
      <c r="NS154" s="262"/>
      <c r="NT154" s="262"/>
      <c r="NU154" s="262"/>
      <c r="NV154" s="262"/>
      <c r="NW154" s="262"/>
      <c r="NX154" s="262"/>
      <c r="NY154" s="262"/>
      <c r="NZ154" s="262"/>
      <c r="OA154" s="262"/>
      <c r="OB154" s="262"/>
      <c r="OC154" s="262"/>
      <c r="OD154" s="262"/>
      <c r="OE154" s="262"/>
      <c r="OF154" s="262"/>
      <c r="OG154" s="262"/>
      <c r="OH154" s="262"/>
      <c r="OI154" s="262"/>
      <c r="OJ154" s="262"/>
      <c r="OK154" s="262"/>
      <c r="OL154" s="262"/>
      <c r="OM154" s="262"/>
      <c r="ON154" s="262"/>
      <c r="OO154" s="262"/>
      <c r="OP154" s="262"/>
      <c r="OQ154" s="262"/>
      <c r="OR154" s="262"/>
      <c r="OS154" s="262"/>
      <c r="OT154" s="262"/>
      <c r="OU154" s="262"/>
      <c r="OV154" s="262"/>
      <c r="OW154" s="262"/>
      <c r="OX154" s="262"/>
      <c r="OY154" s="262"/>
      <c r="OZ154" s="262"/>
      <c r="PA154" s="262"/>
      <c r="PB154" s="262"/>
      <c r="PC154" s="262"/>
      <c r="PD154" s="262"/>
      <c r="PE154" s="262"/>
      <c r="PF154" s="262"/>
      <c r="PG154" s="262"/>
      <c r="PH154" s="262"/>
    </row>
    <row r="155" spans="1:424" x14ac:dyDescent="0.35">
      <c r="A155"/>
      <c r="B155" s="488" t="s">
        <v>324</v>
      </c>
      <c r="C155" s="62"/>
      <c r="D155" s="62"/>
      <c r="E155" s="62"/>
      <c r="F155" s="62"/>
      <c r="G155" s="136"/>
      <c r="H155" s="154">
        <f>I155/Units_Ind</f>
        <v>580.37085773505612</v>
      </c>
      <c r="I155" s="489">
        <f>+I140-OpEx_7</f>
        <v>45541921.747395799</v>
      </c>
      <c r="J155"/>
      <c r="K155" s="223" t="s">
        <v>73</v>
      </c>
      <c r="L155" s="75"/>
      <c r="M155" s="417">
        <f t="shared" ref="M155:BX155" si="497">+M140-M153</f>
        <v>0</v>
      </c>
      <c r="N155" s="417">
        <f t="shared" si="497"/>
        <v>0</v>
      </c>
      <c r="O155" s="417">
        <f t="shared" si="497"/>
        <v>0</v>
      </c>
      <c r="P155" s="417">
        <f t="shared" si="497"/>
        <v>0</v>
      </c>
      <c r="Q155" s="417">
        <f t="shared" si="497"/>
        <v>0</v>
      </c>
      <c r="R155" s="417">
        <f t="shared" si="497"/>
        <v>0</v>
      </c>
      <c r="S155" s="417">
        <f t="shared" si="497"/>
        <v>0</v>
      </c>
      <c r="T155" s="417">
        <f t="shared" si="497"/>
        <v>0</v>
      </c>
      <c r="U155" s="417">
        <f t="shared" si="497"/>
        <v>0</v>
      </c>
      <c r="V155" s="417">
        <f t="shared" si="497"/>
        <v>0</v>
      </c>
      <c r="W155" s="417">
        <f t="shared" si="497"/>
        <v>0</v>
      </c>
      <c r="X155" s="417">
        <f t="shared" si="497"/>
        <v>0</v>
      </c>
      <c r="Y155" s="417">
        <f t="shared" si="497"/>
        <v>0</v>
      </c>
      <c r="Z155" s="417">
        <f t="shared" si="497"/>
        <v>0</v>
      </c>
      <c r="AA155" s="417">
        <f t="shared" si="497"/>
        <v>0</v>
      </c>
      <c r="AB155" s="417">
        <f t="shared" si="497"/>
        <v>0</v>
      </c>
      <c r="AC155" s="417">
        <f t="shared" si="497"/>
        <v>0</v>
      </c>
      <c r="AD155" s="417">
        <f t="shared" si="497"/>
        <v>0</v>
      </c>
      <c r="AE155" s="417">
        <f t="shared" si="497"/>
        <v>0</v>
      </c>
      <c r="AF155" s="417">
        <f t="shared" si="497"/>
        <v>0</v>
      </c>
      <c r="AG155" s="417">
        <f t="shared" si="497"/>
        <v>0</v>
      </c>
      <c r="AH155" s="417">
        <f t="shared" si="497"/>
        <v>716666.66666666663</v>
      </c>
      <c r="AI155" s="417">
        <f t="shared" si="497"/>
        <v>716666.66666666663</v>
      </c>
      <c r="AJ155" s="417">
        <f t="shared" si="497"/>
        <v>716666.66666666663</v>
      </c>
      <c r="AK155" s="417">
        <f t="shared" si="497"/>
        <v>933333.33333333326</v>
      </c>
      <c r="AL155" s="417">
        <f t="shared" si="497"/>
        <v>933333.33333333326</v>
      </c>
      <c r="AM155" s="417">
        <f t="shared" si="497"/>
        <v>933333.33333333326</v>
      </c>
      <c r="AN155" s="417">
        <f t="shared" si="497"/>
        <v>1107500</v>
      </c>
      <c r="AO155" s="417">
        <f t="shared" si="497"/>
        <v>1107500</v>
      </c>
      <c r="AP155" s="417">
        <f t="shared" si="497"/>
        <v>1107500</v>
      </c>
      <c r="AQ155" s="417">
        <f t="shared" si="497"/>
        <v>1265833.3333333333</v>
      </c>
      <c r="AR155" s="417">
        <f t="shared" si="497"/>
        <v>1265833.3333333333</v>
      </c>
      <c r="AS155" s="417">
        <f t="shared" si="497"/>
        <v>1265833.3333333333</v>
      </c>
      <c r="AT155" s="417">
        <f t="shared" si="497"/>
        <v>1298416.6666666665</v>
      </c>
      <c r="AU155" s="417">
        <f t="shared" si="497"/>
        <v>1298416.6666666665</v>
      </c>
      <c r="AV155" s="417">
        <f t="shared" si="497"/>
        <v>1298416.6666666665</v>
      </c>
      <c r="AW155" s="417">
        <f t="shared" si="497"/>
        <v>1329966.833333333</v>
      </c>
      <c r="AX155" s="417">
        <f t="shared" si="497"/>
        <v>1537461.250366004</v>
      </c>
      <c r="AY155" s="417">
        <f t="shared" si="497"/>
        <v>1744955.6673986751</v>
      </c>
      <c r="AZ155" s="417">
        <f t="shared" si="497"/>
        <v>1960527.6614040788</v>
      </c>
      <c r="BA155" s="417">
        <f t="shared" si="497"/>
        <v>2168682.6596498829</v>
      </c>
      <c r="BB155" s="417">
        <f t="shared" si="497"/>
        <v>2376837.6578956875</v>
      </c>
      <c r="BC155" s="417">
        <f t="shared" si="497"/>
        <v>2590534.3228081581</v>
      </c>
      <c r="BD155" s="417">
        <f t="shared" si="497"/>
        <v>2798689.3210539622</v>
      </c>
      <c r="BE155" s="417">
        <f t="shared" si="497"/>
        <v>3006844.3192997663</v>
      </c>
      <c r="BF155" s="417">
        <f t="shared" si="497"/>
        <v>3241223.0675455704</v>
      </c>
      <c r="BG155" s="417">
        <f t="shared" si="497"/>
        <v>3449378.065791375</v>
      </c>
      <c r="BH155" s="417">
        <f t="shared" si="497"/>
        <v>3657533.0640371782</v>
      </c>
      <c r="BI155" s="417">
        <f t="shared" si="497"/>
        <v>3936582.4825900565</v>
      </c>
      <c r="BJ155" s="417">
        <f t="shared" si="497"/>
        <v>3936582.4825900565</v>
      </c>
      <c r="BK155" s="417">
        <f t="shared" si="497"/>
        <v>3936582.4825900565</v>
      </c>
      <c r="BL155" s="417">
        <f t="shared" si="497"/>
        <v>3942891.6700900565</v>
      </c>
      <c r="BM155" s="417">
        <f t="shared" si="497"/>
        <v>3942891.6700900565</v>
      </c>
      <c r="BN155" s="417">
        <f t="shared" si="497"/>
        <v>3942891.6700900565</v>
      </c>
      <c r="BO155" s="417">
        <f t="shared" si="497"/>
        <v>3948627.2950900565</v>
      </c>
      <c r="BP155" s="417">
        <f t="shared" si="497"/>
        <v>3948627.2950900565</v>
      </c>
      <c r="BQ155" s="417">
        <f t="shared" si="497"/>
        <v>3948627.2950900565</v>
      </c>
      <c r="BR155" s="417">
        <f t="shared" si="497"/>
        <v>3975768.8763400572</v>
      </c>
      <c r="BS155" s="417">
        <f t="shared" si="497"/>
        <v>3975768.8763400572</v>
      </c>
      <c r="BT155" s="417">
        <f t="shared" si="497"/>
        <v>3975768.8763400572</v>
      </c>
      <c r="BU155" s="417">
        <f t="shared" si="497"/>
        <v>4048514.1446548081</v>
      </c>
      <c r="BV155" s="417">
        <f t="shared" si="497"/>
        <v>4048514.1446548081</v>
      </c>
      <c r="BW155" s="417">
        <f t="shared" si="497"/>
        <v>4048514.1446548081</v>
      </c>
      <c r="BX155" s="417">
        <f t="shared" si="497"/>
        <v>4055044.1537173088</v>
      </c>
      <c r="BY155" s="417">
        <f t="shared" ref="BY155:EJ155" si="498">+BY140-BY153</f>
        <v>4055044.1537173088</v>
      </c>
      <c r="BZ155" s="417">
        <f t="shared" si="498"/>
        <v>4055044.1537173088</v>
      </c>
      <c r="CA155" s="417">
        <f t="shared" si="498"/>
        <v>4060980.525592308</v>
      </c>
      <c r="CB155" s="417">
        <f t="shared" si="498"/>
        <v>4060980.525592308</v>
      </c>
      <c r="CC155" s="417">
        <f t="shared" si="498"/>
        <v>4060980.525592308</v>
      </c>
      <c r="CD155" s="417">
        <f t="shared" si="498"/>
        <v>4089072.0621860581</v>
      </c>
      <c r="CE155" s="417">
        <f t="shared" si="498"/>
        <v>4089072.0621860581</v>
      </c>
      <c r="CF155" s="417">
        <f t="shared" si="498"/>
        <v>4089072.0621860581</v>
      </c>
      <c r="CG155" s="417">
        <f t="shared" si="498"/>
        <v>4163717.1967711793</v>
      </c>
      <c r="CH155" s="417">
        <f t="shared" si="498"/>
        <v>4163717.1967711793</v>
      </c>
      <c r="CI155" s="417">
        <f t="shared" si="498"/>
        <v>4163717.1967711793</v>
      </c>
      <c r="CJ155" s="417">
        <f t="shared" si="498"/>
        <v>4170475.7561508659</v>
      </c>
      <c r="CK155" s="417">
        <f t="shared" si="498"/>
        <v>4170475.7561508659</v>
      </c>
      <c r="CL155" s="417">
        <f t="shared" si="498"/>
        <v>4170475.7561508659</v>
      </c>
      <c r="CM155" s="417">
        <f t="shared" si="498"/>
        <v>4176619.901041491</v>
      </c>
      <c r="CN155" s="417">
        <f t="shared" si="498"/>
        <v>4176619.901041491</v>
      </c>
      <c r="CO155" s="417">
        <f t="shared" si="498"/>
        <v>4176619.901041491</v>
      </c>
      <c r="CP155" s="417">
        <f t="shared" si="498"/>
        <v>4205694.6414160226</v>
      </c>
      <c r="CQ155" s="417">
        <f t="shared" si="498"/>
        <v>4205694.6414160226</v>
      </c>
      <c r="CR155" s="417">
        <f t="shared" si="498"/>
        <v>4205694.6414160226</v>
      </c>
      <c r="CS155" s="417">
        <f t="shared" si="498"/>
        <v>4282289.9821379576</v>
      </c>
      <c r="CT155" s="417">
        <f t="shared" si="498"/>
        <v>4282289.9821379576</v>
      </c>
      <c r="CU155" s="417">
        <f t="shared" si="498"/>
        <v>4282289.9821379576</v>
      </c>
      <c r="CV155" s="417">
        <f t="shared" si="498"/>
        <v>4289285.0910959346</v>
      </c>
      <c r="CW155" s="417">
        <f t="shared" si="498"/>
        <v>4289285.0910959346</v>
      </c>
      <c r="CX155" s="417">
        <f t="shared" si="498"/>
        <v>4289285.0910959346</v>
      </c>
      <c r="CY155" s="417">
        <f t="shared" si="498"/>
        <v>4295644.2810577312</v>
      </c>
      <c r="CZ155" s="417">
        <f t="shared" si="498"/>
        <v>4295644.2810577312</v>
      </c>
      <c r="DA155" s="417">
        <f t="shared" si="498"/>
        <v>4295644.2810577312</v>
      </c>
      <c r="DB155" s="417">
        <f t="shared" si="498"/>
        <v>4325736.6373453718</v>
      </c>
      <c r="DC155" s="417">
        <f t="shared" si="498"/>
        <v>4325736.6373453718</v>
      </c>
      <c r="DD155" s="417">
        <f t="shared" si="498"/>
        <v>4325736.6373453718</v>
      </c>
      <c r="DE155" s="417">
        <f t="shared" si="498"/>
        <v>4404333.8820795696</v>
      </c>
      <c r="DF155" s="417">
        <f t="shared" si="498"/>
        <v>4404333.8820795696</v>
      </c>
      <c r="DG155" s="417">
        <f t="shared" si="498"/>
        <v>4404333.8820795696</v>
      </c>
      <c r="DH155" s="417">
        <f t="shared" si="498"/>
        <v>4411573.8198510744</v>
      </c>
      <c r="DI155" s="417">
        <f t="shared" si="498"/>
        <v>4411573.8198510744</v>
      </c>
      <c r="DJ155" s="417">
        <f t="shared" si="498"/>
        <v>4411573.8198510744</v>
      </c>
      <c r="DK155" s="417">
        <f t="shared" si="498"/>
        <v>4418155.5814615348</v>
      </c>
      <c r="DL155" s="417">
        <f t="shared" si="498"/>
        <v>4418155.5814615348</v>
      </c>
      <c r="DM155" s="417">
        <f t="shared" si="498"/>
        <v>4418155.5814615348</v>
      </c>
      <c r="DN155" s="417">
        <f t="shared" si="498"/>
        <v>4449301.1702192416</v>
      </c>
      <c r="DO155" s="417">
        <f t="shared" si="498"/>
        <v>4449301.1702192416</v>
      </c>
      <c r="DP155" s="417">
        <f t="shared" si="498"/>
        <v>4449301.1702192416</v>
      </c>
      <c r="DQ155" s="417">
        <f t="shared" si="498"/>
        <v>4529953.412283306</v>
      </c>
      <c r="DR155" s="417">
        <f t="shared" si="498"/>
        <v>4529953.412283306</v>
      </c>
      <c r="DS155" s="417">
        <f t="shared" si="498"/>
        <v>4529953.412283306</v>
      </c>
      <c r="DT155" s="417">
        <f t="shared" si="498"/>
        <v>4537446.7478768146</v>
      </c>
      <c r="DU155" s="417">
        <f t="shared" si="498"/>
        <v>4537446.7478768146</v>
      </c>
      <c r="DV155" s="417">
        <f t="shared" si="498"/>
        <v>4537446.7478768146</v>
      </c>
      <c r="DW155" s="417">
        <f t="shared" si="498"/>
        <v>4544258.871143641</v>
      </c>
      <c r="DX155" s="417">
        <f t="shared" si="498"/>
        <v>4544258.871143641</v>
      </c>
      <c r="DY155" s="417">
        <f t="shared" si="498"/>
        <v>4544258.871143641</v>
      </c>
      <c r="DZ155" s="417">
        <f t="shared" si="498"/>
        <v>4576494.5555078676</v>
      </c>
      <c r="EA155" s="417">
        <f t="shared" si="498"/>
        <v>4576494.5555078676</v>
      </c>
      <c r="EB155" s="417">
        <f t="shared" si="498"/>
        <v>4576494.5555078676</v>
      </c>
      <c r="EC155" s="417">
        <f t="shared" si="498"/>
        <v>4659256.3221524479</v>
      </c>
      <c r="ED155" s="417">
        <f t="shared" si="498"/>
        <v>4659256.3221524479</v>
      </c>
      <c r="EE155" s="417">
        <f t="shared" si="498"/>
        <v>4659256.3221524479</v>
      </c>
      <c r="EF155" s="417">
        <f t="shared" si="498"/>
        <v>4667011.9244917287</v>
      </c>
      <c r="EG155" s="417">
        <f t="shared" si="498"/>
        <v>4667011.9244917287</v>
      </c>
      <c r="EH155" s="417">
        <f t="shared" si="498"/>
        <v>4667011.9244917287</v>
      </c>
      <c r="EI155" s="417">
        <f t="shared" si="498"/>
        <v>4674062.4720728938</v>
      </c>
      <c r="EJ155" s="417">
        <f t="shared" si="498"/>
        <v>4674062.4720728938</v>
      </c>
      <c r="EK155" s="417">
        <f>+EK140-EK153</f>
        <v>4674062.4720728938</v>
      </c>
      <c r="EL155" s="417">
        <f>+EL140-EL153</f>
        <v>4707426.4053898687</v>
      </c>
      <c r="EM155" s="417">
        <f>+EM140-EM153</f>
        <v>4707426.4053898687</v>
      </c>
      <c r="EN155" s="417">
        <f>+EN140-EN153</f>
        <v>4707426.4053898687</v>
      </c>
      <c r="EO155"/>
      <c r="EP155" s="219"/>
      <c r="EQ155" s="18"/>
      <c r="ER155" s="209"/>
      <c r="ES155" s="211"/>
      <c r="ET155" s="211"/>
      <c r="EU155" s="80"/>
      <c r="EV155" s="18"/>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c r="FY155" s="20"/>
      <c r="FZ155" s="20"/>
      <c r="GA155" s="20"/>
      <c r="GB155" s="20"/>
      <c r="GC155" s="20"/>
      <c r="GD155" s="20"/>
      <c r="GE155" s="20"/>
      <c r="GF155" s="20"/>
      <c r="GG155" s="20"/>
      <c r="GH155" s="20"/>
      <c r="GI155" s="20"/>
      <c r="GJ155" s="20"/>
      <c r="GK155" s="20"/>
      <c r="GL155" s="20"/>
      <c r="GM155" s="20"/>
      <c r="GN155" s="20"/>
      <c r="GO155" s="20"/>
      <c r="GP155" s="20"/>
      <c r="GQ155" s="20"/>
      <c r="GR155" s="20"/>
      <c r="GS155" s="20"/>
      <c r="GT155" s="20"/>
      <c r="GU155" s="20"/>
      <c r="GV155" s="20"/>
      <c r="GW155" s="20"/>
      <c r="GX155" s="20"/>
      <c r="GY155" s="20"/>
      <c r="GZ155" s="20"/>
      <c r="HA155" s="20"/>
      <c r="HB155" s="20"/>
      <c r="HC155" s="20"/>
      <c r="HD155" s="20"/>
      <c r="HE155" s="20"/>
      <c r="HF155" s="20"/>
      <c r="HG155" s="20"/>
      <c r="HH155" s="20"/>
      <c r="HI155" s="20"/>
      <c r="HJ155" s="20"/>
      <c r="HK155" s="20"/>
      <c r="HL155" s="20"/>
      <c r="HM155" s="20"/>
      <c r="HN155" s="20"/>
      <c r="HO155" s="20"/>
      <c r="HP155" s="20"/>
      <c r="HQ155" s="20"/>
      <c r="HR155" s="20"/>
      <c r="HS155" s="20"/>
      <c r="HT155" s="20"/>
      <c r="HU155" s="20"/>
      <c r="HV155" s="20"/>
      <c r="HW155" s="20"/>
      <c r="HX155" s="20"/>
      <c r="HY155" s="20"/>
      <c r="HZ155" s="20"/>
      <c r="IA155" s="20"/>
      <c r="IB155" s="20"/>
      <c r="IC155" s="20"/>
      <c r="ID155" s="20"/>
      <c r="IE155" s="20"/>
      <c r="IF155" s="20"/>
      <c r="IG155" s="20"/>
      <c r="IH155" s="20"/>
      <c r="II155" s="20"/>
      <c r="IJ155" s="20"/>
      <c r="IK155" s="20"/>
      <c r="IL155" s="20"/>
      <c r="IM155" s="20"/>
      <c r="IN155" s="20"/>
      <c r="IO155" s="20"/>
      <c r="IP155" s="20"/>
      <c r="IQ155" s="20"/>
      <c r="IR155" s="20"/>
      <c r="IS155" s="20"/>
      <c r="IT155" s="20"/>
      <c r="IU155" s="20"/>
      <c r="IV155" s="20"/>
      <c r="IW155" s="20"/>
      <c r="IX155" s="20"/>
      <c r="IY155" s="20"/>
      <c r="IZ155" s="20"/>
      <c r="JA155" s="20"/>
      <c r="JB155" s="20"/>
      <c r="JC155" s="20"/>
      <c r="JD155" s="20"/>
      <c r="JE155" s="20"/>
      <c r="JF155" s="20"/>
      <c r="JG155" s="20"/>
      <c r="JH155" s="20"/>
      <c r="JI155" s="20"/>
      <c r="JJ155" s="20"/>
      <c r="JK155" s="20"/>
      <c r="JL155" s="20"/>
      <c r="JM155" s="20"/>
      <c r="JN155" s="20"/>
      <c r="JO155" s="20"/>
      <c r="JP155" s="20"/>
      <c r="JQ155" s="20"/>
      <c r="JR155" s="20"/>
      <c r="JS155" s="20"/>
      <c r="JT155" s="20"/>
      <c r="JU155" s="20"/>
      <c r="JV155" s="20"/>
      <c r="JW155" s="20"/>
      <c r="JX155" s="20"/>
      <c r="JY155"/>
      <c r="JZ155" s="262"/>
      <c r="KA155" s="262"/>
      <c r="KB155" s="262"/>
      <c r="KC155" s="262"/>
      <c r="KD155" s="262"/>
      <c r="KE155" s="262"/>
      <c r="KF155" s="262"/>
      <c r="KG155" s="262"/>
      <c r="KH155" s="262"/>
      <c r="KI155" s="262"/>
      <c r="KJ155" s="262"/>
      <c r="KK155" s="262"/>
      <c r="KL155" s="262"/>
      <c r="KM155" s="262"/>
      <c r="KN155" s="262"/>
      <c r="KO155" s="262"/>
      <c r="KP155" s="262"/>
      <c r="KQ155" s="262"/>
      <c r="KR155" s="262"/>
      <c r="KS155" s="262"/>
      <c r="KT155" s="262"/>
      <c r="KU155" s="262"/>
      <c r="KV155" s="262"/>
      <c r="KW155" s="262"/>
      <c r="KX155" s="262"/>
      <c r="KY155" s="262"/>
      <c r="KZ155" s="262"/>
      <c r="LA155" s="262"/>
      <c r="LB155" s="262"/>
      <c r="LC155" s="262"/>
      <c r="LD155" s="262"/>
      <c r="LE155" s="262"/>
      <c r="LF155" s="262"/>
      <c r="LG155" s="262"/>
      <c r="LH155" s="262"/>
      <c r="LI155" s="262"/>
      <c r="LJ155" s="262"/>
      <c r="LK155" s="262"/>
      <c r="LL155" s="262"/>
      <c r="LM155" s="262"/>
      <c r="LN155" s="262"/>
      <c r="LO155" s="262"/>
      <c r="LP155" s="262"/>
      <c r="LQ155" s="262"/>
      <c r="LR155" s="262"/>
      <c r="LS155" s="262"/>
      <c r="LT155" s="262"/>
      <c r="LU155" s="262"/>
      <c r="LV155" s="262"/>
      <c r="LW155" s="262"/>
      <c r="LX155" s="262"/>
      <c r="LY155" s="262"/>
      <c r="LZ155" s="262"/>
      <c r="MA155" s="262"/>
      <c r="MB155" s="262"/>
      <c r="MC155" s="262"/>
      <c r="MD155" s="262"/>
      <c r="ME155" s="262"/>
      <c r="MF155" s="262"/>
      <c r="MG155" s="262"/>
      <c r="MH155" s="262"/>
      <c r="MI155" s="262"/>
      <c r="MJ155" s="262"/>
      <c r="MK155" s="262"/>
      <c r="ML155" s="262"/>
      <c r="MM155" s="262"/>
      <c r="MN155" s="262"/>
      <c r="MO155" s="262"/>
      <c r="MP155" s="262"/>
      <c r="MQ155" s="262"/>
      <c r="MR155" s="262"/>
      <c r="MS155" s="262"/>
      <c r="MT155" s="262"/>
      <c r="MU155" s="262"/>
      <c r="MV155" s="262"/>
      <c r="MW155" s="262"/>
      <c r="MX155" s="262"/>
      <c r="MY155" s="262"/>
      <c r="MZ155" s="262"/>
      <c r="NA155" s="262"/>
      <c r="NB155" s="262"/>
      <c r="NC155" s="262"/>
      <c r="ND155" s="262"/>
      <c r="NE155" s="262"/>
      <c r="NF155" s="262"/>
      <c r="NG155" s="262"/>
      <c r="NH155" s="262"/>
      <c r="NI155" s="262"/>
      <c r="NJ155" s="262"/>
      <c r="NK155" s="262"/>
      <c r="NL155" s="262"/>
      <c r="NM155" s="262"/>
      <c r="NN155" s="262"/>
      <c r="NO155" s="262"/>
      <c r="NP155" s="262"/>
      <c r="NQ155" s="262"/>
      <c r="NR155" s="262"/>
      <c r="NS155" s="262"/>
      <c r="NT155" s="262"/>
      <c r="NU155" s="262"/>
      <c r="NV155" s="262"/>
      <c r="NW155" s="262"/>
      <c r="NX155" s="262"/>
      <c r="NY155" s="262"/>
      <c r="NZ155" s="262"/>
      <c r="OA155" s="262"/>
      <c r="OB155" s="262"/>
      <c r="OC155" s="262"/>
      <c r="OD155" s="262"/>
      <c r="OE155" s="262"/>
      <c r="OF155" s="262"/>
      <c r="OG155" s="262"/>
      <c r="OH155" s="262"/>
      <c r="OI155" s="262"/>
      <c r="OJ155" s="262"/>
      <c r="OK155" s="262"/>
      <c r="OL155" s="262"/>
      <c r="OM155" s="262"/>
      <c r="ON155" s="262"/>
      <c r="OO155" s="262"/>
      <c r="OP155" s="262"/>
      <c r="OQ155" s="262"/>
      <c r="OR155" s="262"/>
      <c r="OS155" s="262"/>
      <c r="OT155" s="262"/>
      <c r="OU155" s="262"/>
      <c r="OV155" s="262"/>
      <c r="OW155" s="262"/>
      <c r="OX155" s="262"/>
      <c r="OY155" s="262"/>
      <c r="OZ155" s="262"/>
      <c r="PA155" s="262"/>
      <c r="PB155" s="262"/>
      <c r="PC155" s="262"/>
      <c r="PD155" s="262"/>
      <c r="PE155" s="262"/>
      <c r="PF155" s="262"/>
      <c r="PG155" s="262"/>
      <c r="PH155" s="262"/>
    </row>
    <row r="156" spans="1:424" x14ac:dyDescent="0.35">
      <c r="A156"/>
      <c r="B156" s="444" t="s">
        <v>325</v>
      </c>
      <c r="C156" s="400"/>
      <c r="D156" s="400"/>
      <c r="E156" s="400"/>
      <c r="F156" s="400"/>
      <c r="G156" s="400"/>
      <c r="H156" s="400"/>
      <c r="I156" s="474">
        <f>H81*Perm_Debt?</f>
        <v>0</v>
      </c>
      <c r="J156"/>
      <c r="K156" s="223"/>
      <c r="L156" s="271"/>
      <c r="M156" s="496">
        <f t="shared" ref="M156:AR156" si="499">(M3&gt;PermDebt_Fund)*Perm_Debt?*$H$81/12</f>
        <v>0</v>
      </c>
      <c r="N156" s="496">
        <f t="shared" si="499"/>
        <v>0</v>
      </c>
      <c r="O156" s="496">
        <f t="shared" si="499"/>
        <v>0</v>
      </c>
      <c r="P156" s="496">
        <f t="shared" si="499"/>
        <v>0</v>
      </c>
      <c r="Q156" s="496">
        <f t="shared" si="499"/>
        <v>0</v>
      </c>
      <c r="R156" s="496">
        <f t="shared" si="499"/>
        <v>0</v>
      </c>
      <c r="S156" s="496">
        <f t="shared" si="499"/>
        <v>0</v>
      </c>
      <c r="T156" s="496">
        <f t="shared" si="499"/>
        <v>0</v>
      </c>
      <c r="U156" s="496">
        <f t="shared" si="499"/>
        <v>0</v>
      </c>
      <c r="V156" s="496">
        <f t="shared" si="499"/>
        <v>0</v>
      </c>
      <c r="W156" s="496">
        <f t="shared" si="499"/>
        <v>0</v>
      </c>
      <c r="X156" s="496">
        <f t="shared" si="499"/>
        <v>0</v>
      </c>
      <c r="Y156" s="496">
        <f t="shared" si="499"/>
        <v>0</v>
      </c>
      <c r="Z156" s="496">
        <f t="shared" si="499"/>
        <v>0</v>
      </c>
      <c r="AA156" s="496">
        <f t="shared" si="499"/>
        <v>0</v>
      </c>
      <c r="AB156" s="496">
        <f t="shared" si="499"/>
        <v>0</v>
      </c>
      <c r="AC156" s="496">
        <f t="shared" si="499"/>
        <v>0</v>
      </c>
      <c r="AD156" s="496">
        <f t="shared" si="499"/>
        <v>0</v>
      </c>
      <c r="AE156" s="496">
        <f t="shared" si="499"/>
        <v>0</v>
      </c>
      <c r="AF156" s="496">
        <f t="shared" si="499"/>
        <v>0</v>
      </c>
      <c r="AG156" s="496">
        <f t="shared" si="499"/>
        <v>0</v>
      </c>
      <c r="AH156" s="496">
        <f t="shared" si="499"/>
        <v>0</v>
      </c>
      <c r="AI156" s="496">
        <f t="shared" si="499"/>
        <v>0</v>
      </c>
      <c r="AJ156" s="496">
        <f t="shared" si="499"/>
        <v>0</v>
      </c>
      <c r="AK156" s="496">
        <f t="shared" si="499"/>
        <v>0</v>
      </c>
      <c r="AL156" s="496">
        <f t="shared" si="499"/>
        <v>0</v>
      </c>
      <c r="AM156" s="496">
        <f t="shared" si="499"/>
        <v>0</v>
      </c>
      <c r="AN156" s="496">
        <f t="shared" si="499"/>
        <v>0</v>
      </c>
      <c r="AO156" s="496">
        <f t="shared" si="499"/>
        <v>0</v>
      </c>
      <c r="AP156" s="496">
        <f t="shared" si="499"/>
        <v>0</v>
      </c>
      <c r="AQ156" s="496">
        <f t="shared" si="499"/>
        <v>0</v>
      </c>
      <c r="AR156" s="496">
        <f t="shared" si="499"/>
        <v>0</v>
      </c>
      <c r="AS156" s="496">
        <f t="shared" ref="AS156:BX156" si="500">(AS3&gt;PermDebt_Fund)*Perm_Debt?*$H$81/12</f>
        <v>0</v>
      </c>
      <c r="AT156" s="496">
        <f t="shared" si="500"/>
        <v>0</v>
      </c>
      <c r="AU156" s="496">
        <f t="shared" si="500"/>
        <v>0</v>
      </c>
      <c r="AV156" s="496">
        <f t="shared" si="500"/>
        <v>0</v>
      </c>
      <c r="AW156" s="496">
        <f t="shared" si="500"/>
        <v>0</v>
      </c>
      <c r="AX156" s="496">
        <f t="shared" si="500"/>
        <v>0</v>
      </c>
      <c r="AY156" s="496">
        <f t="shared" si="500"/>
        <v>0</v>
      </c>
      <c r="AZ156" s="496">
        <f t="shared" si="500"/>
        <v>0</v>
      </c>
      <c r="BA156" s="496">
        <f t="shared" si="500"/>
        <v>0</v>
      </c>
      <c r="BB156" s="496">
        <f t="shared" si="500"/>
        <v>0</v>
      </c>
      <c r="BC156" s="496">
        <f t="shared" si="500"/>
        <v>0</v>
      </c>
      <c r="BD156" s="496">
        <f t="shared" si="500"/>
        <v>0</v>
      </c>
      <c r="BE156" s="496">
        <f t="shared" si="500"/>
        <v>0</v>
      </c>
      <c r="BF156" s="496">
        <f t="shared" si="500"/>
        <v>0</v>
      </c>
      <c r="BG156" s="496">
        <f t="shared" si="500"/>
        <v>0</v>
      </c>
      <c r="BH156" s="496">
        <f t="shared" si="500"/>
        <v>0</v>
      </c>
      <c r="BI156" s="496">
        <f t="shared" si="500"/>
        <v>0</v>
      </c>
      <c r="BJ156" s="496">
        <f t="shared" si="500"/>
        <v>0</v>
      </c>
      <c r="BK156" s="496">
        <f t="shared" si="500"/>
        <v>0</v>
      </c>
      <c r="BL156" s="496">
        <f t="shared" si="500"/>
        <v>0</v>
      </c>
      <c r="BM156" s="496">
        <f t="shared" si="500"/>
        <v>0</v>
      </c>
      <c r="BN156" s="496">
        <f t="shared" si="500"/>
        <v>0</v>
      </c>
      <c r="BO156" s="496">
        <f t="shared" si="500"/>
        <v>0</v>
      </c>
      <c r="BP156" s="496">
        <f t="shared" si="500"/>
        <v>0</v>
      </c>
      <c r="BQ156" s="496">
        <f t="shared" si="500"/>
        <v>0</v>
      </c>
      <c r="BR156" s="496">
        <f t="shared" si="500"/>
        <v>0</v>
      </c>
      <c r="BS156" s="496">
        <f t="shared" si="500"/>
        <v>0</v>
      </c>
      <c r="BT156" s="496">
        <f t="shared" si="500"/>
        <v>0</v>
      </c>
      <c r="BU156" s="496">
        <f t="shared" si="500"/>
        <v>0</v>
      </c>
      <c r="BV156" s="496">
        <f t="shared" si="500"/>
        <v>0</v>
      </c>
      <c r="BW156" s="496">
        <f t="shared" si="500"/>
        <v>0</v>
      </c>
      <c r="BX156" s="496">
        <f t="shared" si="500"/>
        <v>0</v>
      </c>
      <c r="BY156" s="496">
        <f t="shared" ref="BY156:DD156" si="501">(BY3&gt;PermDebt_Fund)*Perm_Debt?*$H$81/12</f>
        <v>0</v>
      </c>
      <c r="BZ156" s="496">
        <f t="shared" si="501"/>
        <v>0</v>
      </c>
      <c r="CA156" s="496">
        <f t="shared" si="501"/>
        <v>0</v>
      </c>
      <c r="CB156" s="496">
        <f t="shared" si="501"/>
        <v>0</v>
      </c>
      <c r="CC156" s="496">
        <f t="shared" si="501"/>
        <v>0</v>
      </c>
      <c r="CD156" s="496">
        <f t="shared" si="501"/>
        <v>0</v>
      </c>
      <c r="CE156" s="496">
        <f t="shared" si="501"/>
        <v>0</v>
      </c>
      <c r="CF156" s="496">
        <f t="shared" si="501"/>
        <v>0</v>
      </c>
      <c r="CG156" s="496">
        <f t="shared" si="501"/>
        <v>0</v>
      </c>
      <c r="CH156" s="496">
        <f t="shared" si="501"/>
        <v>0</v>
      </c>
      <c r="CI156" s="496">
        <f t="shared" si="501"/>
        <v>0</v>
      </c>
      <c r="CJ156" s="496">
        <f t="shared" si="501"/>
        <v>0</v>
      </c>
      <c r="CK156" s="496">
        <f t="shared" si="501"/>
        <v>0</v>
      </c>
      <c r="CL156" s="496">
        <f t="shared" si="501"/>
        <v>0</v>
      </c>
      <c r="CM156" s="496">
        <f t="shared" si="501"/>
        <v>0</v>
      </c>
      <c r="CN156" s="496">
        <f t="shared" si="501"/>
        <v>0</v>
      </c>
      <c r="CO156" s="496">
        <f t="shared" si="501"/>
        <v>0</v>
      </c>
      <c r="CP156" s="496">
        <f t="shared" si="501"/>
        <v>0</v>
      </c>
      <c r="CQ156" s="496">
        <f t="shared" si="501"/>
        <v>0</v>
      </c>
      <c r="CR156" s="496">
        <f t="shared" si="501"/>
        <v>0</v>
      </c>
      <c r="CS156" s="496">
        <f t="shared" si="501"/>
        <v>0</v>
      </c>
      <c r="CT156" s="496">
        <f t="shared" si="501"/>
        <v>0</v>
      </c>
      <c r="CU156" s="496">
        <f t="shared" si="501"/>
        <v>0</v>
      </c>
      <c r="CV156" s="496">
        <f t="shared" si="501"/>
        <v>0</v>
      </c>
      <c r="CW156" s="496">
        <f t="shared" si="501"/>
        <v>0</v>
      </c>
      <c r="CX156" s="496">
        <f t="shared" si="501"/>
        <v>0</v>
      </c>
      <c r="CY156" s="496">
        <f t="shared" si="501"/>
        <v>0</v>
      </c>
      <c r="CZ156" s="496">
        <f t="shared" si="501"/>
        <v>0</v>
      </c>
      <c r="DA156" s="496">
        <f t="shared" si="501"/>
        <v>0</v>
      </c>
      <c r="DB156" s="496">
        <f t="shared" si="501"/>
        <v>0</v>
      </c>
      <c r="DC156" s="496">
        <f t="shared" si="501"/>
        <v>0</v>
      </c>
      <c r="DD156" s="496">
        <f t="shared" si="501"/>
        <v>0</v>
      </c>
      <c r="DE156" s="496">
        <f t="shared" ref="DE156:EN156" si="502">(DE3&gt;PermDebt_Fund)*Perm_Debt?*$H$81/12</f>
        <v>0</v>
      </c>
      <c r="DF156" s="496">
        <f t="shared" si="502"/>
        <v>0</v>
      </c>
      <c r="DG156" s="496">
        <f t="shared" si="502"/>
        <v>0</v>
      </c>
      <c r="DH156" s="496">
        <f t="shared" si="502"/>
        <v>0</v>
      </c>
      <c r="DI156" s="496">
        <f t="shared" si="502"/>
        <v>0</v>
      </c>
      <c r="DJ156" s="496">
        <f t="shared" si="502"/>
        <v>0</v>
      </c>
      <c r="DK156" s="496">
        <f t="shared" si="502"/>
        <v>0</v>
      </c>
      <c r="DL156" s="496">
        <f t="shared" si="502"/>
        <v>0</v>
      </c>
      <c r="DM156" s="496">
        <f t="shared" si="502"/>
        <v>0</v>
      </c>
      <c r="DN156" s="496">
        <f t="shared" si="502"/>
        <v>0</v>
      </c>
      <c r="DO156" s="496">
        <f t="shared" si="502"/>
        <v>0</v>
      </c>
      <c r="DP156" s="496">
        <f t="shared" si="502"/>
        <v>0</v>
      </c>
      <c r="DQ156" s="496">
        <f t="shared" si="502"/>
        <v>0</v>
      </c>
      <c r="DR156" s="496">
        <f t="shared" si="502"/>
        <v>0</v>
      </c>
      <c r="DS156" s="496">
        <f t="shared" si="502"/>
        <v>0</v>
      </c>
      <c r="DT156" s="496">
        <f t="shared" si="502"/>
        <v>0</v>
      </c>
      <c r="DU156" s="496">
        <f t="shared" si="502"/>
        <v>0</v>
      </c>
      <c r="DV156" s="496">
        <f t="shared" si="502"/>
        <v>0</v>
      </c>
      <c r="DW156" s="496">
        <f t="shared" si="502"/>
        <v>0</v>
      </c>
      <c r="DX156" s="496">
        <f t="shared" si="502"/>
        <v>0</v>
      </c>
      <c r="DY156" s="496">
        <f t="shared" si="502"/>
        <v>0</v>
      </c>
      <c r="DZ156" s="496">
        <f t="shared" si="502"/>
        <v>0</v>
      </c>
      <c r="EA156" s="496">
        <f t="shared" si="502"/>
        <v>0</v>
      </c>
      <c r="EB156" s="496">
        <f t="shared" si="502"/>
        <v>0</v>
      </c>
      <c r="EC156" s="496">
        <f t="shared" si="502"/>
        <v>0</v>
      </c>
      <c r="ED156" s="496">
        <f t="shared" si="502"/>
        <v>0</v>
      </c>
      <c r="EE156" s="496">
        <f t="shared" si="502"/>
        <v>0</v>
      </c>
      <c r="EF156" s="496">
        <f t="shared" si="502"/>
        <v>0</v>
      </c>
      <c r="EG156" s="496">
        <f t="shared" si="502"/>
        <v>0</v>
      </c>
      <c r="EH156" s="496">
        <f t="shared" si="502"/>
        <v>0</v>
      </c>
      <c r="EI156" s="496">
        <f t="shared" si="502"/>
        <v>0</v>
      </c>
      <c r="EJ156" s="496">
        <f t="shared" si="502"/>
        <v>0</v>
      </c>
      <c r="EK156" s="496">
        <f t="shared" si="502"/>
        <v>0</v>
      </c>
      <c r="EL156" s="496">
        <f t="shared" si="502"/>
        <v>0</v>
      </c>
      <c r="EM156" s="496">
        <f t="shared" si="502"/>
        <v>0</v>
      </c>
      <c r="EN156" s="496">
        <f t="shared" si="502"/>
        <v>0</v>
      </c>
      <c r="EO156" s="5"/>
      <c r="EP156" s="262"/>
      <c r="EQ156" s="262"/>
      <c r="ER156" s="262"/>
      <c r="ES156" s="262"/>
      <c r="ET156" s="262"/>
      <c r="EU156" s="18"/>
      <c r="EV156" s="262"/>
      <c r="EW156" s="262"/>
      <c r="EX156" s="262"/>
      <c r="EY156" s="262"/>
      <c r="EZ156" s="262"/>
      <c r="FA156" s="262"/>
      <c r="FB156" s="262"/>
      <c r="FC156" s="262"/>
      <c r="FD156" s="262"/>
      <c r="FE156" s="262"/>
      <c r="FF156" s="262"/>
      <c r="FG156" s="262"/>
      <c r="FH156" s="262"/>
      <c r="FI156" s="262"/>
      <c r="FJ156" s="262"/>
      <c r="FK156" s="262"/>
      <c r="FL156" s="262"/>
      <c r="FM156" s="262"/>
      <c r="FN156" s="262"/>
      <c r="FO156" s="262"/>
      <c r="FP156" s="262"/>
      <c r="FQ156" s="262"/>
      <c r="FR156" s="262"/>
      <c r="FS156" s="262"/>
      <c r="FT156" s="262"/>
      <c r="FU156" s="262"/>
      <c r="FV156" s="262"/>
      <c r="FW156" s="262"/>
      <c r="FX156" s="262"/>
      <c r="FY156" s="262"/>
      <c r="FZ156" s="262"/>
      <c r="GA156" s="262"/>
      <c r="GB156" s="262"/>
      <c r="GC156" s="262"/>
      <c r="GD156" s="262"/>
      <c r="GE156" s="262"/>
      <c r="GF156" s="262"/>
      <c r="GG156" s="262"/>
      <c r="GH156" s="262"/>
      <c r="GI156" s="262"/>
      <c r="GJ156" s="262"/>
      <c r="GK156" s="262"/>
      <c r="GL156" s="262"/>
      <c r="GM156" s="262"/>
      <c r="GN156" s="262"/>
      <c r="GO156" s="262"/>
      <c r="GP156" s="262"/>
      <c r="GQ156" s="262"/>
      <c r="GR156" s="262"/>
      <c r="GS156" s="262"/>
      <c r="GT156" s="262"/>
      <c r="GU156" s="262"/>
      <c r="GV156" s="262"/>
      <c r="GW156" s="262"/>
      <c r="GX156" s="262"/>
      <c r="GY156" s="262"/>
      <c r="GZ156" s="262"/>
      <c r="HA156" s="262"/>
      <c r="HB156" s="262"/>
      <c r="HC156" s="262"/>
      <c r="HD156" s="262"/>
      <c r="HE156" s="262"/>
      <c r="HF156" s="262"/>
      <c r="HG156" s="262"/>
      <c r="HH156" s="262"/>
      <c r="HI156" s="262"/>
      <c r="HJ156" s="262"/>
      <c r="HK156" s="262"/>
      <c r="HL156" s="262"/>
      <c r="HM156" s="262"/>
      <c r="HN156" s="262"/>
      <c r="HO156" s="262"/>
      <c r="HP156" s="262"/>
      <c r="HQ156" s="262"/>
      <c r="HR156" s="262"/>
      <c r="HS156" s="262"/>
      <c r="HT156" s="262"/>
      <c r="HU156" s="262"/>
      <c r="HV156" s="262"/>
      <c r="HW156" s="262"/>
      <c r="HX156" s="262"/>
      <c r="HY156" s="262"/>
      <c r="HZ156" s="262"/>
      <c r="IA156" s="262"/>
      <c r="IB156" s="262"/>
      <c r="IC156" s="262"/>
      <c r="ID156" s="262"/>
      <c r="IE156" s="262"/>
      <c r="IF156" s="262"/>
      <c r="IG156" s="262"/>
      <c r="IH156" s="262"/>
      <c r="II156" s="262"/>
      <c r="IJ156" s="262"/>
      <c r="IK156" s="262"/>
      <c r="IL156" s="262"/>
      <c r="IM156" s="262"/>
      <c r="IN156" s="262"/>
      <c r="IO156" s="262"/>
      <c r="IP156" s="262"/>
      <c r="IQ156" s="262"/>
      <c r="IR156" s="262"/>
      <c r="IS156" s="262"/>
      <c r="IT156" s="262"/>
      <c r="IU156" s="262"/>
      <c r="IV156" s="262"/>
      <c r="IW156" s="262"/>
      <c r="IX156" s="262"/>
      <c r="IY156" s="262"/>
      <c r="IZ156" s="262"/>
      <c r="JA156" s="262"/>
      <c r="JB156" s="262"/>
      <c r="JC156" s="262"/>
      <c r="JD156" s="262"/>
      <c r="JE156" s="262"/>
      <c r="JF156" s="262"/>
      <c r="JG156" s="262"/>
      <c r="JH156" s="262"/>
      <c r="JI156" s="262"/>
      <c r="JJ156" s="262"/>
      <c r="JK156" s="262"/>
      <c r="JL156" s="262"/>
      <c r="JM156" s="262"/>
      <c r="JN156" s="262"/>
      <c r="JO156" s="262"/>
      <c r="JP156" s="262"/>
      <c r="JQ156" s="262"/>
      <c r="JR156" s="262"/>
      <c r="JS156" s="262"/>
      <c r="JT156" s="262"/>
      <c r="JU156" s="262"/>
      <c r="JV156" s="262"/>
      <c r="JW156" s="262"/>
      <c r="JX156" s="262"/>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row>
    <row r="157" spans="1:424" x14ac:dyDescent="0.35">
      <c r="A157"/>
      <c r="B157" s="34" t="s">
        <v>326</v>
      </c>
      <c r="C157" s="400"/>
      <c r="D157" s="400"/>
      <c r="E157" s="400" t="str">
        <f>IF(Perm_Debt?=0,"","Cash-on-Cash Return (Month "&amp;PermDebt_Fund+1&amp;")")</f>
        <v/>
      </c>
      <c r="F157" s="272">
        <f>SUM(INDEX(M157:EN157,1,PermDebt_Fund+1):INDEX(M157:EN157,1,PermDebt_Fund+12))/I60</f>
        <v>0.22036028873815716</v>
      </c>
      <c r="G157" s="400"/>
      <c r="H157" s="400"/>
      <c r="I157" s="445">
        <f>+I155-I156</f>
        <v>45541921.747395799</v>
      </c>
      <c r="J157"/>
      <c r="K157" s="223" t="s">
        <v>327</v>
      </c>
      <c r="L157" s="270"/>
      <c r="M157" s="458">
        <f>M155-M156</f>
        <v>0</v>
      </c>
      <c r="N157" s="458">
        <f t="shared" ref="N157:BY157" si="503">N155-N156</f>
        <v>0</v>
      </c>
      <c r="O157" s="458">
        <f t="shared" si="503"/>
        <v>0</v>
      </c>
      <c r="P157" s="458">
        <f t="shared" si="503"/>
        <v>0</v>
      </c>
      <c r="Q157" s="458">
        <f t="shared" si="503"/>
        <v>0</v>
      </c>
      <c r="R157" s="458">
        <f t="shared" si="503"/>
        <v>0</v>
      </c>
      <c r="S157" s="458">
        <f t="shared" si="503"/>
        <v>0</v>
      </c>
      <c r="T157" s="458">
        <f t="shared" si="503"/>
        <v>0</v>
      </c>
      <c r="U157" s="458">
        <f t="shared" si="503"/>
        <v>0</v>
      </c>
      <c r="V157" s="458">
        <f t="shared" si="503"/>
        <v>0</v>
      </c>
      <c r="W157" s="458">
        <f t="shared" si="503"/>
        <v>0</v>
      </c>
      <c r="X157" s="458">
        <f t="shared" si="503"/>
        <v>0</v>
      </c>
      <c r="Y157" s="458">
        <f t="shared" si="503"/>
        <v>0</v>
      </c>
      <c r="Z157" s="458">
        <f t="shared" si="503"/>
        <v>0</v>
      </c>
      <c r="AA157" s="458">
        <f t="shared" si="503"/>
        <v>0</v>
      </c>
      <c r="AB157" s="458">
        <f t="shared" si="503"/>
        <v>0</v>
      </c>
      <c r="AC157" s="458">
        <f t="shared" si="503"/>
        <v>0</v>
      </c>
      <c r="AD157" s="458">
        <f t="shared" si="503"/>
        <v>0</v>
      </c>
      <c r="AE157" s="458">
        <f t="shared" si="503"/>
        <v>0</v>
      </c>
      <c r="AF157" s="458">
        <f t="shared" si="503"/>
        <v>0</v>
      </c>
      <c r="AG157" s="458">
        <f t="shared" si="503"/>
        <v>0</v>
      </c>
      <c r="AH157" s="458">
        <f t="shared" si="503"/>
        <v>716666.66666666663</v>
      </c>
      <c r="AI157" s="458">
        <f t="shared" si="503"/>
        <v>716666.66666666663</v>
      </c>
      <c r="AJ157" s="458">
        <f t="shared" si="503"/>
        <v>716666.66666666663</v>
      </c>
      <c r="AK157" s="458">
        <f t="shared" si="503"/>
        <v>933333.33333333326</v>
      </c>
      <c r="AL157" s="458">
        <f t="shared" si="503"/>
        <v>933333.33333333326</v>
      </c>
      <c r="AM157" s="458">
        <f t="shared" si="503"/>
        <v>933333.33333333326</v>
      </c>
      <c r="AN157" s="458">
        <f t="shared" si="503"/>
        <v>1107500</v>
      </c>
      <c r="AO157" s="458">
        <f t="shared" si="503"/>
        <v>1107500</v>
      </c>
      <c r="AP157" s="458">
        <f t="shared" si="503"/>
        <v>1107500</v>
      </c>
      <c r="AQ157" s="458">
        <f t="shared" si="503"/>
        <v>1265833.3333333333</v>
      </c>
      <c r="AR157" s="458">
        <f t="shared" si="503"/>
        <v>1265833.3333333333</v>
      </c>
      <c r="AS157" s="458">
        <f t="shared" si="503"/>
        <v>1265833.3333333333</v>
      </c>
      <c r="AT157" s="458">
        <f t="shared" si="503"/>
        <v>1298416.6666666665</v>
      </c>
      <c r="AU157" s="458">
        <f t="shared" si="503"/>
        <v>1298416.6666666665</v>
      </c>
      <c r="AV157" s="458">
        <f t="shared" si="503"/>
        <v>1298416.6666666665</v>
      </c>
      <c r="AW157" s="458">
        <f t="shared" si="503"/>
        <v>1329966.833333333</v>
      </c>
      <c r="AX157" s="458">
        <f t="shared" si="503"/>
        <v>1537461.250366004</v>
      </c>
      <c r="AY157" s="458">
        <f t="shared" si="503"/>
        <v>1744955.6673986751</v>
      </c>
      <c r="AZ157" s="458">
        <f t="shared" si="503"/>
        <v>1960527.6614040788</v>
      </c>
      <c r="BA157" s="458">
        <f t="shared" si="503"/>
        <v>2168682.6596498829</v>
      </c>
      <c r="BB157" s="458">
        <f t="shared" si="503"/>
        <v>2376837.6578956875</v>
      </c>
      <c r="BC157" s="458">
        <f t="shared" si="503"/>
        <v>2590534.3228081581</v>
      </c>
      <c r="BD157" s="458">
        <f t="shared" si="503"/>
        <v>2798689.3210539622</v>
      </c>
      <c r="BE157" s="458">
        <f t="shared" si="503"/>
        <v>3006844.3192997663</v>
      </c>
      <c r="BF157" s="458">
        <f t="shared" si="503"/>
        <v>3241223.0675455704</v>
      </c>
      <c r="BG157" s="458">
        <f t="shared" si="503"/>
        <v>3449378.065791375</v>
      </c>
      <c r="BH157" s="458">
        <f t="shared" si="503"/>
        <v>3657533.0640371782</v>
      </c>
      <c r="BI157" s="458">
        <f t="shared" si="503"/>
        <v>3936582.4825900565</v>
      </c>
      <c r="BJ157" s="458">
        <f t="shared" si="503"/>
        <v>3936582.4825900565</v>
      </c>
      <c r="BK157" s="458">
        <f t="shared" si="503"/>
        <v>3936582.4825900565</v>
      </c>
      <c r="BL157" s="458">
        <f t="shared" si="503"/>
        <v>3942891.6700900565</v>
      </c>
      <c r="BM157" s="458">
        <f t="shared" si="503"/>
        <v>3942891.6700900565</v>
      </c>
      <c r="BN157" s="458">
        <f t="shared" si="503"/>
        <v>3942891.6700900565</v>
      </c>
      <c r="BO157" s="458">
        <f t="shared" si="503"/>
        <v>3948627.2950900565</v>
      </c>
      <c r="BP157" s="458">
        <f t="shared" si="503"/>
        <v>3948627.2950900565</v>
      </c>
      <c r="BQ157" s="458">
        <f t="shared" si="503"/>
        <v>3948627.2950900565</v>
      </c>
      <c r="BR157" s="458">
        <f t="shared" si="503"/>
        <v>3975768.8763400572</v>
      </c>
      <c r="BS157" s="458">
        <f t="shared" si="503"/>
        <v>3975768.8763400572</v>
      </c>
      <c r="BT157" s="458">
        <f t="shared" si="503"/>
        <v>3975768.8763400572</v>
      </c>
      <c r="BU157" s="458">
        <f t="shared" si="503"/>
        <v>4048514.1446548081</v>
      </c>
      <c r="BV157" s="458">
        <f t="shared" si="503"/>
        <v>4048514.1446548081</v>
      </c>
      <c r="BW157" s="458">
        <f t="shared" si="503"/>
        <v>4048514.1446548081</v>
      </c>
      <c r="BX157" s="458">
        <f t="shared" si="503"/>
        <v>4055044.1537173088</v>
      </c>
      <c r="BY157" s="458">
        <f t="shared" si="503"/>
        <v>4055044.1537173088</v>
      </c>
      <c r="BZ157" s="458">
        <f t="shared" ref="BZ157:EK157" si="504">BZ155-BZ156</f>
        <v>4055044.1537173088</v>
      </c>
      <c r="CA157" s="458">
        <f t="shared" si="504"/>
        <v>4060980.525592308</v>
      </c>
      <c r="CB157" s="458">
        <f t="shared" si="504"/>
        <v>4060980.525592308</v>
      </c>
      <c r="CC157" s="458">
        <f t="shared" si="504"/>
        <v>4060980.525592308</v>
      </c>
      <c r="CD157" s="458">
        <f t="shared" si="504"/>
        <v>4089072.0621860581</v>
      </c>
      <c r="CE157" s="458">
        <f t="shared" si="504"/>
        <v>4089072.0621860581</v>
      </c>
      <c r="CF157" s="458">
        <f t="shared" si="504"/>
        <v>4089072.0621860581</v>
      </c>
      <c r="CG157" s="458">
        <f t="shared" si="504"/>
        <v>4163717.1967711793</v>
      </c>
      <c r="CH157" s="458">
        <f t="shared" si="504"/>
        <v>4163717.1967711793</v>
      </c>
      <c r="CI157" s="458">
        <f t="shared" si="504"/>
        <v>4163717.1967711793</v>
      </c>
      <c r="CJ157" s="458">
        <f t="shared" si="504"/>
        <v>4170475.7561508659</v>
      </c>
      <c r="CK157" s="458">
        <f t="shared" si="504"/>
        <v>4170475.7561508659</v>
      </c>
      <c r="CL157" s="458">
        <f t="shared" si="504"/>
        <v>4170475.7561508659</v>
      </c>
      <c r="CM157" s="458">
        <f t="shared" si="504"/>
        <v>4176619.901041491</v>
      </c>
      <c r="CN157" s="458">
        <f t="shared" si="504"/>
        <v>4176619.901041491</v>
      </c>
      <c r="CO157" s="458">
        <f t="shared" si="504"/>
        <v>4176619.901041491</v>
      </c>
      <c r="CP157" s="458">
        <f t="shared" si="504"/>
        <v>4205694.6414160226</v>
      </c>
      <c r="CQ157" s="458">
        <f t="shared" si="504"/>
        <v>4205694.6414160226</v>
      </c>
      <c r="CR157" s="458">
        <f t="shared" si="504"/>
        <v>4205694.6414160226</v>
      </c>
      <c r="CS157" s="458">
        <f t="shared" si="504"/>
        <v>4282289.9821379576</v>
      </c>
      <c r="CT157" s="458">
        <f t="shared" si="504"/>
        <v>4282289.9821379576</v>
      </c>
      <c r="CU157" s="458">
        <f t="shared" si="504"/>
        <v>4282289.9821379576</v>
      </c>
      <c r="CV157" s="458">
        <f t="shared" si="504"/>
        <v>4289285.0910959346</v>
      </c>
      <c r="CW157" s="458">
        <f t="shared" si="504"/>
        <v>4289285.0910959346</v>
      </c>
      <c r="CX157" s="458">
        <f t="shared" si="504"/>
        <v>4289285.0910959346</v>
      </c>
      <c r="CY157" s="458">
        <f t="shared" si="504"/>
        <v>4295644.2810577312</v>
      </c>
      <c r="CZ157" s="458">
        <f t="shared" si="504"/>
        <v>4295644.2810577312</v>
      </c>
      <c r="DA157" s="458">
        <f t="shared" si="504"/>
        <v>4295644.2810577312</v>
      </c>
      <c r="DB157" s="458">
        <f t="shared" si="504"/>
        <v>4325736.6373453718</v>
      </c>
      <c r="DC157" s="458">
        <f t="shared" si="504"/>
        <v>4325736.6373453718</v>
      </c>
      <c r="DD157" s="458">
        <f t="shared" si="504"/>
        <v>4325736.6373453718</v>
      </c>
      <c r="DE157" s="458">
        <f t="shared" si="504"/>
        <v>4404333.8820795696</v>
      </c>
      <c r="DF157" s="458">
        <f t="shared" si="504"/>
        <v>4404333.8820795696</v>
      </c>
      <c r="DG157" s="458">
        <f t="shared" si="504"/>
        <v>4404333.8820795696</v>
      </c>
      <c r="DH157" s="458">
        <f t="shared" si="504"/>
        <v>4411573.8198510744</v>
      </c>
      <c r="DI157" s="458">
        <f t="shared" si="504"/>
        <v>4411573.8198510744</v>
      </c>
      <c r="DJ157" s="458">
        <f t="shared" si="504"/>
        <v>4411573.8198510744</v>
      </c>
      <c r="DK157" s="458">
        <f t="shared" si="504"/>
        <v>4418155.5814615348</v>
      </c>
      <c r="DL157" s="458">
        <f t="shared" si="504"/>
        <v>4418155.5814615348</v>
      </c>
      <c r="DM157" s="458">
        <f t="shared" si="504"/>
        <v>4418155.5814615348</v>
      </c>
      <c r="DN157" s="458">
        <f t="shared" si="504"/>
        <v>4449301.1702192416</v>
      </c>
      <c r="DO157" s="458">
        <f t="shared" si="504"/>
        <v>4449301.1702192416</v>
      </c>
      <c r="DP157" s="458">
        <f t="shared" si="504"/>
        <v>4449301.1702192416</v>
      </c>
      <c r="DQ157" s="458">
        <f t="shared" si="504"/>
        <v>4529953.412283306</v>
      </c>
      <c r="DR157" s="458">
        <f t="shared" si="504"/>
        <v>4529953.412283306</v>
      </c>
      <c r="DS157" s="458">
        <f t="shared" si="504"/>
        <v>4529953.412283306</v>
      </c>
      <c r="DT157" s="458">
        <f t="shared" si="504"/>
        <v>4537446.7478768146</v>
      </c>
      <c r="DU157" s="458">
        <f t="shared" si="504"/>
        <v>4537446.7478768146</v>
      </c>
      <c r="DV157" s="458">
        <f t="shared" si="504"/>
        <v>4537446.7478768146</v>
      </c>
      <c r="DW157" s="458">
        <f t="shared" si="504"/>
        <v>4544258.871143641</v>
      </c>
      <c r="DX157" s="458">
        <f t="shared" si="504"/>
        <v>4544258.871143641</v>
      </c>
      <c r="DY157" s="458">
        <f t="shared" si="504"/>
        <v>4544258.871143641</v>
      </c>
      <c r="DZ157" s="458">
        <f t="shared" si="504"/>
        <v>4576494.5555078676</v>
      </c>
      <c r="EA157" s="458">
        <f t="shared" si="504"/>
        <v>4576494.5555078676</v>
      </c>
      <c r="EB157" s="458">
        <f t="shared" si="504"/>
        <v>4576494.5555078676</v>
      </c>
      <c r="EC157" s="458">
        <f t="shared" si="504"/>
        <v>4659256.3221524479</v>
      </c>
      <c r="ED157" s="458">
        <f t="shared" si="504"/>
        <v>4659256.3221524479</v>
      </c>
      <c r="EE157" s="458">
        <f t="shared" si="504"/>
        <v>4659256.3221524479</v>
      </c>
      <c r="EF157" s="458">
        <f t="shared" si="504"/>
        <v>4667011.9244917287</v>
      </c>
      <c r="EG157" s="458">
        <f t="shared" si="504"/>
        <v>4667011.9244917287</v>
      </c>
      <c r="EH157" s="458">
        <f t="shared" si="504"/>
        <v>4667011.9244917287</v>
      </c>
      <c r="EI157" s="458">
        <f t="shared" si="504"/>
        <v>4674062.4720728938</v>
      </c>
      <c r="EJ157" s="458">
        <f t="shared" si="504"/>
        <v>4674062.4720728938</v>
      </c>
      <c r="EK157" s="458">
        <f t="shared" si="504"/>
        <v>4674062.4720728938</v>
      </c>
      <c r="EL157" s="458">
        <f>EL155-EL156</f>
        <v>4707426.4053898687</v>
      </c>
      <c r="EM157" s="458">
        <f>EM155-EM156</f>
        <v>4707426.4053898687</v>
      </c>
      <c r="EN157" s="458">
        <f>EN155-EN156</f>
        <v>4707426.4053898687</v>
      </c>
      <c r="EO157" s="5"/>
      <c r="EP157" s="262"/>
      <c r="EQ157" s="262"/>
      <c r="ER157" s="262"/>
      <c r="ES157" s="262"/>
      <c r="ET157" s="262"/>
      <c r="EU157" s="18"/>
      <c r="EV157" s="262"/>
      <c r="EW157" s="262"/>
      <c r="EX157" s="262"/>
      <c r="EY157" s="262"/>
      <c r="EZ157" s="262"/>
      <c r="FA157" s="262"/>
      <c r="FB157" s="262"/>
      <c r="FC157" s="262"/>
      <c r="FD157" s="262"/>
      <c r="FE157" s="262"/>
      <c r="FF157" s="262"/>
      <c r="FG157" s="262"/>
      <c r="FH157" s="262"/>
      <c r="FI157" s="262"/>
      <c r="FJ157" s="262"/>
      <c r="FK157" s="262"/>
      <c r="FL157" s="262"/>
      <c r="FM157" s="262"/>
      <c r="FN157" s="262"/>
      <c r="FO157" s="262"/>
      <c r="FP157" s="262"/>
      <c r="FQ157" s="262"/>
      <c r="FR157" s="262"/>
      <c r="FS157" s="262"/>
      <c r="FT157" s="262"/>
      <c r="FU157" s="262"/>
      <c r="FV157" s="262"/>
      <c r="FW157" s="262"/>
      <c r="FX157" s="262"/>
      <c r="FY157" s="262"/>
      <c r="FZ157" s="262"/>
      <c r="GA157" s="262"/>
      <c r="GB157" s="262"/>
      <c r="GC157" s="262"/>
      <c r="GD157" s="262"/>
      <c r="GE157" s="262"/>
      <c r="GF157" s="262"/>
      <c r="GG157" s="262"/>
      <c r="GH157" s="262"/>
      <c r="GI157" s="262"/>
      <c r="GJ157" s="262"/>
      <c r="GK157" s="262"/>
      <c r="GL157" s="262"/>
      <c r="GM157" s="262"/>
      <c r="GN157" s="262"/>
      <c r="GO157" s="262"/>
      <c r="GP157" s="262"/>
      <c r="GQ157" s="262"/>
      <c r="GR157" s="262"/>
      <c r="GS157" s="262"/>
      <c r="GT157" s="262"/>
      <c r="GU157" s="262"/>
      <c r="GV157" s="262"/>
      <c r="GW157" s="262"/>
      <c r="GX157" s="262"/>
      <c r="GY157" s="262"/>
      <c r="GZ157" s="262"/>
      <c r="HA157" s="262"/>
      <c r="HB157" s="262"/>
      <c r="HC157" s="262"/>
      <c r="HD157" s="262"/>
      <c r="HE157" s="262"/>
      <c r="HF157" s="262"/>
      <c r="HG157" s="262"/>
      <c r="HH157" s="262"/>
      <c r="HI157" s="262"/>
      <c r="HJ157" s="262"/>
      <c r="HK157" s="262"/>
      <c r="HL157" s="262"/>
      <c r="HM157" s="262"/>
      <c r="HN157" s="262"/>
      <c r="HO157" s="262"/>
      <c r="HP157" s="262"/>
      <c r="HQ157" s="262"/>
      <c r="HR157" s="262"/>
      <c r="HS157" s="262"/>
      <c r="HT157" s="262"/>
      <c r="HU157" s="262"/>
      <c r="HV157" s="262"/>
      <c r="HW157" s="262"/>
      <c r="HX157" s="262"/>
      <c r="HY157" s="262"/>
      <c r="HZ157" s="262"/>
      <c r="IA157" s="262"/>
      <c r="IB157" s="262"/>
      <c r="IC157" s="262"/>
      <c r="ID157" s="262"/>
      <c r="IE157" s="262"/>
      <c r="IF157" s="262"/>
      <c r="IG157" s="262"/>
      <c r="IH157" s="262"/>
      <c r="II157" s="262"/>
      <c r="IJ157" s="262"/>
      <c r="IK157" s="262"/>
      <c r="IL157" s="262"/>
      <c r="IM157" s="262"/>
      <c r="IN157" s="262"/>
      <c r="IO157" s="262"/>
      <c r="IP157" s="262"/>
      <c r="IQ157" s="262"/>
      <c r="IR157" s="262"/>
      <c r="IS157" s="262"/>
      <c r="IT157" s="262"/>
      <c r="IU157" s="262"/>
      <c r="IV157" s="262"/>
      <c r="IW157" s="262"/>
      <c r="IX157" s="262"/>
      <c r="IY157" s="262"/>
      <c r="IZ157" s="262"/>
      <c r="JA157" s="262"/>
      <c r="JB157" s="262"/>
      <c r="JC157" s="262"/>
      <c r="JD157" s="262"/>
      <c r="JE157" s="262"/>
      <c r="JF157" s="262"/>
      <c r="JG157" s="262"/>
      <c r="JH157" s="262"/>
      <c r="JI157" s="262"/>
      <c r="JJ157" s="262"/>
      <c r="JK157" s="262"/>
      <c r="JL157" s="262"/>
      <c r="JM157" s="262"/>
      <c r="JN157" s="262"/>
      <c r="JO157" s="262"/>
      <c r="JP157" s="262"/>
      <c r="JQ157" s="262"/>
      <c r="JR157" s="262"/>
      <c r="JS157" s="262"/>
      <c r="JT157" s="262"/>
      <c r="JU157" s="262"/>
      <c r="JV157" s="262"/>
      <c r="JW157" s="262"/>
      <c r="JX157" s="262"/>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row>
    <row r="158" spans="1:424" x14ac:dyDescent="0.35">
      <c r="A158"/>
      <c r="B158" s="6"/>
      <c r="C158" s="388"/>
      <c r="D158" s="388"/>
      <c r="E158" s="388"/>
      <c r="F158" s="388"/>
      <c r="G158" s="388"/>
      <c r="H158" s="388"/>
      <c r="I158" s="388"/>
      <c r="J158" s="387"/>
      <c r="K158" s="388"/>
      <c r="L158" s="388"/>
      <c r="M158" s="388"/>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388"/>
      <c r="AK158" s="388"/>
      <c r="AL158" s="388"/>
      <c r="AM158" s="388"/>
      <c r="AN158" s="388"/>
      <c r="AO158" s="388"/>
      <c r="AP158" s="388"/>
      <c r="AQ158" s="388"/>
      <c r="AR158" s="388"/>
      <c r="AS158" s="388"/>
      <c r="AT158" s="388"/>
      <c r="AU158" s="388"/>
      <c r="AV158" s="388"/>
      <c r="AW158" s="388"/>
      <c r="AX158" s="388"/>
      <c r="AY158" s="388"/>
      <c r="AZ158" s="388"/>
      <c r="BA158" s="388"/>
      <c r="BB158" s="388"/>
      <c r="BC158" s="388"/>
      <c r="BD158" s="388"/>
      <c r="BE158" s="388"/>
      <c r="BF158" s="388"/>
      <c r="BG158" s="388"/>
      <c r="BH158" s="388"/>
      <c r="BI158" s="388"/>
      <c r="BJ158" s="388"/>
      <c r="BK158" s="388"/>
      <c r="BL158" s="388"/>
      <c r="BM158" s="388"/>
      <c r="BN158" s="388"/>
      <c r="BO158" s="388"/>
      <c r="BP158" s="388"/>
      <c r="BQ158" s="388"/>
      <c r="BR158" s="388"/>
      <c r="BS158" s="388"/>
      <c r="BT158" s="388"/>
      <c r="BU158" s="388"/>
      <c r="BV158" s="388"/>
      <c r="BW158" s="388"/>
      <c r="BX158" s="388"/>
      <c r="BY158" s="388"/>
      <c r="BZ158" s="388"/>
      <c r="CA158" s="388"/>
      <c r="CB158" s="388"/>
      <c r="CC158" s="388"/>
      <c r="CD158" s="388"/>
      <c r="CE158" s="388"/>
      <c r="CF158" s="388"/>
      <c r="CG158" s="388"/>
      <c r="CH158" s="388"/>
      <c r="CI158" s="388"/>
      <c r="CJ158" s="388"/>
      <c r="CK158" s="388"/>
      <c r="CL158" s="388"/>
      <c r="CM158" s="388"/>
      <c r="CN158" s="388"/>
      <c r="CO158" s="388"/>
      <c r="CP158" s="388"/>
      <c r="CQ158" s="388"/>
      <c r="CR158" s="388"/>
      <c r="CS158" s="388"/>
      <c r="CT158" s="388"/>
      <c r="CU158" s="388"/>
      <c r="CV158" s="388"/>
      <c r="CW158" s="388"/>
      <c r="CX158" s="388"/>
      <c r="CY158" s="388"/>
      <c r="CZ158" s="388"/>
      <c r="DA158" s="388"/>
      <c r="DB158" s="388"/>
      <c r="DC158" s="388"/>
      <c r="DD158" s="388"/>
      <c r="DE158" s="388"/>
      <c r="DF158" s="388"/>
      <c r="DG158" s="388"/>
      <c r="DH158" s="388"/>
      <c r="DI158" s="388"/>
      <c r="DJ158" s="388"/>
      <c r="DK158" s="388"/>
      <c r="DL158" s="388"/>
      <c r="DM158" s="388"/>
      <c r="DN158" s="388"/>
      <c r="DO158" s="388"/>
      <c r="DP158" s="388"/>
      <c r="DQ158" s="388"/>
      <c r="DR158" s="388"/>
      <c r="DS158" s="388"/>
      <c r="DT158" s="388"/>
      <c r="DU158" s="388"/>
      <c r="DV158" s="388"/>
      <c r="DW158" s="388"/>
      <c r="DX158" s="388"/>
      <c r="DY158" s="388"/>
      <c r="DZ158" s="388"/>
      <c r="EA158" s="388"/>
      <c r="EB158" s="388"/>
      <c r="EC158" s="388"/>
      <c r="ED158" s="388"/>
      <c r="EE158" s="388"/>
      <c r="EF158" s="388"/>
      <c r="EG158" s="388"/>
      <c r="EH158" s="388"/>
      <c r="EI158" s="388"/>
      <c r="EJ158" s="388"/>
      <c r="EK158" s="388"/>
      <c r="EL158" s="388"/>
      <c r="EM158" s="388"/>
      <c r="EN158" s="388"/>
      <c r="EO158" s="388"/>
      <c r="EP158" s="403"/>
      <c r="EQ158" s="404"/>
      <c r="ER158" s="404"/>
      <c r="ES158" s="404"/>
      <c r="ET158" s="404"/>
      <c r="EU158" s="404"/>
      <c r="EV158" s="404"/>
      <c r="EW158" s="404"/>
      <c r="EX158" s="404"/>
      <c r="EY158" s="404"/>
      <c r="EZ158" s="404"/>
      <c r="FA158" s="404"/>
      <c r="FB158" s="404"/>
      <c r="FC158" s="404"/>
      <c r="FD158" s="404"/>
      <c r="FE158" s="404"/>
      <c r="FF158" s="404"/>
      <c r="FG158" s="404"/>
      <c r="FH158" s="404"/>
      <c r="FI158" s="404"/>
      <c r="FJ158" s="404"/>
      <c r="FK158" s="404"/>
      <c r="FL158" s="404"/>
      <c r="FM158" s="404"/>
      <c r="FN158" s="404"/>
      <c r="FO158" s="404"/>
      <c r="FP158" s="404"/>
      <c r="FQ158" s="404"/>
      <c r="FR158" s="404"/>
      <c r="FS158" s="404"/>
      <c r="FT158" s="404"/>
      <c r="FU158" s="404"/>
      <c r="FV158" s="404"/>
      <c r="FW158" s="404"/>
      <c r="FX158" s="404"/>
      <c r="FY158" s="404"/>
      <c r="FZ158" s="404"/>
      <c r="GA158" s="404"/>
      <c r="GB158" s="404"/>
      <c r="GC158" s="404"/>
      <c r="GD158" s="404"/>
      <c r="GE158" s="404"/>
      <c r="GF158" s="404"/>
      <c r="GG158" s="404"/>
      <c r="GH158" s="404"/>
      <c r="GI158" s="404"/>
      <c r="GJ158" s="404"/>
      <c r="GK158" s="404"/>
      <c r="GL158" s="404"/>
      <c r="GM158" s="404"/>
      <c r="GN158" s="404"/>
      <c r="GO158" s="404"/>
      <c r="GP158" s="404"/>
      <c r="GQ158" s="404"/>
      <c r="GR158" s="404"/>
      <c r="GS158" s="404"/>
      <c r="GT158" s="404"/>
      <c r="GU158" s="404"/>
      <c r="GV158" s="404"/>
      <c r="GW158" s="404"/>
      <c r="GX158" s="404"/>
      <c r="GY158" s="404"/>
      <c r="GZ158" s="404"/>
      <c r="HA158" s="404"/>
      <c r="HB158" s="404"/>
      <c r="HC158" s="404"/>
      <c r="HD158" s="404"/>
      <c r="HE158" s="404"/>
      <c r="HF158" s="404"/>
      <c r="HG158" s="404"/>
      <c r="HH158" s="404"/>
      <c r="HI158" s="404"/>
      <c r="HJ158" s="404"/>
      <c r="HK158" s="404"/>
      <c r="HL158" s="404"/>
      <c r="HM158" s="404"/>
      <c r="HN158" s="404"/>
      <c r="HO158" s="404"/>
      <c r="HP158" s="404"/>
      <c r="HQ158" s="404"/>
      <c r="HR158" s="404"/>
      <c r="HS158" s="404"/>
      <c r="HT158" s="404"/>
      <c r="HU158" s="404"/>
      <c r="HV158" s="404"/>
      <c r="HW158" s="404"/>
      <c r="HX158" s="404"/>
      <c r="HY158" s="404"/>
      <c r="HZ158" s="404"/>
      <c r="IA158" s="404"/>
      <c r="IB158" s="404"/>
      <c r="IC158" s="404"/>
      <c r="ID158" s="404"/>
      <c r="IE158" s="404"/>
      <c r="IF158" s="404"/>
      <c r="IG158" s="404"/>
      <c r="IH158" s="404"/>
      <c r="II158" s="404"/>
      <c r="IJ158" s="404"/>
      <c r="IK158" s="404"/>
      <c r="IL158" s="404"/>
      <c r="IM158" s="404"/>
      <c r="IN158" s="404"/>
      <c r="IO158" s="404"/>
      <c r="IP158" s="404"/>
      <c r="IQ158" s="404"/>
      <c r="IR158" s="404"/>
      <c r="IS158" s="404"/>
      <c r="IT158" s="404"/>
      <c r="IU158" s="404"/>
      <c r="IV158" s="404"/>
      <c r="IW158" s="404"/>
      <c r="IX158" s="404"/>
      <c r="IY158" s="404"/>
      <c r="IZ158" s="404"/>
      <c r="JA158" s="404"/>
      <c r="JB158" s="404"/>
      <c r="JC158" s="404"/>
      <c r="JD158" s="404"/>
      <c r="JE158" s="404"/>
      <c r="JF158" s="404"/>
      <c r="JG158" s="404"/>
      <c r="JH158" s="404"/>
      <c r="JI158" s="404"/>
      <c r="JJ158" s="404"/>
      <c r="JK158" s="404"/>
      <c r="JL158" s="404"/>
      <c r="JM158" s="404"/>
      <c r="JN158" s="404"/>
      <c r="JO158" s="404"/>
      <c r="JP158" s="404"/>
      <c r="JQ158" s="404"/>
      <c r="JR158" s="404"/>
      <c r="JS158" s="404"/>
      <c r="JT158" s="404"/>
      <c r="JU158" s="404"/>
      <c r="JV158" s="404"/>
      <c r="JW158" s="404"/>
      <c r="JX158" s="404"/>
      <c r="JY158"/>
      <c r="JZ158" s="262"/>
      <c r="KA158" s="262"/>
      <c r="KB158" s="262"/>
      <c r="KC158" s="262"/>
      <c r="KD158" s="262"/>
      <c r="KE158" s="262"/>
      <c r="KF158" s="262"/>
      <c r="KG158" s="262"/>
      <c r="KH158" s="262"/>
      <c r="KI158" s="262"/>
      <c r="KJ158" s="262"/>
      <c r="KK158" s="262"/>
      <c r="KL158" s="262"/>
      <c r="KM158" s="262"/>
      <c r="KN158" s="262"/>
      <c r="KO158" s="262"/>
      <c r="KP158" s="262"/>
      <c r="KQ158" s="262"/>
      <c r="KR158" s="262"/>
      <c r="KS158" s="262"/>
      <c r="KT158" s="262"/>
      <c r="KU158" s="262"/>
      <c r="KV158" s="262"/>
      <c r="KW158" s="262"/>
      <c r="KX158" s="262"/>
      <c r="KY158" s="262"/>
      <c r="KZ158" s="262"/>
      <c r="LA158" s="262"/>
      <c r="LB158" s="262"/>
      <c r="LC158" s="262"/>
      <c r="LD158" s="262"/>
      <c r="LE158" s="262"/>
      <c r="LF158" s="262"/>
      <c r="LG158" s="262"/>
      <c r="LH158" s="262"/>
      <c r="LI158" s="262"/>
      <c r="LJ158" s="262"/>
      <c r="LK158" s="262"/>
      <c r="LL158" s="262"/>
      <c r="LM158" s="262"/>
      <c r="LN158" s="262"/>
      <c r="LO158" s="262"/>
      <c r="LP158" s="262"/>
      <c r="LQ158" s="262"/>
      <c r="LR158" s="262"/>
      <c r="LS158" s="262"/>
      <c r="LT158" s="262"/>
      <c r="LU158" s="262"/>
      <c r="LV158" s="262"/>
      <c r="LW158" s="262"/>
      <c r="LX158" s="262"/>
      <c r="LY158" s="262"/>
      <c r="LZ158" s="262"/>
      <c r="MA158" s="262"/>
      <c r="MB158" s="262"/>
      <c r="MC158" s="262"/>
      <c r="MD158" s="262"/>
      <c r="ME158" s="262"/>
      <c r="MF158" s="262"/>
      <c r="MG158" s="262"/>
      <c r="MH158" s="262"/>
      <c r="MI158" s="262"/>
      <c r="MJ158" s="262"/>
      <c r="MK158" s="262"/>
      <c r="ML158" s="262"/>
      <c r="MM158" s="262"/>
      <c r="MN158" s="262"/>
      <c r="MO158" s="262"/>
      <c r="MP158" s="262"/>
      <c r="MQ158" s="262"/>
      <c r="MR158" s="262"/>
      <c r="MS158" s="262"/>
      <c r="MT158" s="262"/>
      <c r="MU158" s="262"/>
      <c r="MV158" s="262"/>
      <c r="MW158" s="262"/>
      <c r="MX158" s="262"/>
      <c r="MY158" s="262"/>
      <c r="MZ158" s="262"/>
      <c r="NA158" s="262"/>
      <c r="NB158" s="262"/>
      <c r="NC158" s="262"/>
      <c r="ND158" s="262"/>
      <c r="NE158" s="262"/>
      <c r="NF158" s="262"/>
      <c r="NG158" s="262"/>
      <c r="NH158" s="262"/>
      <c r="NI158" s="262"/>
      <c r="NJ158" s="262"/>
      <c r="NK158" s="262"/>
      <c r="NL158" s="262"/>
      <c r="NM158" s="262"/>
      <c r="NN158" s="262"/>
      <c r="NO158" s="262"/>
      <c r="NP158" s="262"/>
      <c r="NQ158" s="262"/>
      <c r="NR158" s="262"/>
      <c r="NS158" s="262"/>
      <c r="NT158" s="262"/>
      <c r="NU158" s="262"/>
      <c r="NV158" s="262"/>
      <c r="NW158" s="262"/>
      <c r="NX158" s="262"/>
      <c r="NY158" s="262"/>
      <c r="NZ158" s="262"/>
      <c r="OA158" s="262"/>
      <c r="OB158" s="262"/>
      <c r="OC158" s="262"/>
      <c r="OD158" s="262"/>
      <c r="OE158" s="262"/>
      <c r="OF158" s="262"/>
      <c r="OG158" s="262"/>
      <c r="OH158" s="262"/>
      <c r="OI158" s="262"/>
      <c r="OJ158" s="262"/>
      <c r="OK158" s="262"/>
      <c r="OL158" s="262"/>
      <c r="OM158" s="262"/>
      <c r="ON158" s="262"/>
      <c r="OO158" s="262"/>
      <c r="OP158" s="262"/>
      <c r="OQ158" s="262"/>
      <c r="OR158" s="262"/>
      <c r="OS158" s="262"/>
      <c r="OT158" s="262"/>
      <c r="OU158" s="262"/>
      <c r="OV158" s="262"/>
      <c r="OW158" s="262"/>
      <c r="OX158" s="262"/>
      <c r="OY158" s="262"/>
      <c r="OZ158" s="262"/>
      <c r="PA158" s="262"/>
      <c r="PB158" s="262"/>
      <c r="PC158" s="262"/>
      <c r="PD158" s="262"/>
      <c r="PE158" s="262"/>
      <c r="PF158" s="262"/>
      <c r="PG158" s="262"/>
      <c r="PH158" s="262"/>
    </row>
    <row r="159" spans="1:424" x14ac:dyDescent="0.35">
      <c r="A159"/>
      <c r="B159" s="2" t="s">
        <v>328</v>
      </c>
      <c r="C159" s="388"/>
      <c r="D159" s="388"/>
      <c r="E159" s="388"/>
      <c r="F159" s="388"/>
      <c r="G159" s="388"/>
      <c r="H159" s="388"/>
      <c r="I159" s="388"/>
      <c r="J159" s="395"/>
      <c r="K159" s="396"/>
      <c r="L159" s="396"/>
      <c r="M159" s="396"/>
      <c r="N159" s="396"/>
      <c r="O159" s="396"/>
      <c r="P159" s="396"/>
      <c r="Q159" s="396"/>
      <c r="R159" s="396"/>
      <c r="S159" s="396"/>
      <c r="T159" s="396"/>
      <c r="U159" s="396"/>
      <c r="V159" s="396"/>
      <c r="W159" s="396"/>
      <c r="X159" s="396"/>
      <c r="Y159" s="396"/>
      <c r="Z159" s="396"/>
      <c r="AA159" s="396"/>
      <c r="AB159" s="396"/>
      <c r="AC159" s="396"/>
      <c r="AD159" s="396"/>
      <c r="AE159" s="396"/>
      <c r="AF159" s="396"/>
      <c r="AG159" s="396"/>
      <c r="AH159" s="396"/>
      <c r="AI159" s="396"/>
      <c r="AJ159" s="396"/>
      <c r="AK159" s="396"/>
      <c r="AL159" s="396"/>
      <c r="AM159" s="396"/>
      <c r="AN159" s="396"/>
      <c r="AO159" s="396"/>
      <c r="AP159" s="396"/>
      <c r="AQ159" s="396"/>
      <c r="AR159" s="396"/>
      <c r="AS159" s="396"/>
      <c r="AT159" s="396"/>
      <c r="AU159" s="396"/>
      <c r="AV159" s="396"/>
      <c r="AW159" s="396"/>
      <c r="AX159" s="396"/>
      <c r="AY159" s="396"/>
      <c r="AZ159" s="396"/>
      <c r="BA159" s="396"/>
      <c r="BB159" s="396"/>
      <c r="BC159" s="396"/>
      <c r="BD159" s="396"/>
      <c r="BE159" s="396"/>
      <c r="BF159" s="396"/>
      <c r="BG159" s="396"/>
      <c r="BH159" s="396"/>
      <c r="BI159" s="396"/>
      <c r="BJ159" s="396"/>
      <c r="BK159" s="396"/>
      <c r="BL159" s="396"/>
      <c r="BM159" s="396"/>
      <c r="BN159" s="396"/>
      <c r="BO159" s="396"/>
      <c r="BP159" s="396"/>
      <c r="BQ159" s="396"/>
      <c r="BR159" s="396"/>
      <c r="BS159" s="396"/>
      <c r="BT159" s="396"/>
      <c r="BU159" s="396"/>
      <c r="BV159" s="396"/>
      <c r="BW159" s="396"/>
      <c r="BX159" s="396"/>
      <c r="BY159" s="396"/>
      <c r="BZ159" s="396"/>
      <c r="CA159" s="396"/>
      <c r="CB159" s="396"/>
      <c r="CC159" s="396"/>
      <c r="CD159" s="396"/>
      <c r="CE159" s="396"/>
      <c r="CF159" s="396"/>
      <c r="CG159" s="396"/>
      <c r="CH159" s="396"/>
      <c r="CI159" s="396"/>
      <c r="CJ159" s="396"/>
      <c r="CK159" s="396"/>
      <c r="CL159" s="396"/>
      <c r="CM159" s="396"/>
      <c r="CN159" s="396"/>
      <c r="CO159" s="396"/>
      <c r="CP159" s="396"/>
      <c r="CQ159" s="396"/>
      <c r="CR159" s="396"/>
      <c r="CS159" s="396"/>
      <c r="CT159" s="396"/>
      <c r="CU159" s="396"/>
      <c r="CV159" s="396"/>
      <c r="CW159" s="396"/>
      <c r="CX159" s="396"/>
      <c r="CY159" s="396"/>
      <c r="CZ159" s="396"/>
      <c r="DA159" s="396"/>
      <c r="DB159" s="396"/>
      <c r="DC159" s="396"/>
      <c r="DD159" s="396"/>
      <c r="DE159" s="396"/>
      <c r="DF159" s="396"/>
      <c r="DG159" s="396"/>
      <c r="DH159" s="396"/>
      <c r="DI159" s="396"/>
      <c r="DJ159" s="396"/>
      <c r="DK159" s="396"/>
      <c r="DL159" s="396"/>
      <c r="DM159" s="396"/>
      <c r="DN159" s="396"/>
      <c r="DO159" s="396"/>
      <c r="DP159" s="396"/>
      <c r="DQ159" s="396"/>
      <c r="DR159" s="396"/>
      <c r="DS159" s="396"/>
      <c r="DT159" s="396"/>
      <c r="DU159" s="396"/>
      <c r="DV159" s="396"/>
      <c r="DW159" s="396"/>
      <c r="DX159" s="396"/>
      <c r="DY159" s="396"/>
      <c r="DZ159" s="396"/>
      <c r="EA159" s="396"/>
      <c r="EB159" s="396"/>
      <c r="EC159" s="396"/>
      <c r="ED159" s="396"/>
      <c r="EE159" s="396"/>
      <c r="EF159" s="396"/>
      <c r="EG159" s="396"/>
      <c r="EH159" s="396"/>
      <c r="EI159" s="396"/>
      <c r="EJ159" s="396"/>
      <c r="EK159" s="396"/>
      <c r="EL159" s="396"/>
      <c r="EM159" s="396"/>
      <c r="EN159" s="396"/>
      <c r="EO159" s="396"/>
      <c r="EP159" s="219"/>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c r="JZ159" s="262"/>
      <c r="KA159" s="262"/>
      <c r="KB159" s="262"/>
      <c r="KC159" s="262"/>
      <c r="KD159" s="262"/>
      <c r="KE159" s="262"/>
      <c r="KF159" s="262"/>
      <c r="KG159" s="262"/>
      <c r="KH159" s="262"/>
      <c r="KI159" s="262"/>
      <c r="KJ159" s="262"/>
      <c r="KK159" s="262"/>
      <c r="KL159" s="262"/>
      <c r="KM159" s="262"/>
      <c r="KN159" s="262"/>
      <c r="KO159" s="262"/>
      <c r="KP159" s="262"/>
      <c r="KQ159" s="262"/>
      <c r="KR159" s="262"/>
      <c r="KS159" s="262"/>
      <c r="KT159" s="262"/>
      <c r="KU159" s="262"/>
      <c r="KV159" s="262"/>
      <c r="KW159" s="262"/>
      <c r="KX159" s="262"/>
      <c r="KY159" s="262"/>
      <c r="KZ159" s="262"/>
      <c r="LA159" s="262"/>
      <c r="LB159" s="262"/>
      <c r="LC159" s="262"/>
      <c r="LD159" s="262"/>
      <c r="LE159" s="262"/>
      <c r="LF159" s="262"/>
      <c r="LG159" s="262"/>
      <c r="LH159" s="262"/>
      <c r="LI159" s="262"/>
      <c r="LJ159" s="262"/>
      <c r="LK159" s="262"/>
      <c r="LL159" s="262"/>
      <c r="LM159" s="262"/>
      <c r="LN159" s="262"/>
      <c r="LO159" s="262"/>
      <c r="LP159" s="262"/>
      <c r="LQ159" s="262"/>
      <c r="LR159" s="262"/>
      <c r="LS159" s="262"/>
      <c r="LT159" s="262"/>
      <c r="LU159" s="262"/>
      <c r="LV159" s="262"/>
      <c r="LW159" s="262"/>
      <c r="LX159" s="262"/>
      <c r="LY159" s="262"/>
      <c r="LZ159" s="262"/>
      <c r="MA159" s="262"/>
      <c r="MB159" s="262"/>
      <c r="MC159" s="262"/>
      <c r="MD159" s="262"/>
      <c r="ME159" s="262"/>
      <c r="MF159" s="262"/>
      <c r="MG159" s="262"/>
      <c r="MH159" s="262"/>
      <c r="MI159" s="262"/>
      <c r="MJ159" s="262"/>
      <c r="MK159" s="262"/>
      <c r="ML159" s="262"/>
      <c r="MM159" s="262"/>
      <c r="MN159" s="262"/>
      <c r="MO159" s="262"/>
      <c r="MP159" s="262"/>
      <c r="MQ159" s="262"/>
      <c r="MR159" s="262"/>
      <c r="MS159" s="262"/>
      <c r="MT159" s="262"/>
      <c r="MU159" s="262"/>
      <c r="MV159" s="262"/>
      <c r="MW159" s="262"/>
      <c r="MX159" s="262"/>
      <c r="MY159" s="262"/>
      <c r="MZ159" s="262"/>
      <c r="NA159" s="262"/>
      <c r="NB159" s="262"/>
      <c r="NC159" s="262"/>
      <c r="ND159" s="262"/>
      <c r="NE159" s="262"/>
      <c r="NF159" s="262"/>
      <c r="NG159" s="262"/>
      <c r="NH159" s="262"/>
      <c r="NI159" s="262"/>
      <c r="NJ159" s="262"/>
      <c r="NK159" s="262"/>
      <c r="NL159" s="262"/>
      <c r="NM159" s="262"/>
      <c r="NN159" s="262"/>
      <c r="NO159" s="262"/>
      <c r="NP159" s="262"/>
      <c r="NQ159" s="262"/>
      <c r="NR159" s="262"/>
      <c r="NS159" s="262"/>
      <c r="NT159" s="262"/>
      <c r="NU159" s="262"/>
      <c r="NV159" s="262"/>
      <c r="NW159" s="262"/>
      <c r="NX159" s="262"/>
      <c r="NY159" s="262"/>
      <c r="NZ159" s="262"/>
      <c r="OA159" s="262"/>
      <c r="OB159" s="262"/>
      <c r="OC159" s="262"/>
      <c r="OD159" s="262"/>
      <c r="OE159" s="262"/>
      <c r="OF159" s="262"/>
      <c r="OG159" s="262"/>
      <c r="OH159" s="262"/>
      <c r="OI159" s="262"/>
      <c r="OJ159" s="262"/>
      <c r="OK159" s="262"/>
      <c r="OL159" s="262"/>
      <c r="OM159" s="262"/>
      <c r="ON159" s="262"/>
      <c r="OO159" s="262"/>
      <c r="OP159" s="262"/>
      <c r="OQ159" s="262"/>
      <c r="OR159" s="262"/>
      <c r="OS159" s="262"/>
      <c r="OT159" s="262"/>
      <c r="OU159" s="262"/>
      <c r="OV159" s="262"/>
      <c r="OW159" s="262"/>
      <c r="OX159" s="262"/>
      <c r="OY159" s="262"/>
      <c r="OZ159" s="262"/>
      <c r="PA159" s="262"/>
      <c r="PB159" s="262"/>
      <c r="PC159" s="262"/>
      <c r="PD159" s="262"/>
      <c r="PE159" s="262"/>
      <c r="PF159" s="262"/>
      <c r="PG159" s="262"/>
      <c r="PH159" s="262"/>
    </row>
    <row r="160" spans="1:424" x14ac:dyDescent="0.35">
      <c r="A160"/>
      <c r="B160" s="497" t="s">
        <v>329</v>
      </c>
      <c r="C160" s="497"/>
      <c r="D160" s="497"/>
      <c r="E160" s="498" t="s">
        <v>330</v>
      </c>
      <c r="F160" s="499" t="s">
        <v>331</v>
      </c>
      <c r="G160" s="500" t="s">
        <v>332</v>
      </c>
      <c r="H160" s="498"/>
      <c r="I160" s="498"/>
      <c r="J160" s="395"/>
      <c r="K160" s="497" t="s">
        <v>333</v>
      </c>
      <c r="L160" s="497"/>
      <c r="M160" s="497"/>
      <c r="N160" s="497"/>
      <c r="O160" s="501"/>
      <c r="P160" s="501"/>
      <c r="Q160" s="501"/>
      <c r="R160" s="501"/>
      <c r="S160" s="289"/>
      <c r="T160" s="289"/>
      <c r="U160" s="289"/>
      <c r="V160" s="501" t="s">
        <v>334</v>
      </c>
      <c r="W160" s="289">
        <f>Timing_Reversion_Month</f>
        <v>61</v>
      </c>
      <c r="X160" s="396"/>
      <c r="Y160" s="396"/>
      <c r="Z160" s="396"/>
      <c r="AA160" s="396"/>
      <c r="AB160" s="396"/>
      <c r="AC160" s="396"/>
      <c r="AD160" s="396"/>
      <c r="AE160" s="396"/>
      <c r="AF160" s="396"/>
      <c r="AG160" s="396"/>
      <c r="AH160" s="396"/>
      <c r="AI160" s="396"/>
      <c r="AJ160" s="396"/>
      <c r="AK160" s="396"/>
      <c r="AL160" s="396"/>
      <c r="AM160" s="396"/>
      <c r="AN160" s="396"/>
      <c r="AO160" s="396"/>
      <c r="AP160" s="396"/>
      <c r="AQ160" s="396"/>
      <c r="AR160" s="396"/>
      <c r="AS160" s="396"/>
      <c r="AT160" s="396"/>
      <c r="AU160" s="396"/>
      <c r="AV160" s="396"/>
      <c r="AW160" s="396"/>
      <c r="AX160" s="396"/>
      <c r="AY160" s="396"/>
      <c r="AZ160" s="396"/>
      <c r="BA160" s="396"/>
      <c r="BB160" s="396"/>
      <c r="BC160" s="396"/>
      <c r="BD160" s="396"/>
      <c r="BE160" s="396"/>
      <c r="BF160" s="396"/>
      <c r="BG160" s="396"/>
      <c r="BH160" s="396"/>
      <c r="BI160" s="396"/>
      <c r="BJ160" s="396"/>
      <c r="BK160" s="396"/>
      <c r="BL160" s="396"/>
      <c r="BM160" s="396"/>
      <c r="BN160" s="396"/>
      <c r="BO160" s="396"/>
      <c r="BP160" s="396"/>
      <c r="BQ160" s="396"/>
      <c r="BR160" s="396"/>
      <c r="BS160" s="396"/>
      <c r="BT160" s="396"/>
      <c r="BU160" s="396"/>
      <c r="BV160" s="396"/>
      <c r="BW160" s="396"/>
      <c r="BX160" s="396"/>
      <c r="BY160" s="396"/>
      <c r="BZ160" s="396"/>
      <c r="CA160" s="396"/>
      <c r="CB160" s="396"/>
      <c r="CC160" s="396"/>
      <c r="CD160" s="396"/>
      <c r="CE160" s="396"/>
      <c r="CF160" s="396"/>
      <c r="CG160" s="396"/>
      <c r="CH160" s="396"/>
      <c r="CI160" s="396"/>
      <c r="CJ160" s="396"/>
      <c r="CK160" s="396"/>
      <c r="CL160" s="396"/>
      <c r="CM160" s="396"/>
      <c r="CN160" s="396"/>
      <c r="CO160" s="396"/>
      <c r="CP160" s="396"/>
      <c r="CQ160" s="396"/>
      <c r="CR160" s="396"/>
      <c r="CS160" s="396"/>
      <c r="CT160" s="396"/>
      <c r="CU160" s="396"/>
      <c r="CV160" s="396"/>
      <c r="CW160" s="396"/>
      <c r="CX160" s="396"/>
      <c r="CY160" s="396"/>
      <c r="CZ160" s="396"/>
      <c r="DA160" s="396"/>
      <c r="DB160" s="396"/>
      <c r="DC160" s="396"/>
      <c r="DD160" s="396"/>
      <c r="DE160" s="396"/>
      <c r="DF160" s="396"/>
      <c r="DG160" s="396"/>
      <c r="DH160" s="396"/>
      <c r="DI160" s="396"/>
      <c r="DJ160" s="396"/>
      <c r="DK160" s="396"/>
      <c r="DL160" s="396"/>
      <c r="DM160" s="396"/>
      <c r="DN160" s="396"/>
      <c r="DO160" s="396"/>
      <c r="DP160" s="396"/>
      <c r="DQ160" s="396"/>
      <c r="DR160" s="396"/>
      <c r="DS160" s="396"/>
      <c r="DT160" s="396"/>
      <c r="DU160" s="396"/>
      <c r="DV160" s="396"/>
      <c r="DW160" s="396"/>
      <c r="DX160" s="396"/>
      <c r="DY160" s="396"/>
      <c r="DZ160" s="396"/>
      <c r="EA160" s="396"/>
      <c r="EB160" s="396"/>
      <c r="EC160" s="396"/>
      <c r="ED160" s="396"/>
      <c r="EE160" s="396"/>
      <c r="EF160" s="396"/>
      <c r="EG160" s="396"/>
      <c r="EH160" s="396"/>
      <c r="EI160" s="396"/>
      <c r="EJ160" s="396"/>
      <c r="EK160" s="396"/>
      <c r="EL160" s="396"/>
      <c r="EM160" s="396"/>
      <c r="EN160" s="396"/>
      <c r="EO160" s="396"/>
      <c r="EP160" s="219"/>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c r="JZ160" s="262"/>
      <c r="KA160" s="262"/>
      <c r="KB160" s="262"/>
      <c r="KC160" s="262"/>
      <c r="KD160" s="262"/>
      <c r="KE160" s="262"/>
      <c r="KF160" s="262"/>
      <c r="KG160" s="262"/>
      <c r="KH160" s="262"/>
      <c r="KI160" s="262"/>
      <c r="KJ160" s="262"/>
      <c r="KK160" s="262"/>
      <c r="KL160" s="262"/>
      <c r="KM160" s="262"/>
      <c r="KN160" s="262"/>
      <c r="KO160" s="262"/>
      <c r="KP160" s="262"/>
      <c r="KQ160" s="262"/>
      <c r="KR160" s="262"/>
      <c r="KS160" s="262"/>
      <c r="KT160" s="262"/>
      <c r="KU160" s="262"/>
      <c r="KV160" s="262"/>
      <c r="KW160" s="262"/>
      <c r="KX160" s="262"/>
      <c r="KY160" s="262"/>
      <c r="KZ160" s="262"/>
      <c r="LA160" s="262"/>
      <c r="LB160" s="262"/>
      <c r="LC160" s="262"/>
      <c r="LD160" s="262"/>
      <c r="LE160" s="262"/>
      <c r="LF160" s="262"/>
      <c r="LG160" s="262"/>
      <c r="LH160" s="262"/>
      <c r="LI160" s="262"/>
      <c r="LJ160" s="262"/>
      <c r="LK160" s="262"/>
      <c r="LL160" s="262"/>
      <c r="LM160" s="262"/>
      <c r="LN160" s="262"/>
      <c r="LO160" s="262"/>
      <c r="LP160" s="262"/>
      <c r="LQ160" s="262"/>
      <c r="LR160" s="262"/>
      <c r="LS160" s="262"/>
      <c r="LT160" s="262"/>
      <c r="LU160" s="262"/>
      <c r="LV160" s="262"/>
      <c r="LW160" s="262"/>
      <c r="LX160" s="262"/>
      <c r="LY160" s="262"/>
      <c r="LZ160" s="262"/>
      <c r="MA160" s="262"/>
      <c r="MB160" s="262"/>
      <c r="MC160" s="262"/>
      <c r="MD160" s="262"/>
      <c r="ME160" s="262"/>
      <c r="MF160" s="262"/>
      <c r="MG160" s="262"/>
      <c r="MH160" s="262"/>
      <c r="MI160" s="262"/>
      <c r="MJ160" s="262"/>
      <c r="MK160" s="262"/>
      <c r="ML160" s="262"/>
      <c r="MM160" s="262"/>
      <c r="MN160" s="262"/>
      <c r="MO160" s="262"/>
      <c r="MP160" s="262"/>
      <c r="MQ160" s="262"/>
      <c r="MR160" s="262"/>
      <c r="MS160" s="262"/>
      <c r="MT160" s="262"/>
      <c r="MU160" s="262"/>
      <c r="MV160" s="262"/>
      <c r="MW160" s="262"/>
      <c r="MX160" s="262"/>
      <c r="MY160" s="262"/>
      <c r="MZ160" s="262"/>
      <c r="NA160" s="262"/>
      <c r="NB160" s="262"/>
      <c r="NC160" s="262"/>
      <c r="ND160" s="262"/>
      <c r="NE160" s="262"/>
      <c r="NF160" s="262"/>
      <c r="NG160" s="262"/>
      <c r="NH160" s="262"/>
      <c r="NI160" s="262"/>
      <c r="NJ160" s="262"/>
      <c r="NK160" s="262"/>
      <c r="NL160" s="262"/>
      <c r="NM160" s="262"/>
      <c r="NN160" s="262"/>
      <c r="NO160" s="262"/>
      <c r="NP160" s="262"/>
      <c r="NQ160" s="262"/>
      <c r="NR160" s="262"/>
      <c r="NS160" s="262"/>
      <c r="NT160" s="262"/>
      <c r="NU160" s="262"/>
      <c r="NV160" s="262"/>
      <c r="NW160" s="262"/>
      <c r="NX160" s="262"/>
      <c r="NY160" s="262"/>
      <c r="NZ160" s="262"/>
      <c r="OA160" s="262"/>
      <c r="OB160" s="262"/>
      <c r="OC160" s="262"/>
      <c r="OD160" s="262"/>
      <c r="OE160" s="262"/>
      <c r="OF160" s="262"/>
      <c r="OG160" s="262"/>
      <c r="OH160" s="262"/>
      <c r="OI160" s="262"/>
      <c r="OJ160" s="262"/>
      <c r="OK160" s="262"/>
      <c r="OL160" s="262"/>
      <c r="OM160" s="262"/>
      <c r="ON160" s="262"/>
      <c r="OO160" s="262"/>
      <c r="OP160" s="262"/>
      <c r="OQ160" s="262"/>
      <c r="OR160" s="262"/>
      <c r="OS160" s="262"/>
      <c r="OT160" s="262"/>
      <c r="OU160" s="262"/>
      <c r="OV160" s="262"/>
      <c r="OW160" s="262"/>
      <c r="OX160" s="262"/>
      <c r="OY160" s="262"/>
      <c r="OZ160" s="262"/>
      <c r="PA160" s="262"/>
      <c r="PB160" s="262"/>
      <c r="PC160" s="262"/>
      <c r="PD160" s="262"/>
      <c r="PE160" s="262"/>
      <c r="PF160" s="262"/>
      <c r="PG160" s="262"/>
      <c r="PH160" s="262"/>
    </row>
    <row r="161" spans="1:424" x14ac:dyDescent="0.35">
      <c r="A161"/>
      <c r="B161" s="34" t="s">
        <v>31</v>
      </c>
      <c r="C161" s="400"/>
      <c r="D161" s="191">
        <f>Timing_Construction_End</f>
        <v>36</v>
      </c>
      <c r="E161" s="400"/>
      <c r="F161" s="400"/>
      <c r="G161" s="502" t="s">
        <v>335</v>
      </c>
      <c r="H161" s="400"/>
      <c r="I161" s="838">
        <f>'URWLD COMPANY INPUTS'!$F$811</f>
        <v>6.5000000000000002E-2</v>
      </c>
      <c r="J161" s="395"/>
      <c r="K161" s="503" t="s">
        <v>336</v>
      </c>
      <c r="L161"/>
      <c r="M161" s="374" t="str">
        <f>"Rentable "&amp;Unit_Type</f>
        <v>Rentable M2</v>
      </c>
      <c r="N161" s="374"/>
      <c r="O161" s="374" t="s">
        <v>337</v>
      </c>
      <c r="P161" s="374" t="s">
        <v>338</v>
      </c>
      <c r="Q161"/>
      <c r="R161" s="374" t="str">
        <f>G161</f>
        <v>Market Cap Rate Today</v>
      </c>
      <c r="S161" s="374" t="s">
        <v>339</v>
      </c>
      <c r="T161" s="374" t="s">
        <v>340</v>
      </c>
      <c r="U161"/>
      <c r="V161" s="374" t="s">
        <v>341</v>
      </c>
      <c r="W161" s="374" t="s">
        <v>342</v>
      </c>
      <c r="X161" s="396"/>
      <c r="Y161" s="396"/>
      <c r="Z161" s="396"/>
      <c r="AA161" s="396"/>
      <c r="AB161" s="396"/>
      <c r="AC161" s="396"/>
      <c r="AD161" s="396"/>
      <c r="AE161" s="396"/>
      <c r="AF161" s="396"/>
      <c r="AG161" s="396"/>
      <c r="AH161" s="396"/>
      <c r="AI161" s="396"/>
      <c r="AJ161" s="396"/>
      <c r="AK161" s="396"/>
      <c r="AL161" s="396"/>
      <c r="AM161" s="396"/>
      <c r="AN161" s="396"/>
      <c r="AO161" s="396"/>
      <c r="AP161" s="396"/>
      <c r="AQ161" s="396"/>
      <c r="AR161" s="396"/>
      <c r="AS161" s="396"/>
      <c r="AT161" s="396"/>
      <c r="AU161" s="396"/>
      <c r="AV161" s="396"/>
      <c r="AW161" s="396"/>
      <c r="AX161" s="396"/>
      <c r="AY161" s="396"/>
      <c r="AZ161" s="396"/>
      <c r="BA161" s="396"/>
      <c r="BB161" s="396"/>
      <c r="BC161" s="396"/>
      <c r="BD161" s="396"/>
      <c r="BE161" s="396"/>
      <c r="BF161" s="396"/>
      <c r="BG161" s="396"/>
      <c r="BH161" s="396"/>
      <c r="BI161" s="396"/>
      <c r="BJ161" s="396"/>
      <c r="BK161" s="396"/>
      <c r="BL161" s="396"/>
      <c r="BM161" s="396"/>
      <c r="BN161" s="396"/>
      <c r="BO161" s="396"/>
      <c r="BP161" s="396"/>
      <c r="BQ161" s="396"/>
      <c r="BR161" s="396"/>
      <c r="BS161" s="396"/>
      <c r="BT161" s="396"/>
      <c r="BU161" s="396"/>
      <c r="BV161" s="396"/>
      <c r="BW161" s="396"/>
      <c r="BX161" s="396"/>
      <c r="BY161" s="396"/>
      <c r="BZ161" s="396"/>
      <c r="CA161" s="396"/>
      <c r="CB161" s="396"/>
      <c r="CC161" s="396"/>
      <c r="CD161" s="396"/>
      <c r="CE161" s="396"/>
      <c r="CF161" s="396"/>
      <c r="CG161" s="396"/>
      <c r="CH161" s="396"/>
      <c r="CI161" s="396"/>
      <c r="CJ161" s="396"/>
      <c r="CK161" s="396"/>
      <c r="CL161" s="396"/>
      <c r="CM161" s="396"/>
      <c r="CN161" s="396"/>
      <c r="CO161" s="396"/>
      <c r="CP161" s="396"/>
      <c r="CQ161" s="396"/>
      <c r="CR161" s="396"/>
      <c r="CS161" s="396"/>
      <c r="CT161" s="396"/>
      <c r="CU161" s="396"/>
      <c r="CV161" s="396"/>
      <c r="CW161" s="396"/>
      <c r="CX161" s="396"/>
      <c r="CY161" s="396"/>
      <c r="CZ161" s="396"/>
      <c r="DA161" s="396"/>
      <c r="DB161" s="396"/>
      <c r="DC161" s="396"/>
      <c r="DD161" s="396"/>
      <c r="DE161" s="396"/>
      <c r="DF161" s="396"/>
      <c r="DG161" s="396"/>
      <c r="DH161" s="396"/>
      <c r="DI161" s="396"/>
      <c r="DJ161" s="396"/>
      <c r="DK161" s="396"/>
      <c r="DL161" s="396"/>
      <c r="DM161" s="396"/>
      <c r="DN161" s="396"/>
      <c r="DO161" s="396"/>
      <c r="DP161" s="396"/>
      <c r="DQ161" s="396"/>
      <c r="DR161" s="396"/>
      <c r="DS161" s="396"/>
      <c r="DT161" s="396"/>
      <c r="DU161" s="396"/>
      <c r="DV161" s="396"/>
      <c r="DW161" s="396"/>
      <c r="DX161" s="396"/>
      <c r="DY161" s="396"/>
      <c r="DZ161" s="396"/>
      <c r="EA161" s="396"/>
      <c r="EB161" s="396"/>
      <c r="EC161" s="396"/>
      <c r="ED161" s="396"/>
      <c r="EE161" s="396"/>
      <c r="EF161" s="396"/>
      <c r="EG161" s="396"/>
      <c r="EH161" s="396"/>
      <c r="EI161" s="396"/>
      <c r="EJ161" s="396"/>
      <c r="EK161" s="396"/>
      <c r="EL161" s="396"/>
      <c r="EM161" s="396"/>
      <c r="EN161" s="396"/>
      <c r="EO161" s="396"/>
      <c r="EP161" s="219"/>
      <c r="EQ161" s="18"/>
      <c r="ER161" s="18"/>
      <c r="ES161" s="18"/>
      <c r="ET161" s="18"/>
      <c r="EU161" s="18"/>
      <c r="EV161" s="18"/>
      <c r="EW161" s="18"/>
      <c r="EX161" s="18"/>
      <c r="EY161" s="18"/>
      <c r="EZ161" s="18"/>
      <c r="FA161" s="18"/>
      <c r="FB161" s="18"/>
      <c r="FC161" s="18"/>
      <c r="FD161" s="18"/>
      <c r="FE161" s="18"/>
      <c r="FF161" s="18"/>
      <c r="FG161" s="18"/>
      <c r="FH161" s="18"/>
      <c r="FI161" s="18"/>
      <c r="FJ161" s="18"/>
      <c r="FK161" s="18"/>
      <c r="FL161" s="18"/>
      <c r="FM161" s="18"/>
      <c r="FN161" s="18"/>
      <c r="FO161" s="18"/>
      <c r="FP161" s="18"/>
      <c r="FQ161" s="18"/>
      <c r="FR161" s="18"/>
      <c r="FS161" s="18"/>
      <c r="FT161" s="18"/>
      <c r="FU161" s="18"/>
      <c r="FV161" s="18"/>
      <c r="FW161" s="18"/>
      <c r="FX161" s="18"/>
      <c r="FY161" s="18"/>
      <c r="FZ161" s="18"/>
      <c r="GA161" s="18"/>
      <c r="GB161" s="18"/>
      <c r="GC161" s="18"/>
      <c r="GD161" s="18"/>
      <c r="GE161" s="18"/>
      <c r="GF161" s="18"/>
      <c r="GG161" s="18"/>
      <c r="GH161" s="18"/>
      <c r="GI161" s="18"/>
      <c r="GJ161" s="18"/>
      <c r="GK161" s="18"/>
      <c r="GL161" s="18"/>
      <c r="GM161" s="18"/>
      <c r="GN161" s="18"/>
      <c r="GO161" s="18"/>
      <c r="GP161" s="18"/>
      <c r="GQ161" s="18"/>
      <c r="GR161" s="18"/>
      <c r="GS161" s="18"/>
      <c r="GT161" s="18"/>
      <c r="GU161" s="18"/>
      <c r="GV161" s="18"/>
      <c r="GW161" s="18"/>
      <c r="GX161" s="18"/>
      <c r="GY161" s="18"/>
      <c r="GZ161" s="18"/>
      <c r="HA161" s="18"/>
      <c r="HB161" s="18"/>
      <c r="HC161" s="18"/>
      <c r="HD161" s="18"/>
      <c r="HE161" s="18"/>
      <c r="HF161" s="18"/>
      <c r="HG161" s="18"/>
      <c r="HH161" s="18"/>
      <c r="HI161" s="18"/>
      <c r="HJ161" s="18"/>
      <c r="HK161" s="18"/>
      <c r="HL161" s="18"/>
      <c r="HM161" s="18"/>
      <c r="HN161" s="18"/>
      <c r="HO161" s="18"/>
      <c r="HP161" s="18"/>
      <c r="HQ161" s="18"/>
      <c r="HR161" s="18"/>
      <c r="HS161" s="18"/>
      <c r="HT161" s="18"/>
      <c r="HU161" s="18"/>
      <c r="HV161" s="18"/>
      <c r="HW161" s="18"/>
      <c r="HX161" s="18"/>
      <c r="HY161" s="18"/>
      <c r="HZ161" s="18"/>
      <c r="IA161" s="18"/>
      <c r="IB161" s="18"/>
      <c r="IC161" s="18"/>
      <c r="ID161" s="18"/>
      <c r="IE161" s="18"/>
      <c r="IF161" s="18"/>
      <c r="IG161" s="18"/>
      <c r="IH161" s="18"/>
      <c r="II161" s="18"/>
      <c r="IJ161" s="18"/>
      <c r="IK161" s="18"/>
      <c r="IL161" s="18"/>
      <c r="IM161" s="18"/>
      <c r="IN161" s="18"/>
      <c r="IO161" s="18"/>
      <c r="IP161" s="18"/>
      <c r="IQ161" s="18"/>
      <c r="IR161" s="18"/>
      <c r="IS161" s="18"/>
      <c r="IT161" s="18"/>
      <c r="IU161" s="18"/>
      <c r="IV161" s="18"/>
      <c r="IW161" s="18"/>
      <c r="IX161" s="18"/>
      <c r="IY161" s="18"/>
      <c r="IZ161" s="18"/>
      <c r="JA161" s="18"/>
      <c r="JB161" s="18"/>
      <c r="JC161" s="18"/>
      <c r="JD161" s="18"/>
      <c r="JE161" s="18"/>
      <c r="JF161" s="18"/>
      <c r="JG161" s="18"/>
      <c r="JH161" s="18"/>
      <c r="JI161" s="18"/>
      <c r="JJ161" s="18"/>
      <c r="JK161" s="18"/>
      <c r="JL161" s="18"/>
      <c r="JM161" s="18"/>
      <c r="JN161" s="18"/>
      <c r="JO161" s="18"/>
      <c r="JP161" s="18"/>
      <c r="JQ161" s="18"/>
      <c r="JR161" s="18"/>
      <c r="JS161" s="18"/>
      <c r="JT161" s="18"/>
      <c r="JU161" s="18"/>
      <c r="JV161" s="18"/>
      <c r="JW161" s="18"/>
      <c r="JX161" s="18"/>
      <c r="JY161"/>
      <c r="JZ161" s="262"/>
      <c r="KA161" s="262"/>
      <c r="KB161" s="262"/>
      <c r="KC161" s="262"/>
      <c r="KD161" s="262"/>
      <c r="KE161" s="262"/>
      <c r="KF161" s="262"/>
      <c r="KG161" s="262"/>
      <c r="KH161" s="262"/>
      <c r="KI161" s="262"/>
      <c r="KJ161" s="262"/>
      <c r="KK161" s="262"/>
      <c r="KL161" s="262"/>
      <c r="KM161" s="262"/>
      <c r="KN161" s="262"/>
      <c r="KO161" s="262"/>
      <c r="KP161" s="262"/>
      <c r="KQ161" s="262"/>
      <c r="KR161" s="262"/>
      <c r="KS161" s="262"/>
      <c r="KT161" s="262"/>
      <c r="KU161" s="262"/>
      <c r="KV161" s="262"/>
      <c r="KW161" s="262"/>
      <c r="KX161" s="262"/>
      <c r="KY161" s="262"/>
      <c r="KZ161" s="262"/>
      <c r="LA161" s="262"/>
      <c r="LB161" s="262"/>
      <c r="LC161" s="262"/>
      <c r="LD161" s="262"/>
      <c r="LE161" s="262"/>
      <c r="LF161" s="262"/>
      <c r="LG161" s="262"/>
      <c r="LH161" s="262"/>
      <c r="LI161" s="262"/>
      <c r="LJ161" s="262"/>
      <c r="LK161" s="262"/>
      <c r="LL161" s="262"/>
      <c r="LM161" s="262"/>
      <c r="LN161" s="262"/>
      <c r="LO161" s="262"/>
      <c r="LP161" s="262"/>
      <c r="LQ161" s="262"/>
      <c r="LR161" s="262"/>
      <c r="LS161" s="262"/>
      <c r="LT161" s="262"/>
      <c r="LU161" s="262"/>
      <c r="LV161" s="262"/>
      <c r="LW161" s="262"/>
      <c r="LX161" s="262"/>
      <c r="LY161" s="262"/>
      <c r="LZ161" s="262"/>
      <c r="MA161" s="262"/>
      <c r="MB161" s="262"/>
      <c r="MC161" s="262"/>
      <c r="MD161" s="262"/>
      <c r="ME161" s="262"/>
      <c r="MF161" s="262"/>
      <c r="MG161" s="262"/>
      <c r="MH161" s="262"/>
      <c r="MI161" s="262"/>
      <c r="MJ161" s="262"/>
      <c r="MK161" s="262"/>
      <c r="ML161" s="262"/>
      <c r="MM161" s="262"/>
      <c r="MN161" s="262"/>
      <c r="MO161" s="262"/>
      <c r="MP161" s="262"/>
      <c r="MQ161" s="262"/>
      <c r="MR161" s="262"/>
      <c r="MS161" s="262"/>
      <c r="MT161" s="262"/>
      <c r="MU161" s="262"/>
      <c r="MV161" s="262"/>
      <c r="MW161" s="262"/>
      <c r="MX161" s="262"/>
      <c r="MY161" s="262"/>
      <c r="MZ161" s="262"/>
      <c r="NA161" s="262"/>
      <c r="NB161" s="262"/>
      <c r="NC161" s="262"/>
      <c r="ND161" s="262"/>
      <c r="NE161" s="262"/>
      <c r="NF161" s="262"/>
      <c r="NG161" s="262"/>
      <c r="NH161" s="262"/>
      <c r="NI161" s="262"/>
      <c r="NJ161" s="262"/>
      <c r="NK161" s="262"/>
      <c r="NL161" s="262"/>
      <c r="NM161" s="262"/>
      <c r="NN161" s="262"/>
      <c r="NO161" s="262"/>
      <c r="NP161" s="262"/>
      <c r="NQ161" s="262"/>
      <c r="NR161" s="262"/>
      <c r="NS161" s="262"/>
      <c r="NT161" s="262"/>
      <c r="NU161" s="262"/>
      <c r="NV161" s="262"/>
      <c r="NW161" s="262"/>
      <c r="NX161" s="262"/>
      <c r="NY161" s="262"/>
      <c r="NZ161" s="262"/>
      <c r="OA161" s="262"/>
      <c r="OB161" s="262"/>
      <c r="OC161" s="262"/>
      <c r="OD161" s="262"/>
      <c r="OE161" s="262"/>
      <c r="OF161" s="262"/>
      <c r="OG161" s="262"/>
      <c r="OH161" s="262"/>
      <c r="OI161" s="262"/>
      <c r="OJ161" s="262"/>
      <c r="OK161" s="262"/>
      <c r="OL161" s="262"/>
      <c r="OM161" s="262"/>
      <c r="ON161" s="262"/>
      <c r="OO161" s="262"/>
      <c r="OP161" s="262"/>
      <c r="OQ161" s="262"/>
      <c r="OR161" s="262"/>
      <c r="OS161" s="262"/>
      <c r="OT161" s="262"/>
      <c r="OU161" s="262"/>
      <c r="OV161" s="262"/>
      <c r="OW161" s="262"/>
      <c r="OX161" s="262"/>
      <c r="OY161" s="262"/>
      <c r="OZ161" s="262"/>
      <c r="PA161" s="262"/>
      <c r="PB161" s="262"/>
      <c r="PC161" s="262"/>
      <c r="PD161" s="262"/>
      <c r="PE161" s="262"/>
      <c r="PF161" s="262"/>
      <c r="PG161" s="262"/>
      <c r="PH161" s="262"/>
    </row>
    <row r="162" spans="1:424" x14ac:dyDescent="0.35">
      <c r="A162"/>
      <c r="B162" s="34" t="s">
        <v>34</v>
      </c>
      <c r="C162" s="400"/>
      <c r="D162" s="192">
        <f>Timing_Operation_Begin_Month</f>
        <v>37</v>
      </c>
      <c r="E162" s="502"/>
      <c r="F162" s="502"/>
      <c r="G162" s="502" t="s">
        <v>343</v>
      </c>
      <c r="H162" s="400"/>
      <c r="I162" s="838">
        <f>'URWLD COMPANY INPUTS'!$F$813</f>
        <v>6.7500000000000004E-2</v>
      </c>
      <c r="J162" s="395"/>
      <c r="K162" s="504" t="s">
        <v>344</v>
      </c>
      <c r="L162"/>
      <c r="M162" s="417">
        <f>Units-SUM(M163:M171)</f>
        <v>0</v>
      </c>
      <c r="N162" s="75"/>
      <c r="O162" s="417">
        <f>H179-SUM(O163:O171)</f>
        <v>0</v>
      </c>
      <c r="P162" s="417">
        <f>I179-SUM(P163:P171)</f>
        <v>0</v>
      </c>
      <c r="Q162"/>
      <c r="R162" s="290">
        <f>$I$161</f>
        <v>6.5000000000000002E-2</v>
      </c>
      <c r="S162" s="92">
        <f t="shared" ref="S162:S172" si="505">(Stabilization_1st_Month/Timing_Reversion_Month)*(T162-R162)+R162</f>
        <v>6.7008196721311475E-2</v>
      </c>
      <c r="T162" s="290">
        <f>$I$162</f>
        <v>6.7500000000000004E-2</v>
      </c>
      <c r="U162"/>
      <c r="V162" s="417">
        <f>O162/S162</f>
        <v>0</v>
      </c>
      <c r="W162" s="417">
        <f>P162/T162</f>
        <v>0</v>
      </c>
      <c r="X162" s="396"/>
      <c r="Y162" s="396"/>
      <c r="Z162" s="396"/>
      <c r="AA162" s="396"/>
      <c r="AB162" s="396"/>
      <c r="AC162" s="396"/>
      <c r="AD162" s="396"/>
      <c r="AE162" s="396"/>
      <c r="AF162" s="396"/>
      <c r="AG162" s="396"/>
      <c r="AH162" s="396"/>
      <c r="AI162" s="396"/>
      <c r="AJ162" s="396"/>
      <c r="AK162" s="396"/>
      <c r="AL162" s="396"/>
      <c r="AM162" s="396"/>
      <c r="AN162" s="396"/>
      <c r="AO162" s="396"/>
      <c r="AP162" s="396"/>
      <c r="AQ162" s="396"/>
      <c r="AR162" s="396"/>
      <c r="AS162" s="396"/>
      <c r="AT162" s="396"/>
      <c r="AU162" s="396"/>
      <c r="AV162" s="396"/>
      <c r="AW162" s="396"/>
      <c r="AX162" s="396"/>
      <c r="AY162" s="396"/>
      <c r="AZ162" s="396"/>
      <c r="BA162" s="396"/>
      <c r="BB162" s="396"/>
      <c r="BC162" s="396"/>
      <c r="BD162" s="396"/>
      <c r="BE162" s="396"/>
      <c r="BF162" s="396"/>
      <c r="BG162" s="396"/>
      <c r="BH162" s="396"/>
      <c r="BI162" s="396"/>
      <c r="BJ162" s="396"/>
      <c r="BK162" s="396"/>
      <c r="BL162" s="396"/>
      <c r="BM162" s="396"/>
      <c r="BN162" s="396"/>
      <c r="BO162" s="396"/>
      <c r="BP162" s="396"/>
      <c r="BQ162" s="396"/>
      <c r="BR162" s="396"/>
      <c r="BS162" s="396"/>
      <c r="BT162" s="396"/>
      <c r="BU162" s="396"/>
      <c r="BV162" s="396"/>
      <c r="BW162" s="396"/>
      <c r="BX162" s="396"/>
      <c r="BY162" s="396"/>
      <c r="BZ162" s="396"/>
      <c r="CA162" s="396"/>
      <c r="CB162" s="396"/>
      <c r="CC162" s="396"/>
      <c r="CD162" s="396"/>
      <c r="CE162" s="396"/>
      <c r="CF162" s="396"/>
      <c r="CG162" s="396"/>
      <c r="CH162" s="396"/>
      <c r="CI162" s="396"/>
      <c r="CJ162" s="396"/>
      <c r="CK162" s="396"/>
      <c r="CL162" s="396"/>
      <c r="CM162" s="396"/>
      <c r="CN162" s="396"/>
      <c r="CO162" s="396"/>
      <c r="CP162" s="396"/>
      <c r="CQ162" s="396"/>
      <c r="CR162" s="396"/>
      <c r="CS162" s="396"/>
      <c r="CT162" s="396"/>
      <c r="CU162" s="396"/>
      <c r="CV162" s="396"/>
      <c r="CW162" s="396"/>
      <c r="CX162" s="396"/>
      <c r="CY162" s="396"/>
      <c r="CZ162" s="396"/>
      <c r="DA162" s="396"/>
      <c r="DB162" s="396"/>
      <c r="DC162" s="396"/>
      <c r="DD162" s="396"/>
      <c r="DE162" s="396"/>
      <c r="DF162" s="396"/>
      <c r="DG162" s="396"/>
      <c r="DH162" s="396"/>
      <c r="DI162" s="396"/>
      <c r="DJ162" s="396"/>
      <c r="DK162" s="396"/>
      <c r="DL162" s="396"/>
      <c r="DM162" s="396"/>
      <c r="DN162" s="396"/>
      <c r="DO162" s="396"/>
      <c r="DP162" s="396"/>
      <c r="DQ162" s="396"/>
      <c r="DR162" s="396"/>
      <c r="DS162" s="396"/>
      <c r="DT162" s="396"/>
      <c r="DU162" s="396"/>
      <c r="DV162" s="396"/>
      <c r="DW162" s="396"/>
      <c r="DX162" s="396"/>
      <c r="DY162" s="396"/>
      <c r="DZ162" s="396"/>
      <c r="EA162" s="396"/>
      <c r="EB162" s="396"/>
      <c r="EC162" s="396"/>
      <c r="ED162" s="396"/>
      <c r="EE162" s="396"/>
      <c r="EF162" s="396"/>
      <c r="EG162" s="396"/>
      <c r="EH162" s="396"/>
      <c r="EI162" s="396"/>
      <c r="EJ162" s="396"/>
      <c r="EK162" s="396"/>
      <c r="EL162" s="396"/>
      <c r="EM162" s="396"/>
      <c r="EN162" s="396"/>
      <c r="EO162" s="396"/>
      <c r="EP162" s="219"/>
      <c r="EQ162" s="18"/>
      <c r="ER162" s="18"/>
      <c r="ES162" s="18"/>
      <c r="ET162" s="18"/>
      <c r="EU162" s="18"/>
      <c r="EV162" s="18"/>
      <c r="EW162" s="18"/>
      <c r="EX162" s="18"/>
      <c r="EY162" s="18"/>
      <c r="EZ162" s="18"/>
      <c r="FA162" s="18"/>
      <c r="FB162" s="18"/>
      <c r="FC162" s="18"/>
      <c r="FD162" s="18"/>
      <c r="FE162" s="18"/>
      <c r="FF162" s="18"/>
      <c r="FG162" s="18"/>
      <c r="FH162" s="18"/>
      <c r="FI162" s="18"/>
      <c r="FJ162" s="18"/>
      <c r="FK162" s="18"/>
      <c r="FL162" s="18"/>
      <c r="FM162" s="18"/>
      <c r="FN162" s="18"/>
      <c r="FO162" s="18"/>
      <c r="FP162" s="18"/>
      <c r="FQ162" s="18"/>
      <c r="FR162" s="18"/>
      <c r="FS162" s="18"/>
      <c r="FT162" s="18"/>
      <c r="FU162" s="18"/>
      <c r="FV162" s="18"/>
      <c r="FW162" s="18"/>
      <c r="FX162" s="18"/>
      <c r="FY162" s="18"/>
      <c r="FZ162" s="18"/>
      <c r="GA162" s="18"/>
      <c r="GB162" s="18"/>
      <c r="GC162" s="18"/>
      <c r="GD162" s="18"/>
      <c r="GE162" s="18"/>
      <c r="GF162" s="18"/>
      <c r="GG162" s="18"/>
      <c r="GH162" s="18"/>
      <c r="GI162" s="18"/>
      <c r="GJ162" s="18"/>
      <c r="GK162" s="18"/>
      <c r="GL162" s="18"/>
      <c r="GM162" s="18"/>
      <c r="GN162" s="18"/>
      <c r="GO162" s="18"/>
      <c r="GP162" s="18"/>
      <c r="GQ162" s="18"/>
      <c r="GR162" s="18"/>
      <c r="GS162" s="18"/>
      <c r="GT162" s="18"/>
      <c r="GU162" s="18"/>
      <c r="GV162" s="18"/>
      <c r="GW162" s="18"/>
      <c r="GX162" s="18"/>
      <c r="GY162" s="18"/>
      <c r="GZ162" s="18"/>
      <c r="HA162" s="18"/>
      <c r="HB162" s="18"/>
      <c r="HC162" s="18"/>
      <c r="HD162" s="18"/>
      <c r="HE162" s="18"/>
      <c r="HF162" s="18"/>
      <c r="HG162" s="18"/>
      <c r="HH162" s="18"/>
      <c r="HI162" s="18"/>
      <c r="HJ162" s="18"/>
      <c r="HK162" s="18"/>
      <c r="HL162" s="18"/>
      <c r="HM162" s="18"/>
      <c r="HN162" s="18"/>
      <c r="HO162" s="18"/>
      <c r="HP162" s="18"/>
      <c r="HQ162" s="18"/>
      <c r="HR162" s="18"/>
      <c r="HS162" s="18"/>
      <c r="HT162" s="18"/>
      <c r="HU162" s="18"/>
      <c r="HV162" s="18"/>
      <c r="HW162" s="18"/>
      <c r="HX162" s="18"/>
      <c r="HY162" s="18"/>
      <c r="HZ162" s="18"/>
      <c r="IA162" s="18"/>
      <c r="IB162" s="18"/>
      <c r="IC162" s="18"/>
      <c r="ID162" s="18"/>
      <c r="IE162" s="18"/>
      <c r="IF162" s="18"/>
      <c r="IG162" s="18"/>
      <c r="IH162" s="18"/>
      <c r="II162" s="18"/>
      <c r="IJ162" s="18"/>
      <c r="IK162" s="18"/>
      <c r="IL162" s="18"/>
      <c r="IM162" s="18"/>
      <c r="IN162" s="18"/>
      <c r="IO162" s="18"/>
      <c r="IP162" s="18"/>
      <c r="IQ162" s="18"/>
      <c r="IR162" s="18"/>
      <c r="IS162" s="18"/>
      <c r="IT162" s="18"/>
      <c r="IU162" s="18"/>
      <c r="IV162" s="18"/>
      <c r="IW162" s="18"/>
      <c r="IX162" s="18"/>
      <c r="IY162" s="18"/>
      <c r="IZ162" s="18"/>
      <c r="JA162" s="18"/>
      <c r="JB162" s="18"/>
      <c r="JC162" s="18"/>
      <c r="JD162" s="18"/>
      <c r="JE162" s="18"/>
      <c r="JF162" s="18"/>
      <c r="JG162" s="18"/>
      <c r="JH162" s="18"/>
      <c r="JI162" s="18"/>
      <c r="JJ162" s="18"/>
      <c r="JK162" s="18"/>
      <c r="JL162" s="18"/>
      <c r="JM162" s="18"/>
      <c r="JN162" s="18"/>
      <c r="JO162" s="18"/>
      <c r="JP162" s="18"/>
      <c r="JQ162" s="18"/>
      <c r="JR162" s="18"/>
      <c r="JS162" s="18"/>
      <c r="JT162" s="18"/>
      <c r="JU162" s="18"/>
      <c r="JV162" s="18"/>
      <c r="JW162" s="18"/>
      <c r="JX162" s="18"/>
      <c r="JY162"/>
      <c r="JZ162" s="262"/>
      <c r="KA162" s="262"/>
      <c r="KB162" s="262"/>
      <c r="KC162" s="262"/>
      <c r="KD162" s="262"/>
      <c r="KE162" s="262"/>
      <c r="KF162" s="262"/>
      <c r="KG162" s="262"/>
      <c r="KH162" s="262"/>
      <c r="KI162" s="262"/>
      <c r="KJ162" s="262"/>
      <c r="KK162" s="262"/>
      <c r="KL162" s="262"/>
      <c r="KM162" s="262"/>
      <c r="KN162" s="262"/>
      <c r="KO162" s="262"/>
      <c r="KP162" s="262"/>
      <c r="KQ162" s="262"/>
      <c r="KR162" s="262"/>
      <c r="KS162" s="262"/>
      <c r="KT162" s="262"/>
      <c r="KU162" s="262"/>
      <c r="KV162" s="262"/>
      <c r="KW162" s="262"/>
      <c r="KX162" s="262"/>
      <c r="KY162" s="262"/>
      <c r="KZ162" s="262"/>
      <c r="LA162" s="262"/>
      <c r="LB162" s="262"/>
      <c r="LC162" s="262"/>
      <c r="LD162" s="262"/>
      <c r="LE162" s="262"/>
      <c r="LF162" s="262"/>
      <c r="LG162" s="262"/>
      <c r="LH162" s="262"/>
      <c r="LI162" s="262"/>
      <c r="LJ162" s="262"/>
      <c r="LK162" s="262"/>
      <c r="LL162" s="262"/>
      <c r="LM162" s="262"/>
      <c r="LN162" s="262"/>
      <c r="LO162" s="262"/>
      <c r="LP162" s="262"/>
      <c r="LQ162" s="262"/>
      <c r="LR162" s="262"/>
      <c r="LS162" s="262"/>
      <c r="LT162" s="262"/>
      <c r="LU162" s="262"/>
      <c r="LV162" s="262"/>
      <c r="LW162" s="262"/>
      <c r="LX162" s="262"/>
      <c r="LY162" s="262"/>
      <c r="LZ162" s="262"/>
      <c r="MA162" s="262"/>
      <c r="MB162" s="262"/>
      <c r="MC162" s="262"/>
      <c r="MD162" s="262"/>
      <c r="ME162" s="262"/>
      <c r="MF162" s="262"/>
      <c r="MG162" s="262"/>
      <c r="MH162" s="262"/>
      <c r="MI162" s="262"/>
      <c r="MJ162" s="262"/>
      <c r="MK162" s="262"/>
      <c r="ML162" s="262"/>
      <c r="MM162" s="262"/>
      <c r="MN162" s="262"/>
      <c r="MO162" s="262"/>
      <c r="MP162" s="262"/>
      <c r="MQ162" s="262"/>
      <c r="MR162" s="262"/>
      <c r="MS162" s="262"/>
      <c r="MT162" s="262"/>
      <c r="MU162" s="262"/>
      <c r="MV162" s="262"/>
      <c r="MW162" s="262"/>
      <c r="MX162" s="262"/>
      <c r="MY162" s="262"/>
      <c r="MZ162" s="262"/>
      <c r="NA162" s="262"/>
      <c r="NB162" s="262"/>
      <c r="NC162" s="262"/>
      <c r="ND162" s="262"/>
      <c r="NE162" s="262"/>
      <c r="NF162" s="262"/>
      <c r="NG162" s="262"/>
      <c r="NH162" s="262"/>
      <c r="NI162" s="262"/>
      <c r="NJ162" s="262"/>
      <c r="NK162" s="262"/>
      <c r="NL162" s="262"/>
      <c r="NM162" s="262"/>
      <c r="NN162" s="262"/>
      <c r="NO162" s="262"/>
      <c r="NP162" s="262"/>
      <c r="NQ162" s="262"/>
      <c r="NR162" s="262"/>
      <c r="NS162" s="262"/>
      <c r="NT162" s="262"/>
      <c r="NU162" s="262"/>
      <c r="NV162" s="262"/>
      <c r="NW162" s="262"/>
      <c r="NX162" s="262"/>
      <c r="NY162" s="262"/>
      <c r="NZ162" s="262"/>
      <c r="OA162" s="262"/>
      <c r="OB162" s="262"/>
      <c r="OC162" s="262"/>
      <c r="OD162" s="262"/>
      <c r="OE162" s="262"/>
      <c r="OF162" s="262"/>
      <c r="OG162" s="262"/>
      <c r="OH162" s="262"/>
      <c r="OI162" s="262"/>
      <c r="OJ162" s="262"/>
      <c r="OK162" s="262"/>
      <c r="OL162" s="262"/>
      <c r="OM162" s="262"/>
      <c r="ON162" s="262"/>
      <c r="OO162" s="262"/>
      <c r="OP162" s="262"/>
      <c r="OQ162" s="262"/>
      <c r="OR162" s="262"/>
      <c r="OS162" s="262"/>
      <c r="OT162" s="262"/>
      <c r="OU162" s="262"/>
      <c r="OV162" s="262"/>
      <c r="OW162" s="262"/>
      <c r="OX162" s="262"/>
      <c r="OY162" s="262"/>
      <c r="OZ162" s="262"/>
      <c r="PA162" s="262"/>
      <c r="PB162" s="262"/>
      <c r="PC162" s="262"/>
      <c r="PD162" s="262"/>
      <c r="PE162" s="262"/>
      <c r="PF162" s="262"/>
      <c r="PG162" s="262"/>
      <c r="PH162" s="262"/>
    </row>
    <row r="163" spans="1:424" x14ac:dyDescent="0.35">
      <c r="A163"/>
      <c r="B163" s="34" t="s">
        <v>229</v>
      </c>
      <c r="C163" s="400"/>
      <c r="D163" s="192">
        <f>Stabilization_1st_Month</f>
        <v>49</v>
      </c>
      <c r="E163" s="502"/>
      <c r="F163" s="502"/>
      <c r="G163" s="502" t="s">
        <v>345</v>
      </c>
      <c r="H163" s="400"/>
      <c r="I163" s="838">
        <f>'URWLD COMPANY INPUTS'!$F$818</f>
        <v>0.02</v>
      </c>
      <c r="J163" s="395"/>
      <c r="K163" s="295" t="str">
        <f>C93</f>
        <v>URWLD</v>
      </c>
      <c r="L163"/>
      <c r="M163" s="505">
        <f>E93</f>
        <v>21500</v>
      </c>
      <c r="N163" s="286"/>
      <c r="O163" s="505">
        <f>I93</f>
        <v>8600000</v>
      </c>
      <c r="P163" s="505">
        <f>O163</f>
        <v>8600000</v>
      </c>
      <c r="Q163"/>
      <c r="R163" s="290">
        <f>$I$161-0.25%</f>
        <v>6.25E-2</v>
      </c>
      <c r="S163" s="92">
        <f t="shared" si="505"/>
        <v>6.4508196721311473E-2</v>
      </c>
      <c r="T163" s="290">
        <f>$I$162-0.25%</f>
        <v>6.5000000000000002E-2</v>
      </c>
      <c r="U163"/>
      <c r="V163" s="417">
        <f t="shared" ref="V163:V171" si="506">IF(S163=0,"",O163/S163)</f>
        <v>133316391.35959339</v>
      </c>
      <c r="W163" s="417">
        <f t="shared" ref="W163:W171" si="507">P163/T163</f>
        <v>132307692.3076923</v>
      </c>
      <c r="X163" s="396"/>
      <c r="Y163" s="396"/>
      <c r="Z163" s="396"/>
      <c r="AA163" s="396"/>
      <c r="AB163" s="396"/>
      <c r="AC163" s="396"/>
      <c r="AD163" s="396"/>
      <c r="AE163" s="396"/>
      <c r="AF163" s="396"/>
      <c r="AG163" s="396"/>
      <c r="AH163" s="396"/>
      <c r="AI163" s="396"/>
      <c r="AJ163" s="396"/>
      <c r="AK163" s="396"/>
      <c r="AL163" s="396"/>
      <c r="AM163" s="396"/>
      <c r="AN163" s="396"/>
      <c r="AO163" s="396"/>
      <c r="AP163" s="396"/>
      <c r="AQ163" s="396"/>
      <c r="AR163" s="396"/>
      <c r="AS163" s="396"/>
      <c r="AT163" s="396"/>
      <c r="AU163" s="396"/>
      <c r="AV163" s="396"/>
      <c r="AW163" s="396"/>
      <c r="AX163" s="396"/>
      <c r="AY163" s="396"/>
      <c r="AZ163" s="396"/>
      <c r="BA163" s="396"/>
      <c r="BB163" s="396"/>
      <c r="BC163" s="396"/>
      <c r="BD163" s="396"/>
      <c r="BE163" s="396"/>
      <c r="BF163" s="396"/>
      <c r="BG163" s="396"/>
      <c r="BH163" s="396"/>
      <c r="BI163" s="396"/>
      <c r="BJ163" s="396"/>
      <c r="BK163" s="396"/>
      <c r="BL163" s="396"/>
      <c r="BM163" s="396"/>
      <c r="BN163" s="396"/>
      <c r="BO163" s="396"/>
      <c r="BP163" s="396"/>
      <c r="BQ163" s="396"/>
      <c r="BR163" s="396"/>
      <c r="BS163" s="396"/>
      <c r="BT163" s="396"/>
      <c r="BU163" s="396"/>
      <c r="BV163" s="396"/>
      <c r="BW163" s="396"/>
      <c r="BX163" s="396"/>
      <c r="BY163" s="396"/>
      <c r="BZ163" s="396"/>
      <c r="CA163" s="396"/>
      <c r="CB163" s="396"/>
      <c r="CC163" s="396"/>
      <c r="CD163" s="396"/>
      <c r="CE163" s="396"/>
      <c r="CF163" s="396"/>
      <c r="CG163" s="396"/>
      <c r="CH163" s="396"/>
      <c r="CI163" s="396"/>
      <c r="CJ163" s="396"/>
      <c r="CK163" s="396"/>
      <c r="CL163" s="396"/>
      <c r="CM163" s="396"/>
      <c r="CN163" s="396"/>
      <c r="CO163" s="396"/>
      <c r="CP163" s="396"/>
      <c r="CQ163" s="396"/>
      <c r="CR163" s="396"/>
      <c r="CS163" s="396"/>
      <c r="CT163" s="396"/>
      <c r="CU163" s="396"/>
      <c r="CV163" s="396"/>
      <c r="CW163" s="396"/>
      <c r="CX163" s="396"/>
      <c r="CY163" s="396"/>
      <c r="CZ163" s="396"/>
      <c r="DA163" s="396"/>
      <c r="DB163" s="396"/>
      <c r="DC163" s="396"/>
      <c r="DD163" s="396"/>
      <c r="DE163" s="396"/>
      <c r="DF163" s="396"/>
      <c r="DG163" s="396"/>
      <c r="DH163" s="396"/>
      <c r="DI163" s="396"/>
      <c r="DJ163" s="396"/>
      <c r="DK163" s="396"/>
      <c r="DL163" s="396"/>
      <c r="DM163" s="396"/>
      <c r="DN163" s="396"/>
      <c r="DO163" s="396"/>
      <c r="DP163" s="396"/>
      <c r="DQ163" s="396"/>
      <c r="DR163" s="396"/>
      <c r="DS163" s="396"/>
      <c r="DT163" s="396"/>
      <c r="DU163" s="396"/>
      <c r="DV163" s="396"/>
      <c r="DW163" s="396"/>
      <c r="DX163" s="396"/>
      <c r="DY163" s="396"/>
      <c r="DZ163" s="396"/>
      <c r="EA163" s="396"/>
      <c r="EB163" s="396"/>
      <c r="EC163" s="396"/>
      <c r="ED163" s="396"/>
      <c r="EE163" s="396"/>
      <c r="EF163" s="396"/>
      <c r="EG163" s="396"/>
      <c r="EH163" s="396"/>
      <c r="EI163" s="396"/>
      <c r="EJ163" s="396"/>
      <c r="EK163" s="396"/>
      <c r="EL163" s="396"/>
      <c r="EM163" s="396"/>
      <c r="EN163" s="396"/>
      <c r="EO163" s="396"/>
      <c r="EP163" s="219"/>
      <c r="EQ163" s="18"/>
      <c r="ER163" s="18"/>
      <c r="ES163" s="18"/>
      <c r="ET163" s="18"/>
      <c r="EU163" s="18"/>
      <c r="EV163" s="18"/>
      <c r="EW163" s="18"/>
      <c r="EX163" s="18"/>
      <c r="EY163" s="18"/>
      <c r="EZ163" s="18"/>
      <c r="FA163" s="18"/>
      <c r="FB163" s="18"/>
      <c r="FC163" s="18"/>
      <c r="FD163" s="18"/>
      <c r="FE163" s="18"/>
      <c r="FF163" s="18"/>
      <c r="FG163" s="18"/>
      <c r="FH163" s="18"/>
      <c r="FI163" s="18"/>
      <c r="FJ163" s="18"/>
      <c r="FK163" s="18"/>
      <c r="FL163" s="18"/>
      <c r="FM163" s="18"/>
      <c r="FN163" s="18"/>
      <c r="FO163" s="18"/>
      <c r="FP163" s="18"/>
      <c r="FQ163" s="18"/>
      <c r="FR163" s="18"/>
      <c r="FS163" s="18"/>
      <c r="FT163" s="18"/>
      <c r="FU163" s="18"/>
      <c r="FV163" s="18"/>
      <c r="FW163" s="18"/>
      <c r="FX163" s="18"/>
      <c r="FY163" s="18"/>
      <c r="FZ163" s="18"/>
      <c r="GA163" s="18"/>
      <c r="GB163" s="18"/>
      <c r="GC163" s="18"/>
      <c r="GD163" s="18"/>
      <c r="GE163" s="18"/>
      <c r="GF163" s="18"/>
      <c r="GG163" s="18"/>
      <c r="GH163" s="18"/>
      <c r="GI163" s="18"/>
      <c r="GJ163" s="18"/>
      <c r="GK163" s="18"/>
      <c r="GL163" s="18"/>
      <c r="GM163" s="18"/>
      <c r="GN163" s="18"/>
      <c r="GO163" s="18"/>
      <c r="GP163" s="18"/>
      <c r="GQ163" s="18"/>
      <c r="GR163" s="18"/>
      <c r="GS163" s="18"/>
      <c r="GT163" s="18"/>
      <c r="GU163" s="18"/>
      <c r="GV163" s="18"/>
      <c r="GW163" s="18"/>
      <c r="GX163" s="18"/>
      <c r="GY163" s="18"/>
      <c r="GZ163" s="18"/>
      <c r="HA163" s="18"/>
      <c r="HB163" s="18"/>
      <c r="HC163" s="18"/>
      <c r="HD163" s="18"/>
      <c r="HE163" s="18"/>
      <c r="HF163" s="18"/>
      <c r="HG163" s="18"/>
      <c r="HH163" s="18"/>
      <c r="HI163" s="18"/>
      <c r="HJ163" s="18"/>
      <c r="HK163" s="18"/>
      <c r="HL163" s="18"/>
      <c r="HM163" s="18"/>
      <c r="HN163" s="18"/>
      <c r="HO163" s="18"/>
      <c r="HP163" s="18"/>
      <c r="HQ163" s="18"/>
      <c r="HR163" s="18"/>
      <c r="HS163" s="18"/>
      <c r="HT163" s="18"/>
      <c r="HU163" s="18"/>
      <c r="HV163" s="18"/>
      <c r="HW163" s="18"/>
      <c r="HX163" s="18"/>
      <c r="HY163" s="18"/>
      <c r="HZ163" s="18"/>
      <c r="IA163" s="18"/>
      <c r="IB163" s="18"/>
      <c r="IC163" s="18"/>
      <c r="ID163" s="18"/>
      <c r="IE163" s="18"/>
      <c r="IF163" s="18"/>
      <c r="IG163" s="18"/>
      <c r="IH163" s="18"/>
      <c r="II163" s="18"/>
      <c r="IJ163" s="18"/>
      <c r="IK163" s="18"/>
      <c r="IL163" s="18"/>
      <c r="IM163" s="18"/>
      <c r="IN163" s="18"/>
      <c r="IO163" s="18"/>
      <c r="IP163" s="18"/>
      <c r="IQ163" s="18"/>
      <c r="IR163" s="18"/>
      <c r="IS163" s="18"/>
      <c r="IT163" s="18"/>
      <c r="IU163" s="18"/>
      <c r="IV163" s="18"/>
      <c r="IW163" s="18"/>
      <c r="IX163" s="18"/>
      <c r="IY163" s="18"/>
      <c r="IZ163" s="18"/>
      <c r="JA163" s="18"/>
      <c r="JB163" s="18"/>
      <c r="JC163" s="18"/>
      <c r="JD163" s="18"/>
      <c r="JE163" s="18"/>
      <c r="JF163" s="18"/>
      <c r="JG163" s="18"/>
      <c r="JH163" s="18"/>
      <c r="JI163" s="18"/>
      <c r="JJ163" s="18"/>
      <c r="JK163" s="18"/>
      <c r="JL163" s="18"/>
      <c r="JM163" s="18"/>
      <c r="JN163" s="18"/>
      <c r="JO163" s="18"/>
      <c r="JP163" s="18"/>
      <c r="JQ163" s="18"/>
      <c r="JR163" s="18"/>
      <c r="JS163" s="18"/>
      <c r="JT163" s="18"/>
      <c r="JU163" s="18"/>
      <c r="JV163" s="18"/>
      <c r="JW163" s="18"/>
      <c r="JX163" s="18"/>
      <c r="JY163"/>
      <c r="JZ163" s="262"/>
      <c r="KA163" s="262"/>
      <c r="KB163" s="262"/>
      <c r="KC163" s="262"/>
      <c r="KD163" s="262"/>
      <c r="KE163" s="262"/>
      <c r="KF163" s="262"/>
      <c r="KG163" s="262"/>
      <c r="KH163" s="262"/>
      <c r="KI163" s="262"/>
      <c r="KJ163" s="262"/>
      <c r="KK163" s="262"/>
      <c r="KL163" s="262"/>
      <c r="KM163" s="262"/>
      <c r="KN163" s="262"/>
      <c r="KO163" s="262"/>
      <c r="KP163" s="262"/>
      <c r="KQ163" s="262"/>
      <c r="KR163" s="262"/>
      <c r="KS163" s="262"/>
      <c r="KT163" s="262"/>
      <c r="KU163" s="262"/>
      <c r="KV163" s="262"/>
      <c r="KW163" s="262"/>
      <c r="KX163" s="262"/>
      <c r="KY163" s="262"/>
      <c r="KZ163" s="262"/>
      <c r="LA163" s="262"/>
      <c r="LB163" s="262"/>
      <c r="LC163" s="262"/>
      <c r="LD163" s="262"/>
      <c r="LE163" s="262"/>
      <c r="LF163" s="262"/>
      <c r="LG163" s="262"/>
      <c r="LH163" s="262"/>
      <c r="LI163" s="262"/>
      <c r="LJ163" s="262"/>
      <c r="LK163" s="262"/>
      <c r="LL163" s="262"/>
      <c r="LM163" s="262"/>
      <c r="LN163" s="262"/>
      <c r="LO163" s="262"/>
      <c r="LP163" s="262"/>
      <c r="LQ163" s="262"/>
      <c r="LR163" s="262"/>
      <c r="LS163" s="262"/>
      <c r="LT163" s="262"/>
      <c r="LU163" s="262"/>
      <c r="LV163" s="262"/>
      <c r="LW163" s="262"/>
      <c r="LX163" s="262"/>
      <c r="LY163" s="262"/>
      <c r="LZ163" s="262"/>
      <c r="MA163" s="262"/>
      <c r="MB163" s="262"/>
      <c r="MC163" s="262"/>
      <c r="MD163" s="262"/>
      <c r="ME163" s="262"/>
      <c r="MF163" s="262"/>
      <c r="MG163" s="262"/>
      <c r="MH163" s="262"/>
      <c r="MI163" s="262"/>
      <c r="MJ163" s="262"/>
      <c r="MK163" s="262"/>
      <c r="ML163" s="262"/>
      <c r="MM163" s="262"/>
      <c r="MN163" s="262"/>
      <c r="MO163" s="262"/>
      <c r="MP163" s="262"/>
      <c r="MQ163" s="262"/>
      <c r="MR163" s="262"/>
      <c r="MS163" s="262"/>
      <c r="MT163" s="262"/>
      <c r="MU163" s="262"/>
      <c r="MV163" s="262"/>
      <c r="MW163" s="262"/>
      <c r="MX163" s="262"/>
      <c r="MY163" s="262"/>
      <c r="MZ163" s="262"/>
      <c r="NA163" s="262"/>
      <c r="NB163" s="262"/>
      <c r="NC163" s="262"/>
      <c r="ND163" s="262"/>
      <c r="NE163" s="262"/>
      <c r="NF163" s="262"/>
      <c r="NG163" s="262"/>
      <c r="NH163" s="262"/>
      <c r="NI163" s="262"/>
      <c r="NJ163" s="262"/>
      <c r="NK163" s="262"/>
      <c r="NL163" s="262"/>
      <c r="NM163" s="262"/>
      <c r="NN163" s="262"/>
      <c r="NO163" s="262"/>
      <c r="NP163" s="262"/>
      <c r="NQ163" s="262"/>
      <c r="NR163" s="262"/>
      <c r="NS163" s="262"/>
      <c r="NT163" s="262"/>
      <c r="NU163" s="262"/>
      <c r="NV163" s="262"/>
      <c r="NW163" s="262"/>
      <c r="NX163" s="262"/>
      <c r="NY163" s="262"/>
      <c r="NZ163" s="262"/>
      <c r="OA163" s="262"/>
      <c r="OB163" s="262"/>
      <c r="OC163" s="262"/>
      <c r="OD163" s="262"/>
      <c r="OE163" s="262"/>
      <c r="OF163" s="262"/>
      <c r="OG163" s="262"/>
      <c r="OH163" s="262"/>
      <c r="OI163" s="262"/>
      <c r="OJ163" s="262"/>
      <c r="OK163" s="262"/>
      <c r="OL163" s="262"/>
      <c r="OM163" s="262"/>
      <c r="ON163" s="262"/>
      <c r="OO163" s="262"/>
      <c r="OP163" s="262"/>
      <c r="OQ163" s="262"/>
      <c r="OR163" s="262"/>
      <c r="OS163" s="262"/>
      <c r="OT163" s="262"/>
      <c r="OU163" s="262"/>
      <c r="OV163" s="262"/>
      <c r="OW163" s="262"/>
      <c r="OX163" s="262"/>
      <c r="OY163" s="262"/>
      <c r="OZ163" s="262"/>
      <c r="PA163" s="262"/>
      <c r="PB163" s="262"/>
      <c r="PC163" s="262"/>
      <c r="PD163" s="262"/>
      <c r="PE163" s="262"/>
      <c r="PF163" s="262"/>
      <c r="PG163" s="262"/>
      <c r="PH163" s="262"/>
    </row>
    <row r="164" spans="1:424" x14ac:dyDescent="0.35">
      <c r="A164"/>
      <c r="B164" s="34" t="s">
        <v>346</v>
      </c>
      <c r="C164" s="400"/>
      <c r="D164" s="193">
        <f>IF(Perm_Debt?=1,120,Stabilization_1st_Month+12)</f>
        <v>61</v>
      </c>
      <c r="E164" s="502"/>
      <c r="F164" s="502"/>
      <c r="G164" s="506"/>
      <c r="H164" s="506" t="str">
        <f>"Month "&amp;Stabilization_1st_Month&amp;" - "&amp;Stabilization_1st_Month+11</f>
        <v>Month 49 - 60</v>
      </c>
      <c r="I164" s="506" t="str">
        <f>"Month "&amp;Timing_Reversion_Month&amp;" - "&amp;Timing_Reversion_Month+11</f>
        <v>Month 61 - 72</v>
      </c>
      <c r="J164" s="395"/>
      <c r="K164" s="295" t="str">
        <f>C103</f>
        <v>7-Eleven / App Automation</v>
      </c>
      <c r="L164"/>
      <c r="M164" s="505">
        <f>E103</f>
        <v>2120</v>
      </c>
      <c r="N164" s="286"/>
      <c r="O164" s="505">
        <f>I103</f>
        <v>0</v>
      </c>
      <c r="P164" s="505">
        <f>O164</f>
        <v>0</v>
      </c>
      <c r="Q164"/>
      <c r="R164" s="290">
        <f>$I$161-0.5%</f>
        <v>6.0000000000000005E-2</v>
      </c>
      <c r="S164" s="92">
        <f t="shared" si="505"/>
        <v>6.2008196721311477E-2</v>
      </c>
      <c r="T164" s="290">
        <f>$I$162-0.5%</f>
        <v>6.25E-2</v>
      </c>
      <c r="U164"/>
      <c r="V164" s="417">
        <f t="shared" si="506"/>
        <v>0</v>
      </c>
      <c r="W164" s="417">
        <f t="shared" si="507"/>
        <v>0</v>
      </c>
      <c r="X164" s="396"/>
      <c r="Y164" s="396"/>
      <c r="Z164" s="396"/>
      <c r="AA164" s="396"/>
      <c r="AB164" s="396"/>
      <c r="AC164" s="396"/>
      <c r="AD164" s="396"/>
      <c r="AE164" s="396"/>
      <c r="AF164" s="396"/>
      <c r="AG164" s="396"/>
      <c r="AH164" s="396"/>
      <c r="AI164" s="396"/>
      <c r="AJ164" s="396"/>
      <c r="AK164" s="396"/>
      <c r="AL164" s="396"/>
      <c r="AM164" s="396"/>
      <c r="AN164" s="396"/>
      <c r="AO164" s="396"/>
      <c r="AP164" s="396"/>
      <c r="AQ164" s="396"/>
      <c r="AR164" s="396"/>
      <c r="AS164" s="396"/>
      <c r="AT164" s="396"/>
      <c r="AU164" s="396"/>
      <c r="AV164" s="396"/>
      <c r="AW164" s="396"/>
      <c r="AX164" s="396"/>
      <c r="AY164" s="396"/>
      <c r="AZ164" s="396"/>
      <c r="BA164" s="396"/>
      <c r="BB164" s="396"/>
      <c r="BC164" s="396"/>
      <c r="BD164" s="396"/>
      <c r="BE164" s="396"/>
      <c r="BF164" s="396"/>
      <c r="BG164" s="396"/>
      <c r="BH164" s="396"/>
      <c r="BI164" s="396"/>
      <c r="BJ164" s="396"/>
      <c r="BK164" s="396"/>
      <c r="BL164" s="396"/>
      <c r="BM164" s="396"/>
      <c r="BN164" s="396"/>
      <c r="BO164" s="396"/>
      <c r="BP164" s="396"/>
      <c r="BQ164" s="396"/>
      <c r="BR164" s="396"/>
      <c r="BS164" s="396"/>
      <c r="BT164" s="396"/>
      <c r="BU164" s="396"/>
      <c r="BV164" s="396"/>
      <c r="BW164" s="396"/>
      <c r="BX164" s="396"/>
      <c r="BY164" s="396"/>
      <c r="BZ164" s="396"/>
      <c r="CA164" s="396"/>
      <c r="CB164" s="396"/>
      <c r="CC164" s="396"/>
      <c r="CD164" s="396"/>
      <c r="CE164" s="396"/>
      <c r="CF164" s="396"/>
      <c r="CG164" s="396"/>
      <c r="CH164" s="396"/>
      <c r="CI164" s="396"/>
      <c r="CJ164" s="396"/>
      <c r="CK164" s="396"/>
      <c r="CL164" s="396"/>
      <c r="CM164" s="396"/>
      <c r="CN164" s="396"/>
      <c r="CO164" s="396"/>
      <c r="CP164" s="396"/>
      <c r="CQ164" s="396"/>
      <c r="CR164" s="396"/>
      <c r="CS164" s="396"/>
      <c r="CT164" s="396"/>
      <c r="CU164" s="396"/>
      <c r="CV164" s="396"/>
      <c r="CW164" s="396"/>
      <c r="CX164" s="396"/>
      <c r="CY164" s="396"/>
      <c r="CZ164" s="396"/>
      <c r="DA164" s="396"/>
      <c r="DB164" s="396"/>
      <c r="DC164" s="396"/>
      <c r="DD164" s="396"/>
      <c r="DE164" s="396"/>
      <c r="DF164" s="396"/>
      <c r="DG164" s="396"/>
      <c r="DH164" s="396"/>
      <c r="DI164" s="396"/>
      <c r="DJ164" s="396"/>
      <c r="DK164" s="396"/>
      <c r="DL164" s="396"/>
      <c r="DM164" s="396"/>
      <c r="DN164" s="396"/>
      <c r="DO164" s="396"/>
      <c r="DP164" s="396"/>
      <c r="DQ164" s="396"/>
      <c r="DR164" s="396"/>
      <c r="DS164" s="396"/>
      <c r="DT164" s="396"/>
      <c r="DU164" s="396"/>
      <c r="DV164" s="396"/>
      <c r="DW164" s="396"/>
      <c r="DX164" s="396"/>
      <c r="DY164" s="396"/>
      <c r="DZ164" s="396"/>
      <c r="EA164" s="396"/>
      <c r="EB164" s="396"/>
      <c r="EC164" s="396"/>
      <c r="ED164" s="396"/>
      <c r="EE164" s="396"/>
      <c r="EF164" s="396"/>
      <c r="EG164" s="396"/>
      <c r="EH164" s="396"/>
      <c r="EI164" s="396"/>
      <c r="EJ164" s="396"/>
      <c r="EK164" s="396"/>
      <c r="EL164" s="396"/>
      <c r="EM164" s="396"/>
      <c r="EN164" s="396"/>
      <c r="EO164" s="396"/>
      <c r="EP164" s="219"/>
      <c r="EQ164" s="18"/>
      <c r="ER164" s="18"/>
      <c r="ES164" s="18"/>
      <c r="ET164" s="18"/>
      <c r="EU164" s="18"/>
      <c r="EV164" s="18"/>
      <c r="EW164" s="18"/>
      <c r="EX164" s="18"/>
      <c r="EY164" s="18"/>
      <c r="EZ164" s="18"/>
      <c r="FA164" s="18"/>
      <c r="FB164" s="18"/>
      <c r="FC164" s="18"/>
      <c r="FD164" s="18"/>
      <c r="FE164" s="18"/>
      <c r="FF164" s="18"/>
      <c r="FG164" s="18"/>
      <c r="FH164" s="18"/>
      <c r="FI164" s="18"/>
      <c r="FJ164" s="18"/>
      <c r="FK164" s="18"/>
      <c r="FL164" s="18"/>
      <c r="FM164" s="18"/>
      <c r="FN164" s="18"/>
      <c r="FO164" s="18"/>
      <c r="FP164" s="18"/>
      <c r="FQ164" s="18"/>
      <c r="FR164" s="18"/>
      <c r="FS164" s="18"/>
      <c r="FT164" s="18"/>
      <c r="FU164" s="18"/>
      <c r="FV164" s="18"/>
      <c r="FW164" s="18"/>
      <c r="FX164" s="18"/>
      <c r="FY164" s="18"/>
      <c r="FZ164" s="18"/>
      <c r="GA164" s="18"/>
      <c r="GB164" s="18"/>
      <c r="GC164" s="18"/>
      <c r="GD164" s="18"/>
      <c r="GE164" s="18"/>
      <c r="GF164" s="18"/>
      <c r="GG164" s="18"/>
      <c r="GH164" s="18"/>
      <c r="GI164" s="18"/>
      <c r="GJ164" s="18"/>
      <c r="GK164" s="18"/>
      <c r="GL164" s="18"/>
      <c r="GM164" s="18"/>
      <c r="GN164" s="18"/>
      <c r="GO164" s="18"/>
      <c r="GP164" s="18"/>
      <c r="GQ164" s="18"/>
      <c r="GR164" s="18"/>
      <c r="GS164" s="18"/>
      <c r="GT164" s="18"/>
      <c r="GU164" s="18"/>
      <c r="GV164" s="18"/>
      <c r="GW164" s="18"/>
      <c r="GX164" s="18"/>
      <c r="GY164" s="18"/>
      <c r="GZ164" s="18"/>
      <c r="HA164" s="18"/>
      <c r="HB164" s="18"/>
      <c r="HC164" s="18"/>
      <c r="HD164" s="18"/>
      <c r="HE164" s="18"/>
      <c r="HF164" s="18"/>
      <c r="HG164" s="18"/>
      <c r="HH164" s="18"/>
      <c r="HI164" s="18"/>
      <c r="HJ164" s="18"/>
      <c r="HK164" s="18"/>
      <c r="HL164" s="18"/>
      <c r="HM164" s="18"/>
      <c r="HN164" s="18"/>
      <c r="HO164" s="18"/>
      <c r="HP164" s="18"/>
      <c r="HQ164" s="18"/>
      <c r="HR164" s="18"/>
      <c r="HS164" s="18"/>
      <c r="HT164" s="18"/>
      <c r="HU164" s="18"/>
      <c r="HV164" s="18"/>
      <c r="HW164" s="18"/>
      <c r="HX164" s="18"/>
      <c r="HY164" s="18"/>
      <c r="HZ164" s="18"/>
      <c r="IA164" s="18"/>
      <c r="IB164" s="18"/>
      <c r="IC164" s="18"/>
      <c r="ID164" s="18"/>
      <c r="IE164" s="18"/>
      <c r="IF164" s="18"/>
      <c r="IG164" s="18"/>
      <c r="IH164" s="18"/>
      <c r="II164" s="18"/>
      <c r="IJ164" s="18"/>
      <c r="IK164" s="18"/>
      <c r="IL164" s="18"/>
      <c r="IM164" s="18"/>
      <c r="IN164" s="18"/>
      <c r="IO164" s="18"/>
      <c r="IP164" s="18"/>
      <c r="IQ164" s="18"/>
      <c r="IR164" s="18"/>
      <c r="IS164" s="18"/>
      <c r="IT164" s="18"/>
      <c r="IU164" s="18"/>
      <c r="IV164" s="18"/>
      <c r="IW164" s="18"/>
      <c r="IX164" s="18"/>
      <c r="IY164" s="18"/>
      <c r="IZ164" s="18"/>
      <c r="JA164" s="18"/>
      <c r="JB164" s="18"/>
      <c r="JC164" s="18"/>
      <c r="JD164" s="18"/>
      <c r="JE164" s="18"/>
      <c r="JF164" s="18"/>
      <c r="JG164" s="18"/>
      <c r="JH164" s="18"/>
      <c r="JI164" s="18"/>
      <c r="JJ164" s="18"/>
      <c r="JK164" s="18"/>
      <c r="JL164" s="18"/>
      <c r="JM164" s="18"/>
      <c r="JN164" s="18"/>
      <c r="JO164" s="18"/>
      <c r="JP164" s="18"/>
      <c r="JQ164" s="18"/>
      <c r="JR164" s="18"/>
      <c r="JS164" s="18"/>
      <c r="JT164" s="18"/>
      <c r="JU164" s="18"/>
      <c r="JV164" s="18"/>
      <c r="JW164" s="18"/>
      <c r="JX164" s="18"/>
      <c r="JY164"/>
      <c r="JZ164" s="262"/>
      <c r="KA164" s="262"/>
      <c r="KB164" s="262"/>
      <c r="KC164" s="262"/>
      <c r="KD164" s="262"/>
      <c r="KE164" s="262"/>
      <c r="KF164" s="262"/>
      <c r="KG164" s="262"/>
      <c r="KH164" s="262"/>
      <c r="KI164" s="262"/>
      <c r="KJ164" s="262"/>
      <c r="KK164" s="262"/>
      <c r="KL164" s="262"/>
      <c r="KM164" s="262"/>
      <c r="KN164" s="262"/>
      <c r="KO164" s="262"/>
      <c r="KP164" s="262"/>
      <c r="KQ164" s="262"/>
      <c r="KR164" s="262"/>
      <c r="KS164" s="262"/>
      <c r="KT164" s="262"/>
      <c r="KU164" s="262"/>
      <c r="KV164" s="262"/>
      <c r="KW164" s="262"/>
      <c r="KX164" s="262"/>
      <c r="KY164" s="262"/>
      <c r="KZ164" s="262"/>
      <c r="LA164" s="262"/>
      <c r="LB164" s="262"/>
      <c r="LC164" s="262"/>
      <c r="LD164" s="262"/>
      <c r="LE164" s="262"/>
      <c r="LF164" s="262"/>
      <c r="LG164" s="262"/>
      <c r="LH164" s="262"/>
      <c r="LI164" s="262"/>
      <c r="LJ164" s="262"/>
      <c r="LK164" s="262"/>
      <c r="LL164" s="262"/>
      <c r="LM164" s="262"/>
      <c r="LN164" s="262"/>
      <c r="LO164" s="262"/>
      <c r="LP164" s="262"/>
      <c r="LQ164" s="262"/>
      <c r="LR164" s="262"/>
      <c r="LS164" s="262"/>
      <c r="LT164" s="262"/>
      <c r="LU164" s="262"/>
      <c r="LV164" s="262"/>
      <c r="LW164" s="262"/>
      <c r="LX164" s="262"/>
      <c r="LY164" s="262"/>
      <c r="LZ164" s="262"/>
      <c r="MA164" s="262"/>
      <c r="MB164" s="262"/>
      <c r="MC164" s="262"/>
      <c r="MD164" s="262"/>
      <c r="ME164" s="262"/>
      <c r="MF164" s="262"/>
      <c r="MG164" s="262"/>
      <c r="MH164" s="262"/>
      <c r="MI164" s="262"/>
      <c r="MJ164" s="262"/>
      <c r="MK164" s="262"/>
      <c r="ML164" s="262"/>
      <c r="MM164" s="262"/>
      <c r="MN164" s="262"/>
      <c r="MO164" s="262"/>
      <c r="MP164" s="262"/>
      <c r="MQ164" s="262"/>
      <c r="MR164" s="262"/>
      <c r="MS164" s="262"/>
      <c r="MT164" s="262"/>
      <c r="MU164" s="262"/>
      <c r="MV164" s="262"/>
      <c r="MW164" s="262"/>
      <c r="MX164" s="262"/>
      <c r="MY164" s="262"/>
      <c r="MZ164" s="262"/>
      <c r="NA164" s="262"/>
      <c r="NB164" s="262"/>
      <c r="NC164" s="262"/>
      <c r="ND164" s="262"/>
      <c r="NE164" s="262"/>
      <c r="NF164" s="262"/>
      <c r="NG164" s="262"/>
      <c r="NH164" s="262"/>
      <c r="NI164" s="262"/>
      <c r="NJ164" s="262"/>
      <c r="NK164" s="262"/>
      <c r="NL164" s="262"/>
      <c r="NM164" s="262"/>
      <c r="NN164" s="262"/>
      <c r="NO164" s="262"/>
      <c r="NP164" s="262"/>
      <c r="NQ164" s="262"/>
      <c r="NR164" s="262"/>
      <c r="NS164" s="262"/>
      <c r="NT164" s="262"/>
      <c r="NU164" s="262"/>
      <c r="NV164" s="262"/>
      <c r="NW164" s="262"/>
      <c r="NX164" s="262"/>
      <c r="NY164" s="262"/>
      <c r="NZ164" s="262"/>
      <c r="OA164" s="262"/>
      <c r="OB164" s="262"/>
      <c r="OC164" s="262"/>
      <c r="OD164" s="262"/>
      <c r="OE164" s="262"/>
      <c r="OF164" s="262"/>
      <c r="OG164" s="262"/>
      <c r="OH164" s="262"/>
      <c r="OI164" s="262"/>
      <c r="OJ164" s="262"/>
      <c r="OK164" s="262"/>
      <c r="OL164" s="262"/>
      <c r="OM164" s="262"/>
      <c r="ON164" s="262"/>
      <c r="OO164" s="262"/>
      <c r="OP164" s="262"/>
      <c r="OQ164" s="262"/>
      <c r="OR164" s="262"/>
      <c r="OS164" s="262"/>
      <c r="OT164" s="262"/>
      <c r="OU164" s="262"/>
      <c r="OV164" s="262"/>
      <c r="OW164" s="262"/>
      <c r="OX164" s="262"/>
      <c r="OY164" s="262"/>
      <c r="OZ164" s="262"/>
      <c r="PA164" s="262"/>
      <c r="PB164" s="262"/>
      <c r="PC164" s="262"/>
      <c r="PD164" s="262"/>
      <c r="PE164" s="262"/>
      <c r="PF164" s="262"/>
      <c r="PG164" s="262"/>
      <c r="PH164" s="262"/>
    </row>
    <row r="165" spans="1:424" x14ac:dyDescent="0.35">
      <c r="A165"/>
      <c r="B165" s="497" t="s">
        <v>58</v>
      </c>
      <c r="C165" s="497"/>
      <c r="D165" s="497"/>
      <c r="E165" s="498"/>
      <c r="F165" s="498"/>
      <c r="G165" s="498"/>
      <c r="H165" s="498" t="s">
        <v>347</v>
      </c>
      <c r="I165" s="498" t="s">
        <v>348</v>
      </c>
      <c r="J165" s="395"/>
      <c r="K165" s="295" t="str">
        <f>C104</f>
        <v>App Automation</v>
      </c>
      <c r="L165"/>
      <c r="M165" s="505">
        <f>E104</f>
        <v>150</v>
      </c>
      <c r="N165" s="286"/>
      <c r="O165" s="505">
        <f>I104</f>
        <v>0</v>
      </c>
      <c r="P165" s="505">
        <f>O165</f>
        <v>0</v>
      </c>
      <c r="Q165"/>
      <c r="R165" s="290">
        <f t="shared" ref="R165:R171" si="508">$I$161</f>
        <v>6.5000000000000002E-2</v>
      </c>
      <c r="S165" s="92">
        <f t="shared" si="505"/>
        <v>6.7008196721311475E-2</v>
      </c>
      <c r="T165" s="290">
        <f t="shared" ref="T165:T171" si="509">$I$162</f>
        <v>6.7500000000000004E-2</v>
      </c>
      <c r="U165"/>
      <c r="V165" s="417">
        <f t="shared" si="506"/>
        <v>0</v>
      </c>
      <c r="W165" s="417">
        <f t="shared" si="507"/>
        <v>0</v>
      </c>
      <c r="X165" s="396"/>
      <c r="Y165" s="396"/>
      <c r="Z165" s="396"/>
      <c r="AA165" s="396"/>
      <c r="AB165" s="396"/>
      <c r="AC165" s="396"/>
      <c r="AD165" s="396"/>
      <c r="AE165" s="396"/>
      <c r="AF165" s="396"/>
      <c r="AG165" s="396"/>
      <c r="AH165" s="396"/>
      <c r="AI165" s="396"/>
      <c r="AJ165" s="396"/>
      <c r="AK165" s="396"/>
      <c r="AL165" s="396"/>
      <c r="AM165" s="396"/>
      <c r="AN165" s="396"/>
      <c r="AO165" s="396"/>
      <c r="AP165" s="396"/>
      <c r="AQ165" s="396"/>
      <c r="AR165" s="396"/>
      <c r="AS165" s="396"/>
      <c r="AT165" s="396"/>
      <c r="AU165" s="396"/>
      <c r="AV165" s="396"/>
      <c r="AW165" s="396"/>
      <c r="AX165" s="396"/>
      <c r="AY165" s="396"/>
      <c r="AZ165" s="396"/>
      <c r="BA165" s="396"/>
      <c r="BB165" s="396"/>
      <c r="BC165" s="396"/>
      <c r="BD165" s="396"/>
      <c r="BE165" s="396"/>
      <c r="BF165" s="396"/>
      <c r="BG165" s="396"/>
      <c r="BH165" s="396"/>
      <c r="BI165" s="396"/>
      <c r="BJ165" s="396"/>
      <c r="BK165" s="396"/>
      <c r="BL165" s="396"/>
      <c r="BM165" s="396"/>
      <c r="BN165" s="396"/>
      <c r="BO165" s="396"/>
      <c r="BP165" s="396"/>
      <c r="BQ165" s="396"/>
      <c r="BR165" s="396"/>
      <c r="BS165" s="396"/>
      <c r="BT165" s="396"/>
      <c r="BU165" s="396"/>
      <c r="BV165" s="396"/>
      <c r="BW165" s="396"/>
      <c r="BX165" s="396"/>
      <c r="BY165" s="396"/>
      <c r="BZ165" s="396"/>
      <c r="CA165" s="396"/>
      <c r="CB165" s="396"/>
      <c r="CC165" s="396"/>
      <c r="CD165" s="396"/>
      <c r="CE165" s="396"/>
      <c r="CF165" s="396"/>
      <c r="CG165" s="396"/>
      <c r="CH165" s="396"/>
      <c r="CI165" s="396"/>
      <c r="CJ165" s="396"/>
      <c r="CK165" s="396"/>
      <c r="CL165" s="396"/>
      <c r="CM165" s="396"/>
      <c r="CN165" s="396"/>
      <c r="CO165" s="396"/>
      <c r="CP165" s="396"/>
      <c r="CQ165" s="396"/>
      <c r="CR165" s="396"/>
      <c r="CS165" s="396"/>
      <c r="CT165" s="396"/>
      <c r="CU165" s="396"/>
      <c r="CV165" s="396"/>
      <c r="CW165" s="396"/>
      <c r="CX165" s="396"/>
      <c r="CY165" s="396"/>
      <c r="CZ165" s="396"/>
      <c r="DA165" s="396"/>
      <c r="DB165" s="396"/>
      <c r="DC165" s="396"/>
      <c r="DD165" s="396"/>
      <c r="DE165" s="396"/>
      <c r="DF165" s="396"/>
      <c r="DG165" s="396"/>
      <c r="DH165" s="396"/>
      <c r="DI165" s="396"/>
      <c r="DJ165" s="396"/>
      <c r="DK165" s="396"/>
      <c r="DL165" s="396"/>
      <c r="DM165" s="396"/>
      <c r="DN165" s="396"/>
      <c r="DO165" s="396"/>
      <c r="DP165" s="396"/>
      <c r="DQ165" s="396"/>
      <c r="DR165" s="396"/>
      <c r="DS165" s="396"/>
      <c r="DT165" s="396"/>
      <c r="DU165" s="396"/>
      <c r="DV165" s="396"/>
      <c r="DW165" s="396"/>
      <c r="DX165" s="396"/>
      <c r="DY165" s="396"/>
      <c r="DZ165" s="396"/>
      <c r="EA165" s="396"/>
      <c r="EB165" s="396"/>
      <c r="EC165" s="396"/>
      <c r="ED165" s="396"/>
      <c r="EE165" s="396"/>
      <c r="EF165" s="396"/>
      <c r="EG165" s="396"/>
      <c r="EH165" s="396"/>
      <c r="EI165" s="396"/>
      <c r="EJ165" s="396"/>
      <c r="EK165" s="396"/>
      <c r="EL165" s="396"/>
      <c r="EM165" s="396"/>
      <c r="EN165" s="396"/>
      <c r="EO165" s="396"/>
      <c r="EP165" s="219"/>
      <c r="EQ165" s="18"/>
      <c r="ER165" s="18"/>
      <c r="ES165" s="18"/>
      <c r="ET165" s="18"/>
      <c r="EU165" s="18"/>
      <c r="EV165" s="18"/>
      <c r="EW165" s="18"/>
      <c r="EX165" s="18"/>
      <c r="EY165" s="18"/>
      <c r="EZ165" s="18"/>
      <c r="FA165" s="18"/>
      <c r="FB165" s="18"/>
      <c r="FC165" s="18"/>
      <c r="FD165" s="18"/>
      <c r="FE165" s="18"/>
      <c r="FF165" s="18"/>
      <c r="FG165" s="18"/>
      <c r="FH165" s="18"/>
      <c r="FI165" s="18"/>
      <c r="FJ165" s="18"/>
      <c r="FK165" s="18"/>
      <c r="FL165" s="18"/>
      <c r="FM165" s="18"/>
      <c r="FN165" s="18"/>
      <c r="FO165" s="18"/>
      <c r="FP165" s="18"/>
      <c r="FQ165" s="18"/>
      <c r="FR165" s="18"/>
      <c r="FS165" s="18"/>
      <c r="FT165" s="18"/>
      <c r="FU165" s="18"/>
      <c r="FV165" s="18"/>
      <c r="FW165" s="18"/>
      <c r="FX165" s="18"/>
      <c r="FY165" s="18"/>
      <c r="FZ165" s="18"/>
      <c r="GA165" s="18"/>
      <c r="GB165" s="18"/>
      <c r="GC165" s="18"/>
      <c r="GD165" s="18"/>
      <c r="GE165" s="18"/>
      <c r="GF165" s="18"/>
      <c r="GG165" s="18"/>
      <c r="GH165" s="18"/>
      <c r="GI165" s="18"/>
      <c r="GJ165" s="18"/>
      <c r="GK165" s="18"/>
      <c r="GL165" s="18"/>
      <c r="GM165" s="18"/>
      <c r="GN165" s="18"/>
      <c r="GO165" s="18"/>
      <c r="GP165" s="18"/>
      <c r="GQ165" s="18"/>
      <c r="GR165" s="18"/>
      <c r="GS165" s="18"/>
      <c r="GT165" s="18"/>
      <c r="GU165" s="18"/>
      <c r="GV165" s="18"/>
      <c r="GW165" s="18"/>
      <c r="GX165" s="18"/>
      <c r="GY165" s="18"/>
      <c r="GZ165" s="18"/>
      <c r="HA165" s="18"/>
      <c r="HB165" s="18"/>
      <c r="HC165" s="18"/>
      <c r="HD165" s="18"/>
      <c r="HE165" s="18"/>
      <c r="HF165" s="18"/>
      <c r="HG165" s="18"/>
      <c r="HH165" s="18"/>
      <c r="HI165" s="18"/>
      <c r="HJ165" s="18"/>
      <c r="HK165" s="18"/>
      <c r="HL165" s="18"/>
      <c r="HM165" s="18"/>
      <c r="HN165" s="18"/>
      <c r="HO165" s="18"/>
      <c r="HP165" s="18"/>
      <c r="HQ165" s="18"/>
      <c r="HR165" s="18"/>
      <c r="HS165" s="18"/>
      <c r="HT165" s="18"/>
      <c r="HU165" s="18"/>
      <c r="HV165" s="18"/>
      <c r="HW165" s="18"/>
      <c r="HX165" s="18"/>
      <c r="HY165" s="18"/>
      <c r="HZ165" s="18"/>
      <c r="IA165" s="18"/>
      <c r="IB165" s="18"/>
      <c r="IC165" s="18"/>
      <c r="ID165" s="18"/>
      <c r="IE165" s="18"/>
      <c r="IF165" s="18"/>
      <c r="IG165" s="18"/>
      <c r="IH165" s="18"/>
      <c r="II165" s="18"/>
      <c r="IJ165" s="18"/>
      <c r="IK165" s="18"/>
      <c r="IL165" s="18"/>
      <c r="IM165" s="18"/>
      <c r="IN165" s="18"/>
      <c r="IO165" s="18"/>
      <c r="IP165" s="18"/>
      <c r="IQ165" s="18"/>
      <c r="IR165" s="18"/>
      <c r="IS165" s="18"/>
      <c r="IT165" s="18"/>
      <c r="IU165" s="18"/>
      <c r="IV165" s="18"/>
      <c r="IW165" s="18"/>
      <c r="IX165" s="18"/>
      <c r="IY165" s="18"/>
      <c r="IZ165" s="18"/>
      <c r="JA165" s="18"/>
      <c r="JB165" s="18"/>
      <c r="JC165" s="18"/>
      <c r="JD165" s="18"/>
      <c r="JE165" s="18"/>
      <c r="JF165" s="18"/>
      <c r="JG165" s="18"/>
      <c r="JH165" s="18"/>
      <c r="JI165" s="18"/>
      <c r="JJ165" s="18"/>
      <c r="JK165" s="18"/>
      <c r="JL165" s="18"/>
      <c r="JM165" s="18"/>
      <c r="JN165" s="18"/>
      <c r="JO165" s="18"/>
      <c r="JP165" s="18"/>
      <c r="JQ165" s="18"/>
      <c r="JR165" s="18"/>
      <c r="JS165" s="18"/>
      <c r="JT165" s="18"/>
      <c r="JU165" s="18"/>
      <c r="JV165" s="18"/>
      <c r="JW165" s="18"/>
      <c r="JX165" s="18"/>
      <c r="JY165"/>
      <c r="JZ165" s="262"/>
      <c r="KA165" s="262"/>
      <c r="KB165" s="262"/>
      <c r="KC165" s="262"/>
      <c r="KD165" s="262"/>
      <c r="KE165" s="262"/>
      <c r="KF165" s="262"/>
      <c r="KG165" s="262"/>
      <c r="KH165" s="262"/>
      <c r="KI165" s="262"/>
      <c r="KJ165" s="262"/>
      <c r="KK165" s="262"/>
      <c r="KL165" s="262"/>
      <c r="KM165" s="262"/>
      <c r="KN165" s="262"/>
      <c r="KO165" s="262"/>
      <c r="KP165" s="262"/>
      <c r="KQ165" s="262"/>
      <c r="KR165" s="262"/>
      <c r="KS165" s="262"/>
      <c r="KT165" s="262"/>
      <c r="KU165" s="262"/>
      <c r="KV165" s="262"/>
      <c r="KW165" s="262"/>
      <c r="KX165" s="262"/>
      <c r="KY165" s="262"/>
      <c r="KZ165" s="262"/>
      <c r="LA165" s="262"/>
      <c r="LB165" s="262"/>
      <c r="LC165" s="262"/>
      <c r="LD165" s="262"/>
      <c r="LE165" s="262"/>
      <c r="LF165" s="262"/>
      <c r="LG165" s="262"/>
      <c r="LH165" s="262"/>
      <c r="LI165" s="262"/>
      <c r="LJ165" s="262"/>
      <c r="LK165" s="262"/>
      <c r="LL165" s="262"/>
      <c r="LM165" s="262"/>
      <c r="LN165" s="262"/>
      <c r="LO165" s="262"/>
      <c r="LP165" s="262"/>
      <c r="LQ165" s="262"/>
      <c r="LR165" s="262"/>
      <c r="LS165" s="262"/>
      <c r="LT165" s="262"/>
      <c r="LU165" s="262"/>
      <c r="LV165" s="262"/>
      <c r="LW165" s="262"/>
      <c r="LX165" s="262"/>
      <c r="LY165" s="262"/>
      <c r="LZ165" s="262"/>
      <c r="MA165" s="262"/>
      <c r="MB165" s="262"/>
      <c r="MC165" s="262"/>
      <c r="MD165" s="262"/>
      <c r="ME165" s="262"/>
      <c r="MF165" s="262"/>
      <c r="MG165" s="262"/>
      <c r="MH165" s="262"/>
      <c r="MI165" s="262"/>
      <c r="MJ165" s="262"/>
      <c r="MK165" s="262"/>
      <c r="ML165" s="262"/>
      <c r="MM165" s="262"/>
      <c r="MN165" s="262"/>
      <c r="MO165" s="262"/>
      <c r="MP165" s="262"/>
      <c r="MQ165" s="262"/>
      <c r="MR165" s="262"/>
      <c r="MS165" s="262"/>
      <c r="MT165" s="262"/>
      <c r="MU165" s="262"/>
      <c r="MV165" s="262"/>
      <c r="MW165" s="262"/>
      <c r="MX165" s="262"/>
      <c r="MY165" s="262"/>
      <c r="MZ165" s="262"/>
      <c r="NA165" s="262"/>
      <c r="NB165" s="262"/>
      <c r="NC165" s="262"/>
      <c r="ND165" s="262"/>
      <c r="NE165" s="262"/>
      <c r="NF165" s="262"/>
      <c r="NG165" s="262"/>
      <c r="NH165" s="262"/>
      <c r="NI165" s="262"/>
      <c r="NJ165" s="262"/>
      <c r="NK165" s="262"/>
      <c r="NL165" s="262"/>
      <c r="NM165" s="262"/>
      <c r="NN165" s="262"/>
      <c r="NO165" s="262"/>
      <c r="NP165" s="262"/>
      <c r="NQ165" s="262"/>
      <c r="NR165" s="262"/>
      <c r="NS165" s="262"/>
      <c r="NT165" s="262"/>
      <c r="NU165" s="262"/>
      <c r="NV165" s="262"/>
      <c r="NW165" s="262"/>
      <c r="NX165" s="262"/>
      <c r="NY165" s="262"/>
      <c r="NZ165" s="262"/>
      <c r="OA165" s="262"/>
      <c r="OB165" s="262"/>
      <c r="OC165" s="262"/>
      <c r="OD165" s="262"/>
      <c r="OE165" s="262"/>
      <c r="OF165" s="262"/>
      <c r="OG165" s="262"/>
      <c r="OH165" s="262"/>
      <c r="OI165" s="262"/>
      <c r="OJ165" s="262"/>
      <c r="OK165" s="262"/>
      <c r="OL165" s="262"/>
      <c r="OM165" s="262"/>
      <c r="ON165" s="262"/>
      <c r="OO165" s="262"/>
      <c r="OP165" s="262"/>
      <c r="OQ165" s="262"/>
      <c r="OR165" s="262"/>
      <c r="OS165" s="262"/>
      <c r="OT165" s="262"/>
      <c r="OU165" s="262"/>
      <c r="OV165" s="262"/>
      <c r="OW165" s="262"/>
      <c r="OX165" s="262"/>
      <c r="OY165" s="262"/>
      <c r="OZ165" s="262"/>
      <c r="PA165" s="262"/>
      <c r="PB165" s="262"/>
      <c r="PC165" s="262"/>
      <c r="PD165" s="262"/>
      <c r="PE165" s="262"/>
      <c r="PF165" s="262"/>
      <c r="PG165" s="262"/>
      <c r="PH165" s="262"/>
    </row>
    <row r="166" spans="1:424" x14ac:dyDescent="0.35">
      <c r="A166"/>
      <c r="B166" s="444" t="s">
        <v>349</v>
      </c>
      <c r="C166" s="400"/>
      <c r="D166" s="400"/>
      <c r="E166" s="502"/>
      <c r="F166" s="502"/>
      <c r="G166" s="40"/>
      <c r="H166" s="445">
        <f>+I105</f>
        <v>15280000</v>
      </c>
      <c r="I166" s="416">
        <f>MAX(SUM(INDEX($L$105:$EN$105,1,Timing_Reversion_Month+1):INDEX($L$105:$EN$105,1,Timing_Reversion_Month+12)))</f>
        <v>16966901.122593746</v>
      </c>
      <c r="J166" s="395"/>
      <c r="K166" s="295" t="s">
        <v>350</v>
      </c>
      <c r="L166"/>
      <c r="M166" s="505">
        <f>SUM(E94:E102)</f>
        <v>54700.380000000005</v>
      </c>
      <c r="N166" s="286"/>
      <c r="O166" s="505">
        <f>H179-O165-O164-O163</f>
        <v>36941921.747395799</v>
      </c>
      <c r="P166" s="505">
        <f>I179-P165-P164-P163</f>
        <v>40160832.658451453</v>
      </c>
      <c r="Q166"/>
      <c r="R166" s="290">
        <f>$I$161+1%</f>
        <v>7.4999999999999997E-2</v>
      </c>
      <c r="S166" s="92">
        <f t="shared" si="505"/>
        <v>7.700819672131147E-2</v>
      </c>
      <c r="T166" s="290">
        <f>$I$162+1%</f>
        <v>7.7499999999999999E-2</v>
      </c>
      <c r="U166"/>
      <c r="V166" s="417">
        <f t="shared" si="506"/>
        <v>479714151.48294705</v>
      </c>
      <c r="W166" s="417">
        <f t="shared" si="507"/>
        <v>518204292.3671155</v>
      </c>
      <c r="X166" s="396"/>
      <c r="Y166" s="396"/>
      <c r="Z166" s="396"/>
      <c r="AA166" s="396"/>
      <c r="AB166" s="396"/>
      <c r="AC166" s="396"/>
      <c r="AD166" s="396"/>
      <c r="AE166" s="396"/>
      <c r="AF166" s="396"/>
      <c r="AG166" s="396"/>
      <c r="AH166" s="396"/>
      <c r="AI166" s="396"/>
      <c r="AJ166" s="396"/>
      <c r="AK166" s="396"/>
      <c r="AL166" s="396"/>
      <c r="AM166" s="396"/>
      <c r="AN166" s="396"/>
      <c r="AO166" s="396"/>
      <c r="AP166" s="396"/>
      <c r="AQ166" s="396"/>
      <c r="AR166" s="396"/>
      <c r="AS166" s="396"/>
      <c r="AT166" s="396"/>
      <c r="AU166" s="396"/>
      <c r="AV166" s="396"/>
      <c r="AW166" s="396"/>
      <c r="AX166" s="396"/>
      <c r="AY166" s="396"/>
      <c r="AZ166" s="396"/>
      <c r="BA166" s="396"/>
      <c r="BB166" s="396"/>
      <c r="BC166" s="396"/>
      <c r="BD166" s="396"/>
      <c r="BE166" s="396"/>
      <c r="BF166" s="396"/>
      <c r="BG166" s="396"/>
      <c r="BH166" s="396"/>
      <c r="BI166" s="396"/>
      <c r="BJ166" s="396"/>
      <c r="BK166" s="396"/>
      <c r="BL166" s="396"/>
      <c r="BM166" s="396"/>
      <c r="BN166" s="396"/>
      <c r="BO166" s="396"/>
      <c r="BP166" s="396"/>
      <c r="BQ166" s="396"/>
      <c r="BR166" s="396"/>
      <c r="BS166" s="396"/>
      <c r="BT166" s="396"/>
      <c r="BU166" s="396"/>
      <c r="BV166" s="396"/>
      <c r="BW166" s="396"/>
      <c r="BX166" s="396"/>
      <c r="BY166" s="396"/>
      <c r="BZ166" s="396"/>
      <c r="CA166" s="396"/>
      <c r="CB166" s="396"/>
      <c r="CC166" s="396"/>
      <c r="CD166" s="396"/>
      <c r="CE166" s="396"/>
      <c r="CF166" s="396"/>
      <c r="CG166" s="396"/>
      <c r="CH166" s="396"/>
      <c r="CI166" s="396"/>
      <c r="CJ166" s="396"/>
      <c r="CK166" s="396"/>
      <c r="CL166" s="396"/>
      <c r="CM166" s="396"/>
      <c r="CN166" s="396"/>
      <c r="CO166" s="396"/>
      <c r="CP166" s="396"/>
      <c r="CQ166" s="396"/>
      <c r="CR166" s="396"/>
      <c r="CS166" s="396"/>
      <c r="CT166" s="396"/>
      <c r="CU166" s="396"/>
      <c r="CV166" s="396"/>
      <c r="CW166" s="396"/>
      <c r="CX166" s="396"/>
      <c r="CY166" s="396"/>
      <c r="CZ166" s="396"/>
      <c r="DA166" s="396"/>
      <c r="DB166" s="396"/>
      <c r="DC166" s="396"/>
      <c r="DD166" s="396"/>
      <c r="DE166" s="396"/>
      <c r="DF166" s="396"/>
      <c r="DG166" s="396"/>
      <c r="DH166" s="396"/>
      <c r="DI166" s="396"/>
      <c r="DJ166" s="396"/>
      <c r="DK166" s="396"/>
      <c r="DL166" s="396"/>
      <c r="DM166" s="396"/>
      <c r="DN166" s="396"/>
      <c r="DO166" s="396"/>
      <c r="DP166" s="396"/>
      <c r="DQ166" s="396"/>
      <c r="DR166" s="396"/>
      <c r="DS166" s="396"/>
      <c r="DT166" s="396"/>
      <c r="DU166" s="396"/>
      <c r="DV166" s="396"/>
      <c r="DW166" s="396"/>
      <c r="DX166" s="396"/>
      <c r="DY166" s="396"/>
      <c r="DZ166" s="396"/>
      <c r="EA166" s="396"/>
      <c r="EB166" s="396"/>
      <c r="EC166" s="396"/>
      <c r="ED166" s="396"/>
      <c r="EE166" s="396"/>
      <c r="EF166" s="396"/>
      <c r="EG166" s="396"/>
      <c r="EH166" s="396"/>
      <c r="EI166" s="396"/>
      <c r="EJ166" s="396"/>
      <c r="EK166" s="396"/>
      <c r="EL166" s="396"/>
      <c r="EM166" s="396"/>
      <c r="EN166" s="396"/>
      <c r="EO166" s="396"/>
      <c r="EP166" s="219"/>
      <c r="EQ166" s="18"/>
      <c r="ER166" s="18"/>
      <c r="ES166" s="18"/>
      <c r="ET166" s="18"/>
      <c r="EU166" s="18"/>
      <c r="EV166" s="18"/>
      <c r="EW166" s="18"/>
      <c r="EX166" s="18"/>
      <c r="EY166" s="18"/>
      <c r="EZ166" s="18"/>
      <c r="FA166" s="18"/>
      <c r="FB166" s="18"/>
      <c r="FC166" s="18"/>
      <c r="FD166" s="18"/>
      <c r="FE166" s="18"/>
      <c r="FF166" s="18"/>
      <c r="FG166" s="18"/>
      <c r="FH166" s="18"/>
      <c r="FI166" s="18"/>
      <c r="FJ166" s="18"/>
      <c r="FK166" s="18"/>
      <c r="FL166" s="18"/>
      <c r="FM166" s="18"/>
      <c r="FN166" s="18"/>
      <c r="FO166" s="18"/>
      <c r="FP166" s="18"/>
      <c r="FQ166" s="18"/>
      <c r="FR166" s="18"/>
      <c r="FS166" s="18"/>
      <c r="FT166" s="18"/>
      <c r="FU166" s="18"/>
      <c r="FV166" s="18"/>
      <c r="FW166" s="18"/>
      <c r="FX166" s="18"/>
      <c r="FY166" s="18"/>
      <c r="FZ166" s="18"/>
      <c r="GA166" s="18"/>
      <c r="GB166" s="18"/>
      <c r="GC166" s="18"/>
      <c r="GD166" s="18"/>
      <c r="GE166" s="18"/>
      <c r="GF166" s="18"/>
      <c r="GG166" s="18"/>
      <c r="GH166" s="18"/>
      <c r="GI166" s="18"/>
      <c r="GJ166" s="18"/>
      <c r="GK166" s="18"/>
      <c r="GL166" s="18"/>
      <c r="GM166" s="18"/>
      <c r="GN166" s="18"/>
      <c r="GO166" s="18"/>
      <c r="GP166" s="18"/>
      <c r="GQ166" s="18"/>
      <c r="GR166" s="18"/>
      <c r="GS166" s="18"/>
      <c r="GT166" s="18"/>
      <c r="GU166" s="18"/>
      <c r="GV166" s="18"/>
      <c r="GW166" s="18"/>
      <c r="GX166" s="18"/>
      <c r="GY166" s="18"/>
      <c r="GZ166" s="18"/>
      <c r="HA166" s="18"/>
      <c r="HB166" s="18"/>
      <c r="HC166" s="18"/>
      <c r="HD166" s="18"/>
      <c r="HE166" s="18"/>
      <c r="HF166" s="18"/>
      <c r="HG166" s="18"/>
      <c r="HH166" s="18"/>
      <c r="HI166" s="18"/>
      <c r="HJ166" s="18"/>
      <c r="HK166" s="18"/>
      <c r="HL166" s="18"/>
      <c r="HM166" s="18"/>
      <c r="HN166" s="18"/>
      <c r="HO166" s="18"/>
      <c r="HP166" s="18"/>
      <c r="HQ166" s="18"/>
      <c r="HR166" s="18"/>
      <c r="HS166" s="18"/>
      <c r="HT166" s="18"/>
      <c r="HU166" s="18"/>
      <c r="HV166" s="18"/>
      <c r="HW166" s="18"/>
      <c r="HX166" s="18"/>
      <c r="HY166" s="18"/>
      <c r="HZ166" s="18"/>
      <c r="IA166" s="18"/>
      <c r="IB166" s="18"/>
      <c r="IC166" s="18"/>
      <c r="ID166" s="18"/>
      <c r="IE166" s="18"/>
      <c r="IF166" s="18"/>
      <c r="IG166" s="18"/>
      <c r="IH166" s="18"/>
      <c r="II166" s="18"/>
      <c r="IJ166" s="18"/>
      <c r="IK166" s="18"/>
      <c r="IL166" s="18"/>
      <c r="IM166" s="18"/>
      <c r="IN166" s="18"/>
      <c r="IO166" s="18"/>
      <c r="IP166" s="18"/>
      <c r="IQ166" s="18"/>
      <c r="IR166" s="18"/>
      <c r="IS166" s="18"/>
      <c r="IT166" s="18"/>
      <c r="IU166" s="18"/>
      <c r="IV166" s="18"/>
      <c r="IW166" s="18"/>
      <c r="IX166" s="18"/>
      <c r="IY166" s="18"/>
      <c r="IZ166" s="18"/>
      <c r="JA166" s="18"/>
      <c r="JB166" s="18"/>
      <c r="JC166" s="18"/>
      <c r="JD166" s="18"/>
      <c r="JE166" s="18"/>
      <c r="JF166" s="18"/>
      <c r="JG166" s="18"/>
      <c r="JH166" s="18"/>
      <c r="JI166" s="18"/>
      <c r="JJ166" s="18"/>
      <c r="JK166" s="18"/>
      <c r="JL166" s="18"/>
      <c r="JM166" s="18"/>
      <c r="JN166" s="18"/>
      <c r="JO166" s="18"/>
      <c r="JP166" s="18"/>
      <c r="JQ166" s="18"/>
      <c r="JR166" s="18"/>
      <c r="JS166" s="18"/>
      <c r="JT166" s="18"/>
      <c r="JU166" s="18"/>
      <c r="JV166" s="18"/>
      <c r="JW166" s="18"/>
      <c r="JX166" s="18"/>
      <c r="JY166"/>
      <c r="JZ166" s="262"/>
      <c r="KA166" s="262"/>
      <c r="KB166" s="262"/>
      <c r="KC166" s="262"/>
      <c r="KD166" s="262"/>
      <c r="KE166" s="262"/>
      <c r="KF166" s="262"/>
      <c r="KG166" s="262"/>
      <c r="KH166" s="262"/>
      <c r="KI166" s="262"/>
      <c r="KJ166" s="262"/>
      <c r="KK166" s="262"/>
      <c r="KL166" s="262"/>
      <c r="KM166" s="262"/>
      <c r="KN166" s="262"/>
      <c r="KO166" s="262"/>
      <c r="KP166" s="262"/>
      <c r="KQ166" s="262"/>
      <c r="KR166" s="262"/>
      <c r="KS166" s="262"/>
      <c r="KT166" s="262"/>
      <c r="KU166" s="262"/>
      <c r="KV166" s="262"/>
      <c r="KW166" s="262"/>
      <c r="KX166" s="262"/>
      <c r="KY166" s="262"/>
      <c r="KZ166" s="262"/>
      <c r="LA166" s="262"/>
      <c r="LB166" s="262"/>
      <c r="LC166" s="262"/>
      <c r="LD166" s="262"/>
      <c r="LE166" s="262"/>
      <c r="LF166" s="262"/>
      <c r="LG166" s="262"/>
      <c r="LH166" s="262"/>
      <c r="LI166" s="262"/>
      <c r="LJ166" s="262"/>
      <c r="LK166" s="262"/>
      <c r="LL166" s="262"/>
      <c r="LM166" s="262"/>
      <c r="LN166" s="262"/>
      <c r="LO166" s="262"/>
      <c r="LP166" s="262"/>
      <c r="LQ166" s="262"/>
      <c r="LR166" s="262"/>
      <c r="LS166" s="262"/>
      <c r="LT166" s="262"/>
      <c r="LU166" s="262"/>
      <c r="LV166" s="262"/>
      <c r="LW166" s="262"/>
      <c r="LX166" s="262"/>
      <c r="LY166" s="262"/>
      <c r="LZ166" s="262"/>
      <c r="MA166" s="262"/>
      <c r="MB166" s="262"/>
      <c r="MC166" s="262"/>
      <c r="MD166" s="262"/>
      <c r="ME166" s="262"/>
      <c r="MF166" s="262"/>
      <c r="MG166" s="262"/>
      <c r="MH166" s="262"/>
      <c r="MI166" s="262"/>
      <c r="MJ166" s="262"/>
      <c r="MK166" s="262"/>
      <c r="ML166" s="262"/>
      <c r="MM166" s="262"/>
      <c r="MN166" s="262"/>
      <c r="MO166" s="262"/>
      <c r="MP166" s="262"/>
      <c r="MQ166" s="262"/>
      <c r="MR166" s="262"/>
      <c r="MS166" s="262"/>
      <c r="MT166" s="262"/>
      <c r="MU166" s="262"/>
      <c r="MV166" s="262"/>
      <c r="MW166" s="262"/>
      <c r="MX166" s="262"/>
      <c r="MY166" s="262"/>
      <c r="MZ166" s="262"/>
      <c r="NA166" s="262"/>
      <c r="NB166" s="262"/>
      <c r="NC166" s="262"/>
      <c r="ND166" s="262"/>
      <c r="NE166" s="262"/>
      <c r="NF166" s="262"/>
      <c r="NG166" s="262"/>
      <c r="NH166" s="262"/>
      <c r="NI166" s="262"/>
      <c r="NJ166" s="262"/>
      <c r="NK166" s="262"/>
      <c r="NL166" s="262"/>
      <c r="NM166" s="262"/>
      <c r="NN166" s="262"/>
      <c r="NO166" s="262"/>
      <c r="NP166" s="262"/>
      <c r="NQ166" s="262"/>
      <c r="NR166" s="262"/>
      <c r="NS166" s="262"/>
      <c r="NT166" s="262"/>
      <c r="NU166" s="262"/>
      <c r="NV166" s="262"/>
      <c r="NW166" s="262"/>
      <c r="NX166" s="262"/>
      <c r="NY166" s="262"/>
      <c r="NZ166" s="262"/>
      <c r="OA166" s="262"/>
      <c r="OB166" s="262"/>
      <c r="OC166" s="262"/>
      <c r="OD166" s="262"/>
      <c r="OE166" s="262"/>
      <c r="OF166" s="262"/>
      <c r="OG166" s="262"/>
      <c r="OH166" s="262"/>
      <c r="OI166" s="262"/>
      <c r="OJ166" s="262"/>
      <c r="OK166" s="262"/>
      <c r="OL166" s="262"/>
      <c r="OM166" s="262"/>
      <c r="ON166" s="262"/>
      <c r="OO166" s="262"/>
      <c r="OP166" s="262"/>
      <c r="OQ166" s="262"/>
      <c r="OR166" s="262"/>
      <c r="OS166" s="262"/>
      <c r="OT166" s="262"/>
      <c r="OU166" s="262"/>
      <c r="OV166" s="262"/>
      <c r="OW166" s="262"/>
      <c r="OX166" s="262"/>
      <c r="OY166" s="262"/>
      <c r="OZ166" s="262"/>
      <c r="PA166" s="262"/>
      <c r="PB166" s="262"/>
      <c r="PC166" s="262"/>
      <c r="PD166" s="262"/>
      <c r="PE166" s="262"/>
      <c r="PF166" s="262"/>
      <c r="PG166" s="262"/>
      <c r="PH166" s="262"/>
    </row>
    <row r="167" spans="1:424" x14ac:dyDescent="0.35">
      <c r="A167"/>
      <c r="B167" s="444" t="s">
        <v>351</v>
      </c>
      <c r="C167" s="400"/>
      <c r="D167" s="400"/>
      <c r="E167" s="502"/>
      <c r="F167" s="502"/>
      <c r="G167" s="40"/>
      <c r="H167" s="445">
        <f>+I120</f>
        <v>3288278.6208900046</v>
      </c>
      <c r="I167" s="416">
        <f>MAX(SUM(INDEX($L$120:$EN$120,1,Timing_Reversion_Month+1):INDEX($L$120:$EN$120,1,Timing_Reversion_Month+12)))</f>
        <v>3454747.7260725624</v>
      </c>
      <c r="J167" s="395"/>
      <c r="K167" s="295"/>
      <c r="L167"/>
      <c r="M167" s="286"/>
      <c r="N167" s="286"/>
      <c r="O167" s="286"/>
      <c r="P167" s="286"/>
      <c r="Q167"/>
      <c r="R167" s="290"/>
      <c r="S167" s="92"/>
      <c r="T167" s="290"/>
      <c r="U167"/>
      <c r="V167" s="75"/>
      <c r="W167" s="75"/>
      <c r="X167" s="396"/>
      <c r="Y167" s="396"/>
      <c r="Z167" s="396"/>
      <c r="AA167" s="396"/>
      <c r="AB167" s="396"/>
      <c r="AC167" s="396"/>
      <c r="AD167" s="396"/>
      <c r="AE167" s="396"/>
      <c r="AF167" s="396"/>
      <c r="AG167" s="396"/>
      <c r="AH167" s="396"/>
      <c r="AI167" s="396"/>
      <c r="AJ167" s="396"/>
      <c r="AK167" s="396"/>
      <c r="AL167" s="396"/>
      <c r="AM167" s="396"/>
      <c r="AN167" s="396"/>
      <c r="AO167" s="396"/>
      <c r="AP167" s="396"/>
      <c r="AQ167" s="396"/>
      <c r="AR167" s="396"/>
      <c r="AS167" s="396"/>
      <c r="AT167" s="396"/>
      <c r="AU167" s="396"/>
      <c r="AV167" s="396"/>
      <c r="AW167" s="396"/>
      <c r="AX167" s="396"/>
      <c r="AY167" s="396"/>
      <c r="AZ167" s="396"/>
      <c r="BA167" s="396"/>
      <c r="BB167" s="396"/>
      <c r="BC167" s="396"/>
      <c r="BD167" s="396"/>
      <c r="BE167" s="396"/>
      <c r="BF167" s="396"/>
      <c r="BG167" s="396"/>
      <c r="BH167" s="396"/>
      <c r="BI167" s="396"/>
      <c r="BJ167" s="396"/>
      <c r="BK167" s="396"/>
      <c r="BL167" s="396"/>
      <c r="BM167" s="396"/>
      <c r="BN167" s="396"/>
      <c r="BO167" s="396"/>
      <c r="BP167" s="396"/>
      <c r="BQ167" s="396"/>
      <c r="BR167" s="396"/>
      <c r="BS167" s="396"/>
      <c r="BT167" s="396"/>
      <c r="BU167" s="396"/>
      <c r="BV167" s="396"/>
      <c r="BW167" s="396"/>
      <c r="BX167" s="396"/>
      <c r="BY167" s="396"/>
      <c r="BZ167" s="396"/>
      <c r="CA167" s="396"/>
      <c r="CB167" s="396"/>
      <c r="CC167" s="396"/>
      <c r="CD167" s="396"/>
      <c r="CE167" s="396"/>
      <c r="CF167" s="396"/>
      <c r="CG167" s="396"/>
      <c r="CH167" s="396"/>
      <c r="CI167" s="396"/>
      <c r="CJ167" s="396"/>
      <c r="CK167" s="396"/>
      <c r="CL167" s="396"/>
      <c r="CM167" s="396"/>
      <c r="CN167" s="396"/>
      <c r="CO167" s="396"/>
      <c r="CP167" s="396"/>
      <c r="CQ167" s="396"/>
      <c r="CR167" s="396"/>
      <c r="CS167" s="396"/>
      <c r="CT167" s="396"/>
      <c r="CU167" s="396"/>
      <c r="CV167" s="396"/>
      <c r="CW167" s="396"/>
      <c r="CX167" s="396"/>
      <c r="CY167" s="396"/>
      <c r="CZ167" s="396"/>
      <c r="DA167" s="396"/>
      <c r="DB167" s="396"/>
      <c r="DC167" s="396"/>
      <c r="DD167" s="396"/>
      <c r="DE167" s="396"/>
      <c r="DF167" s="396"/>
      <c r="DG167" s="396"/>
      <c r="DH167" s="396"/>
      <c r="DI167" s="396"/>
      <c r="DJ167" s="396"/>
      <c r="DK167" s="396"/>
      <c r="DL167" s="396"/>
      <c r="DM167" s="396"/>
      <c r="DN167" s="396"/>
      <c r="DO167" s="396"/>
      <c r="DP167" s="396"/>
      <c r="DQ167" s="396"/>
      <c r="DR167" s="396"/>
      <c r="DS167" s="396"/>
      <c r="DT167" s="396"/>
      <c r="DU167" s="396"/>
      <c r="DV167" s="396"/>
      <c r="DW167" s="396"/>
      <c r="DX167" s="396"/>
      <c r="DY167" s="396"/>
      <c r="DZ167" s="396"/>
      <c r="EA167" s="396"/>
      <c r="EB167" s="396"/>
      <c r="EC167" s="396"/>
      <c r="ED167" s="396"/>
      <c r="EE167" s="396"/>
      <c r="EF167" s="396"/>
      <c r="EG167" s="396"/>
      <c r="EH167" s="396"/>
      <c r="EI167" s="396"/>
      <c r="EJ167" s="396"/>
      <c r="EK167" s="396"/>
      <c r="EL167" s="396"/>
      <c r="EM167" s="396"/>
      <c r="EN167" s="396"/>
      <c r="EO167" s="396"/>
      <c r="EP167" s="219"/>
      <c r="EQ167" s="18"/>
      <c r="ER167" s="18"/>
      <c r="ES167" s="18"/>
      <c r="ET167" s="18"/>
      <c r="EU167" s="18"/>
      <c r="EV167" s="18"/>
      <c r="EW167" s="18"/>
      <c r="EX167" s="18"/>
      <c r="EY167" s="18"/>
      <c r="EZ167" s="18"/>
      <c r="FA167" s="18"/>
      <c r="FB167" s="18"/>
      <c r="FC167" s="18"/>
      <c r="FD167" s="18"/>
      <c r="FE167" s="18"/>
      <c r="FF167" s="18"/>
      <c r="FG167" s="18"/>
      <c r="FH167" s="18"/>
      <c r="FI167" s="18"/>
      <c r="FJ167" s="18"/>
      <c r="FK167" s="18"/>
      <c r="FL167" s="18"/>
      <c r="FM167" s="18"/>
      <c r="FN167" s="18"/>
      <c r="FO167" s="18"/>
      <c r="FP167" s="18"/>
      <c r="FQ167" s="18"/>
      <c r="FR167" s="18"/>
      <c r="FS167" s="18"/>
      <c r="FT167" s="18"/>
      <c r="FU167" s="18"/>
      <c r="FV167" s="18"/>
      <c r="FW167" s="18"/>
      <c r="FX167" s="18"/>
      <c r="FY167" s="18"/>
      <c r="FZ167" s="18"/>
      <c r="GA167" s="18"/>
      <c r="GB167" s="18"/>
      <c r="GC167" s="18"/>
      <c r="GD167" s="18"/>
      <c r="GE167" s="18"/>
      <c r="GF167" s="18"/>
      <c r="GG167" s="18"/>
      <c r="GH167" s="18"/>
      <c r="GI167" s="18"/>
      <c r="GJ167" s="18"/>
      <c r="GK167" s="18"/>
      <c r="GL167" s="18"/>
      <c r="GM167" s="18"/>
      <c r="GN167" s="18"/>
      <c r="GO167" s="18"/>
      <c r="GP167" s="18"/>
      <c r="GQ167" s="18"/>
      <c r="GR167" s="18"/>
      <c r="GS167" s="18"/>
      <c r="GT167" s="18"/>
      <c r="GU167" s="18"/>
      <c r="GV167" s="18"/>
      <c r="GW167" s="18"/>
      <c r="GX167" s="18"/>
      <c r="GY167" s="18"/>
      <c r="GZ167" s="18"/>
      <c r="HA167" s="18"/>
      <c r="HB167" s="18"/>
      <c r="HC167" s="18"/>
      <c r="HD167" s="18"/>
      <c r="HE167" s="18"/>
      <c r="HF167" s="18"/>
      <c r="HG167" s="18"/>
      <c r="HH167" s="18"/>
      <c r="HI167" s="18"/>
      <c r="HJ167" s="18"/>
      <c r="HK167" s="18"/>
      <c r="HL167" s="18"/>
      <c r="HM167" s="18"/>
      <c r="HN167" s="18"/>
      <c r="HO167" s="18"/>
      <c r="HP167" s="18"/>
      <c r="HQ167" s="18"/>
      <c r="HR167" s="18"/>
      <c r="HS167" s="18"/>
      <c r="HT167" s="18"/>
      <c r="HU167" s="18"/>
      <c r="HV167" s="18"/>
      <c r="HW167" s="18"/>
      <c r="HX167" s="18"/>
      <c r="HY167" s="18"/>
      <c r="HZ167" s="18"/>
      <c r="IA167" s="18"/>
      <c r="IB167" s="18"/>
      <c r="IC167" s="18"/>
      <c r="ID167" s="18"/>
      <c r="IE167" s="18"/>
      <c r="IF167" s="18"/>
      <c r="IG167" s="18"/>
      <c r="IH167" s="18"/>
      <c r="II167" s="18"/>
      <c r="IJ167" s="18"/>
      <c r="IK167" s="18"/>
      <c r="IL167" s="18"/>
      <c r="IM167" s="18"/>
      <c r="IN167" s="18"/>
      <c r="IO167" s="18"/>
      <c r="IP167" s="18"/>
      <c r="IQ167" s="18"/>
      <c r="IR167" s="18"/>
      <c r="IS167" s="18"/>
      <c r="IT167" s="18"/>
      <c r="IU167" s="18"/>
      <c r="IV167" s="18"/>
      <c r="IW167" s="18"/>
      <c r="IX167" s="18"/>
      <c r="IY167" s="18"/>
      <c r="IZ167" s="18"/>
      <c r="JA167" s="18"/>
      <c r="JB167" s="18"/>
      <c r="JC167" s="18"/>
      <c r="JD167" s="18"/>
      <c r="JE167" s="18"/>
      <c r="JF167" s="18"/>
      <c r="JG167" s="18"/>
      <c r="JH167" s="18"/>
      <c r="JI167" s="18"/>
      <c r="JJ167" s="18"/>
      <c r="JK167" s="18"/>
      <c r="JL167" s="18"/>
      <c r="JM167" s="18"/>
      <c r="JN167" s="18"/>
      <c r="JO167" s="18"/>
      <c r="JP167" s="18"/>
      <c r="JQ167" s="18"/>
      <c r="JR167" s="18"/>
      <c r="JS167" s="18"/>
      <c r="JT167" s="18"/>
      <c r="JU167" s="18"/>
      <c r="JV167" s="18"/>
      <c r="JW167" s="18"/>
      <c r="JX167" s="18"/>
      <c r="JY167"/>
      <c r="JZ167" s="262"/>
      <c r="KA167" s="262"/>
      <c r="KB167" s="262"/>
      <c r="KC167" s="262"/>
      <c r="KD167" s="262"/>
      <c r="KE167" s="262"/>
      <c r="KF167" s="262"/>
      <c r="KG167" s="262"/>
      <c r="KH167" s="262"/>
      <c r="KI167" s="262"/>
      <c r="KJ167" s="262"/>
      <c r="KK167" s="262"/>
      <c r="KL167" s="262"/>
      <c r="KM167" s="262"/>
      <c r="KN167" s="262"/>
      <c r="KO167" s="262"/>
      <c r="KP167" s="262"/>
      <c r="KQ167" s="262"/>
      <c r="KR167" s="262"/>
      <c r="KS167" s="262"/>
      <c r="KT167" s="262"/>
      <c r="KU167" s="262"/>
      <c r="KV167" s="262"/>
      <c r="KW167" s="262"/>
      <c r="KX167" s="262"/>
      <c r="KY167" s="262"/>
      <c r="KZ167" s="262"/>
      <c r="LA167" s="262"/>
      <c r="LB167" s="262"/>
      <c r="LC167" s="262"/>
      <c r="LD167" s="262"/>
      <c r="LE167" s="262"/>
      <c r="LF167" s="262"/>
      <c r="LG167" s="262"/>
      <c r="LH167" s="262"/>
      <c r="LI167" s="262"/>
      <c r="LJ167" s="262"/>
      <c r="LK167" s="262"/>
      <c r="LL167" s="262"/>
      <c r="LM167" s="262"/>
      <c r="LN167" s="262"/>
      <c r="LO167" s="262"/>
      <c r="LP167" s="262"/>
      <c r="LQ167" s="262"/>
      <c r="LR167" s="262"/>
      <c r="LS167" s="262"/>
      <c r="LT167" s="262"/>
      <c r="LU167" s="262"/>
      <c r="LV167" s="262"/>
      <c r="LW167" s="262"/>
      <c r="LX167" s="262"/>
      <c r="LY167" s="262"/>
      <c r="LZ167" s="262"/>
      <c r="MA167" s="262"/>
      <c r="MB167" s="262"/>
      <c r="MC167" s="262"/>
      <c r="MD167" s="262"/>
      <c r="ME167" s="262"/>
      <c r="MF167" s="262"/>
      <c r="MG167" s="262"/>
      <c r="MH167" s="262"/>
      <c r="MI167" s="262"/>
      <c r="MJ167" s="262"/>
      <c r="MK167" s="262"/>
      <c r="ML167" s="262"/>
      <c r="MM167" s="262"/>
      <c r="MN167" s="262"/>
      <c r="MO167" s="262"/>
      <c r="MP167" s="262"/>
      <c r="MQ167" s="262"/>
      <c r="MR167" s="262"/>
      <c r="MS167" s="262"/>
      <c r="MT167" s="262"/>
      <c r="MU167" s="262"/>
      <c r="MV167" s="262"/>
      <c r="MW167" s="262"/>
      <c r="MX167" s="262"/>
      <c r="MY167" s="262"/>
      <c r="MZ167" s="262"/>
      <c r="NA167" s="262"/>
      <c r="NB167" s="262"/>
      <c r="NC167" s="262"/>
      <c r="ND167" s="262"/>
      <c r="NE167" s="262"/>
      <c r="NF167" s="262"/>
      <c r="NG167" s="262"/>
      <c r="NH167" s="262"/>
      <c r="NI167" s="262"/>
      <c r="NJ167" s="262"/>
      <c r="NK167" s="262"/>
      <c r="NL167" s="262"/>
      <c r="NM167" s="262"/>
      <c r="NN167" s="262"/>
      <c r="NO167" s="262"/>
      <c r="NP167" s="262"/>
      <c r="NQ167" s="262"/>
      <c r="NR167" s="262"/>
      <c r="NS167" s="262"/>
      <c r="NT167" s="262"/>
      <c r="NU167" s="262"/>
      <c r="NV167" s="262"/>
      <c r="NW167" s="262"/>
      <c r="NX167" s="262"/>
      <c r="NY167" s="262"/>
      <c r="NZ167" s="262"/>
      <c r="OA167" s="262"/>
      <c r="OB167" s="262"/>
      <c r="OC167" s="262"/>
      <c r="OD167" s="262"/>
      <c r="OE167" s="262"/>
      <c r="OF167" s="262"/>
      <c r="OG167" s="262"/>
      <c r="OH167" s="262"/>
      <c r="OI167" s="262"/>
      <c r="OJ167" s="262"/>
      <c r="OK167" s="262"/>
      <c r="OL167" s="262"/>
      <c r="OM167" s="262"/>
      <c r="ON167" s="262"/>
      <c r="OO167" s="262"/>
      <c r="OP167" s="262"/>
      <c r="OQ167" s="262"/>
      <c r="OR167" s="262"/>
      <c r="OS167" s="262"/>
      <c r="OT167" s="262"/>
      <c r="OU167" s="262"/>
      <c r="OV167" s="262"/>
      <c r="OW167" s="262"/>
      <c r="OX167" s="262"/>
      <c r="OY167" s="262"/>
      <c r="OZ167" s="262"/>
      <c r="PA167" s="262"/>
      <c r="PB167" s="262"/>
      <c r="PC167" s="262"/>
      <c r="PD167" s="262"/>
      <c r="PE167" s="262"/>
      <c r="PF167" s="262"/>
      <c r="PG167" s="262"/>
      <c r="PH167" s="262"/>
    </row>
    <row r="168" spans="1:424" x14ac:dyDescent="0.35">
      <c r="A168"/>
      <c r="B168" s="444" t="s">
        <v>352</v>
      </c>
      <c r="C168" s="400"/>
      <c r="D168" s="400"/>
      <c r="E168" s="502"/>
      <c r="F168" s="502"/>
      <c r="G168" s="40"/>
      <c r="H168" s="474">
        <f>+I126</f>
        <v>30261921.747395799</v>
      </c>
      <c r="I168" s="507">
        <f>MAX(SUM(INDEX($L$126:$EN$126,1,Timing_Reversion_Month+1):INDEX($L$126:$EN$126,1,Timing_Reversion_Month+12)))</f>
        <v>31793931.535857707</v>
      </c>
      <c r="J168" s="395"/>
      <c r="K168" s="508" t="s">
        <v>353</v>
      </c>
      <c r="L168"/>
      <c r="M168" s="505">
        <v>0</v>
      </c>
      <c r="N168" s="286"/>
      <c r="O168" s="505">
        <v>0</v>
      </c>
      <c r="P168" s="505">
        <v>0</v>
      </c>
      <c r="Q168"/>
      <c r="R168" s="290">
        <f t="shared" si="508"/>
        <v>6.5000000000000002E-2</v>
      </c>
      <c r="S168" s="92">
        <f t="shared" si="505"/>
        <v>6.7008196721311475E-2</v>
      </c>
      <c r="T168" s="290">
        <f t="shared" si="509"/>
        <v>6.7500000000000004E-2</v>
      </c>
      <c r="U168"/>
      <c r="V168" s="417">
        <f t="shared" si="506"/>
        <v>0</v>
      </c>
      <c r="W168" s="417">
        <f t="shared" si="507"/>
        <v>0</v>
      </c>
      <c r="X168" s="396"/>
      <c r="Y168" s="396"/>
      <c r="Z168" s="396"/>
      <c r="AA168" s="396"/>
      <c r="AB168" s="396"/>
      <c r="AC168" s="396"/>
      <c r="AD168" s="396"/>
      <c r="AE168" s="396"/>
      <c r="AF168" s="396"/>
      <c r="AG168" s="396"/>
      <c r="AH168" s="396"/>
      <c r="AI168" s="396"/>
      <c r="AJ168" s="396"/>
      <c r="AK168" s="396"/>
      <c r="AL168" s="396"/>
      <c r="AM168" s="396"/>
      <c r="AN168" s="396"/>
      <c r="AO168" s="396"/>
      <c r="AP168" s="396"/>
      <c r="AQ168" s="396"/>
      <c r="AR168" s="396"/>
      <c r="AS168" s="396"/>
      <c r="AT168" s="396"/>
      <c r="AU168" s="396"/>
      <c r="AV168" s="396"/>
      <c r="AW168" s="396"/>
      <c r="AX168" s="396"/>
      <c r="AY168" s="396"/>
      <c r="AZ168" s="396"/>
      <c r="BA168" s="396"/>
      <c r="BB168" s="396"/>
      <c r="BC168" s="396"/>
      <c r="BD168" s="396"/>
      <c r="BE168" s="396"/>
      <c r="BF168" s="396"/>
      <c r="BG168" s="396"/>
      <c r="BH168" s="396"/>
      <c r="BI168" s="396"/>
      <c r="BJ168" s="396"/>
      <c r="BK168" s="396"/>
      <c r="BL168" s="396"/>
      <c r="BM168" s="396"/>
      <c r="BN168" s="396"/>
      <c r="BO168" s="396"/>
      <c r="BP168" s="396"/>
      <c r="BQ168" s="396"/>
      <c r="BR168" s="396"/>
      <c r="BS168" s="396"/>
      <c r="BT168" s="396"/>
      <c r="BU168" s="396"/>
      <c r="BV168" s="396"/>
      <c r="BW168" s="396"/>
      <c r="BX168" s="396"/>
      <c r="BY168" s="396"/>
      <c r="BZ168" s="396"/>
      <c r="CA168" s="396"/>
      <c r="CB168" s="396"/>
      <c r="CC168" s="396"/>
      <c r="CD168" s="396"/>
      <c r="CE168" s="396"/>
      <c r="CF168" s="396"/>
      <c r="CG168" s="396"/>
      <c r="CH168" s="396"/>
      <c r="CI168" s="396"/>
      <c r="CJ168" s="396"/>
      <c r="CK168" s="396"/>
      <c r="CL168" s="396"/>
      <c r="CM168" s="396"/>
      <c r="CN168" s="396"/>
      <c r="CO168" s="396"/>
      <c r="CP168" s="396"/>
      <c r="CQ168" s="396"/>
      <c r="CR168" s="396"/>
      <c r="CS168" s="396"/>
      <c r="CT168" s="396"/>
      <c r="CU168" s="396"/>
      <c r="CV168" s="396"/>
      <c r="CW168" s="396"/>
      <c r="CX168" s="396"/>
      <c r="CY168" s="396"/>
      <c r="CZ168" s="396"/>
      <c r="DA168" s="396"/>
      <c r="DB168" s="396"/>
      <c r="DC168" s="396"/>
      <c r="DD168" s="396"/>
      <c r="DE168" s="396"/>
      <c r="DF168" s="396"/>
      <c r="DG168" s="396"/>
      <c r="DH168" s="396"/>
      <c r="DI168" s="396"/>
      <c r="DJ168" s="396"/>
      <c r="DK168" s="396"/>
      <c r="DL168" s="396"/>
      <c r="DM168" s="396"/>
      <c r="DN168" s="396"/>
      <c r="DO168" s="396"/>
      <c r="DP168" s="396"/>
      <c r="DQ168" s="396"/>
      <c r="DR168" s="396"/>
      <c r="DS168" s="396"/>
      <c r="DT168" s="396"/>
      <c r="DU168" s="396"/>
      <c r="DV168" s="396"/>
      <c r="DW168" s="396"/>
      <c r="DX168" s="396"/>
      <c r="DY168" s="396"/>
      <c r="DZ168" s="396"/>
      <c r="EA168" s="396"/>
      <c r="EB168" s="396"/>
      <c r="EC168" s="396"/>
      <c r="ED168" s="396"/>
      <c r="EE168" s="396"/>
      <c r="EF168" s="396"/>
      <c r="EG168" s="396"/>
      <c r="EH168" s="396"/>
      <c r="EI168" s="396"/>
      <c r="EJ168" s="396"/>
      <c r="EK168" s="396"/>
      <c r="EL168" s="396"/>
      <c r="EM168" s="396"/>
      <c r="EN168" s="396"/>
      <c r="EO168" s="396"/>
      <c r="EP168" s="219"/>
      <c r="EQ168" s="18"/>
      <c r="ER168" s="18"/>
      <c r="ES168" s="18"/>
      <c r="ET168" s="18"/>
      <c r="EU168" s="18"/>
      <c r="EV168" s="18"/>
      <c r="EW168" s="18"/>
      <c r="EX168" s="18"/>
      <c r="EY168" s="18"/>
      <c r="EZ168" s="18"/>
      <c r="FA168" s="18"/>
      <c r="FB168" s="18"/>
      <c r="FC168" s="18"/>
      <c r="FD168" s="18"/>
      <c r="FE168" s="18"/>
      <c r="FF168" s="18"/>
      <c r="FG168" s="18"/>
      <c r="FH168" s="18"/>
      <c r="FI168" s="18"/>
      <c r="FJ168" s="18"/>
      <c r="FK168" s="18"/>
      <c r="FL168" s="18"/>
      <c r="FM168" s="18"/>
      <c r="FN168" s="18"/>
      <c r="FO168" s="18"/>
      <c r="FP168" s="18"/>
      <c r="FQ168" s="18"/>
      <c r="FR168" s="18"/>
      <c r="FS168" s="18"/>
      <c r="FT168" s="18"/>
      <c r="FU168" s="18"/>
      <c r="FV168" s="18"/>
      <c r="FW168" s="18"/>
      <c r="FX168" s="18"/>
      <c r="FY168" s="18"/>
      <c r="FZ168" s="18"/>
      <c r="GA168" s="18"/>
      <c r="GB168" s="18"/>
      <c r="GC168" s="18"/>
      <c r="GD168" s="18"/>
      <c r="GE168" s="18"/>
      <c r="GF168" s="18"/>
      <c r="GG168" s="18"/>
      <c r="GH168" s="18"/>
      <c r="GI168" s="18"/>
      <c r="GJ168" s="18"/>
      <c r="GK168" s="18"/>
      <c r="GL168" s="18"/>
      <c r="GM168" s="18"/>
      <c r="GN168" s="18"/>
      <c r="GO168" s="18"/>
      <c r="GP168" s="18"/>
      <c r="GQ168" s="18"/>
      <c r="GR168" s="18"/>
      <c r="GS168" s="18"/>
      <c r="GT168" s="18"/>
      <c r="GU168" s="18"/>
      <c r="GV168" s="18"/>
      <c r="GW168" s="18"/>
      <c r="GX168" s="18"/>
      <c r="GY168" s="18"/>
      <c r="GZ168" s="18"/>
      <c r="HA168" s="18"/>
      <c r="HB168" s="18"/>
      <c r="HC168" s="18"/>
      <c r="HD168" s="18"/>
      <c r="HE168" s="18"/>
      <c r="HF168" s="18"/>
      <c r="HG168" s="18"/>
      <c r="HH168" s="18"/>
      <c r="HI168" s="18"/>
      <c r="HJ168" s="18"/>
      <c r="HK168" s="18"/>
      <c r="HL168" s="18"/>
      <c r="HM168" s="18"/>
      <c r="HN168" s="18"/>
      <c r="HO168" s="18"/>
      <c r="HP168" s="18"/>
      <c r="HQ168" s="18"/>
      <c r="HR168" s="18"/>
      <c r="HS168" s="18"/>
      <c r="HT168" s="18"/>
      <c r="HU168" s="18"/>
      <c r="HV168" s="18"/>
      <c r="HW168" s="18"/>
      <c r="HX168" s="18"/>
      <c r="HY168" s="18"/>
      <c r="HZ168" s="18"/>
      <c r="IA168" s="18"/>
      <c r="IB168" s="18"/>
      <c r="IC168" s="18"/>
      <c r="ID168" s="18"/>
      <c r="IE168" s="18"/>
      <c r="IF168" s="18"/>
      <c r="IG168" s="18"/>
      <c r="IH168" s="18"/>
      <c r="II168" s="18"/>
      <c r="IJ168" s="18"/>
      <c r="IK168" s="18"/>
      <c r="IL168" s="18"/>
      <c r="IM168" s="18"/>
      <c r="IN168" s="18"/>
      <c r="IO168" s="18"/>
      <c r="IP168" s="18"/>
      <c r="IQ168" s="18"/>
      <c r="IR168" s="18"/>
      <c r="IS168" s="18"/>
      <c r="IT168" s="18"/>
      <c r="IU168" s="18"/>
      <c r="IV168" s="18"/>
      <c r="IW168" s="18"/>
      <c r="IX168" s="18"/>
      <c r="IY168" s="18"/>
      <c r="IZ168" s="18"/>
      <c r="JA168" s="18"/>
      <c r="JB168" s="18"/>
      <c r="JC168" s="18"/>
      <c r="JD168" s="18"/>
      <c r="JE168" s="18"/>
      <c r="JF168" s="18"/>
      <c r="JG168" s="18"/>
      <c r="JH168" s="18"/>
      <c r="JI168" s="18"/>
      <c r="JJ168" s="18"/>
      <c r="JK168" s="18"/>
      <c r="JL168" s="18"/>
      <c r="JM168" s="18"/>
      <c r="JN168" s="18"/>
      <c r="JO168" s="18"/>
      <c r="JP168" s="18"/>
      <c r="JQ168" s="18"/>
      <c r="JR168" s="18"/>
      <c r="JS168" s="18"/>
      <c r="JT168" s="18"/>
      <c r="JU168" s="18"/>
      <c r="JV168" s="18"/>
      <c r="JW168" s="18"/>
      <c r="JX168" s="18"/>
      <c r="JY168"/>
      <c r="JZ168" s="262"/>
      <c r="KA168" s="262"/>
      <c r="KB168" s="262"/>
      <c r="KC168" s="262"/>
      <c r="KD168" s="262"/>
      <c r="KE168" s="262"/>
      <c r="KF168" s="262"/>
      <c r="KG168" s="262"/>
      <c r="KH168" s="262"/>
      <c r="KI168" s="262"/>
      <c r="KJ168" s="262"/>
      <c r="KK168" s="262"/>
      <c r="KL168" s="262"/>
      <c r="KM168" s="262"/>
      <c r="KN168" s="262"/>
      <c r="KO168" s="262"/>
      <c r="KP168" s="262"/>
      <c r="KQ168" s="262"/>
      <c r="KR168" s="262"/>
      <c r="KS168" s="262"/>
      <c r="KT168" s="262"/>
      <c r="KU168" s="262"/>
      <c r="KV168" s="262"/>
      <c r="KW168" s="262"/>
      <c r="KX168" s="262"/>
      <c r="KY168" s="262"/>
      <c r="KZ168" s="262"/>
      <c r="LA168" s="262"/>
      <c r="LB168" s="262"/>
      <c r="LC168" s="262"/>
      <c r="LD168" s="262"/>
      <c r="LE168" s="262"/>
      <c r="LF168" s="262"/>
      <c r="LG168" s="262"/>
      <c r="LH168" s="262"/>
      <c r="LI168" s="262"/>
      <c r="LJ168" s="262"/>
      <c r="LK168" s="262"/>
      <c r="LL168" s="262"/>
      <c r="LM168" s="262"/>
      <c r="LN168" s="262"/>
      <c r="LO168" s="262"/>
      <c r="LP168" s="262"/>
      <c r="LQ168" s="262"/>
      <c r="LR168" s="262"/>
      <c r="LS168" s="262"/>
      <c r="LT168" s="262"/>
      <c r="LU168" s="262"/>
      <c r="LV168" s="262"/>
      <c r="LW168" s="262"/>
      <c r="LX168" s="262"/>
      <c r="LY168" s="262"/>
      <c r="LZ168" s="262"/>
      <c r="MA168" s="262"/>
      <c r="MB168" s="262"/>
      <c r="MC168" s="262"/>
      <c r="MD168" s="262"/>
      <c r="ME168" s="262"/>
      <c r="MF168" s="262"/>
      <c r="MG168" s="262"/>
      <c r="MH168" s="262"/>
      <c r="MI168" s="262"/>
      <c r="MJ168" s="262"/>
      <c r="MK168" s="262"/>
      <c r="ML168" s="262"/>
      <c r="MM168" s="262"/>
      <c r="MN168" s="262"/>
      <c r="MO168" s="262"/>
      <c r="MP168" s="262"/>
      <c r="MQ168" s="262"/>
      <c r="MR168" s="262"/>
      <c r="MS168" s="262"/>
      <c r="MT168" s="262"/>
      <c r="MU168" s="262"/>
      <c r="MV168" s="262"/>
      <c r="MW168" s="262"/>
      <c r="MX168" s="262"/>
      <c r="MY168" s="262"/>
      <c r="MZ168" s="262"/>
      <c r="NA168" s="262"/>
      <c r="NB168" s="262"/>
      <c r="NC168" s="262"/>
      <c r="ND168" s="262"/>
      <c r="NE168" s="262"/>
      <c r="NF168" s="262"/>
      <c r="NG168" s="262"/>
      <c r="NH168" s="262"/>
      <c r="NI168" s="262"/>
      <c r="NJ168" s="262"/>
      <c r="NK168" s="262"/>
      <c r="NL168" s="262"/>
      <c r="NM168" s="262"/>
      <c r="NN168" s="262"/>
      <c r="NO168" s="262"/>
      <c r="NP168" s="262"/>
      <c r="NQ168" s="262"/>
      <c r="NR168" s="262"/>
      <c r="NS168" s="262"/>
      <c r="NT168" s="262"/>
      <c r="NU168" s="262"/>
      <c r="NV168" s="262"/>
      <c r="NW168" s="262"/>
      <c r="NX168" s="262"/>
      <c r="NY168" s="262"/>
      <c r="NZ168" s="262"/>
      <c r="OA168" s="262"/>
      <c r="OB168" s="262"/>
      <c r="OC168" s="262"/>
      <c r="OD168" s="262"/>
      <c r="OE168" s="262"/>
      <c r="OF168" s="262"/>
      <c r="OG168" s="262"/>
      <c r="OH168" s="262"/>
      <c r="OI168" s="262"/>
      <c r="OJ168" s="262"/>
      <c r="OK168" s="262"/>
      <c r="OL168" s="262"/>
      <c r="OM168" s="262"/>
      <c r="ON168" s="262"/>
      <c r="OO168" s="262"/>
      <c r="OP168" s="262"/>
      <c r="OQ168" s="262"/>
      <c r="OR168" s="262"/>
      <c r="OS168" s="262"/>
      <c r="OT168" s="262"/>
      <c r="OU168" s="262"/>
      <c r="OV168" s="262"/>
      <c r="OW168" s="262"/>
      <c r="OX168" s="262"/>
      <c r="OY168" s="262"/>
      <c r="OZ168" s="262"/>
      <c r="PA168" s="262"/>
      <c r="PB168" s="262"/>
      <c r="PC168" s="262"/>
      <c r="PD168" s="262"/>
      <c r="PE168" s="262"/>
      <c r="PF168" s="262"/>
      <c r="PG168" s="262"/>
      <c r="PH168" s="262"/>
    </row>
    <row r="169" spans="1:424" x14ac:dyDescent="0.35">
      <c r="A169"/>
      <c r="B169" s="34" t="s">
        <v>354</v>
      </c>
      <c r="C169" s="400"/>
      <c r="D169" s="400"/>
      <c r="E169" s="502"/>
      <c r="F169" s="502"/>
      <c r="G169" s="40"/>
      <c r="H169" s="445">
        <f>SUM(H166:H168)</f>
        <v>48830200.368285805</v>
      </c>
      <c r="I169" s="424">
        <f>SUM(I166:I168)</f>
        <v>52215580.384524018</v>
      </c>
      <c r="J169" s="395"/>
      <c r="K169" s="508" t="s">
        <v>353</v>
      </c>
      <c r="L169"/>
      <c r="M169" s="505">
        <v>0</v>
      </c>
      <c r="N169" s="286"/>
      <c r="O169" s="505">
        <v>0</v>
      </c>
      <c r="P169" s="505">
        <v>0</v>
      </c>
      <c r="Q169"/>
      <c r="R169" s="290">
        <f t="shared" si="508"/>
        <v>6.5000000000000002E-2</v>
      </c>
      <c r="S169" s="92">
        <f t="shared" si="505"/>
        <v>6.7008196721311475E-2</v>
      </c>
      <c r="T169" s="290">
        <f t="shared" si="509"/>
        <v>6.7500000000000004E-2</v>
      </c>
      <c r="U169"/>
      <c r="V169" s="417">
        <f t="shared" si="506"/>
        <v>0</v>
      </c>
      <c r="W169" s="417">
        <f t="shared" si="507"/>
        <v>0</v>
      </c>
      <c r="X169" s="396"/>
      <c r="Y169" s="396"/>
      <c r="Z169" s="396"/>
      <c r="AA169" s="396"/>
      <c r="AB169" s="396"/>
      <c r="AC169" s="396"/>
      <c r="AD169" s="396"/>
      <c r="AE169" s="396"/>
      <c r="AF169" s="396"/>
      <c r="AG169" s="396"/>
      <c r="AH169" s="396"/>
      <c r="AI169" s="396"/>
      <c r="AJ169" s="396"/>
      <c r="AK169" s="396"/>
      <c r="AL169" s="396"/>
      <c r="AM169" s="396"/>
      <c r="AN169" s="396"/>
      <c r="AO169" s="396"/>
      <c r="AP169" s="396"/>
      <c r="AQ169" s="396"/>
      <c r="AR169" s="396"/>
      <c r="AS169" s="396"/>
      <c r="AT169" s="396"/>
      <c r="AU169" s="396"/>
      <c r="AV169" s="396"/>
      <c r="AW169" s="396"/>
      <c r="AX169" s="396"/>
      <c r="AY169" s="396"/>
      <c r="AZ169" s="396"/>
      <c r="BA169" s="396"/>
      <c r="BB169" s="396"/>
      <c r="BC169" s="396"/>
      <c r="BD169" s="396"/>
      <c r="BE169" s="396"/>
      <c r="BF169" s="396"/>
      <c r="BG169" s="396"/>
      <c r="BH169" s="396"/>
      <c r="BI169" s="396"/>
      <c r="BJ169" s="396"/>
      <c r="BK169" s="396"/>
      <c r="BL169" s="396"/>
      <c r="BM169" s="396"/>
      <c r="BN169" s="396"/>
      <c r="BO169" s="396"/>
      <c r="BP169" s="396"/>
      <c r="BQ169" s="396"/>
      <c r="BR169" s="396"/>
      <c r="BS169" s="396"/>
      <c r="BT169" s="396"/>
      <c r="BU169" s="396"/>
      <c r="BV169" s="396"/>
      <c r="BW169" s="396"/>
      <c r="BX169" s="396"/>
      <c r="BY169" s="396"/>
      <c r="BZ169" s="396"/>
      <c r="CA169" s="396"/>
      <c r="CB169" s="396"/>
      <c r="CC169" s="396"/>
      <c r="CD169" s="396"/>
      <c r="CE169" s="396"/>
      <c r="CF169" s="396"/>
      <c r="CG169" s="396"/>
      <c r="CH169" s="396"/>
      <c r="CI169" s="396"/>
      <c r="CJ169" s="396"/>
      <c r="CK169" s="396"/>
      <c r="CL169" s="396"/>
      <c r="CM169" s="396"/>
      <c r="CN169" s="396"/>
      <c r="CO169" s="396"/>
      <c r="CP169" s="396"/>
      <c r="CQ169" s="396"/>
      <c r="CR169" s="396"/>
      <c r="CS169" s="396"/>
      <c r="CT169" s="396"/>
      <c r="CU169" s="396"/>
      <c r="CV169" s="396"/>
      <c r="CW169" s="396"/>
      <c r="CX169" s="396"/>
      <c r="CY169" s="396"/>
      <c r="CZ169" s="396"/>
      <c r="DA169" s="396"/>
      <c r="DB169" s="396"/>
      <c r="DC169" s="396"/>
      <c r="DD169" s="396"/>
      <c r="DE169" s="396"/>
      <c r="DF169" s="396"/>
      <c r="DG169" s="396"/>
      <c r="DH169" s="396"/>
      <c r="DI169" s="396"/>
      <c r="DJ169" s="396"/>
      <c r="DK169" s="396"/>
      <c r="DL169" s="396"/>
      <c r="DM169" s="396"/>
      <c r="DN169" s="396"/>
      <c r="DO169" s="396"/>
      <c r="DP169" s="396"/>
      <c r="DQ169" s="396"/>
      <c r="DR169" s="396"/>
      <c r="DS169" s="396"/>
      <c r="DT169" s="396"/>
      <c r="DU169" s="396"/>
      <c r="DV169" s="396"/>
      <c r="DW169" s="396"/>
      <c r="DX169" s="396"/>
      <c r="DY169" s="396"/>
      <c r="DZ169" s="396"/>
      <c r="EA169" s="396"/>
      <c r="EB169" s="396"/>
      <c r="EC169" s="396"/>
      <c r="ED169" s="396"/>
      <c r="EE169" s="396"/>
      <c r="EF169" s="396"/>
      <c r="EG169" s="396"/>
      <c r="EH169" s="396"/>
      <c r="EI169" s="396"/>
      <c r="EJ169" s="396"/>
      <c r="EK169" s="396"/>
      <c r="EL169" s="396"/>
      <c r="EM169" s="396"/>
      <c r="EN169" s="396"/>
      <c r="EO169" s="396"/>
      <c r="EP169" s="219"/>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c r="JZ169" s="262"/>
      <c r="KA169" s="262"/>
      <c r="KB169" s="262"/>
      <c r="KC169" s="262"/>
      <c r="KD169" s="262"/>
      <c r="KE169" s="262"/>
      <c r="KF169" s="262"/>
      <c r="KG169" s="262"/>
      <c r="KH169" s="262"/>
      <c r="KI169" s="262"/>
      <c r="KJ169" s="262"/>
      <c r="KK169" s="262"/>
      <c r="KL169" s="262"/>
      <c r="KM169" s="262"/>
      <c r="KN169" s="262"/>
      <c r="KO169" s="262"/>
      <c r="KP169" s="262"/>
      <c r="KQ169" s="262"/>
      <c r="KR169" s="262"/>
      <c r="KS169" s="262"/>
      <c r="KT169" s="262"/>
      <c r="KU169" s="262"/>
      <c r="KV169" s="262"/>
      <c r="KW169" s="262"/>
      <c r="KX169" s="262"/>
      <c r="KY169" s="262"/>
      <c r="KZ169" s="262"/>
      <c r="LA169" s="262"/>
      <c r="LB169" s="262"/>
      <c r="LC169" s="262"/>
      <c r="LD169" s="262"/>
      <c r="LE169" s="262"/>
      <c r="LF169" s="262"/>
      <c r="LG169" s="262"/>
      <c r="LH169" s="262"/>
      <c r="LI169" s="262"/>
      <c r="LJ169" s="262"/>
      <c r="LK169" s="262"/>
      <c r="LL169" s="262"/>
      <c r="LM169" s="262"/>
      <c r="LN169" s="262"/>
      <c r="LO169" s="262"/>
      <c r="LP169" s="262"/>
      <c r="LQ169" s="262"/>
      <c r="LR169" s="262"/>
      <c r="LS169" s="262"/>
      <c r="LT169" s="262"/>
      <c r="LU169" s="262"/>
      <c r="LV169" s="262"/>
      <c r="LW169" s="262"/>
      <c r="LX169" s="262"/>
      <c r="LY169" s="262"/>
      <c r="LZ169" s="262"/>
      <c r="MA169" s="262"/>
      <c r="MB169" s="262"/>
      <c r="MC169" s="262"/>
      <c r="MD169" s="262"/>
      <c r="ME169" s="262"/>
      <c r="MF169" s="262"/>
      <c r="MG169" s="262"/>
      <c r="MH169" s="262"/>
      <c r="MI169" s="262"/>
      <c r="MJ169" s="262"/>
      <c r="MK169" s="262"/>
      <c r="ML169" s="262"/>
      <c r="MM169" s="262"/>
      <c r="MN169" s="262"/>
      <c r="MO169" s="262"/>
      <c r="MP169" s="262"/>
      <c r="MQ169" s="262"/>
      <c r="MR169" s="262"/>
      <c r="MS169" s="262"/>
      <c r="MT169" s="262"/>
      <c r="MU169" s="262"/>
      <c r="MV169" s="262"/>
      <c r="MW169" s="262"/>
      <c r="MX169" s="262"/>
      <c r="MY169" s="262"/>
      <c r="MZ169" s="262"/>
      <c r="NA169" s="262"/>
      <c r="NB169" s="262"/>
      <c r="NC169" s="262"/>
      <c r="ND169" s="262"/>
      <c r="NE169" s="262"/>
      <c r="NF169" s="262"/>
      <c r="NG169" s="262"/>
      <c r="NH169" s="262"/>
      <c r="NI169" s="262"/>
      <c r="NJ169" s="262"/>
      <c r="NK169" s="262"/>
      <c r="NL169" s="262"/>
      <c r="NM169" s="262"/>
      <c r="NN169" s="262"/>
      <c r="NO169" s="262"/>
      <c r="NP169" s="262"/>
      <c r="NQ169" s="262"/>
      <c r="NR169" s="262"/>
      <c r="NS169" s="262"/>
      <c r="NT169" s="262"/>
      <c r="NU169" s="262"/>
      <c r="NV169" s="262"/>
      <c r="NW169" s="262"/>
      <c r="NX169" s="262"/>
      <c r="NY169" s="262"/>
      <c r="NZ169" s="262"/>
      <c r="OA169" s="262"/>
      <c r="OB169" s="262"/>
      <c r="OC169" s="262"/>
      <c r="OD169" s="262"/>
      <c r="OE169" s="262"/>
      <c r="OF169" s="262"/>
      <c r="OG169" s="262"/>
      <c r="OH169" s="262"/>
      <c r="OI169" s="262"/>
      <c r="OJ169" s="262"/>
      <c r="OK169" s="262"/>
      <c r="OL169" s="262"/>
      <c r="OM169" s="262"/>
      <c r="ON169" s="262"/>
      <c r="OO169" s="262"/>
      <c r="OP169" s="262"/>
      <c r="OQ169" s="262"/>
      <c r="OR169" s="262"/>
      <c r="OS169" s="262"/>
      <c r="OT169" s="262"/>
      <c r="OU169" s="262"/>
      <c r="OV169" s="262"/>
      <c r="OW169" s="262"/>
      <c r="OX169" s="262"/>
      <c r="OY169" s="262"/>
      <c r="OZ169" s="262"/>
      <c r="PA169" s="262"/>
      <c r="PB169" s="262"/>
      <c r="PC169" s="262"/>
      <c r="PD169" s="262"/>
      <c r="PE169" s="262"/>
      <c r="PF169" s="262"/>
      <c r="PG169" s="262"/>
      <c r="PH169" s="262"/>
    </row>
    <row r="170" spans="1:424" x14ac:dyDescent="0.35">
      <c r="A170"/>
      <c r="B170" s="444" t="s">
        <v>355</v>
      </c>
      <c r="C170" s="400"/>
      <c r="D170" s="400"/>
      <c r="E170" s="502"/>
      <c r="F170" s="502"/>
      <c r="G170" s="44"/>
      <c r="H170" s="474">
        <f>+I129</f>
        <v>0</v>
      </c>
      <c r="I170" s="507">
        <f>MAX(SUM(INDEX($L$129:$EN$129,1,Timing_Reversion_Month+1):INDEX($L$129:$EN$129,1,Timing_Reversion_Month+12)))</f>
        <v>0</v>
      </c>
      <c r="J170" s="395"/>
      <c r="K170" s="508" t="s">
        <v>353</v>
      </c>
      <c r="L170"/>
      <c r="M170" s="505">
        <v>0</v>
      </c>
      <c r="N170" s="286"/>
      <c r="O170" s="505">
        <v>0</v>
      </c>
      <c r="P170" s="505">
        <v>0</v>
      </c>
      <c r="Q170"/>
      <c r="R170" s="290">
        <f t="shared" si="508"/>
        <v>6.5000000000000002E-2</v>
      </c>
      <c r="S170" s="92">
        <f t="shared" si="505"/>
        <v>6.7008196721311475E-2</v>
      </c>
      <c r="T170" s="290">
        <f t="shared" si="509"/>
        <v>6.7500000000000004E-2</v>
      </c>
      <c r="U170"/>
      <c r="V170" s="417">
        <f t="shared" si="506"/>
        <v>0</v>
      </c>
      <c r="W170" s="417">
        <f t="shared" si="507"/>
        <v>0</v>
      </c>
      <c r="X170" s="396"/>
      <c r="Y170" s="396"/>
      <c r="Z170" s="396"/>
      <c r="AA170" s="396"/>
      <c r="AB170" s="396"/>
      <c r="AC170" s="396"/>
      <c r="AD170" s="396"/>
      <c r="AE170" s="396"/>
      <c r="AF170" s="396"/>
      <c r="AG170" s="396"/>
      <c r="AH170" s="396"/>
      <c r="AI170" s="396"/>
      <c r="AJ170" s="396"/>
      <c r="AK170" s="396"/>
      <c r="AL170" s="396"/>
      <c r="AM170" s="396"/>
      <c r="AN170" s="396"/>
      <c r="AO170" s="396"/>
      <c r="AP170" s="396"/>
      <c r="AQ170" s="396"/>
      <c r="AR170" s="396"/>
      <c r="AS170" s="396"/>
      <c r="AT170" s="396"/>
      <c r="AU170" s="396"/>
      <c r="AV170" s="396"/>
      <c r="AW170" s="396"/>
      <c r="AX170" s="396"/>
      <c r="AY170" s="396"/>
      <c r="AZ170" s="396"/>
      <c r="BA170" s="396"/>
      <c r="BB170" s="396"/>
      <c r="BC170" s="396"/>
      <c r="BD170" s="396"/>
      <c r="BE170" s="396"/>
      <c r="BF170" s="396"/>
      <c r="BG170" s="396"/>
      <c r="BH170" s="396"/>
      <c r="BI170" s="396"/>
      <c r="BJ170" s="396"/>
      <c r="BK170" s="396"/>
      <c r="BL170" s="396"/>
      <c r="BM170" s="396"/>
      <c r="BN170" s="396"/>
      <c r="BO170" s="396"/>
      <c r="BP170" s="396"/>
      <c r="BQ170" s="396"/>
      <c r="BR170" s="396"/>
      <c r="BS170" s="396"/>
      <c r="BT170" s="396"/>
      <c r="BU170" s="396"/>
      <c r="BV170" s="396"/>
      <c r="BW170" s="396"/>
      <c r="BX170" s="396"/>
      <c r="BY170" s="396"/>
      <c r="BZ170" s="396"/>
      <c r="CA170" s="396"/>
      <c r="CB170" s="396"/>
      <c r="CC170" s="396"/>
      <c r="CD170" s="396"/>
      <c r="CE170" s="396"/>
      <c r="CF170" s="396"/>
      <c r="CG170" s="396"/>
      <c r="CH170" s="396"/>
      <c r="CI170" s="396"/>
      <c r="CJ170" s="396"/>
      <c r="CK170" s="396"/>
      <c r="CL170" s="396"/>
      <c r="CM170" s="396"/>
      <c r="CN170" s="396"/>
      <c r="CO170" s="396"/>
      <c r="CP170" s="396"/>
      <c r="CQ170" s="396"/>
      <c r="CR170" s="396"/>
      <c r="CS170" s="396"/>
      <c r="CT170" s="396"/>
      <c r="CU170" s="396"/>
      <c r="CV170" s="396"/>
      <c r="CW170" s="396"/>
      <c r="CX170" s="396"/>
      <c r="CY170" s="396"/>
      <c r="CZ170" s="396"/>
      <c r="DA170" s="396"/>
      <c r="DB170" s="396"/>
      <c r="DC170" s="396"/>
      <c r="DD170" s="396"/>
      <c r="DE170" s="396"/>
      <c r="DF170" s="396"/>
      <c r="DG170" s="396"/>
      <c r="DH170" s="396"/>
      <c r="DI170" s="396"/>
      <c r="DJ170" s="396"/>
      <c r="DK170" s="396"/>
      <c r="DL170" s="396"/>
      <c r="DM170" s="396"/>
      <c r="DN170" s="396"/>
      <c r="DO170" s="396"/>
      <c r="DP170" s="396"/>
      <c r="DQ170" s="396"/>
      <c r="DR170" s="396"/>
      <c r="DS170" s="396"/>
      <c r="DT170" s="396"/>
      <c r="DU170" s="396"/>
      <c r="DV170" s="396"/>
      <c r="DW170" s="396"/>
      <c r="DX170" s="396"/>
      <c r="DY170" s="396"/>
      <c r="DZ170" s="396"/>
      <c r="EA170" s="396"/>
      <c r="EB170" s="396"/>
      <c r="EC170" s="396"/>
      <c r="ED170" s="396"/>
      <c r="EE170" s="396"/>
      <c r="EF170" s="396"/>
      <c r="EG170" s="396"/>
      <c r="EH170" s="396"/>
      <c r="EI170" s="396"/>
      <c r="EJ170" s="396"/>
      <c r="EK170" s="396"/>
      <c r="EL170" s="396"/>
      <c r="EM170" s="396"/>
      <c r="EN170" s="396"/>
      <c r="EO170" s="396"/>
      <c r="EP170" s="219"/>
      <c r="EQ170" s="18"/>
      <c r="ER170" s="18"/>
      <c r="ES170" s="18"/>
      <c r="ET170" s="18"/>
      <c r="EU170" s="18"/>
      <c r="EV170" s="18"/>
      <c r="EW170" s="18"/>
      <c r="EX170" s="18"/>
      <c r="EY170" s="18"/>
      <c r="EZ170" s="18"/>
      <c r="FA170" s="18"/>
      <c r="FB170" s="18"/>
      <c r="FC170" s="18"/>
      <c r="FD170" s="18"/>
      <c r="FE170" s="18"/>
      <c r="FF170" s="18"/>
      <c r="FG170" s="18"/>
      <c r="FH170" s="18"/>
      <c r="FI170" s="18"/>
      <c r="FJ170" s="18"/>
      <c r="FK170" s="18"/>
      <c r="FL170" s="18"/>
      <c r="FM170" s="18"/>
      <c r="FN170" s="18"/>
      <c r="FO170" s="18"/>
      <c r="FP170" s="18"/>
      <c r="FQ170" s="18"/>
      <c r="FR170" s="18"/>
      <c r="FS170" s="18"/>
      <c r="FT170" s="18"/>
      <c r="FU170" s="18"/>
      <c r="FV170" s="18"/>
      <c r="FW170" s="18"/>
      <c r="FX170" s="18"/>
      <c r="FY170" s="18"/>
      <c r="FZ170" s="18"/>
      <c r="GA170" s="18"/>
      <c r="GB170" s="18"/>
      <c r="GC170" s="18"/>
      <c r="GD170" s="18"/>
      <c r="GE170" s="18"/>
      <c r="GF170" s="18"/>
      <c r="GG170" s="18"/>
      <c r="GH170" s="18"/>
      <c r="GI170" s="18"/>
      <c r="GJ170" s="18"/>
      <c r="GK170" s="18"/>
      <c r="GL170" s="18"/>
      <c r="GM170" s="18"/>
      <c r="GN170" s="18"/>
      <c r="GO170" s="18"/>
      <c r="GP170" s="18"/>
      <c r="GQ170" s="18"/>
      <c r="GR170" s="18"/>
      <c r="GS170" s="18"/>
      <c r="GT170" s="18"/>
      <c r="GU170" s="18"/>
      <c r="GV170" s="18"/>
      <c r="GW170" s="18"/>
      <c r="GX170" s="18"/>
      <c r="GY170" s="18"/>
      <c r="GZ170" s="18"/>
      <c r="HA170" s="18"/>
      <c r="HB170" s="18"/>
      <c r="HC170" s="18"/>
      <c r="HD170" s="18"/>
      <c r="HE170" s="18"/>
      <c r="HF170" s="18"/>
      <c r="HG170" s="18"/>
      <c r="HH170" s="18"/>
      <c r="HI170" s="18"/>
      <c r="HJ170" s="18"/>
      <c r="HK170" s="18"/>
      <c r="HL170" s="18"/>
      <c r="HM170" s="18"/>
      <c r="HN170" s="18"/>
      <c r="HO170" s="18"/>
      <c r="HP170" s="18"/>
      <c r="HQ170" s="18"/>
      <c r="HR170" s="18"/>
      <c r="HS170" s="18"/>
      <c r="HT170" s="18"/>
      <c r="HU170" s="18"/>
      <c r="HV170" s="18"/>
      <c r="HW170" s="18"/>
      <c r="HX170" s="18"/>
      <c r="HY170" s="18"/>
      <c r="HZ170" s="18"/>
      <c r="IA170" s="18"/>
      <c r="IB170" s="18"/>
      <c r="IC170" s="18"/>
      <c r="ID170" s="18"/>
      <c r="IE170" s="18"/>
      <c r="IF170" s="18"/>
      <c r="IG170" s="18"/>
      <c r="IH170" s="18"/>
      <c r="II170" s="18"/>
      <c r="IJ170" s="18"/>
      <c r="IK170" s="18"/>
      <c r="IL170" s="18"/>
      <c r="IM170" s="18"/>
      <c r="IN170" s="18"/>
      <c r="IO170" s="18"/>
      <c r="IP170" s="18"/>
      <c r="IQ170" s="18"/>
      <c r="IR170" s="18"/>
      <c r="IS170" s="18"/>
      <c r="IT170" s="18"/>
      <c r="IU170" s="18"/>
      <c r="IV170" s="18"/>
      <c r="IW170" s="18"/>
      <c r="IX170" s="18"/>
      <c r="IY170" s="18"/>
      <c r="IZ170" s="18"/>
      <c r="JA170" s="18"/>
      <c r="JB170" s="18"/>
      <c r="JC170" s="18"/>
      <c r="JD170" s="18"/>
      <c r="JE170" s="18"/>
      <c r="JF170" s="18"/>
      <c r="JG170" s="18"/>
      <c r="JH170" s="18"/>
      <c r="JI170" s="18"/>
      <c r="JJ170" s="18"/>
      <c r="JK170" s="18"/>
      <c r="JL170" s="18"/>
      <c r="JM170" s="18"/>
      <c r="JN170" s="18"/>
      <c r="JO170" s="18"/>
      <c r="JP170" s="18"/>
      <c r="JQ170" s="18"/>
      <c r="JR170" s="18"/>
      <c r="JS170" s="18"/>
      <c r="JT170" s="18"/>
      <c r="JU170" s="18"/>
      <c r="JV170" s="18"/>
      <c r="JW170" s="18"/>
      <c r="JX170" s="18"/>
      <c r="JY170"/>
      <c r="JZ170" s="262"/>
      <c r="KA170" s="262"/>
      <c r="KB170" s="262"/>
      <c r="KC170" s="262"/>
      <c r="KD170" s="262"/>
      <c r="KE170" s="262"/>
      <c r="KF170" s="262"/>
      <c r="KG170" s="262"/>
      <c r="KH170" s="262"/>
      <c r="KI170" s="262"/>
      <c r="KJ170" s="262"/>
      <c r="KK170" s="262"/>
      <c r="KL170" s="262"/>
      <c r="KM170" s="262"/>
      <c r="KN170" s="262"/>
      <c r="KO170" s="262"/>
      <c r="KP170" s="262"/>
      <c r="KQ170" s="262"/>
      <c r="KR170" s="262"/>
      <c r="KS170" s="262"/>
      <c r="KT170" s="262"/>
      <c r="KU170" s="262"/>
      <c r="KV170" s="262"/>
      <c r="KW170" s="262"/>
      <c r="KX170" s="262"/>
      <c r="KY170" s="262"/>
      <c r="KZ170" s="262"/>
      <c r="LA170" s="262"/>
      <c r="LB170" s="262"/>
      <c r="LC170" s="262"/>
      <c r="LD170" s="262"/>
      <c r="LE170" s="262"/>
      <c r="LF170" s="262"/>
      <c r="LG170" s="262"/>
      <c r="LH170" s="262"/>
      <c r="LI170" s="262"/>
      <c r="LJ170" s="262"/>
      <c r="LK170" s="262"/>
      <c r="LL170" s="262"/>
      <c r="LM170" s="262"/>
      <c r="LN170" s="262"/>
      <c r="LO170" s="262"/>
      <c r="LP170" s="262"/>
      <c r="LQ170" s="262"/>
      <c r="LR170" s="262"/>
      <c r="LS170" s="262"/>
      <c r="LT170" s="262"/>
      <c r="LU170" s="262"/>
      <c r="LV170" s="262"/>
      <c r="LW170" s="262"/>
      <c r="LX170" s="262"/>
      <c r="LY170" s="262"/>
      <c r="LZ170" s="262"/>
      <c r="MA170" s="262"/>
      <c r="MB170" s="262"/>
      <c r="MC170" s="262"/>
      <c r="MD170" s="262"/>
      <c r="ME170" s="262"/>
      <c r="MF170" s="262"/>
      <c r="MG170" s="262"/>
      <c r="MH170" s="262"/>
      <c r="MI170" s="262"/>
      <c r="MJ170" s="262"/>
      <c r="MK170" s="262"/>
      <c r="ML170" s="262"/>
      <c r="MM170" s="262"/>
      <c r="MN170" s="262"/>
      <c r="MO170" s="262"/>
      <c r="MP170" s="262"/>
      <c r="MQ170" s="262"/>
      <c r="MR170" s="262"/>
      <c r="MS170" s="262"/>
      <c r="MT170" s="262"/>
      <c r="MU170" s="262"/>
      <c r="MV170" s="262"/>
      <c r="MW170" s="262"/>
      <c r="MX170" s="262"/>
      <c r="MY170" s="262"/>
      <c r="MZ170" s="262"/>
      <c r="NA170" s="262"/>
      <c r="NB170" s="262"/>
      <c r="NC170" s="262"/>
      <c r="ND170" s="262"/>
      <c r="NE170" s="262"/>
      <c r="NF170" s="262"/>
      <c r="NG170" s="262"/>
      <c r="NH170" s="262"/>
      <c r="NI170" s="262"/>
      <c r="NJ170" s="262"/>
      <c r="NK170" s="262"/>
      <c r="NL170" s="262"/>
      <c r="NM170" s="262"/>
      <c r="NN170" s="262"/>
      <c r="NO170" s="262"/>
      <c r="NP170" s="262"/>
      <c r="NQ170" s="262"/>
      <c r="NR170" s="262"/>
      <c r="NS170" s="262"/>
      <c r="NT170" s="262"/>
      <c r="NU170" s="262"/>
      <c r="NV170" s="262"/>
      <c r="NW170" s="262"/>
      <c r="NX170" s="262"/>
      <c r="NY170" s="262"/>
      <c r="NZ170" s="262"/>
      <c r="OA170" s="262"/>
      <c r="OB170" s="262"/>
      <c r="OC170" s="262"/>
      <c r="OD170" s="262"/>
      <c r="OE170" s="262"/>
      <c r="OF170" s="262"/>
      <c r="OG170" s="262"/>
      <c r="OH170" s="262"/>
      <c r="OI170" s="262"/>
      <c r="OJ170" s="262"/>
      <c r="OK170" s="262"/>
      <c r="OL170" s="262"/>
      <c r="OM170" s="262"/>
      <c r="ON170" s="262"/>
      <c r="OO170" s="262"/>
      <c r="OP170" s="262"/>
      <c r="OQ170" s="262"/>
      <c r="OR170" s="262"/>
      <c r="OS170" s="262"/>
      <c r="OT170" s="262"/>
      <c r="OU170" s="262"/>
      <c r="OV170" s="262"/>
      <c r="OW170" s="262"/>
      <c r="OX170" s="262"/>
      <c r="OY170" s="262"/>
      <c r="OZ170" s="262"/>
      <c r="PA170" s="262"/>
      <c r="PB170" s="262"/>
      <c r="PC170" s="262"/>
      <c r="PD170" s="262"/>
      <c r="PE170" s="262"/>
      <c r="PF170" s="262"/>
      <c r="PG170" s="262"/>
      <c r="PH170" s="262"/>
    </row>
    <row r="171" spans="1:424" x14ac:dyDescent="0.35">
      <c r="A171"/>
      <c r="B171" s="34" t="s">
        <v>356</v>
      </c>
      <c r="C171" s="400"/>
      <c r="D171" s="400"/>
      <c r="E171" s="502"/>
      <c r="F171" s="502"/>
      <c r="G171" s="40"/>
      <c r="H171" s="445">
        <f>SUM(H169:H170)</f>
        <v>48830200.368285805</v>
      </c>
      <c r="I171" s="445">
        <f>SUM(I169:I170)</f>
        <v>52215580.384524018</v>
      </c>
      <c r="J171" s="395"/>
      <c r="K171" s="509" t="s">
        <v>353</v>
      </c>
      <c r="L171" s="374"/>
      <c r="M171" s="510">
        <v>0</v>
      </c>
      <c r="N171" s="293"/>
      <c r="O171" s="510">
        <v>0</v>
      </c>
      <c r="P171" s="510">
        <v>0</v>
      </c>
      <c r="Q171" s="374"/>
      <c r="R171" s="294">
        <f t="shared" si="508"/>
        <v>6.5000000000000002E-2</v>
      </c>
      <c r="S171" s="296">
        <f t="shared" si="505"/>
        <v>6.7008196721311475E-2</v>
      </c>
      <c r="T171" s="294">
        <f t="shared" si="509"/>
        <v>6.7500000000000004E-2</v>
      </c>
      <c r="U171"/>
      <c r="V171" s="436">
        <f t="shared" si="506"/>
        <v>0</v>
      </c>
      <c r="W171" s="436">
        <f t="shared" si="507"/>
        <v>0</v>
      </c>
      <c r="X171" s="396"/>
      <c r="Y171" s="396"/>
      <c r="Z171" s="396"/>
      <c r="AA171" s="396"/>
      <c r="AB171" s="396"/>
      <c r="AC171" s="396"/>
      <c r="AD171" s="396"/>
      <c r="AE171" s="396"/>
      <c r="AF171" s="396"/>
      <c r="AG171" s="396"/>
      <c r="AH171" s="396"/>
      <c r="AI171" s="396"/>
      <c r="AJ171" s="396"/>
      <c r="AK171" s="396"/>
      <c r="AL171" s="396"/>
      <c r="AM171" s="396"/>
      <c r="AN171" s="396"/>
      <c r="AO171" s="396"/>
      <c r="AP171" s="396"/>
      <c r="AQ171" s="396"/>
      <c r="AR171" s="396"/>
      <c r="AS171" s="396"/>
      <c r="AT171" s="396"/>
      <c r="AU171" s="396"/>
      <c r="AV171" s="396"/>
      <c r="AW171" s="396"/>
      <c r="AX171" s="396"/>
      <c r="AY171" s="396"/>
      <c r="AZ171" s="396"/>
      <c r="BA171" s="396"/>
      <c r="BB171" s="396"/>
      <c r="BC171" s="396"/>
      <c r="BD171" s="396"/>
      <c r="BE171" s="396"/>
      <c r="BF171" s="396"/>
      <c r="BG171" s="396"/>
      <c r="BH171" s="396"/>
      <c r="BI171" s="396"/>
      <c r="BJ171" s="396"/>
      <c r="BK171" s="396"/>
      <c r="BL171" s="396"/>
      <c r="BM171" s="396"/>
      <c r="BN171" s="396"/>
      <c r="BO171" s="396"/>
      <c r="BP171" s="396"/>
      <c r="BQ171" s="396"/>
      <c r="BR171" s="396"/>
      <c r="BS171" s="396"/>
      <c r="BT171" s="396"/>
      <c r="BU171" s="396"/>
      <c r="BV171" s="396"/>
      <c r="BW171" s="396"/>
      <c r="BX171" s="396"/>
      <c r="BY171" s="396"/>
      <c r="BZ171" s="396"/>
      <c r="CA171" s="396"/>
      <c r="CB171" s="396"/>
      <c r="CC171" s="396"/>
      <c r="CD171" s="396"/>
      <c r="CE171" s="396"/>
      <c r="CF171" s="396"/>
      <c r="CG171" s="396"/>
      <c r="CH171" s="396"/>
      <c r="CI171" s="396"/>
      <c r="CJ171" s="396"/>
      <c r="CK171" s="396"/>
      <c r="CL171" s="396"/>
      <c r="CM171" s="396"/>
      <c r="CN171" s="396"/>
      <c r="CO171" s="396"/>
      <c r="CP171" s="396"/>
      <c r="CQ171" s="396"/>
      <c r="CR171" s="396"/>
      <c r="CS171" s="396"/>
      <c r="CT171" s="396"/>
      <c r="CU171" s="396"/>
      <c r="CV171" s="396"/>
      <c r="CW171" s="396"/>
      <c r="CX171" s="396"/>
      <c r="CY171" s="396"/>
      <c r="CZ171" s="396"/>
      <c r="DA171" s="396"/>
      <c r="DB171" s="396"/>
      <c r="DC171" s="396"/>
      <c r="DD171" s="396"/>
      <c r="DE171" s="396"/>
      <c r="DF171" s="396"/>
      <c r="DG171" s="396"/>
      <c r="DH171" s="396"/>
      <c r="DI171" s="396"/>
      <c r="DJ171" s="396"/>
      <c r="DK171" s="396"/>
      <c r="DL171" s="396"/>
      <c r="DM171" s="396"/>
      <c r="DN171" s="396"/>
      <c r="DO171" s="396"/>
      <c r="DP171" s="396"/>
      <c r="DQ171" s="396"/>
      <c r="DR171" s="396"/>
      <c r="DS171" s="396"/>
      <c r="DT171" s="396"/>
      <c r="DU171" s="396"/>
      <c r="DV171" s="396"/>
      <c r="DW171" s="396"/>
      <c r="DX171" s="396"/>
      <c r="DY171" s="396"/>
      <c r="DZ171" s="396"/>
      <c r="EA171" s="396"/>
      <c r="EB171" s="396"/>
      <c r="EC171" s="396"/>
      <c r="ED171" s="396"/>
      <c r="EE171" s="396"/>
      <c r="EF171" s="396"/>
      <c r="EG171" s="396"/>
      <c r="EH171" s="396"/>
      <c r="EI171" s="396"/>
      <c r="EJ171" s="396"/>
      <c r="EK171" s="396"/>
      <c r="EL171" s="396"/>
      <c r="EM171" s="396"/>
      <c r="EN171" s="396"/>
      <c r="EO171" s="396"/>
      <c r="EP171" s="219"/>
      <c r="EQ171" s="18"/>
      <c r="ER171" s="18"/>
      <c r="ES171" s="18"/>
      <c r="ET171" s="18"/>
      <c r="EU171" s="18"/>
      <c r="EV171" s="18"/>
      <c r="EW171" s="18"/>
      <c r="EX171" s="18"/>
      <c r="EY171" s="18"/>
      <c r="EZ171" s="18"/>
      <c r="FA171" s="18"/>
      <c r="FB171" s="18"/>
      <c r="FC171" s="18"/>
      <c r="FD171" s="18"/>
      <c r="FE171" s="18"/>
      <c r="FF171" s="18"/>
      <c r="FG171" s="18"/>
      <c r="FH171" s="18"/>
      <c r="FI171" s="18"/>
      <c r="FJ171" s="18"/>
      <c r="FK171" s="18"/>
      <c r="FL171" s="18"/>
      <c r="FM171" s="18"/>
      <c r="FN171" s="18"/>
      <c r="FO171" s="18"/>
      <c r="FP171" s="18"/>
      <c r="FQ171" s="18"/>
      <c r="FR171" s="18"/>
      <c r="FS171" s="18"/>
      <c r="FT171" s="18"/>
      <c r="FU171" s="18"/>
      <c r="FV171" s="18"/>
      <c r="FW171" s="18"/>
      <c r="FX171" s="18"/>
      <c r="FY171" s="18"/>
      <c r="FZ171" s="18"/>
      <c r="GA171" s="18"/>
      <c r="GB171" s="18"/>
      <c r="GC171" s="18"/>
      <c r="GD171" s="18"/>
      <c r="GE171" s="18"/>
      <c r="GF171" s="18"/>
      <c r="GG171" s="18"/>
      <c r="GH171" s="18"/>
      <c r="GI171" s="18"/>
      <c r="GJ171" s="18"/>
      <c r="GK171" s="18"/>
      <c r="GL171" s="18"/>
      <c r="GM171" s="18"/>
      <c r="GN171" s="18"/>
      <c r="GO171" s="18"/>
      <c r="GP171" s="18"/>
      <c r="GQ171" s="18"/>
      <c r="GR171" s="18"/>
      <c r="GS171" s="18"/>
      <c r="GT171" s="18"/>
      <c r="GU171" s="18"/>
      <c r="GV171" s="18"/>
      <c r="GW171" s="18"/>
      <c r="GX171" s="18"/>
      <c r="GY171" s="18"/>
      <c r="GZ171" s="18"/>
      <c r="HA171" s="18"/>
      <c r="HB171" s="18"/>
      <c r="HC171" s="18"/>
      <c r="HD171" s="18"/>
      <c r="HE171" s="18"/>
      <c r="HF171" s="18"/>
      <c r="HG171" s="18"/>
      <c r="HH171" s="18"/>
      <c r="HI171" s="18"/>
      <c r="HJ171" s="18"/>
      <c r="HK171" s="18"/>
      <c r="HL171" s="18"/>
      <c r="HM171" s="18"/>
      <c r="HN171" s="18"/>
      <c r="HO171" s="18"/>
      <c r="HP171" s="18"/>
      <c r="HQ171" s="18"/>
      <c r="HR171" s="18"/>
      <c r="HS171" s="18"/>
      <c r="HT171" s="18"/>
      <c r="HU171" s="18"/>
      <c r="HV171" s="18"/>
      <c r="HW171" s="18"/>
      <c r="HX171" s="18"/>
      <c r="HY171" s="18"/>
      <c r="HZ171" s="18"/>
      <c r="IA171" s="18"/>
      <c r="IB171" s="18"/>
      <c r="IC171" s="18"/>
      <c r="ID171" s="18"/>
      <c r="IE171" s="18"/>
      <c r="IF171" s="18"/>
      <c r="IG171" s="18"/>
      <c r="IH171" s="18"/>
      <c r="II171" s="18"/>
      <c r="IJ171" s="18"/>
      <c r="IK171" s="18"/>
      <c r="IL171" s="18"/>
      <c r="IM171" s="18"/>
      <c r="IN171" s="18"/>
      <c r="IO171" s="18"/>
      <c r="IP171" s="18"/>
      <c r="IQ171" s="18"/>
      <c r="IR171" s="18"/>
      <c r="IS171" s="18"/>
      <c r="IT171" s="18"/>
      <c r="IU171" s="18"/>
      <c r="IV171" s="18"/>
      <c r="IW171" s="18"/>
      <c r="IX171" s="18"/>
      <c r="IY171" s="18"/>
      <c r="IZ171" s="18"/>
      <c r="JA171" s="18"/>
      <c r="JB171" s="18"/>
      <c r="JC171" s="18"/>
      <c r="JD171" s="18"/>
      <c r="JE171" s="18"/>
      <c r="JF171" s="18"/>
      <c r="JG171" s="18"/>
      <c r="JH171" s="18"/>
      <c r="JI171" s="18"/>
      <c r="JJ171" s="18"/>
      <c r="JK171" s="18"/>
      <c r="JL171" s="18"/>
      <c r="JM171" s="18"/>
      <c r="JN171" s="18"/>
      <c r="JO171" s="18"/>
      <c r="JP171" s="18"/>
      <c r="JQ171" s="18"/>
      <c r="JR171" s="18"/>
      <c r="JS171" s="18"/>
      <c r="JT171" s="18"/>
      <c r="JU171" s="18"/>
      <c r="JV171" s="18"/>
      <c r="JW171" s="18"/>
      <c r="JX171" s="18"/>
      <c r="JY171"/>
      <c r="JZ171" s="262"/>
      <c r="KA171" s="262"/>
      <c r="KB171" s="262"/>
      <c r="KC171" s="262"/>
      <c r="KD171" s="262"/>
      <c r="KE171" s="262"/>
      <c r="KF171" s="262"/>
      <c r="KG171" s="262"/>
      <c r="KH171" s="262"/>
      <c r="KI171" s="262"/>
      <c r="KJ171" s="262"/>
      <c r="KK171" s="262"/>
      <c r="KL171" s="262"/>
      <c r="KM171" s="262"/>
      <c r="KN171" s="262"/>
      <c r="KO171" s="262"/>
      <c r="KP171" s="262"/>
      <c r="KQ171" s="262"/>
      <c r="KR171" s="262"/>
      <c r="KS171" s="262"/>
      <c r="KT171" s="262"/>
      <c r="KU171" s="262"/>
      <c r="KV171" s="262"/>
      <c r="KW171" s="262"/>
      <c r="KX171" s="262"/>
      <c r="KY171" s="262"/>
      <c r="KZ171" s="262"/>
      <c r="LA171" s="262"/>
      <c r="LB171" s="262"/>
      <c r="LC171" s="262"/>
      <c r="LD171" s="262"/>
      <c r="LE171" s="262"/>
      <c r="LF171" s="262"/>
      <c r="LG171" s="262"/>
      <c r="LH171" s="262"/>
      <c r="LI171" s="262"/>
      <c r="LJ171" s="262"/>
      <c r="LK171" s="262"/>
      <c r="LL171" s="262"/>
      <c r="LM171" s="262"/>
      <c r="LN171" s="262"/>
      <c r="LO171" s="262"/>
      <c r="LP171" s="262"/>
      <c r="LQ171" s="262"/>
      <c r="LR171" s="262"/>
      <c r="LS171" s="262"/>
      <c r="LT171" s="262"/>
      <c r="LU171" s="262"/>
      <c r="LV171" s="262"/>
      <c r="LW171" s="262"/>
      <c r="LX171" s="262"/>
      <c r="LY171" s="262"/>
      <c r="LZ171" s="262"/>
      <c r="MA171" s="262"/>
      <c r="MB171" s="262"/>
      <c r="MC171" s="262"/>
      <c r="MD171" s="262"/>
      <c r="ME171" s="262"/>
      <c r="MF171" s="262"/>
      <c r="MG171" s="262"/>
      <c r="MH171" s="262"/>
      <c r="MI171" s="262"/>
      <c r="MJ171" s="262"/>
      <c r="MK171" s="262"/>
      <c r="ML171" s="262"/>
      <c r="MM171" s="262"/>
      <c r="MN171" s="262"/>
      <c r="MO171" s="262"/>
      <c r="MP171" s="262"/>
      <c r="MQ171" s="262"/>
      <c r="MR171" s="262"/>
      <c r="MS171" s="262"/>
      <c r="MT171" s="262"/>
      <c r="MU171" s="262"/>
      <c r="MV171" s="262"/>
      <c r="MW171" s="262"/>
      <c r="MX171" s="262"/>
      <c r="MY171" s="262"/>
      <c r="MZ171" s="262"/>
      <c r="NA171" s="262"/>
      <c r="NB171" s="262"/>
      <c r="NC171" s="262"/>
      <c r="ND171" s="262"/>
      <c r="NE171" s="262"/>
      <c r="NF171" s="262"/>
      <c r="NG171" s="262"/>
      <c r="NH171" s="262"/>
      <c r="NI171" s="262"/>
      <c r="NJ171" s="262"/>
      <c r="NK171" s="262"/>
      <c r="NL171" s="262"/>
      <c r="NM171" s="262"/>
      <c r="NN171" s="262"/>
      <c r="NO171" s="262"/>
      <c r="NP171" s="262"/>
      <c r="NQ171" s="262"/>
      <c r="NR171" s="262"/>
      <c r="NS171" s="262"/>
      <c r="NT171" s="262"/>
      <c r="NU171" s="262"/>
      <c r="NV171" s="262"/>
      <c r="NW171" s="262"/>
      <c r="NX171" s="262"/>
      <c r="NY171" s="262"/>
      <c r="NZ171" s="262"/>
      <c r="OA171" s="262"/>
      <c r="OB171" s="262"/>
      <c r="OC171" s="262"/>
      <c r="OD171" s="262"/>
      <c r="OE171" s="262"/>
      <c r="OF171" s="262"/>
      <c r="OG171" s="262"/>
      <c r="OH171" s="262"/>
      <c r="OI171" s="262"/>
      <c r="OJ171" s="262"/>
      <c r="OK171" s="262"/>
      <c r="OL171" s="262"/>
      <c r="OM171" s="262"/>
      <c r="ON171" s="262"/>
      <c r="OO171" s="262"/>
      <c r="OP171" s="262"/>
      <c r="OQ171" s="262"/>
      <c r="OR171" s="262"/>
      <c r="OS171" s="262"/>
      <c r="OT171" s="262"/>
      <c r="OU171" s="262"/>
      <c r="OV171" s="262"/>
      <c r="OW171" s="262"/>
      <c r="OX171" s="262"/>
      <c r="OY171" s="262"/>
      <c r="OZ171" s="262"/>
      <c r="PA171" s="262"/>
      <c r="PB171" s="262"/>
      <c r="PC171" s="262"/>
      <c r="PD171" s="262"/>
      <c r="PE171" s="262"/>
      <c r="PF171" s="262"/>
      <c r="PG171" s="262"/>
      <c r="PH171" s="262"/>
    </row>
    <row r="172" spans="1:424" x14ac:dyDescent="0.35">
      <c r="A172"/>
      <c r="B172" s="34"/>
      <c r="C172" s="400"/>
      <c r="D172" s="400"/>
      <c r="E172" s="502"/>
      <c r="F172" s="502"/>
      <c r="G172" s="40"/>
      <c r="H172" s="40"/>
      <c r="I172" s="40"/>
      <c r="J172" s="395"/>
      <c r="K172" s="508"/>
      <c r="L172"/>
      <c r="M172" s="286"/>
      <c r="N172" s="286"/>
      <c r="O172" s="290"/>
      <c r="P172"/>
      <c r="Q172" s="290"/>
      <c r="R172" s="290"/>
      <c r="S172" s="92">
        <f t="shared" si="505"/>
        <v>0</v>
      </c>
      <c r="T172" s="290"/>
      <c r="U172"/>
      <c r="V172"/>
      <c r="W172"/>
      <c r="X172" s="396"/>
      <c r="Y172" s="396"/>
      <c r="Z172" s="396"/>
      <c r="AA172" s="396"/>
      <c r="AB172" s="396"/>
      <c r="AC172" s="396"/>
      <c r="AD172" s="396"/>
      <c r="AE172" s="396"/>
      <c r="AF172" s="396"/>
      <c r="AG172" s="396"/>
      <c r="AH172" s="396"/>
      <c r="AI172" s="396"/>
      <c r="AJ172" s="396"/>
      <c r="AK172" s="396"/>
      <c r="AL172" s="396"/>
      <c r="AM172" s="396"/>
      <c r="AN172" s="396"/>
      <c r="AO172" s="396"/>
      <c r="AP172" s="396"/>
      <c r="AQ172" s="396"/>
      <c r="AR172" s="396"/>
      <c r="AS172" s="396"/>
      <c r="AT172" s="396"/>
      <c r="AU172" s="396"/>
      <c r="AV172" s="396"/>
      <c r="AW172" s="396"/>
      <c r="AX172" s="396"/>
      <c r="AY172" s="396"/>
      <c r="AZ172" s="396"/>
      <c r="BA172" s="396"/>
      <c r="BB172" s="396"/>
      <c r="BC172" s="396"/>
      <c r="BD172" s="396"/>
      <c r="BE172" s="396"/>
      <c r="BF172" s="396"/>
      <c r="BG172" s="396"/>
      <c r="BH172" s="396"/>
      <c r="BI172" s="396"/>
      <c r="BJ172" s="396"/>
      <c r="BK172" s="396"/>
      <c r="BL172" s="396"/>
      <c r="BM172" s="396"/>
      <c r="BN172" s="396"/>
      <c r="BO172" s="396"/>
      <c r="BP172" s="396"/>
      <c r="BQ172" s="396"/>
      <c r="BR172" s="396"/>
      <c r="BS172" s="396"/>
      <c r="BT172" s="396"/>
      <c r="BU172" s="396"/>
      <c r="BV172" s="396"/>
      <c r="BW172" s="396"/>
      <c r="BX172" s="396"/>
      <c r="BY172" s="396"/>
      <c r="BZ172" s="396"/>
      <c r="CA172" s="396"/>
      <c r="CB172" s="396"/>
      <c r="CC172" s="396"/>
      <c r="CD172" s="396"/>
      <c r="CE172" s="396"/>
      <c r="CF172" s="396"/>
      <c r="CG172" s="396"/>
      <c r="CH172" s="396"/>
      <c r="CI172" s="396"/>
      <c r="CJ172" s="396"/>
      <c r="CK172" s="396"/>
      <c r="CL172" s="396"/>
      <c r="CM172" s="396"/>
      <c r="CN172" s="396"/>
      <c r="CO172" s="396"/>
      <c r="CP172" s="396"/>
      <c r="CQ172" s="396"/>
      <c r="CR172" s="396"/>
      <c r="CS172" s="396"/>
      <c r="CT172" s="396"/>
      <c r="CU172" s="396"/>
      <c r="CV172" s="396"/>
      <c r="CW172" s="396"/>
      <c r="CX172" s="396"/>
      <c r="CY172" s="396"/>
      <c r="CZ172" s="396"/>
      <c r="DA172" s="396"/>
      <c r="DB172" s="396"/>
      <c r="DC172" s="396"/>
      <c r="DD172" s="396"/>
      <c r="DE172" s="396"/>
      <c r="DF172" s="396"/>
      <c r="DG172" s="396"/>
      <c r="DH172" s="396"/>
      <c r="DI172" s="396"/>
      <c r="DJ172" s="396"/>
      <c r="DK172" s="396"/>
      <c r="DL172" s="396"/>
      <c r="DM172" s="396"/>
      <c r="DN172" s="396"/>
      <c r="DO172" s="396"/>
      <c r="DP172" s="396"/>
      <c r="DQ172" s="396"/>
      <c r="DR172" s="396"/>
      <c r="DS172" s="396"/>
      <c r="DT172" s="396"/>
      <c r="DU172" s="396"/>
      <c r="DV172" s="396"/>
      <c r="DW172" s="396"/>
      <c r="DX172" s="396"/>
      <c r="DY172" s="396"/>
      <c r="DZ172" s="396"/>
      <c r="EA172" s="396"/>
      <c r="EB172" s="396"/>
      <c r="EC172" s="396"/>
      <c r="ED172" s="396"/>
      <c r="EE172" s="396"/>
      <c r="EF172" s="396"/>
      <c r="EG172" s="396"/>
      <c r="EH172" s="396"/>
      <c r="EI172" s="396"/>
      <c r="EJ172" s="396"/>
      <c r="EK172" s="396"/>
      <c r="EL172" s="396"/>
      <c r="EM172" s="396"/>
      <c r="EN172" s="396"/>
      <c r="EO172" s="396"/>
      <c r="EP172" s="219"/>
      <c r="EQ172" s="18"/>
      <c r="ER172" s="18"/>
      <c r="ES172" s="18"/>
      <c r="ET172" s="18"/>
      <c r="EU172" s="18"/>
      <c r="EV172" s="18"/>
      <c r="EW172" s="18"/>
      <c r="EX172" s="18"/>
      <c r="EY172" s="18"/>
      <c r="EZ172" s="18"/>
      <c r="FA172" s="18"/>
      <c r="FB172" s="18"/>
      <c r="FC172" s="18"/>
      <c r="FD172" s="18"/>
      <c r="FE172" s="18"/>
      <c r="FF172" s="18"/>
      <c r="FG172" s="18"/>
      <c r="FH172" s="18"/>
      <c r="FI172" s="18"/>
      <c r="FJ172" s="18"/>
      <c r="FK172" s="18"/>
      <c r="FL172" s="18"/>
      <c r="FM172" s="18"/>
      <c r="FN172" s="18"/>
      <c r="FO172" s="18"/>
      <c r="FP172" s="18"/>
      <c r="FQ172" s="18"/>
      <c r="FR172" s="18"/>
      <c r="FS172" s="18"/>
      <c r="FT172" s="18"/>
      <c r="FU172" s="18"/>
      <c r="FV172" s="18"/>
      <c r="FW172" s="18"/>
      <c r="FX172" s="18"/>
      <c r="FY172" s="18"/>
      <c r="FZ172" s="18"/>
      <c r="GA172" s="18"/>
      <c r="GB172" s="18"/>
      <c r="GC172" s="18"/>
      <c r="GD172" s="18"/>
      <c r="GE172" s="18"/>
      <c r="GF172" s="18"/>
      <c r="GG172" s="18"/>
      <c r="GH172" s="18"/>
      <c r="GI172" s="18"/>
      <c r="GJ172" s="18"/>
      <c r="GK172" s="18"/>
      <c r="GL172" s="18"/>
      <c r="GM172" s="18"/>
      <c r="GN172" s="18"/>
      <c r="GO172" s="18"/>
      <c r="GP172" s="18"/>
      <c r="GQ172" s="18"/>
      <c r="GR172" s="18"/>
      <c r="GS172" s="18"/>
      <c r="GT172" s="18"/>
      <c r="GU172" s="18"/>
      <c r="GV172" s="18"/>
      <c r="GW172" s="18"/>
      <c r="GX172" s="18"/>
      <c r="GY172" s="18"/>
      <c r="GZ172" s="18"/>
      <c r="HA172" s="18"/>
      <c r="HB172" s="18"/>
      <c r="HC172" s="18"/>
      <c r="HD172" s="18"/>
      <c r="HE172" s="18"/>
      <c r="HF172" s="18"/>
      <c r="HG172" s="18"/>
      <c r="HH172" s="18"/>
      <c r="HI172" s="18"/>
      <c r="HJ172" s="18"/>
      <c r="HK172" s="18"/>
      <c r="HL172" s="18"/>
      <c r="HM172" s="18"/>
      <c r="HN172" s="18"/>
      <c r="HO172" s="18"/>
      <c r="HP172" s="18"/>
      <c r="HQ172" s="18"/>
      <c r="HR172" s="18"/>
      <c r="HS172" s="18"/>
      <c r="HT172" s="18"/>
      <c r="HU172" s="18"/>
      <c r="HV172" s="18"/>
      <c r="HW172" s="18"/>
      <c r="HX172" s="18"/>
      <c r="HY172" s="18"/>
      <c r="HZ172" s="18"/>
      <c r="IA172" s="18"/>
      <c r="IB172" s="18"/>
      <c r="IC172" s="18"/>
      <c r="ID172" s="18"/>
      <c r="IE172" s="18"/>
      <c r="IF172" s="18"/>
      <c r="IG172" s="18"/>
      <c r="IH172" s="18"/>
      <c r="II172" s="18"/>
      <c r="IJ172" s="18"/>
      <c r="IK172" s="18"/>
      <c r="IL172" s="18"/>
      <c r="IM172" s="18"/>
      <c r="IN172" s="18"/>
      <c r="IO172" s="18"/>
      <c r="IP172" s="18"/>
      <c r="IQ172" s="18"/>
      <c r="IR172" s="18"/>
      <c r="IS172" s="18"/>
      <c r="IT172" s="18"/>
      <c r="IU172" s="18"/>
      <c r="IV172" s="18"/>
      <c r="IW172" s="18"/>
      <c r="IX172" s="18"/>
      <c r="IY172" s="18"/>
      <c r="IZ172" s="18"/>
      <c r="JA172" s="18"/>
      <c r="JB172" s="18"/>
      <c r="JC172" s="18"/>
      <c r="JD172" s="18"/>
      <c r="JE172" s="18"/>
      <c r="JF172" s="18"/>
      <c r="JG172" s="18"/>
      <c r="JH172" s="18"/>
      <c r="JI172" s="18"/>
      <c r="JJ172" s="18"/>
      <c r="JK172" s="18"/>
      <c r="JL172" s="18"/>
      <c r="JM172" s="18"/>
      <c r="JN172" s="18"/>
      <c r="JO172" s="18"/>
      <c r="JP172" s="18"/>
      <c r="JQ172" s="18"/>
      <c r="JR172" s="18"/>
      <c r="JS172" s="18"/>
      <c r="JT172" s="18"/>
      <c r="JU172" s="18"/>
      <c r="JV172" s="18"/>
      <c r="JW172" s="18"/>
      <c r="JX172" s="18"/>
      <c r="JY172"/>
      <c r="JZ172" s="262"/>
      <c r="KA172" s="262"/>
      <c r="KB172" s="262"/>
      <c r="KC172" s="262"/>
      <c r="KD172" s="262"/>
      <c r="KE172" s="262"/>
      <c r="KF172" s="262"/>
      <c r="KG172" s="262"/>
      <c r="KH172" s="262"/>
      <c r="KI172" s="262"/>
      <c r="KJ172" s="262"/>
      <c r="KK172" s="262"/>
      <c r="KL172" s="262"/>
      <c r="KM172" s="262"/>
      <c r="KN172" s="262"/>
      <c r="KO172" s="262"/>
      <c r="KP172" s="262"/>
      <c r="KQ172" s="262"/>
      <c r="KR172" s="262"/>
      <c r="KS172" s="262"/>
      <c r="KT172" s="262"/>
      <c r="KU172" s="262"/>
      <c r="KV172" s="262"/>
      <c r="KW172" s="262"/>
      <c r="KX172" s="262"/>
      <c r="KY172" s="262"/>
      <c r="KZ172" s="262"/>
      <c r="LA172" s="262"/>
      <c r="LB172" s="262"/>
      <c r="LC172" s="262"/>
      <c r="LD172" s="262"/>
      <c r="LE172" s="262"/>
      <c r="LF172" s="262"/>
      <c r="LG172" s="262"/>
      <c r="LH172" s="262"/>
      <c r="LI172" s="262"/>
      <c r="LJ172" s="262"/>
      <c r="LK172" s="262"/>
      <c r="LL172" s="262"/>
      <c r="LM172" s="262"/>
      <c r="LN172" s="262"/>
      <c r="LO172" s="262"/>
      <c r="LP172" s="262"/>
      <c r="LQ172" s="262"/>
      <c r="LR172" s="262"/>
      <c r="LS172" s="262"/>
      <c r="LT172" s="262"/>
      <c r="LU172" s="262"/>
      <c r="LV172" s="262"/>
      <c r="LW172" s="262"/>
      <c r="LX172" s="262"/>
      <c r="LY172" s="262"/>
      <c r="LZ172" s="262"/>
      <c r="MA172" s="262"/>
      <c r="MB172" s="262"/>
      <c r="MC172" s="262"/>
      <c r="MD172" s="262"/>
      <c r="ME172" s="262"/>
      <c r="MF172" s="262"/>
      <c r="MG172" s="262"/>
      <c r="MH172" s="262"/>
      <c r="MI172" s="262"/>
      <c r="MJ172" s="262"/>
      <c r="MK172" s="262"/>
      <c r="ML172" s="262"/>
      <c r="MM172" s="262"/>
      <c r="MN172" s="262"/>
      <c r="MO172" s="262"/>
      <c r="MP172" s="262"/>
      <c r="MQ172" s="262"/>
      <c r="MR172" s="262"/>
      <c r="MS172" s="262"/>
      <c r="MT172" s="262"/>
      <c r="MU172" s="262"/>
      <c r="MV172" s="262"/>
      <c r="MW172" s="262"/>
      <c r="MX172" s="262"/>
      <c r="MY172" s="262"/>
      <c r="MZ172" s="262"/>
      <c r="NA172" s="262"/>
      <c r="NB172" s="262"/>
      <c r="NC172" s="262"/>
      <c r="ND172" s="262"/>
      <c r="NE172" s="262"/>
      <c r="NF172" s="262"/>
      <c r="NG172" s="262"/>
      <c r="NH172" s="262"/>
      <c r="NI172" s="262"/>
      <c r="NJ172" s="262"/>
      <c r="NK172" s="262"/>
      <c r="NL172" s="262"/>
      <c r="NM172" s="262"/>
      <c r="NN172" s="262"/>
      <c r="NO172" s="262"/>
      <c r="NP172" s="262"/>
      <c r="NQ172" s="262"/>
      <c r="NR172" s="262"/>
      <c r="NS172" s="262"/>
      <c r="NT172" s="262"/>
      <c r="NU172" s="262"/>
      <c r="NV172" s="262"/>
      <c r="NW172" s="262"/>
      <c r="NX172" s="262"/>
      <c r="NY172" s="262"/>
      <c r="NZ172" s="262"/>
      <c r="OA172" s="262"/>
      <c r="OB172" s="262"/>
      <c r="OC172" s="262"/>
      <c r="OD172" s="262"/>
      <c r="OE172" s="262"/>
      <c r="OF172" s="262"/>
      <c r="OG172" s="262"/>
      <c r="OH172" s="262"/>
      <c r="OI172" s="262"/>
      <c r="OJ172" s="262"/>
      <c r="OK172" s="262"/>
      <c r="OL172" s="262"/>
      <c r="OM172" s="262"/>
      <c r="ON172" s="262"/>
      <c r="OO172" s="262"/>
      <c r="OP172" s="262"/>
      <c r="OQ172" s="262"/>
      <c r="OR172" s="262"/>
      <c r="OS172" s="262"/>
      <c r="OT172" s="262"/>
      <c r="OU172" s="262"/>
      <c r="OV172" s="262"/>
      <c r="OW172" s="262"/>
      <c r="OX172" s="262"/>
      <c r="OY172" s="262"/>
      <c r="OZ172" s="262"/>
      <c r="PA172" s="262"/>
      <c r="PB172" s="262"/>
      <c r="PC172" s="262"/>
      <c r="PD172" s="262"/>
      <c r="PE172" s="262"/>
      <c r="PF172" s="262"/>
      <c r="PG172" s="262"/>
      <c r="PH172" s="262"/>
    </row>
    <row r="173" spans="1:424" x14ac:dyDescent="0.35">
      <c r="A173"/>
      <c r="B173" s="427" t="str">
        <f>B134</f>
        <v>Source operating costs</v>
      </c>
      <c r="C173" s="400"/>
      <c r="D173" s="400"/>
      <c r="E173" s="502"/>
      <c r="F173" s="502"/>
      <c r="G173" s="40"/>
      <c r="H173" s="445">
        <f>+I134</f>
        <v>3288278.6208900046</v>
      </c>
      <c r="I173" s="416">
        <f>MAX(SUM(INDEX($L$134:$EN$134,1,Timing_Reversion_Month+1):INDEX($L$134:$EN$134,1,Timing_Reversion_Month+12)))</f>
        <v>3454747.7260725615</v>
      </c>
      <c r="J173" s="395"/>
      <c r="K173" s="504" t="s">
        <v>158</v>
      </c>
      <c r="L173" s="511"/>
      <c r="M173" s="512">
        <f>SUM(M162:M172)</f>
        <v>78470.38</v>
      </c>
      <c r="N173" s="291"/>
      <c r="O173" s="512">
        <f>SUM(O162:O172)</f>
        <v>45541921.747395799</v>
      </c>
      <c r="P173" s="512">
        <f>SUM(P162:P172)</f>
        <v>48760832.658451453</v>
      </c>
      <c r="Q173" s="292"/>
      <c r="R173" s="292">
        <f>SUMPRODUCT(R162:R172,O162:O172)/O173</f>
        <v>7.2639537466243465E-2</v>
      </c>
      <c r="S173" s="92">
        <f>IF(V173=0,"",O173/V173)</f>
        <v>7.4289808687547615E-2</v>
      </c>
      <c r="T173" s="292">
        <f>P173/W173</f>
        <v>7.4957623851968053E-2</v>
      </c>
      <c r="U173"/>
      <c r="V173" s="512">
        <f>SUM(V162:V172)</f>
        <v>613030542.8425405</v>
      </c>
      <c r="W173" s="512">
        <f>SUM(W162:W172)</f>
        <v>650511984.67480779</v>
      </c>
      <c r="X173" s="396"/>
      <c r="Y173" s="396"/>
      <c r="Z173" s="396"/>
      <c r="AA173" s="396"/>
      <c r="AB173" s="396"/>
      <c r="AC173" s="396"/>
      <c r="AD173" s="396"/>
      <c r="AE173" s="396"/>
      <c r="AF173" s="396"/>
      <c r="AG173" s="396"/>
      <c r="AH173" s="396"/>
      <c r="AI173" s="396"/>
      <c r="AJ173" s="396"/>
      <c r="AK173" s="396"/>
      <c r="AL173" s="396"/>
      <c r="AM173" s="396"/>
      <c r="AN173" s="396"/>
      <c r="AO173" s="396"/>
      <c r="AP173" s="396"/>
      <c r="AQ173" s="396"/>
      <c r="AR173" s="396"/>
      <c r="AS173" s="396"/>
      <c r="AT173" s="396"/>
      <c r="AU173" s="396"/>
      <c r="AV173" s="396"/>
      <c r="AW173" s="396"/>
      <c r="AX173" s="396"/>
      <c r="AY173" s="396"/>
      <c r="AZ173" s="396"/>
      <c r="BA173" s="396"/>
      <c r="BB173" s="396"/>
      <c r="BC173" s="396"/>
      <c r="BD173" s="396"/>
      <c r="BE173" s="396"/>
      <c r="BF173" s="396"/>
      <c r="BG173" s="396"/>
      <c r="BH173" s="396"/>
      <c r="BI173" s="396"/>
      <c r="BJ173" s="396"/>
      <c r="BK173" s="396"/>
      <c r="BL173" s="396"/>
      <c r="BM173" s="396"/>
      <c r="BN173" s="396"/>
      <c r="BO173" s="396"/>
      <c r="BP173" s="396"/>
      <c r="BQ173" s="396"/>
      <c r="BR173" s="396"/>
      <c r="BS173" s="396"/>
      <c r="BT173" s="396"/>
      <c r="BU173" s="396"/>
      <c r="BV173" s="396"/>
      <c r="BW173" s="396"/>
      <c r="BX173" s="396"/>
      <c r="BY173" s="396"/>
      <c r="BZ173" s="396"/>
      <c r="CA173" s="396"/>
      <c r="CB173" s="396"/>
      <c r="CC173" s="396"/>
      <c r="CD173" s="396"/>
      <c r="CE173" s="396"/>
      <c r="CF173" s="396"/>
      <c r="CG173" s="396"/>
      <c r="CH173" s="396"/>
      <c r="CI173" s="396"/>
      <c r="CJ173" s="396"/>
      <c r="CK173" s="396"/>
      <c r="CL173" s="396"/>
      <c r="CM173" s="396"/>
      <c r="CN173" s="396"/>
      <c r="CO173" s="396"/>
      <c r="CP173" s="396"/>
      <c r="CQ173" s="396"/>
      <c r="CR173" s="396"/>
      <c r="CS173" s="396"/>
      <c r="CT173" s="396"/>
      <c r="CU173" s="396"/>
      <c r="CV173" s="396"/>
      <c r="CW173" s="396"/>
      <c r="CX173" s="396"/>
      <c r="CY173" s="396"/>
      <c r="CZ173" s="396"/>
      <c r="DA173" s="396"/>
      <c r="DB173" s="396"/>
      <c r="DC173" s="396"/>
      <c r="DD173" s="396"/>
      <c r="DE173" s="396"/>
      <c r="DF173" s="396"/>
      <c r="DG173" s="396"/>
      <c r="DH173" s="396"/>
      <c r="DI173" s="396"/>
      <c r="DJ173" s="396"/>
      <c r="DK173" s="396"/>
      <c r="DL173" s="396"/>
      <c r="DM173" s="396"/>
      <c r="DN173" s="396"/>
      <c r="DO173" s="396"/>
      <c r="DP173" s="396"/>
      <c r="DQ173" s="396"/>
      <c r="DR173" s="396"/>
      <c r="DS173" s="396"/>
      <c r="DT173" s="396"/>
      <c r="DU173" s="396"/>
      <c r="DV173" s="396"/>
      <c r="DW173" s="396"/>
      <c r="DX173" s="396"/>
      <c r="DY173" s="396"/>
      <c r="DZ173" s="396"/>
      <c r="EA173" s="396"/>
      <c r="EB173" s="396"/>
      <c r="EC173" s="396"/>
      <c r="ED173" s="396"/>
      <c r="EE173" s="396"/>
      <c r="EF173" s="396"/>
      <c r="EG173" s="396"/>
      <c r="EH173" s="396"/>
      <c r="EI173" s="396"/>
      <c r="EJ173" s="396"/>
      <c r="EK173" s="396"/>
      <c r="EL173" s="396"/>
      <c r="EM173" s="396"/>
      <c r="EN173" s="396"/>
      <c r="EO173" s="396"/>
      <c r="EP173" s="219"/>
      <c r="EQ173" s="18"/>
      <c r="ER173" s="18"/>
      <c r="ES173" s="18"/>
      <c r="ET173" s="18"/>
      <c r="EU173" s="18"/>
      <c r="EV173" s="18"/>
      <c r="EW173" s="18"/>
      <c r="EX173" s="18"/>
      <c r="EY173" s="18"/>
      <c r="EZ173" s="18"/>
      <c r="FA173" s="18"/>
      <c r="FB173" s="18"/>
      <c r="FC173" s="18"/>
      <c r="FD173" s="18"/>
      <c r="FE173" s="18"/>
      <c r="FF173" s="18"/>
      <c r="FG173" s="18"/>
      <c r="FH173" s="18"/>
      <c r="FI173" s="18"/>
      <c r="FJ173" s="18"/>
      <c r="FK173" s="18"/>
      <c r="FL173" s="18"/>
      <c r="FM173" s="18"/>
      <c r="FN173" s="18"/>
      <c r="FO173" s="18"/>
      <c r="FP173" s="18"/>
      <c r="FQ173" s="18"/>
      <c r="FR173" s="18"/>
      <c r="FS173" s="18"/>
      <c r="FT173" s="18"/>
      <c r="FU173" s="18"/>
      <c r="FV173" s="18"/>
      <c r="FW173" s="18"/>
      <c r="FX173" s="18"/>
      <c r="FY173" s="18"/>
      <c r="FZ173" s="18"/>
      <c r="GA173" s="18"/>
      <c r="GB173" s="18"/>
      <c r="GC173" s="18"/>
      <c r="GD173" s="18"/>
      <c r="GE173" s="18"/>
      <c r="GF173" s="18"/>
      <c r="GG173" s="18"/>
      <c r="GH173" s="18"/>
      <c r="GI173" s="18"/>
      <c r="GJ173" s="18"/>
      <c r="GK173" s="18"/>
      <c r="GL173" s="18"/>
      <c r="GM173" s="18"/>
      <c r="GN173" s="18"/>
      <c r="GO173" s="18"/>
      <c r="GP173" s="18"/>
      <c r="GQ173" s="18"/>
      <c r="GR173" s="18"/>
      <c r="GS173" s="18"/>
      <c r="GT173" s="18"/>
      <c r="GU173" s="18"/>
      <c r="GV173" s="18"/>
      <c r="GW173" s="18"/>
      <c r="GX173" s="18"/>
      <c r="GY173" s="18"/>
      <c r="GZ173" s="18"/>
      <c r="HA173" s="18"/>
      <c r="HB173" s="18"/>
      <c r="HC173" s="18"/>
      <c r="HD173" s="18"/>
      <c r="HE173" s="18"/>
      <c r="HF173" s="18"/>
      <c r="HG173" s="18"/>
      <c r="HH173" s="18"/>
      <c r="HI173" s="18"/>
      <c r="HJ173" s="18"/>
      <c r="HK173" s="18"/>
      <c r="HL173" s="18"/>
      <c r="HM173" s="18"/>
      <c r="HN173" s="18"/>
      <c r="HO173" s="18"/>
      <c r="HP173" s="18"/>
      <c r="HQ173" s="18"/>
      <c r="HR173" s="18"/>
      <c r="HS173" s="18"/>
      <c r="HT173" s="18"/>
      <c r="HU173" s="18"/>
      <c r="HV173" s="18"/>
      <c r="HW173" s="18"/>
      <c r="HX173" s="18"/>
      <c r="HY173" s="18"/>
      <c r="HZ173" s="18"/>
      <c r="IA173" s="18"/>
      <c r="IB173" s="18"/>
      <c r="IC173" s="18"/>
      <c r="ID173" s="18"/>
      <c r="IE173" s="18"/>
      <c r="IF173" s="18"/>
      <c r="IG173" s="18"/>
      <c r="IH173" s="18"/>
      <c r="II173" s="18"/>
      <c r="IJ173" s="18"/>
      <c r="IK173" s="18"/>
      <c r="IL173" s="18"/>
      <c r="IM173" s="18"/>
      <c r="IN173" s="18"/>
      <c r="IO173" s="18"/>
      <c r="IP173" s="18"/>
      <c r="IQ173" s="18"/>
      <c r="IR173" s="18"/>
      <c r="IS173" s="18"/>
      <c r="IT173" s="18"/>
      <c r="IU173" s="18"/>
      <c r="IV173" s="18"/>
      <c r="IW173" s="18"/>
      <c r="IX173" s="18"/>
      <c r="IY173" s="18"/>
      <c r="IZ173" s="18"/>
      <c r="JA173" s="18"/>
      <c r="JB173" s="18"/>
      <c r="JC173" s="18"/>
      <c r="JD173" s="18"/>
      <c r="JE173" s="18"/>
      <c r="JF173" s="18"/>
      <c r="JG173" s="18"/>
      <c r="JH173" s="18"/>
      <c r="JI173" s="18"/>
      <c r="JJ173" s="18"/>
      <c r="JK173" s="18"/>
      <c r="JL173" s="18"/>
      <c r="JM173" s="18"/>
      <c r="JN173" s="18"/>
      <c r="JO173" s="18"/>
      <c r="JP173" s="18"/>
      <c r="JQ173" s="18"/>
      <c r="JR173" s="18"/>
      <c r="JS173" s="18"/>
      <c r="JT173" s="18"/>
      <c r="JU173" s="18"/>
      <c r="JV173" s="18"/>
      <c r="JW173" s="18"/>
      <c r="JX173" s="18"/>
      <c r="JY173"/>
      <c r="JZ173" s="262"/>
      <c r="KA173" s="262"/>
      <c r="KB173" s="262"/>
      <c r="KC173" s="262"/>
      <c r="KD173" s="262"/>
      <c r="KE173" s="262"/>
      <c r="KF173" s="262"/>
      <c r="KG173" s="262"/>
      <c r="KH173" s="262"/>
      <c r="KI173" s="262"/>
      <c r="KJ173" s="262"/>
      <c r="KK173" s="262"/>
      <c r="KL173" s="262"/>
      <c r="KM173" s="262"/>
      <c r="KN173" s="262"/>
      <c r="KO173" s="262"/>
      <c r="KP173" s="262"/>
      <c r="KQ173" s="262"/>
      <c r="KR173" s="262"/>
      <c r="KS173" s="262"/>
      <c r="KT173" s="262"/>
      <c r="KU173" s="262"/>
      <c r="KV173" s="262"/>
      <c r="KW173" s="262"/>
      <c r="KX173" s="262"/>
      <c r="KY173" s="262"/>
      <c r="KZ173" s="262"/>
      <c r="LA173" s="262"/>
      <c r="LB173" s="262"/>
      <c r="LC173" s="262"/>
      <c r="LD173" s="262"/>
      <c r="LE173" s="262"/>
      <c r="LF173" s="262"/>
      <c r="LG173" s="262"/>
      <c r="LH173" s="262"/>
      <c r="LI173" s="262"/>
      <c r="LJ173" s="262"/>
      <c r="LK173" s="262"/>
      <c r="LL173" s="262"/>
      <c r="LM173" s="262"/>
      <c r="LN173" s="262"/>
      <c r="LO173" s="262"/>
      <c r="LP173" s="262"/>
      <c r="LQ173" s="262"/>
      <c r="LR173" s="262"/>
      <c r="LS173" s="262"/>
      <c r="LT173" s="262"/>
      <c r="LU173" s="262"/>
      <c r="LV173" s="262"/>
      <c r="LW173" s="262"/>
      <c r="LX173" s="262"/>
      <c r="LY173" s="262"/>
      <c r="LZ173" s="262"/>
      <c r="MA173" s="262"/>
      <c r="MB173" s="262"/>
      <c r="MC173" s="262"/>
      <c r="MD173" s="262"/>
      <c r="ME173" s="262"/>
      <c r="MF173" s="262"/>
      <c r="MG173" s="262"/>
      <c r="MH173" s="262"/>
      <c r="MI173" s="262"/>
      <c r="MJ173" s="262"/>
      <c r="MK173" s="262"/>
      <c r="ML173" s="262"/>
      <c r="MM173" s="262"/>
      <c r="MN173" s="262"/>
      <c r="MO173" s="262"/>
      <c r="MP173" s="262"/>
      <c r="MQ173" s="262"/>
      <c r="MR173" s="262"/>
      <c r="MS173" s="262"/>
      <c r="MT173" s="262"/>
      <c r="MU173" s="262"/>
      <c r="MV173" s="262"/>
      <c r="MW173" s="262"/>
      <c r="MX173" s="262"/>
      <c r="MY173" s="262"/>
      <c r="MZ173" s="262"/>
      <c r="NA173" s="262"/>
      <c r="NB173" s="262"/>
      <c r="NC173" s="262"/>
      <c r="ND173" s="262"/>
      <c r="NE173" s="262"/>
      <c r="NF173" s="262"/>
      <c r="NG173" s="262"/>
      <c r="NH173" s="262"/>
      <c r="NI173" s="262"/>
      <c r="NJ173" s="262"/>
      <c r="NK173" s="262"/>
      <c r="NL173" s="262"/>
      <c r="NM173" s="262"/>
      <c r="NN173" s="262"/>
      <c r="NO173" s="262"/>
      <c r="NP173" s="262"/>
      <c r="NQ173" s="262"/>
      <c r="NR173" s="262"/>
      <c r="NS173" s="262"/>
      <c r="NT173" s="262"/>
      <c r="NU173" s="262"/>
      <c r="NV173" s="262"/>
      <c r="NW173" s="262"/>
      <c r="NX173" s="262"/>
      <c r="NY173" s="262"/>
      <c r="NZ173" s="262"/>
      <c r="OA173" s="262"/>
      <c r="OB173" s="262"/>
      <c r="OC173" s="262"/>
      <c r="OD173" s="262"/>
      <c r="OE173" s="262"/>
      <c r="OF173" s="262"/>
      <c r="OG173" s="262"/>
      <c r="OH173" s="262"/>
      <c r="OI173" s="262"/>
      <c r="OJ173" s="262"/>
      <c r="OK173" s="262"/>
      <c r="OL173" s="262"/>
      <c r="OM173" s="262"/>
      <c r="ON173" s="262"/>
      <c r="OO173" s="262"/>
      <c r="OP173" s="262"/>
      <c r="OQ173" s="262"/>
      <c r="OR173" s="262"/>
      <c r="OS173" s="262"/>
      <c r="OT173" s="262"/>
      <c r="OU173" s="262"/>
      <c r="OV173" s="262"/>
      <c r="OW173" s="262"/>
      <c r="OX173" s="262"/>
      <c r="OY173" s="262"/>
      <c r="OZ173" s="262"/>
      <c r="PA173" s="262"/>
      <c r="PB173" s="262"/>
      <c r="PC173" s="262"/>
      <c r="PD173" s="262"/>
      <c r="PE173" s="262"/>
      <c r="PF173" s="262"/>
      <c r="PG173" s="262"/>
      <c r="PH173" s="262"/>
    </row>
    <row r="174" spans="1:424" x14ac:dyDescent="0.35">
      <c r="A174"/>
      <c r="B174" s="427" t="str">
        <f>B135</f>
        <v>Management fee included in source operating costs</v>
      </c>
      <c r="C174" s="400"/>
      <c r="D174" s="400"/>
      <c r="E174" s="502"/>
      <c r="F174" s="502"/>
      <c r="G174" s="40"/>
      <c r="H174" s="445">
        <f>+I135</f>
        <v>0</v>
      </c>
      <c r="I174" s="416">
        <f>MAX(SUM(INDEX($L$135:$EN$135,1,Timing_Reversion_Month+1):INDEX($L$135:$EN$135,1,Timing_Reversion_Month+12)))</f>
        <v>0</v>
      </c>
      <c r="J174" s="395"/>
      <c r="K174" s="513"/>
      <c r="L174" s="513" t="s">
        <v>357</v>
      </c>
      <c r="M174" s="446" t="str">
        <f>IF(M162&gt;=0,"OK",IF(M162&lt;0,"Error"))</f>
        <v>OK</v>
      </c>
      <c r="N174" s="446"/>
      <c r="O174" s="446" t="str">
        <f>IF(O162&gt;=0,"OK",IF(O162&lt;0,"Error"))</f>
        <v>OK</v>
      </c>
      <c r="P174" s="446" t="str">
        <f>IF(P162&gt;=0,"OK",IF(P162&lt;0,"Error"))</f>
        <v>OK</v>
      </c>
      <c r="Q174"/>
      <c r="R174"/>
      <c r="S174"/>
      <c r="T174"/>
      <c r="U174"/>
      <c r="V174" s="446" t="str">
        <f>IF(V162&gt;=0,"OK",IF(V162&lt;0,"Error"))</f>
        <v>OK</v>
      </c>
      <c r="W174" s="446" t="str">
        <f>IF(W162&gt;=0,"OK",IF(W162&lt;0,"Error"))</f>
        <v>OK</v>
      </c>
      <c r="X174" s="396"/>
      <c r="Y174" s="396"/>
      <c r="Z174" s="396"/>
      <c r="AA174" s="396"/>
      <c r="AB174" s="396"/>
      <c r="AC174" s="396"/>
      <c r="AD174" s="396"/>
      <c r="AE174" s="396"/>
      <c r="AF174" s="396"/>
      <c r="AG174" s="396"/>
      <c r="AH174" s="396"/>
      <c r="AI174" s="396"/>
      <c r="AJ174" s="396"/>
      <c r="AK174" s="396"/>
      <c r="AL174" s="396"/>
      <c r="AM174" s="396"/>
      <c r="AN174" s="396"/>
      <c r="AO174" s="396"/>
      <c r="AP174" s="396"/>
      <c r="AQ174" s="396"/>
      <c r="AR174" s="396"/>
      <c r="AS174" s="396"/>
      <c r="AT174" s="396"/>
      <c r="AU174" s="396"/>
      <c r="AV174" s="396"/>
      <c r="AW174" s="396"/>
      <c r="AX174" s="396"/>
      <c r="AY174" s="396"/>
      <c r="AZ174" s="396"/>
      <c r="BA174" s="396"/>
      <c r="BB174" s="396"/>
      <c r="BC174" s="396"/>
      <c r="BD174" s="396"/>
      <c r="BE174" s="396"/>
      <c r="BF174" s="396"/>
      <c r="BG174" s="396"/>
      <c r="BH174" s="396"/>
      <c r="BI174" s="396"/>
      <c r="BJ174" s="396"/>
      <c r="BK174" s="396"/>
      <c r="BL174" s="396"/>
      <c r="BM174" s="396"/>
      <c r="BN174" s="396"/>
      <c r="BO174" s="396"/>
      <c r="BP174" s="396"/>
      <c r="BQ174" s="396"/>
      <c r="BR174" s="396"/>
      <c r="BS174" s="396"/>
      <c r="BT174" s="396"/>
      <c r="BU174" s="396"/>
      <c r="BV174" s="396"/>
      <c r="BW174" s="396"/>
      <c r="BX174" s="396"/>
      <c r="BY174" s="396"/>
      <c r="BZ174" s="396"/>
      <c r="CA174" s="396"/>
      <c r="CB174" s="396"/>
      <c r="CC174" s="396"/>
      <c r="CD174" s="396"/>
      <c r="CE174" s="396"/>
      <c r="CF174" s="396"/>
      <c r="CG174" s="396"/>
      <c r="CH174" s="396"/>
      <c r="CI174" s="396"/>
      <c r="CJ174" s="396"/>
      <c r="CK174" s="396"/>
      <c r="CL174" s="396"/>
      <c r="CM174" s="396"/>
      <c r="CN174" s="396"/>
      <c r="CO174" s="396"/>
      <c r="CP174" s="396"/>
      <c r="CQ174" s="396"/>
      <c r="CR174" s="396"/>
      <c r="CS174" s="396"/>
      <c r="CT174" s="396"/>
      <c r="CU174" s="396"/>
      <c r="CV174" s="396"/>
      <c r="CW174" s="396"/>
      <c r="CX174" s="396"/>
      <c r="CY174" s="396"/>
      <c r="CZ174" s="396"/>
      <c r="DA174" s="396"/>
      <c r="DB174" s="396"/>
      <c r="DC174" s="396"/>
      <c r="DD174" s="396"/>
      <c r="DE174" s="396"/>
      <c r="DF174" s="396"/>
      <c r="DG174" s="396"/>
      <c r="DH174" s="396"/>
      <c r="DI174" s="396"/>
      <c r="DJ174" s="396"/>
      <c r="DK174" s="396"/>
      <c r="DL174" s="396"/>
      <c r="DM174" s="396"/>
      <c r="DN174" s="396"/>
      <c r="DO174" s="396"/>
      <c r="DP174" s="396"/>
      <c r="DQ174" s="396"/>
      <c r="DR174" s="396"/>
      <c r="DS174" s="396"/>
      <c r="DT174" s="396"/>
      <c r="DU174" s="396"/>
      <c r="DV174" s="396"/>
      <c r="DW174" s="396"/>
      <c r="DX174" s="396"/>
      <c r="DY174" s="396"/>
      <c r="DZ174" s="396"/>
      <c r="EA174" s="396"/>
      <c r="EB174" s="396"/>
      <c r="EC174" s="396"/>
      <c r="ED174" s="396"/>
      <c r="EE174" s="396"/>
      <c r="EF174" s="396"/>
      <c r="EG174" s="396"/>
      <c r="EH174" s="396"/>
      <c r="EI174" s="396"/>
      <c r="EJ174" s="396"/>
      <c r="EK174" s="396"/>
      <c r="EL174" s="396"/>
      <c r="EM174" s="396"/>
      <c r="EN174" s="396"/>
      <c r="EO174" s="396"/>
      <c r="EP174" s="219"/>
      <c r="EQ174" s="18"/>
      <c r="ER174" s="18"/>
      <c r="ES174" s="18"/>
      <c r="ET174" s="18"/>
      <c r="EU174" s="18"/>
      <c r="EV174" s="18"/>
      <c r="EW174" s="18"/>
      <c r="EX174" s="18"/>
      <c r="EY174" s="18"/>
      <c r="EZ174" s="18"/>
      <c r="FA174" s="18"/>
      <c r="FB174" s="18"/>
      <c r="FC174" s="18"/>
      <c r="FD174" s="18"/>
      <c r="FE174" s="18"/>
      <c r="FF174" s="18"/>
      <c r="FG174" s="18"/>
      <c r="FH174" s="18"/>
      <c r="FI174" s="18"/>
      <c r="FJ174" s="18"/>
      <c r="FK174" s="18"/>
      <c r="FL174" s="18"/>
      <c r="FM174" s="18"/>
      <c r="FN174" s="18"/>
      <c r="FO174" s="18"/>
      <c r="FP174" s="18"/>
      <c r="FQ174" s="18"/>
      <c r="FR174" s="18"/>
      <c r="FS174" s="18"/>
      <c r="FT174" s="18"/>
      <c r="FU174" s="18"/>
      <c r="FV174" s="18"/>
      <c r="FW174" s="18"/>
      <c r="FX174" s="18"/>
      <c r="FY174" s="18"/>
      <c r="FZ174" s="18"/>
      <c r="GA174" s="18"/>
      <c r="GB174" s="18"/>
      <c r="GC174" s="18"/>
      <c r="GD174" s="18"/>
      <c r="GE174" s="18"/>
      <c r="GF174" s="18"/>
      <c r="GG174" s="18"/>
      <c r="GH174" s="18"/>
      <c r="GI174" s="18"/>
      <c r="GJ174" s="18"/>
      <c r="GK174" s="18"/>
      <c r="GL174" s="18"/>
      <c r="GM174" s="18"/>
      <c r="GN174" s="18"/>
      <c r="GO174" s="18"/>
      <c r="GP174" s="18"/>
      <c r="GQ174" s="18"/>
      <c r="GR174" s="18"/>
      <c r="GS174" s="18"/>
      <c r="GT174" s="18"/>
      <c r="GU174" s="18"/>
      <c r="GV174" s="18"/>
      <c r="GW174" s="18"/>
      <c r="GX174" s="18"/>
      <c r="GY174" s="18"/>
      <c r="GZ174" s="18"/>
      <c r="HA174" s="18"/>
      <c r="HB174" s="18"/>
      <c r="HC174" s="18"/>
      <c r="HD174" s="18"/>
      <c r="HE174" s="18"/>
      <c r="HF174" s="18"/>
      <c r="HG174" s="18"/>
      <c r="HH174" s="18"/>
      <c r="HI174" s="18"/>
      <c r="HJ174" s="18"/>
      <c r="HK174" s="18"/>
      <c r="HL174" s="18"/>
      <c r="HM174" s="18"/>
      <c r="HN174" s="18"/>
      <c r="HO174" s="18"/>
      <c r="HP174" s="18"/>
      <c r="HQ174" s="18"/>
      <c r="HR174" s="18"/>
      <c r="HS174" s="18"/>
      <c r="HT174" s="18"/>
      <c r="HU174" s="18"/>
      <c r="HV174" s="18"/>
      <c r="HW174" s="18"/>
      <c r="HX174" s="18"/>
      <c r="HY174" s="18"/>
      <c r="HZ174" s="18"/>
      <c r="IA174" s="18"/>
      <c r="IB174" s="18"/>
      <c r="IC174" s="18"/>
      <c r="ID174" s="18"/>
      <c r="IE174" s="18"/>
      <c r="IF174" s="18"/>
      <c r="IG174" s="18"/>
      <c r="IH174" s="18"/>
      <c r="II174" s="18"/>
      <c r="IJ174" s="18"/>
      <c r="IK174" s="18"/>
      <c r="IL174" s="18"/>
      <c r="IM174" s="18"/>
      <c r="IN174" s="18"/>
      <c r="IO174" s="18"/>
      <c r="IP174" s="18"/>
      <c r="IQ174" s="18"/>
      <c r="IR174" s="18"/>
      <c r="IS174" s="18"/>
      <c r="IT174" s="18"/>
      <c r="IU174" s="18"/>
      <c r="IV174" s="18"/>
      <c r="IW174" s="18"/>
      <c r="IX174" s="18"/>
      <c r="IY174" s="18"/>
      <c r="IZ174" s="18"/>
      <c r="JA174" s="18"/>
      <c r="JB174" s="18"/>
      <c r="JC174" s="18"/>
      <c r="JD174" s="18"/>
      <c r="JE174" s="18"/>
      <c r="JF174" s="18"/>
      <c r="JG174" s="18"/>
      <c r="JH174" s="18"/>
      <c r="JI174" s="18"/>
      <c r="JJ174" s="18"/>
      <c r="JK174" s="18"/>
      <c r="JL174" s="18"/>
      <c r="JM174" s="18"/>
      <c r="JN174" s="18"/>
      <c r="JO174" s="18"/>
      <c r="JP174" s="18"/>
      <c r="JQ174" s="18"/>
      <c r="JR174" s="18"/>
      <c r="JS174" s="18"/>
      <c r="JT174" s="18"/>
      <c r="JU174" s="18"/>
      <c r="JV174" s="18"/>
      <c r="JW174" s="18"/>
      <c r="JX174" s="18"/>
      <c r="JY174"/>
      <c r="JZ174" s="262"/>
      <c r="KA174" s="262"/>
      <c r="KB174" s="262"/>
      <c r="KC174" s="262"/>
      <c r="KD174" s="262"/>
      <c r="KE174" s="262"/>
      <c r="KF174" s="262"/>
      <c r="KG174" s="262"/>
      <c r="KH174" s="262"/>
      <c r="KI174" s="262"/>
      <c r="KJ174" s="262"/>
      <c r="KK174" s="262"/>
      <c r="KL174" s="262"/>
      <c r="KM174" s="262"/>
      <c r="KN174" s="262"/>
      <c r="KO174" s="262"/>
      <c r="KP174" s="262"/>
      <c r="KQ174" s="262"/>
      <c r="KR174" s="262"/>
      <c r="KS174" s="262"/>
      <c r="KT174" s="262"/>
      <c r="KU174" s="262"/>
      <c r="KV174" s="262"/>
      <c r="KW174" s="262"/>
      <c r="KX174" s="262"/>
      <c r="KY174" s="262"/>
      <c r="KZ174" s="262"/>
      <c r="LA174" s="262"/>
      <c r="LB174" s="262"/>
      <c r="LC174" s="262"/>
      <c r="LD174" s="262"/>
      <c r="LE174" s="262"/>
      <c r="LF174" s="262"/>
      <c r="LG174" s="262"/>
      <c r="LH174" s="262"/>
      <c r="LI174" s="262"/>
      <c r="LJ174" s="262"/>
      <c r="LK174" s="262"/>
      <c r="LL174" s="262"/>
      <c r="LM174" s="262"/>
      <c r="LN174" s="262"/>
      <c r="LO174" s="262"/>
      <c r="LP174" s="262"/>
      <c r="LQ174" s="262"/>
      <c r="LR174" s="262"/>
      <c r="LS174" s="262"/>
      <c r="LT174" s="262"/>
      <c r="LU174" s="262"/>
      <c r="LV174" s="262"/>
      <c r="LW174" s="262"/>
      <c r="LX174" s="262"/>
      <c r="LY174" s="262"/>
      <c r="LZ174" s="262"/>
      <c r="MA174" s="262"/>
      <c r="MB174" s="262"/>
      <c r="MC174" s="262"/>
      <c r="MD174" s="262"/>
      <c r="ME174" s="262"/>
      <c r="MF174" s="262"/>
      <c r="MG174" s="262"/>
      <c r="MH174" s="262"/>
      <c r="MI174" s="262"/>
      <c r="MJ174" s="262"/>
      <c r="MK174" s="262"/>
      <c r="ML174" s="262"/>
      <c r="MM174" s="262"/>
      <c r="MN174" s="262"/>
      <c r="MO174" s="262"/>
      <c r="MP174" s="262"/>
      <c r="MQ174" s="262"/>
      <c r="MR174" s="262"/>
      <c r="MS174" s="262"/>
      <c r="MT174" s="262"/>
      <c r="MU174" s="262"/>
      <c r="MV174" s="262"/>
      <c r="MW174" s="262"/>
      <c r="MX174" s="262"/>
      <c r="MY174" s="262"/>
      <c r="MZ174" s="262"/>
      <c r="NA174" s="262"/>
      <c r="NB174" s="262"/>
      <c r="NC174" s="262"/>
      <c r="ND174" s="262"/>
      <c r="NE174" s="262"/>
      <c r="NF174" s="262"/>
      <c r="NG174" s="262"/>
      <c r="NH174" s="262"/>
      <c r="NI174" s="262"/>
      <c r="NJ174" s="262"/>
      <c r="NK174" s="262"/>
      <c r="NL174" s="262"/>
      <c r="NM174" s="262"/>
      <c r="NN174" s="262"/>
      <c r="NO174" s="262"/>
      <c r="NP174" s="262"/>
      <c r="NQ174" s="262"/>
      <c r="NR174" s="262"/>
      <c r="NS174" s="262"/>
      <c r="NT174" s="262"/>
      <c r="NU174" s="262"/>
      <c r="NV174" s="262"/>
      <c r="NW174" s="262"/>
      <c r="NX174" s="262"/>
      <c r="NY174" s="262"/>
      <c r="NZ174" s="262"/>
      <c r="OA174" s="262"/>
      <c r="OB174" s="262"/>
      <c r="OC174" s="262"/>
      <c r="OD174" s="262"/>
      <c r="OE174" s="262"/>
      <c r="OF174" s="262"/>
      <c r="OG174" s="262"/>
      <c r="OH174" s="262"/>
      <c r="OI174" s="262"/>
      <c r="OJ174" s="262"/>
      <c r="OK174" s="262"/>
      <c r="OL174" s="262"/>
      <c r="OM174" s="262"/>
      <c r="ON174" s="262"/>
      <c r="OO174" s="262"/>
      <c r="OP174" s="262"/>
      <c r="OQ174" s="262"/>
      <c r="OR174" s="262"/>
      <c r="OS174" s="262"/>
      <c r="OT174" s="262"/>
      <c r="OU174" s="262"/>
      <c r="OV174" s="262"/>
      <c r="OW174" s="262"/>
      <c r="OX174" s="262"/>
      <c r="OY174" s="262"/>
      <c r="OZ174" s="262"/>
      <c r="PA174" s="262"/>
      <c r="PB174" s="262"/>
      <c r="PC174" s="262"/>
      <c r="PD174" s="262"/>
      <c r="PE174" s="262"/>
      <c r="PF174" s="262"/>
      <c r="PG174" s="262"/>
      <c r="PH174" s="262"/>
    </row>
    <row r="175" spans="1:424" x14ac:dyDescent="0.35">
      <c r="A175"/>
      <c r="B175" s="427" t="str">
        <f>B136</f>
        <v>Other operating expenses included in source operating costs</v>
      </c>
      <c r="C175" s="400"/>
      <c r="D175" s="400"/>
      <c r="E175" s="412" t="s">
        <v>358</v>
      </c>
      <c r="F175" s="412" t="s">
        <v>359</v>
      </c>
      <c r="G175" s="40"/>
      <c r="H175" s="445">
        <f>+I136</f>
        <v>0</v>
      </c>
      <c r="I175" s="416">
        <f>MAX(SUM(INDEX($L$136:$EN$136,1,Timing_Reversion_Month+1):INDEX($L$136:$EN$136,1,Timing_Reversion_Month+12)))</f>
        <v>0</v>
      </c>
      <c r="J175" s="395"/>
      <c r="K175" s="396"/>
      <c r="L175" s="396"/>
      <c r="M175" s="396"/>
      <c r="N175" s="396"/>
      <c r="O175" s="396"/>
      <c r="P175" s="396"/>
      <c r="Q175" s="396"/>
      <c r="R175" s="396"/>
      <c r="S175" s="396"/>
      <c r="T175" s="396"/>
      <c r="U175" s="396"/>
      <c r="V175" s="396"/>
      <c r="W175" s="396"/>
      <c r="X175" s="396"/>
      <c r="Y175" s="396"/>
      <c r="Z175" s="396"/>
      <c r="AA175" s="396"/>
      <c r="AB175" s="396"/>
      <c r="AC175" s="396"/>
      <c r="AD175" s="396"/>
      <c r="AE175" s="396"/>
      <c r="AF175" s="396"/>
      <c r="AG175" s="396"/>
      <c r="AH175" s="396"/>
      <c r="AI175" s="396"/>
      <c r="AJ175" s="396"/>
      <c r="AK175" s="396"/>
      <c r="AL175" s="396"/>
      <c r="AM175" s="396"/>
      <c r="AN175" s="396"/>
      <c r="AO175" s="396"/>
      <c r="AP175" s="396"/>
      <c r="AQ175" s="396"/>
      <c r="AR175" s="396"/>
      <c r="AS175" s="396"/>
      <c r="AT175" s="396"/>
      <c r="AU175" s="396"/>
      <c r="AV175" s="396"/>
      <c r="AW175" s="396"/>
      <c r="AX175" s="396"/>
      <c r="AY175" s="396"/>
      <c r="AZ175" s="396"/>
      <c r="BA175" s="396"/>
      <c r="BB175" s="396"/>
      <c r="BC175" s="396"/>
      <c r="BD175" s="396"/>
      <c r="BE175" s="396"/>
      <c r="BF175" s="396"/>
      <c r="BG175" s="396"/>
      <c r="BH175" s="396"/>
      <c r="BI175" s="396"/>
      <c r="BJ175" s="396"/>
      <c r="BK175" s="396"/>
      <c r="BL175" s="396"/>
      <c r="BM175" s="396"/>
      <c r="BN175" s="396"/>
      <c r="BO175" s="396"/>
      <c r="BP175" s="396"/>
      <c r="BQ175" s="396"/>
      <c r="BR175" s="396"/>
      <c r="BS175" s="396"/>
      <c r="BT175" s="396"/>
      <c r="BU175" s="396"/>
      <c r="BV175" s="396"/>
      <c r="BW175" s="396"/>
      <c r="BX175" s="396"/>
      <c r="BY175" s="396"/>
      <c r="BZ175" s="396"/>
      <c r="CA175" s="396"/>
      <c r="CB175" s="396"/>
      <c r="CC175" s="396"/>
      <c r="CD175" s="396"/>
      <c r="CE175" s="396"/>
      <c r="CF175" s="396"/>
      <c r="CG175" s="396"/>
      <c r="CH175" s="396"/>
      <c r="CI175" s="396"/>
      <c r="CJ175" s="396"/>
      <c r="CK175" s="396"/>
      <c r="CL175" s="396"/>
      <c r="CM175" s="396"/>
      <c r="CN175" s="396"/>
      <c r="CO175" s="396"/>
      <c r="CP175" s="396"/>
      <c r="CQ175" s="396"/>
      <c r="CR175" s="396"/>
      <c r="CS175" s="396"/>
      <c r="CT175" s="396"/>
      <c r="CU175" s="396"/>
      <c r="CV175" s="396"/>
      <c r="CW175" s="396"/>
      <c r="CX175" s="396"/>
      <c r="CY175" s="396"/>
      <c r="CZ175" s="396"/>
      <c r="DA175" s="396"/>
      <c r="DB175" s="396"/>
      <c r="DC175" s="396"/>
      <c r="DD175" s="396"/>
      <c r="DE175" s="396"/>
      <c r="DF175" s="396"/>
      <c r="DG175" s="396"/>
      <c r="DH175" s="396"/>
      <c r="DI175" s="396"/>
      <c r="DJ175" s="396"/>
      <c r="DK175" s="396"/>
      <c r="DL175" s="396"/>
      <c r="DM175" s="396"/>
      <c r="DN175" s="396"/>
      <c r="DO175" s="396"/>
      <c r="DP175" s="396"/>
      <c r="DQ175" s="396"/>
      <c r="DR175" s="396"/>
      <c r="DS175" s="396"/>
      <c r="DT175" s="396"/>
      <c r="DU175" s="396"/>
      <c r="DV175" s="396"/>
      <c r="DW175" s="396"/>
      <c r="DX175" s="396"/>
      <c r="DY175" s="396"/>
      <c r="DZ175" s="396"/>
      <c r="EA175" s="396"/>
      <c r="EB175" s="396"/>
      <c r="EC175" s="396"/>
      <c r="ED175" s="396"/>
      <c r="EE175" s="396"/>
      <c r="EF175" s="396"/>
      <c r="EG175" s="396"/>
      <c r="EH175" s="396"/>
      <c r="EI175" s="396"/>
      <c r="EJ175" s="396"/>
      <c r="EK175" s="396"/>
      <c r="EL175" s="396"/>
      <c r="EM175" s="396"/>
      <c r="EN175" s="396"/>
      <c r="EO175" s="396"/>
      <c r="EP175" s="219"/>
      <c r="EQ175" s="18"/>
      <c r="ER175" s="18"/>
      <c r="ES175" s="18"/>
      <c r="ET175" s="18"/>
      <c r="EU175" s="18"/>
      <c r="EV175" s="18"/>
      <c r="EW175" s="18"/>
      <c r="EX175" s="18"/>
      <c r="EY175" s="18"/>
      <c r="EZ175" s="18"/>
      <c r="FA175" s="18"/>
      <c r="FB175" s="18"/>
      <c r="FC175" s="18"/>
      <c r="FD175" s="18"/>
      <c r="FE175" s="18"/>
      <c r="FF175" s="18"/>
      <c r="FG175" s="18"/>
      <c r="FH175" s="18"/>
      <c r="FI175" s="18"/>
      <c r="FJ175" s="18"/>
      <c r="FK175" s="18"/>
      <c r="FL175" s="18"/>
      <c r="FM175" s="18"/>
      <c r="FN175" s="18"/>
      <c r="FO175" s="18"/>
      <c r="FP175" s="18"/>
      <c r="FQ175" s="18"/>
      <c r="FR175" s="18"/>
      <c r="FS175" s="18"/>
      <c r="FT175" s="18"/>
      <c r="FU175" s="18"/>
      <c r="FV175" s="18"/>
      <c r="FW175" s="18"/>
      <c r="FX175" s="18"/>
      <c r="FY175" s="18"/>
      <c r="FZ175" s="18"/>
      <c r="GA175" s="18"/>
      <c r="GB175" s="18"/>
      <c r="GC175" s="18"/>
      <c r="GD175" s="18"/>
      <c r="GE175" s="18"/>
      <c r="GF175" s="18"/>
      <c r="GG175" s="18"/>
      <c r="GH175" s="18"/>
      <c r="GI175" s="18"/>
      <c r="GJ175" s="18"/>
      <c r="GK175" s="18"/>
      <c r="GL175" s="18"/>
      <c r="GM175" s="18"/>
      <c r="GN175" s="18"/>
      <c r="GO175" s="18"/>
      <c r="GP175" s="18"/>
      <c r="GQ175" s="18"/>
      <c r="GR175" s="18"/>
      <c r="GS175" s="18"/>
      <c r="GT175" s="18"/>
      <c r="GU175" s="18"/>
      <c r="GV175" s="18"/>
      <c r="GW175" s="18"/>
      <c r="GX175" s="18"/>
      <c r="GY175" s="18"/>
      <c r="GZ175" s="18"/>
      <c r="HA175" s="18"/>
      <c r="HB175" s="18"/>
      <c r="HC175" s="18"/>
      <c r="HD175" s="18"/>
      <c r="HE175" s="18"/>
      <c r="HF175" s="18"/>
      <c r="HG175" s="18"/>
      <c r="HH175" s="18"/>
      <c r="HI175" s="18"/>
      <c r="HJ175" s="18"/>
      <c r="HK175" s="18"/>
      <c r="HL175" s="18"/>
      <c r="HM175" s="18"/>
      <c r="HN175" s="18"/>
      <c r="HO175" s="18"/>
      <c r="HP175" s="18"/>
      <c r="HQ175" s="18"/>
      <c r="HR175" s="18"/>
      <c r="HS175" s="18"/>
      <c r="HT175" s="18"/>
      <c r="HU175" s="18"/>
      <c r="HV175" s="18"/>
      <c r="HW175" s="18"/>
      <c r="HX175" s="18"/>
      <c r="HY175" s="18"/>
      <c r="HZ175" s="18"/>
      <c r="IA175" s="18"/>
      <c r="IB175" s="18"/>
      <c r="IC175" s="18"/>
      <c r="ID175" s="18"/>
      <c r="IE175" s="18"/>
      <c r="IF175" s="18"/>
      <c r="IG175" s="18"/>
      <c r="IH175" s="18"/>
      <c r="II175" s="18"/>
      <c r="IJ175" s="18"/>
      <c r="IK175" s="18"/>
      <c r="IL175" s="18"/>
      <c r="IM175" s="18"/>
      <c r="IN175" s="18"/>
      <c r="IO175" s="18"/>
      <c r="IP175" s="18"/>
      <c r="IQ175" s="18"/>
      <c r="IR175" s="18"/>
      <c r="IS175" s="18"/>
      <c r="IT175" s="18"/>
      <c r="IU175" s="18"/>
      <c r="IV175" s="18"/>
      <c r="IW175" s="18"/>
      <c r="IX175" s="18"/>
      <c r="IY175" s="18"/>
      <c r="IZ175" s="18"/>
      <c r="JA175" s="18"/>
      <c r="JB175" s="18"/>
      <c r="JC175" s="18"/>
      <c r="JD175" s="18"/>
      <c r="JE175" s="18"/>
      <c r="JF175" s="18"/>
      <c r="JG175" s="18"/>
      <c r="JH175" s="18"/>
      <c r="JI175" s="18"/>
      <c r="JJ175" s="18"/>
      <c r="JK175" s="18"/>
      <c r="JL175" s="18"/>
      <c r="JM175" s="18"/>
      <c r="JN175" s="18"/>
      <c r="JO175" s="18"/>
      <c r="JP175" s="18"/>
      <c r="JQ175" s="18"/>
      <c r="JR175" s="18"/>
      <c r="JS175" s="18"/>
      <c r="JT175" s="18"/>
      <c r="JU175" s="18"/>
      <c r="JV175" s="18"/>
      <c r="JW175" s="18"/>
      <c r="JX175" s="18"/>
      <c r="JY175"/>
      <c r="JZ175" s="262"/>
      <c r="KA175" s="262"/>
      <c r="KB175" s="262"/>
      <c r="KC175" s="262"/>
      <c r="KD175" s="262"/>
      <c r="KE175" s="262"/>
      <c r="KF175" s="262"/>
      <c r="KG175" s="262"/>
      <c r="KH175" s="262"/>
      <c r="KI175" s="262"/>
      <c r="KJ175" s="262"/>
      <c r="KK175" s="262"/>
      <c r="KL175" s="262"/>
      <c r="KM175" s="262"/>
      <c r="KN175" s="262"/>
      <c r="KO175" s="262"/>
      <c r="KP175" s="262"/>
      <c r="KQ175" s="262"/>
      <c r="KR175" s="262"/>
      <c r="KS175" s="262"/>
      <c r="KT175" s="262"/>
      <c r="KU175" s="262"/>
      <c r="KV175" s="262"/>
      <c r="KW175" s="262"/>
      <c r="KX175" s="262"/>
      <c r="KY175" s="262"/>
      <c r="KZ175" s="262"/>
      <c r="LA175" s="262"/>
      <c r="LB175" s="262"/>
      <c r="LC175" s="262"/>
      <c r="LD175" s="262"/>
      <c r="LE175" s="262"/>
      <c r="LF175" s="262"/>
      <c r="LG175" s="262"/>
      <c r="LH175" s="262"/>
      <c r="LI175" s="262"/>
      <c r="LJ175" s="262"/>
      <c r="LK175" s="262"/>
      <c r="LL175" s="262"/>
      <c r="LM175" s="262"/>
      <c r="LN175" s="262"/>
      <c r="LO175" s="262"/>
      <c r="LP175" s="262"/>
      <c r="LQ175" s="262"/>
      <c r="LR175" s="262"/>
      <c r="LS175" s="262"/>
      <c r="LT175" s="262"/>
      <c r="LU175" s="262"/>
      <c r="LV175" s="262"/>
      <c r="LW175" s="262"/>
      <c r="LX175" s="262"/>
      <c r="LY175" s="262"/>
      <c r="LZ175" s="262"/>
      <c r="MA175" s="262"/>
      <c r="MB175" s="262"/>
      <c r="MC175" s="262"/>
      <c r="MD175" s="262"/>
      <c r="ME175" s="262"/>
      <c r="MF175" s="262"/>
      <c r="MG175" s="262"/>
      <c r="MH175" s="262"/>
      <c r="MI175" s="262"/>
      <c r="MJ175" s="262"/>
      <c r="MK175" s="262"/>
      <c r="ML175" s="262"/>
      <c r="MM175" s="262"/>
      <c r="MN175" s="262"/>
      <c r="MO175" s="262"/>
      <c r="MP175" s="262"/>
      <c r="MQ175" s="262"/>
      <c r="MR175" s="262"/>
      <c r="MS175" s="262"/>
      <c r="MT175" s="262"/>
      <c r="MU175" s="262"/>
      <c r="MV175" s="262"/>
      <c r="MW175" s="262"/>
      <c r="MX175" s="262"/>
      <c r="MY175" s="262"/>
      <c r="MZ175" s="262"/>
      <c r="NA175" s="262"/>
      <c r="NB175" s="262"/>
      <c r="NC175" s="262"/>
      <c r="ND175" s="262"/>
      <c r="NE175" s="262"/>
      <c r="NF175" s="262"/>
      <c r="NG175" s="262"/>
      <c r="NH175" s="262"/>
      <c r="NI175" s="262"/>
      <c r="NJ175" s="262"/>
      <c r="NK175" s="262"/>
      <c r="NL175" s="262"/>
      <c r="NM175" s="262"/>
      <c r="NN175" s="262"/>
      <c r="NO175" s="262"/>
      <c r="NP175" s="262"/>
      <c r="NQ175" s="262"/>
      <c r="NR175" s="262"/>
      <c r="NS175" s="262"/>
      <c r="NT175" s="262"/>
      <c r="NU175" s="262"/>
      <c r="NV175" s="262"/>
      <c r="NW175" s="262"/>
      <c r="NX175" s="262"/>
      <c r="NY175" s="262"/>
      <c r="NZ175" s="262"/>
      <c r="OA175" s="262"/>
      <c r="OB175" s="262"/>
      <c r="OC175" s="262"/>
      <c r="OD175" s="262"/>
      <c r="OE175" s="262"/>
      <c r="OF175" s="262"/>
      <c r="OG175" s="262"/>
      <c r="OH175" s="262"/>
      <c r="OI175" s="262"/>
      <c r="OJ175" s="262"/>
      <c r="OK175" s="262"/>
      <c r="OL175" s="262"/>
      <c r="OM175" s="262"/>
      <c r="ON175" s="262"/>
      <c r="OO175" s="262"/>
      <c r="OP175" s="262"/>
      <c r="OQ175" s="262"/>
      <c r="OR175" s="262"/>
      <c r="OS175" s="262"/>
      <c r="OT175" s="262"/>
      <c r="OU175" s="262"/>
      <c r="OV175" s="262"/>
      <c r="OW175" s="262"/>
      <c r="OX175" s="262"/>
      <c r="OY175" s="262"/>
      <c r="OZ175" s="262"/>
      <c r="PA175" s="262"/>
      <c r="PB175" s="262"/>
      <c r="PC175" s="262"/>
      <c r="PD175" s="262"/>
      <c r="PE175" s="262"/>
      <c r="PF175" s="262"/>
      <c r="PG175" s="262"/>
      <c r="PH175" s="262"/>
    </row>
    <row r="176" spans="1:424" x14ac:dyDescent="0.35">
      <c r="A176"/>
      <c r="B176" s="427" t="str">
        <f>B137</f>
        <v>Property taxes / insurance included in source operating costs</v>
      </c>
      <c r="C176" s="400"/>
      <c r="D176" s="429" t="s">
        <v>301</v>
      </c>
      <c r="E176" s="39">
        <f>+H176/Valuation_Trended</f>
        <v>0</v>
      </c>
      <c r="F176" s="39">
        <f>+I176/Valuation_Trended</f>
        <v>0</v>
      </c>
      <c r="G176" s="44"/>
      <c r="H176" s="474">
        <f>+I137</f>
        <v>0</v>
      </c>
      <c r="I176" s="507">
        <f>MAX(SUM(INDEX($L$137:$EN$137,1,Timing_Reversion_Month+1):INDEX($L$137:$EN$137,1,Timing_Reversion_Month+12)))</f>
        <v>0</v>
      </c>
      <c r="J176" s="395"/>
      <c r="K176" s="396"/>
      <c r="L176" s="396"/>
      <c r="M176" s="396"/>
      <c r="N176" s="396"/>
      <c r="O176" s="396"/>
      <c r="P176" s="396"/>
      <c r="Q176" s="396"/>
      <c r="R176" s="396"/>
      <c r="S176" s="396"/>
      <c r="T176" s="396"/>
      <c r="U176" s="396"/>
      <c r="V176" s="396"/>
      <c r="W176" s="396"/>
      <c r="X176" s="396"/>
      <c r="Y176" s="396"/>
      <c r="Z176" s="396"/>
      <c r="AA176" s="396"/>
      <c r="AB176" s="396"/>
      <c r="AC176" s="396"/>
      <c r="AD176" s="396"/>
      <c r="AE176" s="396"/>
      <c r="AF176" s="396"/>
      <c r="AG176" s="396"/>
      <c r="AH176" s="396"/>
      <c r="AI176" s="396"/>
      <c r="AJ176" s="396"/>
      <c r="AK176" s="396"/>
      <c r="AL176" s="396"/>
      <c r="AM176" s="396"/>
      <c r="AN176" s="396"/>
      <c r="AO176" s="396"/>
      <c r="AP176" s="396"/>
      <c r="AQ176" s="396"/>
      <c r="AR176" s="396"/>
      <c r="AS176" s="396"/>
      <c r="AT176" s="396"/>
      <c r="AU176" s="396"/>
      <c r="AV176" s="396"/>
      <c r="AW176" s="396"/>
      <c r="AX176" s="396"/>
      <c r="AY176" s="396"/>
      <c r="AZ176" s="396"/>
      <c r="BA176" s="396"/>
      <c r="BB176" s="396"/>
      <c r="BC176" s="396"/>
      <c r="BD176" s="396"/>
      <c r="BE176" s="396"/>
      <c r="BF176" s="396"/>
      <c r="BG176" s="396"/>
      <c r="BH176" s="396"/>
      <c r="BI176" s="396"/>
      <c r="BJ176" s="396"/>
      <c r="BK176" s="396"/>
      <c r="BL176" s="396"/>
      <c r="BM176" s="396"/>
      <c r="BN176" s="396"/>
      <c r="BO176" s="396"/>
      <c r="BP176" s="396"/>
      <c r="BQ176" s="396"/>
      <c r="BR176" s="396"/>
      <c r="BS176" s="396"/>
      <c r="BT176" s="396"/>
      <c r="BU176" s="396"/>
      <c r="BV176" s="396"/>
      <c r="BW176" s="396"/>
      <c r="BX176" s="396"/>
      <c r="BY176" s="396"/>
      <c r="BZ176" s="396"/>
      <c r="CA176" s="396"/>
      <c r="CB176" s="396"/>
      <c r="CC176" s="396"/>
      <c r="CD176" s="396"/>
      <c r="CE176" s="396"/>
      <c r="CF176" s="396"/>
      <c r="CG176" s="396"/>
      <c r="CH176" s="396"/>
      <c r="CI176" s="396"/>
      <c r="CJ176" s="396"/>
      <c r="CK176" s="396"/>
      <c r="CL176" s="396"/>
      <c r="CM176" s="396"/>
      <c r="CN176" s="396"/>
      <c r="CO176" s="396"/>
      <c r="CP176" s="396"/>
      <c r="CQ176" s="396"/>
      <c r="CR176" s="396"/>
      <c r="CS176" s="396"/>
      <c r="CT176" s="396"/>
      <c r="CU176" s="396"/>
      <c r="CV176" s="396"/>
      <c r="CW176" s="396"/>
      <c r="CX176" s="396"/>
      <c r="CY176" s="396"/>
      <c r="CZ176" s="396"/>
      <c r="DA176" s="396"/>
      <c r="DB176" s="396"/>
      <c r="DC176" s="396"/>
      <c r="DD176" s="396"/>
      <c r="DE176" s="396"/>
      <c r="DF176" s="396"/>
      <c r="DG176" s="396"/>
      <c r="DH176" s="396"/>
      <c r="DI176" s="396"/>
      <c r="DJ176" s="396"/>
      <c r="DK176" s="396"/>
      <c r="DL176" s="396"/>
      <c r="DM176" s="396"/>
      <c r="DN176" s="396"/>
      <c r="DO176" s="396"/>
      <c r="DP176" s="396"/>
      <c r="DQ176" s="396"/>
      <c r="DR176" s="396"/>
      <c r="DS176" s="396"/>
      <c r="DT176" s="396"/>
      <c r="DU176" s="396"/>
      <c r="DV176" s="396"/>
      <c r="DW176" s="396"/>
      <c r="DX176" s="396"/>
      <c r="DY176" s="396"/>
      <c r="DZ176" s="396"/>
      <c r="EA176" s="396"/>
      <c r="EB176" s="396"/>
      <c r="EC176" s="396"/>
      <c r="ED176" s="396"/>
      <c r="EE176" s="396"/>
      <c r="EF176" s="396"/>
      <c r="EG176" s="396"/>
      <c r="EH176" s="396"/>
      <c r="EI176" s="396"/>
      <c r="EJ176" s="396"/>
      <c r="EK176" s="396"/>
      <c r="EL176" s="396"/>
      <c r="EM176" s="396"/>
      <c r="EN176" s="396"/>
      <c r="EO176" s="396"/>
      <c r="EP176" s="219"/>
      <c r="EQ176" s="18"/>
      <c r="ER176" s="18"/>
      <c r="ES176" s="18"/>
      <c r="ET176" s="18"/>
      <c r="EU176" s="18"/>
      <c r="EV176" s="18"/>
      <c r="EW176" s="18"/>
      <c r="EX176" s="18"/>
      <c r="EY176" s="18"/>
      <c r="EZ176" s="18"/>
      <c r="FA176" s="18"/>
      <c r="FB176" s="18"/>
      <c r="FC176" s="18"/>
      <c r="FD176" s="18"/>
      <c r="FE176" s="18"/>
      <c r="FF176" s="18"/>
      <c r="FG176" s="18"/>
      <c r="FH176" s="18"/>
      <c r="FI176" s="18"/>
      <c r="FJ176" s="18"/>
      <c r="FK176" s="18"/>
      <c r="FL176" s="18"/>
      <c r="FM176" s="18"/>
      <c r="FN176" s="18"/>
      <c r="FO176" s="18"/>
      <c r="FP176" s="18"/>
      <c r="FQ176" s="18"/>
      <c r="FR176" s="18"/>
      <c r="FS176" s="18"/>
      <c r="FT176" s="18"/>
      <c r="FU176" s="18"/>
      <c r="FV176" s="18"/>
      <c r="FW176" s="18"/>
      <c r="FX176" s="18"/>
      <c r="FY176" s="18"/>
      <c r="FZ176" s="18"/>
      <c r="GA176" s="18"/>
      <c r="GB176" s="18"/>
      <c r="GC176" s="18"/>
      <c r="GD176" s="18"/>
      <c r="GE176" s="18"/>
      <c r="GF176" s="18"/>
      <c r="GG176" s="18"/>
      <c r="GH176" s="18"/>
      <c r="GI176" s="18"/>
      <c r="GJ176" s="18"/>
      <c r="GK176" s="18"/>
      <c r="GL176" s="18"/>
      <c r="GM176" s="18"/>
      <c r="GN176" s="18"/>
      <c r="GO176" s="18"/>
      <c r="GP176" s="18"/>
      <c r="GQ176" s="18"/>
      <c r="GR176" s="18"/>
      <c r="GS176" s="18"/>
      <c r="GT176" s="18"/>
      <c r="GU176" s="18"/>
      <c r="GV176" s="18"/>
      <c r="GW176" s="18"/>
      <c r="GX176" s="18"/>
      <c r="GY176" s="18"/>
      <c r="GZ176" s="18"/>
      <c r="HA176" s="18"/>
      <c r="HB176" s="18"/>
      <c r="HC176" s="18"/>
      <c r="HD176" s="18"/>
      <c r="HE176" s="18"/>
      <c r="HF176" s="18"/>
      <c r="HG176" s="18"/>
      <c r="HH176" s="18"/>
      <c r="HI176" s="18"/>
      <c r="HJ176" s="18"/>
      <c r="HK176" s="18"/>
      <c r="HL176" s="18"/>
      <c r="HM176" s="18"/>
      <c r="HN176" s="18"/>
      <c r="HO176" s="18"/>
      <c r="HP176" s="18"/>
      <c r="HQ176" s="18"/>
      <c r="HR176" s="18"/>
      <c r="HS176" s="18"/>
      <c r="HT176" s="18"/>
      <c r="HU176" s="18"/>
      <c r="HV176" s="18"/>
      <c r="HW176" s="18"/>
      <c r="HX176" s="18"/>
      <c r="HY176" s="18"/>
      <c r="HZ176" s="18"/>
      <c r="IA176" s="18"/>
      <c r="IB176" s="18"/>
      <c r="IC176" s="18"/>
      <c r="ID176" s="18"/>
      <c r="IE176" s="18"/>
      <c r="IF176" s="18"/>
      <c r="IG176" s="18"/>
      <c r="IH176" s="18"/>
      <c r="II176" s="18"/>
      <c r="IJ176" s="18"/>
      <c r="IK176" s="18"/>
      <c r="IL176" s="18"/>
      <c r="IM176" s="18"/>
      <c r="IN176" s="18"/>
      <c r="IO176" s="18"/>
      <c r="IP176" s="18"/>
      <c r="IQ176" s="18"/>
      <c r="IR176" s="18"/>
      <c r="IS176" s="18"/>
      <c r="IT176" s="18"/>
      <c r="IU176" s="18"/>
      <c r="IV176" s="18"/>
      <c r="IW176" s="18"/>
      <c r="IX176" s="18"/>
      <c r="IY176" s="18"/>
      <c r="IZ176" s="18"/>
      <c r="JA176" s="18"/>
      <c r="JB176" s="18"/>
      <c r="JC176" s="18"/>
      <c r="JD176" s="18"/>
      <c r="JE176" s="18"/>
      <c r="JF176" s="18"/>
      <c r="JG176" s="18"/>
      <c r="JH176" s="18"/>
      <c r="JI176" s="18"/>
      <c r="JJ176" s="18"/>
      <c r="JK176" s="18"/>
      <c r="JL176" s="18"/>
      <c r="JM176" s="18"/>
      <c r="JN176" s="18"/>
      <c r="JO176" s="18"/>
      <c r="JP176" s="18"/>
      <c r="JQ176" s="18"/>
      <c r="JR176" s="18"/>
      <c r="JS176" s="18"/>
      <c r="JT176" s="18"/>
      <c r="JU176" s="18"/>
      <c r="JV176" s="18"/>
      <c r="JW176" s="18"/>
      <c r="JX176" s="18"/>
      <c r="JY176"/>
      <c r="JZ176" s="262"/>
      <c r="KA176" s="262"/>
      <c r="KB176" s="262"/>
      <c r="KC176" s="262"/>
      <c r="KD176" s="262"/>
      <c r="KE176" s="262"/>
      <c r="KF176" s="262"/>
      <c r="KG176" s="262"/>
      <c r="KH176" s="262"/>
      <c r="KI176" s="262"/>
      <c r="KJ176" s="262"/>
      <c r="KK176" s="262"/>
      <c r="KL176" s="262"/>
      <c r="KM176" s="262"/>
      <c r="KN176" s="262"/>
      <c r="KO176" s="262"/>
      <c r="KP176" s="262"/>
      <c r="KQ176" s="262"/>
      <c r="KR176" s="262"/>
      <c r="KS176" s="262"/>
      <c r="KT176" s="262"/>
      <c r="KU176" s="262"/>
      <c r="KV176" s="262"/>
      <c r="KW176" s="262"/>
      <c r="KX176" s="262"/>
      <c r="KY176" s="262"/>
      <c r="KZ176" s="262"/>
      <c r="LA176" s="262"/>
      <c r="LB176" s="262"/>
      <c r="LC176" s="262"/>
      <c r="LD176" s="262"/>
      <c r="LE176" s="262"/>
      <c r="LF176" s="262"/>
      <c r="LG176" s="262"/>
      <c r="LH176" s="262"/>
      <c r="LI176" s="262"/>
      <c r="LJ176" s="262"/>
      <c r="LK176" s="262"/>
      <c r="LL176" s="262"/>
      <c r="LM176" s="262"/>
      <c r="LN176" s="262"/>
      <c r="LO176" s="262"/>
      <c r="LP176" s="262"/>
      <c r="LQ176" s="262"/>
      <c r="LR176" s="262"/>
      <c r="LS176" s="262"/>
      <c r="LT176" s="262"/>
      <c r="LU176" s="262"/>
      <c r="LV176" s="262"/>
      <c r="LW176" s="262"/>
      <c r="LX176" s="262"/>
      <c r="LY176" s="262"/>
      <c r="LZ176" s="262"/>
      <c r="MA176" s="262"/>
      <c r="MB176" s="262"/>
      <c r="MC176" s="262"/>
      <c r="MD176" s="262"/>
      <c r="ME176" s="262"/>
      <c r="MF176" s="262"/>
      <c r="MG176" s="262"/>
      <c r="MH176" s="262"/>
      <c r="MI176" s="262"/>
      <c r="MJ176" s="262"/>
      <c r="MK176" s="262"/>
      <c r="ML176" s="262"/>
      <c r="MM176" s="262"/>
      <c r="MN176" s="262"/>
      <c r="MO176" s="262"/>
      <c r="MP176" s="262"/>
      <c r="MQ176" s="262"/>
      <c r="MR176" s="262"/>
      <c r="MS176" s="262"/>
      <c r="MT176" s="262"/>
      <c r="MU176" s="262"/>
      <c r="MV176" s="262"/>
      <c r="MW176" s="262"/>
      <c r="MX176" s="262"/>
      <c r="MY176" s="262"/>
      <c r="MZ176" s="262"/>
      <c r="NA176" s="262"/>
      <c r="NB176" s="262"/>
      <c r="NC176" s="262"/>
      <c r="ND176" s="262"/>
      <c r="NE176" s="262"/>
      <c r="NF176" s="262"/>
      <c r="NG176" s="262"/>
      <c r="NH176" s="262"/>
      <c r="NI176" s="262"/>
      <c r="NJ176" s="262"/>
      <c r="NK176" s="262"/>
      <c r="NL176" s="262"/>
      <c r="NM176" s="262"/>
      <c r="NN176" s="262"/>
      <c r="NO176" s="262"/>
      <c r="NP176" s="262"/>
      <c r="NQ176" s="262"/>
      <c r="NR176" s="262"/>
      <c r="NS176" s="262"/>
      <c r="NT176" s="262"/>
      <c r="NU176" s="262"/>
      <c r="NV176" s="262"/>
      <c r="NW176" s="262"/>
      <c r="NX176" s="262"/>
      <c r="NY176" s="262"/>
      <c r="NZ176" s="262"/>
      <c r="OA176" s="262"/>
      <c r="OB176" s="262"/>
      <c r="OC176" s="262"/>
      <c r="OD176" s="262"/>
      <c r="OE176" s="262"/>
      <c r="OF176" s="262"/>
      <c r="OG176" s="262"/>
      <c r="OH176" s="262"/>
      <c r="OI176" s="262"/>
      <c r="OJ176" s="262"/>
      <c r="OK176" s="262"/>
      <c r="OL176" s="262"/>
      <c r="OM176" s="262"/>
      <c r="ON176" s="262"/>
      <c r="OO176" s="262"/>
      <c r="OP176" s="262"/>
      <c r="OQ176" s="262"/>
      <c r="OR176" s="262"/>
      <c r="OS176" s="262"/>
      <c r="OT176" s="262"/>
      <c r="OU176" s="262"/>
      <c r="OV176" s="262"/>
      <c r="OW176" s="262"/>
      <c r="OX176" s="262"/>
      <c r="OY176" s="262"/>
      <c r="OZ176" s="262"/>
      <c r="PA176" s="262"/>
      <c r="PB176" s="262"/>
      <c r="PC176" s="262"/>
      <c r="PD176" s="262"/>
      <c r="PE176" s="262"/>
      <c r="PF176" s="262"/>
      <c r="PG176" s="262"/>
      <c r="PH176" s="262"/>
    </row>
    <row r="177" spans="1:424" x14ac:dyDescent="0.35">
      <c r="A177"/>
      <c r="B177" s="34" t="s">
        <v>360</v>
      </c>
      <c r="C177" s="400"/>
      <c r="D177" s="400"/>
      <c r="E177" s="502"/>
      <c r="F177" s="502"/>
      <c r="G177" s="40"/>
      <c r="H177" s="445">
        <f>SUM(H173:H176)</f>
        <v>3288278.6208900046</v>
      </c>
      <c r="I177" s="445">
        <f>SUM(I173:I176)</f>
        <v>3454747.7260725615</v>
      </c>
      <c r="J177" s="395"/>
      <c r="K177" s="396"/>
      <c r="L177" s="396"/>
      <c r="M177" s="396"/>
      <c r="N177" s="396"/>
      <c r="O177" s="396"/>
      <c r="P177" s="396"/>
      <c r="Q177" s="396"/>
      <c r="R177" s="396"/>
      <c r="S177" s="396"/>
      <c r="T177" s="396"/>
      <c r="U177" s="396"/>
      <c r="V177" s="396"/>
      <c r="W177" s="396"/>
      <c r="X177" s="396"/>
      <c r="Y177" s="396"/>
      <c r="Z177" s="396"/>
      <c r="AA177" s="396"/>
      <c r="AB177" s="396"/>
      <c r="AC177" s="396"/>
      <c r="AD177" s="396"/>
      <c r="AE177" s="396"/>
      <c r="AF177" s="396"/>
      <c r="AG177" s="396"/>
      <c r="AH177" s="396"/>
      <c r="AI177" s="396"/>
      <c r="AJ177" s="396"/>
      <c r="AK177" s="396"/>
      <c r="AL177" s="396"/>
      <c r="AM177" s="396"/>
      <c r="AN177" s="396"/>
      <c r="AO177" s="396"/>
      <c r="AP177" s="396"/>
      <c r="AQ177" s="396"/>
      <c r="AR177" s="396"/>
      <c r="AS177" s="396"/>
      <c r="AT177" s="396"/>
      <c r="AU177" s="396"/>
      <c r="AV177" s="396"/>
      <c r="AW177" s="396"/>
      <c r="AX177" s="396"/>
      <c r="AY177" s="396"/>
      <c r="AZ177" s="396"/>
      <c r="BA177" s="396"/>
      <c r="BB177" s="396"/>
      <c r="BC177" s="396"/>
      <c r="BD177" s="396"/>
      <c r="BE177" s="396"/>
      <c r="BF177" s="396"/>
      <c r="BG177" s="396"/>
      <c r="BH177" s="396"/>
      <c r="BI177" s="396"/>
      <c r="BJ177" s="396"/>
      <c r="BK177" s="396"/>
      <c r="BL177" s="396"/>
      <c r="BM177" s="396"/>
      <c r="BN177" s="396"/>
      <c r="BO177" s="396"/>
      <c r="BP177" s="396"/>
      <c r="BQ177" s="396"/>
      <c r="BR177" s="396"/>
      <c r="BS177" s="396"/>
      <c r="BT177" s="396"/>
      <c r="BU177" s="396"/>
      <c r="BV177" s="396"/>
      <c r="BW177" s="396"/>
      <c r="BX177" s="396"/>
      <c r="BY177" s="396"/>
      <c r="BZ177" s="396"/>
      <c r="CA177" s="396"/>
      <c r="CB177" s="396"/>
      <c r="CC177" s="396"/>
      <c r="CD177" s="396"/>
      <c r="CE177" s="396"/>
      <c r="CF177" s="396"/>
      <c r="CG177" s="396"/>
      <c r="CH177" s="396"/>
      <c r="CI177" s="396"/>
      <c r="CJ177" s="396"/>
      <c r="CK177" s="396"/>
      <c r="CL177" s="396"/>
      <c r="CM177" s="396"/>
      <c r="CN177" s="396"/>
      <c r="CO177" s="396"/>
      <c r="CP177" s="396"/>
      <c r="CQ177" s="396"/>
      <c r="CR177" s="396"/>
      <c r="CS177" s="396"/>
      <c r="CT177" s="396"/>
      <c r="CU177" s="396"/>
      <c r="CV177" s="396"/>
      <c r="CW177" s="396"/>
      <c r="CX177" s="396"/>
      <c r="CY177" s="396"/>
      <c r="CZ177" s="396"/>
      <c r="DA177" s="396"/>
      <c r="DB177" s="396"/>
      <c r="DC177" s="396"/>
      <c r="DD177" s="396"/>
      <c r="DE177" s="396"/>
      <c r="DF177" s="396"/>
      <c r="DG177" s="396"/>
      <c r="DH177" s="396"/>
      <c r="DI177" s="396"/>
      <c r="DJ177" s="396"/>
      <c r="DK177" s="396"/>
      <c r="DL177" s="396"/>
      <c r="DM177" s="396"/>
      <c r="DN177" s="396"/>
      <c r="DO177" s="396"/>
      <c r="DP177" s="396"/>
      <c r="DQ177" s="396"/>
      <c r="DR177" s="396"/>
      <c r="DS177" s="396"/>
      <c r="DT177" s="396"/>
      <c r="DU177" s="396"/>
      <c r="DV177" s="396"/>
      <c r="DW177" s="396"/>
      <c r="DX177" s="396"/>
      <c r="DY177" s="396"/>
      <c r="DZ177" s="396"/>
      <c r="EA177" s="396"/>
      <c r="EB177" s="396"/>
      <c r="EC177" s="396"/>
      <c r="ED177" s="396"/>
      <c r="EE177" s="396"/>
      <c r="EF177" s="396"/>
      <c r="EG177" s="396"/>
      <c r="EH177" s="396"/>
      <c r="EI177" s="396"/>
      <c r="EJ177" s="396"/>
      <c r="EK177" s="396"/>
      <c r="EL177" s="396"/>
      <c r="EM177" s="396"/>
      <c r="EN177" s="396"/>
      <c r="EO177" s="396"/>
      <c r="EP177" s="219"/>
      <c r="EQ177" s="18"/>
      <c r="ER177" s="18"/>
      <c r="ES177" s="18"/>
      <c r="ET177" s="18"/>
      <c r="EU177" s="18"/>
      <c r="EV177" s="18"/>
      <c r="EW177" s="18"/>
      <c r="EX177" s="18"/>
      <c r="EY177" s="18"/>
      <c r="EZ177" s="18"/>
      <c r="FA177" s="18"/>
      <c r="FB177" s="18"/>
      <c r="FC177" s="18"/>
      <c r="FD177" s="18"/>
      <c r="FE177" s="18"/>
      <c r="FF177" s="18"/>
      <c r="FG177" s="18"/>
      <c r="FH177" s="18"/>
      <c r="FI177" s="18"/>
      <c r="FJ177" s="18"/>
      <c r="FK177" s="18"/>
      <c r="FL177" s="18"/>
      <c r="FM177" s="18"/>
      <c r="FN177" s="18"/>
      <c r="FO177" s="18"/>
      <c r="FP177" s="18"/>
      <c r="FQ177" s="18"/>
      <c r="FR177" s="18"/>
      <c r="FS177" s="18"/>
      <c r="FT177" s="18"/>
      <c r="FU177" s="18"/>
      <c r="FV177" s="18"/>
      <c r="FW177" s="18"/>
      <c r="FX177" s="18"/>
      <c r="FY177" s="18"/>
      <c r="FZ177" s="18"/>
      <c r="GA177" s="18"/>
      <c r="GB177" s="18"/>
      <c r="GC177" s="18"/>
      <c r="GD177" s="18"/>
      <c r="GE177" s="18"/>
      <c r="GF177" s="18"/>
      <c r="GG177" s="18"/>
      <c r="GH177" s="18"/>
      <c r="GI177" s="18"/>
      <c r="GJ177" s="18"/>
      <c r="GK177" s="18"/>
      <c r="GL177" s="18"/>
      <c r="GM177" s="18"/>
      <c r="GN177" s="18"/>
      <c r="GO177" s="18"/>
      <c r="GP177" s="18"/>
      <c r="GQ177" s="18"/>
      <c r="GR177" s="18"/>
      <c r="GS177" s="18"/>
      <c r="GT177" s="18"/>
      <c r="GU177" s="18"/>
      <c r="GV177" s="18"/>
      <c r="GW177" s="18"/>
      <c r="GX177" s="18"/>
      <c r="GY177" s="18"/>
      <c r="GZ177" s="18"/>
      <c r="HA177" s="18"/>
      <c r="HB177" s="18"/>
      <c r="HC177" s="18"/>
      <c r="HD177" s="18"/>
      <c r="HE177" s="18"/>
      <c r="HF177" s="18"/>
      <c r="HG177" s="18"/>
      <c r="HH177" s="18"/>
      <c r="HI177" s="18"/>
      <c r="HJ177" s="18"/>
      <c r="HK177" s="18"/>
      <c r="HL177" s="18"/>
      <c r="HM177" s="18"/>
      <c r="HN177" s="18"/>
      <c r="HO177" s="18"/>
      <c r="HP177" s="18"/>
      <c r="HQ177" s="18"/>
      <c r="HR177" s="18"/>
      <c r="HS177" s="18"/>
      <c r="HT177" s="18"/>
      <c r="HU177" s="18"/>
      <c r="HV177" s="18"/>
      <c r="HW177" s="18"/>
      <c r="HX177" s="18"/>
      <c r="HY177" s="18"/>
      <c r="HZ177" s="18"/>
      <c r="IA177" s="18"/>
      <c r="IB177" s="18"/>
      <c r="IC177" s="18"/>
      <c r="ID177" s="18"/>
      <c r="IE177" s="18"/>
      <c r="IF177" s="18"/>
      <c r="IG177" s="18"/>
      <c r="IH177" s="18"/>
      <c r="II177" s="18"/>
      <c r="IJ177" s="18"/>
      <c r="IK177" s="18"/>
      <c r="IL177" s="18"/>
      <c r="IM177" s="18"/>
      <c r="IN177" s="18"/>
      <c r="IO177" s="18"/>
      <c r="IP177" s="18"/>
      <c r="IQ177" s="18"/>
      <c r="IR177" s="18"/>
      <c r="IS177" s="18"/>
      <c r="IT177" s="18"/>
      <c r="IU177" s="18"/>
      <c r="IV177" s="18"/>
      <c r="IW177" s="18"/>
      <c r="IX177" s="18"/>
      <c r="IY177" s="18"/>
      <c r="IZ177" s="18"/>
      <c r="JA177" s="18"/>
      <c r="JB177" s="18"/>
      <c r="JC177" s="18"/>
      <c r="JD177" s="18"/>
      <c r="JE177" s="18"/>
      <c r="JF177" s="18"/>
      <c r="JG177" s="18"/>
      <c r="JH177" s="18"/>
      <c r="JI177" s="18"/>
      <c r="JJ177" s="18"/>
      <c r="JK177" s="18"/>
      <c r="JL177" s="18"/>
      <c r="JM177" s="18"/>
      <c r="JN177" s="18"/>
      <c r="JO177" s="18"/>
      <c r="JP177" s="18"/>
      <c r="JQ177" s="18"/>
      <c r="JR177" s="18"/>
      <c r="JS177" s="18"/>
      <c r="JT177" s="18"/>
      <c r="JU177" s="18"/>
      <c r="JV177" s="18"/>
      <c r="JW177" s="18"/>
      <c r="JX177" s="18"/>
      <c r="JY177"/>
      <c r="JZ177" s="262"/>
      <c r="KA177" s="262"/>
      <c r="KB177" s="262"/>
      <c r="KC177" s="262"/>
      <c r="KD177" s="262"/>
      <c r="KE177" s="262"/>
      <c r="KF177" s="262"/>
      <c r="KG177" s="262"/>
      <c r="KH177" s="262"/>
      <c r="KI177" s="262"/>
      <c r="KJ177" s="262"/>
      <c r="KK177" s="262"/>
      <c r="KL177" s="262"/>
      <c r="KM177" s="262"/>
      <c r="KN177" s="262"/>
      <c r="KO177" s="262"/>
      <c r="KP177" s="262"/>
      <c r="KQ177" s="262"/>
      <c r="KR177" s="262"/>
      <c r="KS177" s="262"/>
      <c r="KT177" s="262"/>
      <c r="KU177" s="262"/>
      <c r="KV177" s="262"/>
      <c r="KW177" s="262"/>
      <c r="KX177" s="262"/>
      <c r="KY177" s="262"/>
      <c r="KZ177" s="262"/>
      <c r="LA177" s="262"/>
      <c r="LB177" s="262"/>
      <c r="LC177" s="262"/>
      <c r="LD177" s="262"/>
      <c r="LE177" s="262"/>
      <c r="LF177" s="262"/>
      <c r="LG177" s="262"/>
      <c r="LH177" s="262"/>
      <c r="LI177" s="262"/>
      <c r="LJ177" s="262"/>
      <c r="LK177" s="262"/>
      <c r="LL177" s="262"/>
      <c r="LM177" s="262"/>
      <c r="LN177" s="262"/>
      <c r="LO177" s="262"/>
      <c r="LP177" s="262"/>
      <c r="LQ177" s="262"/>
      <c r="LR177" s="262"/>
      <c r="LS177" s="262"/>
      <c r="LT177" s="262"/>
      <c r="LU177" s="262"/>
      <c r="LV177" s="262"/>
      <c r="LW177" s="262"/>
      <c r="LX177" s="262"/>
      <c r="LY177" s="262"/>
      <c r="LZ177" s="262"/>
      <c r="MA177" s="262"/>
      <c r="MB177" s="262"/>
      <c r="MC177" s="262"/>
      <c r="MD177" s="262"/>
      <c r="ME177" s="262"/>
      <c r="MF177" s="262"/>
      <c r="MG177" s="262"/>
      <c r="MH177" s="262"/>
      <c r="MI177" s="262"/>
      <c r="MJ177" s="262"/>
      <c r="MK177" s="262"/>
      <c r="ML177" s="262"/>
      <c r="MM177" s="262"/>
      <c r="MN177" s="262"/>
      <c r="MO177" s="262"/>
      <c r="MP177" s="262"/>
      <c r="MQ177" s="262"/>
      <c r="MR177" s="262"/>
      <c r="MS177" s="262"/>
      <c r="MT177" s="262"/>
      <c r="MU177" s="262"/>
      <c r="MV177" s="262"/>
      <c r="MW177" s="262"/>
      <c r="MX177" s="262"/>
      <c r="MY177" s="262"/>
      <c r="MZ177" s="262"/>
      <c r="NA177" s="262"/>
      <c r="NB177" s="262"/>
      <c r="NC177" s="262"/>
      <c r="ND177" s="262"/>
      <c r="NE177" s="262"/>
      <c r="NF177" s="262"/>
      <c r="NG177" s="262"/>
      <c r="NH177" s="262"/>
      <c r="NI177" s="262"/>
      <c r="NJ177" s="262"/>
      <c r="NK177" s="262"/>
      <c r="NL177" s="262"/>
      <c r="NM177" s="262"/>
      <c r="NN177" s="262"/>
      <c r="NO177" s="262"/>
      <c r="NP177" s="262"/>
      <c r="NQ177" s="262"/>
      <c r="NR177" s="262"/>
      <c r="NS177" s="262"/>
      <c r="NT177" s="262"/>
      <c r="NU177" s="262"/>
      <c r="NV177" s="262"/>
      <c r="NW177" s="262"/>
      <c r="NX177" s="262"/>
      <c r="NY177" s="262"/>
      <c r="NZ177" s="262"/>
      <c r="OA177" s="262"/>
      <c r="OB177" s="262"/>
      <c r="OC177" s="262"/>
      <c r="OD177" s="262"/>
      <c r="OE177" s="262"/>
      <c r="OF177" s="262"/>
      <c r="OG177" s="262"/>
      <c r="OH177" s="262"/>
      <c r="OI177" s="262"/>
      <c r="OJ177" s="262"/>
      <c r="OK177" s="262"/>
      <c r="OL177" s="262"/>
      <c r="OM177" s="262"/>
      <c r="ON177" s="262"/>
      <c r="OO177" s="262"/>
      <c r="OP177" s="262"/>
      <c r="OQ177" s="262"/>
      <c r="OR177" s="262"/>
      <c r="OS177" s="262"/>
      <c r="OT177" s="262"/>
      <c r="OU177" s="262"/>
      <c r="OV177" s="262"/>
      <c r="OW177" s="262"/>
      <c r="OX177" s="262"/>
      <c r="OY177" s="262"/>
      <c r="OZ177" s="262"/>
      <c r="PA177" s="262"/>
      <c r="PB177" s="262"/>
      <c r="PC177" s="262"/>
      <c r="PD177" s="262"/>
      <c r="PE177" s="262"/>
      <c r="PF177" s="262"/>
      <c r="PG177" s="262"/>
      <c r="PH177" s="262"/>
    </row>
    <row r="178" spans="1:424" x14ac:dyDescent="0.35">
      <c r="A178"/>
      <c r="B178" s="444"/>
      <c r="C178" s="400"/>
      <c r="D178" s="400"/>
      <c r="E178" s="502"/>
      <c r="F178" s="502"/>
      <c r="G178" s="40"/>
      <c r="H178" s="40"/>
      <c r="I178" s="40"/>
      <c r="J178" s="395"/>
      <c r="K178" s="396"/>
      <c r="L178" s="396"/>
      <c r="M178" s="396"/>
      <c r="N178" s="396"/>
      <c r="O178" s="396"/>
      <c r="P178" s="396"/>
      <c r="Q178" s="396"/>
      <c r="R178" s="396"/>
      <c r="S178" s="396"/>
      <c r="T178" s="396"/>
      <c r="U178" s="396"/>
      <c r="V178" s="396"/>
      <c r="W178" s="396"/>
      <c r="X178" s="396"/>
      <c r="Y178" s="396"/>
      <c r="Z178" s="396"/>
      <c r="AA178" s="396"/>
      <c r="AB178" s="396"/>
      <c r="AC178" s="396"/>
      <c r="AD178" s="396"/>
      <c r="AE178" s="396"/>
      <c r="AF178" s="396"/>
      <c r="AG178" s="396"/>
      <c r="AH178" s="396"/>
      <c r="AI178" s="396"/>
      <c r="AJ178" s="396"/>
      <c r="AK178" s="396"/>
      <c r="AL178" s="396"/>
      <c r="AM178" s="396"/>
      <c r="AN178" s="396"/>
      <c r="AO178" s="396"/>
      <c r="AP178" s="396"/>
      <c r="AQ178" s="396"/>
      <c r="AR178" s="396"/>
      <c r="AS178" s="396"/>
      <c r="AT178" s="396"/>
      <c r="AU178" s="396"/>
      <c r="AV178" s="396"/>
      <c r="AW178" s="396"/>
      <c r="AX178" s="396"/>
      <c r="AY178" s="396"/>
      <c r="AZ178" s="396"/>
      <c r="BA178" s="396"/>
      <c r="BB178" s="396"/>
      <c r="BC178" s="396"/>
      <c r="BD178" s="396"/>
      <c r="BE178" s="396"/>
      <c r="BF178" s="396"/>
      <c r="BG178" s="396"/>
      <c r="BH178" s="396"/>
      <c r="BI178" s="396"/>
      <c r="BJ178" s="396"/>
      <c r="BK178" s="396"/>
      <c r="BL178" s="396"/>
      <c r="BM178" s="396"/>
      <c r="BN178" s="396"/>
      <c r="BO178" s="396"/>
      <c r="BP178" s="396"/>
      <c r="BQ178" s="396"/>
      <c r="BR178" s="396"/>
      <c r="BS178" s="396"/>
      <c r="BT178" s="396"/>
      <c r="BU178" s="396"/>
      <c r="BV178" s="396"/>
      <c r="BW178" s="396"/>
      <c r="BX178" s="396"/>
      <c r="BY178" s="396"/>
      <c r="BZ178" s="396"/>
      <c r="CA178" s="396"/>
      <c r="CB178" s="396"/>
      <c r="CC178" s="396"/>
      <c r="CD178" s="396"/>
      <c r="CE178" s="396"/>
      <c r="CF178" s="396"/>
      <c r="CG178" s="396"/>
      <c r="CH178" s="396"/>
      <c r="CI178" s="396"/>
      <c r="CJ178" s="396"/>
      <c r="CK178" s="396"/>
      <c r="CL178" s="396"/>
      <c r="CM178" s="396"/>
      <c r="CN178" s="396"/>
      <c r="CO178" s="396"/>
      <c r="CP178" s="396"/>
      <c r="CQ178" s="396"/>
      <c r="CR178" s="396"/>
      <c r="CS178" s="396"/>
      <c r="CT178" s="396"/>
      <c r="CU178" s="396"/>
      <c r="CV178" s="396"/>
      <c r="CW178" s="396"/>
      <c r="CX178" s="396"/>
      <c r="CY178" s="396"/>
      <c r="CZ178" s="396"/>
      <c r="DA178" s="396"/>
      <c r="DB178" s="396"/>
      <c r="DC178" s="396"/>
      <c r="DD178" s="396"/>
      <c r="DE178" s="396"/>
      <c r="DF178" s="396"/>
      <c r="DG178" s="396"/>
      <c r="DH178" s="396"/>
      <c r="DI178" s="396"/>
      <c r="DJ178" s="396"/>
      <c r="DK178" s="396"/>
      <c r="DL178" s="396"/>
      <c r="DM178" s="396"/>
      <c r="DN178" s="396"/>
      <c r="DO178" s="396"/>
      <c r="DP178" s="396"/>
      <c r="DQ178" s="396"/>
      <c r="DR178" s="396"/>
      <c r="DS178" s="396"/>
      <c r="DT178" s="396"/>
      <c r="DU178" s="396"/>
      <c r="DV178" s="396"/>
      <c r="DW178" s="396"/>
      <c r="DX178" s="396"/>
      <c r="DY178" s="396"/>
      <c r="DZ178" s="396"/>
      <c r="EA178" s="396"/>
      <c r="EB178" s="396"/>
      <c r="EC178" s="396"/>
      <c r="ED178" s="396"/>
      <c r="EE178" s="396"/>
      <c r="EF178" s="396"/>
      <c r="EG178" s="396"/>
      <c r="EH178" s="396"/>
      <c r="EI178" s="396"/>
      <c r="EJ178" s="396"/>
      <c r="EK178" s="396"/>
      <c r="EL178" s="396"/>
      <c r="EM178" s="396"/>
      <c r="EN178" s="396"/>
      <c r="EO178" s="396"/>
      <c r="EP178" s="219"/>
      <c r="EQ178" s="18"/>
      <c r="ER178" s="18"/>
      <c r="ES178" s="18"/>
      <c r="ET178" s="18"/>
      <c r="EU178" s="18"/>
      <c r="EV178" s="18"/>
      <c r="EW178" s="18"/>
      <c r="EX178" s="18"/>
      <c r="EY178" s="18"/>
      <c r="EZ178" s="18"/>
      <c r="FA178" s="18"/>
      <c r="FB178" s="18"/>
      <c r="FC178" s="18"/>
      <c r="FD178" s="18"/>
      <c r="FE178" s="18"/>
      <c r="FF178" s="18"/>
      <c r="FG178" s="18"/>
      <c r="FH178" s="18"/>
      <c r="FI178" s="18"/>
      <c r="FJ178" s="18"/>
      <c r="FK178" s="18"/>
      <c r="FL178" s="18"/>
      <c r="FM178" s="18"/>
      <c r="FN178" s="18"/>
      <c r="FO178" s="18"/>
      <c r="FP178" s="18"/>
      <c r="FQ178" s="18"/>
      <c r="FR178" s="18"/>
      <c r="FS178" s="18"/>
      <c r="FT178" s="18"/>
      <c r="FU178" s="18"/>
      <c r="FV178" s="18"/>
      <c r="FW178" s="18"/>
      <c r="FX178" s="18"/>
      <c r="FY178" s="18"/>
      <c r="FZ178" s="18"/>
      <c r="GA178" s="18"/>
      <c r="GB178" s="18"/>
      <c r="GC178" s="18"/>
      <c r="GD178" s="18"/>
      <c r="GE178" s="18"/>
      <c r="GF178" s="18"/>
      <c r="GG178" s="18"/>
      <c r="GH178" s="18"/>
      <c r="GI178" s="18"/>
      <c r="GJ178" s="18"/>
      <c r="GK178" s="18"/>
      <c r="GL178" s="18"/>
      <c r="GM178" s="18"/>
      <c r="GN178" s="18"/>
      <c r="GO178" s="18"/>
      <c r="GP178" s="18"/>
      <c r="GQ178" s="18"/>
      <c r="GR178" s="18"/>
      <c r="GS178" s="18"/>
      <c r="GT178" s="18"/>
      <c r="GU178" s="18"/>
      <c r="GV178" s="18"/>
      <c r="GW178" s="18"/>
      <c r="GX178" s="18"/>
      <c r="GY178" s="18"/>
      <c r="GZ178" s="18"/>
      <c r="HA178" s="18"/>
      <c r="HB178" s="18"/>
      <c r="HC178" s="18"/>
      <c r="HD178" s="18"/>
      <c r="HE178" s="18"/>
      <c r="HF178" s="18"/>
      <c r="HG178" s="18"/>
      <c r="HH178" s="18"/>
      <c r="HI178" s="18"/>
      <c r="HJ178" s="18"/>
      <c r="HK178" s="18"/>
      <c r="HL178" s="18"/>
      <c r="HM178" s="18"/>
      <c r="HN178" s="18"/>
      <c r="HO178" s="18"/>
      <c r="HP178" s="18"/>
      <c r="HQ178" s="18"/>
      <c r="HR178" s="18"/>
      <c r="HS178" s="18"/>
      <c r="HT178" s="18"/>
      <c r="HU178" s="18"/>
      <c r="HV178" s="18"/>
      <c r="HW178" s="18"/>
      <c r="HX178" s="18"/>
      <c r="HY178" s="18"/>
      <c r="HZ178" s="18"/>
      <c r="IA178" s="18"/>
      <c r="IB178" s="18"/>
      <c r="IC178" s="18"/>
      <c r="ID178" s="18"/>
      <c r="IE178" s="18"/>
      <c r="IF178" s="18"/>
      <c r="IG178" s="18"/>
      <c r="IH178" s="18"/>
      <c r="II178" s="18"/>
      <c r="IJ178" s="18"/>
      <c r="IK178" s="18"/>
      <c r="IL178" s="18"/>
      <c r="IM178" s="18"/>
      <c r="IN178" s="18"/>
      <c r="IO178" s="18"/>
      <c r="IP178" s="18"/>
      <c r="IQ178" s="18"/>
      <c r="IR178" s="18"/>
      <c r="IS178" s="18"/>
      <c r="IT178" s="18"/>
      <c r="IU178" s="18"/>
      <c r="IV178" s="18"/>
      <c r="IW178" s="18"/>
      <c r="IX178" s="18"/>
      <c r="IY178" s="18"/>
      <c r="IZ178" s="18"/>
      <c r="JA178" s="18"/>
      <c r="JB178" s="18"/>
      <c r="JC178" s="18"/>
      <c r="JD178" s="18"/>
      <c r="JE178" s="18"/>
      <c r="JF178" s="18"/>
      <c r="JG178" s="18"/>
      <c r="JH178" s="18"/>
      <c r="JI178" s="18"/>
      <c r="JJ178" s="18"/>
      <c r="JK178" s="18"/>
      <c r="JL178" s="18"/>
      <c r="JM178" s="18"/>
      <c r="JN178" s="18"/>
      <c r="JO178" s="18"/>
      <c r="JP178" s="18"/>
      <c r="JQ178" s="18"/>
      <c r="JR178" s="18"/>
      <c r="JS178" s="18"/>
      <c r="JT178" s="18"/>
      <c r="JU178" s="18"/>
      <c r="JV178" s="18"/>
      <c r="JW178" s="18"/>
      <c r="JX178" s="18"/>
      <c r="JY178"/>
      <c r="JZ178" s="262"/>
      <c r="KA178" s="262"/>
      <c r="KB178" s="262"/>
      <c r="KC178" s="262"/>
      <c r="KD178" s="262"/>
      <c r="KE178" s="262"/>
      <c r="KF178" s="262"/>
      <c r="KG178" s="262"/>
      <c r="KH178" s="262"/>
      <c r="KI178" s="262"/>
      <c r="KJ178" s="262"/>
      <c r="KK178" s="262"/>
      <c r="KL178" s="262"/>
      <c r="KM178" s="262"/>
      <c r="KN178" s="262"/>
      <c r="KO178" s="262"/>
      <c r="KP178" s="262"/>
      <c r="KQ178" s="262"/>
      <c r="KR178" s="262"/>
      <c r="KS178" s="262"/>
      <c r="KT178" s="262"/>
      <c r="KU178" s="262"/>
      <c r="KV178" s="262"/>
      <c r="KW178" s="262"/>
      <c r="KX178" s="262"/>
      <c r="KY178" s="262"/>
      <c r="KZ178" s="262"/>
      <c r="LA178" s="262"/>
      <c r="LB178" s="262"/>
      <c r="LC178" s="262"/>
      <c r="LD178" s="262"/>
      <c r="LE178" s="262"/>
      <c r="LF178" s="262"/>
      <c r="LG178" s="262"/>
      <c r="LH178" s="262"/>
      <c r="LI178" s="262"/>
      <c r="LJ178" s="262"/>
      <c r="LK178" s="262"/>
      <c r="LL178" s="262"/>
      <c r="LM178" s="262"/>
      <c r="LN178" s="262"/>
      <c r="LO178" s="262"/>
      <c r="LP178" s="262"/>
      <c r="LQ178" s="262"/>
      <c r="LR178" s="262"/>
      <c r="LS178" s="262"/>
      <c r="LT178" s="262"/>
      <c r="LU178" s="262"/>
      <c r="LV178" s="262"/>
      <c r="LW178" s="262"/>
      <c r="LX178" s="262"/>
      <c r="LY178" s="262"/>
      <c r="LZ178" s="262"/>
      <c r="MA178" s="262"/>
      <c r="MB178" s="262"/>
      <c r="MC178" s="262"/>
      <c r="MD178" s="262"/>
      <c r="ME178" s="262"/>
      <c r="MF178" s="262"/>
      <c r="MG178" s="262"/>
      <c r="MH178" s="262"/>
      <c r="MI178" s="262"/>
      <c r="MJ178" s="262"/>
      <c r="MK178" s="262"/>
      <c r="ML178" s="262"/>
      <c r="MM178" s="262"/>
      <c r="MN178" s="262"/>
      <c r="MO178" s="262"/>
      <c r="MP178" s="262"/>
      <c r="MQ178" s="262"/>
      <c r="MR178" s="262"/>
      <c r="MS178" s="262"/>
      <c r="MT178" s="262"/>
      <c r="MU178" s="262"/>
      <c r="MV178" s="262"/>
      <c r="MW178" s="262"/>
      <c r="MX178" s="262"/>
      <c r="MY178" s="262"/>
      <c r="MZ178" s="262"/>
      <c r="NA178" s="262"/>
      <c r="NB178" s="262"/>
      <c r="NC178" s="262"/>
      <c r="ND178" s="262"/>
      <c r="NE178" s="262"/>
      <c r="NF178" s="262"/>
      <c r="NG178" s="262"/>
      <c r="NH178" s="262"/>
      <c r="NI178" s="262"/>
      <c r="NJ178" s="262"/>
      <c r="NK178" s="262"/>
      <c r="NL178" s="262"/>
      <c r="NM178" s="262"/>
      <c r="NN178" s="262"/>
      <c r="NO178" s="262"/>
      <c r="NP178" s="262"/>
      <c r="NQ178" s="262"/>
      <c r="NR178" s="262"/>
      <c r="NS178" s="262"/>
      <c r="NT178" s="262"/>
      <c r="NU178" s="262"/>
      <c r="NV178" s="262"/>
      <c r="NW178" s="262"/>
      <c r="NX178" s="262"/>
      <c r="NY178" s="262"/>
      <c r="NZ178" s="262"/>
      <c r="OA178" s="262"/>
      <c r="OB178" s="262"/>
      <c r="OC178" s="262"/>
      <c r="OD178" s="262"/>
      <c r="OE178" s="262"/>
      <c r="OF178" s="262"/>
      <c r="OG178" s="262"/>
      <c r="OH178" s="262"/>
      <c r="OI178" s="262"/>
      <c r="OJ178" s="262"/>
      <c r="OK178" s="262"/>
      <c r="OL178" s="262"/>
      <c r="OM178" s="262"/>
      <c r="ON178" s="262"/>
      <c r="OO178" s="262"/>
      <c r="OP178" s="262"/>
      <c r="OQ178" s="262"/>
      <c r="OR178" s="262"/>
      <c r="OS178" s="262"/>
      <c r="OT178" s="262"/>
      <c r="OU178" s="262"/>
      <c r="OV178" s="262"/>
      <c r="OW178" s="262"/>
      <c r="OX178" s="262"/>
      <c r="OY178" s="262"/>
      <c r="OZ178" s="262"/>
      <c r="PA178" s="262"/>
      <c r="PB178" s="262"/>
      <c r="PC178" s="262"/>
      <c r="PD178" s="262"/>
      <c r="PE178" s="262"/>
      <c r="PF178" s="262"/>
      <c r="PG178" s="262"/>
      <c r="PH178" s="262"/>
    </row>
    <row r="179" spans="1:424" x14ac:dyDescent="0.35">
      <c r="A179"/>
      <c r="B179" s="444" t="s">
        <v>361</v>
      </c>
      <c r="C179" s="400"/>
      <c r="D179" s="400"/>
      <c r="E179" s="502"/>
      <c r="F179" s="502"/>
      <c r="G179" s="40"/>
      <c r="H179" s="445">
        <f>+H171-H177</f>
        <v>45541921.747395799</v>
      </c>
      <c r="I179" s="445">
        <f>+I171-I177</f>
        <v>48760832.658451453</v>
      </c>
      <c r="J179" s="395"/>
      <c r="K179" s="396"/>
      <c r="L179" s="396"/>
      <c r="M179" s="396"/>
      <c r="N179" s="396"/>
      <c r="O179" s="396"/>
      <c r="P179" s="396"/>
      <c r="Q179" s="396"/>
      <c r="R179" s="396"/>
      <c r="S179" s="396"/>
      <c r="T179" s="396"/>
      <c r="U179" s="396"/>
      <c r="V179" s="396"/>
      <c r="W179" s="396"/>
      <c r="X179" s="396"/>
      <c r="Y179" s="396"/>
      <c r="Z179" s="396"/>
      <c r="AA179" s="396"/>
      <c r="AB179" s="396"/>
      <c r="AC179" s="396"/>
      <c r="AD179" s="396"/>
      <c r="AE179" s="396"/>
      <c r="AF179" s="396"/>
      <c r="AG179" s="396"/>
      <c r="AH179" s="396"/>
      <c r="AI179" s="396"/>
      <c r="AJ179" s="396"/>
      <c r="AK179" s="396"/>
      <c r="AL179" s="396"/>
      <c r="AM179" s="396"/>
      <c r="AN179" s="396"/>
      <c r="AO179" s="396"/>
      <c r="AP179" s="396"/>
      <c r="AQ179" s="396"/>
      <c r="AR179" s="396"/>
      <c r="AS179" s="396"/>
      <c r="AT179" s="396"/>
      <c r="AU179" s="396"/>
      <c r="AV179" s="396"/>
      <c r="AW179" s="396"/>
      <c r="AX179" s="396"/>
      <c r="AY179" s="396"/>
      <c r="AZ179" s="396"/>
      <c r="BA179" s="396"/>
      <c r="BB179" s="396"/>
      <c r="BC179" s="396"/>
      <c r="BD179" s="396"/>
      <c r="BE179" s="396"/>
      <c r="BF179" s="396"/>
      <c r="BG179" s="396"/>
      <c r="BH179" s="396"/>
      <c r="BI179" s="396"/>
      <c r="BJ179" s="396"/>
      <c r="BK179" s="396"/>
      <c r="BL179" s="396"/>
      <c r="BM179" s="396"/>
      <c r="BN179" s="396"/>
      <c r="BO179" s="396"/>
      <c r="BP179" s="396"/>
      <c r="BQ179" s="396"/>
      <c r="BR179" s="396"/>
      <c r="BS179" s="396"/>
      <c r="BT179" s="396"/>
      <c r="BU179" s="396"/>
      <c r="BV179" s="396"/>
      <c r="BW179" s="396"/>
      <c r="BX179" s="396"/>
      <c r="BY179" s="396"/>
      <c r="BZ179" s="396"/>
      <c r="CA179" s="396"/>
      <c r="CB179" s="396"/>
      <c r="CC179" s="396"/>
      <c r="CD179" s="396"/>
      <c r="CE179" s="396"/>
      <c r="CF179" s="396"/>
      <c r="CG179" s="396"/>
      <c r="CH179" s="396"/>
      <c r="CI179" s="396"/>
      <c r="CJ179" s="396"/>
      <c r="CK179" s="396"/>
      <c r="CL179" s="396"/>
      <c r="CM179" s="396"/>
      <c r="CN179" s="396"/>
      <c r="CO179" s="396"/>
      <c r="CP179" s="396"/>
      <c r="CQ179" s="396"/>
      <c r="CR179" s="396"/>
      <c r="CS179" s="396"/>
      <c r="CT179" s="396"/>
      <c r="CU179" s="396"/>
      <c r="CV179" s="396"/>
      <c r="CW179" s="396"/>
      <c r="CX179" s="396"/>
      <c r="CY179" s="396"/>
      <c r="CZ179" s="396"/>
      <c r="DA179" s="396"/>
      <c r="DB179" s="396"/>
      <c r="DC179" s="396"/>
      <c r="DD179" s="396"/>
      <c r="DE179" s="396"/>
      <c r="DF179" s="396"/>
      <c r="DG179" s="396"/>
      <c r="DH179" s="396"/>
      <c r="DI179" s="396"/>
      <c r="DJ179" s="396"/>
      <c r="DK179" s="396"/>
      <c r="DL179" s="396"/>
      <c r="DM179" s="396"/>
      <c r="DN179" s="396"/>
      <c r="DO179" s="396"/>
      <c r="DP179" s="396"/>
      <c r="DQ179" s="396"/>
      <c r="DR179" s="396"/>
      <c r="DS179" s="396"/>
      <c r="DT179" s="396"/>
      <c r="DU179" s="396"/>
      <c r="DV179" s="396"/>
      <c r="DW179" s="396"/>
      <c r="DX179" s="396"/>
      <c r="DY179" s="396"/>
      <c r="DZ179" s="396"/>
      <c r="EA179" s="396"/>
      <c r="EB179" s="396"/>
      <c r="EC179" s="396"/>
      <c r="ED179" s="396"/>
      <c r="EE179" s="396"/>
      <c r="EF179" s="396"/>
      <c r="EG179" s="396"/>
      <c r="EH179" s="396"/>
      <c r="EI179" s="396"/>
      <c r="EJ179" s="396"/>
      <c r="EK179" s="396"/>
      <c r="EL179" s="396"/>
      <c r="EM179" s="396"/>
      <c r="EN179" s="396"/>
      <c r="EO179" s="396"/>
      <c r="EP179" s="219"/>
      <c r="EQ179" s="18"/>
      <c r="ER179" s="18"/>
      <c r="ES179" s="18"/>
      <c r="ET179" s="18"/>
      <c r="EU179" s="18"/>
      <c r="EV179" s="18"/>
      <c r="EW179" s="18"/>
      <c r="EX179" s="18"/>
      <c r="EY179" s="18"/>
      <c r="EZ179" s="18"/>
      <c r="FA179" s="18"/>
      <c r="FB179" s="18"/>
      <c r="FC179" s="18"/>
      <c r="FD179" s="18"/>
      <c r="FE179" s="18"/>
      <c r="FF179" s="18"/>
      <c r="FG179" s="18"/>
      <c r="FH179" s="18"/>
      <c r="FI179" s="18"/>
      <c r="FJ179" s="18"/>
      <c r="FK179" s="18"/>
      <c r="FL179" s="18"/>
      <c r="FM179" s="18"/>
      <c r="FN179" s="18"/>
      <c r="FO179" s="18"/>
      <c r="FP179" s="18"/>
      <c r="FQ179" s="18"/>
      <c r="FR179" s="18"/>
      <c r="FS179" s="18"/>
      <c r="FT179" s="18"/>
      <c r="FU179" s="18"/>
      <c r="FV179" s="18"/>
      <c r="FW179" s="18"/>
      <c r="FX179" s="18"/>
      <c r="FY179" s="18"/>
      <c r="FZ179" s="18"/>
      <c r="GA179" s="18"/>
      <c r="GB179" s="18"/>
      <c r="GC179" s="18"/>
      <c r="GD179" s="18"/>
      <c r="GE179" s="18"/>
      <c r="GF179" s="18"/>
      <c r="GG179" s="18"/>
      <c r="GH179" s="18"/>
      <c r="GI179" s="18"/>
      <c r="GJ179" s="18"/>
      <c r="GK179" s="18"/>
      <c r="GL179" s="18"/>
      <c r="GM179" s="18"/>
      <c r="GN179" s="18"/>
      <c r="GO179" s="18"/>
      <c r="GP179" s="18"/>
      <c r="GQ179" s="18"/>
      <c r="GR179" s="18"/>
      <c r="GS179" s="18"/>
      <c r="GT179" s="18"/>
      <c r="GU179" s="18"/>
      <c r="GV179" s="18"/>
      <c r="GW179" s="18"/>
      <c r="GX179" s="18"/>
      <c r="GY179" s="18"/>
      <c r="GZ179" s="18"/>
      <c r="HA179" s="18"/>
      <c r="HB179" s="18"/>
      <c r="HC179" s="18"/>
      <c r="HD179" s="18"/>
      <c r="HE179" s="18"/>
      <c r="HF179" s="18"/>
      <c r="HG179" s="18"/>
      <c r="HH179" s="18"/>
      <c r="HI179" s="18"/>
      <c r="HJ179" s="18"/>
      <c r="HK179" s="18"/>
      <c r="HL179" s="18"/>
      <c r="HM179" s="18"/>
      <c r="HN179" s="18"/>
      <c r="HO179" s="18"/>
      <c r="HP179" s="18"/>
      <c r="HQ179" s="18"/>
      <c r="HR179" s="18"/>
      <c r="HS179" s="18"/>
      <c r="HT179" s="18"/>
      <c r="HU179" s="18"/>
      <c r="HV179" s="18"/>
      <c r="HW179" s="18"/>
      <c r="HX179" s="18"/>
      <c r="HY179" s="18"/>
      <c r="HZ179" s="18"/>
      <c r="IA179" s="18"/>
      <c r="IB179" s="18"/>
      <c r="IC179" s="18"/>
      <c r="ID179" s="18"/>
      <c r="IE179" s="18"/>
      <c r="IF179" s="18"/>
      <c r="IG179" s="18"/>
      <c r="IH179" s="18"/>
      <c r="II179" s="18"/>
      <c r="IJ179" s="18"/>
      <c r="IK179" s="18"/>
      <c r="IL179" s="18"/>
      <c r="IM179" s="18"/>
      <c r="IN179" s="18"/>
      <c r="IO179" s="18"/>
      <c r="IP179" s="18"/>
      <c r="IQ179" s="18"/>
      <c r="IR179" s="18"/>
      <c r="IS179" s="18"/>
      <c r="IT179" s="18"/>
      <c r="IU179" s="18"/>
      <c r="IV179" s="18"/>
      <c r="IW179" s="18"/>
      <c r="IX179" s="18"/>
      <c r="IY179" s="18"/>
      <c r="IZ179" s="18"/>
      <c r="JA179" s="18"/>
      <c r="JB179" s="18"/>
      <c r="JC179" s="18"/>
      <c r="JD179" s="18"/>
      <c r="JE179" s="18"/>
      <c r="JF179" s="18"/>
      <c r="JG179" s="18"/>
      <c r="JH179" s="18"/>
      <c r="JI179" s="18"/>
      <c r="JJ179" s="18"/>
      <c r="JK179" s="18"/>
      <c r="JL179" s="18"/>
      <c r="JM179" s="18"/>
      <c r="JN179" s="18"/>
      <c r="JO179" s="18"/>
      <c r="JP179" s="18"/>
      <c r="JQ179" s="18"/>
      <c r="JR179" s="18"/>
      <c r="JS179" s="18"/>
      <c r="JT179" s="18"/>
      <c r="JU179" s="18"/>
      <c r="JV179" s="18"/>
      <c r="JW179" s="18"/>
      <c r="JX179" s="18"/>
      <c r="JY179"/>
      <c r="JZ179" s="262"/>
      <c r="KA179" s="262"/>
      <c r="KB179" s="262"/>
      <c r="KC179" s="262"/>
      <c r="KD179" s="262"/>
      <c r="KE179" s="262"/>
      <c r="KF179" s="262"/>
      <c r="KG179" s="262"/>
      <c r="KH179" s="262"/>
      <c r="KI179" s="262"/>
      <c r="KJ179" s="262"/>
      <c r="KK179" s="262"/>
      <c r="KL179" s="262"/>
      <c r="KM179" s="262"/>
      <c r="KN179" s="262"/>
      <c r="KO179" s="262"/>
      <c r="KP179" s="262"/>
      <c r="KQ179" s="262"/>
      <c r="KR179" s="262"/>
      <c r="KS179" s="262"/>
      <c r="KT179" s="262"/>
      <c r="KU179" s="262"/>
      <c r="KV179" s="262"/>
      <c r="KW179" s="262"/>
      <c r="KX179" s="262"/>
      <c r="KY179" s="262"/>
      <c r="KZ179" s="262"/>
      <c r="LA179" s="262"/>
      <c r="LB179" s="262"/>
      <c r="LC179" s="262"/>
      <c r="LD179" s="262"/>
      <c r="LE179" s="262"/>
      <c r="LF179" s="262"/>
      <c r="LG179" s="262"/>
      <c r="LH179" s="262"/>
      <c r="LI179" s="262"/>
      <c r="LJ179" s="262"/>
      <c r="LK179" s="262"/>
      <c r="LL179" s="262"/>
      <c r="LM179" s="262"/>
      <c r="LN179" s="262"/>
      <c r="LO179" s="262"/>
      <c r="LP179" s="262"/>
      <c r="LQ179" s="262"/>
      <c r="LR179" s="262"/>
      <c r="LS179" s="262"/>
      <c r="LT179" s="262"/>
      <c r="LU179" s="262"/>
      <c r="LV179" s="262"/>
      <c r="LW179" s="262"/>
      <c r="LX179" s="262"/>
      <c r="LY179" s="262"/>
      <c r="LZ179" s="262"/>
      <c r="MA179" s="262"/>
      <c r="MB179" s="262"/>
      <c r="MC179" s="262"/>
      <c r="MD179" s="262"/>
      <c r="ME179" s="262"/>
      <c r="MF179" s="262"/>
      <c r="MG179" s="262"/>
      <c r="MH179" s="262"/>
      <c r="MI179" s="262"/>
      <c r="MJ179" s="262"/>
      <c r="MK179" s="262"/>
      <c r="ML179" s="262"/>
      <c r="MM179" s="262"/>
      <c r="MN179" s="262"/>
      <c r="MO179" s="262"/>
      <c r="MP179" s="262"/>
      <c r="MQ179" s="262"/>
      <c r="MR179" s="262"/>
      <c r="MS179" s="262"/>
      <c r="MT179" s="262"/>
      <c r="MU179" s="262"/>
      <c r="MV179" s="262"/>
      <c r="MW179" s="262"/>
      <c r="MX179" s="262"/>
      <c r="MY179" s="262"/>
      <c r="MZ179" s="262"/>
      <c r="NA179" s="262"/>
      <c r="NB179" s="262"/>
      <c r="NC179" s="262"/>
      <c r="ND179" s="262"/>
      <c r="NE179" s="262"/>
      <c r="NF179" s="262"/>
      <c r="NG179" s="262"/>
      <c r="NH179" s="262"/>
      <c r="NI179" s="262"/>
      <c r="NJ179" s="262"/>
      <c r="NK179" s="262"/>
      <c r="NL179" s="262"/>
      <c r="NM179" s="262"/>
      <c r="NN179" s="262"/>
      <c r="NO179" s="262"/>
      <c r="NP179" s="262"/>
      <c r="NQ179" s="262"/>
      <c r="NR179" s="262"/>
      <c r="NS179" s="262"/>
      <c r="NT179" s="262"/>
      <c r="NU179" s="262"/>
      <c r="NV179" s="262"/>
      <c r="NW179" s="262"/>
      <c r="NX179" s="262"/>
      <c r="NY179" s="262"/>
      <c r="NZ179" s="262"/>
      <c r="OA179" s="262"/>
      <c r="OB179" s="262"/>
      <c r="OC179" s="262"/>
      <c r="OD179" s="262"/>
      <c r="OE179" s="262"/>
      <c r="OF179" s="262"/>
      <c r="OG179" s="262"/>
      <c r="OH179" s="262"/>
      <c r="OI179" s="262"/>
      <c r="OJ179" s="262"/>
      <c r="OK179" s="262"/>
      <c r="OL179" s="262"/>
      <c r="OM179" s="262"/>
      <c r="ON179" s="262"/>
      <c r="OO179" s="262"/>
      <c r="OP179" s="262"/>
      <c r="OQ179" s="262"/>
      <c r="OR179" s="262"/>
      <c r="OS179" s="262"/>
      <c r="OT179" s="262"/>
      <c r="OU179" s="262"/>
      <c r="OV179" s="262"/>
      <c r="OW179" s="262"/>
      <c r="OX179" s="262"/>
      <c r="OY179" s="262"/>
      <c r="OZ179" s="262"/>
      <c r="PA179" s="262"/>
      <c r="PB179" s="262"/>
      <c r="PC179" s="262"/>
      <c r="PD179" s="262"/>
      <c r="PE179" s="262"/>
      <c r="PF179" s="262"/>
      <c r="PG179" s="262"/>
      <c r="PH179" s="262"/>
    </row>
    <row r="180" spans="1:424" x14ac:dyDescent="0.35">
      <c r="A180"/>
      <c r="B180" s="444"/>
      <c r="C180" s="400"/>
      <c r="D180" s="400"/>
      <c r="E180" s="502"/>
      <c r="F180" s="502"/>
      <c r="G180" s="40"/>
      <c r="H180" s="40"/>
      <c r="I180" s="40"/>
      <c r="J180" s="395"/>
      <c r="K180" s="396"/>
      <c r="L180" s="396"/>
      <c r="M180" s="396"/>
      <c r="N180" s="396"/>
      <c r="O180" s="396"/>
      <c r="P180" s="396"/>
      <c r="Q180" s="396"/>
      <c r="R180" s="396"/>
      <c r="S180" s="396"/>
      <c r="T180" s="396"/>
      <c r="U180" s="396"/>
      <c r="V180" s="396"/>
      <c r="W180" s="396"/>
      <c r="X180" s="396"/>
      <c r="Y180" s="396"/>
      <c r="Z180" s="396"/>
      <c r="AA180" s="396"/>
      <c r="AB180" s="396"/>
      <c r="AC180" s="396"/>
      <c r="AD180" s="396"/>
      <c r="AE180" s="396"/>
      <c r="AF180" s="396"/>
      <c r="AG180" s="396"/>
      <c r="AH180" s="396"/>
      <c r="AI180" s="396"/>
      <c r="AJ180" s="396"/>
      <c r="AK180" s="396"/>
      <c r="AL180" s="396"/>
      <c r="AM180" s="396"/>
      <c r="AN180" s="396"/>
      <c r="AO180" s="396"/>
      <c r="AP180" s="396"/>
      <c r="AQ180" s="396"/>
      <c r="AR180" s="396"/>
      <c r="AS180" s="396"/>
      <c r="AT180" s="396"/>
      <c r="AU180" s="396"/>
      <c r="AV180" s="396"/>
      <c r="AW180" s="396"/>
      <c r="AX180" s="396"/>
      <c r="AY180" s="396"/>
      <c r="AZ180" s="396"/>
      <c r="BA180" s="396"/>
      <c r="BB180" s="396"/>
      <c r="BC180" s="396"/>
      <c r="BD180" s="396"/>
      <c r="BE180" s="396"/>
      <c r="BF180" s="396"/>
      <c r="BG180" s="396"/>
      <c r="BH180" s="396"/>
      <c r="BI180" s="396"/>
      <c r="BJ180" s="396"/>
      <c r="BK180" s="396"/>
      <c r="BL180" s="396"/>
      <c r="BM180" s="396"/>
      <c r="BN180" s="396"/>
      <c r="BO180" s="396"/>
      <c r="BP180" s="396"/>
      <c r="BQ180" s="396"/>
      <c r="BR180" s="396"/>
      <c r="BS180" s="396"/>
      <c r="BT180" s="396"/>
      <c r="BU180" s="396"/>
      <c r="BV180" s="396"/>
      <c r="BW180" s="396"/>
      <c r="BX180" s="396"/>
      <c r="BY180" s="396"/>
      <c r="BZ180" s="396"/>
      <c r="CA180" s="396"/>
      <c r="CB180" s="396"/>
      <c r="CC180" s="396"/>
      <c r="CD180" s="396"/>
      <c r="CE180" s="396"/>
      <c r="CF180" s="396"/>
      <c r="CG180" s="396"/>
      <c r="CH180" s="396"/>
      <c r="CI180" s="396"/>
      <c r="CJ180" s="396"/>
      <c r="CK180" s="396"/>
      <c r="CL180" s="396"/>
      <c r="CM180" s="396"/>
      <c r="CN180" s="396"/>
      <c r="CO180" s="396"/>
      <c r="CP180" s="396"/>
      <c r="CQ180" s="396"/>
      <c r="CR180" s="396"/>
      <c r="CS180" s="396"/>
      <c r="CT180" s="396"/>
      <c r="CU180" s="396"/>
      <c r="CV180" s="396"/>
      <c r="CW180" s="396"/>
      <c r="CX180" s="396"/>
      <c r="CY180" s="396"/>
      <c r="CZ180" s="396"/>
      <c r="DA180" s="396"/>
      <c r="DB180" s="396"/>
      <c r="DC180" s="396"/>
      <c r="DD180" s="396"/>
      <c r="DE180" s="396"/>
      <c r="DF180" s="396"/>
      <c r="DG180" s="396"/>
      <c r="DH180" s="396"/>
      <c r="DI180" s="396"/>
      <c r="DJ180" s="396"/>
      <c r="DK180" s="396"/>
      <c r="DL180" s="396"/>
      <c r="DM180" s="396"/>
      <c r="DN180" s="396"/>
      <c r="DO180" s="396"/>
      <c r="DP180" s="396"/>
      <c r="DQ180" s="396"/>
      <c r="DR180" s="396"/>
      <c r="DS180" s="396"/>
      <c r="DT180" s="396"/>
      <c r="DU180" s="396"/>
      <c r="DV180" s="396"/>
      <c r="DW180" s="396"/>
      <c r="DX180" s="396"/>
      <c r="DY180" s="396"/>
      <c r="DZ180" s="396"/>
      <c r="EA180" s="396"/>
      <c r="EB180" s="396"/>
      <c r="EC180" s="396"/>
      <c r="ED180" s="396"/>
      <c r="EE180" s="396"/>
      <c r="EF180" s="396"/>
      <c r="EG180" s="396"/>
      <c r="EH180" s="396"/>
      <c r="EI180" s="396"/>
      <c r="EJ180" s="396"/>
      <c r="EK180" s="396"/>
      <c r="EL180" s="396"/>
      <c r="EM180" s="396"/>
      <c r="EN180" s="396"/>
      <c r="EO180" s="396"/>
      <c r="EP180" s="219"/>
      <c r="EQ180" s="18"/>
      <c r="ER180" s="18"/>
      <c r="ES180" s="18"/>
      <c r="ET180" s="18"/>
      <c r="EU180" s="18"/>
      <c r="EV180" s="18"/>
      <c r="EW180" s="18"/>
      <c r="EX180" s="18"/>
      <c r="EY180" s="18"/>
      <c r="EZ180" s="18"/>
      <c r="FA180" s="18"/>
      <c r="FB180" s="18"/>
      <c r="FC180" s="18"/>
      <c r="FD180" s="18"/>
      <c r="FE180" s="18"/>
      <c r="FF180" s="18"/>
      <c r="FG180" s="18"/>
      <c r="FH180" s="18"/>
      <c r="FI180" s="18"/>
      <c r="FJ180" s="18"/>
      <c r="FK180" s="18"/>
      <c r="FL180" s="18"/>
      <c r="FM180" s="18"/>
      <c r="FN180" s="18"/>
      <c r="FO180" s="18"/>
      <c r="FP180" s="18"/>
      <c r="FQ180" s="18"/>
      <c r="FR180" s="18"/>
      <c r="FS180" s="18"/>
      <c r="FT180" s="18"/>
      <c r="FU180" s="18"/>
      <c r="FV180" s="18"/>
      <c r="FW180" s="18"/>
      <c r="FX180" s="18"/>
      <c r="FY180" s="18"/>
      <c r="FZ180" s="18"/>
      <c r="GA180" s="18"/>
      <c r="GB180" s="18"/>
      <c r="GC180" s="18"/>
      <c r="GD180" s="18"/>
      <c r="GE180" s="18"/>
      <c r="GF180" s="18"/>
      <c r="GG180" s="18"/>
      <c r="GH180" s="18"/>
      <c r="GI180" s="18"/>
      <c r="GJ180" s="18"/>
      <c r="GK180" s="18"/>
      <c r="GL180" s="18"/>
      <c r="GM180" s="18"/>
      <c r="GN180" s="18"/>
      <c r="GO180" s="18"/>
      <c r="GP180" s="18"/>
      <c r="GQ180" s="18"/>
      <c r="GR180" s="18"/>
      <c r="GS180" s="18"/>
      <c r="GT180" s="18"/>
      <c r="GU180" s="18"/>
      <c r="GV180" s="18"/>
      <c r="GW180" s="18"/>
      <c r="GX180" s="18"/>
      <c r="GY180" s="18"/>
      <c r="GZ180" s="18"/>
      <c r="HA180" s="18"/>
      <c r="HB180" s="18"/>
      <c r="HC180" s="18"/>
      <c r="HD180" s="18"/>
      <c r="HE180" s="18"/>
      <c r="HF180" s="18"/>
      <c r="HG180" s="18"/>
      <c r="HH180" s="18"/>
      <c r="HI180" s="18"/>
      <c r="HJ180" s="18"/>
      <c r="HK180" s="18"/>
      <c r="HL180" s="18"/>
      <c r="HM180" s="18"/>
      <c r="HN180" s="18"/>
      <c r="HO180" s="18"/>
      <c r="HP180" s="18"/>
      <c r="HQ180" s="18"/>
      <c r="HR180" s="18"/>
      <c r="HS180" s="18"/>
      <c r="HT180" s="18"/>
      <c r="HU180" s="18"/>
      <c r="HV180" s="18"/>
      <c r="HW180" s="18"/>
      <c r="HX180" s="18"/>
      <c r="HY180" s="18"/>
      <c r="HZ180" s="18"/>
      <c r="IA180" s="18"/>
      <c r="IB180" s="18"/>
      <c r="IC180" s="18"/>
      <c r="ID180" s="18"/>
      <c r="IE180" s="18"/>
      <c r="IF180" s="18"/>
      <c r="IG180" s="18"/>
      <c r="IH180" s="18"/>
      <c r="II180" s="18"/>
      <c r="IJ180" s="18"/>
      <c r="IK180" s="18"/>
      <c r="IL180" s="18"/>
      <c r="IM180" s="18"/>
      <c r="IN180" s="18"/>
      <c r="IO180" s="18"/>
      <c r="IP180" s="18"/>
      <c r="IQ180" s="18"/>
      <c r="IR180" s="18"/>
      <c r="IS180" s="18"/>
      <c r="IT180" s="18"/>
      <c r="IU180" s="18"/>
      <c r="IV180" s="18"/>
      <c r="IW180" s="18"/>
      <c r="IX180" s="18"/>
      <c r="IY180" s="18"/>
      <c r="IZ180" s="18"/>
      <c r="JA180" s="18"/>
      <c r="JB180" s="18"/>
      <c r="JC180" s="18"/>
      <c r="JD180" s="18"/>
      <c r="JE180" s="18"/>
      <c r="JF180" s="18"/>
      <c r="JG180" s="18"/>
      <c r="JH180" s="18"/>
      <c r="JI180" s="18"/>
      <c r="JJ180" s="18"/>
      <c r="JK180" s="18"/>
      <c r="JL180" s="18"/>
      <c r="JM180" s="18"/>
      <c r="JN180" s="18"/>
      <c r="JO180" s="18"/>
      <c r="JP180" s="18"/>
      <c r="JQ180" s="18"/>
      <c r="JR180" s="18"/>
      <c r="JS180" s="18"/>
      <c r="JT180" s="18"/>
      <c r="JU180" s="18"/>
      <c r="JV180" s="18"/>
      <c r="JW180" s="18"/>
      <c r="JX180" s="18"/>
      <c r="JY180"/>
      <c r="JZ180" s="262"/>
      <c r="KA180" s="262"/>
      <c r="KB180" s="262"/>
      <c r="KC180" s="262"/>
      <c r="KD180" s="262"/>
      <c r="KE180" s="262"/>
      <c r="KF180" s="262"/>
      <c r="KG180" s="262"/>
      <c r="KH180" s="262"/>
      <c r="KI180" s="262"/>
      <c r="KJ180" s="262"/>
      <c r="KK180" s="262"/>
      <c r="KL180" s="262"/>
      <c r="KM180" s="262"/>
      <c r="KN180" s="262"/>
      <c r="KO180" s="262"/>
      <c r="KP180" s="262"/>
      <c r="KQ180" s="262"/>
      <c r="KR180" s="262"/>
      <c r="KS180" s="262"/>
      <c r="KT180" s="262"/>
      <c r="KU180" s="262"/>
      <c r="KV180" s="262"/>
      <c r="KW180" s="262"/>
      <c r="KX180" s="262"/>
      <c r="KY180" s="262"/>
      <c r="KZ180" s="262"/>
      <c r="LA180" s="262"/>
      <c r="LB180" s="262"/>
      <c r="LC180" s="262"/>
      <c r="LD180" s="262"/>
      <c r="LE180" s="262"/>
      <c r="LF180" s="262"/>
      <c r="LG180" s="262"/>
      <c r="LH180" s="262"/>
      <c r="LI180" s="262"/>
      <c r="LJ180" s="262"/>
      <c r="LK180" s="262"/>
      <c r="LL180" s="262"/>
      <c r="LM180" s="262"/>
      <c r="LN180" s="262"/>
      <c r="LO180" s="262"/>
      <c r="LP180" s="262"/>
      <c r="LQ180" s="262"/>
      <c r="LR180" s="262"/>
      <c r="LS180" s="262"/>
      <c r="LT180" s="262"/>
      <c r="LU180" s="262"/>
      <c r="LV180" s="262"/>
      <c r="LW180" s="262"/>
      <c r="LX180" s="262"/>
      <c r="LY180" s="262"/>
      <c r="LZ180" s="262"/>
      <c r="MA180" s="262"/>
      <c r="MB180" s="262"/>
      <c r="MC180" s="262"/>
      <c r="MD180" s="262"/>
      <c r="ME180" s="262"/>
      <c r="MF180" s="262"/>
      <c r="MG180" s="262"/>
      <c r="MH180" s="262"/>
      <c r="MI180" s="262"/>
      <c r="MJ180" s="262"/>
      <c r="MK180" s="262"/>
      <c r="ML180" s="262"/>
      <c r="MM180" s="262"/>
      <c r="MN180" s="262"/>
      <c r="MO180" s="262"/>
      <c r="MP180" s="262"/>
      <c r="MQ180" s="262"/>
      <c r="MR180" s="262"/>
      <c r="MS180" s="262"/>
      <c r="MT180" s="262"/>
      <c r="MU180" s="262"/>
      <c r="MV180" s="262"/>
      <c r="MW180" s="262"/>
      <c r="MX180" s="262"/>
      <c r="MY180" s="262"/>
      <c r="MZ180" s="262"/>
      <c r="NA180" s="262"/>
      <c r="NB180" s="262"/>
      <c r="NC180" s="262"/>
      <c r="ND180" s="262"/>
      <c r="NE180" s="262"/>
      <c r="NF180" s="262"/>
      <c r="NG180" s="262"/>
      <c r="NH180" s="262"/>
      <c r="NI180" s="262"/>
      <c r="NJ180" s="262"/>
      <c r="NK180" s="262"/>
      <c r="NL180" s="262"/>
      <c r="NM180" s="262"/>
      <c r="NN180" s="262"/>
      <c r="NO180" s="262"/>
      <c r="NP180" s="262"/>
      <c r="NQ180" s="262"/>
      <c r="NR180" s="262"/>
      <c r="NS180" s="262"/>
      <c r="NT180" s="262"/>
      <c r="NU180" s="262"/>
      <c r="NV180" s="262"/>
      <c r="NW180" s="262"/>
      <c r="NX180" s="262"/>
      <c r="NY180" s="262"/>
      <c r="NZ180" s="262"/>
      <c r="OA180" s="262"/>
      <c r="OB180" s="262"/>
      <c r="OC180" s="262"/>
      <c r="OD180" s="262"/>
      <c r="OE180" s="262"/>
      <c r="OF180" s="262"/>
      <c r="OG180" s="262"/>
      <c r="OH180" s="262"/>
      <c r="OI180" s="262"/>
      <c r="OJ180" s="262"/>
      <c r="OK180" s="262"/>
      <c r="OL180" s="262"/>
      <c r="OM180" s="262"/>
      <c r="ON180" s="262"/>
      <c r="OO180" s="262"/>
      <c r="OP180" s="262"/>
      <c r="OQ180" s="262"/>
      <c r="OR180" s="262"/>
      <c r="OS180" s="262"/>
      <c r="OT180" s="262"/>
      <c r="OU180" s="262"/>
      <c r="OV180" s="262"/>
      <c r="OW180" s="262"/>
      <c r="OX180" s="262"/>
      <c r="OY180" s="262"/>
      <c r="OZ180" s="262"/>
      <c r="PA180" s="262"/>
      <c r="PB180" s="262"/>
      <c r="PC180" s="262"/>
      <c r="PD180" s="262"/>
      <c r="PE180" s="262"/>
      <c r="PF180" s="262"/>
      <c r="PG180" s="262"/>
      <c r="PH180" s="262"/>
    </row>
    <row r="181" spans="1:424" x14ac:dyDescent="0.35">
      <c r="A181"/>
      <c r="B181" s="427" t="s">
        <v>362</v>
      </c>
      <c r="C181" s="400"/>
      <c r="D181" s="400"/>
      <c r="E181" s="412"/>
      <c r="F181" s="412"/>
      <c r="G181" s="40"/>
      <c r="H181" s="445">
        <f>+I151</f>
        <v>0</v>
      </c>
      <c r="I181" s="416">
        <f>MAX(SUM(INDEX($L$151:$EN$151,1,Timing_Reversion_Month+1):INDEX($L$151:$EN$151,1,Timing_Reversion_Month+12)))</f>
        <v>0</v>
      </c>
      <c r="J181" s="395"/>
      <c r="K181" s="396"/>
      <c r="L181" s="396"/>
      <c r="M181" s="396"/>
      <c r="N181" s="396"/>
      <c r="O181" s="396"/>
      <c r="P181" s="396"/>
      <c r="Q181" s="396"/>
      <c r="R181" s="396"/>
      <c r="S181" s="396"/>
      <c r="T181" s="396"/>
      <c r="U181" s="396"/>
      <c r="V181" s="396"/>
      <c r="W181" s="396"/>
      <c r="X181" s="396"/>
      <c r="Y181" s="396"/>
      <c r="Z181" s="396"/>
      <c r="AA181" s="396"/>
      <c r="AB181" s="396"/>
      <c r="AC181" s="396"/>
      <c r="AD181" s="396"/>
      <c r="AE181" s="396"/>
      <c r="AF181" s="396"/>
      <c r="AG181" s="396"/>
      <c r="AH181" s="396"/>
      <c r="AI181" s="396"/>
      <c r="AJ181" s="396"/>
      <c r="AK181" s="396"/>
      <c r="AL181" s="396"/>
      <c r="AM181" s="396"/>
      <c r="AN181" s="396"/>
      <c r="AO181" s="396"/>
      <c r="AP181" s="396"/>
      <c r="AQ181" s="396"/>
      <c r="AR181" s="396"/>
      <c r="AS181" s="396"/>
      <c r="AT181" s="396"/>
      <c r="AU181" s="396"/>
      <c r="AV181" s="396"/>
      <c r="AW181" s="396"/>
      <c r="AX181" s="396"/>
      <c r="AY181" s="396"/>
      <c r="AZ181" s="396"/>
      <c r="BA181" s="396"/>
      <c r="BB181" s="396"/>
      <c r="BC181" s="396"/>
      <c r="BD181" s="396"/>
      <c r="BE181" s="396"/>
      <c r="BF181" s="396"/>
      <c r="BG181" s="396"/>
      <c r="BH181" s="396"/>
      <c r="BI181" s="396"/>
      <c r="BJ181" s="396"/>
      <c r="BK181" s="396"/>
      <c r="BL181" s="396"/>
      <c r="BM181" s="396"/>
      <c r="BN181" s="396"/>
      <c r="BO181" s="396"/>
      <c r="BP181" s="396"/>
      <c r="BQ181" s="396"/>
      <c r="BR181" s="396"/>
      <c r="BS181" s="396"/>
      <c r="BT181" s="396"/>
      <c r="BU181" s="396"/>
      <c r="BV181" s="396"/>
      <c r="BW181" s="396"/>
      <c r="BX181" s="396"/>
      <c r="BY181" s="396"/>
      <c r="BZ181" s="396"/>
      <c r="CA181" s="396"/>
      <c r="CB181" s="396"/>
      <c r="CC181" s="396"/>
      <c r="CD181" s="396"/>
      <c r="CE181" s="396"/>
      <c r="CF181" s="396"/>
      <c r="CG181" s="396"/>
      <c r="CH181" s="396"/>
      <c r="CI181" s="396"/>
      <c r="CJ181" s="396"/>
      <c r="CK181" s="396"/>
      <c r="CL181" s="396"/>
      <c r="CM181" s="396"/>
      <c r="CN181" s="396"/>
      <c r="CO181" s="396"/>
      <c r="CP181" s="396"/>
      <c r="CQ181" s="396"/>
      <c r="CR181" s="396"/>
      <c r="CS181" s="396"/>
      <c r="CT181" s="396"/>
      <c r="CU181" s="396"/>
      <c r="CV181" s="396"/>
      <c r="CW181" s="396"/>
      <c r="CX181" s="396"/>
      <c r="CY181" s="396"/>
      <c r="CZ181" s="396"/>
      <c r="DA181" s="396"/>
      <c r="DB181" s="396"/>
      <c r="DC181" s="396"/>
      <c r="DD181" s="396"/>
      <c r="DE181" s="396"/>
      <c r="DF181" s="396"/>
      <c r="DG181" s="396"/>
      <c r="DH181" s="396"/>
      <c r="DI181" s="396"/>
      <c r="DJ181" s="396"/>
      <c r="DK181" s="396"/>
      <c r="DL181" s="396"/>
      <c r="DM181" s="396"/>
      <c r="DN181" s="396"/>
      <c r="DO181" s="396"/>
      <c r="DP181" s="396"/>
      <c r="DQ181" s="396"/>
      <c r="DR181" s="396"/>
      <c r="DS181" s="396"/>
      <c r="DT181" s="396"/>
      <c r="DU181" s="396"/>
      <c r="DV181" s="396"/>
      <c r="DW181" s="396"/>
      <c r="DX181" s="396"/>
      <c r="DY181" s="396"/>
      <c r="DZ181" s="396"/>
      <c r="EA181" s="396"/>
      <c r="EB181" s="396"/>
      <c r="EC181" s="396"/>
      <c r="ED181" s="396"/>
      <c r="EE181" s="396"/>
      <c r="EF181" s="396"/>
      <c r="EG181" s="396"/>
      <c r="EH181" s="396"/>
      <c r="EI181" s="396"/>
      <c r="EJ181" s="396"/>
      <c r="EK181" s="396"/>
      <c r="EL181" s="396"/>
      <c r="EM181" s="396"/>
      <c r="EN181" s="396"/>
      <c r="EO181" s="396"/>
      <c r="EP181" s="219"/>
      <c r="EQ181" s="18"/>
      <c r="ER181" s="18"/>
      <c r="ES181" s="18"/>
      <c r="ET181" s="18"/>
      <c r="EU181" s="18"/>
      <c r="EV181" s="18"/>
      <c r="EW181" s="18"/>
      <c r="EX181" s="18"/>
      <c r="EY181" s="18"/>
      <c r="EZ181" s="18"/>
      <c r="FA181" s="18"/>
      <c r="FB181" s="18"/>
      <c r="FC181" s="18"/>
      <c r="FD181" s="18"/>
      <c r="FE181" s="18"/>
      <c r="FF181" s="18"/>
      <c r="FG181" s="18"/>
      <c r="FH181" s="18"/>
      <c r="FI181" s="18"/>
      <c r="FJ181" s="18"/>
      <c r="FK181" s="18"/>
      <c r="FL181" s="18"/>
      <c r="FM181" s="18"/>
      <c r="FN181" s="18"/>
      <c r="FO181" s="18"/>
      <c r="FP181" s="18"/>
      <c r="FQ181" s="18"/>
      <c r="FR181" s="18"/>
      <c r="FS181" s="18"/>
      <c r="FT181" s="18"/>
      <c r="FU181" s="18"/>
      <c r="FV181" s="18"/>
      <c r="FW181" s="18"/>
      <c r="FX181" s="18"/>
      <c r="FY181" s="18"/>
      <c r="FZ181" s="18"/>
      <c r="GA181" s="18"/>
      <c r="GB181" s="18"/>
      <c r="GC181" s="18"/>
      <c r="GD181" s="18"/>
      <c r="GE181" s="18"/>
      <c r="GF181" s="18"/>
      <c r="GG181" s="18"/>
      <c r="GH181" s="18"/>
      <c r="GI181" s="18"/>
      <c r="GJ181" s="18"/>
      <c r="GK181" s="18"/>
      <c r="GL181" s="18"/>
      <c r="GM181" s="18"/>
      <c r="GN181" s="18"/>
      <c r="GO181" s="18"/>
      <c r="GP181" s="18"/>
      <c r="GQ181" s="18"/>
      <c r="GR181" s="18"/>
      <c r="GS181" s="18"/>
      <c r="GT181" s="18"/>
      <c r="GU181" s="18"/>
      <c r="GV181" s="18"/>
      <c r="GW181" s="18"/>
      <c r="GX181" s="18"/>
      <c r="GY181" s="18"/>
      <c r="GZ181" s="18"/>
      <c r="HA181" s="18"/>
      <c r="HB181" s="18"/>
      <c r="HC181" s="18"/>
      <c r="HD181" s="18"/>
      <c r="HE181" s="18"/>
      <c r="HF181" s="18"/>
      <c r="HG181" s="18"/>
      <c r="HH181" s="18"/>
      <c r="HI181" s="18"/>
      <c r="HJ181" s="18"/>
      <c r="HK181" s="18"/>
      <c r="HL181" s="18"/>
      <c r="HM181" s="18"/>
      <c r="HN181" s="18"/>
      <c r="HO181" s="18"/>
      <c r="HP181" s="18"/>
      <c r="HQ181" s="18"/>
      <c r="HR181" s="18"/>
      <c r="HS181" s="18"/>
      <c r="HT181" s="18"/>
      <c r="HU181" s="18"/>
      <c r="HV181" s="18"/>
      <c r="HW181" s="18"/>
      <c r="HX181" s="18"/>
      <c r="HY181" s="18"/>
      <c r="HZ181" s="18"/>
      <c r="IA181" s="18"/>
      <c r="IB181" s="18"/>
      <c r="IC181" s="18"/>
      <c r="ID181" s="18"/>
      <c r="IE181" s="18"/>
      <c r="IF181" s="18"/>
      <c r="IG181" s="18"/>
      <c r="IH181" s="18"/>
      <c r="II181" s="18"/>
      <c r="IJ181" s="18"/>
      <c r="IK181" s="18"/>
      <c r="IL181" s="18"/>
      <c r="IM181" s="18"/>
      <c r="IN181" s="18"/>
      <c r="IO181" s="18"/>
      <c r="IP181" s="18"/>
      <c r="IQ181" s="18"/>
      <c r="IR181" s="18"/>
      <c r="IS181" s="18"/>
      <c r="IT181" s="18"/>
      <c r="IU181" s="18"/>
      <c r="IV181" s="18"/>
      <c r="IW181" s="18"/>
      <c r="IX181" s="18"/>
      <c r="IY181" s="18"/>
      <c r="IZ181" s="18"/>
      <c r="JA181" s="18"/>
      <c r="JB181" s="18"/>
      <c r="JC181" s="18"/>
      <c r="JD181" s="18"/>
      <c r="JE181" s="18"/>
      <c r="JF181" s="18"/>
      <c r="JG181" s="18"/>
      <c r="JH181" s="18"/>
      <c r="JI181" s="18"/>
      <c r="JJ181" s="18"/>
      <c r="JK181" s="18"/>
      <c r="JL181" s="18"/>
      <c r="JM181" s="18"/>
      <c r="JN181" s="18"/>
      <c r="JO181" s="18"/>
      <c r="JP181" s="18"/>
      <c r="JQ181" s="18"/>
      <c r="JR181" s="18"/>
      <c r="JS181" s="18"/>
      <c r="JT181" s="18"/>
      <c r="JU181" s="18"/>
      <c r="JV181" s="18"/>
      <c r="JW181" s="18"/>
      <c r="JX181" s="18"/>
      <c r="JY181"/>
      <c r="JZ181" s="262"/>
      <c r="KA181" s="262"/>
      <c r="KB181" s="262"/>
      <c r="KC181" s="262"/>
      <c r="KD181" s="262"/>
      <c r="KE181" s="262"/>
      <c r="KF181" s="262"/>
      <c r="KG181" s="262"/>
      <c r="KH181" s="262"/>
      <c r="KI181" s="262"/>
      <c r="KJ181" s="262"/>
      <c r="KK181" s="262"/>
      <c r="KL181" s="262"/>
      <c r="KM181" s="262"/>
      <c r="KN181" s="262"/>
      <c r="KO181" s="262"/>
      <c r="KP181" s="262"/>
      <c r="KQ181" s="262"/>
      <c r="KR181" s="262"/>
      <c r="KS181" s="262"/>
      <c r="KT181" s="262"/>
      <c r="KU181" s="262"/>
      <c r="KV181" s="262"/>
      <c r="KW181" s="262"/>
      <c r="KX181" s="262"/>
      <c r="KY181" s="262"/>
      <c r="KZ181" s="262"/>
      <c r="LA181" s="262"/>
      <c r="LB181" s="262"/>
      <c r="LC181" s="262"/>
      <c r="LD181" s="262"/>
      <c r="LE181" s="262"/>
      <c r="LF181" s="262"/>
      <c r="LG181" s="262"/>
      <c r="LH181" s="262"/>
      <c r="LI181" s="262"/>
      <c r="LJ181" s="262"/>
      <c r="LK181" s="262"/>
      <c r="LL181" s="262"/>
      <c r="LM181" s="262"/>
      <c r="LN181" s="262"/>
      <c r="LO181" s="262"/>
      <c r="LP181" s="262"/>
      <c r="LQ181" s="262"/>
      <c r="LR181" s="262"/>
      <c r="LS181" s="262"/>
      <c r="LT181" s="262"/>
      <c r="LU181" s="262"/>
      <c r="LV181" s="262"/>
      <c r="LW181" s="262"/>
      <c r="LX181" s="262"/>
      <c r="LY181" s="262"/>
      <c r="LZ181" s="262"/>
      <c r="MA181" s="262"/>
      <c r="MB181" s="262"/>
      <c r="MC181" s="262"/>
      <c r="MD181" s="262"/>
      <c r="ME181" s="262"/>
      <c r="MF181" s="262"/>
      <c r="MG181" s="262"/>
      <c r="MH181" s="262"/>
      <c r="MI181" s="262"/>
      <c r="MJ181" s="262"/>
      <c r="MK181" s="262"/>
      <c r="ML181" s="262"/>
      <c r="MM181" s="262"/>
      <c r="MN181" s="262"/>
      <c r="MO181" s="262"/>
      <c r="MP181" s="262"/>
      <c r="MQ181" s="262"/>
      <c r="MR181" s="262"/>
      <c r="MS181" s="262"/>
      <c r="MT181" s="262"/>
      <c r="MU181" s="262"/>
      <c r="MV181" s="262"/>
      <c r="MW181" s="262"/>
      <c r="MX181" s="262"/>
      <c r="MY181" s="262"/>
      <c r="MZ181" s="262"/>
      <c r="NA181" s="262"/>
      <c r="NB181" s="262"/>
      <c r="NC181" s="262"/>
      <c r="ND181" s="262"/>
      <c r="NE181" s="262"/>
      <c r="NF181" s="262"/>
      <c r="NG181" s="262"/>
      <c r="NH181" s="262"/>
      <c r="NI181" s="262"/>
      <c r="NJ181" s="262"/>
      <c r="NK181" s="262"/>
      <c r="NL181" s="262"/>
      <c r="NM181" s="262"/>
      <c r="NN181" s="262"/>
      <c r="NO181" s="262"/>
      <c r="NP181" s="262"/>
      <c r="NQ181" s="262"/>
      <c r="NR181" s="262"/>
      <c r="NS181" s="262"/>
      <c r="NT181" s="262"/>
      <c r="NU181" s="262"/>
      <c r="NV181" s="262"/>
      <c r="NW181" s="262"/>
      <c r="NX181" s="262"/>
      <c r="NY181" s="262"/>
      <c r="NZ181" s="262"/>
      <c r="OA181" s="262"/>
      <c r="OB181" s="262"/>
      <c r="OC181" s="262"/>
      <c r="OD181" s="262"/>
      <c r="OE181" s="262"/>
      <c r="OF181" s="262"/>
      <c r="OG181" s="262"/>
      <c r="OH181" s="262"/>
      <c r="OI181" s="262"/>
      <c r="OJ181" s="262"/>
      <c r="OK181" s="262"/>
      <c r="OL181" s="262"/>
      <c r="OM181" s="262"/>
      <c r="ON181" s="262"/>
      <c r="OO181" s="262"/>
      <c r="OP181" s="262"/>
      <c r="OQ181" s="262"/>
      <c r="OR181" s="262"/>
      <c r="OS181" s="262"/>
      <c r="OT181" s="262"/>
      <c r="OU181" s="262"/>
      <c r="OV181" s="262"/>
      <c r="OW181" s="262"/>
      <c r="OX181" s="262"/>
      <c r="OY181" s="262"/>
      <c r="OZ181" s="262"/>
      <c r="PA181" s="262"/>
      <c r="PB181" s="262"/>
      <c r="PC181" s="262"/>
      <c r="PD181" s="262"/>
      <c r="PE181" s="262"/>
      <c r="PF181" s="262"/>
      <c r="PG181" s="262"/>
      <c r="PH181" s="262"/>
    </row>
    <row r="182" spans="1:424" x14ac:dyDescent="0.35">
      <c r="A182"/>
      <c r="B182" s="427" t="s">
        <v>321</v>
      </c>
      <c r="C182" s="400"/>
      <c r="D182" s="429"/>
      <c r="E182" s="39"/>
      <c r="F182" s="39"/>
      <c r="G182" s="44"/>
      <c r="H182" s="474">
        <f>+I152</f>
        <v>0</v>
      </c>
      <c r="I182" s="507">
        <f>MAX(SUM(INDEX($L$152:$EN$152,1,Timing_Reversion_Month+1):INDEX($L$152:$EN$152,1,Timing_Reversion_Month+12)))</f>
        <v>0</v>
      </c>
      <c r="J182" s="395"/>
      <c r="K182" s="396"/>
      <c r="L182" s="396"/>
      <c r="M182" s="396"/>
      <c r="N182" s="396"/>
      <c r="O182" s="396"/>
      <c r="P182" s="396"/>
      <c r="Q182" s="396"/>
      <c r="R182" s="396"/>
      <c r="S182" s="396"/>
      <c r="T182" s="396"/>
      <c r="U182" s="396"/>
      <c r="V182" s="396"/>
      <c r="W182" s="396"/>
      <c r="X182" s="396"/>
      <c r="Y182" s="396"/>
      <c r="Z182" s="396"/>
      <c r="AA182" s="396"/>
      <c r="AB182" s="396"/>
      <c r="AC182" s="396"/>
      <c r="AD182" s="396"/>
      <c r="AE182" s="396"/>
      <c r="AF182" s="396"/>
      <c r="AG182" s="396"/>
      <c r="AH182" s="396"/>
      <c r="AI182" s="396"/>
      <c r="AJ182" s="396"/>
      <c r="AK182" s="396"/>
      <c r="AL182" s="396"/>
      <c r="AM182" s="396"/>
      <c r="AN182" s="396"/>
      <c r="AO182" s="396"/>
      <c r="AP182" s="396"/>
      <c r="AQ182" s="396"/>
      <c r="AR182" s="396"/>
      <c r="AS182" s="396"/>
      <c r="AT182" s="396"/>
      <c r="AU182" s="396"/>
      <c r="AV182" s="396"/>
      <c r="AW182" s="396"/>
      <c r="AX182" s="396"/>
      <c r="AY182" s="396"/>
      <c r="AZ182" s="396"/>
      <c r="BA182" s="396"/>
      <c r="BB182" s="396"/>
      <c r="BC182" s="396"/>
      <c r="BD182" s="396"/>
      <c r="BE182" s="396"/>
      <c r="BF182" s="396"/>
      <c r="BG182" s="396"/>
      <c r="BH182" s="396"/>
      <c r="BI182" s="396"/>
      <c r="BJ182" s="396"/>
      <c r="BK182" s="396"/>
      <c r="BL182" s="396"/>
      <c r="BM182" s="396"/>
      <c r="BN182" s="396"/>
      <c r="BO182" s="396"/>
      <c r="BP182" s="396"/>
      <c r="BQ182" s="396"/>
      <c r="BR182" s="396"/>
      <c r="BS182" s="396"/>
      <c r="BT182" s="396"/>
      <c r="BU182" s="396"/>
      <c r="BV182" s="396"/>
      <c r="BW182" s="396"/>
      <c r="BX182" s="396"/>
      <c r="BY182" s="396"/>
      <c r="BZ182" s="396"/>
      <c r="CA182" s="396"/>
      <c r="CB182" s="396"/>
      <c r="CC182" s="396"/>
      <c r="CD182" s="396"/>
      <c r="CE182" s="396"/>
      <c r="CF182" s="396"/>
      <c r="CG182" s="396"/>
      <c r="CH182" s="396"/>
      <c r="CI182" s="396"/>
      <c r="CJ182" s="396"/>
      <c r="CK182" s="396"/>
      <c r="CL182" s="396"/>
      <c r="CM182" s="396"/>
      <c r="CN182" s="396"/>
      <c r="CO182" s="396"/>
      <c r="CP182" s="396"/>
      <c r="CQ182" s="396"/>
      <c r="CR182" s="396"/>
      <c r="CS182" s="396"/>
      <c r="CT182" s="396"/>
      <c r="CU182" s="396"/>
      <c r="CV182" s="396"/>
      <c r="CW182" s="396"/>
      <c r="CX182" s="396"/>
      <c r="CY182" s="396"/>
      <c r="CZ182" s="396"/>
      <c r="DA182" s="396"/>
      <c r="DB182" s="396"/>
      <c r="DC182" s="396"/>
      <c r="DD182" s="396"/>
      <c r="DE182" s="396"/>
      <c r="DF182" s="396"/>
      <c r="DG182" s="396"/>
      <c r="DH182" s="396"/>
      <c r="DI182" s="396"/>
      <c r="DJ182" s="396"/>
      <c r="DK182" s="396"/>
      <c r="DL182" s="396"/>
      <c r="DM182" s="396"/>
      <c r="DN182" s="396"/>
      <c r="DO182" s="396"/>
      <c r="DP182" s="396"/>
      <c r="DQ182" s="396"/>
      <c r="DR182" s="396"/>
      <c r="DS182" s="396"/>
      <c r="DT182" s="396"/>
      <c r="DU182" s="396"/>
      <c r="DV182" s="396"/>
      <c r="DW182" s="396"/>
      <c r="DX182" s="396"/>
      <c r="DY182" s="396"/>
      <c r="DZ182" s="396"/>
      <c r="EA182" s="396"/>
      <c r="EB182" s="396"/>
      <c r="EC182" s="396"/>
      <c r="ED182" s="396"/>
      <c r="EE182" s="396"/>
      <c r="EF182" s="396"/>
      <c r="EG182" s="396"/>
      <c r="EH182" s="396"/>
      <c r="EI182" s="396"/>
      <c r="EJ182" s="396"/>
      <c r="EK182" s="396"/>
      <c r="EL182" s="396"/>
      <c r="EM182" s="396"/>
      <c r="EN182" s="396"/>
      <c r="EO182" s="396"/>
      <c r="EP182" s="219"/>
      <c r="EQ182" s="18"/>
      <c r="ER182" s="18"/>
      <c r="ES182" s="18"/>
      <c r="ET182" s="18"/>
      <c r="EU182" s="18"/>
      <c r="EV182" s="18"/>
      <c r="EW182" s="18"/>
      <c r="EX182" s="18"/>
      <c r="EY182" s="18"/>
      <c r="EZ182" s="18"/>
      <c r="FA182" s="18"/>
      <c r="FB182" s="18"/>
      <c r="FC182" s="18"/>
      <c r="FD182" s="18"/>
      <c r="FE182" s="18"/>
      <c r="FF182" s="18"/>
      <c r="FG182" s="18"/>
      <c r="FH182" s="18"/>
      <c r="FI182" s="18"/>
      <c r="FJ182" s="18"/>
      <c r="FK182" s="18"/>
      <c r="FL182" s="18"/>
      <c r="FM182" s="18"/>
      <c r="FN182" s="18"/>
      <c r="FO182" s="18"/>
      <c r="FP182" s="18"/>
      <c r="FQ182" s="18"/>
      <c r="FR182" s="18"/>
      <c r="FS182" s="18"/>
      <c r="FT182" s="18"/>
      <c r="FU182" s="18"/>
      <c r="FV182" s="18"/>
      <c r="FW182" s="18"/>
      <c r="FX182" s="18"/>
      <c r="FY182" s="18"/>
      <c r="FZ182" s="18"/>
      <c r="GA182" s="18"/>
      <c r="GB182" s="18"/>
      <c r="GC182" s="18"/>
      <c r="GD182" s="18"/>
      <c r="GE182" s="18"/>
      <c r="GF182" s="18"/>
      <c r="GG182" s="18"/>
      <c r="GH182" s="18"/>
      <c r="GI182" s="18"/>
      <c r="GJ182" s="18"/>
      <c r="GK182" s="18"/>
      <c r="GL182" s="18"/>
      <c r="GM182" s="18"/>
      <c r="GN182" s="18"/>
      <c r="GO182" s="18"/>
      <c r="GP182" s="18"/>
      <c r="GQ182" s="18"/>
      <c r="GR182" s="18"/>
      <c r="GS182" s="18"/>
      <c r="GT182" s="18"/>
      <c r="GU182" s="18"/>
      <c r="GV182" s="18"/>
      <c r="GW182" s="18"/>
      <c r="GX182" s="18"/>
      <c r="GY182" s="18"/>
      <c r="GZ182" s="18"/>
      <c r="HA182" s="18"/>
      <c r="HB182" s="18"/>
      <c r="HC182" s="18"/>
      <c r="HD182" s="18"/>
      <c r="HE182" s="18"/>
      <c r="HF182" s="18"/>
      <c r="HG182" s="18"/>
      <c r="HH182" s="18"/>
      <c r="HI182" s="18"/>
      <c r="HJ182" s="18"/>
      <c r="HK182" s="18"/>
      <c r="HL182" s="18"/>
      <c r="HM182" s="18"/>
      <c r="HN182" s="18"/>
      <c r="HO182" s="18"/>
      <c r="HP182" s="18"/>
      <c r="HQ182" s="18"/>
      <c r="HR182" s="18"/>
      <c r="HS182" s="18"/>
      <c r="HT182" s="18"/>
      <c r="HU182" s="18"/>
      <c r="HV182" s="18"/>
      <c r="HW182" s="18"/>
      <c r="HX182" s="18"/>
      <c r="HY182" s="18"/>
      <c r="HZ182" s="18"/>
      <c r="IA182" s="18"/>
      <c r="IB182" s="18"/>
      <c r="IC182" s="18"/>
      <c r="ID182" s="18"/>
      <c r="IE182" s="18"/>
      <c r="IF182" s="18"/>
      <c r="IG182" s="18"/>
      <c r="IH182" s="18"/>
      <c r="II182" s="18"/>
      <c r="IJ182" s="18"/>
      <c r="IK182" s="18"/>
      <c r="IL182" s="18"/>
      <c r="IM182" s="18"/>
      <c r="IN182" s="18"/>
      <c r="IO182" s="18"/>
      <c r="IP182" s="18"/>
      <c r="IQ182" s="18"/>
      <c r="IR182" s="18"/>
      <c r="IS182" s="18"/>
      <c r="IT182" s="18"/>
      <c r="IU182" s="18"/>
      <c r="IV182" s="18"/>
      <c r="IW182" s="18"/>
      <c r="IX182" s="18"/>
      <c r="IY182" s="18"/>
      <c r="IZ182" s="18"/>
      <c r="JA182" s="18"/>
      <c r="JB182" s="18"/>
      <c r="JC182" s="18"/>
      <c r="JD182" s="18"/>
      <c r="JE182" s="18"/>
      <c r="JF182" s="18"/>
      <c r="JG182" s="18"/>
      <c r="JH182" s="18"/>
      <c r="JI182" s="18"/>
      <c r="JJ182" s="18"/>
      <c r="JK182" s="18"/>
      <c r="JL182" s="18"/>
      <c r="JM182" s="18"/>
      <c r="JN182" s="18"/>
      <c r="JO182" s="18"/>
      <c r="JP182" s="18"/>
      <c r="JQ182" s="18"/>
      <c r="JR182" s="18"/>
      <c r="JS182" s="18"/>
      <c r="JT182" s="18"/>
      <c r="JU182" s="18"/>
      <c r="JV182" s="18"/>
      <c r="JW182" s="18"/>
      <c r="JX182" s="18"/>
      <c r="JY182"/>
      <c r="JZ182" s="262"/>
      <c r="KA182" s="262"/>
      <c r="KB182" s="262"/>
      <c r="KC182" s="262"/>
      <c r="KD182" s="262"/>
      <c r="KE182" s="262"/>
      <c r="KF182" s="262"/>
      <c r="KG182" s="262"/>
      <c r="KH182" s="262"/>
      <c r="KI182" s="262"/>
      <c r="KJ182" s="262"/>
      <c r="KK182" s="262"/>
      <c r="KL182" s="262"/>
      <c r="KM182" s="262"/>
      <c r="KN182" s="262"/>
      <c r="KO182" s="262"/>
      <c r="KP182" s="262"/>
      <c r="KQ182" s="262"/>
      <c r="KR182" s="262"/>
      <c r="KS182" s="262"/>
      <c r="KT182" s="262"/>
      <c r="KU182" s="262"/>
      <c r="KV182" s="262"/>
      <c r="KW182" s="262"/>
      <c r="KX182" s="262"/>
      <c r="KY182" s="262"/>
      <c r="KZ182" s="262"/>
      <c r="LA182" s="262"/>
      <c r="LB182" s="262"/>
      <c r="LC182" s="262"/>
      <c r="LD182" s="262"/>
      <c r="LE182" s="262"/>
      <c r="LF182" s="262"/>
      <c r="LG182" s="262"/>
      <c r="LH182" s="262"/>
      <c r="LI182" s="262"/>
      <c r="LJ182" s="262"/>
      <c r="LK182" s="262"/>
      <c r="LL182" s="262"/>
      <c r="LM182" s="262"/>
      <c r="LN182" s="262"/>
      <c r="LO182" s="262"/>
      <c r="LP182" s="262"/>
      <c r="LQ182" s="262"/>
      <c r="LR182" s="262"/>
      <c r="LS182" s="262"/>
      <c r="LT182" s="262"/>
      <c r="LU182" s="262"/>
      <c r="LV182" s="262"/>
      <c r="LW182" s="262"/>
      <c r="LX182" s="262"/>
      <c r="LY182" s="262"/>
      <c r="LZ182" s="262"/>
      <c r="MA182" s="262"/>
      <c r="MB182" s="262"/>
      <c r="MC182" s="262"/>
      <c r="MD182" s="262"/>
      <c r="ME182" s="262"/>
      <c r="MF182" s="262"/>
      <c r="MG182" s="262"/>
      <c r="MH182" s="262"/>
      <c r="MI182" s="262"/>
      <c r="MJ182" s="262"/>
      <c r="MK182" s="262"/>
      <c r="ML182" s="262"/>
      <c r="MM182" s="262"/>
      <c r="MN182" s="262"/>
      <c r="MO182" s="262"/>
      <c r="MP182" s="262"/>
      <c r="MQ182" s="262"/>
      <c r="MR182" s="262"/>
      <c r="MS182" s="262"/>
      <c r="MT182" s="262"/>
      <c r="MU182" s="262"/>
      <c r="MV182" s="262"/>
      <c r="MW182" s="262"/>
      <c r="MX182" s="262"/>
      <c r="MY182" s="262"/>
      <c r="MZ182" s="262"/>
      <c r="NA182" s="262"/>
      <c r="NB182" s="262"/>
      <c r="NC182" s="262"/>
      <c r="ND182" s="262"/>
      <c r="NE182" s="262"/>
      <c r="NF182" s="262"/>
      <c r="NG182" s="262"/>
      <c r="NH182" s="262"/>
      <c r="NI182" s="262"/>
      <c r="NJ182" s="262"/>
      <c r="NK182" s="262"/>
      <c r="NL182" s="262"/>
      <c r="NM182" s="262"/>
      <c r="NN182" s="262"/>
      <c r="NO182" s="262"/>
      <c r="NP182" s="262"/>
      <c r="NQ182" s="262"/>
      <c r="NR182" s="262"/>
      <c r="NS182" s="262"/>
      <c r="NT182" s="262"/>
      <c r="NU182" s="262"/>
      <c r="NV182" s="262"/>
      <c r="NW182" s="262"/>
      <c r="NX182" s="262"/>
      <c r="NY182" s="262"/>
      <c r="NZ182" s="262"/>
      <c r="OA182" s="262"/>
      <c r="OB182" s="262"/>
      <c r="OC182" s="262"/>
      <c r="OD182" s="262"/>
      <c r="OE182" s="262"/>
      <c r="OF182" s="262"/>
      <c r="OG182" s="262"/>
      <c r="OH182" s="262"/>
      <c r="OI182" s="262"/>
      <c r="OJ182" s="262"/>
      <c r="OK182" s="262"/>
      <c r="OL182" s="262"/>
      <c r="OM182" s="262"/>
      <c r="ON182" s="262"/>
      <c r="OO182" s="262"/>
      <c r="OP182" s="262"/>
      <c r="OQ182" s="262"/>
      <c r="OR182" s="262"/>
      <c r="OS182" s="262"/>
      <c r="OT182" s="262"/>
      <c r="OU182" s="262"/>
      <c r="OV182" s="262"/>
      <c r="OW182" s="262"/>
      <c r="OX182" s="262"/>
      <c r="OY182" s="262"/>
      <c r="OZ182" s="262"/>
      <c r="PA182" s="262"/>
      <c r="PB182" s="262"/>
      <c r="PC182" s="262"/>
      <c r="PD182" s="262"/>
      <c r="PE182" s="262"/>
      <c r="PF182" s="262"/>
      <c r="PG182" s="262"/>
      <c r="PH182" s="262"/>
    </row>
    <row r="183" spans="1:424" x14ac:dyDescent="0.35">
      <c r="A183"/>
      <c r="B183" s="34" t="s">
        <v>322</v>
      </c>
      <c r="C183" s="400"/>
      <c r="D183" s="400"/>
      <c r="E183" s="502"/>
      <c r="F183" s="502"/>
      <c r="G183" s="40"/>
      <c r="H183" s="445">
        <f>SUM(H181:H182)</f>
        <v>0</v>
      </c>
      <c r="I183" s="445">
        <f>SUM(I181:I182)</f>
        <v>0</v>
      </c>
      <c r="J183" s="395"/>
      <c r="K183" s="396"/>
      <c r="L183" s="396"/>
      <c r="M183" s="396"/>
      <c r="N183" s="396"/>
      <c r="O183" s="396"/>
      <c r="P183" s="396"/>
      <c r="Q183" s="396"/>
      <c r="R183" s="396"/>
      <c r="S183" s="396"/>
      <c r="T183" s="396"/>
      <c r="U183" s="396"/>
      <c r="V183" s="396"/>
      <c r="W183" s="396"/>
      <c r="X183" s="396"/>
      <c r="Y183" s="396"/>
      <c r="Z183" s="396"/>
      <c r="AA183" s="396"/>
      <c r="AB183" s="396"/>
      <c r="AC183" s="396"/>
      <c r="AD183" s="396"/>
      <c r="AE183" s="396"/>
      <c r="AF183" s="396"/>
      <c r="AG183" s="396"/>
      <c r="AH183" s="396"/>
      <c r="AI183" s="396"/>
      <c r="AJ183" s="396"/>
      <c r="AK183" s="396"/>
      <c r="AL183" s="396"/>
      <c r="AM183" s="396"/>
      <c r="AN183" s="396"/>
      <c r="AO183" s="396"/>
      <c r="AP183" s="396"/>
      <c r="AQ183" s="396"/>
      <c r="AR183" s="396"/>
      <c r="AS183" s="396"/>
      <c r="AT183" s="396"/>
      <c r="AU183" s="396"/>
      <c r="AV183" s="396"/>
      <c r="AW183" s="396"/>
      <c r="AX183" s="396"/>
      <c r="AY183" s="396"/>
      <c r="AZ183" s="396"/>
      <c r="BA183" s="396"/>
      <c r="BB183" s="396"/>
      <c r="BC183" s="396"/>
      <c r="BD183" s="396"/>
      <c r="BE183" s="396"/>
      <c r="BF183" s="396"/>
      <c r="BG183" s="396"/>
      <c r="BH183" s="396"/>
      <c r="BI183" s="396"/>
      <c r="BJ183" s="396"/>
      <c r="BK183" s="396"/>
      <c r="BL183" s="396"/>
      <c r="BM183" s="396"/>
      <c r="BN183" s="396"/>
      <c r="BO183" s="396"/>
      <c r="BP183" s="396"/>
      <c r="BQ183" s="396"/>
      <c r="BR183" s="396"/>
      <c r="BS183" s="396"/>
      <c r="BT183" s="396"/>
      <c r="BU183" s="396"/>
      <c r="BV183" s="396"/>
      <c r="BW183" s="396"/>
      <c r="BX183" s="396"/>
      <c r="BY183" s="396"/>
      <c r="BZ183" s="396"/>
      <c r="CA183" s="396"/>
      <c r="CB183" s="396"/>
      <c r="CC183" s="396"/>
      <c r="CD183" s="396"/>
      <c r="CE183" s="396"/>
      <c r="CF183" s="396"/>
      <c r="CG183" s="396"/>
      <c r="CH183" s="396"/>
      <c r="CI183" s="396"/>
      <c r="CJ183" s="396"/>
      <c r="CK183" s="396"/>
      <c r="CL183" s="396"/>
      <c r="CM183" s="396"/>
      <c r="CN183" s="396"/>
      <c r="CO183" s="396"/>
      <c r="CP183" s="396"/>
      <c r="CQ183" s="396"/>
      <c r="CR183" s="396"/>
      <c r="CS183" s="396"/>
      <c r="CT183" s="396"/>
      <c r="CU183" s="396"/>
      <c r="CV183" s="396"/>
      <c r="CW183" s="396"/>
      <c r="CX183" s="396"/>
      <c r="CY183" s="396"/>
      <c r="CZ183" s="396"/>
      <c r="DA183" s="396"/>
      <c r="DB183" s="396"/>
      <c r="DC183" s="396"/>
      <c r="DD183" s="396"/>
      <c r="DE183" s="396"/>
      <c r="DF183" s="396"/>
      <c r="DG183" s="396"/>
      <c r="DH183" s="396"/>
      <c r="DI183" s="396"/>
      <c r="DJ183" s="396"/>
      <c r="DK183" s="396"/>
      <c r="DL183" s="396"/>
      <c r="DM183" s="396"/>
      <c r="DN183" s="396"/>
      <c r="DO183" s="396"/>
      <c r="DP183" s="396"/>
      <c r="DQ183" s="396"/>
      <c r="DR183" s="396"/>
      <c r="DS183" s="396"/>
      <c r="DT183" s="396"/>
      <c r="DU183" s="396"/>
      <c r="DV183" s="396"/>
      <c r="DW183" s="396"/>
      <c r="DX183" s="396"/>
      <c r="DY183" s="396"/>
      <c r="DZ183" s="396"/>
      <c r="EA183" s="396"/>
      <c r="EB183" s="396"/>
      <c r="EC183" s="396"/>
      <c r="ED183" s="396"/>
      <c r="EE183" s="396"/>
      <c r="EF183" s="396"/>
      <c r="EG183" s="396"/>
      <c r="EH183" s="396"/>
      <c r="EI183" s="396"/>
      <c r="EJ183" s="396"/>
      <c r="EK183" s="396"/>
      <c r="EL183" s="396"/>
      <c r="EM183" s="396"/>
      <c r="EN183" s="396"/>
      <c r="EO183" s="396"/>
      <c r="EP183" s="219"/>
      <c r="EQ183" s="18"/>
      <c r="ER183" s="18"/>
      <c r="ES183" s="18"/>
      <c r="ET183" s="18"/>
      <c r="EU183" s="18"/>
      <c r="EV183" s="18"/>
      <c r="EW183" s="18"/>
      <c r="EX183" s="18"/>
      <c r="EY183" s="18"/>
      <c r="EZ183" s="18"/>
      <c r="FA183" s="18"/>
      <c r="FB183" s="18"/>
      <c r="FC183" s="18"/>
      <c r="FD183" s="18"/>
      <c r="FE183" s="18"/>
      <c r="FF183" s="18"/>
      <c r="FG183" s="18"/>
      <c r="FH183" s="18"/>
      <c r="FI183" s="18"/>
      <c r="FJ183" s="18"/>
      <c r="FK183" s="18"/>
      <c r="FL183" s="18"/>
      <c r="FM183" s="18"/>
      <c r="FN183" s="18"/>
      <c r="FO183" s="18"/>
      <c r="FP183" s="18"/>
      <c r="FQ183" s="18"/>
      <c r="FR183" s="18"/>
      <c r="FS183" s="18"/>
      <c r="FT183" s="18"/>
      <c r="FU183" s="18"/>
      <c r="FV183" s="18"/>
      <c r="FW183" s="18"/>
      <c r="FX183" s="18"/>
      <c r="FY183" s="18"/>
      <c r="FZ183" s="18"/>
      <c r="GA183" s="18"/>
      <c r="GB183" s="18"/>
      <c r="GC183" s="18"/>
      <c r="GD183" s="18"/>
      <c r="GE183" s="18"/>
      <c r="GF183" s="18"/>
      <c r="GG183" s="18"/>
      <c r="GH183" s="18"/>
      <c r="GI183" s="18"/>
      <c r="GJ183" s="18"/>
      <c r="GK183" s="18"/>
      <c r="GL183" s="18"/>
      <c r="GM183" s="18"/>
      <c r="GN183" s="18"/>
      <c r="GO183" s="18"/>
      <c r="GP183" s="18"/>
      <c r="GQ183" s="18"/>
      <c r="GR183" s="18"/>
      <c r="GS183" s="18"/>
      <c r="GT183" s="18"/>
      <c r="GU183" s="18"/>
      <c r="GV183" s="18"/>
      <c r="GW183" s="18"/>
      <c r="GX183" s="18"/>
      <c r="GY183" s="18"/>
      <c r="GZ183" s="18"/>
      <c r="HA183" s="18"/>
      <c r="HB183" s="18"/>
      <c r="HC183" s="18"/>
      <c r="HD183" s="18"/>
      <c r="HE183" s="18"/>
      <c r="HF183" s="18"/>
      <c r="HG183" s="18"/>
      <c r="HH183" s="18"/>
      <c r="HI183" s="18"/>
      <c r="HJ183" s="18"/>
      <c r="HK183" s="18"/>
      <c r="HL183" s="18"/>
      <c r="HM183" s="18"/>
      <c r="HN183" s="18"/>
      <c r="HO183" s="18"/>
      <c r="HP183" s="18"/>
      <c r="HQ183" s="18"/>
      <c r="HR183" s="18"/>
      <c r="HS183" s="18"/>
      <c r="HT183" s="18"/>
      <c r="HU183" s="18"/>
      <c r="HV183" s="18"/>
      <c r="HW183" s="18"/>
      <c r="HX183" s="18"/>
      <c r="HY183" s="18"/>
      <c r="HZ183" s="18"/>
      <c r="IA183" s="18"/>
      <c r="IB183" s="18"/>
      <c r="IC183" s="18"/>
      <c r="ID183" s="18"/>
      <c r="IE183" s="18"/>
      <c r="IF183" s="18"/>
      <c r="IG183" s="18"/>
      <c r="IH183" s="18"/>
      <c r="II183" s="18"/>
      <c r="IJ183" s="18"/>
      <c r="IK183" s="18"/>
      <c r="IL183" s="18"/>
      <c r="IM183" s="18"/>
      <c r="IN183" s="18"/>
      <c r="IO183" s="18"/>
      <c r="IP183" s="18"/>
      <c r="IQ183" s="18"/>
      <c r="IR183" s="18"/>
      <c r="IS183" s="18"/>
      <c r="IT183" s="18"/>
      <c r="IU183" s="18"/>
      <c r="IV183" s="18"/>
      <c r="IW183" s="18"/>
      <c r="IX183" s="18"/>
      <c r="IY183" s="18"/>
      <c r="IZ183" s="18"/>
      <c r="JA183" s="18"/>
      <c r="JB183" s="18"/>
      <c r="JC183" s="18"/>
      <c r="JD183" s="18"/>
      <c r="JE183" s="18"/>
      <c r="JF183" s="18"/>
      <c r="JG183" s="18"/>
      <c r="JH183" s="18"/>
      <c r="JI183" s="18"/>
      <c r="JJ183" s="18"/>
      <c r="JK183" s="18"/>
      <c r="JL183" s="18"/>
      <c r="JM183" s="18"/>
      <c r="JN183" s="18"/>
      <c r="JO183" s="18"/>
      <c r="JP183" s="18"/>
      <c r="JQ183" s="18"/>
      <c r="JR183" s="18"/>
      <c r="JS183" s="18"/>
      <c r="JT183" s="18"/>
      <c r="JU183" s="18"/>
      <c r="JV183" s="18"/>
      <c r="JW183" s="18"/>
      <c r="JX183" s="18"/>
      <c r="JY183"/>
      <c r="JZ183" s="262"/>
      <c r="KA183" s="262"/>
      <c r="KB183" s="262"/>
      <c r="KC183" s="262"/>
      <c r="KD183" s="262"/>
      <c r="KE183" s="262"/>
      <c r="KF183" s="262"/>
      <c r="KG183" s="262"/>
      <c r="KH183" s="262"/>
      <c r="KI183" s="262"/>
      <c r="KJ183" s="262"/>
      <c r="KK183" s="262"/>
      <c r="KL183" s="262"/>
      <c r="KM183" s="262"/>
      <c r="KN183" s="262"/>
      <c r="KO183" s="262"/>
      <c r="KP183" s="262"/>
      <c r="KQ183" s="262"/>
      <c r="KR183" s="262"/>
      <c r="KS183" s="262"/>
      <c r="KT183" s="262"/>
      <c r="KU183" s="262"/>
      <c r="KV183" s="262"/>
      <c r="KW183" s="262"/>
      <c r="KX183" s="262"/>
      <c r="KY183" s="262"/>
      <c r="KZ183" s="262"/>
      <c r="LA183" s="262"/>
      <c r="LB183" s="262"/>
      <c r="LC183" s="262"/>
      <c r="LD183" s="262"/>
      <c r="LE183" s="262"/>
      <c r="LF183" s="262"/>
      <c r="LG183" s="262"/>
      <c r="LH183" s="262"/>
      <c r="LI183" s="262"/>
      <c r="LJ183" s="262"/>
      <c r="LK183" s="262"/>
      <c r="LL183" s="262"/>
      <c r="LM183" s="262"/>
      <c r="LN183" s="262"/>
      <c r="LO183" s="262"/>
      <c r="LP183" s="262"/>
      <c r="LQ183" s="262"/>
      <c r="LR183" s="262"/>
      <c r="LS183" s="262"/>
      <c r="LT183" s="262"/>
      <c r="LU183" s="262"/>
      <c r="LV183" s="262"/>
      <c r="LW183" s="262"/>
      <c r="LX183" s="262"/>
      <c r="LY183" s="262"/>
      <c r="LZ183" s="262"/>
      <c r="MA183" s="262"/>
      <c r="MB183" s="262"/>
      <c r="MC183" s="262"/>
      <c r="MD183" s="262"/>
      <c r="ME183" s="262"/>
      <c r="MF183" s="262"/>
      <c r="MG183" s="262"/>
      <c r="MH183" s="262"/>
      <c r="MI183" s="262"/>
      <c r="MJ183" s="262"/>
      <c r="MK183" s="262"/>
      <c r="ML183" s="262"/>
      <c r="MM183" s="262"/>
      <c r="MN183" s="262"/>
      <c r="MO183" s="262"/>
      <c r="MP183" s="262"/>
      <c r="MQ183" s="262"/>
      <c r="MR183" s="262"/>
      <c r="MS183" s="262"/>
      <c r="MT183" s="262"/>
      <c r="MU183" s="262"/>
      <c r="MV183" s="262"/>
      <c r="MW183" s="262"/>
      <c r="MX183" s="262"/>
      <c r="MY183" s="262"/>
      <c r="MZ183" s="262"/>
      <c r="NA183" s="262"/>
      <c r="NB183" s="262"/>
      <c r="NC183" s="262"/>
      <c r="ND183" s="262"/>
      <c r="NE183" s="262"/>
      <c r="NF183" s="262"/>
      <c r="NG183" s="262"/>
      <c r="NH183" s="262"/>
      <c r="NI183" s="262"/>
      <c r="NJ183" s="262"/>
      <c r="NK183" s="262"/>
      <c r="NL183" s="262"/>
      <c r="NM183" s="262"/>
      <c r="NN183" s="262"/>
      <c r="NO183" s="262"/>
      <c r="NP183" s="262"/>
      <c r="NQ183" s="262"/>
      <c r="NR183" s="262"/>
      <c r="NS183" s="262"/>
      <c r="NT183" s="262"/>
      <c r="NU183" s="262"/>
      <c r="NV183" s="262"/>
      <c r="NW183" s="262"/>
      <c r="NX183" s="262"/>
      <c r="NY183" s="262"/>
      <c r="NZ183" s="262"/>
      <c r="OA183" s="262"/>
      <c r="OB183" s="262"/>
      <c r="OC183" s="262"/>
      <c r="OD183" s="262"/>
      <c r="OE183" s="262"/>
      <c r="OF183" s="262"/>
      <c r="OG183" s="262"/>
      <c r="OH183" s="262"/>
      <c r="OI183" s="262"/>
      <c r="OJ183" s="262"/>
      <c r="OK183" s="262"/>
      <c r="OL183" s="262"/>
      <c r="OM183" s="262"/>
      <c r="ON183" s="262"/>
      <c r="OO183" s="262"/>
      <c r="OP183" s="262"/>
      <c r="OQ183" s="262"/>
      <c r="OR183" s="262"/>
      <c r="OS183" s="262"/>
      <c r="OT183" s="262"/>
      <c r="OU183" s="262"/>
      <c r="OV183" s="262"/>
      <c r="OW183" s="262"/>
      <c r="OX183" s="262"/>
      <c r="OY183" s="262"/>
      <c r="OZ183" s="262"/>
      <c r="PA183" s="262"/>
      <c r="PB183" s="262"/>
      <c r="PC183" s="262"/>
      <c r="PD183" s="262"/>
      <c r="PE183" s="262"/>
      <c r="PF183" s="262"/>
      <c r="PG183" s="262"/>
      <c r="PH183" s="262"/>
    </row>
    <row r="184" spans="1:424" x14ac:dyDescent="0.35">
      <c r="A184"/>
      <c r="B184" s="34"/>
      <c r="C184" s="400"/>
      <c r="D184" s="400"/>
      <c r="E184" s="502"/>
      <c r="F184" s="502"/>
      <c r="G184" s="40"/>
      <c r="H184" s="40"/>
      <c r="I184" s="40"/>
      <c r="J184" s="395"/>
      <c r="K184" s="396"/>
      <c r="L184" s="396"/>
      <c r="M184" s="396"/>
      <c r="N184" s="396"/>
      <c r="O184" s="396"/>
      <c r="P184" s="396"/>
      <c r="Q184" s="396"/>
      <c r="R184" s="396"/>
      <c r="S184" s="396"/>
      <c r="T184" s="396"/>
      <c r="U184" s="396"/>
      <c r="V184" s="396"/>
      <c r="W184" s="396"/>
      <c r="X184" s="396"/>
      <c r="Y184" s="396"/>
      <c r="Z184" s="396"/>
      <c r="AA184" s="396"/>
      <c r="AB184" s="396"/>
      <c r="AC184" s="396"/>
      <c r="AD184" s="396"/>
      <c r="AE184" s="396"/>
      <c r="AF184" s="396"/>
      <c r="AG184" s="396"/>
      <c r="AH184" s="396"/>
      <c r="AI184" s="396"/>
      <c r="AJ184" s="396"/>
      <c r="AK184" s="396"/>
      <c r="AL184" s="396"/>
      <c r="AM184" s="396"/>
      <c r="AN184" s="396"/>
      <c r="AO184" s="396"/>
      <c r="AP184" s="396"/>
      <c r="AQ184" s="396"/>
      <c r="AR184" s="396"/>
      <c r="AS184" s="396"/>
      <c r="AT184" s="396"/>
      <c r="AU184" s="396"/>
      <c r="AV184" s="396"/>
      <c r="AW184" s="396"/>
      <c r="AX184" s="396"/>
      <c r="AY184" s="396"/>
      <c r="AZ184" s="396"/>
      <c r="BA184" s="396"/>
      <c r="BB184" s="396"/>
      <c r="BC184" s="396"/>
      <c r="BD184" s="396"/>
      <c r="BE184" s="396"/>
      <c r="BF184" s="396"/>
      <c r="BG184" s="396"/>
      <c r="BH184" s="396"/>
      <c r="BI184" s="396"/>
      <c r="BJ184" s="396"/>
      <c r="BK184" s="396"/>
      <c r="BL184" s="396"/>
      <c r="BM184" s="396"/>
      <c r="BN184" s="396"/>
      <c r="BO184" s="396"/>
      <c r="BP184" s="396"/>
      <c r="BQ184" s="396"/>
      <c r="BR184" s="396"/>
      <c r="BS184" s="396"/>
      <c r="BT184" s="396"/>
      <c r="BU184" s="396"/>
      <c r="BV184" s="396"/>
      <c r="BW184" s="396"/>
      <c r="BX184" s="396"/>
      <c r="BY184" s="396"/>
      <c r="BZ184" s="396"/>
      <c r="CA184" s="396"/>
      <c r="CB184" s="396"/>
      <c r="CC184" s="396"/>
      <c r="CD184" s="396"/>
      <c r="CE184" s="396"/>
      <c r="CF184" s="396"/>
      <c r="CG184" s="396"/>
      <c r="CH184" s="396"/>
      <c r="CI184" s="396"/>
      <c r="CJ184" s="396"/>
      <c r="CK184" s="396"/>
      <c r="CL184" s="396"/>
      <c r="CM184" s="396"/>
      <c r="CN184" s="396"/>
      <c r="CO184" s="396"/>
      <c r="CP184" s="396"/>
      <c r="CQ184" s="396"/>
      <c r="CR184" s="396"/>
      <c r="CS184" s="396"/>
      <c r="CT184" s="396"/>
      <c r="CU184" s="396"/>
      <c r="CV184" s="396"/>
      <c r="CW184" s="396"/>
      <c r="CX184" s="396"/>
      <c r="CY184" s="396"/>
      <c r="CZ184" s="396"/>
      <c r="DA184" s="396"/>
      <c r="DB184" s="396"/>
      <c r="DC184" s="396"/>
      <c r="DD184" s="396"/>
      <c r="DE184" s="396"/>
      <c r="DF184" s="396"/>
      <c r="DG184" s="396"/>
      <c r="DH184" s="396"/>
      <c r="DI184" s="396"/>
      <c r="DJ184" s="396"/>
      <c r="DK184" s="396"/>
      <c r="DL184" s="396"/>
      <c r="DM184" s="396"/>
      <c r="DN184" s="396"/>
      <c r="DO184" s="396"/>
      <c r="DP184" s="396"/>
      <c r="DQ184" s="396"/>
      <c r="DR184" s="396"/>
      <c r="DS184" s="396"/>
      <c r="DT184" s="396"/>
      <c r="DU184" s="396"/>
      <c r="DV184" s="396"/>
      <c r="DW184" s="396"/>
      <c r="DX184" s="396"/>
      <c r="DY184" s="396"/>
      <c r="DZ184" s="396"/>
      <c r="EA184" s="396"/>
      <c r="EB184" s="396"/>
      <c r="EC184" s="396"/>
      <c r="ED184" s="396"/>
      <c r="EE184" s="396"/>
      <c r="EF184" s="396"/>
      <c r="EG184" s="396"/>
      <c r="EH184" s="396"/>
      <c r="EI184" s="396"/>
      <c r="EJ184" s="396"/>
      <c r="EK184" s="396"/>
      <c r="EL184" s="396"/>
      <c r="EM184" s="396"/>
      <c r="EN184" s="396"/>
      <c r="EO184" s="396"/>
      <c r="EP184" s="219"/>
      <c r="EQ184" s="18"/>
      <c r="ER184" s="18"/>
      <c r="ES184" s="18"/>
      <c r="ET184" s="18"/>
      <c r="EU184" s="18"/>
      <c r="EV184" s="18"/>
      <c r="EW184" s="18"/>
      <c r="EX184" s="18"/>
      <c r="EY184" s="18"/>
      <c r="EZ184" s="18"/>
      <c r="FA184" s="18"/>
      <c r="FB184" s="18"/>
      <c r="FC184" s="18"/>
      <c r="FD184" s="18"/>
      <c r="FE184" s="18"/>
      <c r="FF184" s="18"/>
      <c r="FG184" s="18"/>
      <c r="FH184" s="18"/>
      <c r="FI184" s="18"/>
      <c r="FJ184" s="18"/>
      <c r="FK184" s="18"/>
      <c r="FL184" s="18"/>
      <c r="FM184" s="18"/>
      <c r="FN184" s="18"/>
      <c r="FO184" s="18"/>
      <c r="FP184" s="18"/>
      <c r="FQ184" s="18"/>
      <c r="FR184" s="18"/>
      <c r="FS184" s="18"/>
      <c r="FT184" s="18"/>
      <c r="FU184" s="18"/>
      <c r="FV184" s="18"/>
      <c r="FW184" s="18"/>
      <c r="FX184" s="18"/>
      <c r="FY184" s="18"/>
      <c r="FZ184" s="18"/>
      <c r="GA184" s="18"/>
      <c r="GB184" s="18"/>
      <c r="GC184" s="18"/>
      <c r="GD184" s="18"/>
      <c r="GE184" s="18"/>
      <c r="GF184" s="18"/>
      <c r="GG184" s="18"/>
      <c r="GH184" s="18"/>
      <c r="GI184" s="18"/>
      <c r="GJ184" s="18"/>
      <c r="GK184" s="18"/>
      <c r="GL184" s="18"/>
      <c r="GM184" s="18"/>
      <c r="GN184" s="18"/>
      <c r="GO184" s="18"/>
      <c r="GP184" s="18"/>
      <c r="GQ184" s="18"/>
      <c r="GR184" s="18"/>
      <c r="GS184" s="18"/>
      <c r="GT184" s="18"/>
      <c r="GU184" s="18"/>
      <c r="GV184" s="18"/>
      <c r="GW184" s="18"/>
      <c r="GX184" s="18"/>
      <c r="GY184" s="18"/>
      <c r="GZ184" s="18"/>
      <c r="HA184" s="18"/>
      <c r="HB184" s="18"/>
      <c r="HC184" s="18"/>
      <c r="HD184" s="18"/>
      <c r="HE184" s="18"/>
      <c r="HF184" s="18"/>
      <c r="HG184" s="18"/>
      <c r="HH184" s="18"/>
      <c r="HI184" s="18"/>
      <c r="HJ184" s="18"/>
      <c r="HK184" s="18"/>
      <c r="HL184" s="18"/>
      <c r="HM184" s="18"/>
      <c r="HN184" s="18"/>
      <c r="HO184" s="18"/>
      <c r="HP184" s="18"/>
      <c r="HQ184" s="18"/>
      <c r="HR184" s="18"/>
      <c r="HS184" s="18"/>
      <c r="HT184" s="18"/>
      <c r="HU184" s="18"/>
      <c r="HV184" s="18"/>
      <c r="HW184" s="18"/>
      <c r="HX184" s="18"/>
      <c r="HY184" s="18"/>
      <c r="HZ184" s="18"/>
      <c r="IA184" s="18"/>
      <c r="IB184" s="18"/>
      <c r="IC184" s="18"/>
      <c r="ID184" s="18"/>
      <c r="IE184" s="18"/>
      <c r="IF184" s="18"/>
      <c r="IG184" s="18"/>
      <c r="IH184" s="18"/>
      <c r="II184" s="18"/>
      <c r="IJ184" s="18"/>
      <c r="IK184" s="18"/>
      <c r="IL184" s="18"/>
      <c r="IM184" s="18"/>
      <c r="IN184" s="18"/>
      <c r="IO184" s="18"/>
      <c r="IP184" s="18"/>
      <c r="IQ184" s="18"/>
      <c r="IR184" s="18"/>
      <c r="IS184" s="18"/>
      <c r="IT184" s="18"/>
      <c r="IU184" s="18"/>
      <c r="IV184" s="18"/>
      <c r="IW184" s="18"/>
      <c r="IX184" s="18"/>
      <c r="IY184" s="18"/>
      <c r="IZ184" s="18"/>
      <c r="JA184" s="18"/>
      <c r="JB184" s="18"/>
      <c r="JC184" s="18"/>
      <c r="JD184" s="18"/>
      <c r="JE184" s="18"/>
      <c r="JF184" s="18"/>
      <c r="JG184" s="18"/>
      <c r="JH184" s="18"/>
      <c r="JI184" s="18"/>
      <c r="JJ184" s="18"/>
      <c r="JK184" s="18"/>
      <c r="JL184" s="18"/>
      <c r="JM184" s="18"/>
      <c r="JN184" s="18"/>
      <c r="JO184" s="18"/>
      <c r="JP184" s="18"/>
      <c r="JQ184" s="18"/>
      <c r="JR184" s="18"/>
      <c r="JS184" s="18"/>
      <c r="JT184" s="18"/>
      <c r="JU184" s="18"/>
      <c r="JV184" s="18"/>
      <c r="JW184" s="18"/>
      <c r="JX184" s="18"/>
      <c r="JY184"/>
      <c r="JZ184" s="262"/>
      <c r="KA184" s="262"/>
      <c r="KB184" s="262"/>
      <c r="KC184" s="262"/>
      <c r="KD184" s="262"/>
      <c r="KE184" s="262"/>
      <c r="KF184" s="262"/>
      <c r="KG184" s="262"/>
      <c r="KH184" s="262"/>
      <c r="KI184" s="262"/>
      <c r="KJ184" s="262"/>
      <c r="KK184" s="262"/>
      <c r="KL184" s="262"/>
      <c r="KM184" s="262"/>
      <c r="KN184" s="262"/>
      <c r="KO184" s="262"/>
      <c r="KP184" s="262"/>
      <c r="KQ184" s="262"/>
      <c r="KR184" s="262"/>
      <c r="KS184" s="262"/>
      <c r="KT184" s="262"/>
      <c r="KU184" s="262"/>
      <c r="KV184" s="262"/>
      <c r="KW184" s="262"/>
      <c r="KX184" s="262"/>
      <c r="KY184" s="262"/>
      <c r="KZ184" s="262"/>
      <c r="LA184" s="262"/>
      <c r="LB184" s="262"/>
      <c r="LC184" s="262"/>
      <c r="LD184" s="262"/>
      <c r="LE184" s="262"/>
      <c r="LF184" s="262"/>
      <c r="LG184" s="262"/>
      <c r="LH184" s="262"/>
      <c r="LI184" s="262"/>
      <c r="LJ184" s="262"/>
      <c r="LK184" s="262"/>
      <c r="LL184" s="262"/>
      <c r="LM184" s="262"/>
      <c r="LN184" s="262"/>
      <c r="LO184" s="262"/>
      <c r="LP184" s="262"/>
      <c r="LQ184" s="262"/>
      <c r="LR184" s="262"/>
      <c r="LS184" s="262"/>
      <c r="LT184" s="262"/>
      <c r="LU184" s="262"/>
      <c r="LV184" s="262"/>
      <c r="LW184" s="262"/>
      <c r="LX184" s="262"/>
      <c r="LY184" s="262"/>
      <c r="LZ184" s="262"/>
      <c r="MA184" s="262"/>
      <c r="MB184" s="262"/>
      <c r="MC184" s="262"/>
      <c r="MD184" s="262"/>
      <c r="ME184" s="262"/>
      <c r="MF184" s="262"/>
      <c r="MG184" s="262"/>
      <c r="MH184" s="262"/>
      <c r="MI184" s="262"/>
      <c r="MJ184" s="262"/>
      <c r="MK184" s="262"/>
      <c r="ML184" s="262"/>
      <c r="MM184" s="262"/>
      <c r="MN184" s="262"/>
      <c r="MO184" s="262"/>
      <c r="MP184" s="262"/>
      <c r="MQ184" s="262"/>
      <c r="MR184" s="262"/>
      <c r="MS184" s="262"/>
      <c r="MT184" s="262"/>
      <c r="MU184" s="262"/>
      <c r="MV184" s="262"/>
      <c r="MW184" s="262"/>
      <c r="MX184" s="262"/>
      <c r="MY184" s="262"/>
      <c r="MZ184" s="262"/>
      <c r="NA184" s="262"/>
      <c r="NB184" s="262"/>
      <c r="NC184" s="262"/>
      <c r="ND184" s="262"/>
      <c r="NE184" s="262"/>
      <c r="NF184" s="262"/>
      <c r="NG184" s="262"/>
      <c r="NH184" s="262"/>
      <c r="NI184" s="262"/>
      <c r="NJ184" s="262"/>
      <c r="NK184" s="262"/>
      <c r="NL184" s="262"/>
      <c r="NM184" s="262"/>
      <c r="NN184" s="262"/>
      <c r="NO184" s="262"/>
      <c r="NP184" s="262"/>
      <c r="NQ184" s="262"/>
      <c r="NR184" s="262"/>
      <c r="NS184" s="262"/>
      <c r="NT184" s="262"/>
      <c r="NU184" s="262"/>
      <c r="NV184" s="262"/>
      <c r="NW184" s="262"/>
      <c r="NX184" s="262"/>
      <c r="NY184" s="262"/>
      <c r="NZ184" s="262"/>
      <c r="OA184" s="262"/>
      <c r="OB184" s="262"/>
      <c r="OC184" s="262"/>
      <c r="OD184" s="262"/>
      <c r="OE184" s="262"/>
      <c r="OF184" s="262"/>
      <c r="OG184" s="262"/>
      <c r="OH184" s="262"/>
      <c r="OI184" s="262"/>
      <c r="OJ184" s="262"/>
      <c r="OK184" s="262"/>
      <c r="OL184" s="262"/>
      <c r="OM184" s="262"/>
      <c r="ON184" s="262"/>
      <c r="OO184" s="262"/>
      <c r="OP184" s="262"/>
      <c r="OQ184" s="262"/>
      <c r="OR184" s="262"/>
      <c r="OS184" s="262"/>
      <c r="OT184" s="262"/>
      <c r="OU184" s="262"/>
      <c r="OV184" s="262"/>
      <c r="OW184" s="262"/>
      <c r="OX184" s="262"/>
      <c r="OY184" s="262"/>
      <c r="OZ184" s="262"/>
      <c r="PA184" s="262"/>
      <c r="PB184" s="262"/>
      <c r="PC184" s="262"/>
      <c r="PD184" s="262"/>
      <c r="PE184" s="262"/>
      <c r="PF184" s="262"/>
      <c r="PG184" s="262"/>
      <c r="PH184" s="262"/>
    </row>
    <row r="185" spans="1:424" x14ac:dyDescent="0.35">
      <c r="A185"/>
      <c r="B185" s="444" t="str">
        <f>B155</f>
        <v>CASH FLOW FROM OPERATIONS</v>
      </c>
      <c r="C185" s="400"/>
      <c r="D185" s="514"/>
      <c r="E185" s="514"/>
      <c r="F185" s="514"/>
      <c r="G185" s="40"/>
      <c r="H185" s="445">
        <f>+H179-H183</f>
        <v>45541921.747395799</v>
      </c>
      <c r="I185" s="424">
        <f>+I179-I183</f>
        <v>48760832.658451453</v>
      </c>
      <c r="J185" s="395"/>
      <c r="K185" s="396"/>
      <c r="L185" s="396"/>
      <c r="M185" s="396"/>
      <c r="N185" s="396"/>
      <c r="O185" s="396"/>
      <c r="P185" s="396"/>
      <c r="Q185" s="396"/>
      <c r="R185" s="396"/>
      <c r="S185" s="396"/>
      <c r="T185" s="396"/>
      <c r="U185" s="396"/>
      <c r="V185" s="396"/>
      <c r="W185" s="396"/>
      <c r="X185" s="396"/>
      <c r="Y185" s="396"/>
      <c r="Z185" s="396"/>
      <c r="AA185" s="396"/>
      <c r="AB185" s="396"/>
      <c r="AC185" s="396"/>
      <c r="AD185" s="396"/>
      <c r="AE185" s="396"/>
      <c r="AF185" s="396"/>
      <c r="AG185" s="396"/>
      <c r="AH185" s="396"/>
      <c r="AI185" s="396"/>
      <c r="AJ185" s="396"/>
      <c r="AK185" s="396"/>
      <c r="AL185" s="396"/>
      <c r="AM185" s="396"/>
      <c r="AN185" s="396"/>
      <c r="AO185" s="396"/>
      <c r="AP185" s="396"/>
      <c r="AQ185" s="396"/>
      <c r="AR185" s="396"/>
      <c r="AS185" s="396"/>
      <c r="AT185" s="396"/>
      <c r="AU185" s="396"/>
      <c r="AV185" s="396"/>
      <c r="AW185" s="396"/>
      <c r="AX185" s="396"/>
      <c r="AY185" s="396"/>
      <c r="AZ185" s="396"/>
      <c r="BA185" s="396"/>
      <c r="BB185" s="396"/>
      <c r="BC185" s="396"/>
      <c r="BD185" s="396"/>
      <c r="BE185" s="396"/>
      <c r="BF185" s="396"/>
      <c r="BG185" s="396"/>
      <c r="BH185" s="396"/>
      <c r="BI185" s="396"/>
      <c r="BJ185" s="396"/>
      <c r="BK185" s="396"/>
      <c r="BL185" s="396"/>
      <c r="BM185" s="396"/>
      <c r="BN185" s="396"/>
      <c r="BO185" s="396"/>
      <c r="BP185" s="396"/>
      <c r="BQ185" s="396"/>
      <c r="BR185" s="396"/>
      <c r="BS185" s="396"/>
      <c r="BT185" s="396"/>
      <c r="BU185" s="396"/>
      <c r="BV185" s="396"/>
      <c r="BW185" s="396"/>
      <c r="BX185" s="396"/>
      <c r="BY185" s="396"/>
      <c r="BZ185" s="396"/>
      <c r="CA185" s="396"/>
      <c r="CB185" s="396"/>
      <c r="CC185" s="396"/>
      <c r="CD185" s="396"/>
      <c r="CE185" s="396"/>
      <c r="CF185" s="396"/>
      <c r="CG185" s="396"/>
      <c r="CH185" s="396"/>
      <c r="CI185" s="396"/>
      <c r="CJ185" s="396"/>
      <c r="CK185" s="396"/>
      <c r="CL185" s="396"/>
      <c r="CM185" s="396"/>
      <c r="CN185" s="396"/>
      <c r="CO185" s="396"/>
      <c r="CP185" s="396"/>
      <c r="CQ185" s="396"/>
      <c r="CR185" s="396"/>
      <c r="CS185" s="396"/>
      <c r="CT185" s="396"/>
      <c r="CU185" s="396"/>
      <c r="CV185" s="396"/>
      <c r="CW185" s="396"/>
      <c r="CX185" s="396"/>
      <c r="CY185" s="396"/>
      <c r="CZ185" s="396"/>
      <c r="DA185" s="396"/>
      <c r="DB185" s="396"/>
      <c r="DC185" s="396"/>
      <c r="DD185" s="396"/>
      <c r="DE185" s="396"/>
      <c r="DF185" s="396"/>
      <c r="DG185" s="396"/>
      <c r="DH185" s="396"/>
      <c r="DI185" s="396"/>
      <c r="DJ185" s="396"/>
      <c r="DK185" s="396"/>
      <c r="DL185" s="396"/>
      <c r="DM185" s="396"/>
      <c r="DN185" s="396"/>
      <c r="DO185" s="396"/>
      <c r="DP185" s="396"/>
      <c r="DQ185" s="396"/>
      <c r="DR185" s="396"/>
      <c r="DS185" s="396"/>
      <c r="DT185" s="396"/>
      <c r="DU185" s="396"/>
      <c r="DV185" s="396"/>
      <c r="DW185" s="396"/>
      <c r="DX185" s="396"/>
      <c r="DY185" s="396"/>
      <c r="DZ185" s="396"/>
      <c r="EA185" s="396"/>
      <c r="EB185" s="396"/>
      <c r="EC185" s="396"/>
      <c r="ED185" s="396"/>
      <c r="EE185" s="396"/>
      <c r="EF185" s="396"/>
      <c r="EG185" s="396"/>
      <c r="EH185" s="396"/>
      <c r="EI185" s="396"/>
      <c r="EJ185" s="396"/>
      <c r="EK185" s="396"/>
      <c r="EL185" s="396"/>
      <c r="EM185" s="396"/>
      <c r="EN185" s="396"/>
      <c r="EO185" s="396"/>
      <c r="EP185" s="219"/>
      <c r="EQ185" s="18"/>
      <c r="ER185" s="18"/>
      <c r="ES185" s="18"/>
      <c r="ET185" s="18"/>
      <c r="EU185" s="18"/>
      <c r="EV185" s="18"/>
      <c r="EW185" s="18"/>
      <c r="EX185" s="18"/>
      <c r="EY185" s="18"/>
      <c r="EZ185" s="18"/>
      <c r="FA185" s="18"/>
      <c r="FB185" s="18"/>
      <c r="FC185" s="18"/>
      <c r="FD185" s="18"/>
      <c r="FE185" s="18"/>
      <c r="FF185" s="18"/>
      <c r="FG185" s="18"/>
      <c r="FH185" s="18"/>
      <c r="FI185" s="18"/>
      <c r="FJ185" s="18"/>
      <c r="FK185" s="18"/>
      <c r="FL185" s="18"/>
      <c r="FM185" s="18"/>
      <c r="FN185" s="18"/>
      <c r="FO185" s="18"/>
      <c r="FP185" s="18"/>
      <c r="FQ185" s="18"/>
      <c r="FR185" s="18"/>
      <c r="FS185" s="18"/>
      <c r="FT185" s="18"/>
      <c r="FU185" s="18"/>
      <c r="FV185" s="18"/>
      <c r="FW185" s="18"/>
      <c r="FX185" s="18"/>
      <c r="FY185" s="18"/>
      <c r="FZ185" s="18"/>
      <c r="GA185" s="18"/>
      <c r="GB185" s="18"/>
      <c r="GC185" s="18"/>
      <c r="GD185" s="18"/>
      <c r="GE185" s="18"/>
      <c r="GF185" s="18"/>
      <c r="GG185" s="18"/>
      <c r="GH185" s="18"/>
      <c r="GI185" s="18"/>
      <c r="GJ185" s="18"/>
      <c r="GK185" s="18"/>
      <c r="GL185" s="18"/>
      <c r="GM185" s="18"/>
      <c r="GN185" s="18"/>
      <c r="GO185" s="18"/>
      <c r="GP185" s="18"/>
      <c r="GQ185" s="18"/>
      <c r="GR185" s="18"/>
      <c r="GS185" s="18"/>
      <c r="GT185" s="18"/>
      <c r="GU185" s="18"/>
      <c r="GV185" s="18"/>
      <c r="GW185" s="18"/>
      <c r="GX185" s="18"/>
      <c r="GY185" s="18"/>
      <c r="GZ185" s="18"/>
      <c r="HA185" s="18"/>
      <c r="HB185" s="18"/>
      <c r="HC185" s="18"/>
      <c r="HD185" s="18"/>
      <c r="HE185" s="18"/>
      <c r="HF185" s="18"/>
      <c r="HG185" s="18"/>
      <c r="HH185" s="18"/>
      <c r="HI185" s="18"/>
      <c r="HJ185" s="18"/>
      <c r="HK185" s="18"/>
      <c r="HL185" s="18"/>
      <c r="HM185" s="18"/>
      <c r="HN185" s="18"/>
      <c r="HO185" s="18"/>
      <c r="HP185" s="18"/>
      <c r="HQ185" s="18"/>
      <c r="HR185" s="18"/>
      <c r="HS185" s="18"/>
      <c r="HT185" s="18"/>
      <c r="HU185" s="18"/>
      <c r="HV185" s="18"/>
      <c r="HW185" s="18"/>
      <c r="HX185" s="18"/>
      <c r="HY185" s="18"/>
      <c r="HZ185" s="18"/>
      <c r="IA185" s="18"/>
      <c r="IB185" s="18"/>
      <c r="IC185" s="18"/>
      <c r="ID185" s="18"/>
      <c r="IE185" s="18"/>
      <c r="IF185" s="18"/>
      <c r="IG185" s="18"/>
      <c r="IH185" s="18"/>
      <c r="II185" s="18"/>
      <c r="IJ185" s="18"/>
      <c r="IK185" s="18"/>
      <c r="IL185" s="18"/>
      <c r="IM185" s="18"/>
      <c r="IN185" s="18"/>
      <c r="IO185" s="18"/>
      <c r="IP185" s="18"/>
      <c r="IQ185" s="18"/>
      <c r="IR185" s="18"/>
      <c r="IS185" s="18"/>
      <c r="IT185" s="18"/>
      <c r="IU185" s="18"/>
      <c r="IV185" s="18"/>
      <c r="IW185" s="18"/>
      <c r="IX185" s="18"/>
      <c r="IY185" s="18"/>
      <c r="IZ185" s="18"/>
      <c r="JA185" s="18"/>
      <c r="JB185" s="18"/>
      <c r="JC185" s="18"/>
      <c r="JD185" s="18"/>
      <c r="JE185" s="18"/>
      <c r="JF185" s="18"/>
      <c r="JG185" s="18"/>
      <c r="JH185" s="18"/>
      <c r="JI185" s="18"/>
      <c r="JJ185" s="18"/>
      <c r="JK185" s="18"/>
      <c r="JL185" s="18"/>
      <c r="JM185" s="18"/>
      <c r="JN185" s="18"/>
      <c r="JO185" s="18"/>
      <c r="JP185" s="18"/>
      <c r="JQ185" s="18"/>
      <c r="JR185" s="18"/>
      <c r="JS185" s="18"/>
      <c r="JT185" s="18"/>
      <c r="JU185" s="18"/>
      <c r="JV185" s="18"/>
      <c r="JW185" s="18"/>
      <c r="JX185" s="18"/>
      <c r="JY185"/>
      <c r="JZ185" s="262"/>
      <c r="KA185" s="262"/>
      <c r="KB185" s="262"/>
      <c r="KC185" s="262"/>
      <c r="KD185" s="262"/>
      <c r="KE185" s="262"/>
      <c r="KF185" s="262"/>
      <c r="KG185" s="262"/>
      <c r="KH185" s="262"/>
      <c r="KI185" s="262"/>
      <c r="KJ185" s="262"/>
      <c r="KK185" s="262"/>
      <c r="KL185" s="262"/>
      <c r="KM185" s="262"/>
      <c r="KN185" s="262"/>
      <c r="KO185" s="262"/>
      <c r="KP185" s="262"/>
      <c r="KQ185" s="262"/>
      <c r="KR185" s="262"/>
      <c r="KS185" s="262"/>
      <c r="KT185" s="262"/>
      <c r="KU185" s="262"/>
      <c r="KV185" s="262"/>
      <c r="KW185" s="262"/>
      <c r="KX185" s="262"/>
      <c r="KY185" s="262"/>
      <c r="KZ185" s="262"/>
      <c r="LA185" s="262"/>
      <c r="LB185" s="262"/>
      <c r="LC185" s="262"/>
      <c r="LD185" s="262"/>
      <c r="LE185" s="262"/>
      <c r="LF185" s="262"/>
      <c r="LG185" s="262"/>
      <c r="LH185" s="262"/>
      <c r="LI185" s="262"/>
      <c r="LJ185" s="262"/>
      <c r="LK185" s="262"/>
      <c r="LL185" s="262"/>
      <c r="LM185" s="262"/>
      <c r="LN185" s="262"/>
      <c r="LO185" s="262"/>
      <c r="LP185" s="262"/>
      <c r="LQ185" s="262"/>
      <c r="LR185" s="262"/>
      <c r="LS185" s="262"/>
      <c r="LT185" s="262"/>
      <c r="LU185" s="262"/>
      <c r="LV185" s="262"/>
      <c r="LW185" s="262"/>
      <c r="LX185" s="262"/>
      <c r="LY185" s="262"/>
      <c r="LZ185" s="262"/>
      <c r="MA185" s="262"/>
      <c r="MB185" s="262"/>
      <c r="MC185" s="262"/>
      <c r="MD185" s="262"/>
      <c r="ME185" s="262"/>
      <c r="MF185" s="262"/>
      <c r="MG185" s="262"/>
      <c r="MH185" s="262"/>
      <c r="MI185" s="262"/>
      <c r="MJ185" s="262"/>
      <c r="MK185" s="262"/>
      <c r="ML185" s="262"/>
      <c r="MM185" s="262"/>
      <c r="MN185" s="262"/>
      <c r="MO185" s="262"/>
      <c r="MP185" s="262"/>
      <c r="MQ185" s="262"/>
      <c r="MR185" s="262"/>
      <c r="MS185" s="262"/>
      <c r="MT185" s="262"/>
      <c r="MU185" s="262"/>
      <c r="MV185" s="262"/>
      <c r="MW185" s="262"/>
      <c r="MX185" s="262"/>
      <c r="MY185" s="262"/>
      <c r="MZ185" s="262"/>
      <c r="NA185" s="262"/>
      <c r="NB185" s="262"/>
      <c r="NC185" s="262"/>
      <c r="ND185" s="262"/>
      <c r="NE185" s="262"/>
      <c r="NF185" s="262"/>
      <c r="NG185" s="262"/>
      <c r="NH185" s="262"/>
      <c r="NI185" s="262"/>
      <c r="NJ185" s="262"/>
      <c r="NK185" s="262"/>
      <c r="NL185" s="262"/>
      <c r="NM185" s="262"/>
      <c r="NN185" s="262"/>
      <c r="NO185" s="262"/>
      <c r="NP185" s="262"/>
      <c r="NQ185" s="262"/>
      <c r="NR185" s="262"/>
      <c r="NS185" s="262"/>
      <c r="NT185" s="262"/>
      <c r="NU185" s="262"/>
      <c r="NV185" s="262"/>
      <c r="NW185" s="262"/>
      <c r="NX185" s="262"/>
      <c r="NY185" s="262"/>
      <c r="NZ185" s="262"/>
      <c r="OA185" s="262"/>
      <c r="OB185" s="262"/>
      <c r="OC185" s="262"/>
      <c r="OD185" s="262"/>
      <c r="OE185" s="262"/>
      <c r="OF185" s="262"/>
      <c r="OG185" s="262"/>
      <c r="OH185" s="262"/>
      <c r="OI185" s="262"/>
      <c r="OJ185" s="262"/>
      <c r="OK185" s="262"/>
      <c r="OL185" s="262"/>
      <c r="OM185" s="262"/>
      <c r="ON185" s="262"/>
      <c r="OO185" s="262"/>
      <c r="OP185" s="262"/>
      <c r="OQ185" s="262"/>
      <c r="OR185" s="262"/>
      <c r="OS185" s="262"/>
      <c r="OT185" s="262"/>
      <c r="OU185" s="262"/>
      <c r="OV185" s="262"/>
      <c r="OW185" s="262"/>
      <c r="OX185" s="262"/>
      <c r="OY185" s="262"/>
      <c r="OZ185" s="262"/>
      <c r="PA185" s="262"/>
      <c r="PB185" s="262"/>
      <c r="PC185" s="262"/>
      <c r="PD185" s="262"/>
      <c r="PE185" s="262"/>
      <c r="PF185" s="262"/>
      <c r="PG185" s="262"/>
      <c r="PH185" s="262"/>
    </row>
    <row r="186" spans="1:424" x14ac:dyDescent="0.35">
      <c r="A186"/>
      <c r="B186" s="444"/>
      <c r="C186" s="400"/>
      <c r="D186" s="514"/>
      <c r="E186" s="514"/>
      <c r="F186" s="514"/>
      <c r="G186" s="40"/>
      <c r="H186" s="40"/>
      <c r="I186" s="41"/>
      <c r="J186" s="395"/>
      <c r="K186" s="396"/>
      <c r="L186" s="396"/>
      <c r="M186" s="396"/>
      <c r="N186" s="396"/>
      <c r="O186" s="396"/>
      <c r="P186" s="396"/>
      <c r="Q186" s="396"/>
      <c r="R186" s="396"/>
      <c r="S186" s="396"/>
      <c r="T186" s="396"/>
      <c r="U186" s="396"/>
      <c r="V186" s="396"/>
      <c r="W186" s="396"/>
      <c r="X186" s="396"/>
      <c r="Y186" s="396"/>
      <c r="Z186" s="396"/>
      <c r="AA186" s="396"/>
      <c r="AB186" s="396"/>
      <c r="AC186" s="396"/>
      <c r="AD186" s="396"/>
      <c r="AE186" s="396"/>
      <c r="AF186" s="396"/>
      <c r="AG186" s="396"/>
      <c r="AH186" s="396"/>
      <c r="AI186" s="396"/>
      <c r="AJ186" s="396"/>
      <c r="AK186" s="396"/>
      <c r="AL186" s="396"/>
      <c r="AM186" s="396"/>
      <c r="AN186" s="396"/>
      <c r="AO186" s="396"/>
      <c r="AP186" s="396"/>
      <c r="AQ186" s="396"/>
      <c r="AR186" s="396"/>
      <c r="AS186" s="396"/>
      <c r="AT186" s="396"/>
      <c r="AU186" s="396"/>
      <c r="AV186" s="396"/>
      <c r="AW186" s="396"/>
      <c r="AX186" s="396"/>
      <c r="AY186" s="396"/>
      <c r="AZ186" s="396"/>
      <c r="BA186" s="396"/>
      <c r="BB186" s="396"/>
      <c r="BC186" s="396"/>
      <c r="BD186" s="396"/>
      <c r="BE186" s="396"/>
      <c r="BF186" s="396"/>
      <c r="BG186" s="396"/>
      <c r="BH186" s="396"/>
      <c r="BI186" s="396"/>
      <c r="BJ186" s="396"/>
      <c r="BK186" s="396"/>
      <c r="BL186" s="396"/>
      <c r="BM186" s="396"/>
      <c r="BN186" s="396"/>
      <c r="BO186" s="396"/>
      <c r="BP186" s="396"/>
      <c r="BQ186" s="396"/>
      <c r="BR186" s="396"/>
      <c r="BS186" s="396"/>
      <c r="BT186" s="396"/>
      <c r="BU186" s="396"/>
      <c r="BV186" s="396"/>
      <c r="BW186" s="396"/>
      <c r="BX186" s="396"/>
      <c r="BY186" s="396"/>
      <c r="BZ186" s="396"/>
      <c r="CA186" s="396"/>
      <c r="CB186" s="396"/>
      <c r="CC186" s="396"/>
      <c r="CD186" s="396"/>
      <c r="CE186" s="396"/>
      <c r="CF186" s="396"/>
      <c r="CG186" s="396"/>
      <c r="CH186" s="396"/>
      <c r="CI186" s="396"/>
      <c r="CJ186" s="396"/>
      <c r="CK186" s="396"/>
      <c r="CL186" s="396"/>
      <c r="CM186" s="396"/>
      <c r="CN186" s="396"/>
      <c r="CO186" s="396"/>
      <c r="CP186" s="396"/>
      <c r="CQ186" s="396"/>
      <c r="CR186" s="396"/>
      <c r="CS186" s="396"/>
      <c r="CT186" s="396"/>
      <c r="CU186" s="396"/>
      <c r="CV186" s="396"/>
      <c r="CW186" s="396"/>
      <c r="CX186" s="396"/>
      <c r="CY186" s="396"/>
      <c r="CZ186" s="396"/>
      <c r="DA186" s="396"/>
      <c r="DB186" s="396"/>
      <c r="DC186" s="396"/>
      <c r="DD186" s="396"/>
      <c r="DE186" s="396"/>
      <c r="DF186" s="396"/>
      <c r="DG186" s="396"/>
      <c r="DH186" s="396"/>
      <c r="DI186" s="396"/>
      <c r="DJ186" s="396"/>
      <c r="DK186" s="396"/>
      <c r="DL186" s="396"/>
      <c r="DM186" s="396"/>
      <c r="DN186" s="396"/>
      <c r="DO186" s="396"/>
      <c r="DP186" s="396"/>
      <c r="DQ186" s="396"/>
      <c r="DR186" s="396"/>
      <c r="DS186" s="396"/>
      <c r="DT186" s="396"/>
      <c r="DU186" s="396"/>
      <c r="DV186" s="396"/>
      <c r="DW186" s="396"/>
      <c r="DX186" s="396"/>
      <c r="DY186" s="396"/>
      <c r="DZ186" s="396"/>
      <c r="EA186" s="396"/>
      <c r="EB186" s="396"/>
      <c r="EC186" s="396"/>
      <c r="ED186" s="396"/>
      <c r="EE186" s="396"/>
      <c r="EF186" s="396"/>
      <c r="EG186" s="396"/>
      <c r="EH186" s="396"/>
      <c r="EI186" s="396"/>
      <c r="EJ186" s="396"/>
      <c r="EK186" s="396"/>
      <c r="EL186" s="396"/>
      <c r="EM186" s="396"/>
      <c r="EN186" s="396"/>
      <c r="EO186" s="396"/>
      <c r="EP186" s="219"/>
      <c r="EQ186" s="18"/>
      <c r="ER186" s="18"/>
      <c r="ES186" s="18"/>
      <c r="ET186" s="18"/>
      <c r="EU186" s="18"/>
      <c r="EV186" s="18"/>
      <c r="EW186" s="18"/>
      <c r="EX186" s="18"/>
      <c r="EY186" s="18"/>
      <c r="EZ186" s="18"/>
      <c r="FA186" s="18"/>
      <c r="FB186" s="18"/>
      <c r="FC186" s="18"/>
      <c r="FD186" s="18"/>
      <c r="FE186" s="18"/>
      <c r="FF186" s="18"/>
      <c r="FG186" s="18"/>
      <c r="FH186" s="18"/>
      <c r="FI186" s="18"/>
      <c r="FJ186" s="18"/>
      <c r="FK186" s="18"/>
      <c r="FL186" s="18"/>
      <c r="FM186" s="18"/>
      <c r="FN186" s="18"/>
      <c r="FO186" s="18"/>
      <c r="FP186" s="18"/>
      <c r="FQ186" s="18"/>
      <c r="FR186" s="18"/>
      <c r="FS186" s="18"/>
      <c r="FT186" s="18"/>
      <c r="FU186" s="18"/>
      <c r="FV186" s="18"/>
      <c r="FW186" s="18"/>
      <c r="FX186" s="18"/>
      <c r="FY186" s="18"/>
      <c r="FZ186" s="18"/>
      <c r="GA186" s="18"/>
      <c r="GB186" s="18"/>
      <c r="GC186" s="18"/>
      <c r="GD186" s="18"/>
      <c r="GE186" s="18"/>
      <c r="GF186" s="18"/>
      <c r="GG186" s="18"/>
      <c r="GH186" s="18"/>
      <c r="GI186" s="18"/>
      <c r="GJ186" s="18"/>
      <c r="GK186" s="18"/>
      <c r="GL186" s="18"/>
      <c r="GM186" s="18"/>
      <c r="GN186" s="18"/>
      <c r="GO186" s="18"/>
      <c r="GP186" s="18"/>
      <c r="GQ186" s="18"/>
      <c r="GR186" s="18"/>
      <c r="GS186" s="18"/>
      <c r="GT186" s="18"/>
      <c r="GU186" s="18"/>
      <c r="GV186" s="18"/>
      <c r="GW186" s="18"/>
      <c r="GX186" s="18"/>
      <c r="GY186" s="18"/>
      <c r="GZ186" s="18"/>
      <c r="HA186" s="18"/>
      <c r="HB186" s="18"/>
      <c r="HC186" s="18"/>
      <c r="HD186" s="18"/>
      <c r="HE186" s="18"/>
      <c r="HF186" s="18"/>
      <c r="HG186" s="18"/>
      <c r="HH186" s="18"/>
      <c r="HI186" s="18"/>
      <c r="HJ186" s="18"/>
      <c r="HK186" s="18"/>
      <c r="HL186" s="18"/>
      <c r="HM186" s="18"/>
      <c r="HN186" s="18"/>
      <c r="HO186" s="18"/>
      <c r="HP186" s="18"/>
      <c r="HQ186" s="18"/>
      <c r="HR186" s="18"/>
      <c r="HS186" s="18"/>
      <c r="HT186" s="18"/>
      <c r="HU186" s="18"/>
      <c r="HV186" s="18"/>
      <c r="HW186" s="18"/>
      <c r="HX186" s="18"/>
      <c r="HY186" s="18"/>
      <c r="HZ186" s="18"/>
      <c r="IA186" s="18"/>
      <c r="IB186" s="18"/>
      <c r="IC186" s="18"/>
      <c r="ID186" s="18"/>
      <c r="IE186" s="18"/>
      <c r="IF186" s="18"/>
      <c r="IG186" s="18"/>
      <c r="IH186" s="18"/>
      <c r="II186" s="18"/>
      <c r="IJ186" s="18"/>
      <c r="IK186" s="18"/>
      <c r="IL186" s="18"/>
      <c r="IM186" s="18"/>
      <c r="IN186" s="18"/>
      <c r="IO186" s="18"/>
      <c r="IP186" s="18"/>
      <c r="IQ186" s="18"/>
      <c r="IR186" s="18"/>
      <c r="IS186" s="18"/>
      <c r="IT186" s="18"/>
      <c r="IU186" s="18"/>
      <c r="IV186" s="18"/>
      <c r="IW186" s="18"/>
      <c r="IX186" s="18"/>
      <c r="IY186" s="18"/>
      <c r="IZ186" s="18"/>
      <c r="JA186" s="18"/>
      <c r="JB186" s="18"/>
      <c r="JC186" s="18"/>
      <c r="JD186" s="18"/>
      <c r="JE186" s="18"/>
      <c r="JF186" s="18"/>
      <c r="JG186" s="18"/>
      <c r="JH186" s="18"/>
      <c r="JI186" s="18"/>
      <c r="JJ186" s="18"/>
      <c r="JK186" s="18"/>
      <c r="JL186" s="18"/>
      <c r="JM186" s="18"/>
      <c r="JN186" s="18"/>
      <c r="JO186" s="18"/>
      <c r="JP186" s="18"/>
      <c r="JQ186" s="18"/>
      <c r="JR186" s="18"/>
      <c r="JS186" s="18"/>
      <c r="JT186" s="18"/>
      <c r="JU186" s="18"/>
      <c r="JV186" s="18"/>
      <c r="JW186" s="18"/>
      <c r="JX186" s="18"/>
      <c r="JY186"/>
      <c r="JZ186" s="262"/>
      <c r="KA186" s="262"/>
      <c r="KB186" s="262"/>
      <c r="KC186" s="262"/>
      <c r="KD186" s="262"/>
      <c r="KE186" s="262"/>
      <c r="KF186" s="262"/>
      <c r="KG186" s="262"/>
      <c r="KH186" s="262"/>
      <c r="KI186" s="262"/>
      <c r="KJ186" s="262"/>
      <c r="KK186" s="262"/>
      <c r="KL186" s="262"/>
      <c r="KM186" s="262"/>
      <c r="KN186" s="262"/>
      <c r="KO186" s="262"/>
      <c r="KP186" s="262"/>
      <c r="KQ186" s="262"/>
      <c r="KR186" s="262"/>
      <c r="KS186" s="262"/>
      <c r="KT186" s="262"/>
      <c r="KU186" s="262"/>
      <c r="KV186" s="262"/>
      <c r="KW186" s="262"/>
      <c r="KX186" s="262"/>
      <c r="KY186" s="262"/>
      <c r="KZ186" s="262"/>
      <c r="LA186" s="262"/>
      <c r="LB186" s="262"/>
      <c r="LC186" s="262"/>
      <c r="LD186" s="262"/>
      <c r="LE186" s="262"/>
      <c r="LF186" s="262"/>
      <c r="LG186" s="262"/>
      <c r="LH186" s="262"/>
      <c r="LI186" s="262"/>
      <c r="LJ186" s="262"/>
      <c r="LK186" s="262"/>
      <c r="LL186" s="262"/>
      <c r="LM186" s="262"/>
      <c r="LN186" s="262"/>
      <c r="LO186" s="262"/>
      <c r="LP186" s="262"/>
      <c r="LQ186" s="262"/>
      <c r="LR186" s="262"/>
      <c r="LS186" s="262"/>
      <c r="LT186" s="262"/>
      <c r="LU186" s="262"/>
      <c r="LV186" s="262"/>
      <c r="LW186" s="262"/>
      <c r="LX186" s="262"/>
      <c r="LY186" s="262"/>
      <c r="LZ186" s="262"/>
      <c r="MA186" s="262"/>
      <c r="MB186" s="262"/>
      <c r="MC186" s="262"/>
      <c r="MD186" s="262"/>
      <c r="ME186" s="262"/>
      <c r="MF186" s="262"/>
      <c r="MG186" s="262"/>
      <c r="MH186" s="262"/>
      <c r="MI186" s="262"/>
      <c r="MJ186" s="262"/>
      <c r="MK186" s="262"/>
      <c r="ML186" s="262"/>
      <c r="MM186" s="262"/>
      <c r="MN186" s="262"/>
      <c r="MO186" s="262"/>
      <c r="MP186" s="262"/>
      <c r="MQ186" s="262"/>
      <c r="MR186" s="262"/>
      <c r="MS186" s="262"/>
      <c r="MT186" s="262"/>
      <c r="MU186" s="262"/>
      <c r="MV186" s="262"/>
      <c r="MW186" s="262"/>
      <c r="MX186" s="262"/>
      <c r="MY186" s="262"/>
      <c r="MZ186" s="262"/>
      <c r="NA186" s="262"/>
      <c r="NB186" s="262"/>
      <c r="NC186" s="262"/>
      <c r="ND186" s="262"/>
      <c r="NE186" s="262"/>
      <c r="NF186" s="262"/>
      <c r="NG186" s="262"/>
      <c r="NH186" s="262"/>
      <c r="NI186" s="262"/>
      <c r="NJ186" s="262"/>
      <c r="NK186" s="262"/>
      <c r="NL186" s="262"/>
      <c r="NM186" s="262"/>
      <c r="NN186" s="262"/>
      <c r="NO186" s="262"/>
      <c r="NP186" s="262"/>
      <c r="NQ186" s="262"/>
      <c r="NR186" s="262"/>
      <c r="NS186" s="262"/>
      <c r="NT186" s="262"/>
      <c r="NU186" s="262"/>
      <c r="NV186" s="262"/>
      <c r="NW186" s="262"/>
      <c r="NX186" s="262"/>
      <c r="NY186" s="262"/>
      <c r="NZ186" s="262"/>
      <c r="OA186" s="262"/>
      <c r="OB186" s="262"/>
      <c r="OC186" s="262"/>
      <c r="OD186" s="262"/>
      <c r="OE186" s="262"/>
      <c r="OF186" s="262"/>
      <c r="OG186" s="262"/>
      <c r="OH186" s="262"/>
      <c r="OI186" s="262"/>
      <c r="OJ186" s="262"/>
      <c r="OK186" s="262"/>
      <c r="OL186" s="262"/>
      <c r="OM186" s="262"/>
      <c r="ON186" s="262"/>
      <c r="OO186" s="262"/>
      <c r="OP186" s="262"/>
      <c r="OQ186" s="262"/>
      <c r="OR186" s="262"/>
      <c r="OS186" s="262"/>
      <c r="OT186" s="262"/>
      <c r="OU186" s="262"/>
      <c r="OV186" s="262"/>
      <c r="OW186" s="262"/>
      <c r="OX186" s="262"/>
      <c r="OY186" s="262"/>
      <c r="OZ186" s="262"/>
      <c r="PA186" s="262"/>
      <c r="PB186" s="262"/>
      <c r="PC186" s="262"/>
      <c r="PD186" s="262"/>
      <c r="PE186" s="262"/>
      <c r="PF186" s="262"/>
      <c r="PG186" s="262"/>
      <c r="PH186" s="262"/>
    </row>
    <row r="187" spans="1:424" x14ac:dyDescent="0.35">
      <c r="A187"/>
      <c r="B187" s="497" t="s">
        <v>363</v>
      </c>
      <c r="C187" s="497"/>
      <c r="D187" s="498" t="s">
        <v>84</v>
      </c>
      <c r="E187" s="498" t="s">
        <v>85</v>
      </c>
      <c r="F187" s="515" t="s">
        <v>364</v>
      </c>
      <c r="G187" s="500"/>
      <c r="H187" s="498"/>
      <c r="I187" s="498"/>
      <c r="J187" s="395"/>
      <c r="K187" s="396"/>
      <c r="L187" s="396"/>
      <c r="M187" s="396"/>
      <c r="N187" s="396"/>
      <c r="O187" s="396"/>
      <c r="P187" s="396"/>
      <c r="Q187" s="396"/>
      <c r="R187" s="396"/>
      <c r="S187" s="396"/>
      <c r="T187" s="396"/>
      <c r="U187" s="396"/>
      <c r="V187" s="396"/>
      <c r="W187" s="396"/>
      <c r="X187" s="396"/>
      <c r="Y187" s="396"/>
      <c r="Z187" s="396"/>
      <c r="AA187" s="396"/>
      <c r="AB187" s="396"/>
      <c r="AC187" s="396"/>
      <c r="AD187" s="396"/>
      <c r="AE187" s="396"/>
      <c r="AF187" s="396"/>
      <c r="AG187" s="396"/>
      <c r="AH187" s="396"/>
      <c r="AI187" s="396"/>
      <c r="AJ187" s="396"/>
      <c r="AK187" s="396"/>
      <c r="AL187" s="396"/>
      <c r="AM187" s="396"/>
      <c r="AN187" s="396"/>
      <c r="AO187" s="396"/>
      <c r="AP187" s="396"/>
      <c r="AQ187" s="396"/>
      <c r="AR187" s="396"/>
      <c r="AS187" s="396"/>
      <c r="AT187" s="396"/>
      <c r="AU187" s="396"/>
      <c r="AV187" s="396"/>
      <c r="AW187" s="396"/>
      <c r="AX187" s="396"/>
      <c r="AY187" s="396"/>
      <c r="AZ187" s="396"/>
      <c r="BA187" s="396"/>
      <c r="BB187" s="396"/>
      <c r="BC187" s="396"/>
      <c r="BD187" s="396"/>
      <c r="BE187" s="396"/>
      <c r="BF187" s="396"/>
      <c r="BG187" s="396"/>
      <c r="BH187" s="396"/>
      <c r="BI187" s="396"/>
      <c r="BJ187" s="396"/>
      <c r="BK187" s="396"/>
      <c r="BL187" s="396"/>
      <c r="BM187" s="396"/>
      <c r="BN187" s="396"/>
      <c r="BO187" s="396"/>
      <c r="BP187" s="396"/>
      <c r="BQ187" s="396"/>
      <c r="BR187" s="396"/>
      <c r="BS187" s="396"/>
      <c r="BT187" s="396"/>
      <c r="BU187" s="396"/>
      <c r="BV187" s="396"/>
      <c r="BW187" s="396"/>
      <c r="BX187" s="396"/>
      <c r="BY187" s="396"/>
      <c r="BZ187" s="396"/>
      <c r="CA187" s="396"/>
      <c r="CB187" s="396"/>
      <c r="CC187" s="396"/>
      <c r="CD187" s="396"/>
      <c r="CE187" s="396"/>
      <c r="CF187" s="396"/>
      <c r="CG187" s="396"/>
      <c r="CH187" s="396"/>
      <c r="CI187" s="396"/>
      <c r="CJ187" s="396"/>
      <c r="CK187" s="396"/>
      <c r="CL187" s="396"/>
      <c r="CM187" s="396"/>
      <c r="CN187" s="396"/>
      <c r="CO187" s="396"/>
      <c r="CP187" s="396"/>
      <c r="CQ187" s="396"/>
      <c r="CR187" s="396"/>
      <c r="CS187" s="396"/>
      <c r="CT187" s="396"/>
      <c r="CU187" s="396"/>
      <c r="CV187" s="396"/>
      <c r="CW187" s="396"/>
      <c r="CX187" s="396"/>
      <c r="CY187" s="396"/>
      <c r="CZ187" s="396"/>
      <c r="DA187" s="396"/>
      <c r="DB187" s="396"/>
      <c r="DC187" s="396"/>
      <c r="DD187" s="396"/>
      <c r="DE187" s="396"/>
      <c r="DF187" s="396"/>
      <c r="DG187" s="396"/>
      <c r="DH187" s="396"/>
      <c r="DI187" s="396"/>
      <c r="DJ187" s="396"/>
      <c r="DK187" s="396"/>
      <c r="DL187" s="396"/>
      <c r="DM187" s="396"/>
      <c r="DN187" s="396"/>
      <c r="DO187" s="396"/>
      <c r="DP187" s="396"/>
      <c r="DQ187" s="396"/>
      <c r="DR187" s="396"/>
      <c r="DS187" s="396"/>
      <c r="DT187" s="396"/>
      <c r="DU187" s="396"/>
      <c r="DV187" s="396"/>
      <c r="DW187" s="396"/>
      <c r="DX187" s="396"/>
      <c r="DY187" s="396"/>
      <c r="DZ187" s="396"/>
      <c r="EA187" s="396"/>
      <c r="EB187" s="396"/>
      <c r="EC187" s="396"/>
      <c r="ED187" s="396"/>
      <c r="EE187" s="396"/>
      <c r="EF187" s="396"/>
      <c r="EG187" s="396"/>
      <c r="EH187" s="396"/>
      <c r="EI187" s="396"/>
      <c r="EJ187" s="396"/>
      <c r="EK187" s="396"/>
      <c r="EL187" s="396"/>
      <c r="EM187" s="396"/>
      <c r="EN187" s="396"/>
      <c r="EO187" s="396"/>
      <c r="EP187" s="219"/>
      <c r="EQ187" s="18"/>
      <c r="ER187" s="18"/>
      <c r="ES187" s="18"/>
      <c r="ET187" s="18"/>
      <c r="EU187" s="18"/>
      <c r="EV187" s="18"/>
      <c r="EW187" s="18"/>
      <c r="EX187" s="18"/>
      <c r="EY187" s="18"/>
      <c r="EZ187" s="18"/>
      <c r="FA187" s="18"/>
      <c r="FB187" s="18"/>
      <c r="FC187" s="18"/>
      <c r="FD187" s="18"/>
      <c r="FE187" s="18"/>
      <c r="FF187" s="18"/>
      <c r="FG187" s="18"/>
      <c r="FH187" s="18"/>
      <c r="FI187" s="18"/>
      <c r="FJ187" s="18"/>
      <c r="FK187" s="18"/>
      <c r="FL187" s="18"/>
      <c r="FM187" s="18"/>
      <c r="FN187" s="18"/>
      <c r="FO187" s="18"/>
      <c r="FP187" s="18"/>
      <c r="FQ187" s="18"/>
      <c r="FR187" s="18"/>
      <c r="FS187" s="18"/>
      <c r="FT187" s="18"/>
      <c r="FU187" s="18"/>
      <c r="FV187" s="18"/>
      <c r="FW187" s="18"/>
      <c r="FX187" s="18"/>
      <c r="FY187" s="18"/>
      <c r="FZ187" s="18"/>
      <c r="GA187" s="18"/>
      <c r="GB187" s="18"/>
      <c r="GC187" s="18"/>
      <c r="GD187" s="18"/>
      <c r="GE187" s="18"/>
      <c r="GF187" s="18"/>
      <c r="GG187" s="18"/>
      <c r="GH187" s="18"/>
      <c r="GI187" s="18"/>
      <c r="GJ187" s="18"/>
      <c r="GK187" s="18"/>
      <c r="GL187" s="18"/>
      <c r="GM187" s="18"/>
      <c r="GN187" s="18"/>
      <c r="GO187" s="18"/>
      <c r="GP187" s="18"/>
      <c r="GQ187" s="18"/>
      <c r="GR187" s="18"/>
      <c r="GS187" s="18"/>
      <c r="GT187" s="18"/>
      <c r="GU187" s="18"/>
      <c r="GV187" s="18"/>
      <c r="GW187" s="18"/>
      <c r="GX187" s="18"/>
      <c r="GY187" s="18"/>
      <c r="GZ187" s="18"/>
      <c r="HA187" s="18"/>
      <c r="HB187" s="18"/>
      <c r="HC187" s="18"/>
      <c r="HD187" s="18"/>
      <c r="HE187" s="18"/>
      <c r="HF187" s="18"/>
      <c r="HG187" s="18"/>
      <c r="HH187" s="18"/>
      <c r="HI187" s="18"/>
      <c r="HJ187" s="18"/>
      <c r="HK187" s="18"/>
      <c r="HL187" s="18"/>
      <c r="HM187" s="18"/>
      <c r="HN187" s="18"/>
      <c r="HO187" s="18"/>
      <c r="HP187" s="18"/>
      <c r="HQ187" s="18"/>
      <c r="HR187" s="18"/>
      <c r="HS187" s="18"/>
      <c r="HT187" s="18"/>
      <c r="HU187" s="18"/>
      <c r="HV187" s="18"/>
      <c r="HW187" s="18"/>
      <c r="HX187" s="18"/>
      <c r="HY187" s="18"/>
      <c r="HZ187" s="18"/>
      <c r="IA187" s="18"/>
      <c r="IB187" s="18"/>
      <c r="IC187" s="18"/>
      <c r="ID187" s="18"/>
      <c r="IE187" s="18"/>
      <c r="IF187" s="18"/>
      <c r="IG187" s="18"/>
      <c r="IH187" s="18"/>
      <c r="II187" s="18"/>
      <c r="IJ187" s="18"/>
      <c r="IK187" s="18"/>
      <c r="IL187" s="18"/>
      <c r="IM187" s="18"/>
      <c r="IN187" s="18"/>
      <c r="IO187" s="18"/>
      <c r="IP187" s="18"/>
      <c r="IQ187" s="18"/>
      <c r="IR187" s="18"/>
      <c r="IS187" s="18"/>
      <c r="IT187" s="18"/>
      <c r="IU187" s="18"/>
      <c r="IV187" s="18"/>
      <c r="IW187" s="18"/>
      <c r="IX187" s="18"/>
      <c r="IY187" s="18"/>
      <c r="IZ187" s="18"/>
      <c r="JA187" s="18"/>
      <c r="JB187" s="18"/>
      <c r="JC187" s="18"/>
      <c r="JD187" s="18"/>
      <c r="JE187" s="18"/>
      <c r="JF187" s="18"/>
      <c r="JG187" s="18"/>
      <c r="JH187" s="18"/>
      <c r="JI187" s="18"/>
      <c r="JJ187" s="18"/>
      <c r="JK187" s="18"/>
      <c r="JL187" s="18"/>
      <c r="JM187" s="18"/>
      <c r="JN187" s="18"/>
      <c r="JO187" s="18"/>
      <c r="JP187" s="18"/>
      <c r="JQ187" s="18"/>
      <c r="JR187" s="18"/>
      <c r="JS187" s="18"/>
      <c r="JT187" s="18"/>
      <c r="JU187" s="18"/>
      <c r="JV187" s="18"/>
      <c r="JW187" s="18"/>
      <c r="JX187" s="18"/>
      <c r="JY187"/>
      <c r="JZ187" s="262"/>
      <c r="KA187" s="262"/>
      <c r="KB187" s="262"/>
      <c r="KC187" s="262"/>
      <c r="KD187" s="262"/>
      <c r="KE187" s="262"/>
      <c r="KF187" s="262"/>
      <c r="KG187" s="262"/>
      <c r="KH187" s="262"/>
      <c r="KI187" s="262"/>
      <c r="KJ187" s="262"/>
      <c r="KK187" s="262"/>
      <c r="KL187" s="262"/>
      <c r="KM187" s="262"/>
      <c r="KN187" s="262"/>
      <c r="KO187" s="262"/>
      <c r="KP187" s="262"/>
      <c r="KQ187" s="262"/>
      <c r="KR187" s="262"/>
      <c r="KS187" s="262"/>
      <c r="KT187" s="262"/>
      <c r="KU187" s="262"/>
      <c r="KV187" s="262"/>
      <c r="KW187" s="262"/>
      <c r="KX187" s="262"/>
      <c r="KY187" s="262"/>
      <c r="KZ187" s="262"/>
      <c r="LA187" s="262"/>
      <c r="LB187" s="262"/>
      <c r="LC187" s="262"/>
      <c r="LD187" s="262"/>
      <c r="LE187" s="262"/>
      <c r="LF187" s="262"/>
      <c r="LG187" s="262"/>
      <c r="LH187" s="262"/>
      <c r="LI187" s="262"/>
      <c r="LJ187" s="262"/>
      <c r="LK187" s="262"/>
      <c r="LL187" s="262"/>
      <c r="LM187" s="262"/>
      <c r="LN187" s="262"/>
      <c r="LO187" s="262"/>
      <c r="LP187" s="262"/>
      <c r="LQ187" s="262"/>
      <c r="LR187" s="262"/>
      <c r="LS187" s="262"/>
      <c r="LT187" s="262"/>
      <c r="LU187" s="262"/>
      <c r="LV187" s="262"/>
      <c r="LW187" s="262"/>
      <c r="LX187" s="262"/>
      <c r="LY187" s="262"/>
      <c r="LZ187" s="262"/>
      <c r="MA187" s="262"/>
      <c r="MB187" s="262"/>
      <c r="MC187" s="262"/>
      <c r="MD187" s="262"/>
      <c r="ME187" s="262"/>
      <c r="MF187" s="262"/>
      <c r="MG187" s="262"/>
      <c r="MH187" s="262"/>
      <c r="MI187" s="262"/>
      <c r="MJ187" s="262"/>
      <c r="MK187" s="262"/>
      <c r="ML187" s="262"/>
      <c r="MM187" s="262"/>
      <c r="MN187" s="262"/>
      <c r="MO187" s="262"/>
      <c r="MP187" s="262"/>
      <c r="MQ187" s="262"/>
      <c r="MR187" s="262"/>
      <c r="MS187" s="262"/>
      <c r="MT187" s="262"/>
      <c r="MU187" s="262"/>
      <c r="MV187" s="262"/>
      <c r="MW187" s="262"/>
      <c r="MX187" s="262"/>
      <c r="MY187" s="262"/>
      <c r="MZ187" s="262"/>
      <c r="NA187" s="262"/>
      <c r="NB187" s="262"/>
      <c r="NC187" s="262"/>
      <c r="ND187" s="262"/>
      <c r="NE187" s="262"/>
      <c r="NF187" s="262"/>
      <c r="NG187" s="262"/>
      <c r="NH187" s="262"/>
      <c r="NI187" s="262"/>
      <c r="NJ187" s="262"/>
      <c r="NK187" s="262"/>
      <c r="NL187" s="262"/>
      <c r="NM187" s="262"/>
      <c r="NN187" s="262"/>
      <c r="NO187" s="262"/>
      <c r="NP187" s="262"/>
      <c r="NQ187" s="262"/>
      <c r="NR187" s="262"/>
      <c r="NS187" s="262"/>
      <c r="NT187" s="262"/>
      <c r="NU187" s="262"/>
      <c r="NV187" s="262"/>
      <c r="NW187" s="262"/>
      <c r="NX187" s="262"/>
      <c r="NY187" s="262"/>
      <c r="NZ187" s="262"/>
      <c r="OA187" s="262"/>
      <c r="OB187" s="262"/>
      <c r="OC187" s="262"/>
      <c r="OD187" s="262"/>
      <c r="OE187" s="262"/>
      <c r="OF187" s="262"/>
      <c r="OG187" s="262"/>
      <c r="OH187" s="262"/>
      <c r="OI187" s="262"/>
      <c r="OJ187" s="262"/>
      <c r="OK187" s="262"/>
      <c r="OL187" s="262"/>
      <c r="OM187" s="262"/>
      <c r="ON187" s="262"/>
      <c r="OO187" s="262"/>
      <c r="OP187" s="262"/>
      <c r="OQ187" s="262"/>
      <c r="OR187" s="262"/>
      <c r="OS187" s="262"/>
      <c r="OT187" s="262"/>
      <c r="OU187" s="262"/>
      <c r="OV187" s="262"/>
      <c r="OW187" s="262"/>
      <c r="OX187" s="262"/>
      <c r="OY187" s="262"/>
      <c r="OZ187" s="262"/>
      <c r="PA187" s="262"/>
      <c r="PB187" s="262"/>
      <c r="PC187" s="262"/>
      <c r="PD187" s="262"/>
      <c r="PE187" s="262"/>
      <c r="PF187" s="262"/>
      <c r="PG187" s="262"/>
      <c r="PH187" s="262"/>
    </row>
    <row r="188" spans="1:424" x14ac:dyDescent="0.35">
      <c r="A188"/>
      <c r="B188" s="34" t="s">
        <v>365</v>
      </c>
      <c r="C188" s="400"/>
      <c r="D188" s="415">
        <f>+E188/Units</f>
        <v>9205.801043032192</v>
      </c>
      <c r="E188" s="445">
        <f>Valuation_Reversion</f>
        <v>722382706.05113256</v>
      </c>
      <c r="F188" s="516"/>
      <c r="G188" s="44"/>
      <c r="H188" s="517" t="str">
        <f>H165</f>
        <v>STABILIZED (UNTRENDED)</v>
      </c>
      <c r="I188" s="517" t="str">
        <f>I165</f>
        <v>SALE</v>
      </c>
      <c r="J188" s="395"/>
      <c r="K188" s="396"/>
      <c r="L188" s="396"/>
      <c r="M188" s="396"/>
      <c r="N188" s="396"/>
      <c r="O188" s="396"/>
      <c r="P188" s="396"/>
      <c r="Q188" s="396"/>
      <c r="R188" s="396"/>
      <c r="S188" s="396"/>
      <c r="T188" s="396"/>
      <c r="U188" s="396"/>
      <c r="V188" s="396"/>
      <c r="W188" s="396"/>
      <c r="X188" s="396"/>
      <c r="Y188" s="396"/>
      <c r="Z188" s="396"/>
      <c r="AA188" s="396"/>
      <c r="AB188" s="396"/>
      <c r="AC188" s="396"/>
      <c r="AD188" s="396"/>
      <c r="AE188" s="396"/>
      <c r="AF188" s="396"/>
      <c r="AG188" s="396"/>
      <c r="AH188" s="396"/>
      <c r="AI188" s="396"/>
      <c r="AJ188" s="396"/>
      <c r="AK188" s="396"/>
      <c r="AL188" s="396"/>
      <c r="AM188" s="396"/>
      <c r="AN188" s="396"/>
      <c r="AO188" s="396"/>
      <c r="AP188" s="396"/>
      <c r="AQ188" s="396"/>
      <c r="AR188" s="396"/>
      <c r="AS188" s="396"/>
      <c r="AT188" s="396"/>
      <c r="AU188" s="396"/>
      <c r="AV188" s="396"/>
      <c r="AW188" s="396"/>
      <c r="AX188" s="396"/>
      <c r="AY188" s="396"/>
      <c r="AZ188" s="396"/>
      <c r="BA188" s="396"/>
      <c r="BB188" s="396"/>
      <c r="BC188" s="396"/>
      <c r="BD188" s="396"/>
      <c r="BE188" s="396"/>
      <c r="BF188" s="396"/>
      <c r="BG188" s="396"/>
      <c r="BH188" s="396"/>
      <c r="BI188" s="396"/>
      <c r="BJ188" s="396"/>
      <c r="BK188" s="396"/>
      <c r="BL188" s="396"/>
      <c r="BM188" s="396"/>
      <c r="BN188" s="396"/>
      <c r="BO188" s="396"/>
      <c r="BP188" s="396"/>
      <c r="BQ188" s="396"/>
      <c r="BR188" s="396"/>
      <c r="BS188" s="396"/>
      <c r="BT188" s="396"/>
      <c r="BU188" s="396"/>
      <c r="BV188" s="396"/>
      <c r="BW188" s="396"/>
      <c r="BX188" s="396"/>
      <c r="BY188" s="396"/>
      <c r="BZ188" s="396"/>
      <c r="CA188" s="396"/>
      <c r="CB188" s="396"/>
      <c r="CC188" s="396"/>
      <c r="CD188" s="396"/>
      <c r="CE188" s="396"/>
      <c r="CF188" s="396"/>
      <c r="CG188" s="396"/>
      <c r="CH188" s="396"/>
      <c r="CI188" s="396"/>
      <c r="CJ188" s="396"/>
      <c r="CK188" s="396"/>
      <c r="CL188" s="396"/>
      <c r="CM188" s="396"/>
      <c r="CN188" s="396"/>
      <c r="CO188" s="396"/>
      <c r="CP188" s="396"/>
      <c r="CQ188" s="396"/>
      <c r="CR188" s="396"/>
      <c r="CS188" s="396"/>
      <c r="CT188" s="396"/>
      <c r="CU188" s="396"/>
      <c r="CV188" s="396"/>
      <c r="CW188" s="396"/>
      <c r="CX188" s="396"/>
      <c r="CY188" s="396"/>
      <c r="CZ188" s="396"/>
      <c r="DA188" s="396"/>
      <c r="DB188" s="396"/>
      <c r="DC188" s="396"/>
      <c r="DD188" s="396"/>
      <c r="DE188" s="396"/>
      <c r="DF188" s="396"/>
      <c r="DG188" s="396"/>
      <c r="DH188" s="396"/>
      <c r="DI188" s="396"/>
      <c r="DJ188" s="396"/>
      <c r="DK188" s="396"/>
      <c r="DL188" s="396"/>
      <c r="DM188" s="396"/>
      <c r="DN188" s="396"/>
      <c r="DO188" s="396"/>
      <c r="DP188" s="396"/>
      <c r="DQ188" s="396"/>
      <c r="DR188" s="396"/>
      <c r="DS188" s="396"/>
      <c r="DT188" s="396"/>
      <c r="DU188" s="396"/>
      <c r="DV188" s="396"/>
      <c r="DW188" s="396"/>
      <c r="DX188" s="396"/>
      <c r="DY188" s="396"/>
      <c r="DZ188" s="396"/>
      <c r="EA188" s="396"/>
      <c r="EB188" s="396"/>
      <c r="EC188" s="396"/>
      <c r="ED188" s="396"/>
      <c r="EE188" s="396"/>
      <c r="EF188" s="396"/>
      <c r="EG188" s="396"/>
      <c r="EH188" s="396"/>
      <c r="EI188" s="396"/>
      <c r="EJ188" s="396"/>
      <c r="EK188" s="396"/>
      <c r="EL188" s="396"/>
      <c r="EM188" s="396"/>
      <c r="EN188" s="396"/>
      <c r="EO188" s="396"/>
      <c r="EP188" s="219"/>
      <c r="EQ188" s="18"/>
      <c r="ER188" s="18"/>
      <c r="ES188" s="18"/>
      <c r="ET188" s="18"/>
      <c r="EU188" s="18"/>
      <c r="EV188" s="197"/>
      <c r="EW188" s="197"/>
      <c r="EX188" s="197"/>
      <c r="EY188" s="197"/>
      <c r="EZ188" s="197"/>
      <c r="FA188" s="197"/>
      <c r="FB188" s="197"/>
      <c r="FC188" s="197"/>
      <c r="FD188" s="197"/>
      <c r="FE188" s="197"/>
      <c r="FF188" s="197"/>
      <c r="FG188" s="197"/>
      <c r="FH188" s="197"/>
      <c r="FI188" s="197"/>
      <c r="FJ188" s="197"/>
      <c r="FK188" s="197"/>
      <c r="FL188" s="197"/>
      <c r="FM188" s="197"/>
      <c r="FN188" s="197"/>
      <c r="FO188" s="197"/>
      <c r="FP188" s="197"/>
      <c r="FQ188" s="197"/>
      <c r="FR188" s="197"/>
      <c r="FS188" s="197"/>
      <c r="FT188" s="197"/>
      <c r="FU188" s="197"/>
      <c r="FV188" s="197"/>
      <c r="FW188" s="197"/>
      <c r="FX188" s="197"/>
      <c r="FY188" s="197"/>
      <c r="FZ188" s="197"/>
      <c r="GA188" s="197"/>
      <c r="GB188" s="197"/>
      <c r="GC188" s="197"/>
      <c r="GD188" s="197"/>
      <c r="GE188" s="197"/>
      <c r="GF188" s="197"/>
      <c r="GG188" s="197"/>
      <c r="GH188" s="197"/>
      <c r="GI188" s="197"/>
      <c r="GJ188" s="197"/>
      <c r="GK188" s="197"/>
      <c r="GL188" s="197"/>
      <c r="GM188" s="197"/>
      <c r="GN188" s="197"/>
      <c r="GO188" s="197"/>
      <c r="GP188" s="197"/>
      <c r="GQ188" s="197"/>
      <c r="GR188" s="197"/>
      <c r="GS188" s="197"/>
      <c r="GT188" s="197"/>
      <c r="GU188" s="197"/>
      <c r="GV188" s="197"/>
      <c r="GW188" s="197"/>
      <c r="GX188" s="197"/>
      <c r="GY188" s="197"/>
      <c r="GZ188" s="197"/>
      <c r="HA188" s="197"/>
      <c r="HB188" s="197"/>
      <c r="HC188" s="197"/>
      <c r="HD188" s="197"/>
      <c r="HE188" s="197"/>
      <c r="HF188" s="197"/>
      <c r="HG188" s="197"/>
      <c r="HH188" s="197"/>
      <c r="HI188" s="197"/>
      <c r="HJ188" s="197"/>
      <c r="HK188" s="197"/>
      <c r="HL188" s="197"/>
      <c r="HM188" s="197"/>
      <c r="HN188" s="197"/>
      <c r="HO188" s="197"/>
      <c r="HP188" s="197"/>
      <c r="HQ188" s="197"/>
      <c r="HR188" s="197"/>
      <c r="HS188" s="197"/>
      <c r="HT188" s="197"/>
      <c r="HU188" s="197"/>
      <c r="HV188" s="197"/>
      <c r="HW188" s="197"/>
      <c r="HX188" s="197"/>
      <c r="HY188" s="197"/>
      <c r="HZ188" s="197"/>
      <c r="IA188" s="197"/>
      <c r="IB188" s="197"/>
      <c r="IC188" s="197"/>
      <c r="ID188" s="197"/>
      <c r="IE188" s="197"/>
      <c r="IF188" s="197"/>
      <c r="IG188" s="197"/>
      <c r="IH188" s="197"/>
      <c r="II188" s="197"/>
      <c r="IJ188" s="197"/>
      <c r="IK188" s="197"/>
      <c r="IL188" s="197"/>
      <c r="IM188" s="197"/>
      <c r="IN188" s="197"/>
      <c r="IO188" s="197"/>
      <c r="IP188" s="197"/>
      <c r="IQ188" s="197"/>
      <c r="IR188" s="197"/>
      <c r="IS188" s="197"/>
      <c r="IT188" s="197"/>
      <c r="IU188" s="197"/>
      <c r="IV188" s="197"/>
      <c r="IW188" s="197"/>
      <c r="IX188" s="197"/>
      <c r="IY188" s="197"/>
      <c r="IZ188" s="197"/>
      <c r="JA188" s="197"/>
      <c r="JB188" s="197"/>
      <c r="JC188" s="197"/>
      <c r="JD188" s="197"/>
      <c r="JE188" s="197"/>
      <c r="JF188" s="197"/>
      <c r="JG188" s="197"/>
      <c r="JH188" s="197"/>
      <c r="JI188" s="197"/>
      <c r="JJ188" s="197"/>
      <c r="JK188" s="197"/>
      <c r="JL188" s="197"/>
      <c r="JM188" s="197"/>
      <c r="JN188" s="197"/>
      <c r="JO188" s="197"/>
      <c r="JP188" s="197"/>
      <c r="JQ188" s="197"/>
      <c r="JR188" s="197"/>
      <c r="JS188" s="197"/>
      <c r="JT188" s="197"/>
      <c r="JU188" s="197"/>
      <c r="JV188" s="197"/>
      <c r="JW188" s="197"/>
      <c r="JX188" s="197"/>
      <c r="JY188"/>
      <c r="JZ188" s="262"/>
      <c r="KA188" s="262"/>
      <c r="KB188" s="262"/>
      <c r="KC188" s="262"/>
      <c r="KD188" s="262"/>
      <c r="KE188" s="262"/>
      <c r="KF188" s="262"/>
      <c r="KG188" s="262"/>
      <c r="KH188" s="262"/>
      <c r="KI188" s="262"/>
      <c r="KJ188" s="262"/>
      <c r="KK188" s="262"/>
      <c r="KL188" s="262"/>
      <c r="KM188" s="262"/>
      <c r="KN188" s="262"/>
      <c r="KO188" s="262"/>
      <c r="KP188" s="262"/>
      <c r="KQ188" s="262"/>
      <c r="KR188" s="262"/>
      <c r="KS188" s="262"/>
      <c r="KT188" s="262"/>
      <c r="KU188" s="262"/>
      <c r="KV188" s="262"/>
      <c r="KW188" s="262"/>
      <c r="KX188" s="262"/>
      <c r="KY188" s="262"/>
      <c r="KZ188" s="262"/>
      <c r="LA188" s="262"/>
      <c r="LB188" s="262"/>
      <c r="LC188" s="262"/>
      <c r="LD188" s="262"/>
      <c r="LE188" s="262"/>
      <c r="LF188" s="262"/>
      <c r="LG188" s="262"/>
      <c r="LH188" s="262"/>
      <c r="LI188" s="262"/>
      <c r="LJ188" s="262"/>
      <c r="LK188" s="262"/>
      <c r="LL188" s="262"/>
      <c r="LM188" s="262"/>
      <c r="LN188" s="262"/>
      <c r="LO188" s="262"/>
      <c r="LP188" s="262"/>
      <c r="LQ188" s="262"/>
      <c r="LR188" s="262"/>
      <c r="LS188" s="262"/>
      <c r="LT188" s="262"/>
      <c r="LU188" s="262"/>
      <c r="LV188" s="262"/>
      <c r="LW188" s="262"/>
      <c r="LX188" s="262"/>
      <c r="LY188" s="262"/>
      <c r="LZ188" s="262"/>
      <c r="MA188" s="262"/>
      <c r="MB188" s="262"/>
      <c r="MC188" s="262"/>
      <c r="MD188" s="262"/>
      <c r="ME188" s="262"/>
      <c r="MF188" s="262"/>
      <c r="MG188" s="262"/>
      <c r="MH188" s="262"/>
      <c r="MI188" s="262"/>
      <c r="MJ188" s="262"/>
      <c r="MK188" s="262"/>
      <c r="ML188" s="262"/>
      <c r="MM188" s="262"/>
      <c r="MN188" s="262"/>
      <c r="MO188" s="262"/>
      <c r="MP188" s="262"/>
      <c r="MQ188" s="262"/>
      <c r="MR188" s="262"/>
      <c r="MS188" s="262"/>
      <c r="MT188" s="262"/>
      <c r="MU188" s="262"/>
      <c r="MV188" s="262"/>
      <c r="MW188" s="262"/>
      <c r="MX188" s="262"/>
      <c r="MY188" s="262"/>
      <c r="MZ188" s="262"/>
      <c r="NA188" s="262"/>
      <c r="NB188" s="262"/>
      <c r="NC188" s="262"/>
      <c r="ND188" s="262"/>
      <c r="NE188" s="262"/>
      <c r="NF188" s="262"/>
      <c r="NG188" s="262"/>
      <c r="NH188" s="262"/>
      <c r="NI188" s="262"/>
      <c r="NJ188" s="262"/>
      <c r="NK188" s="262"/>
      <c r="NL188" s="262"/>
      <c r="NM188" s="262"/>
      <c r="NN188" s="262"/>
      <c r="NO188" s="262"/>
      <c r="NP188" s="262"/>
      <c r="NQ188" s="262"/>
      <c r="NR188" s="262"/>
      <c r="NS188" s="262"/>
      <c r="NT188" s="262"/>
      <c r="NU188" s="262"/>
      <c r="NV188" s="262"/>
      <c r="NW188" s="262"/>
      <c r="NX188" s="262"/>
      <c r="NY188" s="262"/>
      <c r="NZ188" s="262"/>
      <c r="OA188" s="262"/>
      <c r="OB188" s="262"/>
      <c r="OC188" s="262"/>
      <c r="OD188" s="262"/>
      <c r="OE188" s="262"/>
      <c r="OF188" s="262"/>
      <c r="OG188" s="262"/>
      <c r="OH188" s="262"/>
      <c r="OI188" s="262"/>
      <c r="OJ188" s="262"/>
      <c r="OK188" s="262"/>
      <c r="OL188" s="262"/>
      <c r="OM188" s="262"/>
      <c r="ON188" s="262"/>
      <c r="OO188" s="262"/>
      <c r="OP188" s="262"/>
      <c r="OQ188" s="262"/>
      <c r="OR188" s="262"/>
      <c r="OS188" s="262"/>
      <c r="OT188" s="262"/>
      <c r="OU188" s="262"/>
      <c r="OV188" s="262"/>
      <c r="OW188" s="262"/>
      <c r="OX188" s="262"/>
      <c r="OY188" s="262"/>
      <c r="OZ188" s="262"/>
      <c r="PA188" s="262"/>
      <c r="PB188" s="262"/>
      <c r="PC188" s="262"/>
      <c r="PD188" s="262"/>
      <c r="PE188" s="262"/>
      <c r="PF188" s="262"/>
      <c r="PG188" s="262"/>
      <c r="PH188" s="262"/>
    </row>
    <row r="189" spans="1:424" x14ac:dyDescent="0.35">
      <c r="A189"/>
      <c r="B189" s="444" t="str">
        <f>"- Selling Costs @ "&amp;TEXT($I$163,"0.00%")</f>
        <v>- Selling Costs @ 2.00%</v>
      </c>
      <c r="C189" s="400"/>
      <c r="D189" s="518">
        <f>+E189/Units</f>
        <v>-184.11602086064386</v>
      </c>
      <c r="E189" s="474">
        <f>-E188*I163</f>
        <v>-14447654.121022651</v>
      </c>
      <c r="F189" s="519"/>
      <c r="G189" s="400" t="s">
        <v>75</v>
      </c>
      <c r="H189" s="39">
        <f>IF(F160="No",((Stabilization_1st_Month/Timing_Reversion_Month)*(I162-I161))+I161,S173)</f>
        <v>6.7008196721311475E-2</v>
      </c>
      <c r="I189" s="39">
        <f>IF(F160="No",$I$162,T173)</f>
        <v>6.7500000000000004E-2</v>
      </c>
      <c r="J189" s="395"/>
      <c r="K189" s="396"/>
      <c r="L189" s="396"/>
      <c r="M189" s="396"/>
      <c r="N189" s="396"/>
      <c r="O189" s="396"/>
      <c r="P189" s="396"/>
      <c r="Q189" s="396"/>
      <c r="R189" s="396"/>
      <c r="S189" s="396"/>
      <c r="T189" s="396"/>
      <c r="U189" s="396"/>
      <c r="V189" s="396"/>
      <c r="W189" s="396"/>
      <c r="X189" s="396"/>
      <c r="Y189" s="396"/>
      <c r="Z189" s="396"/>
      <c r="AA189" s="396"/>
      <c r="AB189" s="396"/>
      <c r="AC189" s="396"/>
      <c r="AD189" s="396"/>
      <c r="AE189" s="396"/>
      <c r="AF189" s="396"/>
      <c r="AG189" s="396"/>
      <c r="AH189" s="396"/>
      <c r="AI189" s="396"/>
      <c r="AJ189" s="396"/>
      <c r="AK189" s="396"/>
      <c r="AL189" s="396"/>
      <c r="AM189" s="396"/>
      <c r="AN189" s="396"/>
      <c r="AO189" s="396"/>
      <c r="AP189" s="396"/>
      <c r="AQ189" s="396"/>
      <c r="AR189" s="396"/>
      <c r="AS189" s="396"/>
      <c r="AT189" s="396"/>
      <c r="AU189" s="396"/>
      <c r="AV189" s="396"/>
      <c r="AW189" s="396"/>
      <c r="AX189" s="396"/>
      <c r="AY189" s="396"/>
      <c r="AZ189" s="396"/>
      <c r="BA189" s="396"/>
      <c r="BB189" s="396"/>
      <c r="BC189" s="396"/>
      <c r="BD189" s="396"/>
      <c r="BE189" s="396"/>
      <c r="BF189" s="396"/>
      <c r="BG189" s="396"/>
      <c r="BH189" s="396"/>
      <c r="BI189" s="396"/>
      <c r="BJ189" s="396"/>
      <c r="BK189" s="396"/>
      <c r="BL189" s="396"/>
      <c r="BM189" s="396"/>
      <c r="BN189" s="396"/>
      <c r="BO189" s="396"/>
      <c r="BP189" s="396"/>
      <c r="BQ189" s="396"/>
      <c r="BR189" s="396"/>
      <c r="BS189" s="396"/>
      <c r="BT189" s="396"/>
      <c r="BU189" s="396"/>
      <c r="BV189" s="396"/>
      <c r="BW189" s="396"/>
      <c r="BX189" s="396"/>
      <c r="BY189" s="396"/>
      <c r="BZ189" s="396"/>
      <c r="CA189" s="396"/>
      <c r="CB189" s="396"/>
      <c r="CC189" s="396"/>
      <c r="CD189" s="396"/>
      <c r="CE189" s="396"/>
      <c r="CF189" s="396"/>
      <c r="CG189" s="396"/>
      <c r="CH189" s="396"/>
      <c r="CI189" s="396"/>
      <c r="CJ189" s="396"/>
      <c r="CK189" s="396"/>
      <c r="CL189" s="396"/>
      <c r="CM189" s="396"/>
      <c r="CN189" s="396"/>
      <c r="CO189" s="396"/>
      <c r="CP189" s="396"/>
      <c r="CQ189" s="396"/>
      <c r="CR189" s="396"/>
      <c r="CS189" s="396"/>
      <c r="CT189" s="396"/>
      <c r="CU189" s="396"/>
      <c r="CV189" s="396"/>
      <c r="CW189" s="396"/>
      <c r="CX189" s="396"/>
      <c r="CY189" s="396"/>
      <c r="CZ189" s="396"/>
      <c r="DA189" s="396"/>
      <c r="DB189" s="396"/>
      <c r="DC189" s="396"/>
      <c r="DD189" s="396"/>
      <c r="DE189" s="396"/>
      <c r="DF189" s="396"/>
      <c r="DG189" s="396"/>
      <c r="DH189" s="396"/>
      <c r="DI189" s="396"/>
      <c r="DJ189" s="396"/>
      <c r="DK189" s="396"/>
      <c r="DL189" s="396"/>
      <c r="DM189" s="396"/>
      <c r="DN189" s="396"/>
      <c r="DO189" s="396"/>
      <c r="DP189" s="396"/>
      <c r="DQ189" s="396"/>
      <c r="DR189" s="396"/>
      <c r="DS189" s="396"/>
      <c r="DT189" s="396"/>
      <c r="DU189" s="396"/>
      <c r="DV189" s="396"/>
      <c r="DW189" s="396"/>
      <c r="DX189" s="396"/>
      <c r="DY189" s="396"/>
      <c r="DZ189" s="396"/>
      <c r="EA189" s="396"/>
      <c r="EB189" s="396"/>
      <c r="EC189" s="396"/>
      <c r="ED189" s="396"/>
      <c r="EE189" s="396"/>
      <c r="EF189" s="396"/>
      <c r="EG189" s="396"/>
      <c r="EH189" s="396"/>
      <c r="EI189" s="396"/>
      <c r="EJ189" s="396"/>
      <c r="EK189" s="396"/>
      <c r="EL189" s="396"/>
      <c r="EM189" s="396"/>
      <c r="EN189" s="396"/>
      <c r="EO189" s="396"/>
      <c r="EP189" s="219"/>
      <c r="EQ189" s="18"/>
      <c r="ER189" s="18"/>
      <c r="ES189" s="18"/>
      <c r="ET189" s="18"/>
      <c r="EU189" s="18"/>
      <c r="EV189" s="81"/>
      <c r="EW189" s="81"/>
      <c r="EX189" s="81"/>
      <c r="EY189" s="81"/>
      <c r="EZ189" s="81"/>
      <c r="FA189" s="81"/>
      <c r="FB189" s="81"/>
      <c r="FC189" s="81"/>
      <c r="FD189" s="81"/>
      <c r="FE189" s="81"/>
      <c r="FF189" s="81"/>
      <c r="FG189" s="81"/>
      <c r="FH189" s="81"/>
      <c r="FI189" s="81"/>
      <c r="FJ189" s="81"/>
      <c r="FK189" s="81"/>
      <c r="FL189" s="81"/>
      <c r="FM189" s="81"/>
      <c r="FN189" s="81"/>
      <c r="FO189" s="81"/>
      <c r="FP189" s="81"/>
      <c r="FQ189" s="81"/>
      <c r="FR189" s="81"/>
      <c r="FS189" s="81"/>
      <c r="FT189" s="81"/>
      <c r="FU189" s="81"/>
      <c r="FV189" s="81"/>
      <c r="FW189" s="81"/>
      <c r="FX189" s="81"/>
      <c r="FY189" s="81"/>
      <c r="FZ189" s="81"/>
      <c r="GA189" s="81"/>
      <c r="GB189" s="81"/>
      <c r="GC189" s="81"/>
      <c r="GD189" s="81"/>
      <c r="GE189" s="81"/>
      <c r="GF189" s="81"/>
      <c r="GG189" s="81"/>
      <c r="GH189" s="81"/>
      <c r="GI189" s="81"/>
      <c r="GJ189" s="81"/>
      <c r="GK189" s="81"/>
      <c r="GL189" s="81"/>
      <c r="GM189" s="81"/>
      <c r="GN189" s="81"/>
      <c r="GO189" s="81"/>
      <c r="GP189" s="81"/>
      <c r="GQ189" s="81"/>
      <c r="GR189" s="81"/>
      <c r="GS189" s="81"/>
      <c r="GT189" s="81"/>
      <c r="GU189" s="81"/>
      <c r="GV189" s="81"/>
      <c r="GW189" s="81"/>
      <c r="GX189" s="81"/>
      <c r="GY189" s="81"/>
      <c r="GZ189" s="81"/>
      <c r="HA189" s="81"/>
      <c r="HB189" s="81"/>
      <c r="HC189" s="81"/>
      <c r="HD189" s="81"/>
      <c r="HE189" s="81"/>
      <c r="HF189" s="81"/>
      <c r="HG189" s="81"/>
      <c r="HH189" s="81"/>
      <c r="HI189" s="81"/>
      <c r="HJ189" s="81"/>
      <c r="HK189" s="81"/>
      <c r="HL189" s="81"/>
      <c r="HM189" s="81"/>
      <c r="HN189" s="81"/>
      <c r="HO189" s="81"/>
      <c r="HP189" s="81"/>
      <c r="HQ189" s="81"/>
      <c r="HR189" s="81"/>
      <c r="HS189" s="81"/>
      <c r="HT189" s="81"/>
      <c r="HU189" s="81"/>
      <c r="HV189" s="81"/>
      <c r="HW189" s="81"/>
      <c r="HX189" s="81"/>
      <c r="HY189" s="81"/>
      <c r="HZ189" s="81"/>
      <c r="IA189" s="81"/>
      <c r="IB189" s="81"/>
      <c r="IC189" s="81"/>
      <c r="ID189" s="81"/>
      <c r="IE189" s="81"/>
      <c r="IF189" s="81"/>
      <c r="IG189" s="81"/>
      <c r="IH189" s="81"/>
      <c r="II189" s="81"/>
      <c r="IJ189" s="81"/>
      <c r="IK189" s="81"/>
      <c r="IL189" s="81"/>
      <c r="IM189" s="81"/>
      <c r="IN189" s="81"/>
      <c r="IO189" s="81"/>
      <c r="IP189" s="81"/>
      <c r="IQ189" s="81"/>
      <c r="IR189" s="81"/>
      <c r="IS189" s="81"/>
      <c r="IT189" s="81"/>
      <c r="IU189" s="81"/>
      <c r="IV189" s="81"/>
      <c r="IW189" s="81"/>
      <c r="IX189" s="81"/>
      <c r="IY189" s="81"/>
      <c r="IZ189" s="81"/>
      <c r="JA189" s="81"/>
      <c r="JB189" s="81"/>
      <c r="JC189" s="81"/>
      <c r="JD189" s="81"/>
      <c r="JE189" s="81"/>
      <c r="JF189" s="81"/>
      <c r="JG189" s="81"/>
      <c r="JH189" s="81"/>
      <c r="JI189" s="81"/>
      <c r="JJ189" s="81"/>
      <c r="JK189" s="81"/>
      <c r="JL189" s="81"/>
      <c r="JM189" s="81"/>
      <c r="JN189" s="81"/>
      <c r="JO189" s="81"/>
      <c r="JP189" s="81"/>
      <c r="JQ189" s="81"/>
      <c r="JR189" s="81"/>
      <c r="JS189" s="81"/>
      <c r="JT189" s="81"/>
      <c r="JU189" s="81"/>
      <c r="JV189" s="81"/>
      <c r="JW189" s="81"/>
      <c r="JX189" s="81"/>
      <c r="JY189"/>
      <c r="JZ189" s="262"/>
      <c r="KA189" s="262"/>
      <c r="KB189" s="262"/>
      <c r="KC189" s="262"/>
      <c r="KD189" s="262"/>
      <c r="KE189" s="262"/>
      <c r="KF189" s="262"/>
      <c r="KG189" s="262"/>
      <c r="KH189" s="262"/>
      <c r="KI189" s="262"/>
      <c r="KJ189" s="262"/>
      <c r="KK189" s="262"/>
      <c r="KL189" s="262"/>
      <c r="KM189" s="262"/>
      <c r="KN189" s="262"/>
      <c r="KO189" s="262"/>
      <c r="KP189" s="262"/>
      <c r="KQ189" s="262"/>
      <c r="KR189" s="262"/>
      <c r="KS189" s="262"/>
      <c r="KT189" s="262"/>
      <c r="KU189" s="262"/>
      <c r="KV189" s="262"/>
      <c r="KW189" s="262"/>
      <c r="KX189" s="262"/>
      <c r="KY189" s="262"/>
      <c r="KZ189" s="262"/>
      <c r="LA189" s="262"/>
      <c r="LB189" s="262"/>
      <c r="LC189" s="262"/>
      <c r="LD189" s="262"/>
      <c r="LE189" s="262"/>
      <c r="LF189" s="262"/>
      <c r="LG189" s="262"/>
      <c r="LH189" s="262"/>
      <c r="LI189" s="262"/>
      <c r="LJ189" s="262"/>
      <c r="LK189" s="262"/>
      <c r="LL189" s="262"/>
      <c r="LM189" s="262"/>
      <c r="LN189" s="262"/>
      <c r="LO189" s="262"/>
      <c r="LP189" s="262"/>
      <c r="LQ189" s="262"/>
      <c r="LR189" s="262"/>
      <c r="LS189" s="262"/>
      <c r="LT189" s="262"/>
      <c r="LU189" s="262"/>
      <c r="LV189" s="262"/>
      <c r="LW189" s="262"/>
      <c r="LX189" s="262"/>
      <c r="LY189" s="262"/>
      <c r="LZ189" s="262"/>
      <c r="MA189" s="262"/>
      <c r="MB189" s="262"/>
      <c r="MC189" s="262"/>
      <c r="MD189" s="262"/>
      <c r="ME189" s="262"/>
      <c r="MF189" s="262"/>
      <c r="MG189" s="262"/>
      <c r="MH189" s="262"/>
      <c r="MI189" s="262"/>
      <c r="MJ189" s="262"/>
      <c r="MK189" s="262"/>
      <c r="ML189" s="262"/>
      <c r="MM189" s="262"/>
      <c r="MN189" s="262"/>
      <c r="MO189" s="262"/>
      <c r="MP189" s="262"/>
      <c r="MQ189" s="262"/>
      <c r="MR189" s="262"/>
      <c r="MS189" s="262"/>
      <c r="MT189" s="262"/>
      <c r="MU189" s="262"/>
      <c r="MV189" s="262"/>
      <c r="MW189" s="262"/>
      <c r="MX189" s="262"/>
      <c r="MY189" s="262"/>
      <c r="MZ189" s="262"/>
      <c r="NA189" s="262"/>
      <c r="NB189" s="262"/>
      <c r="NC189" s="262"/>
      <c r="ND189" s="262"/>
      <c r="NE189" s="262"/>
      <c r="NF189" s="262"/>
      <c r="NG189" s="262"/>
      <c r="NH189" s="262"/>
      <c r="NI189" s="262"/>
      <c r="NJ189" s="262"/>
      <c r="NK189" s="262"/>
      <c r="NL189" s="262"/>
      <c r="NM189" s="262"/>
      <c r="NN189" s="262"/>
      <c r="NO189" s="262"/>
      <c r="NP189" s="262"/>
      <c r="NQ189" s="262"/>
      <c r="NR189" s="262"/>
      <c r="NS189" s="262"/>
      <c r="NT189" s="262"/>
      <c r="NU189" s="262"/>
      <c r="NV189" s="262"/>
      <c r="NW189" s="262"/>
      <c r="NX189" s="262"/>
      <c r="NY189" s="262"/>
      <c r="NZ189" s="262"/>
      <c r="OA189" s="262"/>
      <c r="OB189" s="262"/>
      <c r="OC189" s="262"/>
      <c r="OD189" s="262"/>
      <c r="OE189" s="262"/>
      <c r="OF189" s="262"/>
      <c r="OG189" s="262"/>
      <c r="OH189" s="262"/>
      <c r="OI189" s="262"/>
      <c r="OJ189" s="262"/>
      <c r="OK189" s="262"/>
      <c r="OL189" s="262"/>
      <c r="OM189" s="262"/>
      <c r="ON189" s="262"/>
      <c r="OO189" s="262"/>
      <c r="OP189" s="262"/>
      <c r="OQ189" s="262"/>
      <c r="OR189" s="262"/>
      <c r="OS189" s="262"/>
      <c r="OT189" s="262"/>
      <c r="OU189" s="262"/>
      <c r="OV189" s="262"/>
      <c r="OW189" s="262"/>
      <c r="OX189" s="262"/>
      <c r="OY189" s="262"/>
      <c r="OZ189" s="262"/>
      <c r="PA189" s="262"/>
      <c r="PB189" s="262"/>
      <c r="PC189" s="262"/>
      <c r="PD189" s="262"/>
      <c r="PE189" s="262"/>
      <c r="PF189" s="262"/>
      <c r="PG189" s="262"/>
      <c r="PH189" s="262"/>
    </row>
    <row r="190" spans="1:424" x14ac:dyDescent="0.35">
      <c r="A190"/>
      <c r="B190" s="34" t="s">
        <v>366</v>
      </c>
      <c r="C190" s="400"/>
      <c r="D190" s="415">
        <f>SUM(D188:D189)</f>
        <v>9021.6850221715486</v>
      </c>
      <c r="E190" s="445">
        <f>SUM(E188:E189)</f>
        <v>707935051.93010986</v>
      </c>
      <c r="F190" s="520" t="s">
        <v>367</v>
      </c>
      <c r="G190" s="400" t="s">
        <v>368</v>
      </c>
      <c r="H190" s="445">
        <f>+H179</f>
        <v>45541921.747395799</v>
      </c>
      <c r="I190" s="445">
        <f>+I179</f>
        <v>48760832.658451453</v>
      </c>
      <c r="J190" s="395"/>
      <c r="K190" s="396"/>
      <c r="L190" s="396"/>
      <c r="M190" s="396"/>
      <c r="N190" s="396"/>
      <c r="O190" s="396"/>
      <c r="P190" s="396"/>
      <c r="Q190" s="396"/>
      <c r="R190" s="396"/>
      <c r="S190" s="396"/>
      <c r="T190" s="396"/>
      <c r="U190" s="396"/>
      <c r="V190" s="396"/>
      <c r="W190" s="396"/>
      <c r="X190" s="396"/>
      <c r="Y190" s="396"/>
      <c r="Z190" s="396"/>
      <c r="AA190" s="396"/>
      <c r="AB190" s="396"/>
      <c r="AC190" s="396"/>
      <c r="AD190" s="396"/>
      <c r="AE190" s="396"/>
      <c r="AF190" s="396"/>
      <c r="AG190" s="396"/>
      <c r="AH190" s="396"/>
      <c r="AI190" s="396"/>
      <c r="AJ190" s="396"/>
      <c r="AK190" s="396"/>
      <c r="AL190" s="396"/>
      <c r="AM190" s="396"/>
      <c r="AN190" s="396"/>
      <c r="AO190" s="396"/>
      <c r="AP190" s="396"/>
      <c r="AQ190" s="396"/>
      <c r="AR190" s="396"/>
      <c r="AS190" s="396"/>
      <c r="AT190" s="396"/>
      <c r="AU190" s="396"/>
      <c r="AV190" s="396"/>
      <c r="AW190" s="396"/>
      <c r="AX190" s="396"/>
      <c r="AY190" s="396"/>
      <c r="AZ190" s="396"/>
      <c r="BA190" s="396"/>
      <c r="BB190" s="396"/>
      <c r="BC190" s="396"/>
      <c r="BD190" s="396"/>
      <c r="BE190" s="396"/>
      <c r="BF190" s="396"/>
      <c r="BG190" s="396"/>
      <c r="BH190" s="396"/>
      <c r="BI190" s="396"/>
      <c r="BJ190" s="396"/>
      <c r="BK190" s="396"/>
      <c r="BL190" s="396"/>
      <c r="BM190" s="396"/>
      <c r="BN190" s="396"/>
      <c r="BO190" s="396"/>
      <c r="BP190" s="396"/>
      <c r="BQ190" s="396"/>
      <c r="BR190" s="396"/>
      <c r="BS190" s="396"/>
      <c r="BT190" s="396"/>
      <c r="BU190" s="396"/>
      <c r="BV190" s="396"/>
      <c r="BW190" s="396"/>
      <c r="BX190" s="396"/>
      <c r="BY190" s="396"/>
      <c r="BZ190" s="396"/>
      <c r="CA190" s="396"/>
      <c r="CB190" s="396"/>
      <c r="CC190" s="396"/>
      <c r="CD190" s="396"/>
      <c r="CE190" s="396"/>
      <c r="CF190" s="396"/>
      <c r="CG190" s="396"/>
      <c r="CH190" s="396"/>
      <c r="CI190" s="396"/>
      <c r="CJ190" s="396"/>
      <c r="CK190" s="396"/>
      <c r="CL190" s="396"/>
      <c r="CM190" s="396"/>
      <c r="CN190" s="396"/>
      <c r="CO190" s="396"/>
      <c r="CP190" s="396"/>
      <c r="CQ190" s="396"/>
      <c r="CR190" s="396"/>
      <c r="CS190" s="396"/>
      <c r="CT190" s="396"/>
      <c r="CU190" s="396"/>
      <c r="CV190" s="396"/>
      <c r="CW190" s="396"/>
      <c r="CX190" s="396"/>
      <c r="CY190" s="396"/>
      <c r="CZ190" s="396"/>
      <c r="DA190" s="396"/>
      <c r="DB190" s="396"/>
      <c r="DC190" s="396"/>
      <c r="DD190" s="396"/>
      <c r="DE190" s="396"/>
      <c r="DF190" s="396"/>
      <c r="DG190" s="396"/>
      <c r="DH190" s="396"/>
      <c r="DI190" s="396"/>
      <c r="DJ190" s="396"/>
      <c r="DK190" s="396"/>
      <c r="DL190" s="396"/>
      <c r="DM190" s="396"/>
      <c r="DN190" s="396"/>
      <c r="DO190" s="396"/>
      <c r="DP190" s="396"/>
      <c r="DQ190" s="396"/>
      <c r="DR190" s="396"/>
      <c r="DS190" s="396"/>
      <c r="DT190" s="396"/>
      <c r="DU190" s="396"/>
      <c r="DV190" s="396"/>
      <c r="DW190" s="396"/>
      <c r="DX190" s="396"/>
      <c r="DY190" s="396"/>
      <c r="DZ190" s="396"/>
      <c r="EA190" s="396"/>
      <c r="EB190" s="396"/>
      <c r="EC190" s="396"/>
      <c r="ED190" s="396"/>
      <c r="EE190" s="396"/>
      <c r="EF190" s="396"/>
      <c r="EG190" s="396"/>
      <c r="EH190" s="396"/>
      <c r="EI190" s="396"/>
      <c r="EJ190" s="396"/>
      <c r="EK190" s="396"/>
      <c r="EL190" s="396"/>
      <c r="EM190" s="396"/>
      <c r="EN190" s="396"/>
      <c r="EO190" s="396"/>
      <c r="EP190" s="219"/>
      <c r="EQ190" s="18"/>
      <c r="ER190" s="18"/>
      <c r="ES190" s="18"/>
      <c r="ET190" s="18"/>
      <c r="EU190" s="18"/>
      <c r="EV190" s="81"/>
      <c r="EW190" s="81"/>
      <c r="EX190" s="81"/>
      <c r="EY190" s="81"/>
      <c r="EZ190" s="81"/>
      <c r="FA190" s="81"/>
      <c r="FB190" s="81"/>
      <c r="FC190" s="81"/>
      <c r="FD190" s="81"/>
      <c r="FE190" s="81"/>
      <c r="FF190" s="81"/>
      <c r="FG190" s="81"/>
      <c r="FH190" s="81"/>
      <c r="FI190" s="81"/>
      <c r="FJ190" s="81"/>
      <c r="FK190" s="81"/>
      <c r="FL190" s="81"/>
      <c r="FM190" s="81"/>
      <c r="FN190" s="81"/>
      <c r="FO190" s="81"/>
      <c r="FP190" s="81"/>
      <c r="FQ190" s="81"/>
      <c r="FR190" s="81"/>
      <c r="FS190" s="81"/>
      <c r="FT190" s="81"/>
      <c r="FU190" s="81"/>
      <c r="FV190" s="81"/>
      <c r="FW190" s="81"/>
      <c r="FX190" s="81"/>
      <c r="FY190" s="81"/>
      <c r="FZ190" s="81"/>
      <c r="GA190" s="81"/>
      <c r="GB190" s="81"/>
      <c r="GC190" s="81"/>
      <c r="GD190" s="81"/>
      <c r="GE190" s="81"/>
      <c r="GF190" s="81"/>
      <c r="GG190" s="81"/>
      <c r="GH190" s="81"/>
      <c r="GI190" s="81"/>
      <c r="GJ190" s="81"/>
      <c r="GK190" s="81"/>
      <c r="GL190" s="81"/>
      <c r="GM190" s="81"/>
      <c r="GN190" s="81"/>
      <c r="GO190" s="81"/>
      <c r="GP190" s="81"/>
      <c r="GQ190" s="81"/>
      <c r="GR190" s="81"/>
      <c r="GS190" s="81"/>
      <c r="GT190" s="81"/>
      <c r="GU190" s="81"/>
      <c r="GV190" s="81"/>
      <c r="GW190" s="81"/>
      <c r="GX190" s="81"/>
      <c r="GY190" s="81"/>
      <c r="GZ190" s="81"/>
      <c r="HA190" s="81"/>
      <c r="HB190" s="81"/>
      <c r="HC190" s="81"/>
      <c r="HD190" s="81"/>
      <c r="HE190" s="81"/>
      <c r="HF190" s="81"/>
      <c r="HG190" s="81"/>
      <c r="HH190" s="81"/>
      <c r="HI190" s="81"/>
      <c r="HJ190" s="81"/>
      <c r="HK190" s="81"/>
      <c r="HL190" s="81"/>
      <c r="HM190" s="81"/>
      <c r="HN190" s="81"/>
      <c r="HO190" s="81"/>
      <c r="HP190" s="81"/>
      <c r="HQ190" s="81"/>
      <c r="HR190" s="81"/>
      <c r="HS190" s="81"/>
      <c r="HT190" s="81"/>
      <c r="HU190" s="81"/>
      <c r="HV190" s="81"/>
      <c r="HW190" s="81"/>
      <c r="HX190" s="81"/>
      <c r="HY190" s="81"/>
      <c r="HZ190" s="81"/>
      <c r="IA190" s="81"/>
      <c r="IB190" s="81"/>
      <c r="IC190" s="81"/>
      <c r="ID190" s="81"/>
      <c r="IE190" s="81"/>
      <c r="IF190" s="81"/>
      <c r="IG190" s="81"/>
      <c r="IH190" s="81"/>
      <c r="II190" s="81"/>
      <c r="IJ190" s="81"/>
      <c r="IK190" s="81"/>
      <c r="IL190" s="81"/>
      <c r="IM190" s="81"/>
      <c r="IN190" s="81"/>
      <c r="IO190" s="81"/>
      <c r="IP190" s="81"/>
      <c r="IQ190" s="81"/>
      <c r="IR190" s="81"/>
      <c r="IS190" s="81"/>
      <c r="IT190" s="81"/>
      <c r="IU190" s="81"/>
      <c r="IV190" s="81"/>
      <c r="IW190" s="81"/>
      <c r="IX190" s="81"/>
      <c r="IY190" s="81"/>
      <c r="IZ190" s="81"/>
      <c r="JA190" s="81"/>
      <c r="JB190" s="81"/>
      <c r="JC190" s="81"/>
      <c r="JD190" s="81"/>
      <c r="JE190" s="81"/>
      <c r="JF190" s="81"/>
      <c r="JG190" s="81"/>
      <c r="JH190" s="81"/>
      <c r="JI190" s="81"/>
      <c r="JJ190" s="81"/>
      <c r="JK190" s="81"/>
      <c r="JL190" s="81"/>
      <c r="JM190" s="81"/>
      <c r="JN190" s="81"/>
      <c r="JO190" s="81"/>
      <c r="JP190" s="81"/>
      <c r="JQ190" s="81"/>
      <c r="JR190" s="81"/>
      <c r="JS190" s="81"/>
      <c r="JT190" s="81"/>
      <c r="JU190" s="81"/>
      <c r="JV190" s="81"/>
      <c r="JW190" s="81"/>
      <c r="JX190" s="81"/>
      <c r="JY190"/>
      <c r="JZ190" s="262"/>
      <c r="KA190" s="262"/>
      <c r="KB190" s="262"/>
      <c r="KC190" s="262"/>
      <c r="KD190" s="262"/>
      <c r="KE190" s="262"/>
      <c r="KF190" s="262"/>
      <c r="KG190" s="262"/>
      <c r="KH190" s="262"/>
      <c r="KI190" s="262"/>
      <c r="KJ190" s="262"/>
      <c r="KK190" s="262"/>
      <c r="KL190" s="262"/>
      <c r="KM190" s="262"/>
      <c r="KN190" s="262"/>
      <c r="KO190" s="262"/>
      <c r="KP190" s="262"/>
      <c r="KQ190" s="262"/>
      <c r="KR190" s="262"/>
      <c r="KS190" s="262"/>
      <c r="KT190" s="262"/>
      <c r="KU190" s="262"/>
      <c r="KV190" s="262"/>
      <c r="KW190" s="262"/>
      <c r="KX190" s="262"/>
      <c r="KY190" s="262"/>
      <c r="KZ190" s="262"/>
      <c r="LA190" s="262"/>
      <c r="LB190" s="262"/>
      <c r="LC190" s="262"/>
      <c r="LD190" s="262"/>
      <c r="LE190" s="262"/>
      <c r="LF190" s="262"/>
      <c r="LG190" s="262"/>
      <c r="LH190" s="262"/>
      <c r="LI190" s="262"/>
      <c r="LJ190" s="262"/>
      <c r="LK190" s="262"/>
      <c r="LL190" s="262"/>
      <c r="LM190" s="262"/>
      <c r="LN190" s="262"/>
      <c r="LO190" s="262"/>
      <c r="LP190" s="262"/>
      <c r="LQ190" s="262"/>
      <c r="LR190" s="262"/>
      <c r="LS190" s="262"/>
      <c r="LT190" s="262"/>
      <c r="LU190" s="262"/>
      <c r="LV190" s="262"/>
      <c r="LW190" s="262"/>
      <c r="LX190" s="262"/>
      <c r="LY190" s="262"/>
      <c r="LZ190" s="262"/>
      <c r="MA190" s="262"/>
      <c r="MB190" s="262"/>
      <c r="MC190" s="262"/>
      <c r="MD190" s="262"/>
      <c r="ME190" s="262"/>
      <c r="MF190" s="262"/>
      <c r="MG190" s="262"/>
      <c r="MH190" s="262"/>
      <c r="MI190" s="262"/>
      <c r="MJ190" s="262"/>
      <c r="MK190" s="262"/>
      <c r="ML190" s="262"/>
      <c r="MM190" s="262"/>
      <c r="MN190" s="262"/>
      <c r="MO190" s="262"/>
      <c r="MP190" s="262"/>
      <c r="MQ190" s="262"/>
      <c r="MR190" s="262"/>
      <c r="MS190" s="262"/>
      <c r="MT190" s="262"/>
      <c r="MU190" s="262"/>
      <c r="MV190" s="262"/>
      <c r="MW190" s="262"/>
      <c r="MX190" s="262"/>
      <c r="MY190" s="262"/>
      <c r="MZ190" s="262"/>
      <c r="NA190" s="262"/>
      <c r="NB190" s="262"/>
      <c r="NC190" s="262"/>
      <c r="ND190" s="262"/>
      <c r="NE190" s="262"/>
      <c r="NF190" s="262"/>
      <c r="NG190" s="262"/>
      <c r="NH190" s="262"/>
      <c r="NI190" s="262"/>
      <c r="NJ190" s="262"/>
      <c r="NK190" s="262"/>
      <c r="NL190" s="262"/>
      <c r="NM190" s="262"/>
      <c r="NN190" s="262"/>
      <c r="NO190" s="262"/>
      <c r="NP190" s="262"/>
      <c r="NQ190" s="262"/>
      <c r="NR190" s="262"/>
      <c r="NS190" s="262"/>
      <c r="NT190" s="262"/>
      <c r="NU190" s="262"/>
      <c r="NV190" s="262"/>
      <c r="NW190" s="262"/>
      <c r="NX190" s="262"/>
      <c r="NY190" s="262"/>
      <c r="NZ190" s="262"/>
      <c r="OA190" s="262"/>
      <c r="OB190" s="262"/>
      <c r="OC190" s="262"/>
      <c r="OD190" s="262"/>
      <c r="OE190" s="262"/>
      <c r="OF190" s="262"/>
      <c r="OG190" s="262"/>
      <c r="OH190" s="262"/>
      <c r="OI190" s="262"/>
      <c r="OJ190" s="262"/>
      <c r="OK190" s="262"/>
      <c r="OL190" s="262"/>
      <c r="OM190" s="262"/>
      <c r="ON190" s="262"/>
      <c r="OO190" s="262"/>
      <c r="OP190" s="262"/>
      <c r="OQ190" s="262"/>
      <c r="OR190" s="262"/>
      <c r="OS190" s="262"/>
      <c r="OT190" s="262"/>
      <c r="OU190" s="262"/>
      <c r="OV190" s="262"/>
      <c r="OW190" s="262"/>
      <c r="OX190" s="262"/>
      <c r="OY190" s="262"/>
      <c r="OZ190" s="262"/>
      <c r="PA190" s="262"/>
      <c r="PB190" s="262"/>
      <c r="PC190" s="262"/>
      <c r="PD190" s="262"/>
      <c r="PE190" s="262"/>
      <c r="PF190" s="262"/>
      <c r="PG190" s="262"/>
      <c r="PH190" s="262"/>
    </row>
    <row r="191" spans="1:424" x14ac:dyDescent="0.35">
      <c r="A191"/>
      <c r="B191" s="444" t="str">
        <f>Summary!B28</f>
        <v>Construction Loan Payoff</v>
      </c>
      <c r="C191" s="400"/>
      <c r="D191" s="518">
        <f>+E191/Units</f>
        <v>-2997.3431186036514</v>
      </c>
      <c r="E191" s="474">
        <f>Summary!G28</f>
        <v>-235202653.50721359</v>
      </c>
      <c r="F191" s="521">
        <f>Project_Cost_Total</f>
        <v>448856635.1614815</v>
      </c>
      <c r="G191" s="454" t="s">
        <v>369</v>
      </c>
      <c r="H191" s="489">
        <f>H190/H189</f>
        <v>679647027.91220641</v>
      </c>
      <c r="I191" s="489">
        <f>I190/I189</f>
        <v>722382706.05113256</v>
      </c>
      <c r="J191" s="395"/>
      <c r="K191" s="396"/>
      <c r="L191" s="396"/>
      <c r="M191" s="396"/>
      <c r="N191" s="396"/>
      <c r="O191" s="396"/>
      <c r="P191" s="396"/>
      <c r="Q191" s="396"/>
      <c r="R191" s="396"/>
      <c r="S191" s="396"/>
      <c r="T191" s="396"/>
      <c r="U191" s="396"/>
      <c r="V191" s="396"/>
      <c r="W191" s="396"/>
      <c r="X191" s="396"/>
      <c r="Y191" s="396"/>
      <c r="Z191" s="396"/>
      <c r="AA191" s="396"/>
      <c r="AB191" s="396"/>
      <c r="AC191" s="396"/>
      <c r="AD191" s="396"/>
      <c r="AE191" s="396"/>
      <c r="AF191" s="396"/>
      <c r="AG191" s="396"/>
      <c r="AH191" s="396"/>
      <c r="AI191" s="396"/>
      <c r="AJ191" s="396"/>
      <c r="AK191" s="396"/>
      <c r="AL191" s="396"/>
      <c r="AM191" s="396"/>
      <c r="AN191" s="396"/>
      <c r="AO191" s="396"/>
      <c r="AP191" s="396"/>
      <c r="AQ191" s="396"/>
      <c r="AR191" s="396"/>
      <c r="AS191" s="396"/>
      <c r="AT191" s="396"/>
      <c r="AU191" s="396"/>
      <c r="AV191" s="396"/>
      <c r="AW191" s="396"/>
      <c r="AX191" s="396"/>
      <c r="AY191" s="396"/>
      <c r="AZ191" s="396"/>
      <c r="BA191" s="396"/>
      <c r="BB191" s="396"/>
      <c r="BC191" s="396"/>
      <c r="BD191" s="396"/>
      <c r="BE191" s="396"/>
      <c r="BF191" s="396"/>
      <c r="BG191" s="396"/>
      <c r="BH191" s="396"/>
      <c r="BI191" s="396"/>
      <c r="BJ191" s="396"/>
      <c r="BK191" s="396"/>
      <c r="BL191" s="396"/>
      <c r="BM191" s="396"/>
      <c r="BN191" s="396"/>
      <c r="BO191" s="396"/>
      <c r="BP191" s="396"/>
      <c r="BQ191" s="396"/>
      <c r="BR191" s="396"/>
      <c r="BS191" s="396"/>
      <c r="BT191" s="396"/>
      <c r="BU191" s="396"/>
      <c r="BV191" s="396"/>
      <c r="BW191" s="396"/>
      <c r="BX191" s="396"/>
      <c r="BY191" s="396"/>
      <c r="BZ191" s="396"/>
      <c r="CA191" s="396"/>
      <c r="CB191" s="396"/>
      <c r="CC191" s="396"/>
      <c r="CD191" s="396"/>
      <c r="CE191" s="396"/>
      <c r="CF191" s="396"/>
      <c r="CG191" s="396"/>
      <c r="CH191" s="396"/>
      <c r="CI191" s="396"/>
      <c r="CJ191" s="396"/>
      <c r="CK191" s="396"/>
      <c r="CL191" s="396"/>
      <c r="CM191" s="396"/>
      <c r="CN191" s="396"/>
      <c r="CO191" s="396"/>
      <c r="CP191" s="396"/>
      <c r="CQ191" s="396"/>
      <c r="CR191" s="396"/>
      <c r="CS191" s="396"/>
      <c r="CT191" s="396"/>
      <c r="CU191" s="396"/>
      <c r="CV191" s="396"/>
      <c r="CW191" s="396"/>
      <c r="CX191" s="396"/>
      <c r="CY191" s="396"/>
      <c r="CZ191" s="396"/>
      <c r="DA191" s="396"/>
      <c r="DB191" s="396"/>
      <c r="DC191" s="396"/>
      <c r="DD191" s="396"/>
      <c r="DE191" s="396"/>
      <c r="DF191" s="396"/>
      <c r="DG191" s="396"/>
      <c r="DH191" s="396"/>
      <c r="DI191" s="396"/>
      <c r="DJ191" s="396"/>
      <c r="DK191" s="396"/>
      <c r="DL191" s="396"/>
      <c r="DM191" s="396"/>
      <c r="DN191" s="396"/>
      <c r="DO191" s="396"/>
      <c r="DP191" s="396"/>
      <c r="DQ191" s="396"/>
      <c r="DR191" s="396"/>
      <c r="DS191" s="396"/>
      <c r="DT191" s="396"/>
      <c r="DU191" s="396"/>
      <c r="DV191" s="396"/>
      <c r="DW191" s="396"/>
      <c r="DX191" s="396"/>
      <c r="DY191" s="396"/>
      <c r="DZ191" s="396"/>
      <c r="EA191" s="396"/>
      <c r="EB191" s="396"/>
      <c r="EC191" s="396"/>
      <c r="ED191" s="396"/>
      <c r="EE191" s="396"/>
      <c r="EF191" s="396"/>
      <c r="EG191" s="396"/>
      <c r="EH191" s="396"/>
      <c r="EI191" s="396"/>
      <c r="EJ191" s="396"/>
      <c r="EK191" s="396"/>
      <c r="EL191" s="396"/>
      <c r="EM191" s="396"/>
      <c r="EN191" s="396"/>
      <c r="EO191" s="396"/>
      <c r="EP191" s="219"/>
      <c r="EQ191" s="18"/>
      <c r="ER191" s="18"/>
      <c r="ES191" s="18"/>
      <c r="ET191" s="18"/>
      <c r="EU191" s="18"/>
      <c r="EV191" s="18"/>
      <c r="EW191" s="18"/>
      <c r="EX191" s="18"/>
      <c r="EY191" s="18"/>
      <c r="EZ191" s="18"/>
      <c r="FA191" s="18"/>
      <c r="FB191" s="18"/>
      <c r="FC191" s="18"/>
      <c r="FD191" s="18"/>
      <c r="FE191" s="18"/>
      <c r="FF191" s="18"/>
      <c r="FG191" s="18"/>
      <c r="FH191" s="18"/>
      <c r="FI191" s="18"/>
      <c r="FJ191" s="18"/>
      <c r="FK191" s="18"/>
      <c r="FL191" s="18"/>
      <c r="FM191" s="18"/>
      <c r="FN191" s="18"/>
      <c r="FO191" s="18"/>
      <c r="FP191" s="18"/>
      <c r="FQ191" s="18"/>
      <c r="FR191" s="18"/>
      <c r="FS191" s="18"/>
      <c r="FT191" s="18"/>
      <c r="FU191" s="18"/>
      <c r="FV191" s="18"/>
      <c r="FW191" s="18"/>
      <c r="FX191" s="18"/>
      <c r="FY191" s="18"/>
      <c r="FZ191" s="18"/>
      <c r="GA191" s="18"/>
      <c r="GB191" s="18"/>
      <c r="GC191" s="18"/>
      <c r="GD191" s="18"/>
      <c r="GE191" s="18"/>
      <c r="GF191" s="18"/>
      <c r="GG191" s="18"/>
      <c r="GH191" s="18"/>
      <c r="GI191" s="18"/>
      <c r="GJ191" s="18"/>
      <c r="GK191" s="18"/>
      <c r="GL191" s="18"/>
      <c r="GM191" s="18"/>
      <c r="GN191" s="18"/>
      <c r="GO191" s="18"/>
      <c r="GP191" s="18"/>
      <c r="GQ191" s="18"/>
      <c r="GR191" s="18"/>
      <c r="GS191" s="18"/>
      <c r="GT191" s="18"/>
      <c r="GU191" s="18"/>
      <c r="GV191" s="18"/>
      <c r="GW191" s="18"/>
      <c r="GX191" s="18"/>
      <c r="GY191" s="18"/>
      <c r="GZ191" s="18"/>
      <c r="HA191" s="18"/>
      <c r="HB191" s="18"/>
      <c r="HC191" s="18"/>
      <c r="HD191" s="18"/>
      <c r="HE191" s="18"/>
      <c r="HF191" s="18"/>
      <c r="HG191" s="18"/>
      <c r="HH191" s="18"/>
      <c r="HI191" s="18"/>
      <c r="HJ191" s="18"/>
      <c r="HK191" s="18"/>
      <c r="HL191" s="18"/>
      <c r="HM191" s="18"/>
      <c r="HN191" s="18"/>
      <c r="HO191" s="18"/>
      <c r="HP191" s="18"/>
      <c r="HQ191" s="18"/>
      <c r="HR191" s="18"/>
      <c r="HS191" s="18"/>
      <c r="HT191" s="18"/>
      <c r="HU191" s="18"/>
      <c r="HV191" s="18"/>
      <c r="HW191" s="18"/>
      <c r="HX191" s="18"/>
      <c r="HY191" s="18"/>
      <c r="HZ191" s="18"/>
      <c r="IA191" s="18"/>
      <c r="IB191" s="18"/>
      <c r="IC191" s="18"/>
      <c r="ID191" s="18"/>
      <c r="IE191" s="18"/>
      <c r="IF191" s="18"/>
      <c r="IG191" s="18"/>
      <c r="IH191" s="18"/>
      <c r="II191" s="18"/>
      <c r="IJ191" s="18"/>
      <c r="IK191" s="18"/>
      <c r="IL191" s="18"/>
      <c r="IM191" s="18"/>
      <c r="IN191" s="18"/>
      <c r="IO191" s="18"/>
      <c r="IP191" s="18"/>
      <c r="IQ191" s="18"/>
      <c r="IR191" s="18"/>
      <c r="IS191" s="18"/>
      <c r="IT191" s="18"/>
      <c r="IU191" s="18"/>
      <c r="IV191" s="18"/>
      <c r="IW191" s="18"/>
      <c r="IX191" s="18"/>
      <c r="IY191" s="18"/>
      <c r="IZ191" s="18"/>
      <c r="JA191" s="18"/>
      <c r="JB191" s="18"/>
      <c r="JC191" s="18"/>
      <c r="JD191" s="18"/>
      <c r="JE191" s="18"/>
      <c r="JF191" s="18"/>
      <c r="JG191" s="18"/>
      <c r="JH191" s="18"/>
      <c r="JI191" s="18"/>
      <c r="JJ191" s="18"/>
      <c r="JK191" s="18"/>
      <c r="JL191" s="18"/>
      <c r="JM191" s="18"/>
      <c r="JN191" s="18"/>
      <c r="JO191" s="18"/>
      <c r="JP191" s="18"/>
      <c r="JQ191" s="18"/>
      <c r="JR191" s="18"/>
      <c r="JS191" s="18"/>
      <c r="JT191" s="18"/>
      <c r="JU191" s="18"/>
      <c r="JV191" s="18"/>
      <c r="JW191" s="18"/>
      <c r="JX191" s="18"/>
      <c r="JY191"/>
      <c r="JZ191" s="262"/>
      <c r="KA191" s="262"/>
      <c r="KB191" s="262"/>
      <c r="KC191" s="262"/>
      <c r="KD191" s="262"/>
      <c r="KE191" s="262"/>
      <c r="KF191" s="262"/>
      <c r="KG191" s="262"/>
      <c r="KH191" s="262"/>
      <c r="KI191" s="262"/>
      <c r="KJ191" s="262"/>
      <c r="KK191" s="262"/>
      <c r="KL191" s="262"/>
      <c r="KM191" s="262"/>
      <c r="KN191" s="262"/>
      <c r="KO191" s="262"/>
      <c r="KP191" s="262"/>
      <c r="KQ191" s="262"/>
      <c r="KR191" s="262"/>
      <c r="KS191" s="262"/>
      <c r="KT191" s="262"/>
      <c r="KU191" s="262"/>
      <c r="KV191" s="262"/>
      <c r="KW191" s="262"/>
      <c r="KX191" s="262"/>
      <c r="KY191" s="262"/>
      <c r="KZ191" s="262"/>
      <c r="LA191" s="262"/>
      <c r="LB191" s="262"/>
      <c r="LC191" s="262"/>
      <c r="LD191" s="262"/>
      <c r="LE191" s="262"/>
      <c r="LF191" s="262"/>
      <c r="LG191" s="262"/>
      <c r="LH191" s="262"/>
      <c r="LI191" s="262"/>
      <c r="LJ191" s="262"/>
      <c r="LK191" s="262"/>
      <c r="LL191" s="262"/>
      <c r="LM191" s="262"/>
      <c r="LN191" s="262"/>
      <c r="LO191" s="262"/>
      <c r="LP191" s="262"/>
      <c r="LQ191" s="262"/>
      <c r="LR191" s="262"/>
      <c r="LS191" s="262"/>
      <c r="LT191" s="262"/>
      <c r="LU191" s="262"/>
      <c r="LV191" s="262"/>
      <c r="LW191" s="262"/>
      <c r="LX191" s="262"/>
      <c r="LY191" s="262"/>
      <c r="LZ191" s="262"/>
      <c r="MA191" s="262"/>
      <c r="MB191" s="262"/>
      <c r="MC191" s="262"/>
      <c r="MD191" s="262"/>
      <c r="ME191" s="262"/>
      <c r="MF191" s="262"/>
      <c r="MG191" s="262"/>
      <c r="MH191" s="262"/>
      <c r="MI191" s="262"/>
      <c r="MJ191" s="262"/>
      <c r="MK191" s="262"/>
      <c r="ML191" s="262"/>
      <c r="MM191" s="262"/>
      <c r="MN191" s="262"/>
      <c r="MO191" s="262"/>
      <c r="MP191" s="262"/>
      <c r="MQ191" s="262"/>
      <c r="MR191" s="262"/>
      <c r="MS191" s="262"/>
      <c r="MT191" s="262"/>
      <c r="MU191" s="262"/>
      <c r="MV191" s="262"/>
      <c r="MW191" s="262"/>
      <c r="MX191" s="262"/>
      <c r="MY191" s="262"/>
      <c r="MZ191" s="262"/>
      <c r="NA191" s="262"/>
      <c r="NB191" s="262"/>
      <c r="NC191" s="262"/>
      <c r="ND191" s="262"/>
      <c r="NE191" s="262"/>
      <c r="NF191" s="262"/>
      <c r="NG191" s="262"/>
      <c r="NH191" s="262"/>
      <c r="NI191" s="262"/>
      <c r="NJ191" s="262"/>
      <c r="NK191" s="262"/>
      <c r="NL191" s="262"/>
      <c r="NM191" s="262"/>
      <c r="NN191" s="262"/>
      <c r="NO191" s="262"/>
      <c r="NP191" s="262"/>
      <c r="NQ191" s="262"/>
      <c r="NR191" s="262"/>
      <c r="NS191" s="262"/>
      <c r="NT191" s="262"/>
      <c r="NU191" s="262"/>
      <c r="NV191" s="262"/>
      <c r="NW191" s="262"/>
      <c r="NX191" s="262"/>
      <c r="NY191" s="262"/>
      <c r="NZ191" s="262"/>
      <c r="OA191" s="262"/>
      <c r="OB191" s="262"/>
      <c r="OC191" s="262"/>
      <c r="OD191" s="262"/>
      <c r="OE191" s="262"/>
      <c r="OF191" s="262"/>
      <c r="OG191" s="262"/>
      <c r="OH191" s="262"/>
      <c r="OI191" s="262"/>
      <c r="OJ191" s="262"/>
      <c r="OK191" s="262"/>
      <c r="OL191" s="262"/>
      <c r="OM191" s="262"/>
      <c r="ON191" s="262"/>
      <c r="OO191" s="262"/>
      <c r="OP191" s="262"/>
      <c r="OQ191" s="262"/>
      <c r="OR191" s="262"/>
      <c r="OS191" s="262"/>
      <c r="OT191" s="262"/>
      <c r="OU191" s="262"/>
      <c r="OV191" s="262"/>
      <c r="OW191" s="262"/>
      <c r="OX191" s="262"/>
      <c r="OY191" s="262"/>
      <c r="OZ191" s="262"/>
      <c r="PA191" s="262"/>
      <c r="PB191" s="262"/>
      <c r="PC191" s="262"/>
      <c r="PD191" s="262"/>
      <c r="PE191" s="262"/>
      <c r="PF191" s="262"/>
      <c r="PG191" s="262"/>
      <c r="PH191" s="262"/>
    </row>
    <row r="192" spans="1:424" s="24" customFormat="1" x14ac:dyDescent="0.35">
      <c r="A192" s="437"/>
      <c r="B192" s="61" t="s">
        <v>81</v>
      </c>
      <c r="C192" s="454"/>
      <c r="D192" s="455">
        <f>SUM(D190:D191)</f>
        <v>6024.3419035678971</v>
      </c>
      <c r="E192" s="489">
        <f>SUM(E190:E191)</f>
        <v>472732398.42289627</v>
      </c>
      <c r="F192" s="519"/>
      <c r="G192" s="400" t="str">
        <f>"/"&amp;Unit_Type</f>
        <v>/M2</v>
      </c>
      <c r="H192" s="415">
        <f>+Valuation_Trended/Units</f>
        <v>8661.1920053427348</v>
      </c>
      <c r="I192" s="415">
        <f>+Valuation_Reversion/Units</f>
        <v>9205.801043032192</v>
      </c>
      <c r="J192" s="522"/>
      <c r="K192" s="523"/>
      <c r="L192" s="523"/>
      <c r="M192" s="523"/>
      <c r="N192" s="523"/>
      <c r="O192" s="523"/>
      <c r="P192" s="523"/>
      <c r="Q192" s="523"/>
      <c r="R192" s="523"/>
      <c r="S192" s="523"/>
      <c r="T192" s="523"/>
      <c r="U192" s="523"/>
      <c r="V192" s="523"/>
      <c r="W192" s="523"/>
      <c r="X192" s="523"/>
      <c r="Y192" s="523"/>
      <c r="Z192" s="523"/>
      <c r="AA192" s="523"/>
      <c r="AB192" s="523"/>
      <c r="AC192" s="523"/>
      <c r="AD192" s="523"/>
      <c r="AE192" s="523"/>
      <c r="AF192" s="523"/>
      <c r="AG192" s="523"/>
      <c r="AH192" s="523"/>
      <c r="AI192" s="523"/>
      <c r="AJ192" s="523"/>
      <c r="AK192" s="523"/>
      <c r="AL192" s="523"/>
      <c r="AM192" s="523"/>
      <c r="AN192" s="523"/>
      <c r="AO192" s="523"/>
      <c r="AP192" s="523"/>
      <c r="AQ192" s="523"/>
      <c r="AR192" s="523"/>
      <c r="AS192" s="523"/>
      <c r="AT192" s="523"/>
      <c r="AU192" s="523"/>
      <c r="AV192" s="523"/>
      <c r="AW192" s="523"/>
      <c r="AX192" s="523"/>
      <c r="AY192" s="523"/>
      <c r="AZ192" s="523"/>
      <c r="BA192" s="523"/>
      <c r="BB192" s="523"/>
      <c r="BC192" s="523"/>
      <c r="BD192" s="523"/>
      <c r="BE192" s="523"/>
      <c r="BF192" s="523"/>
      <c r="BG192" s="523"/>
      <c r="BH192" s="523"/>
      <c r="BI192" s="523"/>
      <c r="BJ192" s="523"/>
      <c r="BK192" s="523"/>
      <c r="BL192" s="523"/>
      <c r="BM192" s="523"/>
      <c r="BN192" s="523"/>
      <c r="BO192" s="523"/>
      <c r="BP192" s="523"/>
      <c r="BQ192" s="523"/>
      <c r="BR192" s="523"/>
      <c r="BS192" s="523"/>
      <c r="BT192" s="523"/>
      <c r="BU192" s="523"/>
      <c r="BV192" s="523"/>
      <c r="BW192" s="523"/>
      <c r="BX192" s="523"/>
      <c r="BY192" s="523"/>
      <c r="BZ192" s="523"/>
      <c r="CA192" s="523"/>
      <c r="CB192" s="523"/>
      <c r="CC192" s="523"/>
      <c r="CD192" s="523"/>
      <c r="CE192" s="523"/>
      <c r="CF192" s="523"/>
      <c r="CG192" s="523"/>
      <c r="CH192" s="523"/>
      <c r="CI192" s="523"/>
      <c r="CJ192" s="523"/>
      <c r="CK192" s="523"/>
      <c r="CL192" s="523"/>
      <c r="CM192" s="523"/>
      <c r="CN192" s="523"/>
      <c r="CO192" s="523"/>
      <c r="CP192" s="523"/>
      <c r="CQ192" s="523"/>
      <c r="CR192" s="523"/>
      <c r="CS192" s="523"/>
      <c r="CT192" s="523"/>
      <c r="CU192" s="523"/>
      <c r="CV192" s="523"/>
      <c r="CW192" s="523"/>
      <c r="CX192" s="523"/>
      <c r="CY192" s="523"/>
      <c r="CZ192" s="523"/>
      <c r="DA192" s="523"/>
      <c r="DB192" s="523"/>
      <c r="DC192" s="523"/>
      <c r="DD192" s="523"/>
      <c r="DE192" s="523"/>
      <c r="DF192" s="523"/>
      <c r="DG192" s="523"/>
      <c r="DH192" s="523"/>
      <c r="DI192" s="523"/>
      <c r="DJ192" s="523"/>
      <c r="DK192" s="523"/>
      <c r="DL192" s="523"/>
      <c r="DM192" s="523"/>
      <c r="DN192" s="523"/>
      <c r="DO192" s="523"/>
      <c r="DP192" s="523"/>
      <c r="DQ192" s="523"/>
      <c r="DR192" s="523"/>
      <c r="DS192" s="523"/>
      <c r="DT192" s="523"/>
      <c r="DU192" s="523"/>
      <c r="DV192" s="523"/>
      <c r="DW192" s="523"/>
      <c r="DX192" s="523"/>
      <c r="DY192" s="523"/>
      <c r="DZ192" s="523"/>
      <c r="EA192" s="523"/>
      <c r="EB192" s="523"/>
      <c r="EC192" s="523"/>
      <c r="ED192" s="523"/>
      <c r="EE192" s="523"/>
      <c r="EF192" s="523"/>
      <c r="EG192" s="523"/>
      <c r="EH192" s="523"/>
      <c r="EI192" s="523"/>
      <c r="EJ192" s="523"/>
      <c r="EK192" s="523"/>
      <c r="EL192" s="523"/>
      <c r="EM192" s="523"/>
      <c r="EN192" s="523"/>
      <c r="EO192" s="523"/>
      <c r="EP192" s="405"/>
      <c r="EQ192" s="524"/>
      <c r="ER192" s="524"/>
      <c r="ES192" s="524"/>
      <c r="ET192" s="524"/>
      <c r="EU192" s="18"/>
      <c r="EV192" s="524"/>
      <c r="EW192" s="524"/>
      <c r="EX192" s="524"/>
      <c r="EY192" s="524"/>
      <c r="EZ192" s="524"/>
      <c r="FA192" s="524"/>
      <c r="FB192" s="524"/>
      <c r="FC192" s="524"/>
      <c r="FD192" s="524"/>
      <c r="FE192" s="524"/>
      <c r="FF192" s="524"/>
      <c r="FG192" s="524"/>
      <c r="FH192" s="524"/>
      <c r="FI192" s="524"/>
      <c r="FJ192" s="524"/>
      <c r="FK192" s="524"/>
      <c r="FL192" s="524"/>
      <c r="FM192" s="524"/>
      <c r="FN192" s="524"/>
      <c r="FO192" s="524"/>
      <c r="FP192" s="524"/>
      <c r="FQ192" s="524"/>
      <c r="FR192" s="524"/>
      <c r="FS192" s="524"/>
      <c r="FT192" s="524"/>
      <c r="FU192" s="524"/>
      <c r="FV192" s="524"/>
      <c r="FW192" s="524"/>
      <c r="FX192" s="524"/>
      <c r="FY192" s="524"/>
      <c r="FZ192" s="524"/>
      <c r="GA192" s="524"/>
      <c r="GB192" s="524"/>
      <c r="GC192" s="524"/>
      <c r="GD192" s="524"/>
      <c r="GE192" s="524"/>
      <c r="GF192" s="524"/>
      <c r="GG192" s="524"/>
      <c r="GH192" s="524"/>
      <c r="GI192" s="524"/>
      <c r="GJ192" s="524"/>
      <c r="GK192" s="524"/>
      <c r="GL192" s="524"/>
      <c r="GM192" s="524"/>
      <c r="GN192" s="524"/>
      <c r="GO192" s="524"/>
      <c r="GP192" s="524"/>
      <c r="GQ192" s="524"/>
      <c r="GR192" s="524"/>
      <c r="GS192" s="524"/>
      <c r="GT192" s="524"/>
      <c r="GU192" s="524"/>
      <c r="GV192" s="524"/>
      <c r="GW192" s="524"/>
      <c r="GX192" s="524"/>
      <c r="GY192" s="524"/>
      <c r="GZ192" s="524"/>
      <c r="HA192" s="524"/>
      <c r="HB192" s="524"/>
      <c r="HC192" s="524"/>
      <c r="HD192" s="524"/>
      <c r="HE192" s="524"/>
      <c r="HF192" s="524"/>
      <c r="HG192" s="524"/>
      <c r="HH192" s="524"/>
      <c r="HI192" s="524"/>
      <c r="HJ192" s="524"/>
      <c r="HK192" s="524"/>
      <c r="HL192" s="524"/>
      <c r="HM192" s="524"/>
      <c r="HN192" s="524"/>
      <c r="HO192" s="524"/>
      <c r="HP192" s="524"/>
      <c r="HQ192" s="524"/>
      <c r="HR192" s="524"/>
      <c r="HS192" s="524"/>
      <c r="HT192" s="524"/>
      <c r="HU192" s="524"/>
      <c r="HV192" s="524"/>
      <c r="HW192" s="524"/>
      <c r="HX192" s="524"/>
      <c r="HY192" s="524"/>
      <c r="HZ192" s="524"/>
      <c r="IA192" s="524"/>
      <c r="IB192" s="524"/>
      <c r="IC192" s="524"/>
      <c r="ID192" s="524"/>
      <c r="IE192" s="524"/>
      <c r="IF192" s="524"/>
      <c r="IG192" s="524"/>
      <c r="IH192" s="524"/>
      <c r="II192" s="524"/>
      <c r="IJ192" s="524"/>
      <c r="IK192" s="524"/>
      <c r="IL192" s="524"/>
      <c r="IM192" s="524"/>
      <c r="IN192" s="524"/>
      <c r="IO192" s="524"/>
      <c r="IP192" s="524"/>
      <c r="IQ192" s="524"/>
      <c r="IR192" s="524"/>
      <c r="IS192" s="524"/>
      <c r="IT192" s="524"/>
      <c r="IU192" s="524"/>
      <c r="IV192" s="524"/>
      <c r="IW192" s="524"/>
      <c r="IX192" s="524"/>
      <c r="IY192" s="524"/>
      <c r="IZ192" s="524"/>
      <c r="JA192" s="524"/>
      <c r="JB192" s="524"/>
      <c r="JC192" s="524"/>
      <c r="JD192" s="524"/>
      <c r="JE192" s="524"/>
      <c r="JF192" s="524"/>
      <c r="JG192" s="524"/>
      <c r="JH192" s="524"/>
      <c r="JI192" s="524"/>
      <c r="JJ192" s="524"/>
      <c r="JK192" s="524"/>
      <c r="JL192" s="524"/>
      <c r="JM192" s="524"/>
      <c r="JN192" s="524"/>
      <c r="JO192" s="524"/>
      <c r="JP192" s="524"/>
      <c r="JQ192" s="524"/>
      <c r="JR192" s="524"/>
      <c r="JS192" s="524"/>
      <c r="JT192" s="524"/>
      <c r="JU192" s="524"/>
      <c r="JV192" s="524"/>
      <c r="JW192" s="524"/>
      <c r="JX192" s="524"/>
      <c r="JY192"/>
      <c r="JZ192" s="442"/>
      <c r="KA192" s="442"/>
      <c r="KB192" s="442"/>
      <c r="KC192" s="442"/>
      <c r="KD192" s="442"/>
      <c r="KE192" s="442"/>
      <c r="KF192" s="442"/>
      <c r="KG192" s="442"/>
      <c r="KH192" s="442"/>
      <c r="KI192" s="442"/>
      <c r="KJ192" s="442"/>
      <c r="KK192" s="442"/>
      <c r="KL192" s="442"/>
      <c r="KM192" s="442"/>
      <c r="KN192" s="442"/>
      <c r="KO192" s="442"/>
      <c r="KP192" s="442"/>
      <c r="KQ192" s="442"/>
      <c r="KR192" s="442"/>
      <c r="KS192" s="442"/>
      <c r="KT192" s="442"/>
      <c r="KU192" s="442"/>
      <c r="KV192" s="442"/>
      <c r="KW192" s="442"/>
      <c r="KX192" s="442"/>
      <c r="KY192" s="442"/>
      <c r="KZ192" s="442"/>
      <c r="LA192" s="442"/>
      <c r="LB192" s="442"/>
      <c r="LC192" s="442"/>
      <c r="LD192" s="442"/>
      <c r="LE192" s="442"/>
      <c r="LF192" s="442"/>
      <c r="LG192" s="442"/>
      <c r="LH192" s="442"/>
      <c r="LI192" s="442"/>
      <c r="LJ192" s="442"/>
      <c r="LK192" s="442"/>
      <c r="LL192" s="442"/>
      <c r="LM192" s="442"/>
      <c r="LN192" s="442"/>
      <c r="LO192" s="442"/>
      <c r="LP192" s="442"/>
      <c r="LQ192" s="442"/>
      <c r="LR192" s="442"/>
      <c r="LS192" s="442"/>
      <c r="LT192" s="442"/>
      <c r="LU192" s="442"/>
      <c r="LV192" s="442"/>
      <c r="LW192" s="442"/>
      <c r="LX192" s="442"/>
      <c r="LY192" s="442"/>
      <c r="LZ192" s="442"/>
      <c r="MA192" s="442"/>
      <c r="MB192" s="442"/>
      <c r="MC192" s="442"/>
      <c r="MD192" s="442"/>
      <c r="ME192" s="442"/>
      <c r="MF192" s="442"/>
      <c r="MG192" s="442"/>
      <c r="MH192" s="442"/>
      <c r="MI192" s="442"/>
      <c r="MJ192" s="442"/>
      <c r="MK192" s="442"/>
      <c r="ML192" s="442"/>
      <c r="MM192" s="442"/>
      <c r="MN192" s="442"/>
      <c r="MO192" s="442"/>
      <c r="MP192" s="442"/>
      <c r="MQ192" s="442"/>
      <c r="MR192" s="442"/>
      <c r="MS192" s="442"/>
      <c r="MT192" s="442"/>
      <c r="MU192" s="442"/>
      <c r="MV192" s="442"/>
      <c r="MW192" s="442"/>
      <c r="MX192" s="442"/>
      <c r="MY192" s="442"/>
      <c r="MZ192" s="442"/>
      <c r="NA192" s="442"/>
      <c r="NB192" s="442"/>
      <c r="NC192" s="442"/>
      <c r="ND192" s="442"/>
      <c r="NE192" s="442"/>
      <c r="NF192" s="442"/>
      <c r="NG192" s="442"/>
      <c r="NH192" s="442"/>
      <c r="NI192" s="442"/>
      <c r="NJ192" s="442"/>
      <c r="NK192" s="442"/>
      <c r="NL192" s="442"/>
      <c r="NM192" s="442"/>
      <c r="NN192" s="442"/>
      <c r="NO192" s="442"/>
      <c r="NP192" s="442"/>
      <c r="NQ192" s="442"/>
      <c r="NR192" s="442"/>
      <c r="NS192" s="442"/>
      <c r="NT192" s="442"/>
      <c r="NU192" s="442"/>
      <c r="NV192" s="442"/>
      <c r="NW192" s="442"/>
      <c r="NX192" s="442"/>
      <c r="NY192" s="442"/>
      <c r="NZ192" s="442"/>
      <c r="OA192" s="442"/>
      <c r="OB192" s="442"/>
      <c r="OC192" s="442"/>
      <c r="OD192" s="442"/>
      <c r="OE192" s="442"/>
      <c r="OF192" s="442"/>
      <c r="OG192" s="442"/>
      <c r="OH192" s="442"/>
      <c r="OI192" s="442"/>
      <c r="OJ192" s="442"/>
      <c r="OK192" s="442"/>
      <c r="OL192" s="442"/>
      <c r="OM192" s="442"/>
      <c r="ON192" s="442"/>
      <c r="OO192" s="442"/>
      <c r="OP192" s="442"/>
      <c r="OQ192" s="442"/>
      <c r="OR192" s="442"/>
      <c r="OS192" s="442"/>
      <c r="OT192" s="442"/>
      <c r="OU192" s="442"/>
      <c r="OV192" s="442"/>
      <c r="OW192" s="442"/>
      <c r="OX192" s="442"/>
      <c r="OY192" s="442"/>
      <c r="OZ192" s="442"/>
      <c r="PA192" s="442"/>
      <c r="PB192" s="442"/>
      <c r="PC192" s="442"/>
      <c r="PD192" s="442"/>
      <c r="PE192" s="442"/>
      <c r="PF192" s="442"/>
      <c r="PG192" s="442"/>
      <c r="PH192" s="442"/>
    </row>
    <row r="193" spans="1:424" x14ac:dyDescent="0.35">
      <c r="A193"/>
      <c r="B193" s="6"/>
      <c r="C193" s="388"/>
      <c r="D193" s="388"/>
      <c r="E193" s="388"/>
      <c r="F193" s="525">
        <v>1</v>
      </c>
      <c r="G193" s="388"/>
      <c r="H193" s="388"/>
      <c r="I193" s="388"/>
      <c r="J193" s="387"/>
      <c r="K193" s="388"/>
      <c r="L193" s="388"/>
      <c r="M193" s="388"/>
      <c r="N193" s="388"/>
      <c r="O193" s="388"/>
      <c r="P193" s="388"/>
      <c r="Q193" s="388"/>
      <c r="R193" s="388"/>
      <c r="S193" s="388"/>
      <c r="T193" s="388"/>
      <c r="U193" s="388"/>
      <c r="V193" s="388"/>
      <c r="W193" s="388"/>
      <c r="X193" s="388"/>
      <c r="Y193" s="388"/>
      <c r="Z193" s="388"/>
      <c r="AA193" s="388"/>
      <c r="AB193" s="388"/>
      <c r="AC193" s="388"/>
      <c r="AD193" s="388"/>
      <c r="AE193" s="388"/>
      <c r="AF193" s="388"/>
      <c r="AG193" s="388"/>
      <c r="AH193" s="388"/>
      <c r="AI193" s="388"/>
      <c r="AJ193" s="388"/>
      <c r="AK193" s="388"/>
      <c r="AL193" s="388"/>
      <c r="AM193" s="388"/>
      <c r="AN193" s="388"/>
      <c r="AO193" s="388"/>
      <c r="AP193" s="388"/>
      <c r="AQ193" s="388"/>
      <c r="AR193" s="388"/>
      <c r="AS193" s="388"/>
      <c r="AT193" s="388"/>
      <c r="AU193" s="388"/>
      <c r="AV193" s="388"/>
      <c r="AW193" s="388"/>
      <c r="AX193" s="388"/>
      <c r="AY193" s="388"/>
      <c r="AZ193" s="388"/>
      <c r="BA193" s="388"/>
      <c r="BB193" s="388"/>
      <c r="BC193" s="388"/>
      <c r="BD193" s="388"/>
      <c r="BE193" s="388"/>
      <c r="BF193" s="388"/>
      <c r="BG193" s="388"/>
      <c r="BH193" s="388"/>
      <c r="BI193" s="388"/>
      <c r="BJ193" s="388"/>
      <c r="BK193" s="388"/>
      <c r="BL193" s="388"/>
      <c r="BM193" s="388"/>
      <c r="BN193" s="388"/>
      <c r="BO193" s="388"/>
      <c r="BP193" s="388"/>
      <c r="BQ193" s="388"/>
      <c r="BR193" s="388"/>
      <c r="BS193" s="388"/>
      <c r="BT193" s="388"/>
      <c r="BU193" s="388"/>
      <c r="BV193" s="388"/>
      <c r="BW193" s="388"/>
      <c r="BX193" s="388"/>
      <c r="BY193" s="388"/>
      <c r="BZ193" s="388"/>
      <c r="CA193" s="388"/>
      <c r="CB193" s="388"/>
      <c r="CC193" s="388"/>
      <c r="CD193" s="388"/>
      <c r="CE193" s="388"/>
      <c r="CF193" s="388"/>
      <c r="CG193" s="388"/>
      <c r="CH193" s="388"/>
      <c r="CI193" s="388"/>
      <c r="CJ193" s="388"/>
      <c r="CK193" s="388"/>
      <c r="CL193" s="388"/>
      <c r="CM193" s="388"/>
      <c r="CN193" s="388"/>
      <c r="CO193" s="388"/>
      <c r="CP193" s="388"/>
      <c r="CQ193" s="388"/>
      <c r="CR193" s="388"/>
      <c r="CS193" s="388"/>
      <c r="CT193" s="388"/>
      <c r="CU193" s="388"/>
      <c r="CV193" s="388"/>
      <c r="CW193" s="388"/>
      <c r="CX193" s="388"/>
      <c r="CY193" s="388"/>
      <c r="CZ193" s="388"/>
      <c r="DA193" s="388"/>
      <c r="DB193" s="388"/>
      <c r="DC193" s="388"/>
      <c r="DD193" s="388"/>
      <c r="DE193" s="388"/>
      <c r="DF193" s="388"/>
      <c r="DG193" s="388"/>
      <c r="DH193" s="388"/>
      <c r="DI193" s="388"/>
      <c r="DJ193" s="388"/>
      <c r="DK193" s="388"/>
      <c r="DL193" s="388"/>
      <c r="DM193" s="388"/>
      <c r="DN193" s="388"/>
      <c r="DO193" s="388"/>
      <c r="DP193" s="388"/>
      <c r="DQ193" s="388"/>
      <c r="DR193" s="388"/>
      <c r="DS193" s="388"/>
      <c r="DT193" s="388"/>
      <c r="DU193" s="388"/>
      <c r="DV193" s="388"/>
      <c r="DW193" s="388"/>
      <c r="DX193" s="388"/>
      <c r="DY193" s="388"/>
      <c r="DZ193" s="388"/>
      <c r="EA193" s="388"/>
      <c r="EB193" s="388"/>
      <c r="EC193" s="388"/>
      <c r="ED193" s="388"/>
      <c r="EE193" s="388"/>
      <c r="EF193" s="388"/>
      <c r="EG193" s="388"/>
      <c r="EH193" s="388"/>
      <c r="EI193" s="388"/>
      <c r="EJ193" s="388"/>
      <c r="EK193" s="388"/>
      <c r="EL193" s="388"/>
      <c r="EM193" s="388"/>
      <c r="EN193" s="388"/>
      <c r="EO193" s="388"/>
      <c r="EP193" s="403"/>
      <c r="EQ193" s="404"/>
      <c r="ER193" s="404"/>
      <c r="ES193" s="404"/>
      <c r="ET193" s="404"/>
      <c r="EU193" s="404"/>
      <c r="EV193" s="404"/>
      <c r="EW193" s="404"/>
      <c r="EX193" s="404"/>
      <c r="EY193" s="404"/>
      <c r="EZ193" s="404"/>
      <c r="FA193" s="404"/>
      <c r="FB193" s="404"/>
      <c r="FC193" s="404"/>
      <c r="FD193" s="404"/>
      <c r="FE193" s="404"/>
      <c r="FF193" s="404"/>
      <c r="FG193" s="404"/>
      <c r="FH193" s="404"/>
      <c r="FI193" s="404"/>
      <c r="FJ193" s="404"/>
      <c r="FK193" s="404"/>
      <c r="FL193" s="404"/>
      <c r="FM193" s="404"/>
      <c r="FN193" s="404"/>
      <c r="FO193" s="404"/>
      <c r="FP193" s="404"/>
      <c r="FQ193" s="404"/>
      <c r="FR193" s="404"/>
      <c r="FS193" s="404"/>
      <c r="FT193" s="404"/>
      <c r="FU193" s="404"/>
      <c r="FV193" s="404"/>
      <c r="FW193" s="404"/>
      <c r="FX193" s="404"/>
      <c r="FY193" s="404"/>
      <c r="FZ193" s="404"/>
      <c r="GA193" s="404"/>
      <c r="GB193" s="404"/>
      <c r="GC193" s="404"/>
      <c r="GD193" s="404"/>
      <c r="GE193" s="404"/>
      <c r="GF193" s="404"/>
      <c r="GG193" s="404"/>
      <c r="GH193" s="404"/>
      <c r="GI193" s="404"/>
      <c r="GJ193" s="404"/>
      <c r="GK193" s="404"/>
      <c r="GL193" s="404"/>
      <c r="GM193" s="404"/>
      <c r="GN193" s="404"/>
      <c r="GO193" s="404"/>
      <c r="GP193" s="404"/>
      <c r="GQ193" s="404"/>
      <c r="GR193" s="404"/>
      <c r="GS193" s="404"/>
      <c r="GT193" s="404"/>
      <c r="GU193" s="404"/>
      <c r="GV193" s="404"/>
      <c r="GW193" s="404"/>
      <c r="GX193" s="404"/>
      <c r="GY193" s="404"/>
      <c r="GZ193" s="404"/>
      <c r="HA193" s="404"/>
      <c r="HB193" s="404"/>
      <c r="HC193" s="404"/>
      <c r="HD193" s="404"/>
      <c r="HE193" s="404"/>
      <c r="HF193" s="404"/>
      <c r="HG193" s="404"/>
      <c r="HH193" s="404"/>
      <c r="HI193" s="404"/>
      <c r="HJ193" s="404"/>
      <c r="HK193" s="404"/>
      <c r="HL193" s="404"/>
      <c r="HM193" s="404"/>
      <c r="HN193" s="404"/>
      <c r="HO193" s="404"/>
      <c r="HP193" s="404"/>
      <c r="HQ193" s="404"/>
      <c r="HR193" s="404"/>
      <c r="HS193" s="404"/>
      <c r="HT193" s="404"/>
      <c r="HU193" s="404"/>
      <c r="HV193" s="404"/>
      <c r="HW193" s="404"/>
      <c r="HX193" s="404"/>
      <c r="HY193" s="404"/>
      <c r="HZ193" s="404"/>
      <c r="IA193" s="404"/>
      <c r="IB193" s="404"/>
      <c r="IC193" s="404"/>
      <c r="ID193" s="404"/>
      <c r="IE193" s="404"/>
      <c r="IF193" s="404"/>
      <c r="IG193" s="404"/>
      <c r="IH193" s="404"/>
      <c r="II193" s="404"/>
      <c r="IJ193" s="404"/>
      <c r="IK193" s="404"/>
      <c r="IL193" s="404"/>
      <c r="IM193" s="404"/>
      <c r="IN193" s="404"/>
      <c r="IO193" s="404"/>
      <c r="IP193" s="404"/>
      <c r="IQ193" s="404"/>
      <c r="IR193" s="404"/>
      <c r="IS193" s="404"/>
      <c r="IT193" s="404"/>
      <c r="IU193" s="404"/>
      <c r="IV193" s="404"/>
      <c r="IW193" s="404"/>
      <c r="IX193" s="404"/>
      <c r="IY193" s="404"/>
      <c r="IZ193" s="404"/>
      <c r="JA193" s="404"/>
      <c r="JB193" s="404"/>
      <c r="JC193" s="404"/>
      <c r="JD193" s="404"/>
      <c r="JE193" s="404"/>
      <c r="JF193" s="404"/>
      <c r="JG193" s="404"/>
      <c r="JH193" s="404"/>
      <c r="JI193" s="404"/>
      <c r="JJ193" s="404"/>
      <c r="JK193" s="404"/>
      <c r="JL193" s="404"/>
      <c r="JM193" s="404"/>
      <c r="JN193" s="404"/>
      <c r="JO193" s="404"/>
      <c r="JP193" s="404"/>
      <c r="JQ193" s="404"/>
      <c r="JR193" s="404"/>
      <c r="JS193" s="404"/>
      <c r="JT193" s="404"/>
      <c r="JU193" s="404"/>
      <c r="JV193" s="404"/>
      <c r="JW193" s="404"/>
      <c r="JX193" s="404"/>
      <c r="JY193"/>
      <c r="JZ193" s="262"/>
      <c r="KA193" s="262"/>
      <c r="KB193" s="262"/>
      <c r="KC193" s="262"/>
      <c r="KD193" s="262"/>
      <c r="KE193" s="262"/>
      <c r="KF193" s="262"/>
      <c r="KG193" s="262"/>
      <c r="KH193" s="262"/>
      <c r="KI193" s="262"/>
      <c r="KJ193" s="262"/>
      <c r="KK193" s="262"/>
      <c r="KL193" s="262"/>
      <c r="KM193" s="262"/>
      <c r="KN193" s="262"/>
      <c r="KO193" s="262"/>
      <c r="KP193" s="262"/>
      <c r="KQ193" s="262"/>
      <c r="KR193" s="262"/>
      <c r="KS193" s="262"/>
      <c r="KT193" s="262"/>
      <c r="KU193" s="262"/>
      <c r="KV193" s="262"/>
      <c r="KW193" s="262"/>
      <c r="KX193" s="262"/>
      <c r="KY193" s="262"/>
      <c r="KZ193" s="262"/>
      <c r="LA193" s="262"/>
      <c r="LB193" s="262"/>
      <c r="LC193" s="262"/>
      <c r="LD193" s="262"/>
      <c r="LE193" s="262"/>
      <c r="LF193" s="262"/>
      <c r="LG193" s="262"/>
      <c r="LH193" s="262"/>
      <c r="LI193" s="262"/>
      <c r="LJ193" s="262"/>
      <c r="LK193" s="262"/>
      <c r="LL193" s="262"/>
      <c r="LM193" s="262"/>
      <c r="LN193" s="262"/>
      <c r="LO193" s="262"/>
      <c r="LP193" s="262"/>
      <c r="LQ193" s="262"/>
      <c r="LR193" s="262"/>
      <c r="LS193" s="262"/>
      <c r="LT193" s="262"/>
      <c r="LU193" s="262"/>
      <c r="LV193" s="262"/>
      <c r="LW193" s="262"/>
      <c r="LX193" s="262"/>
      <c r="LY193" s="262"/>
      <c r="LZ193" s="262"/>
      <c r="MA193" s="262"/>
      <c r="MB193" s="262"/>
      <c r="MC193" s="262"/>
      <c r="MD193" s="262"/>
      <c r="ME193" s="262"/>
      <c r="MF193" s="262"/>
      <c r="MG193" s="262"/>
      <c r="MH193" s="262"/>
      <c r="MI193" s="262"/>
      <c r="MJ193" s="262"/>
      <c r="MK193" s="262"/>
      <c r="ML193" s="262"/>
      <c r="MM193" s="262"/>
      <c r="MN193" s="262"/>
      <c r="MO193" s="262"/>
      <c r="MP193" s="262"/>
      <c r="MQ193" s="262"/>
      <c r="MR193" s="262"/>
      <c r="MS193" s="262"/>
      <c r="MT193" s="262"/>
      <c r="MU193" s="262"/>
      <c r="MV193" s="262"/>
      <c r="MW193" s="262"/>
      <c r="MX193" s="262"/>
      <c r="MY193" s="262"/>
      <c r="MZ193" s="262"/>
      <c r="NA193" s="262"/>
      <c r="NB193" s="262"/>
      <c r="NC193" s="262"/>
      <c r="ND193" s="262"/>
      <c r="NE193" s="262"/>
      <c r="NF193" s="262"/>
      <c r="NG193" s="262"/>
      <c r="NH193" s="262"/>
      <c r="NI193" s="262"/>
      <c r="NJ193" s="262"/>
      <c r="NK193" s="262"/>
      <c r="NL193" s="262"/>
      <c r="NM193" s="262"/>
      <c r="NN193" s="262"/>
      <c r="NO193" s="262"/>
      <c r="NP193" s="262"/>
      <c r="NQ193" s="262"/>
      <c r="NR193" s="262"/>
      <c r="NS193" s="262"/>
      <c r="NT193" s="262"/>
      <c r="NU193" s="262"/>
      <c r="NV193" s="262"/>
      <c r="NW193" s="262"/>
      <c r="NX193" s="262"/>
      <c r="NY193" s="262"/>
      <c r="NZ193" s="262"/>
      <c r="OA193" s="262"/>
      <c r="OB193" s="262"/>
      <c r="OC193" s="262"/>
      <c r="OD193" s="262"/>
      <c r="OE193" s="262"/>
      <c r="OF193" s="262"/>
      <c r="OG193" s="262"/>
      <c r="OH193" s="262"/>
      <c r="OI193" s="262"/>
      <c r="OJ193" s="262"/>
      <c r="OK193" s="262"/>
      <c r="OL193" s="262"/>
      <c r="OM193" s="262"/>
      <c r="ON193" s="262"/>
      <c r="OO193" s="262"/>
      <c r="OP193" s="262"/>
      <c r="OQ193" s="262"/>
      <c r="OR193" s="262"/>
      <c r="OS193" s="262"/>
      <c r="OT193" s="262"/>
      <c r="OU193" s="262"/>
      <c r="OV193" s="262"/>
      <c r="OW193" s="262"/>
      <c r="OX193" s="262"/>
      <c r="OY193" s="262"/>
      <c r="OZ193" s="262"/>
      <c r="PA193" s="262"/>
      <c r="PB193" s="262"/>
      <c r="PC193" s="262"/>
      <c r="PD193" s="262"/>
      <c r="PE193" s="262"/>
      <c r="PF193" s="262"/>
      <c r="PG193" s="262"/>
      <c r="PH193" s="262"/>
    </row>
    <row r="194" spans="1:424" x14ac:dyDescent="0.35">
      <c r="A194"/>
      <c r="B194" s="2" t="s">
        <v>370</v>
      </c>
      <c r="C194" s="388"/>
      <c r="D194" s="388"/>
      <c r="E194" s="388"/>
      <c r="F194" s="388"/>
      <c r="G194" s="388"/>
      <c r="H194" s="388"/>
      <c r="I194" s="388"/>
      <c r="J194" s="161"/>
      <c r="K194" s="161" t="s">
        <v>94</v>
      </c>
      <c r="L194" s="198">
        <f t="shared" ref="L194:AQ194" si="510">IF(L3&gt;Timing_Analysis_End_Month,"",L3)</f>
        <v>0</v>
      </c>
      <c r="M194" s="198">
        <f t="shared" si="510"/>
        <v>1</v>
      </c>
      <c r="N194" s="198">
        <f t="shared" si="510"/>
        <v>2</v>
      </c>
      <c r="O194" s="198">
        <f t="shared" si="510"/>
        <v>3</v>
      </c>
      <c r="P194" s="198">
        <f t="shared" si="510"/>
        <v>4</v>
      </c>
      <c r="Q194" s="198">
        <f t="shared" si="510"/>
        <v>5</v>
      </c>
      <c r="R194" s="198">
        <f t="shared" si="510"/>
        <v>6</v>
      </c>
      <c r="S194" s="198">
        <f t="shared" si="510"/>
        <v>7</v>
      </c>
      <c r="T194" s="198">
        <f t="shared" si="510"/>
        <v>8</v>
      </c>
      <c r="U194" s="198">
        <f t="shared" si="510"/>
        <v>9</v>
      </c>
      <c r="V194" s="198">
        <f t="shared" si="510"/>
        <v>10</v>
      </c>
      <c r="W194" s="198">
        <f t="shared" si="510"/>
        <v>11</v>
      </c>
      <c r="X194" s="198">
        <f t="shared" si="510"/>
        <v>12</v>
      </c>
      <c r="Y194" s="198">
        <f t="shared" si="510"/>
        <v>13</v>
      </c>
      <c r="Z194" s="198">
        <f t="shared" si="510"/>
        <v>14</v>
      </c>
      <c r="AA194" s="198">
        <f t="shared" si="510"/>
        <v>15</v>
      </c>
      <c r="AB194" s="198">
        <f t="shared" si="510"/>
        <v>16</v>
      </c>
      <c r="AC194" s="198">
        <f t="shared" si="510"/>
        <v>17</v>
      </c>
      <c r="AD194" s="198">
        <f t="shared" si="510"/>
        <v>18</v>
      </c>
      <c r="AE194" s="198">
        <f t="shared" si="510"/>
        <v>19</v>
      </c>
      <c r="AF194" s="198">
        <f t="shared" si="510"/>
        <v>20</v>
      </c>
      <c r="AG194" s="198">
        <f t="shared" si="510"/>
        <v>21</v>
      </c>
      <c r="AH194" s="198">
        <f t="shared" si="510"/>
        <v>22</v>
      </c>
      <c r="AI194" s="198">
        <f t="shared" si="510"/>
        <v>23</v>
      </c>
      <c r="AJ194" s="198">
        <f t="shared" si="510"/>
        <v>24</v>
      </c>
      <c r="AK194" s="198">
        <f t="shared" si="510"/>
        <v>25</v>
      </c>
      <c r="AL194" s="198">
        <f t="shared" si="510"/>
        <v>26</v>
      </c>
      <c r="AM194" s="198">
        <f t="shared" si="510"/>
        <v>27</v>
      </c>
      <c r="AN194" s="198">
        <f t="shared" si="510"/>
        <v>28</v>
      </c>
      <c r="AO194" s="198">
        <f t="shared" si="510"/>
        <v>29</v>
      </c>
      <c r="AP194" s="198">
        <f t="shared" si="510"/>
        <v>30</v>
      </c>
      <c r="AQ194" s="198">
        <f t="shared" si="510"/>
        <v>31</v>
      </c>
      <c r="AR194" s="198">
        <f t="shared" ref="AR194:BW194" si="511">IF(AR3&gt;Timing_Analysis_End_Month,"",AR3)</f>
        <v>32</v>
      </c>
      <c r="AS194" s="198">
        <f t="shared" si="511"/>
        <v>33</v>
      </c>
      <c r="AT194" s="198">
        <f t="shared" si="511"/>
        <v>34</v>
      </c>
      <c r="AU194" s="198">
        <f t="shared" si="511"/>
        <v>35</v>
      </c>
      <c r="AV194" s="198">
        <f t="shared" si="511"/>
        <v>36</v>
      </c>
      <c r="AW194" s="198">
        <f t="shared" si="511"/>
        <v>37</v>
      </c>
      <c r="AX194" s="198">
        <f t="shared" si="511"/>
        <v>38</v>
      </c>
      <c r="AY194" s="198">
        <f t="shared" si="511"/>
        <v>39</v>
      </c>
      <c r="AZ194" s="198">
        <f t="shared" si="511"/>
        <v>40</v>
      </c>
      <c r="BA194" s="198">
        <f t="shared" si="511"/>
        <v>41</v>
      </c>
      <c r="BB194" s="198">
        <f t="shared" si="511"/>
        <v>42</v>
      </c>
      <c r="BC194" s="198">
        <f t="shared" si="511"/>
        <v>43</v>
      </c>
      <c r="BD194" s="198">
        <f t="shared" si="511"/>
        <v>44</v>
      </c>
      <c r="BE194" s="198">
        <f t="shared" si="511"/>
        <v>45</v>
      </c>
      <c r="BF194" s="198">
        <f t="shared" si="511"/>
        <v>46</v>
      </c>
      <c r="BG194" s="198">
        <f t="shared" si="511"/>
        <v>47</v>
      </c>
      <c r="BH194" s="198">
        <f t="shared" si="511"/>
        <v>48</v>
      </c>
      <c r="BI194" s="198">
        <f t="shared" si="511"/>
        <v>49</v>
      </c>
      <c r="BJ194" s="198">
        <f t="shared" si="511"/>
        <v>50</v>
      </c>
      <c r="BK194" s="198">
        <f t="shared" si="511"/>
        <v>51</v>
      </c>
      <c r="BL194" s="198">
        <f t="shared" si="511"/>
        <v>52</v>
      </c>
      <c r="BM194" s="198">
        <f t="shared" si="511"/>
        <v>53</v>
      </c>
      <c r="BN194" s="198">
        <f t="shared" si="511"/>
        <v>54</v>
      </c>
      <c r="BO194" s="198">
        <f t="shared" si="511"/>
        <v>55</v>
      </c>
      <c r="BP194" s="198">
        <f t="shared" si="511"/>
        <v>56</v>
      </c>
      <c r="BQ194" s="198">
        <f t="shared" si="511"/>
        <v>57</v>
      </c>
      <c r="BR194" s="198">
        <f t="shared" si="511"/>
        <v>58</v>
      </c>
      <c r="BS194" s="198">
        <f t="shared" si="511"/>
        <v>59</v>
      </c>
      <c r="BT194" s="198">
        <f t="shared" si="511"/>
        <v>60</v>
      </c>
      <c r="BU194" s="198">
        <f t="shared" si="511"/>
        <v>61</v>
      </c>
      <c r="BV194" s="198" t="str">
        <f t="shared" si="511"/>
        <v/>
      </c>
      <c r="BW194" s="198" t="str">
        <f t="shared" si="511"/>
        <v/>
      </c>
      <c r="BX194" s="198" t="str">
        <f t="shared" ref="BX194:DC194" si="512">IF(BX3&gt;Timing_Analysis_End_Month,"",BX3)</f>
        <v/>
      </c>
      <c r="BY194" s="198" t="str">
        <f t="shared" si="512"/>
        <v/>
      </c>
      <c r="BZ194" s="198" t="str">
        <f t="shared" si="512"/>
        <v/>
      </c>
      <c r="CA194" s="198" t="str">
        <f t="shared" si="512"/>
        <v/>
      </c>
      <c r="CB194" s="198" t="str">
        <f t="shared" si="512"/>
        <v/>
      </c>
      <c r="CC194" s="198" t="str">
        <f t="shared" si="512"/>
        <v/>
      </c>
      <c r="CD194" s="198" t="str">
        <f t="shared" si="512"/>
        <v/>
      </c>
      <c r="CE194" s="198" t="str">
        <f t="shared" si="512"/>
        <v/>
      </c>
      <c r="CF194" s="198" t="str">
        <f t="shared" si="512"/>
        <v/>
      </c>
      <c r="CG194" s="198" t="str">
        <f t="shared" si="512"/>
        <v/>
      </c>
      <c r="CH194" s="198" t="str">
        <f t="shared" si="512"/>
        <v/>
      </c>
      <c r="CI194" s="198" t="str">
        <f t="shared" si="512"/>
        <v/>
      </c>
      <c r="CJ194" s="198" t="str">
        <f t="shared" si="512"/>
        <v/>
      </c>
      <c r="CK194" s="198" t="str">
        <f t="shared" si="512"/>
        <v/>
      </c>
      <c r="CL194" s="198" t="str">
        <f t="shared" si="512"/>
        <v/>
      </c>
      <c r="CM194" s="198" t="str">
        <f t="shared" si="512"/>
        <v/>
      </c>
      <c r="CN194" s="198" t="str">
        <f t="shared" si="512"/>
        <v/>
      </c>
      <c r="CO194" s="198" t="str">
        <f t="shared" si="512"/>
        <v/>
      </c>
      <c r="CP194" s="198" t="str">
        <f t="shared" si="512"/>
        <v/>
      </c>
      <c r="CQ194" s="198" t="str">
        <f t="shared" si="512"/>
        <v/>
      </c>
      <c r="CR194" s="198" t="str">
        <f t="shared" si="512"/>
        <v/>
      </c>
      <c r="CS194" s="198" t="str">
        <f t="shared" si="512"/>
        <v/>
      </c>
      <c r="CT194" s="198" t="str">
        <f t="shared" si="512"/>
        <v/>
      </c>
      <c r="CU194" s="198" t="str">
        <f t="shared" si="512"/>
        <v/>
      </c>
      <c r="CV194" s="198" t="str">
        <f t="shared" si="512"/>
        <v/>
      </c>
      <c r="CW194" s="198" t="str">
        <f t="shared" si="512"/>
        <v/>
      </c>
      <c r="CX194" s="198" t="str">
        <f t="shared" si="512"/>
        <v/>
      </c>
      <c r="CY194" s="198" t="str">
        <f t="shared" si="512"/>
        <v/>
      </c>
      <c r="CZ194" s="198" t="str">
        <f t="shared" si="512"/>
        <v/>
      </c>
      <c r="DA194" s="198" t="str">
        <f t="shared" si="512"/>
        <v/>
      </c>
      <c r="DB194" s="198" t="str">
        <f t="shared" si="512"/>
        <v/>
      </c>
      <c r="DC194" s="198" t="str">
        <f t="shared" si="512"/>
        <v/>
      </c>
      <c r="DD194" s="198" t="str">
        <f t="shared" ref="DD194:EN194" si="513">IF(DD3&gt;Timing_Analysis_End_Month,"",DD3)</f>
        <v/>
      </c>
      <c r="DE194" s="198" t="str">
        <f t="shared" si="513"/>
        <v/>
      </c>
      <c r="DF194" s="198" t="str">
        <f t="shared" si="513"/>
        <v/>
      </c>
      <c r="DG194" s="198" t="str">
        <f t="shared" si="513"/>
        <v/>
      </c>
      <c r="DH194" s="198" t="str">
        <f t="shared" si="513"/>
        <v/>
      </c>
      <c r="DI194" s="198" t="str">
        <f t="shared" si="513"/>
        <v/>
      </c>
      <c r="DJ194" s="198" t="str">
        <f t="shared" si="513"/>
        <v/>
      </c>
      <c r="DK194" s="198" t="str">
        <f t="shared" si="513"/>
        <v/>
      </c>
      <c r="DL194" s="198" t="str">
        <f t="shared" si="513"/>
        <v/>
      </c>
      <c r="DM194" s="198" t="str">
        <f t="shared" si="513"/>
        <v/>
      </c>
      <c r="DN194" s="198" t="str">
        <f t="shared" si="513"/>
        <v/>
      </c>
      <c r="DO194" s="198" t="str">
        <f t="shared" si="513"/>
        <v/>
      </c>
      <c r="DP194" s="198" t="str">
        <f t="shared" si="513"/>
        <v/>
      </c>
      <c r="DQ194" s="198" t="str">
        <f t="shared" si="513"/>
        <v/>
      </c>
      <c r="DR194" s="198" t="str">
        <f t="shared" si="513"/>
        <v/>
      </c>
      <c r="DS194" s="198" t="str">
        <f t="shared" si="513"/>
        <v/>
      </c>
      <c r="DT194" s="198" t="str">
        <f t="shared" si="513"/>
        <v/>
      </c>
      <c r="DU194" s="198" t="str">
        <f t="shared" si="513"/>
        <v/>
      </c>
      <c r="DV194" s="198" t="str">
        <f t="shared" si="513"/>
        <v/>
      </c>
      <c r="DW194" s="198" t="str">
        <f t="shared" si="513"/>
        <v/>
      </c>
      <c r="DX194" s="198" t="str">
        <f t="shared" si="513"/>
        <v/>
      </c>
      <c r="DY194" s="198" t="str">
        <f t="shared" si="513"/>
        <v/>
      </c>
      <c r="DZ194" s="198" t="str">
        <f t="shared" si="513"/>
        <v/>
      </c>
      <c r="EA194" s="198" t="str">
        <f t="shared" si="513"/>
        <v/>
      </c>
      <c r="EB194" s="198" t="str">
        <f t="shared" si="513"/>
        <v/>
      </c>
      <c r="EC194" s="198" t="str">
        <f t="shared" si="513"/>
        <v/>
      </c>
      <c r="ED194" s="198" t="str">
        <f t="shared" si="513"/>
        <v/>
      </c>
      <c r="EE194" s="198" t="str">
        <f t="shared" si="513"/>
        <v/>
      </c>
      <c r="EF194" s="198" t="str">
        <f t="shared" si="513"/>
        <v/>
      </c>
      <c r="EG194" s="198" t="str">
        <f t="shared" si="513"/>
        <v/>
      </c>
      <c r="EH194" s="198" t="str">
        <f t="shared" si="513"/>
        <v/>
      </c>
      <c r="EI194" s="198" t="str">
        <f t="shared" si="513"/>
        <v/>
      </c>
      <c r="EJ194" s="198" t="str">
        <f t="shared" si="513"/>
        <v/>
      </c>
      <c r="EK194" s="198" t="str">
        <f t="shared" si="513"/>
        <v/>
      </c>
      <c r="EL194" s="198" t="str">
        <f t="shared" si="513"/>
        <v/>
      </c>
      <c r="EM194" s="198" t="str">
        <f t="shared" si="513"/>
        <v/>
      </c>
      <c r="EN194" s="198" t="str">
        <f t="shared" si="513"/>
        <v/>
      </c>
      <c r="EO194"/>
      <c r="EP194" s="405" t="s">
        <v>371</v>
      </c>
      <c r="EQ194" s="524"/>
      <c r="ER194" s="524"/>
      <c r="ES194" s="524"/>
      <c r="ET194" s="524"/>
      <c r="EU194" s="18"/>
      <c r="EV194" s="197">
        <f t="shared" ref="EV194:GA194" si="514">EV3</f>
        <v>0</v>
      </c>
      <c r="EW194" s="197">
        <f t="shared" si="514"/>
        <v>1</v>
      </c>
      <c r="EX194" s="197">
        <f t="shared" si="514"/>
        <v>2</v>
      </c>
      <c r="EY194" s="197">
        <f t="shared" si="514"/>
        <v>3</v>
      </c>
      <c r="EZ194" s="197">
        <f t="shared" si="514"/>
        <v>4</v>
      </c>
      <c r="FA194" s="197">
        <f t="shared" si="514"/>
        <v>5</v>
      </c>
      <c r="FB194" s="197">
        <f t="shared" si="514"/>
        <v>6</v>
      </c>
      <c r="FC194" s="197">
        <f t="shared" si="514"/>
        <v>7</v>
      </c>
      <c r="FD194" s="197">
        <f t="shared" si="514"/>
        <v>8</v>
      </c>
      <c r="FE194" s="197">
        <f t="shared" si="514"/>
        <v>9</v>
      </c>
      <c r="FF194" s="197">
        <f t="shared" si="514"/>
        <v>10</v>
      </c>
      <c r="FG194" s="197">
        <f t="shared" si="514"/>
        <v>11</v>
      </c>
      <c r="FH194" s="197">
        <f t="shared" si="514"/>
        <v>12</v>
      </c>
      <c r="FI194" s="197">
        <f t="shared" si="514"/>
        <v>13</v>
      </c>
      <c r="FJ194" s="197">
        <f t="shared" si="514"/>
        <v>14</v>
      </c>
      <c r="FK194" s="197">
        <f t="shared" si="514"/>
        <v>15</v>
      </c>
      <c r="FL194" s="197">
        <f t="shared" si="514"/>
        <v>16</v>
      </c>
      <c r="FM194" s="197">
        <f t="shared" si="514"/>
        <v>17</v>
      </c>
      <c r="FN194" s="197">
        <f t="shared" si="514"/>
        <v>18</v>
      </c>
      <c r="FO194" s="197">
        <f t="shared" si="514"/>
        <v>19</v>
      </c>
      <c r="FP194" s="197">
        <f t="shared" si="514"/>
        <v>20</v>
      </c>
      <c r="FQ194" s="197">
        <f t="shared" si="514"/>
        <v>21</v>
      </c>
      <c r="FR194" s="197">
        <f t="shared" si="514"/>
        <v>22</v>
      </c>
      <c r="FS194" s="197">
        <f t="shared" si="514"/>
        <v>23</v>
      </c>
      <c r="FT194" s="197">
        <f t="shared" si="514"/>
        <v>24</v>
      </c>
      <c r="FU194" s="197">
        <f t="shared" si="514"/>
        <v>25</v>
      </c>
      <c r="FV194" s="197">
        <f t="shared" si="514"/>
        <v>26</v>
      </c>
      <c r="FW194" s="197">
        <f t="shared" si="514"/>
        <v>27</v>
      </c>
      <c r="FX194" s="197">
        <f t="shared" si="514"/>
        <v>28</v>
      </c>
      <c r="FY194" s="197">
        <f t="shared" si="514"/>
        <v>29</v>
      </c>
      <c r="FZ194" s="197">
        <f t="shared" si="514"/>
        <v>30</v>
      </c>
      <c r="GA194" s="197">
        <f t="shared" si="514"/>
        <v>31</v>
      </c>
      <c r="GB194" s="197">
        <f t="shared" ref="GB194:HG194" si="515">GB3</f>
        <v>32</v>
      </c>
      <c r="GC194" s="197">
        <f t="shared" si="515"/>
        <v>33</v>
      </c>
      <c r="GD194" s="197">
        <f t="shared" si="515"/>
        <v>34</v>
      </c>
      <c r="GE194" s="197">
        <f t="shared" si="515"/>
        <v>35</v>
      </c>
      <c r="GF194" s="197">
        <f t="shared" si="515"/>
        <v>36</v>
      </c>
      <c r="GG194" s="197">
        <f t="shared" si="515"/>
        <v>37</v>
      </c>
      <c r="GH194" s="197">
        <f t="shared" si="515"/>
        <v>38</v>
      </c>
      <c r="GI194" s="197">
        <f t="shared" si="515"/>
        <v>39</v>
      </c>
      <c r="GJ194" s="197">
        <f t="shared" si="515"/>
        <v>40</v>
      </c>
      <c r="GK194" s="197">
        <f t="shared" si="515"/>
        <v>41</v>
      </c>
      <c r="GL194" s="197">
        <f t="shared" si="515"/>
        <v>42</v>
      </c>
      <c r="GM194" s="197">
        <f t="shared" si="515"/>
        <v>43</v>
      </c>
      <c r="GN194" s="197">
        <f t="shared" si="515"/>
        <v>44</v>
      </c>
      <c r="GO194" s="197">
        <f t="shared" si="515"/>
        <v>45</v>
      </c>
      <c r="GP194" s="197">
        <f t="shared" si="515"/>
        <v>46</v>
      </c>
      <c r="GQ194" s="197">
        <f t="shared" si="515"/>
        <v>47</v>
      </c>
      <c r="GR194" s="197">
        <f t="shared" si="515"/>
        <v>48</v>
      </c>
      <c r="GS194" s="197">
        <f t="shared" si="515"/>
        <v>49</v>
      </c>
      <c r="GT194" s="197">
        <f t="shared" si="515"/>
        <v>50</v>
      </c>
      <c r="GU194" s="197">
        <f t="shared" si="515"/>
        <v>51</v>
      </c>
      <c r="GV194" s="197">
        <f t="shared" si="515"/>
        <v>52</v>
      </c>
      <c r="GW194" s="197">
        <f t="shared" si="515"/>
        <v>53</v>
      </c>
      <c r="GX194" s="197">
        <f t="shared" si="515"/>
        <v>54</v>
      </c>
      <c r="GY194" s="197">
        <f t="shared" si="515"/>
        <v>55</v>
      </c>
      <c r="GZ194" s="197">
        <f t="shared" si="515"/>
        <v>56</v>
      </c>
      <c r="HA194" s="197">
        <f t="shared" si="515"/>
        <v>57</v>
      </c>
      <c r="HB194" s="197">
        <f t="shared" si="515"/>
        <v>58</v>
      </c>
      <c r="HC194" s="197">
        <f t="shared" si="515"/>
        <v>59</v>
      </c>
      <c r="HD194" s="197">
        <f t="shared" si="515"/>
        <v>60</v>
      </c>
      <c r="HE194" s="197">
        <f t="shared" si="515"/>
        <v>61</v>
      </c>
      <c r="HF194" s="197">
        <f t="shared" si="515"/>
        <v>62</v>
      </c>
      <c r="HG194" s="197">
        <f t="shared" si="515"/>
        <v>63</v>
      </c>
      <c r="HH194" s="197">
        <f t="shared" ref="HH194:IM194" si="516">HH3</f>
        <v>64</v>
      </c>
      <c r="HI194" s="197">
        <f t="shared" si="516"/>
        <v>65</v>
      </c>
      <c r="HJ194" s="197">
        <f t="shared" si="516"/>
        <v>66</v>
      </c>
      <c r="HK194" s="197">
        <f t="shared" si="516"/>
        <v>67</v>
      </c>
      <c r="HL194" s="197">
        <f t="shared" si="516"/>
        <v>68</v>
      </c>
      <c r="HM194" s="197">
        <f t="shared" si="516"/>
        <v>69</v>
      </c>
      <c r="HN194" s="197">
        <f t="shared" si="516"/>
        <v>70</v>
      </c>
      <c r="HO194" s="197">
        <f t="shared" si="516"/>
        <v>71</v>
      </c>
      <c r="HP194" s="197">
        <f t="shared" si="516"/>
        <v>72</v>
      </c>
      <c r="HQ194" s="197">
        <f t="shared" si="516"/>
        <v>73</v>
      </c>
      <c r="HR194" s="197">
        <f t="shared" si="516"/>
        <v>74</v>
      </c>
      <c r="HS194" s="197">
        <f t="shared" si="516"/>
        <v>75</v>
      </c>
      <c r="HT194" s="197">
        <f t="shared" si="516"/>
        <v>76</v>
      </c>
      <c r="HU194" s="197">
        <f t="shared" si="516"/>
        <v>77</v>
      </c>
      <c r="HV194" s="197">
        <f t="shared" si="516"/>
        <v>78</v>
      </c>
      <c r="HW194" s="197">
        <f t="shared" si="516"/>
        <v>79</v>
      </c>
      <c r="HX194" s="197">
        <f t="shared" si="516"/>
        <v>80</v>
      </c>
      <c r="HY194" s="197">
        <f t="shared" si="516"/>
        <v>81</v>
      </c>
      <c r="HZ194" s="197">
        <f t="shared" si="516"/>
        <v>82</v>
      </c>
      <c r="IA194" s="197">
        <f t="shared" si="516"/>
        <v>83</v>
      </c>
      <c r="IB194" s="197">
        <f t="shared" si="516"/>
        <v>84</v>
      </c>
      <c r="IC194" s="197">
        <f t="shared" si="516"/>
        <v>85</v>
      </c>
      <c r="ID194" s="197">
        <f t="shared" si="516"/>
        <v>86</v>
      </c>
      <c r="IE194" s="197">
        <f t="shared" si="516"/>
        <v>87</v>
      </c>
      <c r="IF194" s="197">
        <f t="shared" si="516"/>
        <v>88</v>
      </c>
      <c r="IG194" s="197">
        <f t="shared" si="516"/>
        <v>89</v>
      </c>
      <c r="IH194" s="197">
        <f t="shared" si="516"/>
        <v>90</v>
      </c>
      <c r="II194" s="197">
        <f t="shared" si="516"/>
        <v>91</v>
      </c>
      <c r="IJ194" s="197">
        <f t="shared" si="516"/>
        <v>92</v>
      </c>
      <c r="IK194" s="197">
        <f t="shared" si="516"/>
        <v>93</v>
      </c>
      <c r="IL194" s="197">
        <f t="shared" si="516"/>
        <v>94</v>
      </c>
      <c r="IM194" s="197">
        <f t="shared" si="516"/>
        <v>95</v>
      </c>
      <c r="IN194" s="197">
        <f t="shared" ref="IN194:JX194" si="517">IN3</f>
        <v>96</v>
      </c>
      <c r="IO194" s="197">
        <f t="shared" si="517"/>
        <v>97</v>
      </c>
      <c r="IP194" s="197">
        <f t="shared" si="517"/>
        <v>98</v>
      </c>
      <c r="IQ194" s="197">
        <f t="shared" si="517"/>
        <v>99</v>
      </c>
      <c r="IR194" s="197">
        <f t="shared" si="517"/>
        <v>100</v>
      </c>
      <c r="IS194" s="197">
        <f t="shared" si="517"/>
        <v>101</v>
      </c>
      <c r="IT194" s="197">
        <f t="shared" si="517"/>
        <v>102</v>
      </c>
      <c r="IU194" s="197">
        <f t="shared" si="517"/>
        <v>103</v>
      </c>
      <c r="IV194" s="197">
        <f t="shared" si="517"/>
        <v>104</v>
      </c>
      <c r="IW194" s="197">
        <f t="shared" si="517"/>
        <v>105</v>
      </c>
      <c r="IX194" s="197">
        <f t="shared" si="517"/>
        <v>106</v>
      </c>
      <c r="IY194" s="197">
        <f t="shared" si="517"/>
        <v>107</v>
      </c>
      <c r="IZ194" s="197">
        <f t="shared" si="517"/>
        <v>108</v>
      </c>
      <c r="JA194" s="197">
        <f t="shared" si="517"/>
        <v>109</v>
      </c>
      <c r="JB194" s="197">
        <f t="shared" si="517"/>
        <v>110</v>
      </c>
      <c r="JC194" s="197">
        <f t="shared" si="517"/>
        <v>111</v>
      </c>
      <c r="JD194" s="197">
        <f t="shared" si="517"/>
        <v>112</v>
      </c>
      <c r="JE194" s="197">
        <f t="shared" si="517"/>
        <v>113</v>
      </c>
      <c r="JF194" s="197">
        <f t="shared" si="517"/>
        <v>114</v>
      </c>
      <c r="JG194" s="197">
        <f t="shared" si="517"/>
        <v>115</v>
      </c>
      <c r="JH194" s="197">
        <f t="shared" si="517"/>
        <v>116</v>
      </c>
      <c r="JI194" s="197">
        <f t="shared" si="517"/>
        <v>117</v>
      </c>
      <c r="JJ194" s="197">
        <f t="shared" si="517"/>
        <v>118</v>
      </c>
      <c r="JK194" s="197">
        <f t="shared" si="517"/>
        <v>119</v>
      </c>
      <c r="JL194" s="197">
        <f t="shared" si="517"/>
        <v>120</v>
      </c>
      <c r="JM194" s="197">
        <f t="shared" si="517"/>
        <v>121</v>
      </c>
      <c r="JN194" s="197">
        <f t="shared" si="517"/>
        <v>122</v>
      </c>
      <c r="JO194" s="197">
        <f t="shared" si="517"/>
        <v>123</v>
      </c>
      <c r="JP194" s="197">
        <f t="shared" si="517"/>
        <v>124</v>
      </c>
      <c r="JQ194" s="197">
        <f t="shared" si="517"/>
        <v>125</v>
      </c>
      <c r="JR194" s="197">
        <f t="shared" si="517"/>
        <v>126</v>
      </c>
      <c r="JS194" s="197">
        <f t="shared" si="517"/>
        <v>127</v>
      </c>
      <c r="JT194" s="197">
        <f t="shared" si="517"/>
        <v>128</v>
      </c>
      <c r="JU194" s="197">
        <f t="shared" si="517"/>
        <v>129</v>
      </c>
      <c r="JV194" s="197">
        <f t="shared" si="517"/>
        <v>130</v>
      </c>
      <c r="JW194" s="197">
        <f t="shared" si="517"/>
        <v>131</v>
      </c>
      <c r="JX194" s="197">
        <f t="shared" si="517"/>
        <v>132</v>
      </c>
      <c r="JY194"/>
      <c r="JZ194" s="262"/>
      <c r="KA194" s="262"/>
      <c r="KB194" s="262"/>
      <c r="KC194" s="262"/>
      <c r="KD194" s="262"/>
      <c r="KE194" s="262"/>
      <c r="KF194" s="262"/>
      <c r="KG194" s="262"/>
      <c r="KH194" s="262"/>
      <c r="KI194" s="262"/>
      <c r="KJ194" s="262"/>
      <c r="KK194" s="262"/>
      <c r="KL194" s="262"/>
      <c r="KM194" s="262"/>
      <c r="KN194" s="262"/>
      <c r="KO194" s="262"/>
      <c r="KP194" s="262"/>
      <c r="KQ194" s="262"/>
      <c r="KR194" s="262"/>
      <c r="KS194" s="262"/>
      <c r="KT194" s="262"/>
      <c r="KU194" s="262"/>
      <c r="KV194" s="262"/>
      <c r="KW194" s="262"/>
      <c r="KX194" s="262"/>
      <c r="KY194" s="262"/>
      <c r="KZ194" s="262"/>
      <c r="LA194" s="262"/>
      <c r="LB194" s="262"/>
      <c r="LC194" s="262"/>
      <c r="LD194" s="262"/>
      <c r="LE194" s="262"/>
      <c r="LF194" s="262"/>
      <c r="LG194" s="262"/>
      <c r="LH194" s="262"/>
      <c r="LI194" s="262"/>
      <c r="LJ194" s="262"/>
      <c r="LK194" s="262"/>
      <c r="LL194" s="262"/>
      <c r="LM194" s="262"/>
      <c r="LN194" s="262"/>
      <c r="LO194" s="262"/>
      <c r="LP194" s="262"/>
      <c r="LQ194" s="262"/>
      <c r="LR194" s="262"/>
      <c r="LS194" s="262"/>
      <c r="LT194" s="262"/>
      <c r="LU194" s="262"/>
      <c r="LV194" s="262"/>
      <c r="LW194" s="262"/>
      <c r="LX194" s="262"/>
      <c r="LY194" s="262"/>
      <c r="LZ194" s="262"/>
      <c r="MA194" s="262"/>
      <c r="MB194" s="262"/>
      <c r="MC194" s="262"/>
      <c r="MD194" s="262"/>
      <c r="ME194" s="262"/>
      <c r="MF194" s="262"/>
      <c r="MG194" s="262"/>
      <c r="MH194" s="262"/>
      <c r="MI194" s="262"/>
      <c r="MJ194" s="262"/>
      <c r="MK194" s="262"/>
      <c r="ML194" s="262"/>
      <c r="MM194" s="262"/>
      <c r="MN194" s="262"/>
      <c r="MO194" s="262"/>
      <c r="MP194" s="262"/>
      <c r="MQ194" s="262"/>
      <c r="MR194" s="262"/>
      <c r="MS194" s="262"/>
      <c r="MT194" s="262"/>
      <c r="MU194" s="262"/>
      <c r="MV194" s="262"/>
      <c r="MW194" s="262"/>
      <c r="MX194" s="262"/>
      <c r="MY194" s="262"/>
      <c r="MZ194" s="262"/>
      <c r="NA194" s="262"/>
      <c r="NB194" s="262"/>
      <c r="NC194" s="262"/>
      <c r="ND194" s="262"/>
      <c r="NE194" s="262"/>
      <c r="NF194" s="262"/>
      <c r="NG194" s="262"/>
      <c r="NH194" s="262"/>
      <c r="NI194" s="262"/>
      <c r="NJ194" s="262"/>
      <c r="NK194" s="262"/>
      <c r="NL194" s="262"/>
      <c r="NM194" s="262"/>
      <c r="NN194" s="262"/>
      <c r="NO194" s="262"/>
      <c r="NP194" s="262"/>
      <c r="NQ194" s="262"/>
      <c r="NR194" s="262"/>
      <c r="NS194" s="262"/>
      <c r="NT194" s="262"/>
      <c r="NU194" s="262"/>
      <c r="NV194" s="262"/>
      <c r="NW194" s="262"/>
      <c r="NX194" s="262"/>
      <c r="NY194" s="262"/>
      <c r="NZ194" s="262"/>
      <c r="OA194" s="262"/>
      <c r="OB194" s="262"/>
      <c r="OC194" s="262"/>
      <c r="OD194" s="262"/>
      <c r="OE194" s="262"/>
      <c r="OF194" s="262"/>
      <c r="OG194" s="262"/>
      <c r="OH194" s="262"/>
      <c r="OI194" s="262"/>
      <c r="OJ194" s="262"/>
      <c r="OK194" s="262"/>
      <c r="OL194" s="262"/>
      <c r="OM194" s="262"/>
      <c r="ON194" s="262"/>
      <c r="OO194" s="262"/>
      <c r="OP194" s="262"/>
      <c r="OQ194" s="262"/>
      <c r="OR194" s="262"/>
      <c r="OS194" s="262"/>
      <c r="OT194" s="262"/>
      <c r="OU194" s="262"/>
      <c r="OV194" s="262"/>
      <c r="OW194" s="262"/>
      <c r="OX194" s="262"/>
      <c r="OY194" s="262"/>
      <c r="OZ194" s="262"/>
      <c r="PA194" s="262"/>
      <c r="PB194" s="262"/>
      <c r="PC194" s="262"/>
      <c r="PD194" s="262"/>
      <c r="PE194" s="262"/>
      <c r="PF194" s="262"/>
      <c r="PG194" s="262"/>
      <c r="PH194" s="262"/>
    </row>
    <row r="195" spans="1:424" x14ac:dyDescent="0.35">
      <c r="A195"/>
      <c r="B195" s="497" t="s">
        <v>372</v>
      </c>
      <c r="C195" s="526"/>
      <c r="D195" s="526"/>
      <c r="E195" s="526"/>
      <c r="F195" s="526"/>
      <c r="G195" s="526"/>
      <c r="H195" s="498"/>
      <c r="I195" s="498" t="s">
        <v>85</v>
      </c>
      <c r="J195" s="374"/>
      <c r="K195" s="374" t="s">
        <v>126</v>
      </c>
      <c r="L195" s="200">
        <f t="shared" ref="L195:AQ195" si="518">IF(L194="","",L24)</f>
        <v>46203</v>
      </c>
      <c r="M195" s="200">
        <f t="shared" si="518"/>
        <v>46234</v>
      </c>
      <c r="N195" s="200">
        <f t="shared" si="518"/>
        <v>46265</v>
      </c>
      <c r="O195" s="200">
        <f t="shared" si="518"/>
        <v>46295</v>
      </c>
      <c r="P195" s="200">
        <f t="shared" si="518"/>
        <v>46326</v>
      </c>
      <c r="Q195" s="200">
        <f t="shared" si="518"/>
        <v>46356</v>
      </c>
      <c r="R195" s="200">
        <f t="shared" si="518"/>
        <v>46387</v>
      </c>
      <c r="S195" s="200">
        <f t="shared" si="518"/>
        <v>46418</v>
      </c>
      <c r="T195" s="200">
        <f t="shared" si="518"/>
        <v>46446</v>
      </c>
      <c r="U195" s="200">
        <f t="shared" si="518"/>
        <v>46477</v>
      </c>
      <c r="V195" s="200">
        <f t="shared" si="518"/>
        <v>46507</v>
      </c>
      <c r="W195" s="200">
        <f t="shared" si="518"/>
        <v>46538</v>
      </c>
      <c r="X195" s="200">
        <f t="shared" si="518"/>
        <v>46568</v>
      </c>
      <c r="Y195" s="200">
        <f t="shared" si="518"/>
        <v>46599</v>
      </c>
      <c r="Z195" s="200">
        <f t="shared" si="518"/>
        <v>46630</v>
      </c>
      <c r="AA195" s="200">
        <f t="shared" si="518"/>
        <v>46660</v>
      </c>
      <c r="AB195" s="200">
        <f t="shared" si="518"/>
        <v>46691</v>
      </c>
      <c r="AC195" s="200">
        <f t="shared" si="518"/>
        <v>46721</v>
      </c>
      <c r="AD195" s="200">
        <f t="shared" si="518"/>
        <v>46752</v>
      </c>
      <c r="AE195" s="200">
        <f t="shared" si="518"/>
        <v>46783</v>
      </c>
      <c r="AF195" s="200">
        <f t="shared" si="518"/>
        <v>46812</v>
      </c>
      <c r="AG195" s="200">
        <f t="shared" si="518"/>
        <v>46843</v>
      </c>
      <c r="AH195" s="200">
        <f t="shared" si="518"/>
        <v>46873</v>
      </c>
      <c r="AI195" s="200">
        <f t="shared" si="518"/>
        <v>46904</v>
      </c>
      <c r="AJ195" s="200">
        <f t="shared" si="518"/>
        <v>46934</v>
      </c>
      <c r="AK195" s="200">
        <f t="shared" si="518"/>
        <v>46965</v>
      </c>
      <c r="AL195" s="200">
        <f t="shared" si="518"/>
        <v>46996</v>
      </c>
      <c r="AM195" s="200">
        <f t="shared" si="518"/>
        <v>47026</v>
      </c>
      <c r="AN195" s="200">
        <f t="shared" si="518"/>
        <v>47057</v>
      </c>
      <c r="AO195" s="200">
        <f t="shared" si="518"/>
        <v>47087</v>
      </c>
      <c r="AP195" s="200">
        <f t="shared" si="518"/>
        <v>47118</v>
      </c>
      <c r="AQ195" s="200">
        <f t="shared" si="518"/>
        <v>47149</v>
      </c>
      <c r="AR195" s="200">
        <f t="shared" ref="AR195:BW195" si="519">IF(AR194="","",AR24)</f>
        <v>47177</v>
      </c>
      <c r="AS195" s="200">
        <f t="shared" si="519"/>
        <v>47208</v>
      </c>
      <c r="AT195" s="200">
        <f t="shared" si="519"/>
        <v>47238</v>
      </c>
      <c r="AU195" s="200">
        <f t="shared" si="519"/>
        <v>47269</v>
      </c>
      <c r="AV195" s="200">
        <f t="shared" si="519"/>
        <v>47299</v>
      </c>
      <c r="AW195" s="200">
        <f t="shared" si="519"/>
        <v>47330</v>
      </c>
      <c r="AX195" s="200">
        <f t="shared" si="519"/>
        <v>47361</v>
      </c>
      <c r="AY195" s="200">
        <f t="shared" si="519"/>
        <v>47391</v>
      </c>
      <c r="AZ195" s="200">
        <f t="shared" si="519"/>
        <v>47422</v>
      </c>
      <c r="BA195" s="200">
        <f t="shared" si="519"/>
        <v>47452</v>
      </c>
      <c r="BB195" s="200">
        <f t="shared" si="519"/>
        <v>47483</v>
      </c>
      <c r="BC195" s="200">
        <f t="shared" si="519"/>
        <v>47514</v>
      </c>
      <c r="BD195" s="200">
        <f t="shared" si="519"/>
        <v>47542</v>
      </c>
      <c r="BE195" s="200">
        <f t="shared" si="519"/>
        <v>47573</v>
      </c>
      <c r="BF195" s="200">
        <f t="shared" si="519"/>
        <v>47603</v>
      </c>
      <c r="BG195" s="200">
        <f t="shared" si="519"/>
        <v>47634</v>
      </c>
      <c r="BH195" s="200">
        <f t="shared" si="519"/>
        <v>47664</v>
      </c>
      <c r="BI195" s="200">
        <f t="shared" si="519"/>
        <v>47695</v>
      </c>
      <c r="BJ195" s="200">
        <f t="shared" si="519"/>
        <v>47726</v>
      </c>
      <c r="BK195" s="200">
        <f t="shared" si="519"/>
        <v>47756</v>
      </c>
      <c r="BL195" s="200">
        <f t="shared" si="519"/>
        <v>47787</v>
      </c>
      <c r="BM195" s="200">
        <f t="shared" si="519"/>
        <v>47817</v>
      </c>
      <c r="BN195" s="200">
        <f t="shared" si="519"/>
        <v>47848</v>
      </c>
      <c r="BO195" s="200">
        <f t="shared" si="519"/>
        <v>47879</v>
      </c>
      <c r="BP195" s="200">
        <f t="shared" si="519"/>
        <v>47907</v>
      </c>
      <c r="BQ195" s="200">
        <f t="shared" si="519"/>
        <v>47938</v>
      </c>
      <c r="BR195" s="200">
        <f t="shared" si="519"/>
        <v>47968</v>
      </c>
      <c r="BS195" s="200">
        <f t="shared" si="519"/>
        <v>47999</v>
      </c>
      <c r="BT195" s="200">
        <f t="shared" si="519"/>
        <v>48029</v>
      </c>
      <c r="BU195" s="200">
        <f t="shared" si="519"/>
        <v>48060</v>
      </c>
      <c r="BV195" s="200" t="str">
        <f t="shared" si="519"/>
        <v/>
      </c>
      <c r="BW195" s="200" t="str">
        <f t="shared" si="519"/>
        <v/>
      </c>
      <c r="BX195" s="200" t="str">
        <f t="shared" ref="BX195:DC195" si="520">IF(BX194="","",BX24)</f>
        <v/>
      </c>
      <c r="BY195" s="200" t="str">
        <f t="shared" si="520"/>
        <v/>
      </c>
      <c r="BZ195" s="200" t="str">
        <f t="shared" si="520"/>
        <v/>
      </c>
      <c r="CA195" s="200" t="str">
        <f t="shared" si="520"/>
        <v/>
      </c>
      <c r="CB195" s="200" t="str">
        <f t="shared" si="520"/>
        <v/>
      </c>
      <c r="CC195" s="200" t="str">
        <f t="shared" si="520"/>
        <v/>
      </c>
      <c r="CD195" s="200" t="str">
        <f t="shared" si="520"/>
        <v/>
      </c>
      <c r="CE195" s="200" t="str">
        <f t="shared" si="520"/>
        <v/>
      </c>
      <c r="CF195" s="200" t="str">
        <f t="shared" si="520"/>
        <v/>
      </c>
      <c r="CG195" s="200" t="str">
        <f t="shared" si="520"/>
        <v/>
      </c>
      <c r="CH195" s="200" t="str">
        <f t="shared" si="520"/>
        <v/>
      </c>
      <c r="CI195" s="200" t="str">
        <f t="shared" si="520"/>
        <v/>
      </c>
      <c r="CJ195" s="200" t="str">
        <f t="shared" si="520"/>
        <v/>
      </c>
      <c r="CK195" s="200" t="str">
        <f t="shared" si="520"/>
        <v/>
      </c>
      <c r="CL195" s="200" t="str">
        <f t="shared" si="520"/>
        <v/>
      </c>
      <c r="CM195" s="200" t="str">
        <f t="shared" si="520"/>
        <v/>
      </c>
      <c r="CN195" s="200" t="str">
        <f t="shared" si="520"/>
        <v/>
      </c>
      <c r="CO195" s="200" t="str">
        <f t="shared" si="520"/>
        <v/>
      </c>
      <c r="CP195" s="200" t="str">
        <f t="shared" si="520"/>
        <v/>
      </c>
      <c r="CQ195" s="200" t="str">
        <f t="shared" si="520"/>
        <v/>
      </c>
      <c r="CR195" s="200" t="str">
        <f t="shared" si="520"/>
        <v/>
      </c>
      <c r="CS195" s="200" t="str">
        <f t="shared" si="520"/>
        <v/>
      </c>
      <c r="CT195" s="200" t="str">
        <f t="shared" si="520"/>
        <v/>
      </c>
      <c r="CU195" s="200" t="str">
        <f t="shared" si="520"/>
        <v/>
      </c>
      <c r="CV195" s="200" t="str">
        <f t="shared" si="520"/>
        <v/>
      </c>
      <c r="CW195" s="200" t="str">
        <f t="shared" si="520"/>
        <v/>
      </c>
      <c r="CX195" s="200" t="str">
        <f t="shared" si="520"/>
        <v/>
      </c>
      <c r="CY195" s="200" t="str">
        <f t="shared" si="520"/>
        <v/>
      </c>
      <c r="CZ195" s="200" t="str">
        <f t="shared" si="520"/>
        <v/>
      </c>
      <c r="DA195" s="200" t="str">
        <f t="shared" si="520"/>
        <v/>
      </c>
      <c r="DB195" s="200" t="str">
        <f t="shared" si="520"/>
        <v/>
      </c>
      <c r="DC195" s="200" t="str">
        <f t="shared" si="520"/>
        <v/>
      </c>
      <c r="DD195" s="200" t="str">
        <f t="shared" ref="DD195:EI195" si="521">IF(DD194="","",DD24)</f>
        <v/>
      </c>
      <c r="DE195" s="200" t="str">
        <f t="shared" si="521"/>
        <v/>
      </c>
      <c r="DF195" s="200" t="str">
        <f t="shared" si="521"/>
        <v/>
      </c>
      <c r="DG195" s="200" t="str">
        <f t="shared" si="521"/>
        <v/>
      </c>
      <c r="DH195" s="200" t="str">
        <f t="shared" si="521"/>
        <v/>
      </c>
      <c r="DI195" s="200" t="str">
        <f t="shared" si="521"/>
        <v/>
      </c>
      <c r="DJ195" s="200" t="str">
        <f t="shared" si="521"/>
        <v/>
      </c>
      <c r="DK195" s="200" t="str">
        <f t="shared" si="521"/>
        <v/>
      </c>
      <c r="DL195" s="200" t="str">
        <f t="shared" si="521"/>
        <v/>
      </c>
      <c r="DM195" s="200" t="str">
        <f t="shared" si="521"/>
        <v/>
      </c>
      <c r="DN195" s="200" t="str">
        <f t="shared" si="521"/>
        <v/>
      </c>
      <c r="DO195" s="200" t="str">
        <f t="shared" si="521"/>
        <v/>
      </c>
      <c r="DP195" s="200" t="str">
        <f t="shared" si="521"/>
        <v/>
      </c>
      <c r="DQ195" s="200" t="str">
        <f t="shared" si="521"/>
        <v/>
      </c>
      <c r="DR195" s="200" t="str">
        <f t="shared" si="521"/>
        <v/>
      </c>
      <c r="DS195" s="200" t="str">
        <f t="shared" si="521"/>
        <v/>
      </c>
      <c r="DT195" s="200" t="str">
        <f t="shared" si="521"/>
        <v/>
      </c>
      <c r="DU195" s="200" t="str">
        <f t="shared" si="521"/>
        <v/>
      </c>
      <c r="DV195" s="200" t="str">
        <f t="shared" si="521"/>
        <v/>
      </c>
      <c r="DW195" s="200" t="str">
        <f t="shared" si="521"/>
        <v/>
      </c>
      <c r="DX195" s="200" t="str">
        <f t="shared" si="521"/>
        <v/>
      </c>
      <c r="DY195" s="200" t="str">
        <f t="shared" si="521"/>
        <v/>
      </c>
      <c r="DZ195" s="200" t="str">
        <f t="shared" si="521"/>
        <v/>
      </c>
      <c r="EA195" s="200" t="str">
        <f t="shared" si="521"/>
        <v/>
      </c>
      <c r="EB195" s="200" t="str">
        <f t="shared" si="521"/>
        <v/>
      </c>
      <c r="EC195" s="200" t="str">
        <f t="shared" si="521"/>
        <v/>
      </c>
      <c r="ED195" s="200" t="str">
        <f t="shared" si="521"/>
        <v/>
      </c>
      <c r="EE195" s="200" t="str">
        <f t="shared" si="521"/>
        <v/>
      </c>
      <c r="EF195" s="200" t="str">
        <f t="shared" si="521"/>
        <v/>
      </c>
      <c r="EG195" s="200" t="str">
        <f t="shared" si="521"/>
        <v/>
      </c>
      <c r="EH195" s="200" t="str">
        <f t="shared" si="521"/>
        <v/>
      </c>
      <c r="EI195" s="200" t="str">
        <f t="shared" si="521"/>
        <v/>
      </c>
      <c r="EJ195" s="200" t="str">
        <f>IF(EJ194="","",EJ24)</f>
        <v/>
      </c>
      <c r="EK195" s="200" t="str">
        <f>IF(EK194="","",EK24)</f>
        <v/>
      </c>
      <c r="EL195" s="200" t="str">
        <f>IF(EL194="","",EL24)</f>
        <v/>
      </c>
      <c r="EM195" s="200" t="str">
        <f>IF(EM194="","",EM24)</f>
        <v/>
      </c>
      <c r="EN195" s="200" t="str">
        <f>IF(EN194="","",EN24)</f>
        <v/>
      </c>
      <c r="EO195"/>
      <c r="EP195" s="405"/>
      <c r="EQ195" s="524"/>
      <c r="ER195" s="524"/>
      <c r="ES195" s="524"/>
      <c r="ET195" s="18" t="s">
        <v>373</v>
      </c>
      <c r="EU195" s="18"/>
      <c r="EV195" s="418">
        <f>AND(EV194&gt;=$G$221,EV194&lt;=Timing_Analysis_End_Month)*$E$221</f>
        <v>0</v>
      </c>
      <c r="EW195" s="418">
        <f t="shared" ref="EW195:GA195" si="522">AND(EW194&gt;=$G$221,EW194&lt;=Timing_Analysis_End_Month)*$E$221</f>
        <v>0</v>
      </c>
      <c r="EX195" s="418">
        <f t="shared" si="522"/>
        <v>0</v>
      </c>
      <c r="EY195" s="418">
        <f t="shared" si="522"/>
        <v>0</v>
      </c>
      <c r="EZ195" s="418">
        <f t="shared" si="522"/>
        <v>0</v>
      </c>
      <c r="FA195" s="418">
        <f t="shared" si="522"/>
        <v>0</v>
      </c>
      <c r="FB195" s="418">
        <f t="shared" si="522"/>
        <v>0</v>
      </c>
      <c r="FC195" s="418">
        <f t="shared" si="522"/>
        <v>0</v>
      </c>
      <c r="FD195" s="418">
        <f t="shared" si="522"/>
        <v>0</v>
      </c>
      <c r="FE195" s="418">
        <f t="shared" si="522"/>
        <v>0</v>
      </c>
      <c r="FF195" s="418">
        <f t="shared" si="522"/>
        <v>0</v>
      </c>
      <c r="FG195" s="418">
        <f t="shared" si="522"/>
        <v>0</v>
      </c>
      <c r="FH195" s="418">
        <f t="shared" si="522"/>
        <v>0</v>
      </c>
      <c r="FI195" s="418">
        <f t="shared" si="522"/>
        <v>0</v>
      </c>
      <c r="FJ195" s="418">
        <f t="shared" si="522"/>
        <v>0</v>
      </c>
      <c r="FK195" s="418">
        <f t="shared" si="522"/>
        <v>0</v>
      </c>
      <c r="FL195" s="418">
        <f t="shared" si="522"/>
        <v>0</v>
      </c>
      <c r="FM195" s="418">
        <f t="shared" si="522"/>
        <v>0</v>
      </c>
      <c r="FN195" s="418">
        <f t="shared" si="522"/>
        <v>0</v>
      </c>
      <c r="FO195" s="418">
        <f t="shared" si="522"/>
        <v>0</v>
      </c>
      <c r="FP195" s="418">
        <f t="shared" si="522"/>
        <v>0</v>
      </c>
      <c r="FQ195" s="418">
        <f t="shared" si="522"/>
        <v>0</v>
      </c>
      <c r="FR195" s="418">
        <f t="shared" si="522"/>
        <v>0</v>
      </c>
      <c r="FS195" s="418">
        <f t="shared" si="522"/>
        <v>0</v>
      </c>
      <c r="FT195" s="418">
        <f t="shared" si="522"/>
        <v>0</v>
      </c>
      <c r="FU195" s="418">
        <f t="shared" si="522"/>
        <v>0</v>
      </c>
      <c r="FV195" s="418">
        <f t="shared" si="522"/>
        <v>0</v>
      </c>
      <c r="FW195" s="418">
        <f t="shared" si="522"/>
        <v>0</v>
      </c>
      <c r="FX195" s="418">
        <f t="shared" si="522"/>
        <v>0</v>
      </c>
      <c r="FY195" s="418">
        <f t="shared" si="522"/>
        <v>0</v>
      </c>
      <c r="FZ195" s="418">
        <f t="shared" si="522"/>
        <v>0</v>
      </c>
      <c r="GA195" s="418">
        <f t="shared" si="522"/>
        <v>0</v>
      </c>
      <c r="GB195" s="418">
        <f t="shared" ref="GB195:HG195" si="523">AND(GB194&gt;=$G$221,GB194&lt;=Timing_Analysis_End_Month)*$E$221</f>
        <v>0</v>
      </c>
      <c r="GC195" s="418">
        <f t="shared" si="523"/>
        <v>0</v>
      </c>
      <c r="GD195" s="418">
        <f t="shared" si="523"/>
        <v>0</v>
      </c>
      <c r="GE195" s="418">
        <f t="shared" si="523"/>
        <v>0</v>
      </c>
      <c r="GF195" s="418">
        <f t="shared" si="523"/>
        <v>0</v>
      </c>
      <c r="GG195" s="418">
        <f t="shared" si="523"/>
        <v>0</v>
      </c>
      <c r="GH195" s="418">
        <f t="shared" si="523"/>
        <v>0</v>
      </c>
      <c r="GI195" s="418">
        <f t="shared" si="523"/>
        <v>0</v>
      </c>
      <c r="GJ195" s="418">
        <f t="shared" si="523"/>
        <v>0</v>
      </c>
      <c r="GK195" s="418">
        <f t="shared" si="523"/>
        <v>0</v>
      </c>
      <c r="GL195" s="418">
        <f t="shared" si="523"/>
        <v>0</v>
      </c>
      <c r="GM195" s="418">
        <f t="shared" si="523"/>
        <v>0</v>
      </c>
      <c r="GN195" s="418">
        <f t="shared" si="523"/>
        <v>0</v>
      </c>
      <c r="GO195" s="418">
        <f t="shared" si="523"/>
        <v>0</v>
      </c>
      <c r="GP195" s="418">
        <f t="shared" si="523"/>
        <v>0</v>
      </c>
      <c r="GQ195" s="418">
        <f t="shared" si="523"/>
        <v>0</v>
      </c>
      <c r="GR195" s="418">
        <f t="shared" si="523"/>
        <v>0</v>
      </c>
      <c r="GS195" s="418">
        <f t="shared" si="523"/>
        <v>0</v>
      </c>
      <c r="GT195" s="418">
        <f t="shared" si="523"/>
        <v>0</v>
      </c>
      <c r="GU195" s="418">
        <f t="shared" si="523"/>
        <v>0</v>
      </c>
      <c r="GV195" s="418">
        <f t="shared" si="523"/>
        <v>0</v>
      </c>
      <c r="GW195" s="418">
        <f t="shared" si="523"/>
        <v>0</v>
      </c>
      <c r="GX195" s="418">
        <f t="shared" si="523"/>
        <v>0</v>
      </c>
      <c r="GY195" s="418">
        <f t="shared" si="523"/>
        <v>0</v>
      </c>
      <c r="GZ195" s="418">
        <f t="shared" si="523"/>
        <v>0</v>
      </c>
      <c r="HA195" s="418">
        <f t="shared" si="523"/>
        <v>0</v>
      </c>
      <c r="HB195" s="418">
        <f t="shared" si="523"/>
        <v>0</v>
      </c>
      <c r="HC195" s="418">
        <f t="shared" si="523"/>
        <v>0</v>
      </c>
      <c r="HD195" s="418">
        <f t="shared" si="523"/>
        <v>0</v>
      </c>
      <c r="HE195" s="418">
        <f t="shared" si="523"/>
        <v>0</v>
      </c>
      <c r="HF195" s="418">
        <f t="shared" si="523"/>
        <v>0</v>
      </c>
      <c r="HG195" s="418">
        <f t="shared" si="523"/>
        <v>0</v>
      </c>
      <c r="HH195" s="418">
        <f t="shared" ref="HH195:IM195" si="524">AND(HH194&gt;=$G$221,HH194&lt;=Timing_Analysis_End_Month)*$E$221</f>
        <v>0</v>
      </c>
      <c r="HI195" s="418">
        <f t="shared" si="524"/>
        <v>0</v>
      </c>
      <c r="HJ195" s="418">
        <f t="shared" si="524"/>
        <v>0</v>
      </c>
      <c r="HK195" s="418">
        <f t="shared" si="524"/>
        <v>0</v>
      </c>
      <c r="HL195" s="418">
        <f t="shared" si="524"/>
        <v>0</v>
      </c>
      <c r="HM195" s="418">
        <f t="shared" si="524"/>
        <v>0</v>
      </c>
      <c r="HN195" s="418">
        <f t="shared" si="524"/>
        <v>0</v>
      </c>
      <c r="HO195" s="418">
        <f t="shared" si="524"/>
        <v>0</v>
      </c>
      <c r="HP195" s="418">
        <f t="shared" si="524"/>
        <v>0</v>
      </c>
      <c r="HQ195" s="418">
        <f t="shared" si="524"/>
        <v>0</v>
      </c>
      <c r="HR195" s="418">
        <f t="shared" si="524"/>
        <v>0</v>
      </c>
      <c r="HS195" s="418">
        <f t="shared" si="524"/>
        <v>0</v>
      </c>
      <c r="HT195" s="418">
        <f t="shared" si="524"/>
        <v>0</v>
      </c>
      <c r="HU195" s="418">
        <f t="shared" si="524"/>
        <v>0</v>
      </c>
      <c r="HV195" s="418">
        <f t="shared" si="524"/>
        <v>0</v>
      </c>
      <c r="HW195" s="418">
        <f t="shared" si="524"/>
        <v>0</v>
      </c>
      <c r="HX195" s="418">
        <f t="shared" si="524"/>
        <v>0</v>
      </c>
      <c r="HY195" s="418">
        <f t="shared" si="524"/>
        <v>0</v>
      </c>
      <c r="HZ195" s="418">
        <f t="shared" si="524"/>
        <v>0</v>
      </c>
      <c r="IA195" s="418">
        <f t="shared" si="524"/>
        <v>0</v>
      </c>
      <c r="IB195" s="418">
        <f t="shared" si="524"/>
        <v>0</v>
      </c>
      <c r="IC195" s="418">
        <f t="shared" si="524"/>
        <v>0</v>
      </c>
      <c r="ID195" s="418">
        <f t="shared" si="524"/>
        <v>0</v>
      </c>
      <c r="IE195" s="418">
        <f t="shared" si="524"/>
        <v>0</v>
      </c>
      <c r="IF195" s="418">
        <f t="shared" si="524"/>
        <v>0</v>
      </c>
      <c r="IG195" s="418">
        <f t="shared" si="524"/>
        <v>0</v>
      </c>
      <c r="IH195" s="418">
        <f t="shared" si="524"/>
        <v>0</v>
      </c>
      <c r="II195" s="418">
        <f t="shared" si="524"/>
        <v>0</v>
      </c>
      <c r="IJ195" s="418">
        <f t="shared" si="524"/>
        <v>0</v>
      </c>
      <c r="IK195" s="418">
        <f t="shared" si="524"/>
        <v>0</v>
      </c>
      <c r="IL195" s="418">
        <f t="shared" si="524"/>
        <v>0</v>
      </c>
      <c r="IM195" s="418">
        <f t="shared" si="524"/>
        <v>0</v>
      </c>
      <c r="IN195" s="418">
        <f t="shared" ref="IN195:JS195" si="525">AND(IN194&gt;=$G$221,IN194&lt;=Timing_Analysis_End_Month)*$E$221</f>
        <v>0</v>
      </c>
      <c r="IO195" s="418">
        <f t="shared" si="525"/>
        <v>0</v>
      </c>
      <c r="IP195" s="418">
        <f t="shared" si="525"/>
        <v>0</v>
      </c>
      <c r="IQ195" s="418">
        <f t="shared" si="525"/>
        <v>0</v>
      </c>
      <c r="IR195" s="418">
        <f t="shared" si="525"/>
        <v>0</v>
      </c>
      <c r="IS195" s="418">
        <f t="shared" si="525"/>
        <v>0</v>
      </c>
      <c r="IT195" s="418">
        <f t="shared" si="525"/>
        <v>0</v>
      </c>
      <c r="IU195" s="418">
        <f t="shared" si="525"/>
        <v>0</v>
      </c>
      <c r="IV195" s="418">
        <f t="shared" si="525"/>
        <v>0</v>
      </c>
      <c r="IW195" s="418">
        <f t="shared" si="525"/>
        <v>0</v>
      </c>
      <c r="IX195" s="418">
        <f t="shared" si="525"/>
        <v>0</v>
      </c>
      <c r="IY195" s="418">
        <f t="shared" si="525"/>
        <v>0</v>
      </c>
      <c r="IZ195" s="418">
        <f t="shared" si="525"/>
        <v>0</v>
      </c>
      <c r="JA195" s="418">
        <f t="shared" si="525"/>
        <v>0</v>
      </c>
      <c r="JB195" s="418">
        <f t="shared" si="525"/>
        <v>0</v>
      </c>
      <c r="JC195" s="418">
        <f t="shared" si="525"/>
        <v>0</v>
      </c>
      <c r="JD195" s="418">
        <f t="shared" si="525"/>
        <v>0</v>
      </c>
      <c r="JE195" s="418">
        <f t="shared" si="525"/>
        <v>0</v>
      </c>
      <c r="JF195" s="418">
        <f t="shared" si="525"/>
        <v>0</v>
      </c>
      <c r="JG195" s="418">
        <f t="shared" si="525"/>
        <v>0</v>
      </c>
      <c r="JH195" s="418">
        <f t="shared" si="525"/>
        <v>0</v>
      </c>
      <c r="JI195" s="418">
        <f t="shared" si="525"/>
        <v>0</v>
      </c>
      <c r="JJ195" s="418">
        <f t="shared" si="525"/>
        <v>0</v>
      </c>
      <c r="JK195" s="418">
        <f t="shared" si="525"/>
        <v>0</v>
      </c>
      <c r="JL195" s="418">
        <f t="shared" si="525"/>
        <v>0</v>
      </c>
      <c r="JM195" s="418">
        <f t="shared" si="525"/>
        <v>0</v>
      </c>
      <c r="JN195" s="418">
        <f t="shared" si="525"/>
        <v>0</v>
      </c>
      <c r="JO195" s="418">
        <f t="shared" si="525"/>
        <v>0</v>
      </c>
      <c r="JP195" s="418">
        <f t="shared" si="525"/>
        <v>0</v>
      </c>
      <c r="JQ195" s="418">
        <f t="shared" si="525"/>
        <v>0</v>
      </c>
      <c r="JR195" s="418">
        <f t="shared" si="525"/>
        <v>0</v>
      </c>
      <c r="JS195" s="418">
        <f t="shared" si="525"/>
        <v>0</v>
      </c>
      <c r="JT195" s="418">
        <f>AND(JT194&gt;=$G$221,JT194&lt;=Timing_Analysis_End_Month)*$E$221</f>
        <v>0</v>
      </c>
      <c r="JU195" s="418">
        <f>AND(JU194&gt;=$G$221,JU194&lt;=Timing_Analysis_End_Month)*$E$221</f>
        <v>0</v>
      </c>
      <c r="JV195" s="418">
        <f>AND(JV194&gt;=$G$221,JV194&lt;=Timing_Analysis_End_Month)*$E$221</f>
        <v>0</v>
      </c>
      <c r="JW195" s="418">
        <f>AND(JW194&gt;=$G$221,JW194&lt;=Timing_Analysis_End_Month)*$E$221</f>
        <v>0</v>
      </c>
      <c r="JX195" s="418">
        <f>AND(JX194&gt;=$G$221,JX194&lt;=Timing_Analysis_End_Month)*$E$221</f>
        <v>0</v>
      </c>
      <c r="JY195"/>
      <c r="JZ195" s="262"/>
      <c r="KA195" s="262"/>
      <c r="KB195" s="262"/>
      <c r="KC195" s="262"/>
      <c r="KD195" s="262"/>
      <c r="KE195" s="262"/>
      <c r="KF195" s="262"/>
      <c r="KG195" s="262"/>
      <c r="KH195" s="262"/>
      <c r="KI195" s="262"/>
      <c r="KJ195" s="262"/>
      <c r="KK195" s="262"/>
      <c r="KL195" s="262"/>
      <c r="KM195" s="262"/>
      <c r="KN195" s="262"/>
      <c r="KO195" s="262"/>
      <c r="KP195" s="262"/>
      <c r="KQ195" s="262"/>
      <c r="KR195" s="262"/>
      <c r="KS195" s="262"/>
      <c r="KT195" s="262"/>
      <c r="KU195" s="262"/>
      <c r="KV195" s="262"/>
      <c r="KW195" s="262"/>
      <c r="KX195" s="262"/>
      <c r="KY195" s="262"/>
      <c r="KZ195" s="262"/>
      <c r="LA195" s="262"/>
      <c r="LB195" s="262"/>
      <c r="LC195" s="262"/>
      <c r="LD195" s="262"/>
      <c r="LE195" s="262"/>
      <c r="LF195" s="262"/>
      <c r="LG195" s="262"/>
      <c r="LH195" s="262"/>
      <c r="LI195" s="262"/>
      <c r="LJ195" s="262"/>
      <c r="LK195" s="262"/>
      <c r="LL195" s="262"/>
      <c r="LM195" s="262"/>
      <c r="LN195" s="262"/>
      <c r="LO195" s="262"/>
      <c r="LP195" s="262"/>
      <c r="LQ195" s="262"/>
      <c r="LR195" s="262"/>
      <c r="LS195" s="262"/>
      <c r="LT195" s="262"/>
      <c r="LU195" s="262"/>
      <c r="LV195" s="262"/>
      <c r="LW195" s="262"/>
      <c r="LX195" s="262"/>
      <c r="LY195" s="262"/>
      <c r="LZ195" s="262"/>
      <c r="MA195" s="262"/>
      <c r="MB195" s="262"/>
      <c r="MC195" s="262"/>
      <c r="MD195" s="262"/>
      <c r="ME195" s="262"/>
      <c r="MF195" s="262"/>
      <c r="MG195" s="262"/>
      <c r="MH195" s="262"/>
      <c r="MI195" s="262"/>
      <c r="MJ195" s="262"/>
      <c r="MK195" s="262"/>
      <c r="ML195" s="262"/>
      <c r="MM195" s="262"/>
      <c r="MN195" s="262"/>
      <c r="MO195" s="262"/>
      <c r="MP195" s="262"/>
      <c r="MQ195" s="262"/>
      <c r="MR195" s="262"/>
      <c r="MS195" s="262"/>
      <c r="MT195" s="262"/>
      <c r="MU195" s="262"/>
      <c r="MV195" s="262"/>
      <c r="MW195" s="262"/>
      <c r="MX195" s="262"/>
      <c r="MY195" s="262"/>
      <c r="MZ195" s="262"/>
      <c r="NA195" s="262"/>
      <c r="NB195" s="262"/>
      <c r="NC195" s="262"/>
      <c r="ND195" s="262"/>
      <c r="NE195" s="262"/>
      <c r="NF195" s="262"/>
      <c r="NG195" s="262"/>
      <c r="NH195" s="262"/>
      <c r="NI195" s="262"/>
      <c r="NJ195" s="262"/>
      <c r="NK195" s="262"/>
      <c r="NL195" s="262"/>
      <c r="NM195" s="262"/>
      <c r="NN195" s="262"/>
      <c r="NO195" s="262"/>
      <c r="NP195" s="262"/>
      <c r="NQ195" s="262"/>
      <c r="NR195" s="262"/>
      <c r="NS195" s="262"/>
      <c r="NT195" s="262"/>
      <c r="NU195" s="262"/>
      <c r="NV195" s="262"/>
      <c r="NW195" s="262"/>
      <c r="NX195" s="262"/>
      <c r="NY195" s="262"/>
      <c r="NZ195" s="262"/>
      <c r="OA195" s="262"/>
      <c r="OB195" s="262"/>
      <c r="OC195" s="262"/>
      <c r="OD195" s="262"/>
      <c r="OE195" s="262"/>
      <c r="OF195" s="262"/>
      <c r="OG195" s="262"/>
      <c r="OH195" s="262"/>
      <c r="OI195" s="262"/>
      <c r="OJ195" s="262"/>
      <c r="OK195" s="262"/>
      <c r="OL195" s="262"/>
      <c r="OM195" s="262"/>
      <c r="ON195" s="262"/>
      <c r="OO195" s="262"/>
      <c r="OP195" s="262"/>
      <c r="OQ195" s="262"/>
      <c r="OR195" s="262"/>
      <c r="OS195" s="262"/>
      <c r="OT195" s="262"/>
      <c r="OU195" s="262"/>
      <c r="OV195" s="262"/>
      <c r="OW195" s="262"/>
      <c r="OX195" s="262"/>
      <c r="OY195" s="262"/>
      <c r="OZ195" s="262"/>
      <c r="PA195" s="262"/>
      <c r="PB195" s="262"/>
      <c r="PC195" s="262"/>
      <c r="PD195" s="262"/>
      <c r="PE195" s="262"/>
      <c r="PF195" s="262"/>
      <c r="PG195" s="262"/>
      <c r="PH195" s="262"/>
    </row>
    <row r="196" spans="1:424" x14ac:dyDescent="0.35">
      <c r="A196"/>
      <c r="B196" s="34" t="s">
        <v>374</v>
      </c>
      <c r="C196" s="400"/>
      <c r="D196" s="400"/>
      <c r="E196" s="400"/>
      <c r="F196" s="400"/>
      <c r="G196" s="400"/>
      <c r="H196" s="40"/>
      <c r="I196" s="445">
        <f>SUM(L196:EN196)</f>
        <v>448856635.1614815</v>
      </c>
      <c r="J196"/>
      <c r="K196"/>
      <c r="L196" s="417">
        <f t="shared" ref="L196:AQ196" si="526">IF(L194="","",L31+L38+L47)</f>
        <v>93017714.091035873</v>
      </c>
      <c r="M196" s="417">
        <f t="shared" si="526"/>
        <v>882028.36212584306</v>
      </c>
      <c r="N196" s="417">
        <f t="shared" si="526"/>
        <v>1153238.7592138182</v>
      </c>
      <c r="O196" s="417">
        <f t="shared" si="526"/>
        <v>1540571.8400115801</v>
      </c>
      <c r="P196" s="417">
        <f t="shared" si="526"/>
        <v>2077208.6703043352</v>
      </c>
      <c r="Q196" s="417">
        <f t="shared" si="526"/>
        <v>2798042.1575110573</v>
      </c>
      <c r="R196" s="417">
        <f t="shared" si="526"/>
        <v>3736098.8558910517</v>
      </c>
      <c r="S196" s="417">
        <f t="shared" si="526"/>
        <v>4917681.2983414307</v>
      </c>
      <c r="T196" s="417">
        <f t="shared" si="526"/>
        <v>6356585.443407244</v>
      </c>
      <c r="U196" s="417">
        <f t="shared" si="526"/>
        <v>8048084.8374454733</v>
      </c>
      <c r="V196" s="417">
        <f t="shared" si="526"/>
        <v>9963673.1491933651</v>
      </c>
      <c r="W196" s="417">
        <f t="shared" si="526"/>
        <v>12047726.791351493</v>
      </c>
      <c r="X196" s="417">
        <f t="shared" si="526"/>
        <v>14217202.323856961</v>
      </c>
      <c r="Y196" s="417">
        <f t="shared" si="526"/>
        <v>16365167.698586643</v>
      </c>
      <c r="Z196" s="417">
        <f t="shared" si="526"/>
        <v>18368392.667920161</v>
      </c>
      <c r="AA196" s="417">
        <f t="shared" si="526"/>
        <v>20098477.243874725</v>
      </c>
      <c r="AB196" s="417">
        <f t="shared" si="526"/>
        <v>21435229.253932979</v>
      </c>
      <c r="AC196" s="417">
        <f t="shared" si="526"/>
        <v>22280397.403045714</v>
      </c>
      <c r="AD196" s="417">
        <f t="shared" si="526"/>
        <v>22569593.467381995</v>
      </c>
      <c r="AE196" s="417">
        <f t="shared" si="526"/>
        <v>22280397.403045733</v>
      </c>
      <c r="AF196" s="417">
        <f t="shared" si="526"/>
        <v>21435229.253932942</v>
      </c>
      <c r="AG196" s="417">
        <f t="shared" si="526"/>
        <v>20098477.243874762</v>
      </c>
      <c r="AH196" s="417">
        <f t="shared" si="526"/>
        <v>18368392.667920135</v>
      </c>
      <c r="AI196" s="417">
        <f t="shared" si="526"/>
        <v>16365167.698586643</v>
      </c>
      <c r="AJ196" s="417">
        <f t="shared" si="526"/>
        <v>14217202.323856987</v>
      </c>
      <c r="AK196" s="417">
        <f t="shared" si="526"/>
        <v>12047726.791351464</v>
      </c>
      <c r="AL196" s="417">
        <f t="shared" si="526"/>
        <v>9963673.1491933651</v>
      </c>
      <c r="AM196" s="417">
        <f t="shared" si="526"/>
        <v>8048084.8374454975</v>
      </c>
      <c r="AN196" s="417">
        <f t="shared" si="526"/>
        <v>6356585.4434072273</v>
      </c>
      <c r="AO196" s="417">
        <f t="shared" si="526"/>
        <v>4917681.2983414317</v>
      </c>
      <c r="AP196" s="417">
        <f t="shared" si="526"/>
        <v>3736098.8558910657</v>
      </c>
      <c r="AQ196" s="417">
        <f t="shared" si="526"/>
        <v>2798042.157511042</v>
      </c>
      <c r="AR196" s="417">
        <f t="shared" ref="AR196:BW196" si="527">IF(AR194="","",AR31+AR38+AR47)</f>
        <v>2077208.670304341</v>
      </c>
      <c r="AS196" s="417">
        <f t="shared" si="527"/>
        <v>1540571.8400115611</v>
      </c>
      <c r="AT196" s="417">
        <f t="shared" si="527"/>
        <v>1153238.7592138406</v>
      </c>
      <c r="AU196" s="417">
        <f t="shared" si="527"/>
        <v>882028.36212582723</v>
      </c>
      <c r="AV196" s="417">
        <f t="shared" si="527"/>
        <v>697714.0910358784</v>
      </c>
      <c r="AW196" s="417">
        <f t="shared" si="527"/>
        <v>0</v>
      </c>
      <c r="AX196" s="417">
        <f t="shared" si="527"/>
        <v>0</v>
      </c>
      <c r="AY196" s="417">
        <f t="shared" si="527"/>
        <v>0</v>
      </c>
      <c r="AZ196" s="417">
        <f t="shared" si="527"/>
        <v>0</v>
      </c>
      <c r="BA196" s="417">
        <f t="shared" si="527"/>
        <v>0</v>
      </c>
      <c r="BB196" s="417">
        <f t="shared" si="527"/>
        <v>0</v>
      </c>
      <c r="BC196" s="417">
        <f t="shared" si="527"/>
        <v>0</v>
      </c>
      <c r="BD196" s="75">
        <f t="shared" si="527"/>
        <v>0</v>
      </c>
      <c r="BE196" s="75">
        <f t="shared" si="527"/>
        <v>0</v>
      </c>
      <c r="BF196" s="75">
        <f t="shared" si="527"/>
        <v>0</v>
      </c>
      <c r="BG196" s="75">
        <f t="shared" si="527"/>
        <v>0</v>
      </c>
      <c r="BH196" s="75">
        <f t="shared" si="527"/>
        <v>0</v>
      </c>
      <c r="BI196" s="75">
        <f t="shared" si="527"/>
        <v>0</v>
      </c>
      <c r="BJ196" s="75">
        <f t="shared" si="527"/>
        <v>0</v>
      </c>
      <c r="BK196" s="75">
        <f t="shared" si="527"/>
        <v>0</v>
      </c>
      <c r="BL196" s="75">
        <f t="shared" si="527"/>
        <v>0</v>
      </c>
      <c r="BM196" s="75">
        <f t="shared" si="527"/>
        <v>0</v>
      </c>
      <c r="BN196" s="75">
        <f t="shared" si="527"/>
        <v>0</v>
      </c>
      <c r="BO196" s="75">
        <f t="shared" si="527"/>
        <v>0</v>
      </c>
      <c r="BP196" s="75">
        <f t="shared" si="527"/>
        <v>0</v>
      </c>
      <c r="BQ196" s="75">
        <f t="shared" si="527"/>
        <v>0</v>
      </c>
      <c r="BR196" s="75">
        <f t="shared" si="527"/>
        <v>0</v>
      </c>
      <c r="BS196" s="75">
        <f t="shared" si="527"/>
        <v>0</v>
      </c>
      <c r="BT196" s="75">
        <f t="shared" si="527"/>
        <v>0</v>
      </c>
      <c r="BU196" s="75">
        <f t="shared" si="527"/>
        <v>0</v>
      </c>
      <c r="BV196" s="75" t="str">
        <f t="shared" si="527"/>
        <v/>
      </c>
      <c r="BW196" s="75" t="str">
        <f t="shared" si="527"/>
        <v/>
      </c>
      <c r="BX196" s="75" t="str">
        <f t="shared" ref="BX196:DC196" si="528">IF(BX194="","",BX31+BX38+BX47)</f>
        <v/>
      </c>
      <c r="BY196" s="75" t="str">
        <f t="shared" si="528"/>
        <v/>
      </c>
      <c r="BZ196" s="75" t="str">
        <f t="shared" si="528"/>
        <v/>
      </c>
      <c r="CA196" s="75" t="str">
        <f t="shared" si="528"/>
        <v/>
      </c>
      <c r="CB196" s="75" t="str">
        <f t="shared" si="528"/>
        <v/>
      </c>
      <c r="CC196" s="75" t="str">
        <f t="shared" si="528"/>
        <v/>
      </c>
      <c r="CD196" s="75" t="str">
        <f t="shared" si="528"/>
        <v/>
      </c>
      <c r="CE196" s="75" t="str">
        <f t="shared" si="528"/>
        <v/>
      </c>
      <c r="CF196" s="75" t="str">
        <f t="shared" si="528"/>
        <v/>
      </c>
      <c r="CG196" s="75" t="str">
        <f t="shared" si="528"/>
        <v/>
      </c>
      <c r="CH196" s="75" t="str">
        <f t="shared" si="528"/>
        <v/>
      </c>
      <c r="CI196" s="75" t="str">
        <f t="shared" si="528"/>
        <v/>
      </c>
      <c r="CJ196" s="75" t="str">
        <f t="shared" si="528"/>
        <v/>
      </c>
      <c r="CK196" s="75" t="str">
        <f t="shared" si="528"/>
        <v/>
      </c>
      <c r="CL196" s="75" t="str">
        <f t="shared" si="528"/>
        <v/>
      </c>
      <c r="CM196" s="75" t="str">
        <f t="shared" si="528"/>
        <v/>
      </c>
      <c r="CN196" s="75" t="str">
        <f t="shared" si="528"/>
        <v/>
      </c>
      <c r="CO196" s="75" t="str">
        <f t="shared" si="528"/>
        <v/>
      </c>
      <c r="CP196" s="75" t="str">
        <f t="shared" si="528"/>
        <v/>
      </c>
      <c r="CQ196" s="75" t="str">
        <f t="shared" si="528"/>
        <v/>
      </c>
      <c r="CR196" s="75" t="str">
        <f t="shared" si="528"/>
        <v/>
      </c>
      <c r="CS196" s="75" t="str">
        <f t="shared" si="528"/>
        <v/>
      </c>
      <c r="CT196" s="75" t="str">
        <f t="shared" si="528"/>
        <v/>
      </c>
      <c r="CU196" s="75" t="str">
        <f t="shared" si="528"/>
        <v/>
      </c>
      <c r="CV196" s="75" t="str">
        <f t="shared" si="528"/>
        <v/>
      </c>
      <c r="CW196" s="75" t="str">
        <f t="shared" si="528"/>
        <v/>
      </c>
      <c r="CX196" s="75" t="str">
        <f t="shared" si="528"/>
        <v/>
      </c>
      <c r="CY196" s="75" t="str">
        <f t="shared" si="528"/>
        <v/>
      </c>
      <c r="CZ196" s="75" t="str">
        <f t="shared" si="528"/>
        <v/>
      </c>
      <c r="DA196" s="75" t="str">
        <f t="shared" si="528"/>
        <v/>
      </c>
      <c r="DB196" s="75" t="str">
        <f t="shared" si="528"/>
        <v/>
      </c>
      <c r="DC196" s="75" t="str">
        <f t="shared" si="528"/>
        <v/>
      </c>
      <c r="DD196" s="75" t="str">
        <f t="shared" ref="DD196:EN196" si="529">IF(DD194="","",DD31+DD38+DD47)</f>
        <v/>
      </c>
      <c r="DE196" s="75" t="str">
        <f t="shared" si="529"/>
        <v/>
      </c>
      <c r="DF196" s="75" t="str">
        <f t="shared" si="529"/>
        <v/>
      </c>
      <c r="DG196" s="75" t="str">
        <f t="shared" si="529"/>
        <v/>
      </c>
      <c r="DH196" s="75" t="str">
        <f t="shared" si="529"/>
        <v/>
      </c>
      <c r="DI196" s="75" t="str">
        <f t="shared" si="529"/>
        <v/>
      </c>
      <c r="DJ196" s="75" t="str">
        <f t="shared" si="529"/>
        <v/>
      </c>
      <c r="DK196" s="75" t="str">
        <f t="shared" si="529"/>
        <v/>
      </c>
      <c r="DL196" s="75" t="str">
        <f t="shared" si="529"/>
        <v/>
      </c>
      <c r="DM196" s="75" t="str">
        <f t="shared" si="529"/>
        <v/>
      </c>
      <c r="DN196" s="75" t="str">
        <f t="shared" si="529"/>
        <v/>
      </c>
      <c r="DO196" s="75" t="str">
        <f t="shared" si="529"/>
        <v/>
      </c>
      <c r="DP196" s="75" t="str">
        <f t="shared" si="529"/>
        <v/>
      </c>
      <c r="DQ196" s="75" t="str">
        <f t="shared" si="529"/>
        <v/>
      </c>
      <c r="DR196" s="75" t="str">
        <f t="shared" si="529"/>
        <v/>
      </c>
      <c r="DS196" s="75" t="str">
        <f t="shared" si="529"/>
        <v/>
      </c>
      <c r="DT196" s="75" t="str">
        <f t="shared" si="529"/>
        <v/>
      </c>
      <c r="DU196" s="75" t="str">
        <f t="shared" si="529"/>
        <v/>
      </c>
      <c r="DV196" s="75" t="str">
        <f t="shared" si="529"/>
        <v/>
      </c>
      <c r="DW196" s="75" t="str">
        <f t="shared" si="529"/>
        <v/>
      </c>
      <c r="DX196" s="75" t="str">
        <f t="shared" si="529"/>
        <v/>
      </c>
      <c r="DY196" s="75" t="str">
        <f t="shared" si="529"/>
        <v/>
      </c>
      <c r="DZ196" s="75" t="str">
        <f t="shared" si="529"/>
        <v/>
      </c>
      <c r="EA196" s="75" t="str">
        <f t="shared" si="529"/>
        <v/>
      </c>
      <c r="EB196" s="75" t="str">
        <f t="shared" si="529"/>
        <v/>
      </c>
      <c r="EC196" s="75" t="str">
        <f t="shared" si="529"/>
        <v/>
      </c>
      <c r="ED196" s="75" t="str">
        <f t="shared" si="529"/>
        <v/>
      </c>
      <c r="EE196" s="75" t="str">
        <f t="shared" si="529"/>
        <v/>
      </c>
      <c r="EF196" s="75" t="str">
        <f t="shared" si="529"/>
        <v/>
      </c>
      <c r="EG196" s="75" t="str">
        <f t="shared" si="529"/>
        <v/>
      </c>
      <c r="EH196" s="75" t="str">
        <f t="shared" si="529"/>
        <v/>
      </c>
      <c r="EI196" s="75" t="str">
        <f t="shared" si="529"/>
        <v/>
      </c>
      <c r="EJ196" s="75" t="str">
        <f t="shared" si="529"/>
        <v/>
      </c>
      <c r="EK196" s="75" t="str">
        <f t="shared" si="529"/>
        <v/>
      </c>
      <c r="EL196" s="75" t="str">
        <f t="shared" si="529"/>
        <v/>
      </c>
      <c r="EM196" s="75" t="str">
        <f t="shared" si="529"/>
        <v/>
      </c>
      <c r="EN196" s="75" t="str">
        <f t="shared" si="529"/>
        <v/>
      </c>
      <c r="EO196"/>
      <c r="EP196" s="527" t="s">
        <v>375</v>
      </c>
      <c r="EQ196" s="524"/>
      <c r="ER196" s="524"/>
      <c r="ES196" s="524"/>
      <c r="ET196" s="18" t="s">
        <v>376</v>
      </c>
      <c r="EU196" s="18"/>
      <c r="EV196" s="418">
        <f>IF(L212="",0,L212-EV195)</f>
        <v>-76389582.872717112</v>
      </c>
      <c r="EW196" s="418">
        <f t="shared" ref="EW196:HH196" si="530">IF(M212="",0,M212-EW195)</f>
        <v>70562.268970067496</v>
      </c>
      <c r="EX196" s="418">
        <f t="shared" si="530"/>
        <v>0</v>
      </c>
      <c r="EY196" s="418">
        <f t="shared" si="530"/>
        <v>52683.47823085892</v>
      </c>
      <c r="EZ196" s="418">
        <f t="shared" si="530"/>
        <v>73917.592887241393</v>
      </c>
      <c r="FA196" s="418">
        <f t="shared" si="530"/>
        <v>100597.62539995834</v>
      </c>
      <c r="FB196" s="418">
        <f t="shared" si="530"/>
        <v>132711.21484693745</v>
      </c>
      <c r="FC196" s="418">
        <f t="shared" si="530"/>
        <v>169571.13126643002</v>
      </c>
      <c r="FD196" s="418">
        <f t="shared" si="530"/>
        <v>209638.92700129561</v>
      </c>
      <c r="FE196" s="418">
        <f t="shared" si="530"/>
        <v>250432.28312832303</v>
      </c>
      <c r="FF196" s="418">
        <f t="shared" si="530"/>
        <v>288567.01646289043</v>
      </c>
      <c r="FG196" s="418">
        <f t="shared" si="530"/>
        <v>319971.35631248169</v>
      </c>
      <c r="FH196" s="418">
        <f t="shared" si="530"/>
        <v>340282.33397308737</v>
      </c>
      <c r="FI196" s="418">
        <f t="shared" si="530"/>
        <v>-1932832.6541841328</v>
      </c>
      <c r="FJ196" s="418">
        <f t="shared" si="530"/>
        <v>-9018148.7201975472</v>
      </c>
      <c r="FK196" s="418">
        <f t="shared" si="530"/>
        <v>-9899906.2401258312</v>
      </c>
      <c r="FL196" s="418">
        <f t="shared" si="530"/>
        <v>-10594941.16352598</v>
      </c>
      <c r="FM196" s="418">
        <f t="shared" si="530"/>
        <v>-11168623.014029484</v>
      </c>
      <c r="FN196" s="418">
        <f t="shared" si="530"/>
        <v>-11476435.484353572</v>
      </c>
      <c r="FO196" s="418">
        <f t="shared" si="530"/>
        <v>-11500747.807484064</v>
      </c>
      <c r="FP196" s="418">
        <f t="shared" si="530"/>
        <v>-11200802.193184778</v>
      </c>
      <c r="FQ196" s="418">
        <f t="shared" si="530"/>
        <v>-10560401.808855567</v>
      </c>
      <c r="FR196" s="418">
        <f t="shared" si="530"/>
        <v>-9007015.4887131397</v>
      </c>
      <c r="FS196" s="418">
        <f t="shared" si="530"/>
        <v>-8037972.8637852902</v>
      </c>
      <c r="FT196" s="418">
        <f t="shared" si="530"/>
        <v>-7003744.5955059687</v>
      </c>
      <c r="FU196" s="418">
        <f t="shared" si="530"/>
        <v>-5750851.2834514072</v>
      </c>
      <c r="FV196" s="418">
        <f t="shared" si="530"/>
        <v>-4766158.5265351916</v>
      </c>
      <c r="FW196" s="418">
        <f t="shared" si="530"/>
        <v>-3873205.3960134638</v>
      </c>
      <c r="FX196" s="418">
        <f t="shared" si="530"/>
        <v>-2923275.520515983</v>
      </c>
      <c r="FY196" s="418">
        <f t="shared" si="530"/>
        <v>-2276010.0856580529</v>
      </c>
      <c r="FZ196" s="418">
        <f t="shared" si="530"/>
        <v>-2650739.4435757259</v>
      </c>
      <c r="GA196" s="418">
        <f t="shared" si="530"/>
        <v>-2596004.2703655614</v>
      </c>
      <c r="GB196" s="418">
        <f t="shared" si="530"/>
        <v>-1937292.4101016719</v>
      </c>
      <c r="GC196" s="418">
        <f t="shared" si="530"/>
        <v>-1455784.2709663643</v>
      </c>
      <c r="GD196" s="418">
        <f t="shared" si="530"/>
        <v>-1083442.3940526801</v>
      </c>
      <c r="GE196" s="418">
        <f t="shared" si="530"/>
        <v>-852358.66986050736</v>
      </c>
      <c r="GF196" s="418">
        <f t="shared" si="530"/>
        <v>-701328.93346127542</v>
      </c>
      <c r="GG196" s="418">
        <f t="shared" si="530"/>
        <v>-35865.47816403769</v>
      </c>
      <c r="GH196" s="418">
        <f t="shared" si="530"/>
        <v>164230.6805146893</v>
      </c>
      <c r="GI196" s="418">
        <f t="shared" si="530"/>
        <v>364286.76529399911</v>
      </c>
      <c r="GJ196" s="418">
        <f t="shared" si="530"/>
        <v>572380.13607966923</v>
      </c>
      <c r="GK196" s="418">
        <f t="shared" si="530"/>
        <v>773016.00189663284</v>
      </c>
      <c r="GL196" s="418">
        <f t="shared" si="530"/>
        <v>973611.13907960732</v>
      </c>
      <c r="GM196" s="418">
        <f t="shared" si="530"/>
        <v>1179706.9936818241</v>
      </c>
      <c r="GN196" s="418">
        <f t="shared" si="530"/>
        <v>1380220.010561527</v>
      </c>
      <c r="GO196" s="418">
        <f t="shared" si="530"/>
        <v>1580691.6333754973</v>
      </c>
      <c r="GP196" s="418">
        <f t="shared" si="530"/>
        <v>1807345.3879058782</v>
      </c>
      <c r="GQ196" s="418">
        <f t="shared" si="530"/>
        <v>2007733.5487203011</v>
      </c>
      <c r="GR196" s="418">
        <f t="shared" si="530"/>
        <v>2208079.6391653027</v>
      </c>
      <c r="GS196" s="418">
        <f t="shared" si="530"/>
        <v>2479277.8516667918</v>
      </c>
      <c r="GT196" s="418">
        <f t="shared" si="530"/>
        <v>2471384.1182492906</v>
      </c>
      <c r="GU196" s="418">
        <f t="shared" si="530"/>
        <v>2463447.6271091113</v>
      </c>
      <c r="GV196" s="418">
        <f t="shared" si="530"/>
        <v>2461777.3341419231</v>
      </c>
      <c r="GW196" s="418">
        <f t="shared" si="530"/>
        <v>2453754.6314888708</v>
      </c>
      <c r="GX196" s="418">
        <f t="shared" si="530"/>
        <v>2445688.4725297811</v>
      </c>
      <c r="GY196" s="418">
        <f t="shared" si="530"/>
        <v>2443314.2468763296</v>
      </c>
      <c r="GZ196" s="418">
        <f t="shared" si="530"/>
        <v>2435160.4678651718</v>
      </c>
      <c r="HA196" s="418">
        <f t="shared" si="530"/>
        <v>2426962.5225510374</v>
      </c>
      <c r="HB196" s="418">
        <f t="shared" si="530"/>
        <v>2445861.752949785</v>
      </c>
      <c r="HC196" s="418">
        <f t="shared" si="530"/>
        <v>2437574.756031421</v>
      </c>
      <c r="HD196" s="418">
        <f t="shared" si="530"/>
        <v>2429242.8712130822</v>
      </c>
      <c r="HE196" s="418">
        <f t="shared" si="530"/>
        <v>475226009.54656303</v>
      </c>
      <c r="HF196" s="418">
        <f t="shared" si="530"/>
        <v>0</v>
      </c>
      <c r="HG196" s="418">
        <f t="shared" si="530"/>
        <v>0</v>
      </c>
      <c r="HH196" s="418">
        <f t="shared" si="530"/>
        <v>0</v>
      </c>
      <c r="HI196" s="418">
        <f t="shared" ref="HI196:JT196" si="531">IF(BY212="",0,BY212-HI195)</f>
        <v>0</v>
      </c>
      <c r="HJ196" s="418">
        <f t="shared" si="531"/>
        <v>0</v>
      </c>
      <c r="HK196" s="418">
        <f t="shared" si="531"/>
        <v>0</v>
      </c>
      <c r="HL196" s="418">
        <f t="shared" si="531"/>
        <v>0</v>
      </c>
      <c r="HM196" s="418">
        <f t="shared" si="531"/>
        <v>0</v>
      </c>
      <c r="HN196" s="418">
        <f t="shared" si="531"/>
        <v>0</v>
      </c>
      <c r="HO196" s="418">
        <f t="shared" si="531"/>
        <v>0</v>
      </c>
      <c r="HP196" s="418">
        <f t="shared" si="531"/>
        <v>0</v>
      </c>
      <c r="HQ196" s="418">
        <f t="shared" si="531"/>
        <v>0</v>
      </c>
      <c r="HR196" s="418">
        <f t="shared" si="531"/>
        <v>0</v>
      </c>
      <c r="HS196" s="418">
        <f t="shared" si="531"/>
        <v>0</v>
      </c>
      <c r="HT196" s="418">
        <f t="shared" si="531"/>
        <v>0</v>
      </c>
      <c r="HU196" s="418">
        <f t="shared" si="531"/>
        <v>0</v>
      </c>
      <c r="HV196" s="418">
        <f t="shared" si="531"/>
        <v>0</v>
      </c>
      <c r="HW196" s="418">
        <f t="shared" si="531"/>
        <v>0</v>
      </c>
      <c r="HX196" s="418">
        <f t="shared" si="531"/>
        <v>0</v>
      </c>
      <c r="HY196" s="418">
        <f t="shared" si="531"/>
        <v>0</v>
      </c>
      <c r="HZ196" s="418">
        <f t="shared" si="531"/>
        <v>0</v>
      </c>
      <c r="IA196" s="418">
        <f t="shared" si="531"/>
        <v>0</v>
      </c>
      <c r="IB196" s="418">
        <f t="shared" si="531"/>
        <v>0</v>
      </c>
      <c r="IC196" s="418">
        <f t="shared" si="531"/>
        <v>0</v>
      </c>
      <c r="ID196" s="418">
        <f t="shared" si="531"/>
        <v>0</v>
      </c>
      <c r="IE196" s="418">
        <f t="shared" si="531"/>
        <v>0</v>
      </c>
      <c r="IF196" s="418">
        <f t="shared" si="531"/>
        <v>0</v>
      </c>
      <c r="IG196" s="418">
        <f t="shared" si="531"/>
        <v>0</v>
      </c>
      <c r="IH196" s="418">
        <f t="shared" si="531"/>
        <v>0</v>
      </c>
      <c r="II196" s="418">
        <f t="shared" si="531"/>
        <v>0</v>
      </c>
      <c r="IJ196" s="418">
        <f t="shared" si="531"/>
        <v>0</v>
      </c>
      <c r="IK196" s="418">
        <f t="shared" si="531"/>
        <v>0</v>
      </c>
      <c r="IL196" s="418">
        <f t="shared" si="531"/>
        <v>0</v>
      </c>
      <c r="IM196" s="418">
        <f t="shared" si="531"/>
        <v>0</v>
      </c>
      <c r="IN196" s="418">
        <f t="shared" si="531"/>
        <v>0</v>
      </c>
      <c r="IO196" s="418">
        <f t="shared" si="531"/>
        <v>0</v>
      </c>
      <c r="IP196" s="418">
        <f t="shared" si="531"/>
        <v>0</v>
      </c>
      <c r="IQ196" s="418">
        <f t="shared" si="531"/>
        <v>0</v>
      </c>
      <c r="IR196" s="418">
        <f t="shared" si="531"/>
        <v>0</v>
      </c>
      <c r="IS196" s="418">
        <f t="shared" si="531"/>
        <v>0</v>
      </c>
      <c r="IT196" s="418">
        <f t="shared" si="531"/>
        <v>0</v>
      </c>
      <c r="IU196" s="418">
        <f t="shared" si="531"/>
        <v>0</v>
      </c>
      <c r="IV196" s="418">
        <f t="shared" si="531"/>
        <v>0</v>
      </c>
      <c r="IW196" s="418">
        <f t="shared" si="531"/>
        <v>0</v>
      </c>
      <c r="IX196" s="418">
        <f t="shared" si="531"/>
        <v>0</v>
      </c>
      <c r="IY196" s="418">
        <f t="shared" si="531"/>
        <v>0</v>
      </c>
      <c r="IZ196" s="418">
        <f t="shared" si="531"/>
        <v>0</v>
      </c>
      <c r="JA196" s="418">
        <f t="shared" si="531"/>
        <v>0</v>
      </c>
      <c r="JB196" s="418">
        <f t="shared" si="531"/>
        <v>0</v>
      </c>
      <c r="JC196" s="418">
        <f t="shared" si="531"/>
        <v>0</v>
      </c>
      <c r="JD196" s="418">
        <f t="shared" si="531"/>
        <v>0</v>
      </c>
      <c r="JE196" s="418">
        <f t="shared" si="531"/>
        <v>0</v>
      </c>
      <c r="JF196" s="418">
        <f t="shared" si="531"/>
        <v>0</v>
      </c>
      <c r="JG196" s="418">
        <f t="shared" si="531"/>
        <v>0</v>
      </c>
      <c r="JH196" s="418">
        <f t="shared" si="531"/>
        <v>0</v>
      </c>
      <c r="JI196" s="418">
        <f t="shared" si="531"/>
        <v>0</v>
      </c>
      <c r="JJ196" s="418">
        <f t="shared" si="531"/>
        <v>0</v>
      </c>
      <c r="JK196" s="418">
        <f t="shared" si="531"/>
        <v>0</v>
      </c>
      <c r="JL196" s="418">
        <f t="shared" si="531"/>
        <v>0</v>
      </c>
      <c r="JM196" s="418">
        <f t="shared" si="531"/>
        <v>0</v>
      </c>
      <c r="JN196" s="418">
        <f t="shared" si="531"/>
        <v>0</v>
      </c>
      <c r="JO196" s="418">
        <f t="shared" si="531"/>
        <v>0</v>
      </c>
      <c r="JP196" s="418">
        <f t="shared" si="531"/>
        <v>0</v>
      </c>
      <c r="JQ196" s="418">
        <f t="shared" si="531"/>
        <v>0</v>
      </c>
      <c r="JR196" s="418">
        <f t="shared" si="531"/>
        <v>0</v>
      </c>
      <c r="JS196" s="418">
        <f t="shared" si="531"/>
        <v>0</v>
      </c>
      <c r="JT196" s="418">
        <f t="shared" si="531"/>
        <v>0</v>
      </c>
      <c r="JU196" s="418">
        <f>IF(EK212="",0,EK212-JU195)</f>
        <v>0</v>
      </c>
      <c r="JV196" s="418">
        <f>IF(EL212="",0,EL212-JV195)</f>
        <v>0</v>
      </c>
      <c r="JW196" s="418">
        <f>IF(EM212="",0,EM212-JW195)</f>
        <v>0</v>
      </c>
      <c r="JX196" s="418">
        <f>IF(EN212="",0,EN212-JX195)</f>
        <v>0</v>
      </c>
      <c r="JY196"/>
      <c r="JZ196" s="262"/>
      <c r="KA196" s="262"/>
      <c r="KB196" s="262"/>
      <c r="KC196" s="262"/>
      <c r="KD196" s="262"/>
      <c r="KE196" s="262"/>
      <c r="KF196" s="262"/>
      <c r="KG196" s="262"/>
      <c r="KH196" s="262"/>
      <c r="KI196" s="262"/>
      <c r="KJ196" s="262"/>
      <c r="KK196" s="262"/>
      <c r="KL196" s="262"/>
      <c r="KM196" s="262"/>
      <c r="KN196" s="262"/>
      <c r="KO196" s="262"/>
      <c r="KP196" s="262"/>
      <c r="KQ196" s="262"/>
      <c r="KR196" s="262"/>
      <c r="KS196" s="262"/>
      <c r="KT196" s="262"/>
      <c r="KU196" s="262"/>
      <c r="KV196" s="262"/>
      <c r="KW196" s="262"/>
      <c r="KX196" s="262"/>
      <c r="KY196" s="262"/>
      <c r="KZ196" s="262"/>
      <c r="LA196" s="262"/>
      <c r="LB196" s="262"/>
      <c r="LC196" s="262"/>
      <c r="LD196" s="262"/>
      <c r="LE196" s="262"/>
      <c r="LF196" s="262"/>
      <c r="LG196" s="262"/>
      <c r="LH196" s="262"/>
      <c r="LI196" s="262"/>
      <c r="LJ196" s="262"/>
      <c r="LK196" s="262"/>
      <c r="LL196" s="262"/>
      <c r="LM196" s="262"/>
      <c r="LN196" s="262"/>
      <c r="LO196" s="262"/>
      <c r="LP196" s="262"/>
      <c r="LQ196" s="262"/>
      <c r="LR196" s="262"/>
      <c r="LS196" s="262"/>
      <c r="LT196" s="262"/>
      <c r="LU196" s="262"/>
      <c r="LV196" s="262"/>
      <c r="LW196" s="262"/>
      <c r="LX196" s="262"/>
      <c r="LY196" s="262"/>
      <c r="LZ196" s="262"/>
      <c r="MA196" s="262"/>
      <c r="MB196" s="262"/>
      <c r="MC196" s="262"/>
      <c r="MD196" s="262"/>
      <c r="ME196" s="262"/>
      <c r="MF196" s="262"/>
      <c r="MG196" s="262"/>
      <c r="MH196" s="262"/>
      <c r="MI196" s="262"/>
      <c r="MJ196" s="262"/>
      <c r="MK196" s="262"/>
      <c r="ML196" s="262"/>
      <c r="MM196" s="262"/>
      <c r="MN196" s="262"/>
      <c r="MO196" s="262"/>
      <c r="MP196" s="262"/>
      <c r="MQ196" s="262"/>
      <c r="MR196" s="262"/>
      <c r="MS196" s="262"/>
      <c r="MT196" s="262"/>
      <c r="MU196" s="262"/>
      <c r="MV196" s="262"/>
      <c r="MW196" s="262"/>
      <c r="MX196" s="262"/>
      <c r="MY196" s="262"/>
      <c r="MZ196" s="262"/>
      <c r="NA196" s="262"/>
      <c r="NB196" s="262"/>
      <c r="NC196" s="262"/>
      <c r="ND196" s="262"/>
      <c r="NE196" s="262"/>
      <c r="NF196" s="262"/>
      <c r="NG196" s="262"/>
      <c r="NH196" s="262"/>
      <c r="NI196" s="262"/>
      <c r="NJ196" s="262"/>
      <c r="NK196" s="262"/>
      <c r="NL196" s="262"/>
      <c r="NM196" s="262"/>
      <c r="NN196" s="262"/>
      <c r="NO196" s="262"/>
      <c r="NP196" s="262"/>
      <c r="NQ196" s="262"/>
      <c r="NR196" s="262"/>
      <c r="NS196" s="262"/>
      <c r="NT196" s="262"/>
      <c r="NU196" s="262"/>
      <c r="NV196" s="262"/>
      <c r="NW196" s="262"/>
      <c r="NX196" s="262"/>
      <c r="NY196" s="262"/>
      <c r="NZ196" s="262"/>
      <c r="OA196" s="262"/>
      <c r="OB196" s="262"/>
      <c r="OC196" s="262"/>
      <c r="OD196" s="262"/>
      <c r="OE196" s="262"/>
      <c r="OF196" s="262"/>
      <c r="OG196" s="262"/>
      <c r="OH196" s="262"/>
      <c r="OI196" s="262"/>
      <c r="OJ196" s="262"/>
      <c r="OK196" s="262"/>
      <c r="OL196" s="262"/>
      <c r="OM196" s="262"/>
      <c r="ON196" s="262"/>
      <c r="OO196" s="262"/>
      <c r="OP196" s="262"/>
      <c r="OQ196" s="262"/>
      <c r="OR196" s="262"/>
      <c r="OS196" s="262"/>
      <c r="OT196" s="262"/>
      <c r="OU196" s="262"/>
      <c r="OV196" s="262"/>
      <c r="OW196" s="262"/>
      <c r="OX196" s="262"/>
      <c r="OY196" s="262"/>
      <c r="OZ196" s="262"/>
      <c r="PA196" s="262"/>
      <c r="PB196" s="262"/>
      <c r="PC196" s="262"/>
      <c r="PD196" s="262"/>
      <c r="PE196" s="262"/>
      <c r="PF196" s="262"/>
      <c r="PG196" s="262"/>
      <c r="PH196" s="262"/>
    </row>
    <row r="197" spans="1:424" x14ac:dyDescent="0.35">
      <c r="A197"/>
      <c r="B197" s="34" t="s">
        <v>377</v>
      </c>
      <c r="C197" s="400"/>
      <c r="D197" s="400"/>
      <c r="E197" s="400"/>
      <c r="F197" s="400"/>
      <c r="G197" s="400"/>
      <c r="H197" s="40"/>
      <c r="I197" s="445">
        <f>SUM(L197:EN197)</f>
        <v>55420204.001591839</v>
      </c>
      <c r="J197"/>
      <c r="K197"/>
      <c r="L197" s="417">
        <f t="shared" ref="L197:AQ197" si="532">IF(L194="","",(L3&lt;=ConstDebt_Payoff)*EV61)</f>
        <v>0</v>
      </c>
      <c r="M197" s="417">
        <f t="shared" si="532"/>
        <v>0</v>
      </c>
      <c r="N197" s="417">
        <f t="shared" si="532"/>
        <v>0</v>
      </c>
      <c r="O197" s="417">
        <f t="shared" si="532"/>
        <v>0</v>
      </c>
      <c r="P197" s="417">
        <f t="shared" si="532"/>
        <v>0</v>
      </c>
      <c r="Q197" s="417">
        <f t="shared" si="532"/>
        <v>0</v>
      </c>
      <c r="R197" s="417">
        <f t="shared" si="532"/>
        <v>0</v>
      </c>
      <c r="S197" s="417">
        <f t="shared" si="532"/>
        <v>0</v>
      </c>
      <c r="T197" s="417">
        <f t="shared" si="532"/>
        <v>0</v>
      </c>
      <c r="U197" s="417">
        <f t="shared" si="532"/>
        <v>0</v>
      </c>
      <c r="V197" s="417">
        <f t="shared" si="532"/>
        <v>0</v>
      </c>
      <c r="W197" s="417">
        <f t="shared" si="532"/>
        <v>0</v>
      </c>
      <c r="X197" s="417">
        <f t="shared" si="532"/>
        <v>0</v>
      </c>
      <c r="Y197" s="417">
        <f t="shared" si="532"/>
        <v>0</v>
      </c>
      <c r="Z197" s="417">
        <f t="shared" si="532"/>
        <v>0</v>
      </c>
      <c r="AA197" s="417">
        <f t="shared" si="532"/>
        <v>0</v>
      </c>
      <c r="AB197" s="417">
        <f t="shared" si="532"/>
        <v>0</v>
      </c>
      <c r="AC197" s="417">
        <f t="shared" si="532"/>
        <v>115701.11887347278</v>
      </c>
      <c r="AD197" s="417">
        <f t="shared" si="532"/>
        <v>237013.31920053504</v>
      </c>
      <c r="AE197" s="417">
        <f t="shared" si="532"/>
        <v>360549.10596119048</v>
      </c>
      <c r="AF197" s="417">
        <f t="shared" si="532"/>
        <v>483187.56621831126</v>
      </c>
      <c r="AG197" s="417">
        <f t="shared" si="532"/>
        <v>601912.32399413048</v>
      </c>
      <c r="AH197" s="417">
        <f t="shared" si="532"/>
        <v>714039.43415342038</v>
      </c>
      <c r="AI197" s="417">
        <f t="shared" si="532"/>
        <v>817402.60803965235</v>
      </c>
      <c r="AJ197" s="417">
        <f t="shared" si="532"/>
        <v>910474.86386721127</v>
      </c>
      <c r="AK197" s="417">
        <f t="shared" si="532"/>
        <v>992416.44863405079</v>
      </c>
      <c r="AL197" s="417">
        <f t="shared" si="532"/>
        <v>1063050.5578506391</v>
      </c>
      <c r="AM197" s="417">
        <f t="shared" si="532"/>
        <v>1122778.6445971273</v>
      </c>
      <c r="AN197" s="417">
        <f t="shared" si="532"/>
        <v>1172454.1551248583</v>
      </c>
      <c r="AO197" s="417">
        <f t="shared" si="532"/>
        <v>1213236.4529502403</v>
      </c>
      <c r="AP197" s="417">
        <f t="shared" si="532"/>
        <v>1246445.590769737</v>
      </c>
      <c r="AQ197" s="417">
        <f t="shared" si="532"/>
        <v>1273434.3731891497</v>
      </c>
      <c r="AR197" s="417">
        <f t="shared" ref="AR197:BW197" si="533">IF(AR194="","",(AR3&lt;=ConstDebt_Payoff)*GB61)</f>
        <v>1295488.2043971091</v>
      </c>
      <c r="AS197" s="417">
        <f t="shared" si="533"/>
        <v>1313756.9791350754</v>
      </c>
      <c r="AT197" s="417">
        <f t="shared" si="533"/>
        <v>1329217.926905453</v>
      </c>
      <c r="AU197" s="417">
        <f t="shared" si="533"/>
        <v>1342664.5672885992</v>
      </c>
      <c r="AV197" s="417">
        <f t="shared" si="533"/>
        <v>1354714.9873229272</v>
      </c>
      <c r="AW197" s="417">
        <f t="shared" si="533"/>
        <v>1365832.3114973707</v>
      </c>
      <c r="AX197" s="417">
        <f t="shared" si="533"/>
        <v>1373230.5698513146</v>
      </c>
      <c r="AY197" s="417">
        <f t="shared" si="533"/>
        <v>1380668.902104676</v>
      </c>
      <c r="AZ197" s="417">
        <f t="shared" si="533"/>
        <v>1388147.5253244096</v>
      </c>
      <c r="BA197" s="417">
        <f t="shared" si="533"/>
        <v>1395666.6577532501</v>
      </c>
      <c r="BB197" s="417">
        <f t="shared" si="533"/>
        <v>1403226.5188160802</v>
      </c>
      <c r="BC197" s="417">
        <f t="shared" si="533"/>
        <v>1410827.3291263341</v>
      </c>
      <c r="BD197" s="75">
        <f t="shared" si="533"/>
        <v>1418469.3104924352</v>
      </c>
      <c r="BE197" s="75">
        <f t="shared" si="533"/>
        <v>1426152.685924269</v>
      </c>
      <c r="BF197" s="75">
        <f t="shared" si="533"/>
        <v>1433877.6796396922</v>
      </c>
      <c r="BG197" s="75">
        <f t="shared" si="533"/>
        <v>1441644.5170710739</v>
      </c>
      <c r="BH197" s="75">
        <f t="shared" si="533"/>
        <v>1449453.4248718752</v>
      </c>
      <c r="BI197" s="75">
        <f t="shared" si="533"/>
        <v>1457304.6309232647</v>
      </c>
      <c r="BJ197" s="75">
        <f t="shared" si="533"/>
        <v>1465198.3643407656</v>
      </c>
      <c r="BK197" s="75">
        <f t="shared" si="533"/>
        <v>1473134.855480945</v>
      </c>
      <c r="BL197" s="75">
        <f t="shared" si="533"/>
        <v>1481114.3359481336</v>
      </c>
      <c r="BM197" s="75">
        <f t="shared" si="533"/>
        <v>1489137.0386011859</v>
      </c>
      <c r="BN197" s="75">
        <f t="shared" si="533"/>
        <v>1497203.1975602752</v>
      </c>
      <c r="BO197" s="75">
        <f t="shared" si="533"/>
        <v>1505313.0482137268</v>
      </c>
      <c r="BP197" s="75">
        <f t="shared" si="533"/>
        <v>1513466.8272248844</v>
      </c>
      <c r="BQ197" s="75">
        <f t="shared" si="533"/>
        <v>1521664.7725390194</v>
      </c>
      <c r="BR197" s="75">
        <f t="shared" si="533"/>
        <v>1529907.1233902723</v>
      </c>
      <c r="BS197" s="75">
        <f t="shared" si="533"/>
        <v>1538194.1203086365</v>
      </c>
      <c r="BT197" s="75">
        <f t="shared" si="533"/>
        <v>1546526.0051269748</v>
      </c>
      <c r="BU197" s="75">
        <f t="shared" si="533"/>
        <v>1554903.020988079</v>
      </c>
      <c r="BV197" s="75" t="str">
        <f t="shared" si="533"/>
        <v/>
      </c>
      <c r="BW197" s="75" t="str">
        <f t="shared" si="533"/>
        <v/>
      </c>
      <c r="BX197" s="75" t="str">
        <f t="shared" ref="BX197:DC197" si="534">IF(BX194="","",(BX3&lt;=ConstDebt_Payoff)*HH61)</f>
        <v/>
      </c>
      <c r="BY197" s="75" t="str">
        <f t="shared" si="534"/>
        <v/>
      </c>
      <c r="BZ197" s="75" t="str">
        <f t="shared" si="534"/>
        <v/>
      </c>
      <c r="CA197" s="75" t="str">
        <f t="shared" si="534"/>
        <v/>
      </c>
      <c r="CB197" s="75" t="str">
        <f t="shared" si="534"/>
        <v/>
      </c>
      <c r="CC197" s="75" t="str">
        <f t="shared" si="534"/>
        <v/>
      </c>
      <c r="CD197" s="75" t="str">
        <f t="shared" si="534"/>
        <v/>
      </c>
      <c r="CE197" s="75" t="str">
        <f t="shared" si="534"/>
        <v/>
      </c>
      <c r="CF197" s="75" t="str">
        <f t="shared" si="534"/>
        <v/>
      </c>
      <c r="CG197" s="75" t="str">
        <f t="shared" si="534"/>
        <v/>
      </c>
      <c r="CH197" s="75" t="str">
        <f t="shared" si="534"/>
        <v/>
      </c>
      <c r="CI197" s="75" t="str">
        <f t="shared" si="534"/>
        <v/>
      </c>
      <c r="CJ197" s="75" t="str">
        <f t="shared" si="534"/>
        <v/>
      </c>
      <c r="CK197" s="75" t="str">
        <f t="shared" si="534"/>
        <v/>
      </c>
      <c r="CL197" s="75" t="str">
        <f t="shared" si="534"/>
        <v/>
      </c>
      <c r="CM197" s="75" t="str">
        <f t="shared" si="534"/>
        <v/>
      </c>
      <c r="CN197" s="75" t="str">
        <f t="shared" si="534"/>
        <v/>
      </c>
      <c r="CO197" s="75" t="str">
        <f t="shared" si="534"/>
        <v/>
      </c>
      <c r="CP197" s="75" t="str">
        <f t="shared" si="534"/>
        <v/>
      </c>
      <c r="CQ197" s="75" t="str">
        <f t="shared" si="534"/>
        <v/>
      </c>
      <c r="CR197" s="75" t="str">
        <f t="shared" si="534"/>
        <v/>
      </c>
      <c r="CS197" s="75" t="str">
        <f t="shared" si="534"/>
        <v/>
      </c>
      <c r="CT197" s="75" t="str">
        <f t="shared" si="534"/>
        <v/>
      </c>
      <c r="CU197" s="75" t="str">
        <f t="shared" si="534"/>
        <v/>
      </c>
      <c r="CV197" s="75" t="str">
        <f t="shared" si="534"/>
        <v/>
      </c>
      <c r="CW197" s="75" t="str">
        <f t="shared" si="534"/>
        <v/>
      </c>
      <c r="CX197" s="75" t="str">
        <f t="shared" si="534"/>
        <v/>
      </c>
      <c r="CY197" s="75" t="str">
        <f t="shared" si="534"/>
        <v/>
      </c>
      <c r="CZ197" s="75" t="str">
        <f t="shared" si="534"/>
        <v/>
      </c>
      <c r="DA197" s="75" t="str">
        <f t="shared" si="534"/>
        <v/>
      </c>
      <c r="DB197" s="75" t="str">
        <f t="shared" si="534"/>
        <v/>
      </c>
      <c r="DC197" s="75" t="str">
        <f t="shared" si="534"/>
        <v/>
      </c>
      <c r="DD197" s="75" t="str">
        <f t="shared" ref="DD197:EI197" si="535">IF(DD194="","",(DD3&lt;=ConstDebt_Payoff)*IN61)</f>
        <v/>
      </c>
      <c r="DE197" s="75" t="str">
        <f t="shared" si="535"/>
        <v/>
      </c>
      <c r="DF197" s="75" t="str">
        <f t="shared" si="535"/>
        <v/>
      </c>
      <c r="DG197" s="75" t="str">
        <f t="shared" si="535"/>
        <v/>
      </c>
      <c r="DH197" s="75" t="str">
        <f t="shared" si="535"/>
        <v/>
      </c>
      <c r="DI197" s="75" t="str">
        <f t="shared" si="535"/>
        <v/>
      </c>
      <c r="DJ197" s="75" t="str">
        <f t="shared" si="535"/>
        <v/>
      </c>
      <c r="DK197" s="75" t="str">
        <f t="shared" si="535"/>
        <v/>
      </c>
      <c r="DL197" s="75" t="str">
        <f t="shared" si="535"/>
        <v/>
      </c>
      <c r="DM197" s="75" t="str">
        <f t="shared" si="535"/>
        <v/>
      </c>
      <c r="DN197" s="75" t="str">
        <f t="shared" si="535"/>
        <v/>
      </c>
      <c r="DO197" s="75" t="str">
        <f t="shared" si="535"/>
        <v/>
      </c>
      <c r="DP197" s="75" t="str">
        <f t="shared" si="535"/>
        <v/>
      </c>
      <c r="DQ197" s="75" t="str">
        <f t="shared" si="535"/>
        <v/>
      </c>
      <c r="DR197" s="75" t="str">
        <f t="shared" si="535"/>
        <v/>
      </c>
      <c r="DS197" s="75" t="str">
        <f t="shared" si="535"/>
        <v/>
      </c>
      <c r="DT197" s="75" t="str">
        <f t="shared" si="535"/>
        <v/>
      </c>
      <c r="DU197" s="75" t="str">
        <f t="shared" si="535"/>
        <v/>
      </c>
      <c r="DV197" s="75" t="str">
        <f t="shared" si="535"/>
        <v/>
      </c>
      <c r="DW197" s="75" t="str">
        <f t="shared" si="535"/>
        <v/>
      </c>
      <c r="DX197" s="75" t="str">
        <f t="shared" si="535"/>
        <v/>
      </c>
      <c r="DY197" s="75" t="str">
        <f t="shared" si="535"/>
        <v/>
      </c>
      <c r="DZ197" s="75" t="str">
        <f t="shared" si="535"/>
        <v/>
      </c>
      <c r="EA197" s="75" t="str">
        <f t="shared" si="535"/>
        <v/>
      </c>
      <c r="EB197" s="75" t="str">
        <f t="shared" si="535"/>
        <v/>
      </c>
      <c r="EC197" s="75" t="str">
        <f t="shared" si="535"/>
        <v/>
      </c>
      <c r="ED197" s="75" t="str">
        <f t="shared" si="535"/>
        <v/>
      </c>
      <c r="EE197" s="75" t="str">
        <f t="shared" si="535"/>
        <v/>
      </c>
      <c r="EF197" s="75" t="str">
        <f t="shared" si="535"/>
        <v/>
      </c>
      <c r="EG197" s="75" t="str">
        <f t="shared" si="535"/>
        <v/>
      </c>
      <c r="EH197" s="75" t="str">
        <f t="shared" si="535"/>
        <v/>
      </c>
      <c r="EI197" s="75" t="str">
        <f t="shared" si="535"/>
        <v/>
      </c>
      <c r="EJ197" s="75" t="str">
        <f>IF(EJ194="","",(EJ3&lt;=ConstDebt_Payoff)*JT61)</f>
        <v/>
      </c>
      <c r="EK197" s="75" t="str">
        <f>IF(EK194="","",(EK3&lt;=ConstDebt_Payoff)*JU61)</f>
        <v/>
      </c>
      <c r="EL197" s="75" t="str">
        <f>IF(EL194="","",(EL3&lt;=ConstDebt_Payoff)*JV61)</f>
        <v/>
      </c>
      <c r="EM197" s="75" t="str">
        <f>IF(EM194="","",(EM3&lt;=ConstDebt_Payoff)*JW61)</f>
        <v/>
      </c>
      <c r="EN197" s="75" t="str">
        <f>IF(EN194="","",(EN3&lt;=ConstDebt_Payoff)*JX61)</f>
        <v/>
      </c>
      <c r="EO197"/>
      <c r="EP197" s="405"/>
      <c r="EQ197" s="524"/>
      <c r="ER197" s="524"/>
      <c r="ES197" s="524"/>
      <c r="ET197" s="524"/>
      <c r="EU197" s="302"/>
      <c r="EV197" s="197">
        <f t="shared" ref="EV197:GA197" si="536">EV3</f>
        <v>0</v>
      </c>
      <c r="EW197" s="197">
        <f t="shared" si="536"/>
        <v>1</v>
      </c>
      <c r="EX197" s="197">
        <f t="shared" si="536"/>
        <v>2</v>
      </c>
      <c r="EY197" s="197">
        <f t="shared" si="536"/>
        <v>3</v>
      </c>
      <c r="EZ197" s="197">
        <f t="shared" si="536"/>
        <v>4</v>
      </c>
      <c r="FA197" s="197">
        <f t="shared" si="536"/>
        <v>5</v>
      </c>
      <c r="FB197" s="197">
        <f t="shared" si="536"/>
        <v>6</v>
      </c>
      <c r="FC197" s="197">
        <f t="shared" si="536"/>
        <v>7</v>
      </c>
      <c r="FD197" s="197">
        <f t="shared" si="536"/>
        <v>8</v>
      </c>
      <c r="FE197" s="197">
        <f t="shared" si="536"/>
        <v>9</v>
      </c>
      <c r="FF197" s="197">
        <f t="shared" si="536"/>
        <v>10</v>
      </c>
      <c r="FG197" s="197">
        <f t="shared" si="536"/>
        <v>11</v>
      </c>
      <c r="FH197" s="197">
        <f t="shared" si="536"/>
        <v>12</v>
      </c>
      <c r="FI197" s="197">
        <f t="shared" si="536"/>
        <v>13</v>
      </c>
      <c r="FJ197" s="197">
        <f t="shared" si="536"/>
        <v>14</v>
      </c>
      <c r="FK197" s="197">
        <f t="shared" si="536"/>
        <v>15</v>
      </c>
      <c r="FL197" s="197">
        <f t="shared" si="536"/>
        <v>16</v>
      </c>
      <c r="FM197" s="197">
        <f t="shared" si="536"/>
        <v>17</v>
      </c>
      <c r="FN197" s="197">
        <f t="shared" si="536"/>
        <v>18</v>
      </c>
      <c r="FO197" s="197">
        <f t="shared" si="536"/>
        <v>19</v>
      </c>
      <c r="FP197" s="197">
        <f t="shared" si="536"/>
        <v>20</v>
      </c>
      <c r="FQ197" s="197">
        <f t="shared" si="536"/>
        <v>21</v>
      </c>
      <c r="FR197" s="197">
        <f t="shared" si="536"/>
        <v>22</v>
      </c>
      <c r="FS197" s="197">
        <f t="shared" si="536"/>
        <v>23</v>
      </c>
      <c r="FT197" s="197">
        <f t="shared" si="536"/>
        <v>24</v>
      </c>
      <c r="FU197" s="197">
        <f t="shared" si="536"/>
        <v>25</v>
      </c>
      <c r="FV197" s="197">
        <f t="shared" si="536"/>
        <v>26</v>
      </c>
      <c r="FW197" s="197">
        <f t="shared" si="536"/>
        <v>27</v>
      </c>
      <c r="FX197" s="197">
        <f t="shared" si="536"/>
        <v>28</v>
      </c>
      <c r="FY197" s="197">
        <f t="shared" si="536"/>
        <v>29</v>
      </c>
      <c r="FZ197" s="197">
        <f t="shared" si="536"/>
        <v>30</v>
      </c>
      <c r="GA197" s="197">
        <f t="shared" si="536"/>
        <v>31</v>
      </c>
      <c r="GB197" s="197">
        <f t="shared" ref="GB197:HG197" si="537">GB3</f>
        <v>32</v>
      </c>
      <c r="GC197" s="197">
        <f t="shared" si="537"/>
        <v>33</v>
      </c>
      <c r="GD197" s="197">
        <f t="shared" si="537"/>
        <v>34</v>
      </c>
      <c r="GE197" s="197">
        <f t="shared" si="537"/>
        <v>35</v>
      </c>
      <c r="GF197" s="197">
        <f t="shared" si="537"/>
        <v>36</v>
      </c>
      <c r="GG197" s="197">
        <f t="shared" si="537"/>
        <v>37</v>
      </c>
      <c r="GH197" s="197">
        <f t="shared" si="537"/>
        <v>38</v>
      </c>
      <c r="GI197" s="197">
        <f t="shared" si="537"/>
        <v>39</v>
      </c>
      <c r="GJ197" s="197">
        <f t="shared" si="537"/>
        <v>40</v>
      </c>
      <c r="GK197" s="197">
        <f t="shared" si="537"/>
        <v>41</v>
      </c>
      <c r="GL197" s="197">
        <f t="shared" si="537"/>
        <v>42</v>
      </c>
      <c r="GM197" s="197">
        <f t="shared" si="537"/>
        <v>43</v>
      </c>
      <c r="GN197" s="197">
        <f t="shared" si="537"/>
        <v>44</v>
      </c>
      <c r="GO197" s="197">
        <f t="shared" si="537"/>
        <v>45</v>
      </c>
      <c r="GP197" s="197">
        <f t="shared" si="537"/>
        <v>46</v>
      </c>
      <c r="GQ197" s="197">
        <f t="shared" si="537"/>
        <v>47</v>
      </c>
      <c r="GR197" s="197">
        <f t="shared" si="537"/>
        <v>48</v>
      </c>
      <c r="GS197" s="197">
        <f t="shared" si="537"/>
        <v>49</v>
      </c>
      <c r="GT197" s="197">
        <f t="shared" si="537"/>
        <v>50</v>
      </c>
      <c r="GU197" s="197">
        <f t="shared" si="537"/>
        <v>51</v>
      </c>
      <c r="GV197" s="197">
        <f t="shared" si="537"/>
        <v>52</v>
      </c>
      <c r="GW197" s="197">
        <f t="shared" si="537"/>
        <v>53</v>
      </c>
      <c r="GX197" s="197">
        <f t="shared" si="537"/>
        <v>54</v>
      </c>
      <c r="GY197" s="197">
        <f t="shared" si="537"/>
        <v>55</v>
      </c>
      <c r="GZ197" s="197">
        <f t="shared" si="537"/>
        <v>56</v>
      </c>
      <c r="HA197" s="197">
        <f t="shared" si="537"/>
        <v>57</v>
      </c>
      <c r="HB197" s="197">
        <f t="shared" si="537"/>
        <v>58</v>
      </c>
      <c r="HC197" s="197">
        <f t="shared" si="537"/>
        <v>59</v>
      </c>
      <c r="HD197" s="197">
        <f t="shared" si="537"/>
        <v>60</v>
      </c>
      <c r="HE197" s="197">
        <f t="shared" si="537"/>
        <v>61</v>
      </c>
      <c r="HF197" s="197">
        <f t="shared" si="537"/>
        <v>62</v>
      </c>
      <c r="HG197" s="197">
        <f t="shared" si="537"/>
        <v>63</v>
      </c>
      <c r="HH197" s="197">
        <f t="shared" ref="HH197:IM197" si="538">HH3</f>
        <v>64</v>
      </c>
      <c r="HI197" s="197">
        <f t="shared" si="538"/>
        <v>65</v>
      </c>
      <c r="HJ197" s="197">
        <f t="shared" si="538"/>
        <v>66</v>
      </c>
      <c r="HK197" s="197">
        <f t="shared" si="538"/>
        <v>67</v>
      </c>
      <c r="HL197" s="197">
        <f t="shared" si="538"/>
        <v>68</v>
      </c>
      <c r="HM197" s="197">
        <f t="shared" si="538"/>
        <v>69</v>
      </c>
      <c r="HN197" s="197">
        <f t="shared" si="538"/>
        <v>70</v>
      </c>
      <c r="HO197" s="197">
        <f t="shared" si="538"/>
        <v>71</v>
      </c>
      <c r="HP197" s="197">
        <f t="shared" si="538"/>
        <v>72</v>
      </c>
      <c r="HQ197" s="197">
        <f t="shared" si="538"/>
        <v>73</v>
      </c>
      <c r="HR197" s="197">
        <f t="shared" si="538"/>
        <v>74</v>
      </c>
      <c r="HS197" s="197">
        <f t="shared" si="538"/>
        <v>75</v>
      </c>
      <c r="HT197" s="197">
        <f t="shared" si="538"/>
        <v>76</v>
      </c>
      <c r="HU197" s="197">
        <f t="shared" si="538"/>
        <v>77</v>
      </c>
      <c r="HV197" s="197">
        <f t="shared" si="538"/>
        <v>78</v>
      </c>
      <c r="HW197" s="197">
        <f t="shared" si="538"/>
        <v>79</v>
      </c>
      <c r="HX197" s="197">
        <f t="shared" si="538"/>
        <v>80</v>
      </c>
      <c r="HY197" s="197">
        <f t="shared" si="538"/>
        <v>81</v>
      </c>
      <c r="HZ197" s="197">
        <f t="shared" si="538"/>
        <v>82</v>
      </c>
      <c r="IA197" s="197">
        <f t="shared" si="538"/>
        <v>83</v>
      </c>
      <c r="IB197" s="197">
        <f t="shared" si="538"/>
        <v>84</v>
      </c>
      <c r="IC197" s="197">
        <f t="shared" si="538"/>
        <v>85</v>
      </c>
      <c r="ID197" s="197">
        <f t="shared" si="538"/>
        <v>86</v>
      </c>
      <c r="IE197" s="197">
        <f t="shared" si="538"/>
        <v>87</v>
      </c>
      <c r="IF197" s="197">
        <f t="shared" si="538"/>
        <v>88</v>
      </c>
      <c r="IG197" s="197">
        <f t="shared" si="538"/>
        <v>89</v>
      </c>
      <c r="IH197" s="197">
        <f t="shared" si="538"/>
        <v>90</v>
      </c>
      <c r="II197" s="197">
        <f t="shared" si="538"/>
        <v>91</v>
      </c>
      <c r="IJ197" s="197">
        <f t="shared" si="538"/>
        <v>92</v>
      </c>
      <c r="IK197" s="197">
        <f t="shared" si="538"/>
        <v>93</v>
      </c>
      <c r="IL197" s="197">
        <f t="shared" si="538"/>
        <v>94</v>
      </c>
      <c r="IM197" s="197">
        <f t="shared" si="538"/>
        <v>95</v>
      </c>
      <c r="IN197" s="197">
        <f t="shared" ref="IN197:JX197" si="539">IN3</f>
        <v>96</v>
      </c>
      <c r="IO197" s="197">
        <f t="shared" si="539"/>
        <v>97</v>
      </c>
      <c r="IP197" s="197">
        <f t="shared" si="539"/>
        <v>98</v>
      </c>
      <c r="IQ197" s="197">
        <f t="shared" si="539"/>
        <v>99</v>
      </c>
      <c r="IR197" s="197">
        <f t="shared" si="539"/>
        <v>100</v>
      </c>
      <c r="IS197" s="197">
        <f t="shared" si="539"/>
        <v>101</v>
      </c>
      <c r="IT197" s="197">
        <f t="shared" si="539"/>
        <v>102</v>
      </c>
      <c r="IU197" s="197">
        <f t="shared" si="539"/>
        <v>103</v>
      </c>
      <c r="IV197" s="197">
        <f t="shared" si="539"/>
        <v>104</v>
      </c>
      <c r="IW197" s="197">
        <f t="shared" si="539"/>
        <v>105</v>
      </c>
      <c r="IX197" s="197">
        <f t="shared" si="539"/>
        <v>106</v>
      </c>
      <c r="IY197" s="197">
        <f t="shared" si="539"/>
        <v>107</v>
      </c>
      <c r="IZ197" s="197">
        <f t="shared" si="539"/>
        <v>108</v>
      </c>
      <c r="JA197" s="197">
        <f t="shared" si="539"/>
        <v>109</v>
      </c>
      <c r="JB197" s="197">
        <f t="shared" si="539"/>
        <v>110</v>
      </c>
      <c r="JC197" s="197">
        <f t="shared" si="539"/>
        <v>111</v>
      </c>
      <c r="JD197" s="197">
        <f t="shared" si="539"/>
        <v>112</v>
      </c>
      <c r="JE197" s="197">
        <f t="shared" si="539"/>
        <v>113</v>
      </c>
      <c r="JF197" s="197">
        <f t="shared" si="539"/>
        <v>114</v>
      </c>
      <c r="JG197" s="197">
        <f t="shared" si="539"/>
        <v>115</v>
      </c>
      <c r="JH197" s="197">
        <f t="shared" si="539"/>
        <v>116</v>
      </c>
      <c r="JI197" s="197">
        <f t="shared" si="539"/>
        <v>117</v>
      </c>
      <c r="JJ197" s="197">
        <f t="shared" si="539"/>
        <v>118</v>
      </c>
      <c r="JK197" s="197">
        <f t="shared" si="539"/>
        <v>119</v>
      </c>
      <c r="JL197" s="197">
        <f t="shared" si="539"/>
        <v>120</v>
      </c>
      <c r="JM197" s="197">
        <f t="shared" si="539"/>
        <v>121</v>
      </c>
      <c r="JN197" s="197">
        <f t="shared" si="539"/>
        <v>122</v>
      </c>
      <c r="JO197" s="197">
        <f t="shared" si="539"/>
        <v>123</v>
      </c>
      <c r="JP197" s="197">
        <f t="shared" si="539"/>
        <v>124</v>
      </c>
      <c r="JQ197" s="197">
        <f t="shared" si="539"/>
        <v>125</v>
      </c>
      <c r="JR197" s="197">
        <f t="shared" si="539"/>
        <v>126</v>
      </c>
      <c r="JS197" s="197">
        <f t="shared" si="539"/>
        <v>127</v>
      </c>
      <c r="JT197" s="197">
        <f t="shared" si="539"/>
        <v>128</v>
      </c>
      <c r="JU197" s="197">
        <f t="shared" si="539"/>
        <v>129</v>
      </c>
      <c r="JV197" s="197">
        <f t="shared" si="539"/>
        <v>130</v>
      </c>
      <c r="JW197" s="197">
        <f t="shared" si="539"/>
        <v>131</v>
      </c>
      <c r="JX197" s="197">
        <f t="shared" si="539"/>
        <v>132</v>
      </c>
      <c r="JY197"/>
      <c r="JZ197" s="262"/>
      <c r="KA197" s="262"/>
      <c r="KB197" s="262"/>
      <c r="KC197" s="262"/>
      <c r="KD197" s="262"/>
      <c r="KE197" s="262"/>
      <c r="KF197" s="262"/>
      <c r="KG197" s="262"/>
      <c r="KH197" s="262"/>
      <c r="KI197" s="262"/>
      <c r="KJ197" s="262"/>
      <c r="KK197" s="262"/>
      <c r="KL197" s="262"/>
      <c r="KM197" s="262"/>
      <c r="KN197" s="262"/>
      <c r="KO197" s="262"/>
      <c r="KP197" s="262"/>
      <c r="KQ197" s="262"/>
      <c r="KR197" s="262"/>
      <c r="KS197" s="262"/>
      <c r="KT197" s="262"/>
      <c r="KU197" s="262"/>
      <c r="KV197" s="262"/>
      <c r="KW197" s="262"/>
      <c r="KX197" s="262"/>
      <c r="KY197" s="262"/>
      <c r="KZ197" s="262"/>
      <c r="LA197" s="262"/>
      <c r="LB197" s="262"/>
      <c r="LC197" s="262"/>
      <c r="LD197" s="262"/>
      <c r="LE197" s="262"/>
      <c r="LF197" s="262"/>
      <c r="LG197" s="262"/>
      <c r="LH197" s="262"/>
      <c r="LI197" s="262"/>
      <c r="LJ197" s="262"/>
      <c r="LK197" s="262"/>
      <c r="LL197" s="262"/>
      <c r="LM197" s="262"/>
      <c r="LN197" s="262"/>
      <c r="LO197" s="262"/>
      <c r="LP197" s="262"/>
      <c r="LQ197" s="262"/>
      <c r="LR197" s="262"/>
      <c r="LS197" s="262"/>
      <c r="LT197" s="262"/>
      <c r="LU197" s="262"/>
      <c r="LV197" s="262"/>
      <c r="LW197" s="262"/>
      <c r="LX197" s="262"/>
      <c r="LY197" s="262"/>
      <c r="LZ197" s="262"/>
      <c r="MA197" s="262"/>
      <c r="MB197" s="262"/>
      <c r="MC197" s="262"/>
      <c r="MD197" s="262"/>
      <c r="ME197" s="262"/>
      <c r="MF197" s="262"/>
      <c r="MG197" s="262"/>
      <c r="MH197" s="262"/>
      <c r="MI197" s="262"/>
      <c r="MJ197" s="262"/>
      <c r="MK197" s="262"/>
      <c r="ML197" s="262"/>
      <c r="MM197" s="262"/>
      <c r="MN197" s="262"/>
      <c r="MO197" s="262"/>
      <c r="MP197" s="262"/>
      <c r="MQ197" s="262"/>
      <c r="MR197" s="262"/>
      <c r="MS197" s="262"/>
      <c r="MT197" s="262"/>
      <c r="MU197" s="262"/>
      <c r="MV197" s="262"/>
      <c r="MW197" s="262"/>
      <c r="MX197" s="262"/>
      <c r="MY197" s="262"/>
      <c r="MZ197" s="262"/>
      <c r="NA197" s="262"/>
      <c r="NB197" s="262"/>
      <c r="NC197" s="262"/>
      <c r="ND197" s="262"/>
      <c r="NE197" s="262"/>
      <c r="NF197" s="262"/>
      <c r="NG197" s="262"/>
      <c r="NH197" s="262"/>
      <c r="NI197" s="262"/>
      <c r="NJ197" s="262"/>
      <c r="NK197" s="262"/>
      <c r="NL197" s="262"/>
      <c r="NM197" s="262"/>
      <c r="NN197" s="262"/>
      <c r="NO197" s="262"/>
      <c r="NP197" s="262"/>
      <c r="NQ197" s="262"/>
      <c r="NR197" s="262"/>
      <c r="NS197" s="262"/>
      <c r="NT197" s="262"/>
      <c r="NU197" s="262"/>
      <c r="NV197" s="262"/>
      <c r="NW197" s="262"/>
      <c r="NX197" s="262"/>
      <c r="NY197" s="262"/>
      <c r="NZ197" s="262"/>
      <c r="OA197" s="262"/>
      <c r="OB197" s="262"/>
      <c r="OC197" s="262"/>
      <c r="OD197" s="262"/>
      <c r="OE197" s="262"/>
      <c r="OF197" s="262"/>
      <c r="OG197" s="262"/>
      <c r="OH197" s="262"/>
      <c r="OI197" s="262"/>
      <c r="OJ197" s="262"/>
      <c r="OK197" s="262"/>
      <c r="OL197" s="262"/>
      <c r="OM197" s="262"/>
      <c r="ON197" s="262"/>
      <c r="OO197" s="262"/>
      <c r="OP197" s="262"/>
      <c r="OQ197" s="262"/>
      <c r="OR197" s="262"/>
      <c r="OS197" s="262"/>
      <c r="OT197" s="262"/>
      <c r="OU197" s="262"/>
      <c r="OV197" s="262"/>
      <c r="OW197" s="262"/>
      <c r="OX197" s="262"/>
      <c r="OY197" s="262"/>
      <c r="OZ197" s="262"/>
      <c r="PA197" s="262"/>
      <c r="PB197" s="262"/>
      <c r="PC197" s="262"/>
      <c r="PD197" s="262"/>
      <c r="PE197" s="262"/>
      <c r="PF197" s="262"/>
      <c r="PG197" s="262"/>
      <c r="PH197" s="262"/>
    </row>
    <row r="198" spans="1:424" x14ac:dyDescent="0.35">
      <c r="A198"/>
      <c r="B198" s="34"/>
      <c r="C198" s="400"/>
      <c r="D198" s="400"/>
      <c r="E198" s="400"/>
      <c r="F198" s="400"/>
      <c r="G198" s="400"/>
      <c r="H198" s="400"/>
      <c r="I198" s="400"/>
      <c r="J198"/>
      <c r="K198"/>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c r="BJ198" s="75"/>
      <c r="BK198" s="75"/>
      <c r="BL198" s="75"/>
      <c r="BM198" s="75"/>
      <c r="BN198" s="75"/>
      <c r="BO198" s="75"/>
      <c r="BP198" s="75"/>
      <c r="BQ198" s="75"/>
      <c r="BR198" s="75"/>
      <c r="BS198" s="75"/>
      <c r="BT198" s="75"/>
      <c r="BU198" s="75"/>
      <c r="BV198" s="75"/>
      <c r="BW198" s="75"/>
      <c r="BX198" s="75"/>
      <c r="BY198" s="75"/>
      <c r="BZ198" s="75"/>
      <c r="CA198" s="75"/>
      <c r="CB198" s="75"/>
      <c r="CC198" s="75"/>
      <c r="CD198" s="75"/>
      <c r="CE198" s="75"/>
      <c r="CF198" s="75"/>
      <c r="CG198" s="75"/>
      <c r="CH198" s="75"/>
      <c r="CI198" s="75"/>
      <c r="CJ198" s="75"/>
      <c r="CK198" s="75"/>
      <c r="CL198" s="75"/>
      <c r="CM198" s="75"/>
      <c r="CN198" s="75"/>
      <c r="CO198" s="75"/>
      <c r="CP198" s="75"/>
      <c r="CQ198" s="75"/>
      <c r="CR198" s="75"/>
      <c r="CS198" s="75"/>
      <c r="CT198" s="75"/>
      <c r="CU198" s="75"/>
      <c r="CV198" s="75"/>
      <c r="CW198" s="75"/>
      <c r="CX198" s="75"/>
      <c r="CY198" s="75"/>
      <c r="CZ198" s="75"/>
      <c r="DA198" s="75"/>
      <c r="DB198" s="75"/>
      <c r="DC198" s="75"/>
      <c r="DD198" s="75"/>
      <c r="DE198" s="75"/>
      <c r="DF198" s="75"/>
      <c r="DG198" s="75"/>
      <c r="DH198" s="75"/>
      <c r="DI198" s="75"/>
      <c r="DJ198" s="75"/>
      <c r="DK198" s="75"/>
      <c r="DL198" s="75"/>
      <c r="DM198" s="75"/>
      <c r="DN198" s="75"/>
      <c r="DO198" s="75"/>
      <c r="DP198" s="75"/>
      <c r="DQ198" s="75"/>
      <c r="DR198" s="75"/>
      <c r="DS198" s="75"/>
      <c r="DT198" s="75"/>
      <c r="DU198" s="75"/>
      <c r="DV198" s="75"/>
      <c r="DW198" s="75"/>
      <c r="DX198" s="75"/>
      <c r="DY198" s="75"/>
      <c r="DZ198" s="75"/>
      <c r="EA198" s="75"/>
      <c r="EB198" s="75"/>
      <c r="EC198" s="75"/>
      <c r="ED198" s="75"/>
      <c r="EE198" s="75"/>
      <c r="EF198" s="75"/>
      <c r="EG198" s="75"/>
      <c r="EH198" s="75"/>
      <c r="EI198" s="75"/>
      <c r="EJ198" s="75"/>
      <c r="EK198" s="75"/>
      <c r="EL198" s="75"/>
      <c r="EM198" s="75"/>
      <c r="EN198" s="75"/>
      <c r="EO198"/>
      <c r="EP198" s="405" t="s">
        <v>378</v>
      </c>
      <c r="EQ198" s="18"/>
      <c r="ER198" s="18"/>
      <c r="ES198" s="18"/>
      <c r="ET198" s="18" t="s">
        <v>379</v>
      </c>
      <c r="EU198" s="18"/>
      <c r="EV198" s="418">
        <f t="shared" ref="EV198:GA198" si="540">(EV$197&lt;=Timing_Reversion_Month)*EU202</f>
        <v>0</v>
      </c>
      <c r="EW198" s="418">
        <f t="shared" si="540"/>
        <v>76389582.872717112</v>
      </c>
      <c r="EX198" s="418">
        <f t="shared" si="540"/>
        <v>76319020.60374704</v>
      </c>
      <c r="EY198" s="418">
        <f t="shared" si="540"/>
        <v>76319020.60374704</v>
      </c>
      <c r="EZ198" s="418">
        <f t="shared" si="540"/>
        <v>76266337.125516176</v>
      </c>
      <c r="FA198" s="418">
        <f t="shared" si="540"/>
        <v>76192419.532628939</v>
      </c>
      <c r="FB198" s="418">
        <f t="shared" si="540"/>
        <v>76091821.907228976</v>
      </c>
      <c r="FC198" s="418">
        <f t="shared" si="540"/>
        <v>75959110.692382038</v>
      </c>
      <c r="FD198" s="418">
        <f t="shared" si="540"/>
        <v>75789539.561115608</v>
      </c>
      <c r="FE198" s="418">
        <f t="shared" si="540"/>
        <v>75579900.63411431</v>
      </c>
      <c r="FF198" s="418">
        <f t="shared" si="540"/>
        <v>75329468.350985989</v>
      </c>
      <c r="FG198" s="418">
        <f t="shared" si="540"/>
        <v>75040901.334523097</v>
      </c>
      <c r="FH198" s="418">
        <f t="shared" si="540"/>
        <v>74720929.978210613</v>
      </c>
      <c r="FI198" s="418">
        <f t="shared" si="540"/>
        <v>74380647.644237518</v>
      </c>
      <c r="FJ198" s="418">
        <f t="shared" si="540"/>
        <v>76313480.298421651</v>
      </c>
      <c r="FK198" s="418">
        <f t="shared" si="540"/>
        <v>85331629.018619195</v>
      </c>
      <c r="FL198" s="418">
        <f t="shared" si="540"/>
        <v>95231535.25874503</v>
      </c>
      <c r="FM198" s="418">
        <f t="shared" si="540"/>
        <v>105826476.42227101</v>
      </c>
      <c r="FN198" s="418">
        <f t="shared" si="540"/>
        <v>116995099.4363005</v>
      </c>
      <c r="FO198" s="418">
        <f t="shared" si="540"/>
        <v>128471534.92065407</v>
      </c>
      <c r="FP198" s="418">
        <f t="shared" si="540"/>
        <v>139972282.72813815</v>
      </c>
      <c r="FQ198" s="418">
        <f t="shared" si="540"/>
        <v>151173084.92132294</v>
      </c>
      <c r="FR198" s="418">
        <f t="shared" si="540"/>
        <v>161733486.73017851</v>
      </c>
      <c r="FS198" s="418">
        <f t="shared" si="540"/>
        <v>170740502.21889165</v>
      </c>
      <c r="FT198" s="418">
        <f t="shared" si="540"/>
        <v>178778475.08267695</v>
      </c>
      <c r="FU198" s="418">
        <f t="shared" si="540"/>
        <v>185782219.67818293</v>
      </c>
      <c r="FV198" s="418">
        <f t="shared" si="540"/>
        <v>191533070.96163434</v>
      </c>
      <c r="FW198" s="418">
        <f t="shared" si="540"/>
        <v>196299229.48816952</v>
      </c>
      <c r="FX198" s="418">
        <f t="shared" si="540"/>
        <v>200172434.88418299</v>
      </c>
      <c r="FY198" s="418">
        <f t="shared" si="540"/>
        <v>203095710.40469897</v>
      </c>
      <c r="FZ198" s="418">
        <f t="shared" si="540"/>
        <v>205371720.49035701</v>
      </c>
      <c r="GA198" s="418">
        <f t="shared" si="540"/>
        <v>208022459.93393275</v>
      </c>
      <c r="GB198" s="418">
        <f t="shared" ref="GB198:HG198" si="541">(GB$197&lt;=Timing_Reversion_Month)*GA202</f>
        <v>210618464.20429832</v>
      </c>
      <c r="GC198" s="418">
        <f t="shared" si="541"/>
        <v>212555756.6144</v>
      </c>
      <c r="GD198" s="418">
        <f t="shared" si="541"/>
        <v>214011540.88536635</v>
      </c>
      <c r="GE198" s="418">
        <f t="shared" si="541"/>
        <v>215094983.27941903</v>
      </c>
      <c r="GF198" s="418">
        <f t="shared" si="541"/>
        <v>215947341.94927955</v>
      </c>
      <c r="GG198" s="418">
        <f t="shared" si="541"/>
        <v>216648670.88274083</v>
      </c>
      <c r="GH198" s="418">
        <f t="shared" si="541"/>
        <v>216684536.36090487</v>
      </c>
      <c r="GI198" s="418">
        <f t="shared" si="541"/>
        <v>216520305.68039018</v>
      </c>
      <c r="GJ198" s="418">
        <f t="shared" si="541"/>
        <v>216156018.91509619</v>
      </c>
      <c r="GK198" s="418">
        <f t="shared" si="541"/>
        <v>215583638.77901652</v>
      </c>
      <c r="GL198" s="418">
        <f t="shared" si="541"/>
        <v>214810622.7771199</v>
      </c>
      <c r="GM198" s="418">
        <f t="shared" si="541"/>
        <v>213837011.6380403</v>
      </c>
      <c r="GN198" s="418">
        <f t="shared" si="541"/>
        <v>212657304.64435849</v>
      </c>
      <c r="GO198" s="418">
        <f t="shared" si="541"/>
        <v>211277084.63379696</v>
      </c>
      <c r="GP198" s="418">
        <f t="shared" si="541"/>
        <v>209696393.00042146</v>
      </c>
      <c r="GQ198" s="418">
        <f t="shared" si="541"/>
        <v>207889047.6125156</v>
      </c>
      <c r="GR198" s="418">
        <f t="shared" si="541"/>
        <v>205881314.0637953</v>
      </c>
      <c r="GS198" s="418">
        <f t="shared" si="541"/>
        <v>203673234.42462999</v>
      </c>
      <c r="GT198" s="418">
        <f t="shared" si="541"/>
        <v>201193956.57296321</v>
      </c>
      <c r="GU198" s="418">
        <f t="shared" si="541"/>
        <v>198722572.45471391</v>
      </c>
      <c r="GV198" s="418">
        <f t="shared" si="541"/>
        <v>196259124.8276048</v>
      </c>
      <c r="GW198" s="418">
        <f t="shared" si="541"/>
        <v>193797347.49346289</v>
      </c>
      <c r="GX198" s="418">
        <f t="shared" si="541"/>
        <v>191343592.86197403</v>
      </c>
      <c r="GY198" s="418">
        <f t="shared" si="541"/>
        <v>188897904.38944426</v>
      </c>
      <c r="GZ198" s="418">
        <f t="shared" si="541"/>
        <v>186454590.14256793</v>
      </c>
      <c r="HA198" s="418">
        <f t="shared" si="541"/>
        <v>184019429.67470276</v>
      </c>
      <c r="HB198" s="418">
        <f t="shared" si="541"/>
        <v>181592467.15215173</v>
      </c>
      <c r="HC198" s="418">
        <f t="shared" si="541"/>
        <v>179146605.39920196</v>
      </c>
      <c r="HD198" s="418">
        <f t="shared" si="541"/>
        <v>176709030.64317054</v>
      </c>
      <c r="HE198" s="418">
        <f t="shared" si="541"/>
        <v>174279787.77195746</v>
      </c>
      <c r="HF198" s="418">
        <f t="shared" si="541"/>
        <v>0</v>
      </c>
      <c r="HG198" s="418">
        <f t="shared" si="541"/>
        <v>0</v>
      </c>
      <c r="HH198" s="418">
        <f t="shared" ref="HH198:IM198" si="542">(HH$197&lt;=Timing_Reversion_Month)*HG202</f>
        <v>0</v>
      </c>
      <c r="HI198" s="418">
        <f t="shared" si="542"/>
        <v>0</v>
      </c>
      <c r="HJ198" s="418">
        <f t="shared" si="542"/>
        <v>0</v>
      </c>
      <c r="HK198" s="418">
        <f t="shared" si="542"/>
        <v>0</v>
      </c>
      <c r="HL198" s="418">
        <f t="shared" si="542"/>
        <v>0</v>
      </c>
      <c r="HM198" s="418">
        <f t="shared" si="542"/>
        <v>0</v>
      </c>
      <c r="HN198" s="418">
        <f t="shared" si="542"/>
        <v>0</v>
      </c>
      <c r="HO198" s="418">
        <f t="shared" si="542"/>
        <v>0</v>
      </c>
      <c r="HP198" s="418">
        <f t="shared" si="542"/>
        <v>0</v>
      </c>
      <c r="HQ198" s="418">
        <f t="shared" si="542"/>
        <v>0</v>
      </c>
      <c r="HR198" s="418">
        <f t="shared" si="542"/>
        <v>0</v>
      </c>
      <c r="HS198" s="418">
        <f t="shared" si="542"/>
        <v>0</v>
      </c>
      <c r="HT198" s="418">
        <f t="shared" si="542"/>
        <v>0</v>
      </c>
      <c r="HU198" s="418">
        <f t="shared" si="542"/>
        <v>0</v>
      </c>
      <c r="HV198" s="418">
        <f t="shared" si="542"/>
        <v>0</v>
      </c>
      <c r="HW198" s="418">
        <f t="shared" si="542"/>
        <v>0</v>
      </c>
      <c r="HX198" s="418">
        <f t="shared" si="542"/>
        <v>0</v>
      </c>
      <c r="HY198" s="418">
        <f t="shared" si="542"/>
        <v>0</v>
      </c>
      <c r="HZ198" s="418">
        <f t="shared" si="542"/>
        <v>0</v>
      </c>
      <c r="IA198" s="418">
        <f t="shared" si="542"/>
        <v>0</v>
      </c>
      <c r="IB198" s="418">
        <f t="shared" si="542"/>
        <v>0</v>
      </c>
      <c r="IC198" s="418">
        <f t="shared" si="542"/>
        <v>0</v>
      </c>
      <c r="ID198" s="418">
        <f t="shared" si="542"/>
        <v>0</v>
      </c>
      <c r="IE198" s="418">
        <f t="shared" si="542"/>
        <v>0</v>
      </c>
      <c r="IF198" s="418">
        <f t="shared" si="542"/>
        <v>0</v>
      </c>
      <c r="IG198" s="418">
        <f t="shared" si="542"/>
        <v>0</v>
      </c>
      <c r="IH198" s="418">
        <f t="shared" si="542"/>
        <v>0</v>
      </c>
      <c r="II198" s="418">
        <f t="shared" si="542"/>
        <v>0</v>
      </c>
      <c r="IJ198" s="418">
        <f t="shared" si="542"/>
        <v>0</v>
      </c>
      <c r="IK198" s="418">
        <f t="shared" si="542"/>
        <v>0</v>
      </c>
      <c r="IL198" s="418">
        <f t="shared" si="542"/>
        <v>0</v>
      </c>
      <c r="IM198" s="418">
        <f t="shared" si="542"/>
        <v>0</v>
      </c>
      <c r="IN198" s="418">
        <f t="shared" ref="IN198:JX198" si="543">(IN$197&lt;=Timing_Reversion_Month)*IM202</f>
        <v>0</v>
      </c>
      <c r="IO198" s="418">
        <f t="shared" si="543"/>
        <v>0</v>
      </c>
      <c r="IP198" s="418">
        <f t="shared" si="543"/>
        <v>0</v>
      </c>
      <c r="IQ198" s="418">
        <f t="shared" si="543"/>
        <v>0</v>
      </c>
      <c r="IR198" s="418">
        <f t="shared" si="543"/>
        <v>0</v>
      </c>
      <c r="IS198" s="418">
        <f t="shared" si="543"/>
        <v>0</v>
      </c>
      <c r="IT198" s="418">
        <f t="shared" si="543"/>
        <v>0</v>
      </c>
      <c r="IU198" s="418">
        <f t="shared" si="543"/>
        <v>0</v>
      </c>
      <c r="IV198" s="418">
        <f t="shared" si="543"/>
        <v>0</v>
      </c>
      <c r="IW198" s="418">
        <f t="shared" si="543"/>
        <v>0</v>
      </c>
      <c r="IX198" s="418">
        <f t="shared" si="543"/>
        <v>0</v>
      </c>
      <c r="IY198" s="418">
        <f t="shared" si="543"/>
        <v>0</v>
      </c>
      <c r="IZ198" s="418">
        <f t="shared" si="543"/>
        <v>0</v>
      </c>
      <c r="JA198" s="418">
        <f t="shared" si="543"/>
        <v>0</v>
      </c>
      <c r="JB198" s="418">
        <f t="shared" si="543"/>
        <v>0</v>
      </c>
      <c r="JC198" s="418">
        <f t="shared" si="543"/>
        <v>0</v>
      </c>
      <c r="JD198" s="418">
        <f t="shared" si="543"/>
        <v>0</v>
      </c>
      <c r="JE198" s="418">
        <f t="shared" si="543"/>
        <v>0</v>
      </c>
      <c r="JF198" s="418">
        <f t="shared" si="543"/>
        <v>0</v>
      </c>
      <c r="JG198" s="418">
        <f t="shared" si="543"/>
        <v>0</v>
      </c>
      <c r="JH198" s="418">
        <f t="shared" si="543"/>
        <v>0</v>
      </c>
      <c r="JI198" s="418">
        <f t="shared" si="543"/>
        <v>0</v>
      </c>
      <c r="JJ198" s="418">
        <f t="shared" si="543"/>
        <v>0</v>
      </c>
      <c r="JK198" s="418">
        <f t="shared" si="543"/>
        <v>0</v>
      </c>
      <c r="JL198" s="418">
        <f t="shared" si="543"/>
        <v>0</v>
      </c>
      <c r="JM198" s="418">
        <f t="shared" si="543"/>
        <v>0</v>
      </c>
      <c r="JN198" s="418">
        <f t="shared" si="543"/>
        <v>0</v>
      </c>
      <c r="JO198" s="418">
        <f t="shared" si="543"/>
        <v>0</v>
      </c>
      <c r="JP198" s="418">
        <f t="shared" si="543"/>
        <v>0</v>
      </c>
      <c r="JQ198" s="418">
        <f t="shared" si="543"/>
        <v>0</v>
      </c>
      <c r="JR198" s="418">
        <f t="shared" si="543"/>
        <v>0</v>
      </c>
      <c r="JS198" s="418">
        <f t="shared" si="543"/>
        <v>0</v>
      </c>
      <c r="JT198" s="418">
        <f t="shared" si="543"/>
        <v>0</v>
      </c>
      <c r="JU198" s="418">
        <f t="shared" si="543"/>
        <v>0</v>
      </c>
      <c r="JV198" s="418">
        <f t="shared" si="543"/>
        <v>0</v>
      </c>
      <c r="JW198" s="418">
        <f t="shared" si="543"/>
        <v>0</v>
      </c>
      <c r="JX198" s="418">
        <f t="shared" si="543"/>
        <v>0</v>
      </c>
      <c r="JY198"/>
      <c r="JZ198" s="262"/>
      <c r="KA198" s="262"/>
      <c r="KB198" s="262"/>
      <c r="KC198" s="262"/>
      <c r="KD198" s="262"/>
      <c r="KE198" s="262"/>
      <c r="KF198" s="262"/>
      <c r="KG198" s="262"/>
      <c r="KH198" s="262"/>
      <c r="KI198" s="262"/>
      <c r="KJ198" s="262"/>
      <c r="KK198" s="262"/>
      <c r="KL198" s="262"/>
      <c r="KM198" s="262"/>
      <c r="KN198" s="262"/>
      <c r="KO198" s="262"/>
      <c r="KP198" s="262"/>
      <c r="KQ198" s="262"/>
      <c r="KR198" s="262"/>
      <c r="KS198" s="262"/>
      <c r="KT198" s="262"/>
      <c r="KU198" s="262"/>
      <c r="KV198" s="262"/>
      <c r="KW198" s="262"/>
      <c r="KX198" s="262"/>
      <c r="KY198" s="262"/>
      <c r="KZ198" s="262"/>
      <c r="LA198" s="262"/>
      <c r="LB198" s="262"/>
      <c r="LC198" s="262"/>
      <c r="LD198" s="262"/>
      <c r="LE198" s="262"/>
      <c r="LF198" s="262"/>
      <c r="LG198" s="262"/>
      <c r="LH198" s="262"/>
      <c r="LI198" s="262"/>
      <c r="LJ198" s="262"/>
      <c r="LK198" s="262"/>
      <c r="LL198" s="262"/>
      <c r="LM198" s="262"/>
      <c r="LN198" s="262"/>
      <c r="LO198" s="262"/>
      <c r="LP198" s="262"/>
      <c r="LQ198" s="262"/>
      <c r="LR198" s="262"/>
      <c r="LS198" s="262"/>
      <c r="LT198" s="262"/>
      <c r="LU198" s="262"/>
      <c r="LV198" s="262"/>
      <c r="LW198" s="262"/>
      <c r="LX198" s="262"/>
      <c r="LY198" s="262"/>
      <c r="LZ198" s="262"/>
      <c r="MA198" s="262"/>
      <c r="MB198" s="262"/>
      <c r="MC198" s="262"/>
      <c r="MD198" s="262"/>
      <c r="ME198" s="262"/>
      <c r="MF198" s="262"/>
      <c r="MG198" s="262"/>
      <c r="MH198" s="262"/>
      <c r="MI198" s="262"/>
      <c r="MJ198" s="262"/>
      <c r="MK198" s="262"/>
      <c r="ML198" s="262"/>
      <c r="MM198" s="262"/>
      <c r="MN198" s="262"/>
      <c r="MO198" s="262"/>
      <c r="MP198" s="262"/>
      <c r="MQ198" s="262"/>
      <c r="MR198" s="262"/>
      <c r="MS198" s="262"/>
      <c r="MT198" s="262"/>
      <c r="MU198" s="262"/>
      <c r="MV198" s="262"/>
      <c r="MW198" s="262"/>
      <c r="MX198" s="262"/>
      <c r="MY198" s="262"/>
      <c r="MZ198" s="262"/>
      <c r="NA198" s="262"/>
      <c r="NB198" s="262"/>
      <c r="NC198" s="262"/>
      <c r="ND198" s="262"/>
      <c r="NE198" s="262"/>
      <c r="NF198" s="262"/>
      <c r="NG198" s="262"/>
      <c r="NH198" s="262"/>
      <c r="NI198" s="262"/>
      <c r="NJ198" s="262"/>
      <c r="NK198" s="262"/>
      <c r="NL198" s="262"/>
      <c r="NM198" s="262"/>
      <c r="NN198" s="262"/>
      <c r="NO198" s="262"/>
      <c r="NP198" s="262"/>
      <c r="NQ198" s="262"/>
      <c r="NR198" s="262"/>
      <c r="NS198" s="262"/>
      <c r="NT198" s="262"/>
      <c r="NU198" s="262"/>
      <c r="NV198" s="262"/>
      <c r="NW198" s="262"/>
      <c r="NX198" s="262"/>
      <c r="NY198" s="262"/>
      <c r="NZ198" s="262"/>
      <c r="OA198" s="262"/>
      <c r="OB198" s="262"/>
      <c r="OC198" s="262"/>
      <c r="OD198" s="262"/>
      <c r="OE198" s="262"/>
      <c r="OF198" s="262"/>
      <c r="OG198" s="262"/>
      <c r="OH198" s="262"/>
      <c r="OI198" s="262"/>
      <c r="OJ198" s="262"/>
      <c r="OK198" s="262"/>
      <c r="OL198" s="262"/>
      <c r="OM198" s="262"/>
      <c r="ON198" s="262"/>
      <c r="OO198" s="262"/>
      <c r="OP198" s="262"/>
      <c r="OQ198" s="262"/>
      <c r="OR198" s="262"/>
      <c r="OS198" s="262"/>
      <c r="OT198" s="262"/>
      <c r="OU198" s="262"/>
      <c r="OV198" s="262"/>
      <c r="OW198" s="262"/>
      <c r="OX198" s="262"/>
      <c r="OY198" s="262"/>
      <c r="OZ198" s="262"/>
      <c r="PA198" s="262"/>
      <c r="PB198" s="262"/>
      <c r="PC198" s="262"/>
      <c r="PD198" s="262"/>
      <c r="PE198" s="262"/>
      <c r="PF198" s="262"/>
      <c r="PG198" s="262"/>
      <c r="PH198" s="262"/>
    </row>
    <row r="199" spans="1:424" x14ac:dyDescent="0.35">
      <c r="A199"/>
      <c r="B199" s="34" t="s">
        <v>380</v>
      </c>
      <c r="C199" s="400"/>
      <c r="D199" s="400"/>
      <c r="E199" s="400"/>
      <c r="F199" s="400"/>
      <c r="G199" s="400"/>
      <c r="H199" s="40"/>
      <c r="I199" s="445">
        <f>SUM(L199:EN199)</f>
        <v>235202653.50721359</v>
      </c>
      <c r="J199"/>
      <c r="K199"/>
      <c r="L199" s="417">
        <f t="shared" ref="L199:AQ199" si="544">IF(L194="","",L75)</f>
        <v>16628131.21831876</v>
      </c>
      <c r="M199" s="417">
        <f t="shared" si="544"/>
        <v>952590.63109591056</v>
      </c>
      <c r="N199" s="417">
        <f t="shared" si="544"/>
        <v>1153238.7592138182</v>
      </c>
      <c r="O199" s="417">
        <f t="shared" si="544"/>
        <v>1593255.3182424391</v>
      </c>
      <c r="P199" s="417">
        <f t="shared" si="544"/>
        <v>2151126.2631915766</v>
      </c>
      <c r="Q199" s="417">
        <f t="shared" si="544"/>
        <v>2898639.7829110157</v>
      </c>
      <c r="R199" s="417">
        <f t="shared" si="544"/>
        <v>3868810.0707379892</v>
      </c>
      <c r="S199" s="417">
        <f t="shared" si="544"/>
        <v>5087252.4296078607</v>
      </c>
      <c r="T199" s="417">
        <f t="shared" si="544"/>
        <v>6566224.3704085397</v>
      </c>
      <c r="U199" s="417">
        <f t="shared" si="544"/>
        <v>8298517.1205737963</v>
      </c>
      <c r="V199" s="417">
        <f t="shared" si="544"/>
        <v>10252240.165656256</v>
      </c>
      <c r="W199" s="417">
        <f t="shared" si="544"/>
        <v>12367698.147663975</v>
      </c>
      <c r="X199" s="417">
        <f t="shared" si="544"/>
        <v>14557484.657830048</v>
      </c>
      <c r="Y199" s="417">
        <f t="shared" si="544"/>
        <v>14432335.04440251</v>
      </c>
      <c r="Z199" s="417">
        <f t="shared" si="544"/>
        <v>9350243.9477226138</v>
      </c>
      <c r="AA199" s="417">
        <f t="shared" si="544"/>
        <v>10198571.003748894</v>
      </c>
      <c r="AB199" s="417">
        <f t="shared" si="544"/>
        <v>10840288.090406999</v>
      </c>
      <c r="AC199" s="417">
        <f t="shared" si="544"/>
        <v>11227475.507889703</v>
      </c>
      <c r="AD199" s="417">
        <f t="shared" si="544"/>
        <v>11330171.302228957</v>
      </c>
      <c r="AE199" s="417">
        <f t="shared" si="544"/>
        <v>11140198.701522857</v>
      </c>
      <c r="AF199" s="417">
        <f t="shared" si="544"/>
        <v>10717614.626966476</v>
      </c>
      <c r="AG199" s="417">
        <f t="shared" si="544"/>
        <v>10139987.759013325</v>
      </c>
      <c r="AH199" s="417">
        <f t="shared" si="544"/>
        <v>9358749.9466937482</v>
      </c>
      <c r="AI199" s="417">
        <f t="shared" si="544"/>
        <v>8427930.7761743367</v>
      </c>
      <c r="AJ199" s="417">
        <f t="shared" si="544"/>
        <v>7407265.9255515635</v>
      </c>
      <c r="AK199" s="417">
        <f t="shared" si="544"/>
        <v>6355958.6232007742</v>
      </c>
      <c r="AL199" s="417">
        <f t="shared" si="544"/>
        <v>5327231.8471754789</v>
      </c>
      <c r="AM199" s="417">
        <f t="shared" si="544"/>
        <v>4364324.7526958287</v>
      </c>
      <c r="AN199" s="417">
        <f t="shared" si="544"/>
        <v>3498264.0780161023</v>
      </c>
      <c r="AO199" s="417">
        <f t="shared" si="544"/>
        <v>2747407.6656336188</v>
      </c>
      <c r="AP199" s="417">
        <f t="shared" si="544"/>
        <v>1224305.0030850768</v>
      </c>
      <c r="AQ199" s="417">
        <f t="shared" si="544"/>
        <v>209638.92700129747</v>
      </c>
      <c r="AR199" s="417">
        <f t="shared" ref="AR199:BW199" si="545">IF(AR194="","",AR75)</f>
        <v>169571.13126644492</v>
      </c>
      <c r="AS199" s="417">
        <f t="shared" si="545"/>
        <v>132711.21484693885</v>
      </c>
      <c r="AT199" s="417">
        <f t="shared" si="545"/>
        <v>100597.62539994717</v>
      </c>
      <c r="AU199" s="417">
        <f t="shared" si="545"/>
        <v>73917.592887252569</v>
      </c>
      <c r="AV199" s="417">
        <f t="shared" si="545"/>
        <v>52683.47823086381</v>
      </c>
      <c r="AW199" s="417">
        <f t="shared" si="545"/>
        <v>0</v>
      </c>
      <c r="AX199" s="417">
        <f t="shared" si="545"/>
        <v>0</v>
      </c>
      <c r="AY199" s="417">
        <f t="shared" si="545"/>
        <v>0</v>
      </c>
      <c r="AZ199" s="417">
        <f t="shared" si="545"/>
        <v>0</v>
      </c>
      <c r="BA199" s="417">
        <f t="shared" si="545"/>
        <v>0</v>
      </c>
      <c r="BB199" s="417">
        <f t="shared" si="545"/>
        <v>0</v>
      </c>
      <c r="BC199" s="417">
        <f t="shared" si="545"/>
        <v>0</v>
      </c>
      <c r="BD199" s="75">
        <f t="shared" si="545"/>
        <v>0</v>
      </c>
      <c r="BE199" s="75">
        <f t="shared" si="545"/>
        <v>0</v>
      </c>
      <c r="BF199" s="75">
        <f t="shared" si="545"/>
        <v>0</v>
      </c>
      <c r="BG199" s="75">
        <f t="shared" si="545"/>
        <v>0</v>
      </c>
      <c r="BH199" s="75">
        <f t="shared" si="545"/>
        <v>0</v>
      </c>
      <c r="BI199" s="75">
        <f t="shared" si="545"/>
        <v>0</v>
      </c>
      <c r="BJ199" s="75">
        <f t="shared" si="545"/>
        <v>0</v>
      </c>
      <c r="BK199" s="75">
        <f t="shared" si="545"/>
        <v>0</v>
      </c>
      <c r="BL199" s="75">
        <f t="shared" si="545"/>
        <v>0</v>
      </c>
      <c r="BM199" s="75">
        <f t="shared" si="545"/>
        <v>0</v>
      </c>
      <c r="BN199" s="75">
        <f t="shared" si="545"/>
        <v>0</v>
      </c>
      <c r="BO199" s="75">
        <f t="shared" si="545"/>
        <v>0</v>
      </c>
      <c r="BP199" s="75">
        <f t="shared" si="545"/>
        <v>0</v>
      </c>
      <c r="BQ199" s="75">
        <f t="shared" si="545"/>
        <v>0</v>
      </c>
      <c r="BR199" s="75">
        <f t="shared" si="545"/>
        <v>0</v>
      </c>
      <c r="BS199" s="75">
        <f t="shared" si="545"/>
        <v>0</v>
      </c>
      <c r="BT199" s="75">
        <f t="shared" si="545"/>
        <v>0</v>
      </c>
      <c r="BU199" s="75">
        <f t="shared" si="545"/>
        <v>0</v>
      </c>
      <c r="BV199" s="75" t="str">
        <f t="shared" si="545"/>
        <v/>
      </c>
      <c r="BW199" s="75" t="str">
        <f t="shared" si="545"/>
        <v/>
      </c>
      <c r="BX199" s="75" t="str">
        <f t="shared" ref="BX199:DC199" si="546">IF(BX194="","",BX75)</f>
        <v/>
      </c>
      <c r="BY199" s="75" t="str">
        <f t="shared" si="546"/>
        <v/>
      </c>
      <c r="BZ199" s="75" t="str">
        <f t="shared" si="546"/>
        <v/>
      </c>
      <c r="CA199" s="75" t="str">
        <f t="shared" si="546"/>
        <v/>
      </c>
      <c r="CB199" s="75" t="str">
        <f t="shared" si="546"/>
        <v/>
      </c>
      <c r="CC199" s="75" t="str">
        <f t="shared" si="546"/>
        <v/>
      </c>
      <c r="CD199" s="75" t="str">
        <f t="shared" si="546"/>
        <v/>
      </c>
      <c r="CE199" s="75" t="str">
        <f t="shared" si="546"/>
        <v/>
      </c>
      <c r="CF199" s="75" t="str">
        <f t="shared" si="546"/>
        <v/>
      </c>
      <c r="CG199" s="75" t="str">
        <f t="shared" si="546"/>
        <v/>
      </c>
      <c r="CH199" s="75" t="str">
        <f t="shared" si="546"/>
        <v/>
      </c>
      <c r="CI199" s="75" t="str">
        <f t="shared" si="546"/>
        <v/>
      </c>
      <c r="CJ199" s="75" t="str">
        <f t="shared" si="546"/>
        <v/>
      </c>
      <c r="CK199" s="75" t="str">
        <f t="shared" si="546"/>
        <v/>
      </c>
      <c r="CL199" s="75" t="str">
        <f t="shared" si="546"/>
        <v/>
      </c>
      <c r="CM199" s="75" t="str">
        <f t="shared" si="546"/>
        <v/>
      </c>
      <c r="CN199" s="75" t="str">
        <f t="shared" si="546"/>
        <v/>
      </c>
      <c r="CO199" s="75" t="str">
        <f t="shared" si="546"/>
        <v/>
      </c>
      <c r="CP199" s="75" t="str">
        <f t="shared" si="546"/>
        <v/>
      </c>
      <c r="CQ199" s="75" t="str">
        <f t="shared" si="546"/>
        <v/>
      </c>
      <c r="CR199" s="75" t="str">
        <f t="shared" si="546"/>
        <v/>
      </c>
      <c r="CS199" s="75" t="str">
        <f t="shared" si="546"/>
        <v/>
      </c>
      <c r="CT199" s="75" t="str">
        <f t="shared" si="546"/>
        <v/>
      </c>
      <c r="CU199" s="75" t="str">
        <f t="shared" si="546"/>
        <v/>
      </c>
      <c r="CV199" s="75" t="str">
        <f t="shared" si="546"/>
        <v/>
      </c>
      <c r="CW199" s="75" t="str">
        <f t="shared" si="546"/>
        <v/>
      </c>
      <c r="CX199" s="75" t="str">
        <f t="shared" si="546"/>
        <v/>
      </c>
      <c r="CY199" s="75" t="str">
        <f t="shared" si="546"/>
        <v/>
      </c>
      <c r="CZ199" s="75" t="str">
        <f t="shared" si="546"/>
        <v/>
      </c>
      <c r="DA199" s="75" t="str">
        <f t="shared" si="546"/>
        <v/>
      </c>
      <c r="DB199" s="75" t="str">
        <f t="shared" si="546"/>
        <v/>
      </c>
      <c r="DC199" s="75" t="str">
        <f t="shared" si="546"/>
        <v/>
      </c>
      <c r="DD199" s="75" t="str">
        <f t="shared" ref="DD199:EN199" si="547">IF(DD194="","",DD75)</f>
        <v/>
      </c>
      <c r="DE199" s="75" t="str">
        <f t="shared" si="547"/>
        <v/>
      </c>
      <c r="DF199" s="75" t="str">
        <f t="shared" si="547"/>
        <v/>
      </c>
      <c r="DG199" s="75" t="str">
        <f t="shared" si="547"/>
        <v/>
      </c>
      <c r="DH199" s="75" t="str">
        <f t="shared" si="547"/>
        <v/>
      </c>
      <c r="DI199" s="75" t="str">
        <f t="shared" si="547"/>
        <v/>
      </c>
      <c r="DJ199" s="75" t="str">
        <f t="shared" si="547"/>
        <v/>
      </c>
      <c r="DK199" s="75" t="str">
        <f t="shared" si="547"/>
        <v/>
      </c>
      <c r="DL199" s="75" t="str">
        <f t="shared" si="547"/>
        <v/>
      </c>
      <c r="DM199" s="75" t="str">
        <f t="shared" si="547"/>
        <v/>
      </c>
      <c r="DN199" s="75" t="str">
        <f t="shared" si="547"/>
        <v/>
      </c>
      <c r="DO199" s="75" t="str">
        <f t="shared" si="547"/>
        <v/>
      </c>
      <c r="DP199" s="75" t="str">
        <f t="shared" si="547"/>
        <v/>
      </c>
      <c r="DQ199" s="75" t="str">
        <f t="shared" si="547"/>
        <v/>
      </c>
      <c r="DR199" s="75" t="str">
        <f t="shared" si="547"/>
        <v/>
      </c>
      <c r="DS199" s="75" t="str">
        <f t="shared" si="547"/>
        <v/>
      </c>
      <c r="DT199" s="75" t="str">
        <f t="shared" si="547"/>
        <v/>
      </c>
      <c r="DU199" s="75" t="str">
        <f t="shared" si="547"/>
        <v/>
      </c>
      <c r="DV199" s="75" t="str">
        <f t="shared" si="547"/>
        <v/>
      </c>
      <c r="DW199" s="75" t="str">
        <f t="shared" si="547"/>
        <v/>
      </c>
      <c r="DX199" s="75" t="str">
        <f t="shared" si="547"/>
        <v/>
      </c>
      <c r="DY199" s="75" t="str">
        <f t="shared" si="547"/>
        <v/>
      </c>
      <c r="DZ199" s="75" t="str">
        <f t="shared" si="547"/>
        <v/>
      </c>
      <c r="EA199" s="75" t="str">
        <f t="shared" si="547"/>
        <v/>
      </c>
      <c r="EB199" s="75" t="str">
        <f t="shared" si="547"/>
        <v/>
      </c>
      <c r="EC199" s="75" t="str">
        <f t="shared" si="547"/>
        <v/>
      </c>
      <c r="ED199" s="75" t="str">
        <f t="shared" si="547"/>
        <v/>
      </c>
      <c r="EE199" s="75" t="str">
        <f t="shared" si="547"/>
        <v/>
      </c>
      <c r="EF199" s="75" t="str">
        <f t="shared" si="547"/>
        <v/>
      </c>
      <c r="EG199" s="75" t="str">
        <f t="shared" si="547"/>
        <v/>
      </c>
      <c r="EH199" s="75" t="str">
        <f t="shared" si="547"/>
        <v/>
      </c>
      <c r="EI199" s="75" t="str">
        <f t="shared" si="547"/>
        <v/>
      </c>
      <c r="EJ199" s="75" t="str">
        <f t="shared" si="547"/>
        <v/>
      </c>
      <c r="EK199" s="75" t="str">
        <f t="shared" si="547"/>
        <v/>
      </c>
      <c r="EL199" s="75" t="str">
        <f t="shared" si="547"/>
        <v/>
      </c>
      <c r="EM199" s="75" t="str">
        <f t="shared" si="547"/>
        <v/>
      </c>
      <c r="EN199" s="75" t="str">
        <f t="shared" si="547"/>
        <v/>
      </c>
      <c r="EO199"/>
      <c r="EP199" s="405" t="s">
        <v>381</v>
      </c>
      <c r="EQ199" s="18"/>
      <c r="ER199" s="18"/>
      <c r="ES199" s="18"/>
      <c r="ET199" s="18" t="s">
        <v>382</v>
      </c>
      <c r="EU199" s="18"/>
      <c r="EV199" s="418">
        <f t="shared" ref="EV199:GA199" si="548">(EV$197&lt;=Timing_Reversion_Month)*(EV198*((1+$EP200)^(1/12)-1))</f>
        <v>0</v>
      </c>
      <c r="EW199" s="418">
        <f t="shared" si="548"/>
        <v>0</v>
      </c>
      <c r="EX199" s="418">
        <f t="shared" si="548"/>
        <v>0</v>
      </c>
      <c r="EY199" s="418">
        <f t="shared" si="548"/>
        <v>0</v>
      </c>
      <c r="EZ199" s="418">
        <f t="shared" si="548"/>
        <v>0</v>
      </c>
      <c r="FA199" s="418">
        <f t="shared" si="548"/>
        <v>0</v>
      </c>
      <c r="FB199" s="418">
        <f t="shared" si="548"/>
        <v>0</v>
      </c>
      <c r="FC199" s="418">
        <f t="shared" si="548"/>
        <v>0</v>
      </c>
      <c r="FD199" s="418">
        <f t="shared" si="548"/>
        <v>0</v>
      </c>
      <c r="FE199" s="418">
        <f t="shared" si="548"/>
        <v>0</v>
      </c>
      <c r="FF199" s="418">
        <f t="shared" si="548"/>
        <v>0</v>
      </c>
      <c r="FG199" s="418">
        <f t="shared" si="548"/>
        <v>0</v>
      </c>
      <c r="FH199" s="418">
        <f t="shared" si="548"/>
        <v>0</v>
      </c>
      <c r="FI199" s="418">
        <f t="shared" si="548"/>
        <v>0</v>
      </c>
      <c r="FJ199" s="418">
        <f t="shared" si="548"/>
        <v>0</v>
      </c>
      <c r="FK199" s="418">
        <f t="shared" si="548"/>
        <v>0</v>
      </c>
      <c r="FL199" s="418">
        <f t="shared" si="548"/>
        <v>0</v>
      </c>
      <c r="FM199" s="418">
        <f t="shared" si="548"/>
        <v>0</v>
      </c>
      <c r="FN199" s="418">
        <f t="shared" si="548"/>
        <v>0</v>
      </c>
      <c r="FO199" s="418">
        <f t="shared" si="548"/>
        <v>0</v>
      </c>
      <c r="FP199" s="418">
        <f t="shared" si="548"/>
        <v>0</v>
      </c>
      <c r="FQ199" s="418">
        <f t="shared" si="548"/>
        <v>0</v>
      </c>
      <c r="FR199" s="418">
        <f t="shared" si="548"/>
        <v>0</v>
      </c>
      <c r="FS199" s="418">
        <f t="shared" si="548"/>
        <v>0</v>
      </c>
      <c r="FT199" s="418">
        <f t="shared" si="548"/>
        <v>0</v>
      </c>
      <c r="FU199" s="418">
        <f t="shared" si="548"/>
        <v>0</v>
      </c>
      <c r="FV199" s="418">
        <f t="shared" si="548"/>
        <v>0</v>
      </c>
      <c r="FW199" s="418">
        <f t="shared" si="548"/>
        <v>0</v>
      </c>
      <c r="FX199" s="418">
        <f t="shared" si="548"/>
        <v>0</v>
      </c>
      <c r="FY199" s="418">
        <f t="shared" si="548"/>
        <v>0</v>
      </c>
      <c r="FZ199" s="418">
        <f t="shared" si="548"/>
        <v>0</v>
      </c>
      <c r="GA199" s="418">
        <f t="shared" si="548"/>
        <v>0</v>
      </c>
      <c r="GB199" s="418">
        <f t="shared" ref="GB199:HG199" si="549">(GB$197&lt;=Timing_Reversion_Month)*(GB198*((1+$EP200)^(1/12)-1))</f>
        <v>0</v>
      </c>
      <c r="GC199" s="418">
        <f t="shared" si="549"/>
        <v>0</v>
      </c>
      <c r="GD199" s="418">
        <f t="shared" si="549"/>
        <v>0</v>
      </c>
      <c r="GE199" s="418">
        <f t="shared" si="549"/>
        <v>0</v>
      </c>
      <c r="GF199" s="418">
        <f t="shared" si="549"/>
        <v>0</v>
      </c>
      <c r="GG199" s="418">
        <f t="shared" si="549"/>
        <v>0</v>
      </c>
      <c r="GH199" s="418">
        <f t="shared" si="549"/>
        <v>0</v>
      </c>
      <c r="GI199" s="418">
        <f t="shared" si="549"/>
        <v>0</v>
      </c>
      <c r="GJ199" s="418">
        <f t="shared" si="549"/>
        <v>0</v>
      </c>
      <c r="GK199" s="418">
        <f t="shared" si="549"/>
        <v>0</v>
      </c>
      <c r="GL199" s="418">
        <f t="shared" si="549"/>
        <v>0</v>
      </c>
      <c r="GM199" s="418">
        <f t="shared" si="549"/>
        <v>0</v>
      </c>
      <c r="GN199" s="418">
        <f t="shared" si="549"/>
        <v>0</v>
      </c>
      <c r="GO199" s="418">
        <f t="shared" si="549"/>
        <v>0</v>
      </c>
      <c r="GP199" s="418">
        <f t="shared" si="549"/>
        <v>0</v>
      </c>
      <c r="GQ199" s="418">
        <f t="shared" si="549"/>
        <v>0</v>
      </c>
      <c r="GR199" s="418">
        <f t="shared" si="549"/>
        <v>0</v>
      </c>
      <c r="GS199" s="418">
        <f t="shared" si="549"/>
        <v>0</v>
      </c>
      <c r="GT199" s="418">
        <f t="shared" si="549"/>
        <v>0</v>
      </c>
      <c r="GU199" s="418">
        <f t="shared" si="549"/>
        <v>0</v>
      </c>
      <c r="GV199" s="418">
        <f t="shared" si="549"/>
        <v>0</v>
      </c>
      <c r="GW199" s="418">
        <f t="shared" si="549"/>
        <v>0</v>
      </c>
      <c r="GX199" s="418">
        <f t="shared" si="549"/>
        <v>0</v>
      </c>
      <c r="GY199" s="418">
        <f t="shared" si="549"/>
        <v>0</v>
      </c>
      <c r="GZ199" s="418">
        <f t="shared" si="549"/>
        <v>0</v>
      </c>
      <c r="HA199" s="418">
        <f t="shared" si="549"/>
        <v>0</v>
      </c>
      <c r="HB199" s="418">
        <f t="shared" si="549"/>
        <v>0</v>
      </c>
      <c r="HC199" s="418">
        <f t="shared" si="549"/>
        <v>0</v>
      </c>
      <c r="HD199" s="418">
        <f t="shared" si="549"/>
        <v>0</v>
      </c>
      <c r="HE199" s="418">
        <f t="shared" si="549"/>
        <v>0</v>
      </c>
      <c r="HF199" s="418">
        <f t="shared" si="549"/>
        <v>0</v>
      </c>
      <c r="HG199" s="418">
        <f t="shared" si="549"/>
        <v>0</v>
      </c>
      <c r="HH199" s="418">
        <f t="shared" ref="HH199:IM199" si="550">(HH$197&lt;=Timing_Reversion_Month)*(HH198*((1+$EP200)^(1/12)-1))</f>
        <v>0</v>
      </c>
      <c r="HI199" s="418">
        <f t="shared" si="550"/>
        <v>0</v>
      </c>
      <c r="HJ199" s="418">
        <f t="shared" si="550"/>
        <v>0</v>
      </c>
      <c r="HK199" s="418">
        <f t="shared" si="550"/>
        <v>0</v>
      </c>
      <c r="HL199" s="418">
        <f t="shared" si="550"/>
        <v>0</v>
      </c>
      <c r="HM199" s="418">
        <f t="shared" si="550"/>
        <v>0</v>
      </c>
      <c r="HN199" s="418">
        <f t="shared" si="550"/>
        <v>0</v>
      </c>
      <c r="HO199" s="418">
        <f t="shared" si="550"/>
        <v>0</v>
      </c>
      <c r="HP199" s="418">
        <f t="shared" si="550"/>
        <v>0</v>
      </c>
      <c r="HQ199" s="418">
        <f t="shared" si="550"/>
        <v>0</v>
      </c>
      <c r="HR199" s="418">
        <f t="shared" si="550"/>
        <v>0</v>
      </c>
      <c r="HS199" s="418">
        <f t="shared" si="550"/>
        <v>0</v>
      </c>
      <c r="HT199" s="418">
        <f t="shared" si="550"/>
        <v>0</v>
      </c>
      <c r="HU199" s="418">
        <f t="shared" si="550"/>
        <v>0</v>
      </c>
      <c r="HV199" s="418">
        <f t="shared" si="550"/>
        <v>0</v>
      </c>
      <c r="HW199" s="418">
        <f t="shared" si="550"/>
        <v>0</v>
      </c>
      <c r="HX199" s="418">
        <f t="shared" si="550"/>
        <v>0</v>
      </c>
      <c r="HY199" s="418">
        <f t="shared" si="550"/>
        <v>0</v>
      </c>
      <c r="HZ199" s="418">
        <f t="shared" si="550"/>
        <v>0</v>
      </c>
      <c r="IA199" s="418">
        <f t="shared" si="550"/>
        <v>0</v>
      </c>
      <c r="IB199" s="418">
        <f t="shared" si="550"/>
        <v>0</v>
      </c>
      <c r="IC199" s="418">
        <f t="shared" si="550"/>
        <v>0</v>
      </c>
      <c r="ID199" s="418">
        <f t="shared" si="550"/>
        <v>0</v>
      </c>
      <c r="IE199" s="418">
        <f t="shared" si="550"/>
        <v>0</v>
      </c>
      <c r="IF199" s="418">
        <f t="shared" si="550"/>
        <v>0</v>
      </c>
      <c r="IG199" s="418">
        <f t="shared" si="550"/>
        <v>0</v>
      </c>
      <c r="IH199" s="418">
        <f t="shared" si="550"/>
        <v>0</v>
      </c>
      <c r="II199" s="418">
        <f t="shared" si="550"/>
        <v>0</v>
      </c>
      <c r="IJ199" s="418">
        <f t="shared" si="550"/>
        <v>0</v>
      </c>
      <c r="IK199" s="418">
        <f t="shared" si="550"/>
        <v>0</v>
      </c>
      <c r="IL199" s="418">
        <f t="shared" si="550"/>
        <v>0</v>
      </c>
      <c r="IM199" s="418">
        <f t="shared" si="550"/>
        <v>0</v>
      </c>
      <c r="IN199" s="418">
        <f t="shared" ref="IN199:JS199" si="551">(IN$197&lt;=Timing_Reversion_Month)*(IN198*((1+$EP200)^(1/12)-1))</f>
        <v>0</v>
      </c>
      <c r="IO199" s="418">
        <f t="shared" si="551"/>
        <v>0</v>
      </c>
      <c r="IP199" s="418">
        <f t="shared" si="551"/>
        <v>0</v>
      </c>
      <c r="IQ199" s="418">
        <f t="shared" si="551"/>
        <v>0</v>
      </c>
      <c r="IR199" s="418">
        <f t="shared" si="551"/>
        <v>0</v>
      </c>
      <c r="IS199" s="418">
        <f t="shared" si="551"/>
        <v>0</v>
      </c>
      <c r="IT199" s="418">
        <f t="shared" si="551"/>
        <v>0</v>
      </c>
      <c r="IU199" s="418">
        <f t="shared" si="551"/>
        <v>0</v>
      </c>
      <c r="IV199" s="418">
        <f t="shared" si="551"/>
        <v>0</v>
      </c>
      <c r="IW199" s="418">
        <f t="shared" si="551"/>
        <v>0</v>
      </c>
      <c r="IX199" s="418">
        <f t="shared" si="551"/>
        <v>0</v>
      </c>
      <c r="IY199" s="418">
        <f t="shared" si="551"/>
        <v>0</v>
      </c>
      <c r="IZ199" s="418">
        <f t="shared" si="551"/>
        <v>0</v>
      </c>
      <c r="JA199" s="418">
        <f t="shared" si="551"/>
        <v>0</v>
      </c>
      <c r="JB199" s="418">
        <f t="shared" si="551"/>
        <v>0</v>
      </c>
      <c r="JC199" s="418">
        <f t="shared" si="551"/>
        <v>0</v>
      </c>
      <c r="JD199" s="418">
        <f t="shared" si="551"/>
        <v>0</v>
      </c>
      <c r="JE199" s="418">
        <f t="shared" si="551"/>
        <v>0</v>
      </c>
      <c r="JF199" s="418">
        <f t="shared" si="551"/>
        <v>0</v>
      </c>
      <c r="JG199" s="418">
        <f t="shared" si="551"/>
        <v>0</v>
      </c>
      <c r="JH199" s="418">
        <f t="shared" si="551"/>
        <v>0</v>
      </c>
      <c r="JI199" s="418">
        <f t="shared" si="551"/>
        <v>0</v>
      </c>
      <c r="JJ199" s="418">
        <f t="shared" si="551"/>
        <v>0</v>
      </c>
      <c r="JK199" s="418">
        <f t="shared" si="551"/>
        <v>0</v>
      </c>
      <c r="JL199" s="418">
        <f t="shared" si="551"/>
        <v>0</v>
      </c>
      <c r="JM199" s="418">
        <f t="shared" si="551"/>
        <v>0</v>
      </c>
      <c r="JN199" s="418">
        <f t="shared" si="551"/>
        <v>0</v>
      </c>
      <c r="JO199" s="418">
        <f t="shared" si="551"/>
        <v>0</v>
      </c>
      <c r="JP199" s="418">
        <f t="shared" si="551"/>
        <v>0</v>
      </c>
      <c r="JQ199" s="418">
        <f t="shared" si="551"/>
        <v>0</v>
      </c>
      <c r="JR199" s="418">
        <f t="shared" si="551"/>
        <v>0</v>
      </c>
      <c r="JS199" s="418">
        <f t="shared" si="551"/>
        <v>0</v>
      </c>
      <c r="JT199" s="418">
        <f>(JT$197&lt;=Timing_Reversion_Month)*(JT198*((1+$EP200)^(1/12)-1))</f>
        <v>0</v>
      </c>
      <c r="JU199" s="418">
        <f>(JU$197&lt;=Timing_Reversion_Month)*(JU198*((1+$EP200)^(1/12)-1))</f>
        <v>0</v>
      </c>
      <c r="JV199" s="418">
        <f>(JV$197&lt;=Timing_Reversion_Month)*(JV198*((1+$EP200)^(1/12)-1))</f>
        <v>0</v>
      </c>
      <c r="JW199" s="418">
        <f>(JW$197&lt;=Timing_Reversion_Month)*(JW198*((1+$EP200)^(1/12)-1))</f>
        <v>0</v>
      </c>
      <c r="JX199" s="418">
        <f>(JX$197&lt;=Timing_Reversion_Month)*(JX198*((1+$EP200)^(1/12)-1))</f>
        <v>0</v>
      </c>
      <c r="JY199"/>
      <c r="JZ199" s="262"/>
      <c r="KA199" s="262"/>
      <c r="KB199" s="262"/>
      <c r="KC199" s="262"/>
      <c r="KD199" s="262"/>
      <c r="KE199" s="262"/>
      <c r="KF199" s="262"/>
      <c r="KG199" s="262"/>
      <c r="KH199" s="262"/>
      <c r="KI199" s="262"/>
      <c r="KJ199" s="262"/>
      <c r="KK199" s="262"/>
      <c r="KL199" s="262"/>
      <c r="KM199" s="262"/>
      <c r="KN199" s="262"/>
      <c r="KO199" s="262"/>
      <c r="KP199" s="262"/>
      <c r="KQ199" s="262"/>
      <c r="KR199" s="262"/>
      <c r="KS199" s="262"/>
      <c r="KT199" s="262"/>
      <c r="KU199" s="262"/>
      <c r="KV199" s="262"/>
      <c r="KW199" s="262"/>
      <c r="KX199" s="262"/>
      <c r="KY199" s="262"/>
      <c r="KZ199" s="262"/>
      <c r="LA199" s="262"/>
      <c r="LB199" s="262"/>
      <c r="LC199" s="262"/>
      <c r="LD199" s="262"/>
      <c r="LE199" s="262"/>
      <c r="LF199" s="262"/>
      <c r="LG199" s="262"/>
      <c r="LH199" s="262"/>
      <c r="LI199" s="262"/>
      <c r="LJ199" s="262"/>
      <c r="LK199" s="262"/>
      <c r="LL199" s="262"/>
      <c r="LM199" s="262"/>
      <c r="LN199" s="262"/>
      <c r="LO199" s="262"/>
      <c r="LP199" s="262"/>
      <c r="LQ199" s="262"/>
      <c r="LR199" s="262"/>
      <c r="LS199" s="262"/>
      <c r="LT199" s="262"/>
      <c r="LU199" s="262"/>
      <c r="LV199" s="262"/>
      <c r="LW199" s="262"/>
      <c r="LX199" s="262"/>
      <c r="LY199" s="262"/>
      <c r="LZ199" s="262"/>
      <c r="MA199" s="262"/>
      <c r="MB199" s="262"/>
      <c r="MC199" s="262"/>
      <c r="MD199" s="262"/>
      <c r="ME199" s="262"/>
      <c r="MF199" s="262"/>
      <c r="MG199" s="262"/>
      <c r="MH199" s="262"/>
      <c r="MI199" s="262"/>
      <c r="MJ199" s="262"/>
      <c r="MK199" s="262"/>
      <c r="ML199" s="262"/>
      <c r="MM199" s="262"/>
      <c r="MN199" s="262"/>
      <c r="MO199" s="262"/>
      <c r="MP199" s="262"/>
      <c r="MQ199" s="262"/>
      <c r="MR199" s="262"/>
      <c r="MS199" s="262"/>
      <c r="MT199" s="262"/>
      <c r="MU199" s="262"/>
      <c r="MV199" s="262"/>
      <c r="MW199" s="262"/>
      <c r="MX199" s="262"/>
      <c r="MY199" s="262"/>
      <c r="MZ199" s="262"/>
      <c r="NA199" s="262"/>
      <c r="NB199" s="262"/>
      <c r="NC199" s="262"/>
      <c r="ND199" s="262"/>
      <c r="NE199" s="262"/>
      <c r="NF199" s="262"/>
      <c r="NG199" s="262"/>
      <c r="NH199" s="262"/>
      <c r="NI199" s="262"/>
      <c r="NJ199" s="262"/>
      <c r="NK199" s="262"/>
      <c r="NL199" s="262"/>
      <c r="NM199" s="262"/>
      <c r="NN199" s="262"/>
      <c r="NO199" s="262"/>
      <c r="NP199" s="262"/>
      <c r="NQ199" s="262"/>
      <c r="NR199" s="262"/>
      <c r="NS199" s="262"/>
      <c r="NT199" s="262"/>
      <c r="NU199" s="262"/>
      <c r="NV199" s="262"/>
      <c r="NW199" s="262"/>
      <c r="NX199" s="262"/>
      <c r="NY199" s="262"/>
      <c r="NZ199" s="262"/>
      <c r="OA199" s="262"/>
      <c r="OB199" s="262"/>
      <c r="OC199" s="262"/>
      <c r="OD199" s="262"/>
      <c r="OE199" s="262"/>
      <c r="OF199" s="262"/>
      <c r="OG199" s="262"/>
      <c r="OH199" s="262"/>
      <c r="OI199" s="262"/>
      <c r="OJ199" s="262"/>
      <c r="OK199" s="262"/>
      <c r="OL199" s="262"/>
      <c r="OM199" s="262"/>
      <c r="ON199" s="262"/>
      <c r="OO199" s="262"/>
      <c r="OP199" s="262"/>
      <c r="OQ199" s="262"/>
      <c r="OR199" s="262"/>
      <c r="OS199" s="262"/>
      <c r="OT199" s="262"/>
      <c r="OU199" s="262"/>
      <c r="OV199" s="262"/>
      <c r="OW199" s="262"/>
      <c r="OX199" s="262"/>
      <c r="OY199" s="262"/>
      <c r="OZ199" s="262"/>
      <c r="PA199" s="262"/>
      <c r="PB199" s="262"/>
      <c r="PC199" s="262"/>
      <c r="PD199" s="262"/>
      <c r="PE199" s="262"/>
      <c r="PF199" s="262"/>
      <c r="PG199" s="262"/>
      <c r="PH199" s="262"/>
    </row>
    <row r="200" spans="1:424" x14ac:dyDescent="0.35">
      <c r="A200"/>
      <c r="B200" s="34" t="s">
        <v>383</v>
      </c>
      <c r="C200" s="400"/>
      <c r="D200" s="400"/>
      <c r="E200" s="400"/>
      <c r="F200" s="400"/>
      <c r="G200" s="400"/>
      <c r="H200" s="40"/>
      <c r="I200" s="445">
        <f>SUM(L200:EN200)</f>
        <v>0</v>
      </c>
      <c r="J200"/>
      <c r="K200" s="5"/>
      <c r="L200" s="458">
        <f t="shared" ref="L200:AQ200" si="552">IF(L194="","",L82)</f>
        <v>0</v>
      </c>
      <c r="M200" s="458">
        <f t="shared" si="552"/>
        <v>0</v>
      </c>
      <c r="N200" s="458">
        <f t="shared" si="552"/>
        <v>0</v>
      </c>
      <c r="O200" s="458">
        <f t="shared" si="552"/>
        <v>0</v>
      </c>
      <c r="P200" s="458">
        <f t="shared" si="552"/>
        <v>0</v>
      </c>
      <c r="Q200" s="458">
        <f t="shared" si="552"/>
        <v>0</v>
      </c>
      <c r="R200" s="458">
        <f t="shared" si="552"/>
        <v>0</v>
      </c>
      <c r="S200" s="458">
        <f t="shared" si="552"/>
        <v>0</v>
      </c>
      <c r="T200" s="458">
        <f t="shared" si="552"/>
        <v>0</v>
      </c>
      <c r="U200" s="458">
        <f t="shared" si="552"/>
        <v>0</v>
      </c>
      <c r="V200" s="458">
        <f t="shared" si="552"/>
        <v>0</v>
      </c>
      <c r="W200" s="458">
        <f t="shared" si="552"/>
        <v>0</v>
      </c>
      <c r="X200" s="458">
        <f t="shared" si="552"/>
        <v>0</v>
      </c>
      <c r="Y200" s="458">
        <f t="shared" si="552"/>
        <v>0</v>
      </c>
      <c r="Z200" s="458">
        <f t="shared" si="552"/>
        <v>0</v>
      </c>
      <c r="AA200" s="458">
        <f t="shared" si="552"/>
        <v>0</v>
      </c>
      <c r="AB200" s="458">
        <f t="shared" si="552"/>
        <v>0</v>
      </c>
      <c r="AC200" s="458">
        <f t="shared" si="552"/>
        <v>0</v>
      </c>
      <c r="AD200" s="458">
        <f t="shared" si="552"/>
        <v>0</v>
      </c>
      <c r="AE200" s="458">
        <f t="shared" si="552"/>
        <v>0</v>
      </c>
      <c r="AF200" s="458">
        <f t="shared" si="552"/>
        <v>0</v>
      </c>
      <c r="AG200" s="458">
        <f t="shared" si="552"/>
        <v>0</v>
      </c>
      <c r="AH200" s="458">
        <f t="shared" si="552"/>
        <v>0</v>
      </c>
      <c r="AI200" s="458">
        <f t="shared" si="552"/>
        <v>0</v>
      </c>
      <c r="AJ200" s="458">
        <f t="shared" si="552"/>
        <v>0</v>
      </c>
      <c r="AK200" s="458">
        <f t="shared" si="552"/>
        <v>0</v>
      </c>
      <c r="AL200" s="458">
        <f t="shared" si="552"/>
        <v>0</v>
      </c>
      <c r="AM200" s="458">
        <f t="shared" si="552"/>
        <v>0</v>
      </c>
      <c r="AN200" s="458">
        <f t="shared" si="552"/>
        <v>0</v>
      </c>
      <c r="AO200" s="458">
        <f t="shared" si="552"/>
        <v>0</v>
      </c>
      <c r="AP200" s="458">
        <f t="shared" si="552"/>
        <v>0</v>
      </c>
      <c r="AQ200" s="458">
        <f t="shared" si="552"/>
        <v>0</v>
      </c>
      <c r="AR200" s="458">
        <f t="shared" ref="AR200:BW200" si="553">IF(AR194="","",AR82)</f>
        <v>0</v>
      </c>
      <c r="AS200" s="458">
        <f t="shared" si="553"/>
        <v>0</v>
      </c>
      <c r="AT200" s="458">
        <f t="shared" si="553"/>
        <v>0</v>
      </c>
      <c r="AU200" s="458">
        <f t="shared" si="553"/>
        <v>0</v>
      </c>
      <c r="AV200" s="458">
        <f t="shared" si="553"/>
        <v>0</v>
      </c>
      <c r="AW200" s="458">
        <f t="shared" si="553"/>
        <v>0</v>
      </c>
      <c r="AX200" s="458">
        <f t="shared" si="553"/>
        <v>0</v>
      </c>
      <c r="AY200" s="458">
        <f t="shared" si="553"/>
        <v>0</v>
      </c>
      <c r="AZ200" s="458">
        <f t="shared" si="553"/>
        <v>0</v>
      </c>
      <c r="BA200" s="458">
        <f t="shared" si="553"/>
        <v>0</v>
      </c>
      <c r="BB200" s="458">
        <f t="shared" si="553"/>
        <v>0</v>
      </c>
      <c r="BC200" s="458">
        <f t="shared" si="553"/>
        <v>0</v>
      </c>
      <c r="BD200" s="270">
        <f t="shared" si="553"/>
        <v>0</v>
      </c>
      <c r="BE200" s="270">
        <f t="shared" si="553"/>
        <v>0</v>
      </c>
      <c r="BF200" s="270">
        <f t="shared" si="553"/>
        <v>0</v>
      </c>
      <c r="BG200" s="270">
        <f t="shared" si="553"/>
        <v>0</v>
      </c>
      <c r="BH200" s="270">
        <f t="shared" si="553"/>
        <v>0</v>
      </c>
      <c r="BI200" s="270">
        <f t="shared" si="553"/>
        <v>0</v>
      </c>
      <c r="BJ200" s="270">
        <f t="shared" si="553"/>
        <v>0</v>
      </c>
      <c r="BK200" s="270">
        <f t="shared" si="553"/>
        <v>0</v>
      </c>
      <c r="BL200" s="270">
        <f t="shared" si="553"/>
        <v>0</v>
      </c>
      <c r="BM200" s="270">
        <f t="shared" si="553"/>
        <v>0</v>
      </c>
      <c r="BN200" s="270">
        <f t="shared" si="553"/>
        <v>0</v>
      </c>
      <c r="BO200" s="270">
        <f t="shared" si="553"/>
        <v>0</v>
      </c>
      <c r="BP200" s="270">
        <f t="shared" si="553"/>
        <v>0</v>
      </c>
      <c r="BQ200" s="270">
        <f t="shared" si="553"/>
        <v>0</v>
      </c>
      <c r="BR200" s="270">
        <f t="shared" si="553"/>
        <v>0</v>
      </c>
      <c r="BS200" s="270">
        <f t="shared" si="553"/>
        <v>0</v>
      </c>
      <c r="BT200" s="270">
        <f t="shared" si="553"/>
        <v>0</v>
      </c>
      <c r="BU200" s="270">
        <f t="shared" si="553"/>
        <v>0</v>
      </c>
      <c r="BV200" s="270" t="str">
        <f t="shared" si="553"/>
        <v/>
      </c>
      <c r="BW200" s="270" t="str">
        <f t="shared" si="553"/>
        <v/>
      </c>
      <c r="BX200" s="270" t="str">
        <f t="shared" ref="BX200:DC200" si="554">IF(BX194="","",BX82)</f>
        <v/>
      </c>
      <c r="BY200" s="270" t="str">
        <f t="shared" si="554"/>
        <v/>
      </c>
      <c r="BZ200" s="270" t="str">
        <f t="shared" si="554"/>
        <v/>
      </c>
      <c r="CA200" s="270" t="str">
        <f t="shared" si="554"/>
        <v/>
      </c>
      <c r="CB200" s="270" t="str">
        <f t="shared" si="554"/>
        <v/>
      </c>
      <c r="CC200" s="270" t="str">
        <f t="shared" si="554"/>
        <v/>
      </c>
      <c r="CD200" s="270" t="str">
        <f t="shared" si="554"/>
        <v/>
      </c>
      <c r="CE200" s="270" t="str">
        <f t="shared" si="554"/>
        <v/>
      </c>
      <c r="CF200" s="270" t="str">
        <f t="shared" si="554"/>
        <v/>
      </c>
      <c r="CG200" s="270" t="str">
        <f t="shared" si="554"/>
        <v/>
      </c>
      <c r="CH200" s="270" t="str">
        <f t="shared" si="554"/>
        <v/>
      </c>
      <c r="CI200" s="270" t="str">
        <f t="shared" si="554"/>
        <v/>
      </c>
      <c r="CJ200" s="270" t="str">
        <f t="shared" si="554"/>
        <v/>
      </c>
      <c r="CK200" s="270" t="str">
        <f t="shared" si="554"/>
        <v/>
      </c>
      <c r="CL200" s="270" t="str">
        <f t="shared" si="554"/>
        <v/>
      </c>
      <c r="CM200" s="270" t="str">
        <f t="shared" si="554"/>
        <v/>
      </c>
      <c r="CN200" s="270" t="str">
        <f t="shared" si="554"/>
        <v/>
      </c>
      <c r="CO200" s="270" t="str">
        <f t="shared" si="554"/>
        <v/>
      </c>
      <c r="CP200" s="270" t="str">
        <f t="shared" si="554"/>
        <v/>
      </c>
      <c r="CQ200" s="270" t="str">
        <f t="shared" si="554"/>
        <v/>
      </c>
      <c r="CR200" s="270" t="str">
        <f t="shared" si="554"/>
        <v/>
      </c>
      <c r="CS200" s="270" t="str">
        <f t="shared" si="554"/>
        <v/>
      </c>
      <c r="CT200" s="270" t="str">
        <f t="shared" si="554"/>
        <v/>
      </c>
      <c r="CU200" s="270" t="str">
        <f t="shared" si="554"/>
        <v/>
      </c>
      <c r="CV200" s="270" t="str">
        <f t="shared" si="554"/>
        <v/>
      </c>
      <c r="CW200" s="270" t="str">
        <f t="shared" si="554"/>
        <v/>
      </c>
      <c r="CX200" s="270" t="str">
        <f t="shared" si="554"/>
        <v/>
      </c>
      <c r="CY200" s="270" t="str">
        <f t="shared" si="554"/>
        <v/>
      </c>
      <c r="CZ200" s="270" t="str">
        <f t="shared" si="554"/>
        <v/>
      </c>
      <c r="DA200" s="270" t="str">
        <f t="shared" si="554"/>
        <v/>
      </c>
      <c r="DB200" s="270" t="str">
        <f t="shared" si="554"/>
        <v/>
      </c>
      <c r="DC200" s="270" t="str">
        <f t="shared" si="554"/>
        <v/>
      </c>
      <c r="DD200" s="270" t="str">
        <f t="shared" ref="DD200:EN200" si="555">IF(DD194="","",DD82)</f>
        <v/>
      </c>
      <c r="DE200" s="270" t="str">
        <f t="shared" si="555"/>
        <v/>
      </c>
      <c r="DF200" s="270" t="str">
        <f t="shared" si="555"/>
        <v/>
      </c>
      <c r="DG200" s="270" t="str">
        <f t="shared" si="555"/>
        <v/>
      </c>
      <c r="DH200" s="270" t="str">
        <f t="shared" si="555"/>
        <v/>
      </c>
      <c r="DI200" s="270" t="str">
        <f t="shared" si="555"/>
        <v/>
      </c>
      <c r="DJ200" s="270" t="str">
        <f t="shared" si="555"/>
        <v/>
      </c>
      <c r="DK200" s="270" t="str">
        <f t="shared" si="555"/>
        <v/>
      </c>
      <c r="DL200" s="270" t="str">
        <f t="shared" si="555"/>
        <v/>
      </c>
      <c r="DM200" s="270" t="str">
        <f t="shared" si="555"/>
        <v/>
      </c>
      <c r="DN200" s="270" t="str">
        <f t="shared" si="555"/>
        <v/>
      </c>
      <c r="DO200" s="270" t="str">
        <f t="shared" si="555"/>
        <v/>
      </c>
      <c r="DP200" s="270" t="str">
        <f t="shared" si="555"/>
        <v/>
      </c>
      <c r="DQ200" s="270" t="str">
        <f t="shared" si="555"/>
        <v/>
      </c>
      <c r="DR200" s="270" t="str">
        <f t="shared" si="555"/>
        <v/>
      </c>
      <c r="DS200" s="270" t="str">
        <f t="shared" si="555"/>
        <v/>
      </c>
      <c r="DT200" s="270" t="str">
        <f t="shared" si="555"/>
        <v/>
      </c>
      <c r="DU200" s="270" t="str">
        <f t="shared" si="555"/>
        <v/>
      </c>
      <c r="DV200" s="270" t="str">
        <f t="shared" si="555"/>
        <v/>
      </c>
      <c r="DW200" s="270" t="str">
        <f t="shared" si="555"/>
        <v/>
      </c>
      <c r="DX200" s="270" t="str">
        <f t="shared" si="555"/>
        <v/>
      </c>
      <c r="DY200" s="270" t="str">
        <f t="shared" si="555"/>
        <v/>
      </c>
      <c r="DZ200" s="270" t="str">
        <f t="shared" si="555"/>
        <v/>
      </c>
      <c r="EA200" s="270" t="str">
        <f t="shared" si="555"/>
        <v/>
      </c>
      <c r="EB200" s="270" t="str">
        <f t="shared" si="555"/>
        <v/>
      </c>
      <c r="EC200" s="270" t="str">
        <f t="shared" si="555"/>
        <v/>
      </c>
      <c r="ED200" s="270" t="str">
        <f t="shared" si="555"/>
        <v/>
      </c>
      <c r="EE200" s="270" t="str">
        <f t="shared" si="555"/>
        <v/>
      </c>
      <c r="EF200" s="270" t="str">
        <f t="shared" si="555"/>
        <v/>
      </c>
      <c r="EG200" s="270" t="str">
        <f t="shared" si="555"/>
        <v/>
      </c>
      <c r="EH200" s="270" t="str">
        <f t="shared" si="555"/>
        <v/>
      </c>
      <c r="EI200" s="270" t="str">
        <f t="shared" si="555"/>
        <v/>
      </c>
      <c r="EJ200" s="270" t="str">
        <f t="shared" si="555"/>
        <v/>
      </c>
      <c r="EK200" s="270" t="str">
        <f t="shared" si="555"/>
        <v/>
      </c>
      <c r="EL200" s="270" t="str">
        <f t="shared" si="555"/>
        <v/>
      </c>
      <c r="EM200" s="270" t="str">
        <f t="shared" si="555"/>
        <v/>
      </c>
      <c r="EN200" s="270" t="str">
        <f t="shared" si="555"/>
        <v/>
      </c>
      <c r="EO200" s="5"/>
      <c r="EP200" s="914">
        <f>N($F$233)</f>
        <v>0</v>
      </c>
      <c r="EQ200" s="18" t="s">
        <v>384</v>
      </c>
      <c r="ER200" s="18"/>
      <c r="ES200" s="18"/>
      <c r="ET200" s="18" t="s">
        <v>385</v>
      </c>
      <c r="EU200" s="18"/>
      <c r="EV200" s="418">
        <f t="shared" ref="EV200:GA200" si="556">IF(L229="",0,L229)</f>
        <v>76389582.872717112</v>
      </c>
      <c r="EW200" s="418">
        <f t="shared" si="556"/>
        <v>0</v>
      </c>
      <c r="EX200" s="418">
        <f t="shared" si="556"/>
        <v>0</v>
      </c>
      <c r="EY200" s="418">
        <f t="shared" si="556"/>
        <v>0</v>
      </c>
      <c r="EZ200" s="418">
        <f t="shared" si="556"/>
        <v>0</v>
      </c>
      <c r="FA200" s="418">
        <f t="shared" si="556"/>
        <v>0</v>
      </c>
      <c r="FB200" s="418">
        <f t="shared" si="556"/>
        <v>0</v>
      </c>
      <c r="FC200" s="418">
        <f t="shared" si="556"/>
        <v>0</v>
      </c>
      <c r="FD200" s="418">
        <f t="shared" si="556"/>
        <v>0</v>
      </c>
      <c r="FE200" s="418">
        <f t="shared" si="556"/>
        <v>0</v>
      </c>
      <c r="FF200" s="418">
        <f t="shared" si="556"/>
        <v>0</v>
      </c>
      <c r="FG200" s="418">
        <f t="shared" si="556"/>
        <v>0</v>
      </c>
      <c r="FH200" s="418">
        <f t="shared" si="556"/>
        <v>0</v>
      </c>
      <c r="FI200" s="418">
        <f t="shared" si="556"/>
        <v>1932832.6541841328</v>
      </c>
      <c r="FJ200" s="418">
        <f t="shared" si="556"/>
        <v>9018148.7201975472</v>
      </c>
      <c r="FK200" s="418">
        <f t="shared" si="556"/>
        <v>9899906.2401258312</v>
      </c>
      <c r="FL200" s="418">
        <f t="shared" si="556"/>
        <v>10594941.16352598</v>
      </c>
      <c r="FM200" s="418">
        <f t="shared" si="556"/>
        <v>11168623.014029484</v>
      </c>
      <c r="FN200" s="418">
        <f t="shared" si="556"/>
        <v>11476435.484353572</v>
      </c>
      <c r="FO200" s="418">
        <f t="shared" si="556"/>
        <v>11500747.807484064</v>
      </c>
      <c r="FP200" s="418">
        <f t="shared" si="556"/>
        <v>11200802.193184778</v>
      </c>
      <c r="FQ200" s="418">
        <f t="shared" si="556"/>
        <v>10560401.808855567</v>
      </c>
      <c r="FR200" s="418">
        <f t="shared" si="556"/>
        <v>9007015.4887131397</v>
      </c>
      <c r="FS200" s="418">
        <f t="shared" si="556"/>
        <v>8037972.8637852902</v>
      </c>
      <c r="FT200" s="418">
        <f t="shared" si="556"/>
        <v>7003744.5955059687</v>
      </c>
      <c r="FU200" s="418">
        <f t="shared" si="556"/>
        <v>5750851.2834514072</v>
      </c>
      <c r="FV200" s="418">
        <f t="shared" si="556"/>
        <v>4766158.5265351916</v>
      </c>
      <c r="FW200" s="418">
        <f t="shared" si="556"/>
        <v>3873205.3960134638</v>
      </c>
      <c r="FX200" s="418">
        <f t="shared" si="556"/>
        <v>2923275.520515983</v>
      </c>
      <c r="FY200" s="418">
        <f t="shared" si="556"/>
        <v>2276010.0856580529</v>
      </c>
      <c r="FZ200" s="418">
        <f t="shared" si="556"/>
        <v>2650739.4435757259</v>
      </c>
      <c r="GA200" s="418">
        <f t="shared" si="556"/>
        <v>2596004.2703655614</v>
      </c>
      <c r="GB200" s="418">
        <f t="shared" ref="GB200:HG200" si="557">IF(AR229="",0,AR229)</f>
        <v>1937292.4101016719</v>
      </c>
      <c r="GC200" s="418">
        <f t="shared" si="557"/>
        <v>1455784.2709663643</v>
      </c>
      <c r="GD200" s="418">
        <f t="shared" si="557"/>
        <v>1083442.3940526801</v>
      </c>
      <c r="GE200" s="418">
        <f t="shared" si="557"/>
        <v>852358.66986050736</v>
      </c>
      <c r="GF200" s="418">
        <f t="shared" si="557"/>
        <v>701328.93346127542</v>
      </c>
      <c r="GG200" s="418">
        <f t="shared" si="557"/>
        <v>35865.47816403769</v>
      </c>
      <c r="GH200" s="418">
        <f t="shared" si="557"/>
        <v>0</v>
      </c>
      <c r="GI200" s="418">
        <f t="shared" si="557"/>
        <v>0</v>
      </c>
      <c r="GJ200" s="418">
        <f t="shared" si="557"/>
        <v>0</v>
      </c>
      <c r="GK200" s="418">
        <f t="shared" si="557"/>
        <v>0</v>
      </c>
      <c r="GL200" s="418">
        <f t="shared" si="557"/>
        <v>0</v>
      </c>
      <c r="GM200" s="418">
        <f t="shared" si="557"/>
        <v>0</v>
      </c>
      <c r="GN200" s="418">
        <f t="shared" si="557"/>
        <v>0</v>
      </c>
      <c r="GO200" s="418">
        <f t="shared" si="557"/>
        <v>0</v>
      </c>
      <c r="GP200" s="418">
        <f t="shared" si="557"/>
        <v>0</v>
      </c>
      <c r="GQ200" s="418">
        <f t="shared" si="557"/>
        <v>0</v>
      </c>
      <c r="GR200" s="418">
        <f t="shared" si="557"/>
        <v>0</v>
      </c>
      <c r="GS200" s="418">
        <f t="shared" si="557"/>
        <v>0</v>
      </c>
      <c r="GT200" s="418">
        <f t="shared" si="557"/>
        <v>0</v>
      </c>
      <c r="GU200" s="418">
        <f t="shared" si="557"/>
        <v>0</v>
      </c>
      <c r="GV200" s="418">
        <f t="shared" si="557"/>
        <v>0</v>
      </c>
      <c r="GW200" s="418">
        <f t="shared" si="557"/>
        <v>0</v>
      </c>
      <c r="GX200" s="418">
        <f t="shared" si="557"/>
        <v>0</v>
      </c>
      <c r="GY200" s="418">
        <f t="shared" si="557"/>
        <v>0</v>
      </c>
      <c r="GZ200" s="418">
        <f t="shared" si="557"/>
        <v>0</v>
      </c>
      <c r="HA200" s="418">
        <f t="shared" si="557"/>
        <v>0</v>
      </c>
      <c r="HB200" s="418">
        <f t="shared" si="557"/>
        <v>0</v>
      </c>
      <c r="HC200" s="418">
        <f t="shared" si="557"/>
        <v>0</v>
      </c>
      <c r="HD200" s="418">
        <f t="shared" si="557"/>
        <v>0</v>
      </c>
      <c r="HE200" s="418">
        <f t="shared" si="557"/>
        <v>0</v>
      </c>
      <c r="HF200" s="418">
        <f t="shared" si="557"/>
        <v>0</v>
      </c>
      <c r="HG200" s="418">
        <f t="shared" si="557"/>
        <v>0</v>
      </c>
      <c r="HH200" s="418">
        <f t="shared" ref="HH200:IM200" si="558">IF(BX229="",0,BX229)</f>
        <v>0</v>
      </c>
      <c r="HI200" s="418">
        <f t="shared" si="558"/>
        <v>0</v>
      </c>
      <c r="HJ200" s="418">
        <f t="shared" si="558"/>
        <v>0</v>
      </c>
      <c r="HK200" s="418">
        <f t="shared" si="558"/>
        <v>0</v>
      </c>
      <c r="HL200" s="418">
        <f t="shared" si="558"/>
        <v>0</v>
      </c>
      <c r="HM200" s="418">
        <f t="shared" si="558"/>
        <v>0</v>
      </c>
      <c r="HN200" s="418">
        <f t="shared" si="558"/>
        <v>0</v>
      </c>
      <c r="HO200" s="418">
        <f t="shared" si="558"/>
        <v>0</v>
      </c>
      <c r="HP200" s="418">
        <f t="shared" si="558"/>
        <v>0</v>
      </c>
      <c r="HQ200" s="418">
        <f t="shared" si="558"/>
        <v>0</v>
      </c>
      <c r="HR200" s="418">
        <f t="shared" si="558"/>
        <v>0</v>
      </c>
      <c r="HS200" s="418">
        <f t="shared" si="558"/>
        <v>0</v>
      </c>
      <c r="HT200" s="418">
        <f t="shared" si="558"/>
        <v>0</v>
      </c>
      <c r="HU200" s="418">
        <f t="shared" si="558"/>
        <v>0</v>
      </c>
      <c r="HV200" s="418">
        <f t="shared" si="558"/>
        <v>0</v>
      </c>
      <c r="HW200" s="418">
        <f t="shared" si="558"/>
        <v>0</v>
      </c>
      <c r="HX200" s="418">
        <f t="shared" si="558"/>
        <v>0</v>
      </c>
      <c r="HY200" s="418">
        <f t="shared" si="558"/>
        <v>0</v>
      </c>
      <c r="HZ200" s="418">
        <f t="shared" si="558"/>
        <v>0</v>
      </c>
      <c r="IA200" s="418">
        <f t="shared" si="558"/>
        <v>0</v>
      </c>
      <c r="IB200" s="418">
        <f t="shared" si="558"/>
        <v>0</v>
      </c>
      <c r="IC200" s="418">
        <f t="shared" si="558"/>
        <v>0</v>
      </c>
      <c r="ID200" s="418">
        <f t="shared" si="558"/>
        <v>0</v>
      </c>
      <c r="IE200" s="418">
        <f t="shared" si="558"/>
        <v>0</v>
      </c>
      <c r="IF200" s="418">
        <f t="shared" si="558"/>
        <v>0</v>
      </c>
      <c r="IG200" s="418">
        <f t="shared" si="558"/>
        <v>0</v>
      </c>
      <c r="IH200" s="418">
        <f t="shared" si="558"/>
        <v>0</v>
      </c>
      <c r="II200" s="418">
        <f t="shared" si="558"/>
        <v>0</v>
      </c>
      <c r="IJ200" s="418">
        <f t="shared" si="558"/>
        <v>0</v>
      </c>
      <c r="IK200" s="418">
        <f t="shared" si="558"/>
        <v>0</v>
      </c>
      <c r="IL200" s="418">
        <f t="shared" si="558"/>
        <v>0</v>
      </c>
      <c r="IM200" s="418">
        <f t="shared" si="558"/>
        <v>0</v>
      </c>
      <c r="IN200" s="418">
        <f t="shared" ref="IN200:JS200" si="559">IF(DD229="",0,DD229)</f>
        <v>0</v>
      </c>
      <c r="IO200" s="418">
        <f t="shared" si="559"/>
        <v>0</v>
      </c>
      <c r="IP200" s="418">
        <f t="shared" si="559"/>
        <v>0</v>
      </c>
      <c r="IQ200" s="418">
        <f t="shared" si="559"/>
        <v>0</v>
      </c>
      <c r="IR200" s="418">
        <f t="shared" si="559"/>
        <v>0</v>
      </c>
      <c r="IS200" s="418">
        <f t="shared" si="559"/>
        <v>0</v>
      </c>
      <c r="IT200" s="418">
        <f t="shared" si="559"/>
        <v>0</v>
      </c>
      <c r="IU200" s="418">
        <f t="shared" si="559"/>
        <v>0</v>
      </c>
      <c r="IV200" s="418">
        <f t="shared" si="559"/>
        <v>0</v>
      </c>
      <c r="IW200" s="418">
        <f t="shared" si="559"/>
        <v>0</v>
      </c>
      <c r="IX200" s="418">
        <f t="shared" si="559"/>
        <v>0</v>
      </c>
      <c r="IY200" s="418">
        <f t="shared" si="559"/>
        <v>0</v>
      </c>
      <c r="IZ200" s="418">
        <f t="shared" si="559"/>
        <v>0</v>
      </c>
      <c r="JA200" s="418">
        <f t="shared" si="559"/>
        <v>0</v>
      </c>
      <c r="JB200" s="418">
        <f t="shared" si="559"/>
        <v>0</v>
      </c>
      <c r="JC200" s="418">
        <f t="shared" si="559"/>
        <v>0</v>
      </c>
      <c r="JD200" s="418">
        <f t="shared" si="559"/>
        <v>0</v>
      </c>
      <c r="JE200" s="418">
        <f t="shared" si="559"/>
        <v>0</v>
      </c>
      <c r="JF200" s="418">
        <f t="shared" si="559"/>
        <v>0</v>
      </c>
      <c r="JG200" s="418">
        <f t="shared" si="559"/>
        <v>0</v>
      </c>
      <c r="JH200" s="418">
        <f t="shared" si="559"/>
        <v>0</v>
      </c>
      <c r="JI200" s="418">
        <f t="shared" si="559"/>
        <v>0</v>
      </c>
      <c r="JJ200" s="418">
        <f t="shared" si="559"/>
        <v>0</v>
      </c>
      <c r="JK200" s="418">
        <f t="shared" si="559"/>
        <v>0</v>
      </c>
      <c r="JL200" s="418">
        <f t="shared" si="559"/>
        <v>0</v>
      </c>
      <c r="JM200" s="418">
        <f t="shared" si="559"/>
        <v>0</v>
      </c>
      <c r="JN200" s="418">
        <f t="shared" si="559"/>
        <v>0</v>
      </c>
      <c r="JO200" s="418">
        <f t="shared" si="559"/>
        <v>0</v>
      </c>
      <c r="JP200" s="418">
        <f t="shared" si="559"/>
        <v>0</v>
      </c>
      <c r="JQ200" s="418">
        <f t="shared" si="559"/>
        <v>0</v>
      </c>
      <c r="JR200" s="418">
        <f t="shared" si="559"/>
        <v>0</v>
      </c>
      <c r="JS200" s="418">
        <f t="shared" si="559"/>
        <v>0</v>
      </c>
      <c r="JT200" s="418">
        <f>IF(EJ229="",0,EJ229)</f>
        <v>0</v>
      </c>
      <c r="JU200" s="418">
        <f>IF(EK229="",0,EK229)</f>
        <v>0</v>
      </c>
      <c r="JV200" s="418">
        <f>IF(EL229="",0,EL229)</f>
        <v>0</v>
      </c>
      <c r="JW200" s="418">
        <f>IF(EM229="",0,EM229)</f>
        <v>0</v>
      </c>
      <c r="JX200" s="418">
        <f>IF(EN229="",0,EN229)</f>
        <v>0</v>
      </c>
      <c r="JY200"/>
      <c r="JZ200" s="262"/>
      <c r="KA200" s="262"/>
      <c r="KB200" s="262"/>
      <c r="KC200" s="262"/>
      <c r="KD200" s="262"/>
      <c r="KE200" s="262"/>
      <c r="KF200" s="262"/>
      <c r="KG200" s="262"/>
      <c r="KH200" s="262"/>
      <c r="KI200" s="262"/>
      <c r="KJ200" s="262"/>
      <c r="KK200" s="262"/>
      <c r="KL200" s="262"/>
      <c r="KM200" s="262"/>
      <c r="KN200" s="262"/>
      <c r="KO200" s="262"/>
      <c r="KP200" s="262"/>
      <c r="KQ200" s="262"/>
      <c r="KR200" s="262"/>
      <c r="KS200" s="262"/>
      <c r="KT200" s="262"/>
      <c r="KU200" s="262"/>
      <c r="KV200" s="262"/>
      <c r="KW200" s="262"/>
      <c r="KX200" s="262"/>
      <c r="KY200" s="262"/>
      <c r="KZ200" s="262"/>
      <c r="LA200" s="262"/>
      <c r="LB200" s="262"/>
      <c r="LC200" s="262"/>
      <c r="LD200" s="262"/>
      <c r="LE200" s="262"/>
      <c r="LF200" s="262"/>
      <c r="LG200" s="262"/>
      <c r="LH200" s="262"/>
      <c r="LI200" s="262"/>
      <c r="LJ200" s="262"/>
      <c r="LK200" s="262"/>
      <c r="LL200" s="262"/>
      <c r="LM200" s="262"/>
      <c r="LN200" s="262"/>
      <c r="LO200" s="262"/>
      <c r="LP200" s="262"/>
      <c r="LQ200" s="262"/>
      <c r="LR200" s="262"/>
      <c r="LS200" s="262"/>
      <c r="LT200" s="262"/>
      <c r="LU200" s="262"/>
      <c r="LV200" s="262"/>
      <c r="LW200" s="262"/>
      <c r="LX200" s="262"/>
      <c r="LY200" s="262"/>
      <c r="LZ200" s="262"/>
      <c r="MA200" s="262"/>
      <c r="MB200" s="262"/>
      <c r="MC200" s="262"/>
      <c r="MD200" s="262"/>
      <c r="ME200" s="262"/>
      <c r="MF200" s="262"/>
      <c r="MG200" s="262"/>
      <c r="MH200" s="262"/>
      <c r="MI200" s="262"/>
      <c r="MJ200" s="262"/>
      <c r="MK200" s="262"/>
      <c r="ML200" s="262"/>
      <c r="MM200" s="262"/>
      <c r="MN200" s="262"/>
      <c r="MO200" s="262"/>
      <c r="MP200" s="262"/>
      <c r="MQ200" s="262"/>
      <c r="MR200" s="262"/>
      <c r="MS200" s="262"/>
      <c r="MT200" s="262"/>
      <c r="MU200" s="262"/>
      <c r="MV200" s="262"/>
      <c r="MW200" s="262"/>
      <c r="MX200" s="262"/>
      <c r="MY200" s="262"/>
      <c r="MZ200" s="262"/>
      <c r="NA200" s="262"/>
      <c r="NB200" s="262"/>
      <c r="NC200" s="262"/>
      <c r="ND200" s="262"/>
      <c r="NE200" s="262"/>
      <c r="NF200" s="262"/>
      <c r="NG200" s="262"/>
      <c r="NH200" s="262"/>
      <c r="NI200" s="262"/>
      <c r="NJ200" s="262"/>
      <c r="NK200" s="262"/>
      <c r="NL200" s="262"/>
      <c r="NM200" s="262"/>
      <c r="NN200" s="262"/>
      <c r="NO200" s="262"/>
      <c r="NP200" s="262"/>
      <c r="NQ200" s="262"/>
      <c r="NR200" s="262"/>
      <c r="NS200" s="262"/>
      <c r="NT200" s="262"/>
      <c r="NU200" s="262"/>
      <c r="NV200" s="262"/>
      <c r="NW200" s="262"/>
      <c r="NX200" s="262"/>
      <c r="NY200" s="262"/>
      <c r="NZ200" s="262"/>
      <c r="OA200" s="262"/>
      <c r="OB200" s="262"/>
      <c r="OC200" s="262"/>
      <c r="OD200" s="262"/>
      <c r="OE200" s="262"/>
      <c r="OF200" s="262"/>
      <c r="OG200" s="262"/>
      <c r="OH200" s="262"/>
      <c r="OI200" s="262"/>
      <c r="OJ200" s="262"/>
      <c r="OK200" s="262"/>
      <c r="OL200" s="262"/>
      <c r="OM200" s="262"/>
      <c r="ON200" s="262"/>
      <c r="OO200" s="262"/>
      <c r="OP200" s="262"/>
      <c r="OQ200" s="262"/>
      <c r="OR200" s="262"/>
      <c r="OS200" s="262"/>
      <c r="OT200" s="262"/>
      <c r="OU200" s="262"/>
      <c r="OV200" s="262"/>
      <c r="OW200" s="262"/>
      <c r="OX200" s="262"/>
      <c r="OY200" s="262"/>
      <c r="OZ200" s="262"/>
      <c r="PA200" s="262"/>
      <c r="PB200" s="262"/>
      <c r="PC200" s="262"/>
      <c r="PD200" s="262"/>
      <c r="PE200" s="262"/>
      <c r="PF200" s="262"/>
      <c r="PG200" s="262"/>
      <c r="PH200" s="262"/>
    </row>
    <row r="201" spans="1:424" x14ac:dyDescent="0.35">
      <c r="A201"/>
      <c r="B201" s="34"/>
      <c r="C201" s="400"/>
      <c r="D201" s="400"/>
      <c r="E201" s="400"/>
      <c r="F201" s="400"/>
      <c r="G201" s="400"/>
      <c r="H201" s="40"/>
      <c r="I201" s="40"/>
      <c r="J201"/>
      <c r="K201"/>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c r="BJ201" s="75"/>
      <c r="BK201" s="75"/>
      <c r="BL201" s="75"/>
      <c r="BM201" s="75"/>
      <c r="BN201" s="75"/>
      <c r="BO201" s="75"/>
      <c r="BP201" s="75"/>
      <c r="BQ201" s="75"/>
      <c r="BR201" s="75"/>
      <c r="BS201" s="75"/>
      <c r="BT201" s="75"/>
      <c r="BU201" s="75"/>
      <c r="BV201" s="75"/>
      <c r="BW201" s="75"/>
      <c r="BX201" s="75"/>
      <c r="BY201" s="75"/>
      <c r="BZ201" s="75"/>
      <c r="CA201" s="75"/>
      <c r="CB201" s="75"/>
      <c r="CC201" s="75"/>
      <c r="CD201" s="75"/>
      <c r="CE201" s="75"/>
      <c r="CF201" s="75"/>
      <c r="CG201" s="75"/>
      <c r="CH201" s="75"/>
      <c r="CI201" s="75"/>
      <c r="CJ201" s="75"/>
      <c r="CK201" s="75"/>
      <c r="CL201" s="75"/>
      <c r="CM201" s="75"/>
      <c r="CN201" s="75"/>
      <c r="CO201" s="75"/>
      <c r="CP201" s="75"/>
      <c r="CQ201" s="75"/>
      <c r="CR201" s="75"/>
      <c r="CS201" s="75"/>
      <c r="CT201" s="75"/>
      <c r="CU201" s="75"/>
      <c r="CV201" s="75"/>
      <c r="CW201" s="75"/>
      <c r="CX201" s="75"/>
      <c r="CY201" s="75"/>
      <c r="CZ201" s="75"/>
      <c r="DA201" s="75"/>
      <c r="DB201" s="75"/>
      <c r="DC201" s="75"/>
      <c r="DD201" s="75"/>
      <c r="DE201" s="75"/>
      <c r="DF201" s="75"/>
      <c r="DG201" s="75"/>
      <c r="DH201" s="75"/>
      <c r="DI201" s="75"/>
      <c r="DJ201" s="75"/>
      <c r="DK201" s="75"/>
      <c r="DL201" s="75"/>
      <c r="DM201" s="75"/>
      <c r="DN201" s="75"/>
      <c r="DO201" s="75"/>
      <c r="DP201" s="75"/>
      <c r="DQ201" s="75"/>
      <c r="DR201" s="75"/>
      <c r="DS201" s="75"/>
      <c r="DT201" s="75"/>
      <c r="DU201" s="75"/>
      <c r="DV201" s="75"/>
      <c r="DW201" s="75"/>
      <c r="DX201" s="75"/>
      <c r="DY201" s="75"/>
      <c r="DZ201" s="75"/>
      <c r="EA201" s="75"/>
      <c r="EB201" s="75"/>
      <c r="EC201" s="75"/>
      <c r="ED201" s="75"/>
      <c r="EE201" s="75"/>
      <c r="EF201" s="75"/>
      <c r="EG201" s="75"/>
      <c r="EH201" s="75"/>
      <c r="EI201" s="75"/>
      <c r="EJ201" s="75"/>
      <c r="EK201" s="75"/>
      <c r="EL201" s="75"/>
      <c r="EM201" s="75"/>
      <c r="EN201" s="75"/>
      <c r="EO201"/>
      <c r="EP201" s="405"/>
      <c r="EQ201" s="18"/>
      <c r="ER201" s="18"/>
      <c r="ES201" s="18"/>
      <c r="ET201" s="18" t="s">
        <v>386</v>
      </c>
      <c r="EU201" s="18"/>
      <c r="EV201" s="418">
        <f>(EV$197&lt;=Timing_Reversion_Month)*(MIN(EV198+EV199,MAX(EV196,0)*$I$233))</f>
        <v>0</v>
      </c>
      <c r="EW201" s="418">
        <f t="shared" ref="EW201:GA201" si="560">(EW$197&lt;=Timing_Reversion_Month)*(MIN(EW198+EW199,MAX(EW196,0)*$I$233))</f>
        <v>70562.268970067496</v>
      </c>
      <c r="EX201" s="418">
        <f t="shared" si="560"/>
        <v>0</v>
      </c>
      <c r="EY201" s="418">
        <f t="shared" si="560"/>
        <v>52683.47823085892</v>
      </c>
      <c r="EZ201" s="418">
        <f t="shared" si="560"/>
        <v>73917.592887241393</v>
      </c>
      <c r="FA201" s="418">
        <f t="shared" si="560"/>
        <v>100597.62539995834</v>
      </c>
      <c r="FB201" s="418">
        <f t="shared" si="560"/>
        <v>132711.21484693745</v>
      </c>
      <c r="FC201" s="418">
        <f t="shared" si="560"/>
        <v>169571.13126643002</v>
      </c>
      <c r="FD201" s="418">
        <f t="shared" si="560"/>
        <v>209638.92700129561</v>
      </c>
      <c r="FE201" s="418">
        <f t="shared" si="560"/>
        <v>250432.28312832303</v>
      </c>
      <c r="FF201" s="418">
        <f t="shared" si="560"/>
        <v>288567.01646289043</v>
      </c>
      <c r="FG201" s="418">
        <f t="shared" si="560"/>
        <v>319971.35631248169</v>
      </c>
      <c r="FH201" s="418">
        <f t="shared" si="560"/>
        <v>340282.33397308737</v>
      </c>
      <c r="FI201" s="418">
        <f t="shared" si="560"/>
        <v>0</v>
      </c>
      <c r="FJ201" s="418">
        <f t="shared" si="560"/>
        <v>0</v>
      </c>
      <c r="FK201" s="418">
        <f t="shared" si="560"/>
        <v>0</v>
      </c>
      <c r="FL201" s="418">
        <f t="shared" si="560"/>
        <v>0</v>
      </c>
      <c r="FM201" s="418">
        <f t="shared" si="560"/>
        <v>0</v>
      </c>
      <c r="FN201" s="418">
        <f t="shared" si="560"/>
        <v>0</v>
      </c>
      <c r="FO201" s="418">
        <f t="shared" si="560"/>
        <v>0</v>
      </c>
      <c r="FP201" s="418">
        <f t="shared" si="560"/>
        <v>0</v>
      </c>
      <c r="FQ201" s="418">
        <f t="shared" si="560"/>
        <v>0</v>
      </c>
      <c r="FR201" s="418">
        <f t="shared" si="560"/>
        <v>0</v>
      </c>
      <c r="FS201" s="418">
        <f t="shared" si="560"/>
        <v>0</v>
      </c>
      <c r="FT201" s="418">
        <f t="shared" si="560"/>
        <v>0</v>
      </c>
      <c r="FU201" s="418">
        <f t="shared" si="560"/>
        <v>0</v>
      </c>
      <c r="FV201" s="418">
        <f t="shared" si="560"/>
        <v>0</v>
      </c>
      <c r="FW201" s="418">
        <f t="shared" si="560"/>
        <v>0</v>
      </c>
      <c r="FX201" s="418">
        <f t="shared" si="560"/>
        <v>0</v>
      </c>
      <c r="FY201" s="418">
        <f t="shared" si="560"/>
        <v>0</v>
      </c>
      <c r="FZ201" s="418">
        <f t="shared" si="560"/>
        <v>0</v>
      </c>
      <c r="GA201" s="418">
        <f t="shared" si="560"/>
        <v>0</v>
      </c>
      <c r="GB201" s="418">
        <f t="shared" ref="GB201:HG201" si="561">(GB$197&lt;=Timing_Reversion_Month)*(MIN(GB198+GB199,MAX(GB196,0)*$I$233))</f>
        <v>0</v>
      </c>
      <c r="GC201" s="418">
        <f t="shared" si="561"/>
        <v>0</v>
      </c>
      <c r="GD201" s="418">
        <f t="shared" si="561"/>
        <v>0</v>
      </c>
      <c r="GE201" s="418">
        <f t="shared" si="561"/>
        <v>0</v>
      </c>
      <c r="GF201" s="418">
        <f t="shared" si="561"/>
        <v>0</v>
      </c>
      <c r="GG201" s="418">
        <f t="shared" si="561"/>
        <v>0</v>
      </c>
      <c r="GH201" s="418">
        <f t="shared" si="561"/>
        <v>164230.6805146893</v>
      </c>
      <c r="GI201" s="418">
        <f t="shared" si="561"/>
        <v>364286.76529399911</v>
      </c>
      <c r="GJ201" s="418">
        <f t="shared" si="561"/>
        <v>572380.13607966923</v>
      </c>
      <c r="GK201" s="418">
        <f t="shared" si="561"/>
        <v>773016.00189663284</v>
      </c>
      <c r="GL201" s="418">
        <f t="shared" si="561"/>
        <v>973611.13907960732</v>
      </c>
      <c r="GM201" s="418">
        <f t="shared" si="561"/>
        <v>1179706.9936818241</v>
      </c>
      <c r="GN201" s="418">
        <f t="shared" si="561"/>
        <v>1380220.010561527</v>
      </c>
      <c r="GO201" s="418">
        <f t="shared" si="561"/>
        <v>1580691.6333754973</v>
      </c>
      <c r="GP201" s="418">
        <f t="shared" si="561"/>
        <v>1807345.3879058782</v>
      </c>
      <c r="GQ201" s="418">
        <f t="shared" si="561"/>
        <v>2007733.5487203011</v>
      </c>
      <c r="GR201" s="418">
        <f t="shared" si="561"/>
        <v>2208079.6391653027</v>
      </c>
      <c r="GS201" s="418">
        <f t="shared" si="561"/>
        <v>2479277.8516667918</v>
      </c>
      <c r="GT201" s="418">
        <f t="shared" si="561"/>
        <v>2471384.1182492906</v>
      </c>
      <c r="GU201" s="418">
        <f t="shared" si="561"/>
        <v>2463447.6271091113</v>
      </c>
      <c r="GV201" s="418">
        <f t="shared" si="561"/>
        <v>2461777.3341419231</v>
      </c>
      <c r="GW201" s="418">
        <f t="shared" si="561"/>
        <v>2453754.6314888708</v>
      </c>
      <c r="GX201" s="418">
        <f t="shared" si="561"/>
        <v>2445688.4725297811</v>
      </c>
      <c r="GY201" s="418">
        <f t="shared" si="561"/>
        <v>2443314.2468763296</v>
      </c>
      <c r="GZ201" s="418">
        <f t="shared" si="561"/>
        <v>2435160.4678651718</v>
      </c>
      <c r="HA201" s="418">
        <f t="shared" si="561"/>
        <v>2426962.5225510374</v>
      </c>
      <c r="HB201" s="418">
        <f t="shared" si="561"/>
        <v>2445861.752949785</v>
      </c>
      <c r="HC201" s="418">
        <f t="shared" si="561"/>
        <v>2437574.756031421</v>
      </c>
      <c r="HD201" s="418">
        <f t="shared" si="561"/>
        <v>2429242.8712130822</v>
      </c>
      <c r="HE201" s="418">
        <f t="shared" si="561"/>
        <v>174279787.77195746</v>
      </c>
      <c r="HF201" s="418">
        <f t="shared" si="561"/>
        <v>0</v>
      </c>
      <c r="HG201" s="418">
        <f t="shared" si="561"/>
        <v>0</v>
      </c>
      <c r="HH201" s="418">
        <f t="shared" ref="HH201:IM201" si="562">(HH$197&lt;=Timing_Reversion_Month)*(MIN(HH198+HH199,MAX(HH196,0)*$I$233))</f>
        <v>0</v>
      </c>
      <c r="HI201" s="418">
        <f t="shared" si="562"/>
        <v>0</v>
      </c>
      <c r="HJ201" s="418">
        <f t="shared" si="562"/>
        <v>0</v>
      </c>
      <c r="HK201" s="418">
        <f t="shared" si="562"/>
        <v>0</v>
      </c>
      <c r="HL201" s="418">
        <f t="shared" si="562"/>
        <v>0</v>
      </c>
      <c r="HM201" s="418">
        <f t="shared" si="562"/>
        <v>0</v>
      </c>
      <c r="HN201" s="418">
        <f t="shared" si="562"/>
        <v>0</v>
      </c>
      <c r="HO201" s="418">
        <f t="shared" si="562"/>
        <v>0</v>
      </c>
      <c r="HP201" s="418">
        <f t="shared" si="562"/>
        <v>0</v>
      </c>
      <c r="HQ201" s="418">
        <f t="shared" si="562"/>
        <v>0</v>
      </c>
      <c r="HR201" s="418">
        <f t="shared" si="562"/>
        <v>0</v>
      </c>
      <c r="HS201" s="418">
        <f t="shared" si="562"/>
        <v>0</v>
      </c>
      <c r="HT201" s="418">
        <f t="shared" si="562"/>
        <v>0</v>
      </c>
      <c r="HU201" s="418">
        <f t="shared" si="562"/>
        <v>0</v>
      </c>
      <c r="HV201" s="418">
        <f t="shared" si="562"/>
        <v>0</v>
      </c>
      <c r="HW201" s="418">
        <f t="shared" si="562"/>
        <v>0</v>
      </c>
      <c r="HX201" s="418">
        <f t="shared" si="562"/>
        <v>0</v>
      </c>
      <c r="HY201" s="418">
        <f t="shared" si="562"/>
        <v>0</v>
      </c>
      <c r="HZ201" s="418">
        <f t="shared" si="562"/>
        <v>0</v>
      </c>
      <c r="IA201" s="418">
        <f t="shared" si="562"/>
        <v>0</v>
      </c>
      <c r="IB201" s="418">
        <f t="shared" si="562"/>
        <v>0</v>
      </c>
      <c r="IC201" s="418">
        <f t="shared" si="562"/>
        <v>0</v>
      </c>
      <c r="ID201" s="418">
        <f t="shared" si="562"/>
        <v>0</v>
      </c>
      <c r="IE201" s="418">
        <f t="shared" si="562"/>
        <v>0</v>
      </c>
      <c r="IF201" s="418">
        <f t="shared" si="562"/>
        <v>0</v>
      </c>
      <c r="IG201" s="418">
        <f t="shared" si="562"/>
        <v>0</v>
      </c>
      <c r="IH201" s="418">
        <f t="shared" si="562"/>
        <v>0</v>
      </c>
      <c r="II201" s="418">
        <f t="shared" si="562"/>
        <v>0</v>
      </c>
      <c r="IJ201" s="418">
        <f t="shared" si="562"/>
        <v>0</v>
      </c>
      <c r="IK201" s="418">
        <f t="shared" si="562"/>
        <v>0</v>
      </c>
      <c r="IL201" s="418">
        <f t="shared" si="562"/>
        <v>0</v>
      </c>
      <c r="IM201" s="418">
        <f t="shared" si="562"/>
        <v>0</v>
      </c>
      <c r="IN201" s="418">
        <f t="shared" ref="IN201:JX201" si="563">(IN$197&lt;=Timing_Reversion_Month)*(MIN(IN198+IN199,MAX(IN196,0)*$I$233))</f>
        <v>0</v>
      </c>
      <c r="IO201" s="418">
        <f t="shared" si="563"/>
        <v>0</v>
      </c>
      <c r="IP201" s="418">
        <f t="shared" si="563"/>
        <v>0</v>
      </c>
      <c r="IQ201" s="418">
        <f t="shared" si="563"/>
        <v>0</v>
      </c>
      <c r="IR201" s="418">
        <f t="shared" si="563"/>
        <v>0</v>
      </c>
      <c r="IS201" s="418">
        <f t="shared" si="563"/>
        <v>0</v>
      </c>
      <c r="IT201" s="418">
        <f t="shared" si="563"/>
        <v>0</v>
      </c>
      <c r="IU201" s="418">
        <f t="shared" si="563"/>
        <v>0</v>
      </c>
      <c r="IV201" s="418">
        <f t="shared" si="563"/>
        <v>0</v>
      </c>
      <c r="IW201" s="418">
        <f t="shared" si="563"/>
        <v>0</v>
      </c>
      <c r="IX201" s="418">
        <f t="shared" si="563"/>
        <v>0</v>
      </c>
      <c r="IY201" s="418">
        <f t="shared" si="563"/>
        <v>0</v>
      </c>
      <c r="IZ201" s="418">
        <f t="shared" si="563"/>
        <v>0</v>
      </c>
      <c r="JA201" s="418">
        <f t="shared" si="563"/>
        <v>0</v>
      </c>
      <c r="JB201" s="418">
        <f t="shared" si="563"/>
        <v>0</v>
      </c>
      <c r="JC201" s="418">
        <f t="shared" si="563"/>
        <v>0</v>
      </c>
      <c r="JD201" s="418">
        <f t="shared" si="563"/>
        <v>0</v>
      </c>
      <c r="JE201" s="418">
        <f t="shared" si="563"/>
        <v>0</v>
      </c>
      <c r="JF201" s="418">
        <f t="shared" si="563"/>
        <v>0</v>
      </c>
      <c r="JG201" s="418">
        <f t="shared" si="563"/>
        <v>0</v>
      </c>
      <c r="JH201" s="418">
        <f t="shared" si="563"/>
        <v>0</v>
      </c>
      <c r="JI201" s="418">
        <f t="shared" si="563"/>
        <v>0</v>
      </c>
      <c r="JJ201" s="418">
        <f t="shared" si="563"/>
        <v>0</v>
      </c>
      <c r="JK201" s="418">
        <f t="shared" si="563"/>
        <v>0</v>
      </c>
      <c r="JL201" s="418">
        <f t="shared" si="563"/>
        <v>0</v>
      </c>
      <c r="JM201" s="418">
        <f t="shared" si="563"/>
        <v>0</v>
      </c>
      <c r="JN201" s="418">
        <f t="shared" si="563"/>
        <v>0</v>
      </c>
      <c r="JO201" s="418">
        <f t="shared" si="563"/>
        <v>0</v>
      </c>
      <c r="JP201" s="418">
        <f t="shared" si="563"/>
        <v>0</v>
      </c>
      <c r="JQ201" s="418">
        <f t="shared" si="563"/>
        <v>0</v>
      </c>
      <c r="JR201" s="418">
        <f t="shared" si="563"/>
        <v>0</v>
      </c>
      <c r="JS201" s="418">
        <f t="shared" si="563"/>
        <v>0</v>
      </c>
      <c r="JT201" s="418">
        <f t="shared" si="563"/>
        <v>0</v>
      </c>
      <c r="JU201" s="418">
        <f t="shared" si="563"/>
        <v>0</v>
      </c>
      <c r="JV201" s="418">
        <f t="shared" si="563"/>
        <v>0</v>
      </c>
      <c r="JW201" s="418">
        <f t="shared" si="563"/>
        <v>0</v>
      </c>
      <c r="JX201" s="418">
        <f t="shared" si="563"/>
        <v>0</v>
      </c>
      <c r="JY201"/>
      <c r="JZ201" s="262"/>
      <c r="KA201" s="262"/>
      <c r="KB201" s="262"/>
      <c r="KC201" s="262"/>
      <c r="KD201" s="262"/>
      <c r="KE201" s="262"/>
      <c r="KF201" s="262"/>
      <c r="KG201" s="262"/>
      <c r="KH201" s="262"/>
      <c r="KI201" s="262"/>
      <c r="KJ201" s="262"/>
      <c r="KK201" s="262"/>
      <c r="KL201" s="262"/>
      <c r="KM201" s="262"/>
      <c r="KN201" s="262"/>
      <c r="KO201" s="262"/>
      <c r="KP201" s="262"/>
      <c r="KQ201" s="262"/>
      <c r="KR201" s="262"/>
      <c r="KS201" s="262"/>
      <c r="KT201" s="262"/>
      <c r="KU201" s="262"/>
      <c r="KV201" s="262"/>
      <c r="KW201" s="262"/>
      <c r="KX201" s="262"/>
      <c r="KY201" s="262"/>
      <c r="KZ201" s="262"/>
      <c r="LA201" s="262"/>
      <c r="LB201" s="262"/>
      <c r="LC201" s="262"/>
      <c r="LD201" s="262"/>
      <c r="LE201" s="262"/>
      <c r="LF201" s="262"/>
      <c r="LG201" s="262"/>
      <c r="LH201" s="262"/>
      <c r="LI201" s="262"/>
      <c r="LJ201" s="262"/>
      <c r="LK201" s="262"/>
      <c r="LL201" s="262"/>
      <c r="LM201" s="262"/>
      <c r="LN201" s="262"/>
      <c r="LO201" s="262"/>
      <c r="LP201" s="262"/>
      <c r="LQ201" s="262"/>
      <c r="LR201" s="262"/>
      <c r="LS201" s="262"/>
      <c r="LT201" s="262"/>
      <c r="LU201" s="262"/>
      <c r="LV201" s="262"/>
      <c r="LW201" s="262"/>
      <c r="LX201" s="262"/>
      <c r="LY201" s="262"/>
      <c r="LZ201" s="262"/>
      <c r="MA201" s="262"/>
      <c r="MB201" s="262"/>
      <c r="MC201" s="262"/>
      <c r="MD201" s="262"/>
      <c r="ME201" s="262"/>
      <c r="MF201" s="262"/>
      <c r="MG201" s="262"/>
      <c r="MH201" s="262"/>
      <c r="MI201" s="262"/>
      <c r="MJ201" s="262"/>
      <c r="MK201" s="262"/>
      <c r="ML201" s="262"/>
      <c r="MM201" s="262"/>
      <c r="MN201" s="262"/>
      <c r="MO201" s="262"/>
      <c r="MP201" s="262"/>
      <c r="MQ201" s="262"/>
      <c r="MR201" s="262"/>
      <c r="MS201" s="262"/>
      <c r="MT201" s="262"/>
      <c r="MU201" s="262"/>
      <c r="MV201" s="262"/>
      <c r="MW201" s="262"/>
      <c r="MX201" s="262"/>
      <c r="MY201" s="262"/>
      <c r="MZ201" s="262"/>
      <c r="NA201" s="262"/>
      <c r="NB201" s="262"/>
      <c r="NC201" s="262"/>
      <c r="ND201" s="262"/>
      <c r="NE201" s="262"/>
      <c r="NF201" s="262"/>
      <c r="NG201" s="262"/>
      <c r="NH201" s="262"/>
      <c r="NI201" s="262"/>
      <c r="NJ201" s="262"/>
      <c r="NK201" s="262"/>
      <c r="NL201" s="262"/>
      <c r="NM201" s="262"/>
      <c r="NN201" s="262"/>
      <c r="NO201" s="262"/>
      <c r="NP201" s="262"/>
      <c r="NQ201" s="262"/>
      <c r="NR201" s="262"/>
      <c r="NS201" s="262"/>
      <c r="NT201" s="262"/>
      <c r="NU201" s="262"/>
      <c r="NV201" s="262"/>
      <c r="NW201" s="262"/>
      <c r="NX201" s="262"/>
      <c r="NY201" s="262"/>
      <c r="NZ201" s="262"/>
      <c r="OA201" s="262"/>
      <c r="OB201" s="262"/>
      <c r="OC201" s="262"/>
      <c r="OD201" s="262"/>
      <c r="OE201" s="262"/>
      <c r="OF201" s="262"/>
      <c r="OG201" s="262"/>
      <c r="OH201" s="262"/>
      <c r="OI201" s="262"/>
      <c r="OJ201" s="262"/>
      <c r="OK201" s="262"/>
      <c r="OL201" s="262"/>
      <c r="OM201" s="262"/>
      <c r="ON201" s="262"/>
      <c r="OO201" s="262"/>
      <c r="OP201" s="262"/>
      <c r="OQ201" s="262"/>
      <c r="OR201" s="262"/>
      <c r="OS201" s="262"/>
      <c r="OT201" s="262"/>
      <c r="OU201" s="262"/>
      <c r="OV201" s="262"/>
      <c r="OW201" s="262"/>
      <c r="OX201" s="262"/>
      <c r="OY201" s="262"/>
      <c r="OZ201" s="262"/>
      <c r="PA201" s="262"/>
      <c r="PB201" s="262"/>
      <c r="PC201" s="262"/>
      <c r="PD201" s="262"/>
      <c r="PE201" s="262"/>
      <c r="PF201" s="262"/>
      <c r="PG201" s="262"/>
      <c r="PH201" s="262"/>
    </row>
    <row r="202" spans="1:424" x14ac:dyDescent="0.35">
      <c r="A202"/>
      <c r="B202" s="34" t="s">
        <v>73</v>
      </c>
      <c r="C202" s="400"/>
      <c r="D202" s="400"/>
      <c r="E202" s="400"/>
      <c r="F202" s="400"/>
      <c r="G202" s="400"/>
      <c r="H202" s="40"/>
      <c r="I202" s="445">
        <f>SUM(L202:EN202)</f>
        <v>97288009.007569149</v>
      </c>
      <c r="J202"/>
      <c r="K202"/>
      <c r="L202" s="417">
        <f t="shared" ref="L202:AQ202" si="564">IF(L194="","",L155)</f>
        <v>0</v>
      </c>
      <c r="M202" s="417">
        <f t="shared" si="564"/>
        <v>0</v>
      </c>
      <c r="N202" s="417">
        <f t="shared" si="564"/>
        <v>0</v>
      </c>
      <c r="O202" s="417">
        <f t="shared" si="564"/>
        <v>0</v>
      </c>
      <c r="P202" s="417">
        <f t="shared" si="564"/>
        <v>0</v>
      </c>
      <c r="Q202" s="417">
        <f t="shared" si="564"/>
        <v>0</v>
      </c>
      <c r="R202" s="417">
        <f t="shared" si="564"/>
        <v>0</v>
      </c>
      <c r="S202" s="417">
        <f t="shared" si="564"/>
        <v>0</v>
      </c>
      <c r="T202" s="417">
        <f t="shared" si="564"/>
        <v>0</v>
      </c>
      <c r="U202" s="417">
        <f t="shared" si="564"/>
        <v>0</v>
      </c>
      <c r="V202" s="417">
        <f t="shared" si="564"/>
        <v>0</v>
      </c>
      <c r="W202" s="417">
        <f t="shared" si="564"/>
        <v>0</v>
      </c>
      <c r="X202" s="417">
        <f t="shared" si="564"/>
        <v>0</v>
      </c>
      <c r="Y202" s="417">
        <f t="shared" si="564"/>
        <v>0</v>
      </c>
      <c r="Z202" s="417">
        <f t="shared" si="564"/>
        <v>0</v>
      </c>
      <c r="AA202" s="417">
        <f t="shared" si="564"/>
        <v>0</v>
      </c>
      <c r="AB202" s="417">
        <f t="shared" si="564"/>
        <v>0</v>
      </c>
      <c r="AC202" s="417">
        <f t="shared" si="564"/>
        <v>0</v>
      </c>
      <c r="AD202" s="417">
        <f t="shared" si="564"/>
        <v>0</v>
      </c>
      <c r="AE202" s="417">
        <f t="shared" si="564"/>
        <v>0</v>
      </c>
      <c r="AF202" s="417">
        <f t="shared" si="564"/>
        <v>0</v>
      </c>
      <c r="AG202" s="417">
        <f t="shared" si="564"/>
        <v>0</v>
      </c>
      <c r="AH202" s="417">
        <f t="shared" si="564"/>
        <v>716666.66666666663</v>
      </c>
      <c r="AI202" s="417">
        <f t="shared" si="564"/>
        <v>716666.66666666663</v>
      </c>
      <c r="AJ202" s="417">
        <f t="shared" si="564"/>
        <v>716666.66666666663</v>
      </c>
      <c r="AK202" s="417">
        <f t="shared" si="564"/>
        <v>933333.33333333326</v>
      </c>
      <c r="AL202" s="417">
        <f t="shared" si="564"/>
        <v>933333.33333333326</v>
      </c>
      <c r="AM202" s="417">
        <f t="shared" si="564"/>
        <v>933333.33333333326</v>
      </c>
      <c r="AN202" s="417">
        <f t="shared" si="564"/>
        <v>1107500</v>
      </c>
      <c r="AO202" s="417">
        <f t="shared" si="564"/>
        <v>1107500</v>
      </c>
      <c r="AP202" s="417">
        <f t="shared" si="564"/>
        <v>1107500</v>
      </c>
      <c r="AQ202" s="417">
        <f t="shared" si="564"/>
        <v>1265833.3333333333</v>
      </c>
      <c r="AR202" s="417">
        <f t="shared" ref="AR202:BW202" si="565">IF(AR194="","",AR155)</f>
        <v>1265833.3333333333</v>
      </c>
      <c r="AS202" s="417">
        <f t="shared" si="565"/>
        <v>1265833.3333333333</v>
      </c>
      <c r="AT202" s="417">
        <f t="shared" si="565"/>
        <v>1298416.6666666665</v>
      </c>
      <c r="AU202" s="417">
        <f t="shared" si="565"/>
        <v>1298416.6666666665</v>
      </c>
      <c r="AV202" s="417">
        <f t="shared" si="565"/>
        <v>1298416.6666666665</v>
      </c>
      <c r="AW202" s="417">
        <f t="shared" si="565"/>
        <v>1329966.833333333</v>
      </c>
      <c r="AX202" s="417">
        <f t="shared" si="565"/>
        <v>1537461.250366004</v>
      </c>
      <c r="AY202" s="417">
        <f t="shared" si="565"/>
        <v>1744955.6673986751</v>
      </c>
      <c r="AZ202" s="417">
        <f t="shared" si="565"/>
        <v>1960527.6614040788</v>
      </c>
      <c r="BA202" s="417">
        <f t="shared" si="565"/>
        <v>2168682.6596498829</v>
      </c>
      <c r="BB202" s="417">
        <f t="shared" si="565"/>
        <v>2376837.6578956875</v>
      </c>
      <c r="BC202" s="417">
        <f t="shared" si="565"/>
        <v>2590534.3228081581</v>
      </c>
      <c r="BD202" s="75">
        <f t="shared" si="565"/>
        <v>2798689.3210539622</v>
      </c>
      <c r="BE202" s="75">
        <f t="shared" si="565"/>
        <v>3006844.3192997663</v>
      </c>
      <c r="BF202" s="75">
        <f t="shared" si="565"/>
        <v>3241223.0675455704</v>
      </c>
      <c r="BG202" s="75">
        <f t="shared" si="565"/>
        <v>3449378.065791375</v>
      </c>
      <c r="BH202" s="75">
        <f t="shared" si="565"/>
        <v>3657533.0640371782</v>
      </c>
      <c r="BI202" s="75">
        <f t="shared" si="565"/>
        <v>3936582.4825900565</v>
      </c>
      <c r="BJ202" s="75">
        <f t="shared" si="565"/>
        <v>3936582.4825900565</v>
      </c>
      <c r="BK202" s="75">
        <f t="shared" si="565"/>
        <v>3936582.4825900565</v>
      </c>
      <c r="BL202" s="75">
        <f t="shared" si="565"/>
        <v>3942891.6700900565</v>
      </c>
      <c r="BM202" s="75">
        <f t="shared" si="565"/>
        <v>3942891.6700900565</v>
      </c>
      <c r="BN202" s="75">
        <f t="shared" si="565"/>
        <v>3942891.6700900565</v>
      </c>
      <c r="BO202" s="75">
        <f t="shared" si="565"/>
        <v>3948627.2950900565</v>
      </c>
      <c r="BP202" s="75">
        <f t="shared" si="565"/>
        <v>3948627.2950900565</v>
      </c>
      <c r="BQ202" s="75">
        <f t="shared" si="565"/>
        <v>3948627.2950900565</v>
      </c>
      <c r="BR202" s="75">
        <f t="shared" si="565"/>
        <v>3975768.8763400572</v>
      </c>
      <c r="BS202" s="75">
        <f t="shared" si="565"/>
        <v>3975768.8763400572</v>
      </c>
      <c r="BT202" s="75">
        <f t="shared" si="565"/>
        <v>3975768.8763400572</v>
      </c>
      <c r="BU202" s="75">
        <f t="shared" si="565"/>
        <v>4048514.1446548081</v>
      </c>
      <c r="BV202" s="75" t="str">
        <f t="shared" si="565"/>
        <v/>
      </c>
      <c r="BW202" s="75" t="str">
        <f t="shared" si="565"/>
        <v/>
      </c>
      <c r="BX202" s="75" t="str">
        <f t="shared" ref="BX202:DC202" si="566">IF(BX194="","",BX155)</f>
        <v/>
      </c>
      <c r="BY202" s="75" t="str">
        <f t="shared" si="566"/>
        <v/>
      </c>
      <c r="BZ202" s="75" t="str">
        <f t="shared" si="566"/>
        <v/>
      </c>
      <c r="CA202" s="75" t="str">
        <f t="shared" si="566"/>
        <v/>
      </c>
      <c r="CB202" s="75" t="str">
        <f t="shared" si="566"/>
        <v/>
      </c>
      <c r="CC202" s="75" t="str">
        <f t="shared" si="566"/>
        <v/>
      </c>
      <c r="CD202" s="75" t="str">
        <f t="shared" si="566"/>
        <v/>
      </c>
      <c r="CE202" s="75" t="str">
        <f t="shared" si="566"/>
        <v/>
      </c>
      <c r="CF202" s="75" t="str">
        <f t="shared" si="566"/>
        <v/>
      </c>
      <c r="CG202" s="75" t="str">
        <f t="shared" si="566"/>
        <v/>
      </c>
      <c r="CH202" s="75" t="str">
        <f t="shared" si="566"/>
        <v/>
      </c>
      <c r="CI202" s="75" t="str">
        <f t="shared" si="566"/>
        <v/>
      </c>
      <c r="CJ202" s="75" t="str">
        <f t="shared" si="566"/>
        <v/>
      </c>
      <c r="CK202" s="75" t="str">
        <f t="shared" si="566"/>
        <v/>
      </c>
      <c r="CL202" s="75" t="str">
        <f t="shared" si="566"/>
        <v/>
      </c>
      <c r="CM202" s="75" t="str">
        <f t="shared" si="566"/>
        <v/>
      </c>
      <c r="CN202" s="75" t="str">
        <f t="shared" si="566"/>
        <v/>
      </c>
      <c r="CO202" s="75" t="str">
        <f t="shared" si="566"/>
        <v/>
      </c>
      <c r="CP202" s="75" t="str">
        <f t="shared" si="566"/>
        <v/>
      </c>
      <c r="CQ202" s="75" t="str">
        <f t="shared" si="566"/>
        <v/>
      </c>
      <c r="CR202" s="75" t="str">
        <f t="shared" si="566"/>
        <v/>
      </c>
      <c r="CS202" s="75" t="str">
        <f t="shared" si="566"/>
        <v/>
      </c>
      <c r="CT202" s="75" t="str">
        <f t="shared" si="566"/>
        <v/>
      </c>
      <c r="CU202" s="75" t="str">
        <f t="shared" si="566"/>
        <v/>
      </c>
      <c r="CV202" s="75" t="str">
        <f t="shared" si="566"/>
        <v/>
      </c>
      <c r="CW202" s="75" t="str">
        <f t="shared" si="566"/>
        <v/>
      </c>
      <c r="CX202" s="75" t="str">
        <f t="shared" si="566"/>
        <v/>
      </c>
      <c r="CY202" s="75" t="str">
        <f t="shared" si="566"/>
        <v/>
      </c>
      <c r="CZ202" s="75" t="str">
        <f t="shared" si="566"/>
        <v/>
      </c>
      <c r="DA202" s="75" t="str">
        <f t="shared" si="566"/>
        <v/>
      </c>
      <c r="DB202" s="75" t="str">
        <f t="shared" si="566"/>
        <v/>
      </c>
      <c r="DC202" s="75" t="str">
        <f t="shared" si="566"/>
        <v/>
      </c>
      <c r="DD202" s="75" t="str">
        <f t="shared" ref="DD202:EN202" si="567">IF(DD194="","",DD155)</f>
        <v/>
      </c>
      <c r="DE202" s="75" t="str">
        <f t="shared" si="567"/>
        <v/>
      </c>
      <c r="DF202" s="75" t="str">
        <f t="shared" si="567"/>
        <v/>
      </c>
      <c r="DG202" s="75" t="str">
        <f t="shared" si="567"/>
        <v/>
      </c>
      <c r="DH202" s="75" t="str">
        <f t="shared" si="567"/>
        <v/>
      </c>
      <c r="DI202" s="75" t="str">
        <f t="shared" si="567"/>
        <v/>
      </c>
      <c r="DJ202" s="75" t="str">
        <f t="shared" si="567"/>
        <v/>
      </c>
      <c r="DK202" s="75" t="str">
        <f t="shared" si="567"/>
        <v/>
      </c>
      <c r="DL202" s="75" t="str">
        <f t="shared" si="567"/>
        <v/>
      </c>
      <c r="DM202" s="75" t="str">
        <f t="shared" si="567"/>
        <v/>
      </c>
      <c r="DN202" s="75" t="str">
        <f t="shared" si="567"/>
        <v/>
      </c>
      <c r="DO202" s="75" t="str">
        <f t="shared" si="567"/>
        <v/>
      </c>
      <c r="DP202" s="75" t="str">
        <f t="shared" si="567"/>
        <v/>
      </c>
      <c r="DQ202" s="75" t="str">
        <f t="shared" si="567"/>
        <v/>
      </c>
      <c r="DR202" s="75" t="str">
        <f t="shared" si="567"/>
        <v/>
      </c>
      <c r="DS202" s="75" t="str">
        <f t="shared" si="567"/>
        <v/>
      </c>
      <c r="DT202" s="75" t="str">
        <f t="shared" si="567"/>
        <v/>
      </c>
      <c r="DU202" s="75" t="str">
        <f t="shared" si="567"/>
        <v/>
      </c>
      <c r="DV202" s="75" t="str">
        <f t="shared" si="567"/>
        <v/>
      </c>
      <c r="DW202" s="75" t="str">
        <f t="shared" si="567"/>
        <v/>
      </c>
      <c r="DX202" s="75" t="str">
        <f t="shared" si="567"/>
        <v/>
      </c>
      <c r="DY202" s="75" t="str">
        <f t="shared" si="567"/>
        <v/>
      </c>
      <c r="DZ202" s="75" t="str">
        <f t="shared" si="567"/>
        <v/>
      </c>
      <c r="EA202" s="75" t="str">
        <f t="shared" si="567"/>
        <v/>
      </c>
      <c r="EB202" s="75" t="str">
        <f t="shared" si="567"/>
        <v/>
      </c>
      <c r="EC202" s="75" t="str">
        <f t="shared" si="567"/>
        <v/>
      </c>
      <c r="ED202" s="75" t="str">
        <f t="shared" si="567"/>
        <v/>
      </c>
      <c r="EE202" s="75" t="str">
        <f t="shared" si="567"/>
        <v/>
      </c>
      <c r="EF202" s="75" t="str">
        <f t="shared" si="567"/>
        <v/>
      </c>
      <c r="EG202" s="75" t="str">
        <f t="shared" si="567"/>
        <v/>
      </c>
      <c r="EH202" s="75" t="str">
        <f t="shared" si="567"/>
        <v/>
      </c>
      <c r="EI202" s="75" t="str">
        <f t="shared" si="567"/>
        <v/>
      </c>
      <c r="EJ202" s="75" t="str">
        <f t="shared" si="567"/>
        <v/>
      </c>
      <c r="EK202" s="75" t="str">
        <f t="shared" si="567"/>
        <v/>
      </c>
      <c r="EL202" s="75" t="str">
        <f t="shared" si="567"/>
        <v/>
      </c>
      <c r="EM202" s="75" t="str">
        <f t="shared" si="567"/>
        <v/>
      </c>
      <c r="EN202" s="75" t="str">
        <f t="shared" si="567"/>
        <v/>
      </c>
      <c r="EO202"/>
      <c r="EP202" s="405"/>
      <c r="EQ202" s="18"/>
      <c r="ER202" s="18"/>
      <c r="ES202" s="18"/>
      <c r="ET202" s="18" t="s">
        <v>387</v>
      </c>
      <c r="EU202" s="18"/>
      <c r="EV202" s="418">
        <f t="shared" ref="EV202:GA202" si="568">(EV$197&lt;=Timing_Reversion_Month)*(EV198+EV199+EV200-EV201)</f>
        <v>76389582.872717112</v>
      </c>
      <c r="EW202" s="418">
        <f t="shared" si="568"/>
        <v>76319020.60374704</v>
      </c>
      <c r="EX202" s="418">
        <f t="shared" si="568"/>
        <v>76319020.60374704</v>
      </c>
      <c r="EY202" s="418">
        <f t="shared" si="568"/>
        <v>76266337.125516176</v>
      </c>
      <c r="EZ202" s="418">
        <f t="shared" si="568"/>
        <v>76192419.532628939</v>
      </c>
      <c r="FA202" s="418">
        <f t="shared" si="568"/>
        <v>76091821.907228976</v>
      </c>
      <c r="FB202" s="418">
        <f t="shared" si="568"/>
        <v>75959110.692382038</v>
      </c>
      <c r="FC202" s="418">
        <f t="shared" si="568"/>
        <v>75789539.561115608</v>
      </c>
      <c r="FD202" s="418">
        <f t="shared" si="568"/>
        <v>75579900.63411431</v>
      </c>
      <c r="FE202" s="418">
        <f t="shared" si="568"/>
        <v>75329468.350985989</v>
      </c>
      <c r="FF202" s="418">
        <f t="shared" si="568"/>
        <v>75040901.334523097</v>
      </c>
      <c r="FG202" s="418">
        <f t="shared" si="568"/>
        <v>74720929.978210613</v>
      </c>
      <c r="FH202" s="418">
        <f t="shared" si="568"/>
        <v>74380647.644237518</v>
      </c>
      <c r="FI202" s="418">
        <f t="shared" si="568"/>
        <v>76313480.298421651</v>
      </c>
      <c r="FJ202" s="418">
        <f t="shared" si="568"/>
        <v>85331629.018619195</v>
      </c>
      <c r="FK202" s="418">
        <f t="shared" si="568"/>
        <v>95231535.25874503</v>
      </c>
      <c r="FL202" s="418">
        <f t="shared" si="568"/>
        <v>105826476.42227101</v>
      </c>
      <c r="FM202" s="418">
        <f t="shared" si="568"/>
        <v>116995099.4363005</v>
      </c>
      <c r="FN202" s="418">
        <f t="shared" si="568"/>
        <v>128471534.92065407</v>
      </c>
      <c r="FO202" s="418">
        <f t="shared" si="568"/>
        <v>139972282.72813815</v>
      </c>
      <c r="FP202" s="418">
        <f t="shared" si="568"/>
        <v>151173084.92132294</v>
      </c>
      <c r="FQ202" s="418">
        <f t="shared" si="568"/>
        <v>161733486.73017851</v>
      </c>
      <c r="FR202" s="418">
        <f t="shared" si="568"/>
        <v>170740502.21889165</v>
      </c>
      <c r="FS202" s="418">
        <f t="shared" si="568"/>
        <v>178778475.08267695</v>
      </c>
      <c r="FT202" s="418">
        <f t="shared" si="568"/>
        <v>185782219.67818293</v>
      </c>
      <c r="FU202" s="418">
        <f t="shared" si="568"/>
        <v>191533070.96163434</v>
      </c>
      <c r="FV202" s="418">
        <f t="shared" si="568"/>
        <v>196299229.48816952</v>
      </c>
      <c r="FW202" s="418">
        <f t="shared" si="568"/>
        <v>200172434.88418299</v>
      </c>
      <c r="FX202" s="418">
        <f t="shared" si="568"/>
        <v>203095710.40469897</v>
      </c>
      <c r="FY202" s="418">
        <f t="shared" si="568"/>
        <v>205371720.49035701</v>
      </c>
      <c r="FZ202" s="418">
        <f t="shared" si="568"/>
        <v>208022459.93393275</v>
      </c>
      <c r="GA202" s="418">
        <f t="shared" si="568"/>
        <v>210618464.20429832</v>
      </c>
      <c r="GB202" s="418">
        <f t="shared" ref="GB202:HG202" si="569">(GB$197&lt;=Timing_Reversion_Month)*(GB198+GB199+GB200-GB201)</f>
        <v>212555756.6144</v>
      </c>
      <c r="GC202" s="418">
        <f t="shared" si="569"/>
        <v>214011540.88536635</v>
      </c>
      <c r="GD202" s="418">
        <f t="shared" si="569"/>
        <v>215094983.27941903</v>
      </c>
      <c r="GE202" s="418">
        <f t="shared" si="569"/>
        <v>215947341.94927955</v>
      </c>
      <c r="GF202" s="418">
        <f t="shared" si="569"/>
        <v>216648670.88274083</v>
      </c>
      <c r="GG202" s="418">
        <f t="shared" si="569"/>
        <v>216684536.36090487</v>
      </c>
      <c r="GH202" s="418">
        <f t="shared" si="569"/>
        <v>216520305.68039018</v>
      </c>
      <c r="GI202" s="418">
        <f t="shared" si="569"/>
        <v>216156018.91509619</v>
      </c>
      <c r="GJ202" s="418">
        <f t="shared" si="569"/>
        <v>215583638.77901652</v>
      </c>
      <c r="GK202" s="418">
        <f t="shared" si="569"/>
        <v>214810622.7771199</v>
      </c>
      <c r="GL202" s="418">
        <f t="shared" si="569"/>
        <v>213837011.6380403</v>
      </c>
      <c r="GM202" s="418">
        <f t="shared" si="569"/>
        <v>212657304.64435849</v>
      </c>
      <c r="GN202" s="418">
        <f t="shared" si="569"/>
        <v>211277084.63379696</v>
      </c>
      <c r="GO202" s="418">
        <f t="shared" si="569"/>
        <v>209696393.00042146</v>
      </c>
      <c r="GP202" s="418">
        <f t="shared" si="569"/>
        <v>207889047.6125156</v>
      </c>
      <c r="GQ202" s="418">
        <f t="shared" si="569"/>
        <v>205881314.0637953</v>
      </c>
      <c r="GR202" s="418">
        <f t="shared" si="569"/>
        <v>203673234.42462999</v>
      </c>
      <c r="GS202" s="418">
        <f t="shared" si="569"/>
        <v>201193956.57296321</v>
      </c>
      <c r="GT202" s="418">
        <f t="shared" si="569"/>
        <v>198722572.45471391</v>
      </c>
      <c r="GU202" s="418">
        <f t="shared" si="569"/>
        <v>196259124.8276048</v>
      </c>
      <c r="GV202" s="418">
        <f t="shared" si="569"/>
        <v>193797347.49346289</v>
      </c>
      <c r="GW202" s="418">
        <f t="shared" si="569"/>
        <v>191343592.86197403</v>
      </c>
      <c r="GX202" s="418">
        <f t="shared" si="569"/>
        <v>188897904.38944426</v>
      </c>
      <c r="GY202" s="418">
        <f t="shared" si="569"/>
        <v>186454590.14256793</v>
      </c>
      <c r="GZ202" s="418">
        <f t="shared" si="569"/>
        <v>184019429.67470276</v>
      </c>
      <c r="HA202" s="418">
        <f t="shared" si="569"/>
        <v>181592467.15215173</v>
      </c>
      <c r="HB202" s="418">
        <f t="shared" si="569"/>
        <v>179146605.39920196</v>
      </c>
      <c r="HC202" s="418">
        <f t="shared" si="569"/>
        <v>176709030.64317054</v>
      </c>
      <c r="HD202" s="418">
        <f t="shared" si="569"/>
        <v>174279787.77195746</v>
      </c>
      <c r="HE202" s="418">
        <f t="shared" si="569"/>
        <v>0</v>
      </c>
      <c r="HF202" s="418">
        <f t="shared" si="569"/>
        <v>0</v>
      </c>
      <c r="HG202" s="418">
        <f t="shared" si="569"/>
        <v>0</v>
      </c>
      <c r="HH202" s="418">
        <f t="shared" ref="HH202:IM202" si="570">(HH$197&lt;=Timing_Reversion_Month)*(HH198+HH199+HH200-HH201)</f>
        <v>0</v>
      </c>
      <c r="HI202" s="418">
        <f t="shared" si="570"/>
        <v>0</v>
      </c>
      <c r="HJ202" s="418">
        <f t="shared" si="570"/>
        <v>0</v>
      </c>
      <c r="HK202" s="418">
        <f t="shared" si="570"/>
        <v>0</v>
      </c>
      <c r="HL202" s="418">
        <f t="shared" si="570"/>
        <v>0</v>
      </c>
      <c r="HM202" s="418">
        <f t="shared" si="570"/>
        <v>0</v>
      </c>
      <c r="HN202" s="418">
        <f t="shared" si="570"/>
        <v>0</v>
      </c>
      <c r="HO202" s="418">
        <f t="shared" si="570"/>
        <v>0</v>
      </c>
      <c r="HP202" s="418">
        <f t="shared" si="570"/>
        <v>0</v>
      </c>
      <c r="HQ202" s="418">
        <f t="shared" si="570"/>
        <v>0</v>
      </c>
      <c r="HR202" s="418">
        <f t="shared" si="570"/>
        <v>0</v>
      </c>
      <c r="HS202" s="418">
        <f t="shared" si="570"/>
        <v>0</v>
      </c>
      <c r="HT202" s="418">
        <f t="shared" si="570"/>
        <v>0</v>
      </c>
      <c r="HU202" s="418">
        <f t="shared" si="570"/>
        <v>0</v>
      </c>
      <c r="HV202" s="418">
        <f t="shared" si="570"/>
        <v>0</v>
      </c>
      <c r="HW202" s="418">
        <f t="shared" si="570"/>
        <v>0</v>
      </c>
      <c r="HX202" s="418">
        <f t="shared" si="570"/>
        <v>0</v>
      </c>
      <c r="HY202" s="418">
        <f t="shared" si="570"/>
        <v>0</v>
      </c>
      <c r="HZ202" s="418">
        <f t="shared" si="570"/>
        <v>0</v>
      </c>
      <c r="IA202" s="418">
        <f t="shared" si="570"/>
        <v>0</v>
      </c>
      <c r="IB202" s="418">
        <f t="shared" si="570"/>
        <v>0</v>
      </c>
      <c r="IC202" s="418">
        <f t="shared" si="570"/>
        <v>0</v>
      </c>
      <c r="ID202" s="418">
        <f t="shared" si="570"/>
        <v>0</v>
      </c>
      <c r="IE202" s="418">
        <f t="shared" si="570"/>
        <v>0</v>
      </c>
      <c r="IF202" s="418">
        <f t="shared" si="570"/>
        <v>0</v>
      </c>
      <c r="IG202" s="418">
        <f t="shared" si="570"/>
        <v>0</v>
      </c>
      <c r="IH202" s="418">
        <f t="shared" si="570"/>
        <v>0</v>
      </c>
      <c r="II202" s="418">
        <f t="shared" si="570"/>
        <v>0</v>
      </c>
      <c r="IJ202" s="418">
        <f t="shared" si="570"/>
        <v>0</v>
      </c>
      <c r="IK202" s="418">
        <f t="shared" si="570"/>
        <v>0</v>
      </c>
      <c r="IL202" s="418">
        <f t="shared" si="570"/>
        <v>0</v>
      </c>
      <c r="IM202" s="418">
        <f t="shared" si="570"/>
        <v>0</v>
      </c>
      <c r="IN202" s="418">
        <f t="shared" ref="IN202:JS202" si="571">(IN$197&lt;=Timing_Reversion_Month)*(IN198+IN199+IN200-IN201)</f>
        <v>0</v>
      </c>
      <c r="IO202" s="418">
        <f t="shared" si="571"/>
        <v>0</v>
      </c>
      <c r="IP202" s="418">
        <f t="shared" si="571"/>
        <v>0</v>
      </c>
      <c r="IQ202" s="418">
        <f t="shared" si="571"/>
        <v>0</v>
      </c>
      <c r="IR202" s="418">
        <f t="shared" si="571"/>
        <v>0</v>
      </c>
      <c r="IS202" s="418">
        <f t="shared" si="571"/>
        <v>0</v>
      </c>
      <c r="IT202" s="418">
        <f t="shared" si="571"/>
        <v>0</v>
      </c>
      <c r="IU202" s="418">
        <f t="shared" si="571"/>
        <v>0</v>
      </c>
      <c r="IV202" s="418">
        <f t="shared" si="571"/>
        <v>0</v>
      </c>
      <c r="IW202" s="418">
        <f t="shared" si="571"/>
        <v>0</v>
      </c>
      <c r="IX202" s="418">
        <f t="shared" si="571"/>
        <v>0</v>
      </c>
      <c r="IY202" s="418">
        <f t="shared" si="571"/>
        <v>0</v>
      </c>
      <c r="IZ202" s="418">
        <f t="shared" si="571"/>
        <v>0</v>
      </c>
      <c r="JA202" s="418">
        <f t="shared" si="571"/>
        <v>0</v>
      </c>
      <c r="JB202" s="418">
        <f t="shared" si="571"/>
        <v>0</v>
      </c>
      <c r="JC202" s="418">
        <f t="shared" si="571"/>
        <v>0</v>
      </c>
      <c r="JD202" s="418">
        <f t="shared" si="571"/>
        <v>0</v>
      </c>
      <c r="JE202" s="418">
        <f t="shared" si="571"/>
        <v>0</v>
      </c>
      <c r="JF202" s="418">
        <f t="shared" si="571"/>
        <v>0</v>
      </c>
      <c r="JG202" s="418">
        <f t="shared" si="571"/>
        <v>0</v>
      </c>
      <c r="JH202" s="418">
        <f t="shared" si="571"/>
        <v>0</v>
      </c>
      <c r="JI202" s="418">
        <f t="shared" si="571"/>
        <v>0</v>
      </c>
      <c r="JJ202" s="418">
        <f t="shared" si="571"/>
        <v>0</v>
      </c>
      <c r="JK202" s="418">
        <f t="shared" si="571"/>
        <v>0</v>
      </c>
      <c r="JL202" s="418">
        <f t="shared" si="571"/>
        <v>0</v>
      </c>
      <c r="JM202" s="418">
        <f t="shared" si="571"/>
        <v>0</v>
      </c>
      <c r="JN202" s="418">
        <f t="shared" si="571"/>
        <v>0</v>
      </c>
      <c r="JO202" s="418">
        <f t="shared" si="571"/>
        <v>0</v>
      </c>
      <c r="JP202" s="418">
        <f t="shared" si="571"/>
        <v>0</v>
      </c>
      <c r="JQ202" s="418">
        <f t="shared" si="571"/>
        <v>0</v>
      </c>
      <c r="JR202" s="418">
        <f t="shared" si="571"/>
        <v>0</v>
      </c>
      <c r="JS202" s="418">
        <f t="shared" si="571"/>
        <v>0</v>
      </c>
      <c r="JT202" s="418">
        <f>(JT$197&lt;=Timing_Reversion_Month)*(JT198+JT199+JT200-JT201)</f>
        <v>0</v>
      </c>
      <c r="JU202" s="418">
        <f>(JU$197&lt;=Timing_Reversion_Month)*(JU198+JU199+JU200-JU201)</f>
        <v>0</v>
      </c>
      <c r="JV202" s="418">
        <f>(JV$197&lt;=Timing_Reversion_Month)*(JV198+JV199+JV200-JV201)</f>
        <v>0</v>
      </c>
      <c r="JW202" s="418">
        <f>(JW$197&lt;=Timing_Reversion_Month)*(JW198+JW199+JW200-JW201)</f>
        <v>0</v>
      </c>
      <c r="JX202" s="418">
        <f>(JX$197&lt;=Timing_Reversion_Month)*(JX198+JX199+JX200-JX201)</f>
        <v>0</v>
      </c>
      <c r="JY202"/>
      <c r="JZ202" s="262"/>
      <c r="KA202" s="262"/>
      <c r="KB202" s="262"/>
      <c r="KC202" s="262"/>
      <c r="KD202" s="262"/>
      <c r="KE202" s="262"/>
      <c r="KF202" s="262"/>
      <c r="KG202" s="262"/>
      <c r="KH202" s="262"/>
      <c r="KI202" s="262"/>
      <c r="KJ202" s="262"/>
      <c r="KK202" s="262"/>
      <c r="KL202" s="262"/>
      <c r="KM202" s="262"/>
      <c r="KN202" s="262"/>
      <c r="KO202" s="262"/>
      <c r="KP202" s="262"/>
      <c r="KQ202" s="262"/>
      <c r="KR202" s="262"/>
      <c r="KS202" s="262"/>
      <c r="KT202" s="262"/>
      <c r="KU202" s="262"/>
      <c r="KV202" s="262"/>
      <c r="KW202" s="262"/>
      <c r="KX202" s="262"/>
      <c r="KY202" s="262"/>
      <c r="KZ202" s="262"/>
      <c r="LA202" s="262"/>
      <c r="LB202" s="262"/>
      <c r="LC202" s="262"/>
      <c r="LD202" s="262"/>
      <c r="LE202" s="262"/>
      <c r="LF202" s="262"/>
      <c r="LG202" s="262"/>
      <c r="LH202" s="262"/>
      <c r="LI202" s="262"/>
      <c r="LJ202" s="262"/>
      <c r="LK202" s="262"/>
      <c r="LL202" s="262"/>
      <c r="LM202" s="262"/>
      <c r="LN202" s="262"/>
      <c r="LO202" s="262"/>
      <c r="LP202" s="262"/>
      <c r="LQ202" s="262"/>
      <c r="LR202" s="262"/>
      <c r="LS202" s="262"/>
      <c r="LT202" s="262"/>
      <c r="LU202" s="262"/>
      <c r="LV202" s="262"/>
      <c r="LW202" s="262"/>
      <c r="LX202" s="262"/>
      <c r="LY202" s="262"/>
      <c r="LZ202" s="262"/>
      <c r="MA202" s="262"/>
      <c r="MB202" s="262"/>
      <c r="MC202" s="262"/>
      <c r="MD202" s="262"/>
      <c r="ME202" s="262"/>
      <c r="MF202" s="262"/>
      <c r="MG202" s="262"/>
      <c r="MH202" s="262"/>
      <c r="MI202" s="262"/>
      <c r="MJ202" s="262"/>
      <c r="MK202" s="262"/>
      <c r="ML202" s="262"/>
      <c r="MM202" s="262"/>
      <c r="MN202" s="262"/>
      <c r="MO202" s="262"/>
      <c r="MP202" s="262"/>
      <c r="MQ202" s="262"/>
      <c r="MR202" s="262"/>
      <c r="MS202" s="262"/>
      <c r="MT202" s="262"/>
      <c r="MU202" s="262"/>
      <c r="MV202" s="262"/>
      <c r="MW202" s="262"/>
      <c r="MX202" s="262"/>
      <c r="MY202" s="262"/>
      <c r="MZ202" s="262"/>
      <c r="NA202" s="262"/>
      <c r="NB202" s="262"/>
      <c r="NC202" s="262"/>
      <c r="ND202" s="262"/>
      <c r="NE202" s="262"/>
      <c r="NF202" s="262"/>
      <c r="NG202" s="262"/>
      <c r="NH202" s="262"/>
      <c r="NI202" s="262"/>
      <c r="NJ202" s="262"/>
      <c r="NK202" s="262"/>
      <c r="NL202" s="262"/>
      <c r="NM202" s="262"/>
      <c r="NN202" s="262"/>
      <c r="NO202" s="262"/>
      <c r="NP202" s="262"/>
      <c r="NQ202" s="262"/>
      <c r="NR202" s="262"/>
      <c r="NS202" s="262"/>
      <c r="NT202" s="262"/>
      <c r="NU202" s="262"/>
      <c r="NV202" s="262"/>
      <c r="NW202" s="262"/>
      <c r="NX202" s="262"/>
      <c r="NY202" s="262"/>
      <c r="NZ202" s="262"/>
      <c r="OA202" s="262"/>
      <c r="OB202" s="262"/>
      <c r="OC202" s="262"/>
      <c r="OD202" s="262"/>
      <c r="OE202" s="262"/>
      <c r="OF202" s="262"/>
      <c r="OG202" s="262"/>
      <c r="OH202" s="262"/>
      <c r="OI202" s="262"/>
      <c r="OJ202" s="262"/>
      <c r="OK202" s="262"/>
      <c r="OL202" s="262"/>
      <c r="OM202" s="262"/>
      <c r="ON202" s="262"/>
      <c r="OO202" s="262"/>
      <c r="OP202" s="262"/>
      <c r="OQ202" s="262"/>
      <c r="OR202" s="262"/>
      <c r="OS202" s="262"/>
      <c r="OT202" s="262"/>
      <c r="OU202" s="262"/>
      <c r="OV202" s="262"/>
      <c r="OW202" s="262"/>
      <c r="OX202" s="262"/>
      <c r="OY202" s="262"/>
      <c r="OZ202" s="262"/>
      <c r="PA202" s="262"/>
      <c r="PB202" s="262"/>
      <c r="PC202" s="262"/>
      <c r="PD202" s="262"/>
      <c r="PE202" s="262"/>
      <c r="PF202" s="262"/>
      <c r="PG202" s="262"/>
      <c r="PH202" s="262"/>
    </row>
    <row r="203" spans="1:424" x14ac:dyDescent="0.35">
      <c r="A203"/>
      <c r="B203" s="34" t="s">
        <v>388</v>
      </c>
      <c r="C203" s="400"/>
      <c r="D203" s="400"/>
      <c r="E203" s="400"/>
      <c r="F203" s="400"/>
      <c r="G203" s="400"/>
      <c r="H203" s="40"/>
      <c r="I203" s="445">
        <f>SUM(L203:EN203)</f>
        <v>0</v>
      </c>
      <c r="J203"/>
      <c r="K203" s="5"/>
      <c r="L203" s="417">
        <f t="shared" ref="L203:AQ203" si="572">IF(L194="","",L156)</f>
        <v>0</v>
      </c>
      <c r="M203" s="417">
        <f t="shared" si="572"/>
        <v>0</v>
      </c>
      <c r="N203" s="417">
        <f t="shared" si="572"/>
        <v>0</v>
      </c>
      <c r="O203" s="417">
        <f t="shared" si="572"/>
        <v>0</v>
      </c>
      <c r="P203" s="417">
        <f t="shared" si="572"/>
        <v>0</v>
      </c>
      <c r="Q203" s="417">
        <f t="shared" si="572"/>
        <v>0</v>
      </c>
      <c r="R203" s="417">
        <f t="shared" si="572"/>
        <v>0</v>
      </c>
      <c r="S203" s="417">
        <f t="shared" si="572"/>
        <v>0</v>
      </c>
      <c r="T203" s="417">
        <f t="shared" si="572"/>
        <v>0</v>
      </c>
      <c r="U203" s="417">
        <f t="shared" si="572"/>
        <v>0</v>
      </c>
      <c r="V203" s="417">
        <f t="shared" si="572"/>
        <v>0</v>
      </c>
      <c r="W203" s="417">
        <f t="shared" si="572"/>
        <v>0</v>
      </c>
      <c r="X203" s="417">
        <f t="shared" si="572"/>
        <v>0</v>
      </c>
      <c r="Y203" s="417">
        <f t="shared" si="572"/>
        <v>0</v>
      </c>
      <c r="Z203" s="417">
        <f t="shared" si="572"/>
        <v>0</v>
      </c>
      <c r="AA203" s="417">
        <f t="shared" si="572"/>
        <v>0</v>
      </c>
      <c r="AB203" s="417">
        <f t="shared" si="572"/>
        <v>0</v>
      </c>
      <c r="AC203" s="417">
        <f t="shared" si="572"/>
        <v>0</v>
      </c>
      <c r="AD203" s="417">
        <f t="shared" si="572"/>
        <v>0</v>
      </c>
      <c r="AE203" s="417">
        <f t="shared" si="572"/>
        <v>0</v>
      </c>
      <c r="AF203" s="417">
        <f t="shared" si="572"/>
        <v>0</v>
      </c>
      <c r="AG203" s="417">
        <f t="shared" si="572"/>
        <v>0</v>
      </c>
      <c r="AH203" s="417">
        <f t="shared" si="572"/>
        <v>0</v>
      </c>
      <c r="AI203" s="417">
        <f t="shared" si="572"/>
        <v>0</v>
      </c>
      <c r="AJ203" s="417">
        <f t="shared" si="572"/>
        <v>0</v>
      </c>
      <c r="AK203" s="417">
        <f t="shared" si="572"/>
        <v>0</v>
      </c>
      <c r="AL203" s="417">
        <f t="shared" si="572"/>
        <v>0</v>
      </c>
      <c r="AM203" s="417">
        <f t="shared" si="572"/>
        <v>0</v>
      </c>
      <c r="AN203" s="417">
        <f t="shared" si="572"/>
        <v>0</v>
      </c>
      <c r="AO203" s="417">
        <f t="shared" si="572"/>
        <v>0</v>
      </c>
      <c r="AP203" s="417">
        <f t="shared" si="572"/>
        <v>0</v>
      </c>
      <c r="AQ203" s="417">
        <f t="shared" si="572"/>
        <v>0</v>
      </c>
      <c r="AR203" s="417">
        <f t="shared" ref="AR203:BW203" si="573">IF(AR194="","",AR156)</f>
        <v>0</v>
      </c>
      <c r="AS203" s="417">
        <f t="shared" si="573"/>
        <v>0</v>
      </c>
      <c r="AT203" s="417">
        <f t="shared" si="573"/>
        <v>0</v>
      </c>
      <c r="AU203" s="417">
        <f t="shared" si="573"/>
        <v>0</v>
      </c>
      <c r="AV203" s="417">
        <f t="shared" si="573"/>
        <v>0</v>
      </c>
      <c r="AW203" s="417">
        <f t="shared" si="573"/>
        <v>0</v>
      </c>
      <c r="AX203" s="417">
        <f t="shared" si="573"/>
        <v>0</v>
      </c>
      <c r="AY203" s="417">
        <f t="shared" si="573"/>
        <v>0</v>
      </c>
      <c r="AZ203" s="417">
        <f t="shared" si="573"/>
        <v>0</v>
      </c>
      <c r="BA203" s="417">
        <f t="shared" si="573"/>
        <v>0</v>
      </c>
      <c r="BB203" s="417">
        <f t="shared" si="573"/>
        <v>0</v>
      </c>
      <c r="BC203" s="417">
        <f t="shared" si="573"/>
        <v>0</v>
      </c>
      <c r="BD203" s="75">
        <f t="shared" si="573"/>
        <v>0</v>
      </c>
      <c r="BE203" s="75">
        <f t="shared" si="573"/>
        <v>0</v>
      </c>
      <c r="BF203" s="75">
        <f t="shared" si="573"/>
        <v>0</v>
      </c>
      <c r="BG203" s="75">
        <f t="shared" si="573"/>
        <v>0</v>
      </c>
      <c r="BH203" s="75">
        <f t="shared" si="573"/>
        <v>0</v>
      </c>
      <c r="BI203" s="75">
        <f t="shared" si="573"/>
        <v>0</v>
      </c>
      <c r="BJ203" s="75">
        <f t="shared" si="573"/>
        <v>0</v>
      </c>
      <c r="BK203" s="75">
        <f t="shared" si="573"/>
        <v>0</v>
      </c>
      <c r="BL203" s="75">
        <f t="shared" si="573"/>
        <v>0</v>
      </c>
      <c r="BM203" s="75">
        <f t="shared" si="573"/>
        <v>0</v>
      </c>
      <c r="BN203" s="75">
        <f t="shared" si="573"/>
        <v>0</v>
      </c>
      <c r="BO203" s="75">
        <f t="shared" si="573"/>
        <v>0</v>
      </c>
      <c r="BP203" s="75">
        <f t="shared" si="573"/>
        <v>0</v>
      </c>
      <c r="BQ203" s="75">
        <f t="shared" si="573"/>
        <v>0</v>
      </c>
      <c r="BR203" s="75">
        <f t="shared" si="573"/>
        <v>0</v>
      </c>
      <c r="BS203" s="75">
        <f t="shared" si="573"/>
        <v>0</v>
      </c>
      <c r="BT203" s="75">
        <f t="shared" si="573"/>
        <v>0</v>
      </c>
      <c r="BU203" s="75">
        <f t="shared" si="573"/>
        <v>0</v>
      </c>
      <c r="BV203" s="75" t="str">
        <f t="shared" si="573"/>
        <v/>
      </c>
      <c r="BW203" s="75" t="str">
        <f t="shared" si="573"/>
        <v/>
      </c>
      <c r="BX203" s="75" t="str">
        <f t="shared" ref="BX203:DC203" si="574">IF(BX194="","",BX156)</f>
        <v/>
      </c>
      <c r="BY203" s="75" t="str">
        <f t="shared" si="574"/>
        <v/>
      </c>
      <c r="BZ203" s="75" t="str">
        <f t="shared" si="574"/>
        <v/>
      </c>
      <c r="CA203" s="75" t="str">
        <f t="shared" si="574"/>
        <v/>
      </c>
      <c r="CB203" s="75" t="str">
        <f t="shared" si="574"/>
        <v/>
      </c>
      <c r="CC203" s="75" t="str">
        <f t="shared" si="574"/>
        <v/>
      </c>
      <c r="CD203" s="75" t="str">
        <f t="shared" si="574"/>
        <v/>
      </c>
      <c r="CE203" s="75" t="str">
        <f t="shared" si="574"/>
        <v/>
      </c>
      <c r="CF203" s="75" t="str">
        <f t="shared" si="574"/>
        <v/>
      </c>
      <c r="CG203" s="75" t="str">
        <f t="shared" si="574"/>
        <v/>
      </c>
      <c r="CH203" s="75" t="str">
        <f t="shared" si="574"/>
        <v/>
      </c>
      <c r="CI203" s="75" t="str">
        <f t="shared" si="574"/>
        <v/>
      </c>
      <c r="CJ203" s="75" t="str">
        <f t="shared" si="574"/>
        <v/>
      </c>
      <c r="CK203" s="75" t="str">
        <f t="shared" si="574"/>
        <v/>
      </c>
      <c r="CL203" s="75" t="str">
        <f t="shared" si="574"/>
        <v/>
      </c>
      <c r="CM203" s="75" t="str">
        <f t="shared" si="574"/>
        <v/>
      </c>
      <c r="CN203" s="75" t="str">
        <f t="shared" si="574"/>
        <v/>
      </c>
      <c r="CO203" s="75" t="str">
        <f t="shared" si="574"/>
        <v/>
      </c>
      <c r="CP203" s="75" t="str">
        <f t="shared" si="574"/>
        <v/>
      </c>
      <c r="CQ203" s="75" t="str">
        <f t="shared" si="574"/>
        <v/>
      </c>
      <c r="CR203" s="75" t="str">
        <f t="shared" si="574"/>
        <v/>
      </c>
      <c r="CS203" s="75" t="str">
        <f t="shared" si="574"/>
        <v/>
      </c>
      <c r="CT203" s="75" t="str">
        <f t="shared" si="574"/>
        <v/>
      </c>
      <c r="CU203" s="75" t="str">
        <f t="shared" si="574"/>
        <v/>
      </c>
      <c r="CV203" s="75" t="str">
        <f t="shared" si="574"/>
        <v/>
      </c>
      <c r="CW203" s="75" t="str">
        <f t="shared" si="574"/>
        <v/>
      </c>
      <c r="CX203" s="75" t="str">
        <f t="shared" si="574"/>
        <v/>
      </c>
      <c r="CY203" s="75" t="str">
        <f t="shared" si="574"/>
        <v/>
      </c>
      <c r="CZ203" s="75" t="str">
        <f t="shared" si="574"/>
        <v/>
      </c>
      <c r="DA203" s="75" t="str">
        <f t="shared" si="574"/>
        <v/>
      </c>
      <c r="DB203" s="75" t="str">
        <f t="shared" si="574"/>
        <v/>
      </c>
      <c r="DC203" s="75" t="str">
        <f t="shared" si="574"/>
        <v/>
      </c>
      <c r="DD203" s="75" t="str">
        <f t="shared" ref="DD203:EN203" si="575">IF(DD194="","",DD156)</f>
        <v/>
      </c>
      <c r="DE203" s="75" t="str">
        <f t="shared" si="575"/>
        <v/>
      </c>
      <c r="DF203" s="75" t="str">
        <f t="shared" si="575"/>
        <v/>
      </c>
      <c r="DG203" s="75" t="str">
        <f t="shared" si="575"/>
        <v/>
      </c>
      <c r="DH203" s="75" t="str">
        <f t="shared" si="575"/>
        <v/>
      </c>
      <c r="DI203" s="75" t="str">
        <f t="shared" si="575"/>
        <v/>
      </c>
      <c r="DJ203" s="75" t="str">
        <f t="shared" si="575"/>
        <v/>
      </c>
      <c r="DK203" s="75" t="str">
        <f t="shared" si="575"/>
        <v/>
      </c>
      <c r="DL203" s="75" t="str">
        <f t="shared" si="575"/>
        <v/>
      </c>
      <c r="DM203" s="75" t="str">
        <f t="shared" si="575"/>
        <v/>
      </c>
      <c r="DN203" s="75" t="str">
        <f t="shared" si="575"/>
        <v/>
      </c>
      <c r="DO203" s="75" t="str">
        <f t="shared" si="575"/>
        <v/>
      </c>
      <c r="DP203" s="75" t="str">
        <f t="shared" si="575"/>
        <v/>
      </c>
      <c r="DQ203" s="75" t="str">
        <f t="shared" si="575"/>
        <v/>
      </c>
      <c r="DR203" s="75" t="str">
        <f t="shared" si="575"/>
        <v/>
      </c>
      <c r="DS203" s="75" t="str">
        <f t="shared" si="575"/>
        <v/>
      </c>
      <c r="DT203" s="75" t="str">
        <f t="shared" si="575"/>
        <v/>
      </c>
      <c r="DU203" s="75" t="str">
        <f t="shared" si="575"/>
        <v/>
      </c>
      <c r="DV203" s="75" t="str">
        <f t="shared" si="575"/>
        <v/>
      </c>
      <c r="DW203" s="75" t="str">
        <f t="shared" si="575"/>
        <v/>
      </c>
      <c r="DX203" s="75" t="str">
        <f t="shared" si="575"/>
        <v/>
      </c>
      <c r="DY203" s="75" t="str">
        <f t="shared" si="575"/>
        <v/>
      </c>
      <c r="DZ203" s="75" t="str">
        <f t="shared" si="575"/>
        <v/>
      </c>
      <c r="EA203" s="75" t="str">
        <f t="shared" si="575"/>
        <v/>
      </c>
      <c r="EB203" s="75" t="str">
        <f t="shared" si="575"/>
        <v/>
      </c>
      <c r="EC203" s="75" t="str">
        <f t="shared" si="575"/>
        <v/>
      </c>
      <c r="ED203" s="75" t="str">
        <f t="shared" si="575"/>
        <v/>
      </c>
      <c r="EE203" s="75" t="str">
        <f t="shared" si="575"/>
        <v/>
      </c>
      <c r="EF203" s="75" t="str">
        <f t="shared" si="575"/>
        <v/>
      </c>
      <c r="EG203" s="75" t="str">
        <f t="shared" si="575"/>
        <v/>
      </c>
      <c r="EH203" s="75" t="str">
        <f t="shared" si="575"/>
        <v/>
      </c>
      <c r="EI203" s="75" t="str">
        <f t="shared" si="575"/>
        <v/>
      </c>
      <c r="EJ203" s="75" t="str">
        <f t="shared" si="575"/>
        <v/>
      </c>
      <c r="EK203" s="75" t="str">
        <f t="shared" si="575"/>
        <v/>
      </c>
      <c r="EL203" s="75" t="str">
        <f t="shared" si="575"/>
        <v/>
      </c>
      <c r="EM203" s="75" t="str">
        <f t="shared" si="575"/>
        <v/>
      </c>
      <c r="EN203" s="75" t="str">
        <f t="shared" si="575"/>
        <v/>
      </c>
      <c r="EO203" s="5"/>
      <c r="EP203" s="405"/>
      <c r="EQ203" s="18"/>
      <c r="ER203" s="18"/>
      <c r="ES203" s="390" t="s">
        <v>389</v>
      </c>
      <c r="ET203" s="303">
        <f>IFERROR(XIRR($EV203:INDEX($EV203:$PH203,1,Timing_Reversion_Month+1),$EV$24:INDEX($EV$24:$PH$24,1,Timing_Reversion_Month+1)),"")</f>
        <v>2.9802322387695314E-9</v>
      </c>
      <c r="EU203" s="390"/>
      <c r="EV203" s="528">
        <f>+-EV200+EV201</f>
        <v>-76389582.872717112</v>
      </c>
      <c r="EW203" s="528">
        <f t="shared" ref="EW203:GA203" si="576">+-EW200+EW201</f>
        <v>70562.268970067496</v>
      </c>
      <c r="EX203" s="528">
        <f t="shared" si="576"/>
        <v>0</v>
      </c>
      <c r="EY203" s="528">
        <f t="shared" si="576"/>
        <v>52683.47823085892</v>
      </c>
      <c r="EZ203" s="528">
        <f t="shared" si="576"/>
        <v>73917.592887241393</v>
      </c>
      <c r="FA203" s="528">
        <f t="shared" si="576"/>
        <v>100597.62539995834</v>
      </c>
      <c r="FB203" s="528">
        <f t="shared" si="576"/>
        <v>132711.21484693745</v>
      </c>
      <c r="FC203" s="528">
        <f t="shared" si="576"/>
        <v>169571.13126643002</v>
      </c>
      <c r="FD203" s="528">
        <f t="shared" si="576"/>
        <v>209638.92700129561</v>
      </c>
      <c r="FE203" s="528">
        <f t="shared" si="576"/>
        <v>250432.28312832303</v>
      </c>
      <c r="FF203" s="528">
        <f t="shared" si="576"/>
        <v>288567.01646289043</v>
      </c>
      <c r="FG203" s="528">
        <f t="shared" si="576"/>
        <v>319971.35631248169</v>
      </c>
      <c r="FH203" s="528">
        <f t="shared" si="576"/>
        <v>340282.33397308737</v>
      </c>
      <c r="FI203" s="528">
        <f t="shared" si="576"/>
        <v>-1932832.6541841328</v>
      </c>
      <c r="FJ203" s="528">
        <f t="shared" si="576"/>
        <v>-9018148.7201975472</v>
      </c>
      <c r="FK203" s="528">
        <f t="shared" si="576"/>
        <v>-9899906.2401258312</v>
      </c>
      <c r="FL203" s="528">
        <f t="shared" si="576"/>
        <v>-10594941.16352598</v>
      </c>
      <c r="FM203" s="528">
        <f t="shared" si="576"/>
        <v>-11168623.014029484</v>
      </c>
      <c r="FN203" s="528">
        <f t="shared" si="576"/>
        <v>-11476435.484353572</v>
      </c>
      <c r="FO203" s="528">
        <f t="shared" si="576"/>
        <v>-11500747.807484064</v>
      </c>
      <c r="FP203" s="528">
        <f t="shared" si="576"/>
        <v>-11200802.193184778</v>
      </c>
      <c r="FQ203" s="528">
        <f t="shared" si="576"/>
        <v>-10560401.808855567</v>
      </c>
      <c r="FR203" s="528">
        <f t="shared" si="576"/>
        <v>-9007015.4887131397</v>
      </c>
      <c r="FS203" s="528">
        <f t="shared" si="576"/>
        <v>-8037972.8637852902</v>
      </c>
      <c r="FT203" s="528">
        <f t="shared" si="576"/>
        <v>-7003744.5955059687</v>
      </c>
      <c r="FU203" s="528">
        <f t="shared" si="576"/>
        <v>-5750851.2834514072</v>
      </c>
      <c r="FV203" s="528">
        <f t="shared" si="576"/>
        <v>-4766158.5265351916</v>
      </c>
      <c r="FW203" s="528">
        <f t="shared" si="576"/>
        <v>-3873205.3960134638</v>
      </c>
      <c r="FX203" s="528">
        <f t="shared" si="576"/>
        <v>-2923275.520515983</v>
      </c>
      <c r="FY203" s="528">
        <f t="shared" si="576"/>
        <v>-2276010.0856580529</v>
      </c>
      <c r="FZ203" s="528">
        <f t="shared" si="576"/>
        <v>-2650739.4435757259</v>
      </c>
      <c r="GA203" s="528">
        <f t="shared" si="576"/>
        <v>-2596004.2703655614</v>
      </c>
      <c r="GB203" s="528">
        <f t="shared" ref="GB203:HG203" si="577">+-GB200+GB201</f>
        <v>-1937292.4101016719</v>
      </c>
      <c r="GC203" s="528">
        <f t="shared" si="577"/>
        <v>-1455784.2709663643</v>
      </c>
      <c r="GD203" s="528">
        <f t="shared" si="577"/>
        <v>-1083442.3940526801</v>
      </c>
      <c r="GE203" s="528">
        <f t="shared" si="577"/>
        <v>-852358.66986050736</v>
      </c>
      <c r="GF203" s="528">
        <f t="shared" si="577"/>
        <v>-701328.93346127542</v>
      </c>
      <c r="GG203" s="528">
        <f t="shared" si="577"/>
        <v>-35865.47816403769</v>
      </c>
      <c r="GH203" s="528">
        <f t="shared" si="577"/>
        <v>164230.6805146893</v>
      </c>
      <c r="GI203" s="528">
        <f t="shared" si="577"/>
        <v>364286.76529399911</v>
      </c>
      <c r="GJ203" s="528">
        <f t="shared" si="577"/>
        <v>572380.13607966923</v>
      </c>
      <c r="GK203" s="528">
        <f t="shared" si="577"/>
        <v>773016.00189663284</v>
      </c>
      <c r="GL203" s="528">
        <f t="shared" si="577"/>
        <v>973611.13907960732</v>
      </c>
      <c r="GM203" s="528">
        <f t="shared" si="577"/>
        <v>1179706.9936818241</v>
      </c>
      <c r="GN203" s="528">
        <f t="shared" si="577"/>
        <v>1380220.010561527</v>
      </c>
      <c r="GO203" s="528">
        <f t="shared" si="577"/>
        <v>1580691.6333754973</v>
      </c>
      <c r="GP203" s="528">
        <f t="shared" si="577"/>
        <v>1807345.3879058782</v>
      </c>
      <c r="GQ203" s="528">
        <f t="shared" si="577"/>
        <v>2007733.5487203011</v>
      </c>
      <c r="GR203" s="528">
        <f t="shared" si="577"/>
        <v>2208079.6391653027</v>
      </c>
      <c r="GS203" s="528">
        <f t="shared" si="577"/>
        <v>2479277.8516667918</v>
      </c>
      <c r="GT203" s="528">
        <f t="shared" si="577"/>
        <v>2471384.1182492906</v>
      </c>
      <c r="GU203" s="528">
        <f t="shared" si="577"/>
        <v>2463447.6271091113</v>
      </c>
      <c r="GV203" s="528">
        <f t="shared" si="577"/>
        <v>2461777.3341419231</v>
      </c>
      <c r="GW203" s="528">
        <f t="shared" si="577"/>
        <v>2453754.6314888708</v>
      </c>
      <c r="GX203" s="528">
        <f t="shared" si="577"/>
        <v>2445688.4725297811</v>
      </c>
      <c r="GY203" s="528">
        <f t="shared" si="577"/>
        <v>2443314.2468763296</v>
      </c>
      <c r="GZ203" s="528">
        <f t="shared" si="577"/>
        <v>2435160.4678651718</v>
      </c>
      <c r="HA203" s="528">
        <f t="shared" si="577"/>
        <v>2426962.5225510374</v>
      </c>
      <c r="HB203" s="528">
        <f t="shared" si="577"/>
        <v>2445861.752949785</v>
      </c>
      <c r="HC203" s="528">
        <f t="shared" si="577"/>
        <v>2437574.756031421</v>
      </c>
      <c r="HD203" s="528">
        <f t="shared" si="577"/>
        <v>2429242.8712130822</v>
      </c>
      <c r="HE203" s="528">
        <f t="shared" si="577"/>
        <v>174279787.77195746</v>
      </c>
      <c r="HF203" s="528">
        <f t="shared" si="577"/>
        <v>0</v>
      </c>
      <c r="HG203" s="528">
        <f t="shared" si="577"/>
        <v>0</v>
      </c>
      <c r="HH203" s="528">
        <f t="shared" ref="HH203:IM203" si="578">+-HH200+HH201</f>
        <v>0</v>
      </c>
      <c r="HI203" s="528">
        <f t="shared" si="578"/>
        <v>0</v>
      </c>
      <c r="HJ203" s="528">
        <f t="shared" si="578"/>
        <v>0</v>
      </c>
      <c r="HK203" s="528">
        <f t="shared" si="578"/>
        <v>0</v>
      </c>
      <c r="HL203" s="528">
        <f t="shared" si="578"/>
        <v>0</v>
      </c>
      <c r="HM203" s="528">
        <f t="shared" si="578"/>
        <v>0</v>
      </c>
      <c r="HN203" s="528">
        <f t="shared" si="578"/>
        <v>0</v>
      </c>
      <c r="HO203" s="528">
        <f t="shared" si="578"/>
        <v>0</v>
      </c>
      <c r="HP203" s="528">
        <f t="shared" si="578"/>
        <v>0</v>
      </c>
      <c r="HQ203" s="528">
        <f t="shared" si="578"/>
        <v>0</v>
      </c>
      <c r="HR203" s="528">
        <f t="shared" si="578"/>
        <v>0</v>
      </c>
      <c r="HS203" s="528">
        <f t="shared" si="578"/>
        <v>0</v>
      </c>
      <c r="HT203" s="528">
        <f t="shared" si="578"/>
        <v>0</v>
      </c>
      <c r="HU203" s="528">
        <f t="shared" si="578"/>
        <v>0</v>
      </c>
      <c r="HV203" s="528">
        <f t="shared" si="578"/>
        <v>0</v>
      </c>
      <c r="HW203" s="528">
        <f t="shared" si="578"/>
        <v>0</v>
      </c>
      <c r="HX203" s="528">
        <f t="shared" si="578"/>
        <v>0</v>
      </c>
      <c r="HY203" s="528">
        <f t="shared" si="578"/>
        <v>0</v>
      </c>
      <c r="HZ203" s="528">
        <f t="shared" si="578"/>
        <v>0</v>
      </c>
      <c r="IA203" s="528">
        <f t="shared" si="578"/>
        <v>0</v>
      </c>
      <c r="IB203" s="528">
        <f t="shared" si="578"/>
        <v>0</v>
      </c>
      <c r="IC203" s="528">
        <f t="shared" si="578"/>
        <v>0</v>
      </c>
      <c r="ID203" s="528">
        <f t="shared" si="578"/>
        <v>0</v>
      </c>
      <c r="IE203" s="528">
        <f t="shared" si="578"/>
        <v>0</v>
      </c>
      <c r="IF203" s="528">
        <f t="shared" si="578"/>
        <v>0</v>
      </c>
      <c r="IG203" s="528">
        <f t="shared" si="578"/>
        <v>0</v>
      </c>
      <c r="IH203" s="528">
        <f t="shared" si="578"/>
        <v>0</v>
      </c>
      <c r="II203" s="528">
        <f t="shared" si="578"/>
        <v>0</v>
      </c>
      <c r="IJ203" s="528">
        <f t="shared" si="578"/>
        <v>0</v>
      </c>
      <c r="IK203" s="528">
        <f t="shared" si="578"/>
        <v>0</v>
      </c>
      <c r="IL203" s="528">
        <f t="shared" si="578"/>
        <v>0</v>
      </c>
      <c r="IM203" s="528">
        <f t="shared" si="578"/>
        <v>0</v>
      </c>
      <c r="IN203" s="528">
        <f t="shared" ref="IN203:JX203" si="579">+-IN200+IN201</f>
        <v>0</v>
      </c>
      <c r="IO203" s="528">
        <f t="shared" si="579"/>
        <v>0</v>
      </c>
      <c r="IP203" s="528">
        <f t="shared" si="579"/>
        <v>0</v>
      </c>
      <c r="IQ203" s="528">
        <f t="shared" si="579"/>
        <v>0</v>
      </c>
      <c r="IR203" s="528">
        <f t="shared" si="579"/>
        <v>0</v>
      </c>
      <c r="IS203" s="528">
        <f t="shared" si="579"/>
        <v>0</v>
      </c>
      <c r="IT203" s="528">
        <f t="shared" si="579"/>
        <v>0</v>
      </c>
      <c r="IU203" s="528">
        <f t="shared" si="579"/>
        <v>0</v>
      </c>
      <c r="IV203" s="528">
        <f t="shared" si="579"/>
        <v>0</v>
      </c>
      <c r="IW203" s="528">
        <f t="shared" si="579"/>
        <v>0</v>
      </c>
      <c r="IX203" s="528">
        <f t="shared" si="579"/>
        <v>0</v>
      </c>
      <c r="IY203" s="528">
        <f t="shared" si="579"/>
        <v>0</v>
      </c>
      <c r="IZ203" s="528">
        <f t="shared" si="579"/>
        <v>0</v>
      </c>
      <c r="JA203" s="528">
        <f t="shared" si="579"/>
        <v>0</v>
      </c>
      <c r="JB203" s="528">
        <f t="shared" si="579"/>
        <v>0</v>
      </c>
      <c r="JC203" s="528">
        <f t="shared" si="579"/>
        <v>0</v>
      </c>
      <c r="JD203" s="528">
        <f t="shared" si="579"/>
        <v>0</v>
      </c>
      <c r="JE203" s="528">
        <f t="shared" si="579"/>
        <v>0</v>
      </c>
      <c r="JF203" s="528">
        <f t="shared" si="579"/>
        <v>0</v>
      </c>
      <c r="JG203" s="528">
        <f t="shared" si="579"/>
        <v>0</v>
      </c>
      <c r="JH203" s="528">
        <f t="shared" si="579"/>
        <v>0</v>
      </c>
      <c r="JI203" s="528">
        <f t="shared" si="579"/>
        <v>0</v>
      </c>
      <c r="JJ203" s="528">
        <f t="shared" si="579"/>
        <v>0</v>
      </c>
      <c r="JK203" s="528">
        <f t="shared" si="579"/>
        <v>0</v>
      </c>
      <c r="JL203" s="528">
        <f t="shared" si="579"/>
        <v>0</v>
      </c>
      <c r="JM203" s="528">
        <f t="shared" si="579"/>
        <v>0</v>
      </c>
      <c r="JN203" s="528">
        <f t="shared" si="579"/>
        <v>0</v>
      </c>
      <c r="JO203" s="528">
        <f t="shared" si="579"/>
        <v>0</v>
      </c>
      <c r="JP203" s="528">
        <f t="shared" si="579"/>
        <v>0</v>
      </c>
      <c r="JQ203" s="528">
        <f t="shared" si="579"/>
        <v>0</v>
      </c>
      <c r="JR203" s="528">
        <f t="shared" si="579"/>
        <v>0</v>
      </c>
      <c r="JS203" s="528">
        <f t="shared" si="579"/>
        <v>0</v>
      </c>
      <c r="JT203" s="528">
        <f t="shared" si="579"/>
        <v>0</v>
      </c>
      <c r="JU203" s="528">
        <f t="shared" si="579"/>
        <v>0</v>
      </c>
      <c r="JV203" s="528">
        <f t="shared" si="579"/>
        <v>0</v>
      </c>
      <c r="JW203" s="528">
        <f t="shared" si="579"/>
        <v>0</v>
      </c>
      <c r="JX203" s="528">
        <f t="shared" si="579"/>
        <v>0</v>
      </c>
      <c r="JY203"/>
      <c r="JZ203" s="262"/>
      <c r="KA203" s="262"/>
      <c r="KB203" s="262"/>
      <c r="KC203" s="262"/>
      <c r="KD203" s="262"/>
      <c r="KE203" s="262"/>
      <c r="KF203" s="262"/>
      <c r="KG203" s="262"/>
      <c r="KH203" s="262"/>
      <c r="KI203" s="262"/>
      <c r="KJ203" s="262"/>
      <c r="KK203" s="262"/>
      <c r="KL203" s="262"/>
      <c r="KM203" s="262"/>
      <c r="KN203" s="262"/>
      <c r="KO203" s="262"/>
      <c r="KP203" s="262"/>
      <c r="KQ203" s="262"/>
      <c r="KR203" s="262"/>
      <c r="KS203" s="262"/>
      <c r="KT203" s="262"/>
      <c r="KU203" s="262"/>
      <c r="KV203" s="262"/>
      <c r="KW203" s="262"/>
      <c r="KX203" s="262"/>
      <c r="KY203" s="262"/>
      <c r="KZ203" s="262"/>
      <c r="LA203" s="262"/>
      <c r="LB203" s="262"/>
      <c r="LC203" s="262"/>
      <c r="LD203" s="262"/>
      <c r="LE203" s="262"/>
      <c r="LF203" s="262"/>
      <c r="LG203" s="262"/>
      <c r="LH203" s="262"/>
      <c r="LI203" s="262"/>
      <c r="LJ203" s="262"/>
      <c r="LK203" s="262"/>
      <c r="LL203" s="262"/>
      <c r="LM203" s="262"/>
      <c r="LN203" s="262"/>
      <c r="LO203" s="262"/>
      <c r="LP203" s="262"/>
      <c r="LQ203" s="262"/>
      <c r="LR203" s="262"/>
      <c r="LS203" s="262"/>
      <c r="LT203" s="262"/>
      <c r="LU203" s="262"/>
      <c r="LV203" s="262"/>
      <c r="LW203" s="262"/>
      <c r="LX203" s="262"/>
      <c r="LY203" s="262"/>
      <c r="LZ203" s="262"/>
      <c r="MA203" s="262"/>
      <c r="MB203" s="262"/>
      <c r="MC203" s="262"/>
      <c r="MD203" s="262"/>
      <c r="ME203" s="262"/>
      <c r="MF203" s="262"/>
      <c r="MG203" s="262"/>
      <c r="MH203" s="262"/>
      <c r="MI203" s="262"/>
      <c r="MJ203" s="262"/>
      <c r="MK203" s="262"/>
      <c r="ML203" s="262"/>
      <c r="MM203" s="262"/>
      <c r="MN203" s="262"/>
      <c r="MO203" s="262"/>
      <c r="MP203" s="262"/>
      <c r="MQ203" s="262"/>
      <c r="MR203" s="262"/>
      <c r="MS203" s="262"/>
      <c r="MT203" s="262"/>
      <c r="MU203" s="262"/>
      <c r="MV203" s="262"/>
      <c r="MW203" s="262"/>
      <c r="MX203" s="262"/>
      <c r="MY203" s="262"/>
      <c r="MZ203" s="262"/>
      <c r="NA203" s="262"/>
      <c r="NB203" s="262"/>
      <c r="NC203" s="262"/>
      <c r="ND203" s="262"/>
      <c r="NE203" s="262"/>
      <c r="NF203" s="262"/>
      <c r="NG203" s="262"/>
      <c r="NH203" s="262"/>
      <c r="NI203" s="262"/>
      <c r="NJ203" s="262"/>
      <c r="NK203" s="262"/>
      <c r="NL203" s="262"/>
      <c r="NM203" s="262"/>
      <c r="NN203" s="262"/>
      <c r="NO203" s="262"/>
      <c r="NP203" s="262"/>
      <c r="NQ203" s="262"/>
      <c r="NR203" s="262"/>
      <c r="NS203" s="262"/>
      <c r="NT203" s="262"/>
      <c r="NU203" s="262"/>
      <c r="NV203" s="262"/>
      <c r="NW203" s="262"/>
      <c r="NX203" s="262"/>
      <c r="NY203" s="262"/>
      <c r="NZ203" s="262"/>
      <c r="OA203" s="262"/>
      <c r="OB203" s="262"/>
      <c r="OC203" s="262"/>
      <c r="OD203" s="262"/>
      <c r="OE203" s="262"/>
      <c r="OF203" s="262"/>
      <c r="OG203" s="262"/>
      <c r="OH203" s="262"/>
      <c r="OI203" s="262"/>
      <c r="OJ203" s="262"/>
      <c r="OK203" s="262"/>
      <c r="OL203" s="262"/>
      <c r="OM203" s="262"/>
      <c r="ON203" s="262"/>
      <c r="OO203" s="262"/>
      <c r="OP203" s="262"/>
      <c r="OQ203" s="262"/>
      <c r="OR203" s="262"/>
      <c r="OS203" s="262"/>
      <c r="OT203" s="262"/>
      <c r="OU203" s="262"/>
      <c r="OV203" s="262"/>
      <c r="OW203" s="262"/>
      <c r="OX203" s="262"/>
      <c r="OY203" s="262"/>
      <c r="OZ203" s="262"/>
      <c r="PA203" s="262"/>
      <c r="PB203" s="262"/>
      <c r="PC203" s="262"/>
      <c r="PD203" s="262"/>
      <c r="PE203" s="262"/>
      <c r="PF203" s="262"/>
      <c r="PG203" s="262"/>
      <c r="PH203" s="262"/>
    </row>
    <row r="204" spans="1:424" x14ac:dyDescent="0.35">
      <c r="A204"/>
      <c r="B204" s="34"/>
      <c r="C204" s="400"/>
      <c r="D204" s="400"/>
      <c r="E204" s="400"/>
      <c r="F204" s="400"/>
      <c r="G204" s="400"/>
      <c r="H204" s="400"/>
      <c r="I204" s="400"/>
      <c r="J204"/>
      <c r="K204"/>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c r="BT204" s="75"/>
      <c r="BU204" s="75"/>
      <c r="BV204" s="75"/>
      <c r="BW204" s="75"/>
      <c r="BX204" s="75"/>
      <c r="BY204" s="75"/>
      <c r="BZ204" s="75"/>
      <c r="CA204" s="75"/>
      <c r="CB204" s="75"/>
      <c r="CC204" s="75"/>
      <c r="CD204" s="75"/>
      <c r="CE204" s="75"/>
      <c r="CF204" s="75"/>
      <c r="CG204" s="75"/>
      <c r="CH204" s="75"/>
      <c r="CI204" s="75"/>
      <c r="CJ204" s="75"/>
      <c r="CK204" s="75"/>
      <c r="CL204" s="75"/>
      <c r="CM204" s="75"/>
      <c r="CN204" s="75"/>
      <c r="CO204" s="75"/>
      <c r="CP204" s="75"/>
      <c r="CQ204" s="75"/>
      <c r="CR204" s="75"/>
      <c r="CS204" s="75"/>
      <c r="CT204" s="75"/>
      <c r="CU204" s="75"/>
      <c r="CV204" s="75"/>
      <c r="CW204" s="75"/>
      <c r="CX204" s="75"/>
      <c r="CY204" s="75"/>
      <c r="CZ204" s="75"/>
      <c r="DA204" s="75"/>
      <c r="DB204" s="75"/>
      <c r="DC204" s="75"/>
      <c r="DD204" s="75"/>
      <c r="DE204" s="75"/>
      <c r="DF204" s="75"/>
      <c r="DG204" s="75"/>
      <c r="DH204" s="75"/>
      <c r="DI204" s="75"/>
      <c r="DJ204" s="75"/>
      <c r="DK204" s="75"/>
      <c r="DL204" s="75"/>
      <c r="DM204" s="75"/>
      <c r="DN204" s="75"/>
      <c r="DO204" s="75"/>
      <c r="DP204" s="75"/>
      <c r="DQ204" s="75"/>
      <c r="DR204" s="75"/>
      <c r="DS204" s="75"/>
      <c r="DT204" s="75"/>
      <c r="DU204" s="75"/>
      <c r="DV204" s="75"/>
      <c r="DW204" s="75"/>
      <c r="DX204" s="75"/>
      <c r="DY204" s="75"/>
      <c r="DZ204" s="75"/>
      <c r="EA204" s="75"/>
      <c r="EB204" s="75"/>
      <c r="EC204" s="75"/>
      <c r="ED204" s="75"/>
      <c r="EE204" s="75"/>
      <c r="EF204" s="75"/>
      <c r="EG204" s="75"/>
      <c r="EH204" s="75"/>
      <c r="EI204" s="75"/>
      <c r="EJ204" s="75"/>
      <c r="EK204" s="75"/>
      <c r="EL204" s="75"/>
      <c r="EM204" s="75"/>
      <c r="EN204" s="75"/>
      <c r="EO204"/>
      <c r="EP204" s="219"/>
      <c r="EQ204" s="18"/>
      <c r="ER204" s="18"/>
      <c r="ES204" s="18"/>
      <c r="ET204" s="18" t="s">
        <v>390</v>
      </c>
      <c r="EU204" s="18"/>
      <c r="EV204" s="418">
        <f t="shared" ref="EV204:GA204" si="580">(EV$197&lt;=Timing_Reversion_Month)*EU208</f>
        <v>0</v>
      </c>
      <c r="EW204" s="418">
        <f t="shared" si="580"/>
        <v>0</v>
      </c>
      <c r="EX204" s="418">
        <f t="shared" si="580"/>
        <v>0</v>
      </c>
      <c r="EY204" s="418">
        <f t="shared" si="580"/>
        <v>0</v>
      </c>
      <c r="EZ204" s="418">
        <f t="shared" si="580"/>
        <v>0</v>
      </c>
      <c r="FA204" s="418">
        <f t="shared" si="580"/>
        <v>0</v>
      </c>
      <c r="FB204" s="418">
        <f t="shared" si="580"/>
        <v>0</v>
      </c>
      <c r="FC204" s="418">
        <f t="shared" si="580"/>
        <v>0</v>
      </c>
      <c r="FD204" s="418">
        <f t="shared" si="580"/>
        <v>0</v>
      </c>
      <c r="FE204" s="418">
        <f t="shared" si="580"/>
        <v>0</v>
      </c>
      <c r="FF204" s="418">
        <f t="shared" si="580"/>
        <v>0</v>
      </c>
      <c r="FG204" s="418">
        <f t="shared" si="580"/>
        <v>0</v>
      </c>
      <c r="FH204" s="418">
        <f t="shared" si="580"/>
        <v>0</v>
      </c>
      <c r="FI204" s="418">
        <f t="shared" si="580"/>
        <v>0</v>
      </c>
      <c r="FJ204" s="418">
        <f t="shared" si="580"/>
        <v>0</v>
      </c>
      <c r="FK204" s="418">
        <f t="shared" si="580"/>
        <v>0</v>
      </c>
      <c r="FL204" s="418">
        <f t="shared" si="580"/>
        <v>0</v>
      </c>
      <c r="FM204" s="418">
        <f t="shared" si="580"/>
        <v>0</v>
      </c>
      <c r="FN204" s="418">
        <f t="shared" si="580"/>
        <v>0</v>
      </c>
      <c r="FO204" s="418">
        <f t="shared" si="580"/>
        <v>0</v>
      </c>
      <c r="FP204" s="418">
        <f t="shared" si="580"/>
        <v>0</v>
      </c>
      <c r="FQ204" s="418">
        <f t="shared" si="580"/>
        <v>0</v>
      </c>
      <c r="FR204" s="418">
        <f t="shared" si="580"/>
        <v>0</v>
      </c>
      <c r="FS204" s="418">
        <f t="shared" si="580"/>
        <v>0</v>
      </c>
      <c r="FT204" s="418">
        <f t="shared" si="580"/>
        <v>0</v>
      </c>
      <c r="FU204" s="418">
        <f t="shared" si="580"/>
        <v>0</v>
      </c>
      <c r="FV204" s="418">
        <f t="shared" si="580"/>
        <v>0</v>
      </c>
      <c r="FW204" s="418">
        <f t="shared" si="580"/>
        <v>0</v>
      </c>
      <c r="FX204" s="418">
        <f t="shared" si="580"/>
        <v>0</v>
      </c>
      <c r="FY204" s="418">
        <f t="shared" si="580"/>
        <v>0</v>
      </c>
      <c r="FZ204" s="418">
        <f t="shared" si="580"/>
        <v>0</v>
      </c>
      <c r="GA204" s="418">
        <f t="shared" si="580"/>
        <v>0</v>
      </c>
      <c r="GB204" s="418">
        <f t="shared" ref="GB204:HG204" si="581">(GB$197&lt;=Timing_Reversion_Month)*GA208</f>
        <v>0</v>
      </c>
      <c r="GC204" s="418">
        <f t="shared" si="581"/>
        <v>0</v>
      </c>
      <c r="GD204" s="418">
        <f t="shared" si="581"/>
        <v>0</v>
      </c>
      <c r="GE204" s="418">
        <f t="shared" si="581"/>
        <v>0</v>
      </c>
      <c r="GF204" s="418">
        <f t="shared" si="581"/>
        <v>0</v>
      </c>
      <c r="GG204" s="418">
        <f t="shared" si="581"/>
        <v>0</v>
      </c>
      <c r="GH204" s="418">
        <f t="shared" si="581"/>
        <v>0</v>
      </c>
      <c r="GI204" s="418">
        <f t="shared" si="581"/>
        <v>0</v>
      </c>
      <c r="GJ204" s="418">
        <f t="shared" si="581"/>
        <v>0</v>
      </c>
      <c r="GK204" s="418">
        <f t="shared" si="581"/>
        <v>0</v>
      </c>
      <c r="GL204" s="418">
        <f t="shared" si="581"/>
        <v>0</v>
      </c>
      <c r="GM204" s="418">
        <f t="shared" si="581"/>
        <v>0</v>
      </c>
      <c r="GN204" s="418">
        <f t="shared" si="581"/>
        <v>0</v>
      </c>
      <c r="GO204" s="418">
        <f t="shared" si="581"/>
        <v>0</v>
      </c>
      <c r="GP204" s="418">
        <f t="shared" si="581"/>
        <v>0</v>
      </c>
      <c r="GQ204" s="418">
        <f t="shared" si="581"/>
        <v>0</v>
      </c>
      <c r="GR204" s="418">
        <f t="shared" si="581"/>
        <v>0</v>
      </c>
      <c r="GS204" s="418">
        <f t="shared" si="581"/>
        <v>0</v>
      </c>
      <c r="GT204" s="418">
        <f t="shared" si="581"/>
        <v>0</v>
      </c>
      <c r="GU204" s="418">
        <f t="shared" si="581"/>
        <v>0</v>
      </c>
      <c r="GV204" s="418">
        <f t="shared" si="581"/>
        <v>0</v>
      </c>
      <c r="GW204" s="418">
        <f t="shared" si="581"/>
        <v>0</v>
      </c>
      <c r="GX204" s="418">
        <f t="shared" si="581"/>
        <v>0</v>
      </c>
      <c r="GY204" s="418">
        <f t="shared" si="581"/>
        <v>0</v>
      </c>
      <c r="GZ204" s="418">
        <f t="shared" si="581"/>
        <v>0</v>
      </c>
      <c r="HA204" s="418">
        <f t="shared" si="581"/>
        <v>0</v>
      </c>
      <c r="HB204" s="418">
        <f t="shared" si="581"/>
        <v>0</v>
      </c>
      <c r="HC204" s="418">
        <f t="shared" si="581"/>
        <v>0</v>
      </c>
      <c r="HD204" s="418">
        <f t="shared" si="581"/>
        <v>0</v>
      </c>
      <c r="HE204" s="418">
        <f t="shared" si="581"/>
        <v>0</v>
      </c>
      <c r="HF204" s="418">
        <f t="shared" si="581"/>
        <v>0</v>
      </c>
      <c r="HG204" s="418">
        <f t="shared" si="581"/>
        <v>0</v>
      </c>
      <c r="HH204" s="418">
        <f t="shared" ref="HH204:IM204" si="582">(HH$197&lt;=Timing_Reversion_Month)*HG208</f>
        <v>0</v>
      </c>
      <c r="HI204" s="418">
        <f t="shared" si="582"/>
        <v>0</v>
      </c>
      <c r="HJ204" s="418">
        <f t="shared" si="582"/>
        <v>0</v>
      </c>
      <c r="HK204" s="418">
        <f t="shared" si="582"/>
        <v>0</v>
      </c>
      <c r="HL204" s="418">
        <f t="shared" si="582"/>
        <v>0</v>
      </c>
      <c r="HM204" s="418">
        <f t="shared" si="582"/>
        <v>0</v>
      </c>
      <c r="HN204" s="418">
        <f t="shared" si="582"/>
        <v>0</v>
      </c>
      <c r="HO204" s="418">
        <f t="shared" si="582"/>
        <v>0</v>
      </c>
      <c r="HP204" s="418">
        <f t="shared" si="582"/>
        <v>0</v>
      </c>
      <c r="HQ204" s="418">
        <f t="shared" si="582"/>
        <v>0</v>
      </c>
      <c r="HR204" s="418">
        <f t="shared" si="582"/>
        <v>0</v>
      </c>
      <c r="HS204" s="418">
        <f t="shared" si="582"/>
        <v>0</v>
      </c>
      <c r="HT204" s="418">
        <f t="shared" si="582"/>
        <v>0</v>
      </c>
      <c r="HU204" s="418">
        <f t="shared" si="582"/>
        <v>0</v>
      </c>
      <c r="HV204" s="418">
        <f t="shared" si="582"/>
        <v>0</v>
      </c>
      <c r="HW204" s="418">
        <f t="shared" si="582"/>
        <v>0</v>
      </c>
      <c r="HX204" s="418">
        <f t="shared" si="582"/>
        <v>0</v>
      </c>
      <c r="HY204" s="418">
        <f t="shared" si="582"/>
        <v>0</v>
      </c>
      <c r="HZ204" s="418">
        <f t="shared" si="582"/>
        <v>0</v>
      </c>
      <c r="IA204" s="418">
        <f t="shared" si="582"/>
        <v>0</v>
      </c>
      <c r="IB204" s="418">
        <f t="shared" si="582"/>
        <v>0</v>
      </c>
      <c r="IC204" s="418">
        <f t="shared" si="582"/>
        <v>0</v>
      </c>
      <c r="ID204" s="418">
        <f t="shared" si="582"/>
        <v>0</v>
      </c>
      <c r="IE204" s="418">
        <f t="shared" si="582"/>
        <v>0</v>
      </c>
      <c r="IF204" s="418">
        <f t="shared" si="582"/>
        <v>0</v>
      </c>
      <c r="IG204" s="418">
        <f t="shared" si="582"/>
        <v>0</v>
      </c>
      <c r="IH204" s="418">
        <f t="shared" si="582"/>
        <v>0</v>
      </c>
      <c r="II204" s="418">
        <f t="shared" si="582"/>
        <v>0</v>
      </c>
      <c r="IJ204" s="418">
        <f t="shared" si="582"/>
        <v>0</v>
      </c>
      <c r="IK204" s="418">
        <f t="shared" si="582"/>
        <v>0</v>
      </c>
      <c r="IL204" s="418">
        <f t="shared" si="582"/>
        <v>0</v>
      </c>
      <c r="IM204" s="418">
        <f t="shared" si="582"/>
        <v>0</v>
      </c>
      <c r="IN204" s="418">
        <f t="shared" ref="IN204:JX204" si="583">(IN$197&lt;=Timing_Reversion_Month)*IM208</f>
        <v>0</v>
      </c>
      <c r="IO204" s="418">
        <f t="shared" si="583"/>
        <v>0</v>
      </c>
      <c r="IP204" s="418">
        <f t="shared" si="583"/>
        <v>0</v>
      </c>
      <c r="IQ204" s="418">
        <f t="shared" si="583"/>
        <v>0</v>
      </c>
      <c r="IR204" s="418">
        <f t="shared" si="583"/>
        <v>0</v>
      </c>
      <c r="IS204" s="418">
        <f t="shared" si="583"/>
        <v>0</v>
      </c>
      <c r="IT204" s="418">
        <f t="shared" si="583"/>
        <v>0</v>
      </c>
      <c r="IU204" s="418">
        <f t="shared" si="583"/>
        <v>0</v>
      </c>
      <c r="IV204" s="418">
        <f t="shared" si="583"/>
        <v>0</v>
      </c>
      <c r="IW204" s="418">
        <f t="shared" si="583"/>
        <v>0</v>
      </c>
      <c r="IX204" s="418">
        <f t="shared" si="583"/>
        <v>0</v>
      </c>
      <c r="IY204" s="418">
        <f t="shared" si="583"/>
        <v>0</v>
      </c>
      <c r="IZ204" s="418">
        <f t="shared" si="583"/>
        <v>0</v>
      </c>
      <c r="JA204" s="418">
        <f t="shared" si="583"/>
        <v>0</v>
      </c>
      <c r="JB204" s="418">
        <f t="shared" si="583"/>
        <v>0</v>
      </c>
      <c r="JC204" s="418">
        <f t="shared" si="583"/>
        <v>0</v>
      </c>
      <c r="JD204" s="418">
        <f t="shared" si="583"/>
        <v>0</v>
      </c>
      <c r="JE204" s="418">
        <f t="shared" si="583"/>
        <v>0</v>
      </c>
      <c r="JF204" s="418">
        <f t="shared" si="583"/>
        <v>0</v>
      </c>
      <c r="JG204" s="418">
        <f t="shared" si="583"/>
        <v>0</v>
      </c>
      <c r="JH204" s="418">
        <f t="shared" si="583"/>
        <v>0</v>
      </c>
      <c r="JI204" s="418">
        <f t="shared" si="583"/>
        <v>0</v>
      </c>
      <c r="JJ204" s="418">
        <f t="shared" si="583"/>
        <v>0</v>
      </c>
      <c r="JK204" s="418">
        <f t="shared" si="583"/>
        <v>0</v>
      </c>
      <c r="JL204" s="418">
        <f t="shared" si="583"/>
        <v>0</v>
      </c>
      <c r="JM204" s="418">
        <f t="shared" si="583"/>
        <v>0</v>
      </c>
      <c r="JN204" s="418">
        <f t="shared" si="583"/>
        <v>0</v>
      </c>
      <c r="JO204" s="418">
        <f t="shared" si="583"/>
        <v>0</v>
      </c>
      <c r="JP204" s="418">
        <f t="shared" si="583"/>
        <v>0</v>
      </c>
      <c r="JQ204" s="418">
        <f t="shared" si="583"/>
        <v>0</v>
      </c>
      <c r="JR204" s="418">
        <f t="shared" si="583"/>
        <v>0</v>
      </c>
      <c r="JS204" s="418">
        <f t="shared" si="583"/>
        <v>0</v>
      </c>
      <c r="JT204" s="418">
        <f t="shared" si="583"/>
        <v>0</v>
      </c>
      <c r="JU204" s="418">
        <f t="shared" si="583"/>
        <v>0</v>
      </c>
      <c r="JV204" s="418">
        <f t="shared" si="583"/>
        <v>0</v>
      </c>
      <c r="JW204" s="418">
        <f t="shared" si="583"/>
        <v>0</v>
      </c>
      <c r="JX204" s="418">
        <f t="shared" si="583"/>
        <v>0</v>
      </c>
      <c r="JY204"/>
      <c r="JZ204" s="262"/>
      <c r="KA204" s="262"/>
      <c r="KB204" s="262"/>
      <c r="KC204" s="262"/>
      <c r="KD204" s="262"/>
      <c r="KE204" s="262"/>
      <c r="KF204" s="262"/>
      <c r="KG204" s="262"/>
      <c r="KH204" s="262"/>
      <c r="KI204" s="262"/>
      <c r="KJ204" s="262"/>
      <c r="KK204" s="262"/>
      <c r="KL204" s="262"/>
      <c r="KM204" s="262"/>
      <c r="KN204" s="262"/>
      <c r="KO204" s="262"/>
      <c r="KP204" s="262"/>
      <c r="KQ204" s="262"/>
      <c r="KR204" s="262"/>
      <c r="KS204" s="262"/>
      <c r="KT204" s="262"/>
      <c r="KU204" s="262"/>
      <c r="KV204" s="262"/>
      <c r="KW204" s="262"/>
      <c r="KX204" s="262"/>
      <c r="KY204" s="262"/>
      <c r="KZ204" s="262"/>
      <c r="LA204" s="262"/>
      <c r="LB204" s="262"/>
      <c r="LC204" s="262"/>
      <c r="LD204" s="262"/>
      <c r="LE204" s="262"/>
      <c r="LF204" s="262"/>
      <c r="LG204" s="262"/>
      <c r="LH204" s="262"/>
      <c r="LI204" s="262"/>
      <c r="LJ204" s="262"/>
      <c r="LK204" s="262"/>
      <c r="LL204" s="262"/>
      <c r="LM204" s="262"/>
      <c r="LN204" s="262"/>
      <c r="LO204" s="262"/>
      <c r="LP204" s="262"/>
      <c r="LQ204" s="262"/>
      <c r="LR204" s="262"/>
      <c r="LS204" s="262"/>
      <c r="LT204" s="262"/>
      <c r="LU204" s="262"/>
      <c r="LV204" s="262"/>
      <c r="LW204" s="262"/>
      <c r="LX204" s="262"/>
      <c r="LY204" s="262"/>
      <c r="LZ204" s="262"/>
      <c r="MA204" s="262"/>
      <c r="MB204" s="262"/>
      <c r="MC204" s="262"/>
      <c r="MD204" s="262"/>
      <c r="ME204" s="262"/>
      <c r="MF204" s="262"/>
      <c r="MG204" s="262"/>
      <c r="MH204" s="262"/>
      <c r="MI204" s="262"/>
      <c r="MJ204" s="262"/>
      <c r="MK204" s="262"/>
      <c r="ML204" s="262"/>
      <c r="MM204" s="262"/>
      <c r="MN204" s="262"/>
      <c r="MO204" s="262"/>
      <c r="MP204" s="262"/>
      <c r="MQ204" s="262"/>
      <c r="MR204" s="262"/>
      <c r="MS204" s="262"/>
      <c r="MT204" s="262"/>
      <c r="MU204" s="262"/>
      <c r="MV204" s="262"/>
      <c r="MW204" s="262"/>
      <c r="MX204" s="262"/>
      <c r="MY204" s="262"/>
      <c r="MZ204" s="262"/>
      <c r="NA204" s="262"/>
      <c r="NB204" s="262"/>
      <c r="NC204" s="262"/>
      <c r="ND204" s="262"/>
      <c r="NE204" s="262"/>
      <c r="NF204" s="262"/>
      <c r="NG204" s="262"/>
      <c r="NH204" s="262"/>
      <c r="NI204" s="262"/>
      <c r="NJ204" s="262"/>
      <c r="NK204" s="262"/>
      <c r="NL204" s="262"/>
      <c r="NM204" s="262"/>
      <c r="NN204" s="262"/>
      <c r="NO204" s="262"/>
      <c r="NP204" s="262"/>
      <c r="NQ204" s="262"/>
      <c r="NR204" s="262"/>
      <c r="NS204" s="262"/>
      <c r="NT204" s="262"/>
      <c r="NU204" s="262"/>
      <c r="NV204" s="262"/>
      <c r="NW204" s="262"/>
      <c r="NX204" s="262"/>
      <c r="NY204" s="262"/>
      <c r="NZ204" s="262"/>
      <c r="OA204" s="262"/>
      <c r="OB204" s="262"/>
      <c r="OC204" s="262"/>
      <c r="OD204" s="262"/>
      <c r="OE204" s="262"/>
      <c r="OF204" s="262"/>
      <c r="OG204" s="262"/>
      <c r="OH204" s="262"/>
      <c r="OI204" s="262"/>
      <c r="OJ204" s="262"/>
      <c r="OK204" s="262"/>
      <c r="OL204" s="262"/>
      <c r="OM204" s="262"/>
      <c r="ON204" s="262"/>
      <c r="OO204" s="262"/>
      <c r="OP204" s="262"/>
      <c r="OQ204" s="262"/>
      <c r="OR204" s="262"/>
      <c r="OS204" s="262"/>
      <c r="OT204" s="262"/>
      <c r="OU204" s="262"/>
      <c r="OV204" s="262"/>
      <c r="OW204" s="262"/>
      <c r="OX204" s="262"/>
      <c r="OY204" s="262"/>
      <c r="OZ204" s="262"/>
      <c r="PA204" s="262"/>
      <c r="PB204" s="262"/>
      <c r="PC204" s="262"/>
      <c r="PD204" s="262"/>
      <c r="PE204" s="262"/>
      <c r="PF204" s="262"/>
      <c r="PG204" s="262"/>
      <c r="PH204" s="262"/>
    </row>
    <row r="205" spans="1:424" x14ac:dyDescent="0.35">
      <c r="A205"/>
      <c r="B205" s="34" t="s">
        <v>366</v>
      </c>
      <c r="C205" s="400"/>
      <c r="D205" s="400"/>
      <c r="E205" s="400"/>
      <c r="F205" s="400"/>
      <c r="G205" s="400"/>
      <c r="H205" s="40"/>
      <c r="I205" s="445">
        <f>SUM(L205:EN205)</f>
        <v>707935051.93010986</v>
      </c>
      <c r="J205"/>
      <c r="K205"/>
      <c r="L205" s="417">
        <f t="shared" ref="L205:AQ205" si="584">IF(L194="","",(L194=Timing_Reversion_Month)*$E$190)</f>
        <v>0</v>
      </c>
      <c r="M205" s="417">
        <f t="shared" si="584"/>
        <v>0</v>
      </c>
      <c r="N205" s="417">
        <f t="shared" si="584"/>
        <v>0</v>
      </c>
      <c r="O205" s="417">
        <f t="shared" si="584"/>
        <v>0</v>
      </c>
      <c r="P205" s="417">
        <f t="shared" si="584"/>
        <v>0</v>
      </c>
      <c r="Q205" s="417">
        <f t="shared" si="584"/>
        <v>0</v>
      </c>
      <c r="R205" s="417">
        <f t="shared" si="584"/>
        <v>0</v>
      </c>
      <c r="S205" s="417">
        <f t="shared" si="584"/>
        <v>0</v>
      </c>
      <c r="T205" s="417">
        <f t="shared" si="584"/>
        <v>0</v>
      </c>
      <c r="U205" s="417">
        <f t="shared" si="584"/>
        <v>0</v>
      </c>
      <c r="V205" s="417">
        <f t="shared" si="584"/>
        <v>0</v>
      </c>
      <c r="W205" s="417">
        <f t="shared" si="584"/>
        <v>0</v>
      </c>
      <c r="X205" s="417">
        <f t="shared" si="584"/>
        <v>0</v>
      </c>
      <c r="Y205" s="417">
        <f t="shared" si="584"/>
        <v>0</v>
      </c>
      <c r="Z205" s="417">
        <f t="shared" si="584"/>
        <v>0</v>
      </c>
      <c r="AA205" s="417">
        <f t="shared" si="584"/>
        <v>0</v>
      </c>
      <c r="AB205" s="417">
        <f t="shared" si="584"/>
        <v>0</v>
      </c>
      <c r="AC205" s="417">
        <f t="shared" si="584"/>
        <v>0</v>
      </c>
      <c r="AD205" s="417">
        <f t="shared" si="584"/>
        <v>0</v>
      </c>
      <c r="AE205" s="417">
        <f t="shared" si="584"/>
        <v>0</v>
      </c>
      <c r="AF205" s="417">
        <f t="shared" si="584"/>
        <v>0</v>
      </c>
      <c r="AG205" s="417">
        <f t="shared" si="584"/>
        <v>0</v>
      </c>
      <c r="AH205" s="417">
        <f t="shared" si="584"/>
        <v>0</v>
      </c>
      <c r="AI205" s="417">
        <f t="shared" si="584"/>
        <v>0</v>
      </c>
      <c r="AJ205" s="417">
        <f t="shared" si="584"/>
        <v>0</v>
      </c>
      <c r="AK205" s="417">
        <f t="shared" si="584"/>
        <v>0</v>
      </c>
      <c r="AL205" s="417">
        <f t="shared" si="584"/>
        <v>0</v>
      </c>
      <c r="AM205" s="417">
        <f t="shared" si="584"/>
        <v>0</v>
      </c>
      <c r="AN205" s="417">
        <f t="shared" si="584"/>
        <v>0</v>
      </c>
      <c r="AO205" s="417">
        <f t="shared" si="584"/>
        <v>0</v>
      </c>
      <c r="AP205" s="417">
        <f t="shared" si="584"/>
        <v>0</v>
      </c>
      <c r="AQ205" s="417">
        <f t="shared" si="584"/>
        <v>0</v>
      </c>
      <c r="AR205" s="417">
        <f t="shared" ref="AR205:BW205" si="585">IF(AR194="","",(AR194=Timing_Reversion_Month)*$E$190)</f>
        <v>0</v>
      </c>
      <c r="AS205" s="417">
        <f t="shared" si="585"/>
        <v>0</v>
      </c>
      <c r="AT205" s="417">
        <f t="shared" si="585"/>
        <v>0</v>
      </c>
      <c r="AU205" s="417">
        <f t="shared" si="585"/>
        <v>0</v>
      </c>
      <c r="AV205" s="417">
        <f t="shared" si="585"/>
        <v>0</v>
      </c>
      <c r="AW205" s="417">
        <f t="shared" si="585"/>
        <v>0</v>
      </c>
      <c r="AX205" s="417">
        <f t="shared" si="585"/>
        <v>0</v>
      </c>
      <c r="AY205" s="417">
        <f t="shared" si="585"/>
        <v>0</v>
      </c>
      <c r="AZ205" s="417">
        <f t="shared" si="585"/>
        <v>0</v>
      </c>
      <c r="BA205" s="417">
        <f t="shared" si="585"/>
        <v>0</v>
      </c>
      <c r="BB205" s="417">
        <f t="shared" si="585"/>
        <v>0</v>
      </c>
      <c r="BC205" s="417">
        <f t="shared" si="585"/>
        <v>0</v>
      </c>
      <c r="BD205" s="75">
        <f t="shared" si="585"/>
        <v>0</v>
      </c>
      <c r="BE205" s="75">
        <f t="shared" si="585"/>
        <v>0</v>
      </c>
      <c r="BF205" s="75">
        <f t="shared" si="585"/>
        <v>0</v>
      </c>
      <c r="BG205" s="75">
        <f t="shared" si="585"/>
        <v>0</v>
      </c>
      <c r="BH205" s="75">
        <f t="shared" si="585"/>
        <v>0</v>
      </c>
      <c r="BI205" s="75">
        <f t="shared" si="585"/>
        <v>0</v>
      </c>
      <c r="BJ205" s="75">
        <f t="shared" si="585"/>
        <v>0</v>
      </c>
      <c r="BK205" s="75">
        <f t="shared" si="585"/>
        <v>0</v>
      </c>
      <c r="BL205" s="75">
        <f t="shared" si="585"/>
        <v>0</v>
      </c>
      <c r="BM205" s="75">
        <f t="shared" si="585"/>
        <v>0</v>
      </c>
      <c r="BN205" s="75">
        <f t="shared" si="585"/>
        <v>0</v>
      </c>
      <c r="BO205" s="75">
        <f t="shared" si="585"/>
        <v>0</v>
      </c>
      <c r="BP205" s="75">
        <f t="shared" si="585"/>
        <v>0</v>
      </c>
      <c r="BQ205" s="75">
        <f t="shared" si="585"/>
        <v>0</v>
      </c>
      <c r="BR205" s="75">
        <f t="shared" si="585"/>
        <v>0</v>
      </c>
      <c r="BS205" s="75">
        <f t="shared" si="585"/>
        <v>0</v>
      </c>
      <c r="BT205" s="75">
        <f t="shared" si="585"/>
        <v>0</v>
      </c>
      <c r="BU205" s="75">
        <f t="shared" si="585"/>
        <v>707935051.93010986</v>
      </c>
      <c r="BV205" s="75" t="str">
        <f t="shared" si="585"/>
        <v/>
      </c>
      <c r="BW205" s="75" t="str">
        <f t="shared" si="585"/>
        <v/>
      </c>
      <c r="BX205" s="75" t="str">
        <f t="shared" ref="BX205:DC205" si="586">IF(BX194="","",(BX194=Timing_Reversion_Month)*$E$190)</f>
        <v/>
      </c>
      <c r="BY205" s="75" t="str">
        <f t="shared" si="586"/>
        <v/>
      </c>
      <c r="BZ205" s="75" t="str">
        <f t="shared" si="586"/>
        <v/>
      </c>
      <c r="CA205" s="75" t="str">
        <f t="shared" si="586"/>
        <v/>
      </c>
      <c r="CB205" s="75" t="str">
        <f t="shared" si="586"/>
        <v/>
      </c>
      <c r="CC205" s="75" t="str">
        <f t="shared" si="586"/>
        <v/>
      </c>
      <c r="CD205" s="75" t="str">
        <f t="shared" si="586"/>
        <v/>
      </c>
      <c r="CE205" s="75" t="str">
        <f t="shared" si="586"/>
        <v/>
      </c>
      <c r="CF205" s="75" t="str">
        <f t="shared" si="586"/>
        <v/>
      </c>
      <c r="CG205" s="75" t="str">
        <f t="shared" si="586"/>
        <v/>
      </c>
      <c r="CH205" s="75" t="str">
        <f t="shared" si="586"/>
        <v/>
      </c>
      <c r="CI205" s="75" t="str">
        <f t="shared" si="586"/>
        <v/>
      </c>
      <c r="CJ205" s="75" t="str">
        <f t="shared" si="586"/>
        <v/>
      </c>
      <c r="CK205" s="75" t="str">
        <f t="shared" si="586"/>
        <v/>
      </c>
      <c r="CL205" s="75" t="str">
        <f t="shared" si="586"/>
        <v/>
      </c>
      <c r="CM205" s="75" t="str">
        <f t="shared" si="586"/>
        <v/>
      </c>
      <c r="CN205" s="75" t="str">
        <f t="shared" si="586"/>
        <v/>
      </c>
      <c r="CO205" s="75" t="str">
        <f t="shared" si="586"/>
        <v/>
      </c>
      <c r="CP205" s="75" t="str">
        <f t="shared" si="586"/>
        <v/>
      </c>
      <c r="CQ205" s="75" t="str">
        <f t="shared" si="586"/>
        <v/>
      </c>
      <c r="CR205" s="75" t="str">
        <f t="shared" si="586"/>
        <v/>
      </c>
      <c r="CS205" s="75" t="str">
        <f t="shared" si="586"/>
        <v/>
      </c>
      <c r="CT205" s="75" t="str">
        <f t="shared" si="586"/>
        <v/>
      </c>
      <c r="CU205" s="75" t="str">
        <f t="shared" si="586"/>
        <v/>
      </c>
      <c r="CV205" s="75" t="str">
        <f t="shared" si="586"/>
        <v/>
      </c>
      <c r="CW205" s="75" t="str">
        <f t="shared" si="586"/>
        <v/>
      </c>
      <c r="CX205" s="75" t="str">
        <f t="shared" si="586"/>
        <v/>
      </c>
      <c r="CY205" s="75" t="str">
        <f t="shared" si="586"/>
        <v/>
      </c>
      <c r="CZ205" s="75" t="str">
        <f t="shared" si="586"/>
        <v/>
      </c>
      <c r="DA205" s="75" t="str">
        <f t="shared" si="586"/>
        <v/>
      </c>
      <c r="DB205" s="75" t="str">
        <f t="shared" si="586"/>
        <v/>
      </c>
      <c r="DC205" s="75" t="str">
        <f t="shared" si="586"/>
        <v/>
      </c>
      <c r="DD205" s="75" t="str">
        <f t="shared" ref="DD205:EN205" si="587">IF(DD194="","",(DD194=Timing_Reversion_Month)*$E$190)</f>
        <v/>
      </c>
      <c r="DE205" s="75" t="str">
        <f t="shared" si="587"/>
        <v/>
      </c>
      <c r="DF205" s="75" t="str">
        <f t="shared" si="587"/>
        <v/>
      </c>
      <c r="DG205" s="75" t="str">
        <f t="shared" si="587"/>
        <v/>
      </c>
      <c r="DH205" s="75" t="str">
        <f t="shared" si="587"/>
        <v/>
      </c>
      <c r="DI205" s="75" t="str">
        <f t="shared" si="587"/>
        <v/>
      </c>
      <c r="DJ205" s="75" t="str">
        <f t="shared" si="587"/>
        <v/>
      </c>
      <c r="DK205" s="75" t="str">
        <f t="shared" si="587"/>
        <v/>
      </c>
      <c r="DL205" s="75" t="str">
        <f t="shared" si="587"/>
        <v/>
      </c>
      <c r="DM205" s="75" t="str">
        <f t="shared" si="587"/>
        <v/>
      </c>
      <c r="DN205" s="75" t="str">
        <f t="shared" si="587"/>
        <v/>
      </c>
      <c r="DO205" s="75" t="str">
        <f t="shared" si="587"/>
        <v/>
      </c>
      <c r="DP205" s="75" t="str">
        <f t="shared" si="587"/>
        <v/>
      </c>
      <c r="DQ205" s="75" t="str">
        <f t="shared" si="587"/>
        <v/>
      </c>
      <c r="DR205" s="75" t="str">
        <f t="shared" si="587"/>
        <v/>
      </c>
      <c r="DS205" s="75" t="str">
        <f t="shared" si="587"/>
        <v/>
      </c>
      <c r="DT205" s="75" t="str">
        <f t="shared" si="587"/>
        <v/>
      </c>
      <c r="DU205" s="75" t="str">
        <f t="shared" si="587"/>
        <v/>
      </c>
      <c r="DV205" s="75" t="str">
        <f t="shared" si="587"/>
        <v/>
      </c>
      <c r="DW205" s="75" t="str">
        <f t="shared" si="587"/>
        <v/>
      </c>
      <c r="DX205" s="75" t="str">
        <f t="shared" si="587"/>
        <v/>
      </c>
      <c r="DY205" s="75" t="str">
        <f t="shared" si="587"/>
        <v/>
      </c>
      <c r="DZ205" s="75" t="str">
        <f t="shared" si="587"/>
        <v/>
      </c>
      <c r="EA205" s="75" t="str">
        <f t="shared" si="587"/>
        <v/>
      </c>
      <c r="EB205" s="75" t="str">
        <f t="shared" si="587"/>
        <v/>
      </c>
      <c r="EC205" s="75" t="str">
        <f t="shared" si="587"/>
        <v/>
      </c>
      <c r="ED205" s="75" t="str">
        <f t="shared" si="587"/>
        <v/>
      </c>
      <c r="EE205" s="75" t="str">
        <f t="shared" si="587"/>
        <v/>
      </c>
      <c r="EF205" s="75" t="str">
        <f t="shared" si="587"/>
        <v/>
      </c>
      <c r="EG205" s="75" t="str">
        <f t="shared" si="587"/>
        <v/>
      </c>
      <c r="EH205" s="75" t="str">
        <f t="shared" si="587"/>
        <v/>
      </c>
      <c r="EI205" s="75" t="str">
        <f t="shared" si="587"/>
        <v/>
      </c>
      <c r="EJ205" s="75" t="str">
        <f t="shared" si="587"/>
        <v/>
      </c>
      <c r="EK205" s="75" t="str">
        <f t="shared" si="587"/>
        <v/>
      </c>
      <c r="EL205" s="75" t="str">
        <f t="shared" si="587"/>
        <v/>
      </c>
      <c r="EM205" s="75" t="str">
        <f t="shared" si="587"/>
        <v/>
      </c>
      <c r="EN205" s="75" t="str">
        <f t="shared" si="587"/>
        <v/>
      </c>
      <c r="EO205"/>
      <c r="EP205" s="219"/>
      <c r="EQ205" s="18"/>
      <c r="ER205" s="18"/>
      <c r="ES205" s="18"/>
      <c r="ET205" s="18" t="s">
        <v>391</v>
      </c>
      <c r="EU205" s="18"/>
      <c r="EV205" s="418">
        <f t="shared" ref="EV205:GA205" si="588">(EV$197&lt;=Timing_Reversion_Month)*(EV204*((1+$EP200)^(1/12)-1))</f>
        <v>0</v>
      </c>
      <c r="EW205" s="418">
        <f t="shared" si="588"/>
        <v>0</v>
      </c>
      <c r="EX205" s="418">
        <f t="shared" si="588"/>
        <v>0</v>
      </c>
      <c r="EY205" s="418">
        <f t="shared" si="588"/>
        <v>0</v>
      </c>
      <c r="EZ205" s="418">
        <f t="shared" si="588"/>
        <v>0</v>
      </c>
      <c r="FA205" s="418">
        <f t="shared" si="588"/>
        <v>0</v>
      </c>
      <c r="FB205" s="418">
        <f t="shared" si="588"/>
        <v>0</v>
      </c>
      <c r="FC205" s="418">
        <f t="shared" si="588"/>
        <v>0</v>
      </c>
      <c r="FD205" s="418">
        <f t="shared" si="588"/>
        <v>0</v>
      </c>
      <c r="FE205" s="418">
        <f t="shared" si="588"/>
        <v>0</v>
      </c>
      <c r="FF205" s="418">
        <f t="shared" si="588"/>
        <v>0</v>
      </c>
      <c r="FG205" s="418">
        <f t="shared" si="588"/>
        <v>0</v>
      </c>
      <c r="FH205" s="418">
        <f t="shared" si="588"/>
        <v>0</v>
      </c>
      <c r="FI205" s="418">
        <f t="shared" si="588"/>
        <v>0</v>
      </c>
      <c r="FJ205" s="418">
        <f t="shared" si="588"/>
        <v>0</v>
      </c>
      <c r="FK205" s="418">
        <f t="shared" si="588"/>
        <v>0</v>
      </c>
      <c r="FL205" s="418">
        <f t="shared" si="588"/>
        <v>0</v>
      </c>
      <c r="FM205" s="418">
        <f t="shared" si="588"/>
        <v>0</v>
      </c>
      <c r="FN205" s="418">
        <f t="shared" si="588"/>
        <v>0</v>
      </c>
      <c r="FO205" s="418">
        <f t="shared" si="588"/>
        <v>0</v>
      </c>
      <c r="FP205" s="418">
        <f t="shared" si="588"/>
        <v>0</v>
      </c>
      <c r="FQ205" s="418">
        <f t="shared" si="588"/>
        <v>0</v>
      </c>
      <c r="FR205" s="418">
        <f t="shared" si="588"/>
        <v>0</v>
      </c>
      <c r="FS205" s="418">
        <f t="shared" si="588"/>
        <v>0</v>
      </c>
      <c r="FT205" s="418">
        <f t="shared" si="588"/>
        <v>0</v>
      </c>
      <c r="FU205" s="418">
        <f t="shared" si="588"/>
        <v>0</v>
      </c>
      <c r="FV205" s="418">
        <f t="shared" si="588"/>
        <v>0</v>
      </c>
      <c r="FW205" s="418">
        <f t="shared" si="588"/>
        <v>0</v>
      </c>
      <c r="FX205" s="418">
        <f t="shared" si="588"/>
        <v>0</v>
      </c>
      <c r="FY205" s="418">
        <f t="shared" si="588"/>
        <v>0</v>
      </c>
      <c r="FZ205" s="418">
        <f t="shared" si="588"/>
        <v>0</v>
      </c>
      <c r="GA205" s="418">
        <f t="shared" si="588"/>
        <v>0</v>
      </c>
      <c r="GB205" s="418">
        <f t="shared" ref="GB205:HG205" si="589">(GB$197&lt;=Timing_Reversion_Month)*(GB204*((1+$EP200)^(1/12)-1))</f>
        <v>0</v>
      </c>
      <c r="GC205" s="418">
        <f t="shared" si="589"/>
        <v>0</v>
      </c>
      <c r="GD205" s="418">
        <f t="shared" si="589"/>
        <v>0</v>
      </c>
      <c r="GE205" s="418">
        <f t="shared" si="589"/>
        <v>0</v>
      </c>
      <c r="GF205" s="418">
        <f t="shared" si="589"/>
        <v>0</v>
      </c>
      <c r="GG205" s="418">
        <f t="shared" si="589"/>
        <v>0</v>
      </c>
      <c r="GH205" s="418">
        <f t="shared" si="589"/>
        <v>0</v>
      </c>
      <c r="GI205" s="418">
        <f t="shared" si="589"/>
        <v>0</v>
      </c>
      <c r="GJ205" s="418">
        <f t="shared" si="589"/>
        <v>0</v>
      </c>
      <c r="GK205" s="418">
        <f t="shared" si="589"/>
        <v>0</v>
      </c>
      <c r="GL205" s="418">
        <f t="shared" si="589"/>
        <v>0</v>
      </c>
      <c r="GM205" s="418">
        <f t="shared" si="589"/>
        <v>0</v>
      </c>
      <c r="GN205" s="418">
        <f t="shared" si="589"/>
        <v>0</v>
      </c>
      <c r="GO205" s="418">
        <f t="shared" si="589"/>
        <v>0</v>
      </c>
      <c r="GP205" s="418">
        <f t="shared" si="589"/>
        <v>0</v>
      </c>
      <c r="GQ205" s="418">
        <f t="shared" si="589"/>
        <v>0</v>
      </c>
      <c r="GR205" s="418">
        <f t="shared" si="589"/>
        <v>0</v>
      </c>
      <c r="GS205" s="418">
        <f t="shared" si="589"/>
        <v>0</v>
      </c>
      <c r="GT205" s="418">
        <f t="shared" si="589"/>
        <v>0</v>
      </c>
      <c r="GU205" s="418">
        <f t="shared" si="589"/>
        <v>0</v>
      </c>
      <c r="GV205" s="418">
        <f t="shared" si="589"/>
        <v>0</v>
      </c>
      <c r="GW205" s="418">
        <f t="shared" si="589"/>
        <v>0</v>
      </c>
      <c r="GX205" s="418">
        <f t="shared" si="589"/>
        <v>0</v>
      </c>
      <c r="GY205" s="418">
        <f t="shared" si="589"/>
        <v>0</v>
      </c>
      <c r="GZ205" s="418">
        <f t="shared" si="589"/>
        <v>0</v>
      </c>
      <c r="HA205" s="418">
        <f t="shared" si="589"/>
        <v>0</v>
      </c>
      <c r="HB205" s="418">
        <f t="shared" si="589"/>
        <v>0</v>
      </c>
      <c r="HC205" s="418">
        <f t="shared" si="589"/>
        <v>0</v>
      </c>
      <c r="HD205" s="418">
        <f t="shared" si="589"/>
        <v>0</v>
      </c>
      <c r="HE205" s="418">
        <f t="shared" si="589"/>
        <v>0</v>
      </c>
      <c r="HF205" s="418">
        <f t="shared" si="589"/>
        <v>0</v>
      </c>
      <c r="HG205" s="418">
        <f t="shared" si="589"/>
        <v>0</v>
      </c>
      <c r="HH205" s="418">
        <f t="shared" ref="HH205:IM205" si="590">(HH$197&lt;=Timing_Reversion_Month)*(HH204*((1+$EP200)^(1/12)-1))</f>
        <v>0</v>
      </c>
      <c r="HI205" s="418">
        <f t="shared" si="590"/>
        <v>0</v>
      </c>
      <c r="HJ205" s="418">
        <f t="shared" si="590"/>
        <v>0</v>
      </c>
      <c r="HK205" s="418">
        <f t="shared" si="590"/>
        <v>0</v>
      </c>
      <c r="HL205" s="418">
        <f t="shared" si="590"/>
        <v>0</v>
      </c>
      <c r="HM205" s="418">
        <f t="shared" si="590"/>
        <v>0</v>
      </c>
      <c r="HN205" s="418">
        <f t="shared" si="590"/>
        <v>0</v>
      </c>
      <c r="HO205" s="418">
        <f t="shared" si="590"/>
        <v>0</v>
      </c>
      <c r="HP205" s="418">
        <f t="shared" si="590"/>
        <v>0</v>
      </c>
      <c r="HQ205" s="418">
        <f t="shared" si="590"/>
        <v>0</v>
      </c>
      <c r="HR205" s="418">
        <f t="shared" si="590"/>
        <v>0</v>
      </c>
      <c r="HS205" s="418">
        <f t="shared" si="590"/>
        <v>0</v>
      </c>
      <c r="HT205" s="418">
        <f t="shared" si="590"/>
        <v>0</v>
      </c>
      <c r="HU205" s="418">
        <f t="shared" si="590"/>
        <v>0</v>
      </c>
      <c r="HV205" s="418">
        <f t="shared" si="590"/>
        <v>0</v>
      </c>
      <c r="HW205" s="418">
        <f t="shared" si="590"/>
        <v>0</v>
      </c>
      <c r="HX205" s="418">
        <f t="shared" si="590"/>
        <v>0</v>
      </c>
      <c r="HY205" s="418">
        <f t="shared" si="590"/>
        <v>0</v>
      </c>
      <c r="HZ205" s="418">
        <f t="shared" si="590"/>
        <v>0</v>
      </c>
      <c r="IA205" s="418">
        <f t="shared" si="590"/>
        <v>0</v>
      </c>
      <c r="IB205" s="418">
        <f t="shared" si="590"/>
        <v>0</v>
      </c>
      <c r="IC205" s="418">
        <f t="shared" si="590"/>
        <v>0</v>
      </c>
      <c r="ID205" s="418">
        <f t="shared" si="590"/>
        <v>0</v>
      </c>
      <c r="IE205" s="418">
        <f t="shared" si="590"/>
        <v>0</v>
      </c>
      <c r="IF205" s="418">
        <f t="shared" si="590"/>
        <v>0</v>
      </c>
      <c r="IG205" s="418">
        <f t="shared" si="590"/>
        <v>0</v>
      </c>
      <c r="IH205" s="418">
        <f t="shared" si="590"/>
        <v>0</v>
      </c>
      <c r="II205" s="418">
        <f t="shared" si="590"/>
        <v>0</v>
      </c>
      <c r="IJ205" s="418">
        <f t="shared" si="590"/>
        <v>0</v>
      </c>
      <c r="IK205" s="418">
        <f t="shared" si="590"/>
        <v>0</v>
      </c>
      <c r="IL205" s="418">
        <f t="shared" si="590"/>
        <v>0</v>
      </c>
      <c r="IM205" s="418">
        <f t="shared" si="590"/>
        <v>0</v>
      </c>
      <c r="IN205" s="418">
        <f t="shared" ref="IN205:JS205" si="591">(IN$197&lt;=Timing_Reversion_Month)*(IN204*((1+$EP200)^(1/12)-1))</f>
        <v>0</v>
      </c>
      <c r="IO205" s="418">
        <f t="shared" si="591"/>
        <v>0</v>
      </c>
      <c r="IP205" s="418">
        <f t="shared" si="591"/>
        <v>0</v>
      </c>
      <c r="IQ205" s="418">
        <f t="shared" si="591"/>
        <v>0</v>
      </c>
      <c r="IR205" s="418">
        <f t="shared" si="591"/>
        <v>0</v>
      </c>
      <c r="IS205" s="418">
        <f t="shared" si="591"/>
        <v>0</v>
      </c>
      <c r="IT205" s="418">
        <f t="shared" si="591"/>
        <v>0</v>
      </c>
      <c r="IU205" s="418">
        <f t="shared" si="591"/>
        <v>0</v>
      </c>
      <c r="IV205" s="418">
        <f t="shared" si="591"/>
        <v>0</v>
      </c>
      <c r="IW205" s="418">
        <f t="shared" si="591"/>
        <v>0</v>
      </c>
      <c r="IX205" s="418">
        <f t="shared" si="591"/>
        <v>0</v>
      </c>
      <c r="IY205" s="418">
        <f t="shared" si="591"/>
        <v>0</v>
      </c>
      <c r="IZ205" s="418">
        <f t="shared" si="591"/>
        <v>0</v>
      </c>
      <c r="JA205" s="418">
        <f t="shared" si="591"/>
        <v>0</v>
      </c>
      <c r="JB205" s="418">
        <f t="shared" si="591"/>
        <v>0</v>
      </c>
      <c r="JC205" s="418">
        <f t="shared" si="591"/>
        <v>0</v>
      </c>
      <c r="JD205" s="418">
        <f t="shared" si="591"/>
        <v>0</v>
      </c>
      <c r="JE205" s="418">
        <f t="shared" si="591"/>
        <v>0</v>
      </c>
      <c r="JF205" s="418">
        <f t="shared" si="591"/>
        <v>0</v>
      </c>
      <c r="JG205" s="418">
        <f t="shared" si="591"/>
        <v>0</v>
      </c>
      <c r="JH205" s="418">
        <f t="shared" si="591"/>
        <v>0</v>
      </c>
      <c r="JI205" s="418">
        <f t="shared" si="591"/>
        <v>0</v>
      </c>
      <c r="JJ205" s="418">
        <f t="shared" si="591"/>
        <v>0</v>
      </c>
      <c r="JK205" s="418">
        <f t="shared" si="591"/>
        <v>0</v>
      </c>
      <c r="JL205" s="418">
        <f t="shared" si="591"/>
        <v>0</v>
      </c>
      <c r="JM205" s="418">
        <f t="shared" si="591"/>
        <v>0</v>
      </c>
      <c r="JN205" s="418">
        <f t="shared" si="591"/>
        <v>0</v>
      </c>
      <c r="JO205" s="418">
        <f t="shared" si="591"/>
        <v>0</v>
      </c>
      <c r="JP205" s="418">
        <f t="shared" si="591"/>
        <v>0</v>
      </c>
      <c r="JQ205" s="418">
        <f t="shared" si="591"/>
        <v>0</v>
      </c>
      <c r="JR205" s="418">
        <f t="shared" si="591"/>
        <v>0</v>
      </c>
      <c r="JS205" s="418">
        <f t="shared" si="591"/>
        <v>0</v>
      </c>
      <c r="JT205" s="418">
        <f>(JT$197&lt;=Timing_Reversion_Month)*(JT204*((1+$EP200)^(1/12)-1))</f>
        <v>0</v>
      </c>
      <c r="JU205" s="418">
        <f>(JU$197&lt;=Timing_Reversion_Month)*(JU204*((1+$EP200)^(1/12)-1))</f>
        <v>0</v>
      </c>
      <c r="JV205" s="418">
        <f>(JV$197&lt;=Timing_Reversion_Month)*(JV204*((1+$EP200)^(1/12)-1))</f>
        <v>0</v>
      </c>
      <c r="JW205" s="418">
        <f>(JW$197&lt;=Timing_Reversion_Month)*(JW204*((1+$EP200)^(1/12)-1))</f>
        <v>0</v>
      </c>
      <c r="JX205" s="418">
        <f>(JX$197&lt;=Timing_Reversion_Month)*(JX204*((1+$EP200)^(1/12)-1))</f>
        <v>0</v>
      </c>
      <c r="JY205"/>
      <c r="JZ205" s="262"/>
      <c r="KA205" s="262"/>
      <c r="KB205" s="262"/>
      <c r="KC205" s="262"/>
      <c r="KD205" s="262"/>
      <c r="KE205" s="262"/>
      <c r="KF205" s="262"/>
      <c r="KG205" s="262"/>
      <c r="KH205" s="262"/>
      <c r="KI205" s="262"/>
      <c r="KJ205" s="262"/>
      <c r="KK205" s="262"/>
      <c r="KL205" s="262"/>
      <c r="KM205" s="262"/>
      <c r="KN205" s="262"/>
      <c r="KO205" s="262"/>
      <c r="KP205" s="262"/>
      <c r="KQ205" s="262"/>
      <c r="KR205" s="262"/>
      <c r="KS205" s="262"/>
      <c r="KT205" s="262"/>
      <c r="KU205" s="262"/>
      <c r="KV205" s="262"/>
      <c r="KW205" s="262"/>
      <c r="KX205" s="262"/>
      <c r="KY205" s="262"/>
      <c r="KZ205" s="262"/>
      <c r="LA205" s="262"/>
      <c r="LB205" s="262"/>
      <c r="LC205" s="262"/>
      <c r="LD205" s="262"/>
      <c r="LE205" s="262"/>
      <c r="LF205" s="262"/>
      <c r="LG205" s="262"/>
      <c r="LH205" s="262"/>
      <c r="LI205" s="262"/>
      <c r="LJ205" s="262"/>
      <c r="LK205" s="262"/>
      <c r="LL205" s="262"/>
      <c r="LM205" s="262"/>
      <c r="LN205" s="262"/>
      <c r="LO205" s="262"/>
      <c r="LP205" s="262"/>
      <c r="LQ205" s="262"/>
      <c r="LR205" s="262"/>
      <c r="LS205" s="262"/>
      <c r="LT205" s="262"/>
      <c r="LU205" s="262"/>
      <c r="LV205" s="262"/>
      <c r="LW205" s="262"/>
      <c r="LX205" s="262"/>
      <c r="LY205" s="262"/>
      <c r="LZ205" s="262"/>
      <c r="MA205" s="262"/>
      <c r="MB205" s="262"/>
      <c r="MC205" s="262"/>
      <c r="MD205" s="262"/>
      <c r="ME205" s="262"/>
      <c r="MF205" s="262"/>
      <c r="MG205" s="262"/>
      <c r="MH205" s="262"/>
      <c r="MI205" s="262"/>
      <c r="MJ205" s="262"/>
      <c r="MK205" s="262"/>
      <c r="ML205" s="262"/>
      <c r="MM205" s="262"/>
      <c r="MN205" s="262"/>
      <c r="MO205" s="262"/>
      <c r="MP205" s="262"/>
      <c r="MQ205" s="262"/>
      <c r="MR205" s="262"/>
      <c r="MS205" s="262"/>
      <c r="MT205" s="262"/>
      <c r="MU205" s="262"/>
      <c r="MV205" s="262"/>
      <c r="MW205" s="262"/>
      <c r="MX205" s="262"/>
      <c r="MY205" s="262"/>
      <c r="MZ205" s="262"/>
      <c r="NA205" s="262"/>
      <c r="NB205" s="262"/>
      <c r="NC205" s="262"/>
      <c r="ND205" s="262"/>
      <c r="NE205" s="262"/>
      <c r="NF205" s="262"/>
      <c r="NG205" s="262"/>
      <c r="NH205" s="262"/>
      <c r="NI205" s="262"/>
      <c r="NJ205" s="262"/>
      <c r="NK205" s="262"/>
      <c r="NL205" s="262"/>
      <c r="NM205" s="262"/>
      <c r="NN205" s="262"/>
      <c r="NO205" s="262"/>
      <c r="NP205" s="262"/>
      <c r="NQ205" s="262"/>
      <c r="NR205" s="262"/>
      <c r="NS205" s="262"/>
      <c r="NT205" s="262"/>
      <c r="NU205" s="262"/>
      <c r="NV205" s="262"/>
      <c r="NW205" s="262"/>
      <c r="NX205" s="262"/>
      <c r="NY205" s="262"/>
      <c r="NZ205" s="262"/>
      <c r="OA205" s="262"/>
      <c r="OB205" s="262"/>
      <c r="OC205" s="262"/>
      <c r="OD205" s="262"/>
      <c r="OE205" s="262"/>
      <c r="OF205" s="262"/>
      <c r="OG205" s="262"/>
      <c r="OH205" s="262"/>
      <c r="OI205" s="262"/>
      <c r="OJ205" s="262"/>
      <c r="OK205" s="262"/>
      <c r="OL205" s="262"/>
      <c r="OM205" s="262"/>
      <c r="ON205" s="262"/>
      <c r="OO205" s="262"/>
      <c r="OP205" s="262"/>
      <c r="OQ205" s="262"/>
      <c r="OR205" s="262"/>
      <c r="OS205" s="262"/>
      <c r="OT205" s="262"/>
      <c r="OU205" s="262"/>
      <c r="OV205" s="262"/>
      <c r="OW205" s="262"/>
      <c r="OX205" s="262"/>
      <c r="OY205" s="262"/>
      <c r="OZ205" s="262"/>
      <c r="PA205" s="262"/>
      <c r="PB205" s="262"/>
      <c r="PC205" s="262"/>
      <c r="PD205" s="262"/>
      <c r="PE205" s="262"/>
      <c r="PF205" s="262"/>
      <c r="PG205" s="262"/>
      <c r="PH205" s="262"/>
    </row>
    <row r="206" spans="1:424" x14ac:dyDescent="0.35">
      <c r="A206"/>
      <c r="B206" s="34" t="s">
        <v>392</v>
      </c>
      <c r="C206" s="400"/>
      <c r="D206" s="400"/>
      <c r="E206" s="400"/>
      <c r="F206" s="400"/>
      <c r="G206" s="400"/>
      <c r="H206" s="44"/>
      <c r="I206" s="445">
        <f>SUM(L206:EN206)</f>
        <v>-235202653.50721359</v>
      </c>
      <c r="J206"/>
      <c r="K206"/>
      <c r="L206" s="417">
        <f t="shared" ref="L206:AQ206" si="592">IF(L194="","",(L194=ConstDebt_Payoff)*-$I$75)</f>
        <v>0</v>
      </c>
      <c r="M206" s="417">
        <f t="shared" si="592"/>
        <v>0</v>
      </c>
      <c r="N206" s="417">
        <f t="shared" si="592"/>
        <v>0</v>
      </c>
      <c r="O206" s="417">
        <f t="shared" si="592"/>
        <v>0</v>
      </c>
      <c r="P206" s="417">
        <f t="shared" si="592"/>
        <v>0</v>
      </c>
      <c r="Q206" s="417">
        <f t="shared" si="592"/>
        <v>0</v>
      </c>
      <c r="R206" s="417">
        <f t="shared" si="592"/>
        <v>0</v>
      </c>
      <c r="S206" s="417">
        <f t="shared" si="592"/>
        <v>0</v>
      </c>
      <c r="T206" s="417">
        <f t="shared" si="592"/>
        <v>0</v>
      </c>
      <c r="U206" s="417">
        <f t="shared" si="592"/>
        <v>0</v>
      </c>
      <c r="V206" s="417">
        <f t="shared" si="592"/>
        <v>0</v>
      </c>
      <c r="W206" s="417">
        <f t="shared" si="592"/>
        <v>0</v>
      </c>
      <c r="X206" s="417">
        <f t="shared" si="592"/>
        <v>0</v>
      </c>
      <c r="Y206" s="417">
        <f t="shared" si="592"/>
        <v>0</v>
      </c>
      <c r="Z206" s="417">
        <f t="shared" si="592"/>
        <v>0</v>
      </c>
      <c r="AA206" s="417">
        <f t="shared" si="592"/>
        <v>0</v>
      </c>
      <c r="AB206" s="417">
        <f t="shared" si="592"/>
        <v>0</v>
      </c>
      <c r="AC206" s="417">
        <f t="shared" si="592"/>
        <v>0</v>
      </c>
      <c r="AD206" s="417">
        <f t="shared" si="592"/>
        <v>0</v>
      </c>
      <c r="AE206" s="417">
        <f t="shared" si="592"/>
        <v>0</v>
      </c>
      <c r="AF206" s="417">
        <f t="shared" si="592"/>
        <v>0</v>
      </c>
      <c r="AG206" s="417">
        <f t="shared" si="592"/>
        <v>0</v>
      </c>
      <c r="AH206" s="417">
        <f t="shared" si="592"/>
        <v>0</v>
      </c>
      <c r="AI206" s="417">
        <f t="shared" si="592"/>
        <v>0</v>
      </c>
      <c r="AJ206" s="417">
        <f t="shared" si="592"/>
        <v>0</v>
      </c>
      <c r="AK206" s="417">
        <f t="shared" si="592"/>
        <v>0</v>
      </c>
      <c r="AL206" s="417">
        <f t="shared" si="592"/>
        <v>0</v>
      </c>
      <c r="AM206" s="417">
        <f t="shared" si="592"/>
        <v>0</v>
      </c>
      <c r="AN206" s="417">
        <f t="shared" si="592"/>
        <v>0</v>
      </c>
      <c r="AO206" s="417">
        <f t="shared" si="592"/>
        <v>0</v>
      </c>
      <c r="AP206" s="417">
        <f t="shared" si="592"/>
        <v>0</v>
      </c>
      <c r="AQ206" s="417">
        <f t="shared" si="592"/>
        <v>0</v>
      </c>
      <c r="AR206" s="417">
        <f t="shared" ref="AR206:BW206" si="593">IF(AR194="","",(AR194=ConstDebt_Payoff)*-$I$75)</f>
        <v>0</v>
      </c>
      <c r="AS206" s="417">
        <f t="shared" si="593"/>
        <v>0</v>
      </c>
      <c r="AT206" s="417">
        <f t="shared" si="593"/>
        <v>0</v>
      </c>
      <c r="AU206" s="417">
        <f t="shared" si="593"/>
        <v>0</v>
      </c>
      <c r="AV206" s="417">
        <f t="shared" si="593"/>
        <v>0</v>
      </c>
      <c r="AW206" s="417">
        <f t="shared" si="593"/>
        <v>0</v>
      </c>
      <c r="AX206" s="417">
        <f t="shared" si="593"/>
        <v>0</v>
      </c>
      <c r="AY206" s="417">
        <f t="shared" si="593"/>
        <v>0</v>
      </c>
      <c r="AZ206" s="417">
        <f t="shared" si="593"/>
        <v>0</v>
      </c>
      <c r="BA206" s="417">
        <f t="shared" si="593"/>
        <v>0</v>
      </c>
      <c r="BB206" s="417">
        <f t="shared" si="593"/>
        <v>0</v>
      </c>
      <c r="BC206" s="417">
        <f t="shared" si="593"/>
        <v>0</v>
      </c>
      <c r="BD206" s="75">
        <f t="shared" si="593"/>
        <v>0</v>
      </c>
      <c r="BE206" s="75">
        <f t="shared" si="593"/>
        <v>0</v>
      </c>
      <c r="BF206" s="75">
        <f t="shared" si="593"/>
        <v>0</v>
      </c>
      <c r="BG206" s="75">
        <f t="shared" si="593"/>
        <v>0</v>
      </c>
      <c r="BH206" s="75">
        <f t="shared" si="593"/>
        <v>0</v>
      </c>
      <c r="BI206" s="75">
        <f t="shared" si="593"/>
        <v>0</v>
      </c>
      <c r="BJ206" s="75">
        <f t="shared" si="593"/>
        <v>0</v>
      </c>
      <c r="BK206" s="75">
        <f t="shared" si="593"/>
        <v>0</v>
      </c>
      <c r="BL206" s="75">
        <f t="shared" si="593"/>
        <v>0</v>
      </c>
      <c r="BM206" s="75">
        <f t="shared" si="593"/>
        <v>0</v>
      </c>
      <c r="BN206" s="75">
        <f t="shared" si="593"/>
        <v>0</v>
      </c>
      <c r="BO206" s="75">
        <f t="shared" si="593"/>
        <v>0</v>
      </c>
      <c r="BP206" s="75">
        <f t="shared" si="593"/>
        <v>0</v>
      </c>
      <c r="BQ206" s="75">
        <f t="shared" si="593"/>
        <v>0</v>
      </c>
      <c r="BR206" s="75">
        <f t="shared" si="593"/>
        <v>0</v>
      </c>
      <c r="BS206" s="75">
        <f t="shared" si="593"/>
        <v>0</v>
      </c>
      <c r="BT206" s="75">
        <f t="shared" si="593"/>
        <v>0</v>
      </c>
      <c r="BU206" s="75">
        <f t="shared" si="593"/>
        <v>-235202653.50721359</v>
      </c>
      <c r="BV206" s="75" t="str">
        <f t="shared" si="593"/>
        <v/>
      </c>
      <c r="BW206" s="75" t="str">
        <f t="shared" si="593"/>
        <v/>
      </c>
      <c r="BX206" s="75" t="str">
        <f t="shared" ref="BX206:DC206" si="594">IF(BX194="","",(BX194=ConstDebt_Payoff)*-$I$75)</f>
        <v/>
      </c>
      <c r="BY206" s="75" t="str">
        <f t="shared" si="594"/>
        <v/>
      </c>
      <c r="BZ206" s="75" t="str">
        <f t="shared" si="594"/>
        <v/>
      </c>
      <c r="CA206" s="75" t="str">
        <f t="shared" si="594"/>
        <v/>
      </c>
      <c r="CB206" s="75" t="str">
        <f t="shared" si="594"/>
        <v/>
      </c>
      <c r="CC206" s="75" t="str">
        <f t="shared" si="594"/>
        <v/>
      </c>
      <c r="CD206" s="75" t="str">
        <f t="shared" si="594"/>
        <v/>
      </c>
      <c r="CE206" s="75" t="str">
        <f t="shared" si="594"/>
        <v/>
      </c>
      <c r="CF206" s="75" t="str">
        <f t="shared" si="594"/>
        <v/>
      </c>
      <c r="CG206" s="75" t="str">
        <f t="shared" si="594"/>
        <v/>
      </c>
      <c r="CH206" s="75" t="str">
        <f t="shared" si="594"/>
        <v/>
      </c>
      <c r="CI206" s="75" t="str">
        <f t="shared" si="594"/>
        <v/>
      </c>
      <c r="CJ206" s="75" t="str">
        <f t="shared" si="594"/>
        <v/>
      </c>
      <c r="CK206" s="75" t="str">
        <f t="shared" si="594"/>
        <v/>
      </c>
      <c r="CL206" s="75" t="str">
        <f t="shared" si="594"/>
        <v/>
      </c>
      <c r="CM206" s="75" t="str">
        <f t="shared" si="594"/>
        <v/>
      </c>
      <c r="CN206" s="75" t="str">
        <f t="shared" si="594"/>
        <v/>
      </c>
      <c r="CO206" s="75" t="str">
        <f t="shared" si="594"/>
        <v/>
      </c>
      <c r="CP206" s="75" t="str">
        <f t="shared" si="594"/>
        <v/>
      </c>
      <c r="CQ206" s="75" t="str">
        <f t="shared" si="594"/>
        <v/>
      </c>
      <c r="CR206" s="75" t="str">
        <f t="shared" si="594"/>
        <v/>
      </c>
      <c r="CS206" s="75" t="str">
        <f t="shared" si="594"/>
        <v/>
      </c>
      <c r="CT206" s="75" t="str">
        <f t="shared" si="594"/>
        <v/>
      </c>
      <c r="CU206" s="75" t="str">
        <f t="shared" si="594"/>
        <v/>
      </c>
      <c r="CV206" s="75" t="str">
        <f t="shared" si="594"/>
        <v/>
      </c>
      <c r="CW206" s="75" t="str">
        <f t="shared" si="594"/>
        <v/>
      </c>
      <c r="CX206" s="75" t="str">
        <f t="shared" si="594"/>
        <v/>
      </c>
      <c r="CY206" s="75" t="str">
        <f t="shared" si="594"/>
        <v/>
      </c>
      <c r="CZ206" s="75" t="str">
        <f t="shared" si="594"/>
        <v/>
      </c>
      <c r="DA206" s="75" t="str">
        <f t="shared" si="594"/>
        <v/>
      </c>
      <c r="DB206" s="75" t="str">
        <f t="shared" si="594"/>
        <v/>
      </c>
      <c r="DC206" s="75" t="str">
        <f t="shared" si="594"/>
        <v/>
      </c>
      <c r="DD206" s="75" t="str">
        <f t="shared" ref="DD206:EN206" si="595">IF(DD194="","",(DD194=ConstDebt_Payoff)*-$I$75)</f>
        <v/>
      </c>
      <c r="DE206" s="75" t="str">
        <f t="shared" si="595"/>
        <v/>
      </c>
      <c r="DF206" s="75" t="str">
        <f t="shared" si="595"/>
        <v/>
      </c>
      <c r="DG206" s="75" t="str">
        <f t="shared" si="595"/>
        <v/>
      </c>
      <c r="DH206" s="75" t="str">
        <f t="shared" si="595"/>
        <v/>
      </c>
      <c r="DI206" s="75" t="str">
        <f t="shared" si="595"/>
        <v/>
      </c>
      <c r="DJ206" s="75" t="str">
        <f t="shared" si="595"/>
        <v/>
      </c>
      <c r="DK206" s="75" t="str">
        <f t="shared" si="595"/>
        <v/>
      </c>
      <c r="DL206" s="75" t="str">
        <f t="shared" si="595"/>
        <v/>
      </c>
      <c r="DM206" s="75" t="str">
        <f t="shared" si="595"/>
        <v/>
      </c>
      <c r="DN206" s="75" t="str">
        <f t="shared" si="595"/>
        <v/>
      </c>
      <c r="DO206" s="75" t="str">
        <f t="shared" si="595"/>
        <v/>
      </c>
      <c r="DP206" s="75" t="str">
        <f t="shared" si="595"/>
        <v/>
      </c>
      <c r="DQ206" s="75" t="str">
        <f t="shared" si="595"/>
        <v/>
      </c>
      <c r="DR206" s="75" t="str">
        <f t="shared" si="595"/>
        <v/>
      </c>
      <c r="DS206" s="75" t="str">
        <f t="shared" si="595"/>
        <v/>
      </c>
      <c r="DT206" s="75" t="str">
        <f t="shared" si="595"/>
        <v/>
      </c>
      <c r="DU206" s="75" t="str">
        <f t="shared" si="595"/>
        <v/>
      </c>
      <c r="DV206" s="75" t="str">
        <f t="shared" si="595"/>
        <v/>
      </c>
      <c r="DW206" s="75" t="str">
        <f t="shared" si="595"/>
        <v/>
      </c>
      <c r="DX206" s="75" t="str">
        <f t="shared" si="595"/>
        <v/>
      </c>
      <c r="DY206" s="75" t="str">
        <f t="shared" si="595"/>
        <v/>
      </c>
      <c r="DZ206" s="75" t="str">
        <f t="shared" si="595"/>
        <v/>
      </c>
      <c r="EA206" s="75" t="str">
        <f t="shared" si="595"/>
        <v/>
      </c>
      <c r="EB206" s="75" t="str">
        <f t="shared" si="595"/>
        <v/>
      </c>
      <c r="EC206" s="75" t="str">
        <f t="shared" si="595"/>
        <v/>
      </c>
      <c r="ED206" s="75" t="str">
        <f t="shared" si="595"/>
        <v/>
      </c>
      <c r="EE206" s="75" t="str">
        <f t="shared" si="595"/>
        <v/>
      </c>
      <c r="EF206" s="75" t="str">
        <f t="shared" si="595"/>
        <v/>
      </c>
      <c r="EG206" s="75" t="str">
        <f t="shared" si="595"/>
        <v/>
      </c>
      <c r="EH206" s="75" t="str">
        <f t="shared" si="595"/>
        <v/>
      </c>
      <c r="EI206" s="75" t="str">
        <f t="shared" si="595"/>
        <v/>
      </c>
      <c r="EJ206" s="75" t="str">
        <f t="shared" si="595"/>
        <v/>
      </c>
      <c r="EK206" s="75" t="str">
        <f t="shared" si="595"/>
        <v/>
      </c>
      <c r="EL206" s="75" t="str">
        <f t="shared" si="595"/>
        <v/>
      </c>
      <c r="EM206" s="75" t="str">
        <f t="shared" si="595"/>
        <v/>
      </c>
      <c r="EN206" s="75" t="str">
        <f t="shared" si="595"/>
        <v/>
      </c>
      <c r="EO206"/>
      <c r="EP206" s="219"/>
      <c r="EQ206" s="18"/>
      <c r="ER206" s="18"/>
      <c r="ES206" s="18"/>
      <c r="ET206" s="18" t="s">
        <v>393</v>
      </c>
      <c r="EU206" s="18"/>
      <c r="EV206" s="418">
        <f>IF(L228="",0,L228)</f>
        <v>0</v>
      </c>
      <c r="EW206" s="418">
        <f t="shared" ref="EW206:HH206" si="596">IF(M228="",0,M228)</f>
        <v>0</v>
      </c>
      <c r="EX206" s="418">
        <f t="shared" si="596"/>
        <v>0</v>
      </c>
      <c r="EY206" s="418">
        <f t="shared" si="596"/>
        <v>0</v>
      </c>
      <c r="EZ206" s="418">
        <f t="shared" si="596"/>
        <v>0</v>
      </c>
      <c r="FA206" s="418">
        <f t="shared" si="596"/>
        <v>0</v>
      </c>
      <c r="FB206" s="418">
        <f t="shared" si="596"/>
        <v>0</v>
      </c>
      <c r="FC206" s="418">
        <f t="shared" si="596"/>
        <v>0</v>
      </c>
      <c r="FD206" s="418">
        <f t="shared" si="596"/>
        <v>0</v>
      </c>
      <c r="FE206" s="418">
        <f t="shared" si="596"/>
        <v>0</v>
      </c>
      <c r="FF206" s="418">
        <f t="shared" si="596"/>
        <v>0</v>
      </c>
      <c r="FG206" s="418">
        <f t="shared" si="596"/>
        <v>0</v>
      </c>
      <c r="FH206" s="418">
        <f t="shared" si="596"/>
        <v>0</v>
      </c>
      <c r="FI206" s="418">
        <f t="shared" si="596"/>
        <v>0</v>
      </c>
      <c r="FJ206" s="418">
        <f t="shared" si="596"/>
        <v>0</v>
      </c>
      <c r="FK206" s="418">
        <f t="shared" si="596"/>
        <v>0</v>
      </c>
      <c r="FL206" s="418">
        <f t="shared" si="596"/>
        <v>0</v>
      </c>
      <c r="FM206" s="418">
        <f t="shared" si="596"/>
        <v>0</v>
      </c>
      <c r="FN206" s="418">
        <f t="shared" si="596"/>
        <v>0</v>
      </c>
      <c r="FO206" s="418">
        <f t="shared" si="596"/>
        <v>0</v>
      </c>
      <c r="FP206" s="418">
        <f t="shared" si="596"/>
        <v>0</v>
      </c>
      <c r="FQ206" s="418">
        <f t="shared" si="596"/>
        <v>0</v>
      </c>
      <c r="FR206" s="418">
        <f t="shared" si="596"/>
        <v>0</v>
      </c>
      <c r="FS206" s="418">
        <f t="shared" si="596"/>
        <v>0</v>
      </c>
      <c r="FT206" s="418">
        <f t="shared" si="596"/>
        <v>0</v>
      </c>
      <c r="FU206" s="418">
        <f t="shared" si="596"/>
        <v>0</v>
      </c>
      <c r="FV206" s="418">
        <f t="shared" si="596"/>
        <v>0</v>
      </c>
      <c r="FW206" s="418">
        <f t="shared" si="596"/>
        <v>0</v>
      </c>
      <c r="FX206" s="418">
        <f t="shared" si="596"/>
        <v>0</v>
      </c>
      <c r="FY206" s="418">
        <f t="shared" si="596"/>
        <v>0</v>
      </c>
      <c r="FZ206" s="418">
        <f t="shared" si="596"/>
        <v>0</v>
      </c>
      <c r="GA206" s="418">
        <f t="shared" si="596"/>
        <v>0</v>
      </c>
      <c r="GB206" s="418">
        <f t="shared" si="596"/>
        <v>0</v>
      </c>
      <c r="GC206" s="418">
        <f t="shared" si="596"/>
        <v>0</v>
      </c>
      <c r="GD206" s="418">
        <f t="shared" si="596"/>
        <v>0</v>
      </c>
      <c r="GE206" s="418">
        <f t="shared" si="596"/>
        <v>0</v>
      </c>
      <c r="GF206" s="418">
        <f t="shared" si="596"/>
        <v>0</v>
      </c>
      <c r="GG206" s="418">
        <f t="shared" si="596"/>
        <v>0</v>
      </c>
      <c r="GH206" s="418">
        <f t="shared" si="596"/>
        <v>0</v>
      </c>
      <c r="GI206" s="418">
        <f t="shared" si="596"/>
        <v>0</v>
      </c>
      <c r="GJ206" s="418">
        <f t="shared" si="596"/>
        <v>0</v>
      </c>
      <c r="GK206" s="418">
        <f t="shared" si="596"/>
        <v>0</v>
      </c>
      <c r="GL206" s="418">
        <f t="shared" si="596"/>
        <v>0</v>
      </c>
      <c r="GM206" s="418">
        <f t="shared" si="596"/>
        <v>0</v>
      </c>
      <c r="GN206" s="418">
        <f t="shared" si="596"/>
        <v>0</v>
      </c>
      <c r="GO206" s="418">
        <f t="shared" si="596"/>
        <v>0</v>
      </c>
      <c r="GP206" s="418">
        <f t="shared" si="596"/>
        <v>0</v>
      </c>
      <c r="GQ206" s="418">
        <f t="shared" si="596"/>
        <v>0</v>
      </c>
      <c r="GR206" s="418">
        <f t="shared" si="596"/>
        <v>0</v>
      </c>
      <c r="GS206" s="418">
        <f t="shared" si="596"/>
        <v>0</v>
      </c>
      <c r="GT206" s="418">
        <f t="shared" si="596"/>
        <v>0</v>
      </c>
      <c r="GU206" s="418">
        <f t="shared" si="596"/>
        <v>0</v>
      </c>
      <c r="GV206" s="418">
        <f t="shared" si="596"/>
        <v>0</v>
      </c>
      <c r="GW206" s="418">
        <f t="shared" si="596"/>
        <v>0</v>
      </c>
      <c r="GX206" s="418">
        <f t="shared" si="596"/>
        <v>0</v>
      </c>
      <c r="GY206" s="418">
        <f t="shared" si="596"/>
        <v>0</v>
      </c>
      <c r="GZ206" s="418">
        <f t="shared" si="596"/>
        <v>0</v>
      </c>
      <c r="HA206" s="418">
        <f t="shared" si="596"/>
        <v>0</v>
      </c>
      <c r="HB206" s="418">
        <f t="shared" si="596"/>
        <v>0</v>
      </c>
      <c r="HC206" s="418">
        <f t="shared" si="596"/>
        <v>0</v>
      </c>
      <c r="HD206" s="418">
        <f t="shared" si="596"/>
        <v>0</v>
      </c>
      <c r="HE206" s="418">
        <f t="shared" si="596"/>
        <v>0</v>
      </c>
      <c r="HF206" s="418">
        <f t="shared" si="596"/>
        <v>0</v>
      </c>
      <c r="HG206" s="418">
        <f t="shared" si="596"/>
        <v>0</v>
      </c>
      <c r="HH206" s="418">
        <f t="shared" si="596"/>
        <v>0</v>
      </c>
      <c r="HI206" s="418">
        <f t="shared" ref="HI206:JT206" si="597">IF(BY228="",0,BY228)</f>
        <v>0</v>
      </c>
      <c r="HJ206" s="418">
        <f t="shared" si="597"/>
        <v>0</v>
      </c>
      <c r="HK206" s="418">
        <f t="shared" si="597"/>
        <v>0</v>
      </c>
      <c r="HL206" s="418">
        <f t="shared" si="597"/>
        <v>0</v>
      </c>
      <c r="HM206" s="418">
        <f t="shared" si="597"/>
        <v>0</v>
      </c>
      <c r="HN206" s="418">
        <f t="shared" si="597"/>
        <v>0</v>
      </c>
      <c r="HO206" s="418">
        <f t="shared" si="597"/>
        <v>0</v>
      </c>
      <c r="HP206" s="418">
        <f t="shared" si="597"/>
        <v>0</v>
      </c>
      <c r="HQ206" s="418">
        <f t="shared" si="597"/>
        <v>0</v>
      </c>
      <c r="HR206" s="418">
        <f t="shared" si="597"/>
        <v>0</v>
      </c>
      <c r="HS206" s="418">
        <f t="shared" si="597"/>
        <v>0</v>
      </c>
      <c r="HT206" s="418">
        <f t="shared" si="597"/>
        <v>0</v>
      </c>
      <c r="HU206" s="418">
        <f t="shared" si="597"/>
        <v>0</v>
      </c>
      <c r="HV206" s="418">
        <f t="shared" si="597"/>
        <v>0</v>
      </c>
      <c r="HW206" s="418">
        <f t="shared" si="597"/>
        <v>0</v>
      </c>
      <c r="HX206" s="418">
        <f t="shared" si="597"/>
        <v>0</v>
      </c>
      <c r="HY206" s="418">
        <f t="shared" si="597"/>
        <v>0</v>
      </c>
      <c r="HZ206" s="418">
        <f t="shared" si="597"/>
        <v>0</v>
      </c>
      <c r="IA206" s="418">
        <f t="shared" si="597"/>
        <v>0</v>
      </c>
      <c r="IB206" s="418">
        <f t="shared" si="597"/>
        <v>0</v>
      </c>
      <c r="IC206" s="418">
        <f t="shared" si="597"/>
        <v>0</v>
      </c>
      <c r="ID206" s="418">
        <f t="shared" si="597"/>
        <v>0</v>
      </c>
      <c r="IE206" s="418">
        <f t="shared" si="597"/>
        <v>0</v>
      </c>
      <c r="IF206" s="418">
        <f t="shared" si="597"/>
        <v>0</v>
      </c>
      <c r="IG206" s="418">
        <f t="shared" si="597"/>
        <v>0</v>
      </c>
      <c r="IH206" s="418">
        <f t="shared" si="597"/>
        <v>0</v>
      </c>
      <c r="II206" s="418">
        <f t="shared" si="597"/>
        <v>0</v>
      </c>
      <c r="IJ206" s="418">
        <f t="shared" si="597"/>
        <v>0</v>
      </c>
      <c r="IK206" s="418">
        <f t="shared" si="597"/>
        <v>0</v>
      </c>
      <c r="IL206" s="418">
        <f t="shared" si="597"/>
        <v>0</v>
      </c>
      <c r="IM206" s="418">
        <f t="shared" si="597"/>
        <v>0</v>
      </c>
      <c r="IN206" s="418">
        <f t="shared" si="597"/>
        <v>0</v>
      </c>
      <c r="IO206" s="418">
        <f t="shared" si="597"/>
        <v>0</v>
      </c>
      <c r="IP206" s="418">
        <f t="shared" si="597"/>
        <v>0</v>
      </c>
      <c r="IQ206" s="418">
        <f t="shared" si="597"/>
        <v>0</v>
      </c>
      <c r="IR206" s="418">
        <f t="shared" si="597"/>
        <v>0</v>
      </c>
      <c r="IS206" s="418">
        <f t="shared" si="597"/>
        <v>0</v>
      </c>
      <c r="IT206" s="418">
        <f t="shared" si="597"/>
        <v>0</v>
      </c>
      <c r="IU206" s="418">
        <f t="shared" si="597"/>
        <v>0</v>
      </c>
      <c r="IV206" s="418">
        <f t="shared" si="597"/>
        <v>0</v>
      </c>
      <c r="IW206" s="418">
        <f t="shared" si="597"/>
        <v>0</v>
      </c>
      <c r="IX206" s="418">
        <f t="shared" si="597"/>
        <v>0</v>
      </c>
      <c r="IY206" s="418">
        <f t="shared" si="597"/>
        <v>0</v>
      </c>
      <c r="IZ206" s="418">
        <f t="shared" si="597"/>
        <v>0</v>
      </c>
      <c r="JA206" s="418">
        <f t="shared" si="597"/>
        <v>0</v>
      </c>
      <c r="JB206" s="418">
        <f t="shared" si="597"/>
        <v>0</v>
      </c>
      <c r="JC206" s="418">
        <f t="shared" si="597"/>
        <v>0</v>
      </c>
      <c r="JD206" s="418">
        <f t="shared" si="597"/>
        <v>0</v>
      </c>
      <c r="JE206" s="418">
        <f t="shared" si="597"/>
        <v>0</v>
      </c>
      <c r="JF206" s="418">
        <f t="shared" si="597"/>
        <v>0</v>
      </c>
      <c r="JG206" s="418">
        <f t="shared" si="597"/>
        <v>0</v>
      </c>
      <c r="JH206" s="418">
        <f t="shared" si="597"/>
        <v>0</v>
      </c>
      <c r="JI206" s="418">
        <f t="shared" si="597"/>
        <v>0</v>
      </c>
      <c r="JJ206" s="418">
        <f t="shared" si="597"/>
        <v>0</v>
      </c>
      <c r="JK206" s="418">
        <f t="shared" si="597"/>
        <v>0</v>
      </c>
      <c r="JL206" s="418">
        <f t="shared" si="597"/>
        <v>0</v>
      </c>
      <c r="JM206" s="418">
        <f t="shared" si="597"/>
        <v>0</v>
      </c>
      <c r="JN206" s="418">
        <f t="shared" si="597"/>
        <v>0</v>
      </c>
      <c r="JO206" s="418">
        <f t="shared" si="597"/>
        <v>0</v>
      </c>
      <c r="JP206" s="418">
        <f t="shared" si="597"/>
        <v>0</v>
      </c>
      <c r="JQ206" s="418">
        <f t="shared" si="597"/>
        <v>0</v>
      </c>
      <c r="JR206" s="418">
        <f t="shared" si="597"/>
        <v>0</v>
      </c>
      <c r="JS206" s="418">
        <f t="shared" si="597"/>
        <v>0</v>
      </c>
      <c r="JT206" s="418">
        <f t="shared" si="597"/>
        <v>0</v>
      </c>
      <c r="JU206" s="418">
        <f>IF(EK228="",0,EK228)</f>
        <v>0</v>
      </c>
      <c r="JV206" s="418">
        <f>IF(EL228="",0,EL228)</f>
        <v>0</v>
      </c>
      <c r="JW206" s="418">
        <f>IF(EM228="",0,EM228)</f>
        <v>0</v>
      </c>
      <c r="JX206" s="418">
        <f>IF(EN228="",0,EN228)</f>
        <v>0</v>
      </c>
      <c r="JY206"/>
      <c r="JZ206" s="262"/>
      <c r="KA206" s="262"/>
      <c r="KB206" s="262"/>
      <c r="KC206" s="262"/>
      <c r="KD206" s="262"/>
      <c r="KE206" s="262"/>
      <c r="KF206" s="262"/>
      <c r="KG206" s="262"/>
      <c r="KH206" s="262"/>
      <c r="KI206" s="262"/>
      <c r="KJ206" s="262"/>
      <c r="KK206" s="262"/>
      <c r="KL206" s="262"/>
      <c r="KM206" s="262"/>
      <c r="KN206" s="262"/>
      <c r="KO206" s="262"/>
      <c r="KP206" s="262"/>
      <c r="KQ206" s="262"/>
      <c r="KR206" s="262"/>
      <c r="KS206" s="262"/>
      <c r="KT206" s="262"/>
      <c r="KU206" s="262"/>
      <c r="KV206" s="262"/>
      <c r="KW206" s="262"/>
      <c r="KX206" s="262"/>
      <c r="KY206" s="262"/>
      <c r="KZ206" s="262"/>
      <c r="LA206" s="262"/>
      <c r="LB206" s="262"/>
      <c r="LC206" s="262"/>
      <c r="LD206" s="262"/>
      <c r="LE206" s="262"/>
      <c r="LF206" s="262"/>
      <c r="LG206" s="262"/>
      <c r="LH206" s="262"/>
      <c r="LI206" s="262"/>
      <c r="LJ206" s="262"/>
      <c r="LK206" s="262"/>
      <c r="LL206" s="262"/>
      <c r="LM206" s="262"/>
      <c r="LN206" s="262"/>
      <c r="LO206" s="262"/>
      <c r="LP206" s="262"/>
      <c r="LQ206" s="262"/>
      <c r="LR206" s="262"/>
      <c r="LS206" s="262"/>
      <c r="LT206" s="262"/>
      <c r="LU206" s="262"/>
      <c r="LV206" s="262"/>
      <c r="LW206" s="262"/>
      <c r="LX206" s="262"/>
      <c r="LY206" s="262"/>
      <c r="LZ206" s="262"/>
      <c r="MA206" s="262"/>
      <c r="MB206" s="262"/>
      <c r="MC206" s="262"/>
      <c r="MD206" s="262"/>
      <c r="ME206" s="262"/>
      <c r="MF206" s="262"/>
      <c r="MG206" s="262"/>
      <c r="MH206" s="262"/>
      <c r="MI206" s="262"/>
      <c r="MJ206" s="262"/>
      <c r="MK206" s="262"/>
      <c r="ML206" s="262"/>
      <c r="MM206" s="262"/>
      <c r="MN206" s="262"/>
      <c r="MO206" s="262"/>
      <c r="MP206" s="262"/>
      <c r="MQ206" s="262"/>
      <c r="MR206" s="262"/>
      <c r="MS206" s="262"/>
      <c r="MT206" s="262"/>
      <c r="MU206" s="262"/>
      <c r="MV206" s="262"/>
      <c r="MW206" s="262"/>
      <c r="MX206" s="262"/>
      <c r="MY206" s="262"/>
      <c r="MZ206" s="262"/>
      <c r="NA206" s="262"/>
      <c r="NB206" s="262"/>
      <c r="NC206" s="262"/>
      <c r="ND206" s="262"/>
      <c r="NE206" s="262"/>
      <c r="NF206" s="262"/>
      <c r="NG206" s="262"/>
      <c r="NH206" s="262"/>
      <c r="NI206" s="262"/>
      <c r="NJ206" s="262"/>
      <c r="NK206" s="262"/>
      <c r="NL206" s="262"/>
      <c r="NM206" s="262"/>
      <c r="NN206" s="262"/>
      <c r="NO206" s="262"/>
      <c r="NP206" s="262"/>
      <c r="NQ206" s="262"/>
      <c r="NR206" s="262"/>
      <c r="NS206" s="262"/>
      <c r="NT206" s="262"/>
      <c r="NU206" s="262"/>
      <c r="NV206" s="262"/>
      <c r="NW206" s="262"/>
      <c r="NX206" s="262"/>
      <c r="NY206" s="262"/>
      <c r="NZ206" s="262"/>
      <c r="OA206" s="262"/>
      <c r="OB206" s="262"/>
      <c r="OC206" s="262"/>
      <c r="OD206" s="262"/>
      <c r="OE206" s="262"/>
      <c r="OF206" s="262"/>
      <c r="OG206" s="262"/>
      <c r="OH206" s="262"/>
      <c r="OI206" s="262"/>
      <c r="OJ206" s="262"/>
      <c r="OK206" s="262"/>
      <c r="OL206" s="262"/>
      <c r="OM206" s="262"/>
      <c r="ON206" s="262"/>
      <c r="OO206" s="262"/>
      <c r="OP206" s="262"/>
      <c r="OQ206" s="262"/>
      <c r="OR206" s="262"/>
      <c r="OS206" s="262"/>
      <c r="OT206" s="262"/>
      <c r="OU206" s="262"/>
      <c r="OV206" s="262"/>
      <c r="OW206" s="262"/>
      <c r="OX206" s="262"/>
      <c r="OY206" s="262"/>
      <c r="OZ206" s="262"/>
      <c r="PA206" s="262"/>
      <c r="PB206" s="262"/>
      <c r="PC206" s="262"/>
      <c r="PD206" s="262"/>
      <c r="PE206" s="262"/>
      <c r="PF206" s="262"/>
      <c r="PG206" s="262"/>
      <c r="PH206" s="262"/>
    </row>
    <row r="207" spans="1:424" x14ac:dyDescent="0.35">
      <c r="A207"/>
      <c r="B207" s="34" t="s">
        <v>394</v>
      </c>
      <c r="C207" s="400"/>
      <c r="D207" s="400"/>
      <c r="E207" s="400"/>
      <c r="F207" s="400"/>
      <c r="G207" s="400"/>
      <c r="H207" s="44"/>
      <c r="I207" s="445">
        <f>SUM(L207:EN207)</f>
        <v>0</v>
      </c>
      <c r="J207"/>
      <c r="K207" s="5"/>
      <c r="L207" s="458">
        <f t="shared" ref="L207:AQ207" si="598">IF(L194="","",L83)</f>
        <v>0</v>
      </c>
      <c r="M207" s="458">
        <f t="shared" si="598"/>
        <v>0</v>
      </c>
      <c r="N207" s="458">
        <f t="shared" si="598"/>
        <v>0</v>
      </c>
      <c r="O207" s="458">
        <f t="shared" si="598"/>
        <v>0</v>
      </c>
      <c r="P207" s="458">
        <f t="shared" si="598"/>
        <v>0</v>
      </c>
      <c r="Q207" s="458">
        <f t="shared" si="598"/>
        <v>0</v>
      </c>
      <c r="R207" s="458">
        <f t="shared" si="598"/>
        <v>0</v>
      </c>
      <c r="S207" s="458">
        <f t="shared" si="598"/>
        <v>0</v>
      </c>
      <c r="T207" s="458">
        <f t="shared" si="598"/>
        <v>0</v>
      </c>
      <c r="U207" s="458">
        <f t="shared" si="598"/>
        <v>0</v>
      </c>
      <c r="V207" s="458">
        <f t="shared" si="598"/>
        <v>0</v>
      </c>
      <c r="W207" s="458">
        <f t="shared" si="598"/>
        <v>0</v>
      </c>
      <c r="X207" s="458">
        <f t="shared" si="598"/>
        <v>0</v>
      </c>
      <c r="Y207" s="458">
        <f t="shared" si="598"/>
        <v>0</v>
      </c>
      <c r="Z207" s="458">
        <f t="shared" si="598"/>
        <v>0</v>
      </c>
      <c r="AA207" s="458">
        <f t="shared" si="598"/>
        <v>0</v>
      </c>
      <c r="AB207" s="458">
        <f t="shared" si="598"/>
        <v>0</v>
      </c>
      <c r="AC207" s="458">
        <f t="shared" si="598"/>
        <v>0</v>
      </c>
      <c r="AD207" s="458">
        <f t="shared" si="598"/>
        <v>0</v>
      </c>
      <c r="AE207" s="458">
        <f t="shared" si="598"/>
        <v>0</v>
      </c>
      <c r="AF207" s="458">
        <f t="shared" si="598"/>
        <v>0</v>
      </c>
      <c r="AG207" s="458">
        <f t="shared" si="598"/>
        <v>0</v>
      </c>
      <c r="AH207" s="458">
        <f t="shared" si="598"/>
        <v>0</v>
      </c>
      <c r="AI207" s="458">
        <f t="shared" si="598"/>
        <v>0</v>
      </c>
      <c r="AJ207" s="458">
        <f t="shared" si="598"/>
        <v>0</v>
      </c>
      <c r="AK207" s="458">
        <f t="shared" si="598"/>
        <v>0</v>
      </c>
      <c r="AL207" s="458">
        <f t="shared" si="598"/>
        <v>0</v>
      </c>
      <c r="AM207" s="458">
        <f t="shared" si="598"/>
        <v>0</v>
      </c>
      <c r="AN207" s="458">
        <f t="shared" si="598"/>
        <v>0</v>
      </c>
      <c r="AO207" s="458">
        <f t="shared" si="598"/>
        <v>0</v>
      </c>
      <c r="AP207" s="458">
        <f t="shared" si="598"/>
        <v>0</v>
      </c>
      <c r="AQ207" s="458">
        <f t="shared" si="598"/>
        <v>0</v>
      </c>
      <c r="AR207" s="458">
        <f t="shared" ref="AR207:BW207" si="599">IF(AR194="","",AR83)</f>
        <v>0</v>
      </c>
      <c r="AS207" s="458">
        <f t="shared" si="599"/>
        <v>0</v>
      </c>
      <c r="AT207" s="458">
        <f t="shared" si="599"/>
        <v>0</v>
      </c>
      <c r="AU207" s="458">
        <f t="shared" si="599"/>
        <v>0</v>
      </c>
      <c r="AV207" s="458">
        <f t="shared" si="599"/>
        <v>0</v>
      </c>
      <c r="AW207" s="458">
        <f t="shared" si="599"/>
        <v>0</v>
      </c>
      <c r="AX207" s="458">
        <f t="shared" si="599"/>
        <v>0</v>
      </c>
      <c r="AY207" s="458">
        <f t="shared" si="599"/>
        <v>0</v>
      </c>
      <c r="AZ207" s="458">
        <f t="shared" si="599"/>
        <v>0</v>
      </c>
      <c r="BA207" s="458">
        <f t="shared" si="599"/>
        <v>0</v>
      </c>
      <c r="BB207" s="458">
        <f t="shared" si="599"/>
        <v>0</v>
      </c>
      <c r="BC207" s="458">
        <f t="shared" si="599"/>
        <v>0</v>
      </c>
      <c r="BD207" s="270">
        <f t="shared" si="599"/>
        <v>0</v>
      </c>
      <c r="BE207" s="270">
        <f t="shared" si="599"/>
        <v>0</v>
      </c>
      <c r="BF207" s="270">
        <f t="shared" si="599"/>
        <v>0</v>
      </c>
      <c r="BG207" s="270">
        <f t="shared" si="599"/>
        <v>0</v>
      </c>
      <c r="BH207" s="270">
        <f t="shared" si="599"/>
        <v>0</v>
      </c>
      <c r="BI207" s="270">
        <f t="shared" si="599"/>
        <v>0</v>
      </c>
      <c r="BJ207" s="270">
        <f t="shared" si="599"/>
        <v>0</v>
      </c>
      <c r="BK207" s="270">
        <f t="shared" si="599"/>
        <v>0</v>
      </c>
      <c r="BL207" s="270">
        <f t="shared" si="599"/>
        <v>0</v>
      </c>
      <c r="BM207" s="270">
        <f t="shared" si="599"/>
        <v>0</v>
      </c>
      <c r="BN207" s="270">
        <f t="shared" si="599"/>
        <v>0</v>
      </c>
      <c r="BO207" s="270">
        <f t="shared" si="599"/>
        <v>0</v>
      </c>
      <c r="BP207" s="270">
        <f t="shared" si="599"/>
        <v>0</v>
      </c>
      <c r="BQ207" s="270">
        <f t="shared" si="599"/>
        <v>0</v>
      </c>
      <c r="BR207" s="270">
        <f t="shared" si="599"/>
        <v>0</v>
      </c>
      <c r="BS207" s="270">
        <f t="shared" si="599"/>
        <v>0</v>
      </c>
      <c r="BT207" s="270">
        <f t="shared" si="599"/>
        <v>0</v>
      </c>
      <c r="BU207" s="270">
        <f t="shared" si="599"/>
        <v>0</v>
      </c>
      <c r="BV207" s="270" t="str">
        <f t="shared" si="599"/>
        <v/>
      </c>
      <c r="BW207" s="270" t="str">
        <f t="shared" si="599"/>
        <v/>
      </c>
      <c r="BX207" s="270" t="str">
        <f t="shared" ref="BX207:DC207" si="600">IF(BX194="","",BX83)</f>
        <v/>
      </c>
      <c r="BY207" s="270" t="str">
        <f t="shared" si="600"/>
        <v/>
      </c>
      <c r="BZ207" s="270" t="str">
        <f t="shared" si="600"/>
        <v/>
      </c>
      <c r="CA207" s="270" t="str">
        <f t="shared" si="600"/>
        <v/>
      </c>
      <c r="CB207" s="270" t="str">
        <f t="shared" si="600"/>
        <v/>
      </c>
      <c r="CC207" s="270" t="str">
        <f t="shared" si="600"/>
        <v/>
      </c>
      <c r="CD207" s="270" t="str">
        <f t="shared" si="600"/>
        <v/>
      </c>
      <c r="CE207" s="270" t="str">
        <f t="shared" si="600"/>
        <v/>
      </c>
      <c r="CF207" s="270" t="str">
        <f t="shared" si="600"/>
        <v/>
      </c>
      <c r="CG207" s="270" t="str">
        <f t="shared" si="600"/>
        <v/>
      </c>
      <c r="CH207" s="270" t="str">
        <f t="shared" si="600"/>
        <v/>
      </c>
      <c r="CI207" s="270" t="str">
        <f t="shared" si="600"/>
        <v/>
      </c>
      <c r="CJ207" s="270" t="str">
        <f t="shared" si="600"/>
        <v/>
      </c>
      <c r="CK207" s="270" t="str">
        <f t="shared" si="600"/>
        <v/>
      </c>
      <c r="CL207" s="270" t="str">
        <f t="shared" si="600"/>
        <v/>
      </c>
      <c r="CM207" s="270" t="str">
        <f t="shared" si="600"/>
        <v/>
      </c>
      <c r="CN207" s="270" t="str">
        <f t="shared" si="600"/>
        <v/>
      </c>
      <c r="CO207" s="270" t="str">
        <f t="shared" si="600"/>
        <v/>
      </c>
      <c r="CP207" s="270" t="str">
        <f t="shared" si="600"/>
        <v/>
      </c>
      <c r="CQ207" s="270" t="str">
        <f t="shared" si="600"/>
        <v/>
      </c>
      <c r="CR207" s="270" t="str">
        <f t="shared" si="600"/>
        <v/>
      </c>
      <c r="CS207" s="270" t="str">
        <f t="shared" si="600"/>
        <v/>
      </c>
      <c r="CT207" s="270" t="str">
        <f t="shared" si="600"/>
        <v/>
      </c>
      <c r="CU207" s="270" t="str">
        <f t="shared" si="600"/>
        <v/>
      </c>
      <c r="CV207" s="270" t="str">
        <f t="shared" si="600"/>
        <v/>
      </c>
      <c r="CW207" s="270" t="str">
        <f t="shared" si="600"/>
        <v/>
      </c>
      <c r="CX207" s="270" t="str">
        <f t="shared" si="600"/>
        <v/>
      </c>
      <c r="CY207" s="270" t="str">
        <f t="shared" si="600"/>
        <v/>
      </c>
      <c r="CZ207" s="270" t="str">
        <f t="shared" si="600"/>
        <v/>
      </c>
      <c r="DA207" s="270" t="str">
        <f t="shared" si="600"/>
        <v/>
      </c>
      <c r="DB207" s="270" t="str">
        <f t="shared" si="600"/>
        <v/>
      </c>
      <c r="DC207" s="270" t="str">
        <f t="shared" si="600"/>
        <v/>
      </c>
      <c r="DD207" s="270" t="str">
        <f t="shared" ref="DD207:EN207" si="601">IF(DD194="","",DD83)</f>
        <v/>
      </c>
      <c r="DE207" s="270" t="str">
        <f t="shared" si="601"/>
        <v/>
      </c>
      <c r="DF207" s="270" t="str">
        <f t="shared" si="601"/>
        <v/>
      </c>
      <c r="DG207" s="270" t="str">
        <f t="shared" si="601"/>
        <v/>
      </c>
      <c r="DH207" s="270" t="str">
        <f t="shared" si="601"/>
        <v/>
      </c>
      <c r="DI207" s="270" t="str">
        <f t="shared" si="601"/>
        <v/>
      </c>
      <c r="DJ207" s="270" t="str">
        <f t="shared" si="601"/>
        <v/>
      </c>
      <c r="DK207" s="270" t="str">
        <f t="shared" si="601"/>
        <v/>
      </c>
      <c r="DL207" s="270" t="str">
        <f t="shared" si="601"/>
        <v/>
      </c>
      <c r="DM207" s="270" t="str">
        <f t="shared" si="601"/>
        <v/>
      </c>
      <c r="DN207" s="270" t="str">
        <f t="shared" si="601"/>
        <v/>
      </c>
      <c r="DO207" s="270" t="str">
        <f t="shared" si="601"/>
        <v/>
      </c>
      <c r="DP207" s="270" t="str">
        <f t="shared" si="601"/>
        <v/>
      </c>
      <c r="DQ207" s="270" t="str">
        <f t="shared" si="601"/>
        <v/>
      </c>
      <c r="DR207" s="270" t="str">
        <f t="shared" si="601"/>
        <v/>
      </c>
      <c r="DS207" s="270" t="str">
        <f t="shared" si="601"/>
        <v/>
      </c>
      <c r="DT207" s="270" t="str">
        <f t="shared" si="601"/>
        <v/>
      </c>
      <c r="DU207" s="270" t="str">
        <f t="shared" si="601"/>
        <v/>
      </c>
      <c r="DV207" s="270" t="str">
        <f t="shared" si="601"/>
        <v/>
      </c>
      <c r="DW207" s="270" t="str">
        <f t="shared" si="601"/>
        <v/>
      </c>
      <c r="DX207" s="270" t="str">
        <f t="shared" si="601"/>
        <v/>
      </c>
      <c r="DY207" s="270" t="str">
        <f t="shared" si="601"/>
        <v/>
      </c>
      <c r="DZ207" s="270" t="str">
        <f t="shared" si="601"/>
        <v/>
      </c>
      <c r="EA207" s="270" t="str">
        <f t="shared" si="601"/>
        <v/>
      </c>
      <c r="EB207" s="270" t="str">
        <f t="shared" si="601"/>
        <v/>
      </c>
      <c r="EC207" s="270" t="str">
        <f t="shared" si="601"/>
        <v/>
      </c>
      <c r="ED207" s="270" t="str">
        <f t="shared" si="601"/>
        <v/>
      </c>
      <c r="EE207" s="270" t="str">
        <f t="shared" si="601"/>
        <v/>
      </c>
      <c r="EF207" s="270" t="str">
        <f t="shared" si="601"/>
        <v/>
      </c>
      <c r="EG207" s="270" t="str">
        <f t="shared" si="601"/>
        <v/>
      </c>
      <c r="EH207" s="270" t="str">
        <f t="shared" si="601"/>
        <v/>
      </c>
      <c r="EI207" s="270" t="str">
        <f t="shared" si="601"/>
        <v/>
      </c>
      <c r="EJ207" s="270" t="str">
        <f t="shared" si="601"/>
        <v/>
      </c>
      <c r="EK207" s="270" t="str">
        <f t="shared" si="601"/>
        <v/>
      </c>
      <c r="EL207" s="270" t="str">
        <f t="shared" si="601"/>
        <v/>
      </c>
      <c r="EM207" s="270" t="str">
        <f t="shared" si="601"/>
        <v/>
      </c>
      <c r="EN207" s="270" t="str">
        <f t="shared" si="601"/>
        <v/>
      </c>
      <c r="EO207" s="5"/>
      <c r="EP207" s="442" t="s">
        <v>395</v>
      </c>
      <c r="EQ207" s="219" t="b">
        <f>AND(H233&lt;H228,D233="Yes")</f>
        <v>0</v>
      </c>
      <c r="ER207" s="262"/>
      <c r="ES207" s="262"/>
      <c r="ET207" s="18" t="s">
        <v>396</v>
      </c>
      <c r="EU207" s="18"/>
      <c r="EV207" s="418">
        <f t="shared" ref="EV207:GA207" si="602">(EV$197&lt;=Timing_Reversion_Month)*IFERROR((IF(CU?,MAX(MIN(EV196-EV201,EV204+EV205+EV206),0),EV201/$I$233*$H$233)),0)</f>
        <v>0</v>
      </c>
      <c r="EW207" s="418">
        <f t="shared" si="602"/>
        <v>0</v>
      </c>
      <c r="EX207" s="418">
        <f t="shared" si="602"/>
        <v>0</v>
      </c>
      <c r="EY207" s="418">
        <f t="shared" si="602"/>
        <v>0</v>
      </c>
      <c r="EZ207" s="418">
        <f t="shared" si="602"/>
        <v>0</v>
      </c>
      <c r="FA207" s="418">
        <f t="shared" si="602"/>
        <v>0</v>
      </c>
      <c r="FB207" s="418">
        <f t="shared" si="602"/>
        <v>0</v>
      </c>
      <c r="FC207" s="418">
        <f t="shared" si="602"/>
        <v>0</v>
      </c>
      <c r="FD207" s="418">
        <f t="shared" si="602"/>
        <v>0</v>
      </c>
      <c r="FE207" s="418">
        <f t="shared" si="602"/>
        <v>0</v>
      </c>
      <c r="FF207" s="418">
        <f t="shared" si="602"/>
        <v>0</v>
      </c>
      <c r="FG207" s="418">
        <f t="shared" si="602"/>
        <v>0</v>
      </c>
      <c r="FH207" s="418">
        <f t="shared" si="602"/>
        <v>0</v>
      </c>
      <c r="FI207" s="418">
        <f t="shared" si="602"/>
        <v>0</v>
      </c>
      <c r="FJ207" s="418">
        <f t="shared" si="602"/>
        <v>0</v>
      </c>
      <c r="FK207" s="418">
        <f t="shared" si="602"/>
        <v>0</v>
      </c>
      <c r="FL207" s="418">
        <f t="shared" si="602"/>
        <v>0</v>
      </c>
      <c r="FM207" s="418">
        <f t="shared" si="602"/>
        <v>0</v>
      </c>
      <c r="FN207" s="418">
        <f t="shared" si="602"/>
        <v>0</v>
      </c>
      <c r="FO207" s="418">
        <f t="shared" si="602"/>
        <v>0</v>
      </c>
      <c r="FP207" s="418">
        <f t="shared" si="602"/>
        <v>0</v>
      </c>
      <c r="FQ207" s="418">
        <f t="shared" si="602"/>
        <v>0</v>
      </c>
      <c r="FR207" s="418">
        <f t="shared" si="602"/>
        <v>0</v>
      </c>
      <c r="FS207" s="418">
        <f t="shared" si="602"/>
        <v>0</v>
      </c>
      <c r="FT207" s="418">
        <f t="shared" si="602"/>
        <v>0</v>
      </c>
      <c r="FU207" s="418">
        <f t="shared" si="602"/>
        <v>0</v>
      </c>
      <c r="FV207" s="418">
        <f t="shared" si="602"/>
        <v>0</v>
      </c>
      <c r="FW207" s="418">
        <f t="shared" si="602"/>
        <v>0</v>
      </c>
      <c r="FX207" s="418">
        <f t="shared" si="602"/>
        <v>0</v>
      </c>
      <c r="FY207" s="418">
        <f t="shared" si="602"/>
        <v>0</v>
      </c>
      <c r="FZ207" s="418">
        <f t="shared" si="602"/>
        <v>0</v>
      </c>
      <c r="GA207" s="418">
        <f t="shared" si="602"/>
        <v>0</v>
      </c>
      <c r="GB207" s="418">
        <f t="shared" ref="GB207:HG207" si="603">(GB$197&lt;=Timing_Reversion_Month)*IFERROR((IF(CU?,MAX(MIN(GB196-GB201,GB204+GB205+GB206),0),GB201/$I$233*$H$233)),0)</f>
        <v>0</v>
      </c>
      <c r="GC207" s="418">
        <f t="shared" si="603"/>
        <v>0</v>
      </c>
      <c r="GD207" s="418">
        <f t="shared" si="603"/>
        <v>0</v>
      </c>
      <c r="GE207" s="418">
        <f t="shared" si="603"/>
        <v>0</v>
      </c>
      <c r="GF207" s="418">
        <f t="shared" si="603"/>
        <v>0</v>
      </c>
      <c r="GG207" s="418">
        <f t="shared" si="603"/>
        <v>0</v>
      </c>
      <c r="GH207" s="418">
        <f t="shared" si="603"/>
        <v>0</v>
      </c>
      <c r="GI207" s="418">
        <f t="shared" si="603"/>
        <v>0</v>
      </c>
      <c r="GJ207" s="418">
        <f t="shared" si="603"/>
        <v>0</v>
      </c>
      <c r="GK207" s="418">
        <f t="shared" si="603"/>
        <v>0</v>
      </c>
      <c r="GL207" s="418">
        <f t="shared" si="603"/>
        <v>0</v>
      </c>
      <c r="GM207" s="418">
        <f t="shared" si="603"/>
        <v>0</v>
      </c>
      <c r="GN207" s="418">
        <f t="shared" si="603"/>
        <v>0</v>
      </c>
      <c r="GO207" s="418">
        <f t="shared" si="603"/>
        <v>0</v>
      </c>
      <c r="GP207" s="418">
        <f t="shared" si="603"/>
        <v>0</v>
      </c>
      <c r="GQ207" s="418">
        <f t="shared" si="603"/>
        <v>0</v>
      </c>
      <c r="GR207" s="418">
        <f t="shared" si="603"/>
        <v>0</v>
      </c>
      <c r="GS207" s="418">
        <f t="shared" si="603"/>
        <v>0</v>
      </c>
      <c r="GT207" s="418">
        <f t="shared" si="603"/>
        <v>0</v>
      </c>
      <c r="GU207" s="418">
        <f t="shared" si="603"/>
        <v>0</v>
      </c>
      <c r="GV207" s="418">
        <f t="shared" si="603"/>
        <v>0</v>
      </c>
      <c r="GW207" s="418">
        <f t="shared" si="603"/>
        <v>0</v>
      </c>
      <c r="GX207" s="418">
        <f t="shared" si="603"/>
        <v>0</v>
      </c>
      <c r="GY207" s="418">
        <f t="shared" si="603"/>
        <v>0</v>
      </c>
      <c r="GZ207" s="418">
        <f t="shared" si="603"/>
        <v>0</v>
      </c>
      <c r="HA207" s="418">
        <f t="shared" si="603"/>
        <v>0</v>
      </c>
      <c r="HB207" s="418">
        <f t="shared" si="603"/>
        <v>0</v>
      </c>
      <c r="HC207" s="418">
        <f t="shared" si="603"/>
        <v>0</v>
      </c>
      <c r="HD207" s="418">
        <f t="shared" si="603"/>
        <v>0</v>
      </c>
      <c r="HE207" s="418">
        <f t="shared" si="603"/>
        <v>0</v>
      </c>
      <c r="HF207" s="418">
        <f t="shared" si="603"/>
        <v>0</v>
      </c>
      <c r="HG207" s="418">
        <f t="shared" si="603"/>
        <v>0</v>
      </c>
      <c r="HH207" s="418">
        <f t="shared" ref="HH207:IM207" si="604">(HH$197&lt;=Timing_Reversion_Month)*IFERROR((IF(CU?,MAX(MIN(HH196-HH201,HH204+HH205+HH206),0),HH201/$I$233*$H$233)),0)</f>
        <v>0</v>
      </c>
      <c r="HI207" s="418">
        <f t="shared" si="604"/>
        <v>0</v>
      </c>
      <c r="HJ207" s="418">
        <f t="shared" si="604"/>
        <v>0</v>
      </c>
      <c r="HK207" s="418">
        <f t="shared" si="604"/>
        <v>0</v>
      </c>
      <c r="HL207" s="418">
        <f t="shared" si="604"/>
        <v>0</v>
      </c>
      <c r="HM207" s="418">
        <f t="shared" si="604"/>
        <v>0</v>
      </c>
      <c r="HN207" s="418">
        <f t="shared" si="604"/>
        <v>0</v>
      </c>
      <c r="HO207" s="418">
        <f t="shared" si="604"/>
        <v>0</v>
      </c>
      <c r="HP207" s="418">
        <f t="shared" si="604"/>
        <v>0</v>
      </c>
      <c r="HQ207" s="418">
        <f t="shared" si="604"/>
        <v>0</v>
      </c>
      <c r="HR207" s="418">
        <f t="shared" si="604"/>
        <v>0</v>
      </c>
      <c r="HS207" s="418">
        <f t="shared" si="604"/>
        <v>0</v>
      </c>
      <c r="HT207" s="418">
        <f t="shared" si="604"/>
        <v>0</v>
      </c>
      <c r="HU207" s="418">
        <f t="shared" si="604"/>
        <v>0</v>
      </c>
      <c r="HV207" s="418">
        <f t="shared" si="604"/>
        <v>0</v>
      </c>
      <c r="HW207" s="418">
        <f t="shared" si="604"/>
        <v>0</v>
      </c>
      <c r="HX207" s="418">
        <f t="shared" si="604"/>
        <v>0</v>
      </c>
      <c r="HY207" s="418">
        <f t="shared" si="604"/>
        <v>0</v>
      </c>
      <c r="HZ207" s="418">
        <f t="shared" si="604"/>
        <v>0</v>
      </c>
      <c r="IA207" s="418">
        <f t="shared" si="604"/>
        <v>0</v>
      </c>
      <c r="IB207" s="418">
        <f t="shared" si="604"/>
        <v>0</v>
      </c>
      <c r="IC207" s="418">
        <f t="shared" si="604"/>
        <v>0</v>
      </c>
      <c r="ID207" s="418">
        <f t="shared" si="604"/>
        <v>0</v>
      </c>
      <c r="IE207" s="418">
        <f t="shared" si="604"/>
        <v>0</v>
      </c>
      <c r="IF207" s="418">
        <f t="shared" si="604"/>
        <v>0</v>
      </c>
      <c r="IG207" s="418">
        <f t="shared" si="604"/>
        <v>0</v>
      </c>
      <c r="IH207" s="418">
        <f t="shared" si="604"/>
        <v>0</v>
      </c>
      <c r="II207" s="418">
        <f t="shared" si="604"/>
        <v>0</v>
      </c>
      <c r="IJ207" s="418">
        <f t="shared" si="604"/>
        <v>0</v>
      </c>
      <c r="IK207" s="418">
        <f t="shared" si="604"/>
        <v>0</v>
      </c>
      <c r="IL207" s="418">
        <f t="shared" si="604"/>
        <v>0</v>
      </c>
      <c r="IM207" s="418">
        <f t="shared" si="604"/>
        <v>0</v>
      </c>
      <c r="IN207" s="418">
        <f t="shared" ref="IN207:JS207" si="605">(IN$197&lt;=Timing_Reversion_Month)*IFERROR((IF(CU?,MAX(MIN(IN196-IN201,IN204+IN205+IN206),0),IN201/$I$233*$H$233)),0)</f>
        <v>0</v>
      </c>
      <c r="IO207" s="418">
        <f t="shared" si="605"/>
        <v>0</v>
      </c>
      <c r="IP207" s="418">
        <f t="shared" si="605"/>
        <v>0</v>
      </c>
      <c r="IQ207" s="418">
        <f t="shared" si="605"/>
        <v>0</v>
      </c>
      <c r="IR207" s="418">
        <f t="shared" si="605"/>
        <v>0</v>
      </c>
      <c r="IS207" s="418">
        <f t="shared" si="605"/>
        <v>0</v>
      </c>
      <c r="IT207" s="418">
        <f t="shared" si="605"/>
        <v>0</v>
      </c>
      <c r="IU207" s="418">
        <f t="shared" si="605"/>
        <v>0</v>
      </c>
      <c r="IV207" s="418">
        <f t="shared" si="605"/>
        <v>0</v>
      </c>
      <c r="IW207" s="418">
        <f t="shared" si="605"/>
        <v>0</v>
      </c>
      <c r="IX207" s="418">
        <f t="shared" si="605"/>
        <v>0</v>
      </c>
      <c r="IY207" s="418">
        <f t="shared" si="605"/>
        <v>0</v>
      </c>
      <c r="IZ207" s="418">
        <f t="shared" si="605"/>
        <v>0</v>
      </c>
      <c r="JA207" s="418">
        <f t="shared" si="605"/>
        <v>0</v>
      </c>
      <c r="JB207" s="418">
        <f t="shared" si="605"/>
        <v>0</v>
      </c>
      <c r="JC207" s="418">
        <f t="shared" si="605"/>
        <v>0</v>
      </c>
      <c r="JD207" s="418">
        <f t="shared" si="605"/>
        <v>0</v>
      </c>
      <c r="JE207" s="418">
        <f t="shared" si="605"/>
        <v>0</v>
      </c>
      <c r="JF207" s="418">
        <f t="shared" si="605"/>
        <v>0</v>
      </c>
      <c r="JG207" s="418">
        <f t="shared" si="605"/>
        <v>0</v>
      </c>
      <c r="JH207" s="418">
        <f t="shared" si="605"/>
        <v>0</v>
      </c>
      <c r="JI207" s="418">
        <f t="shared" si="605"/>
        <v>0</v>
      </c>
      <c r="JJ207" s="418">
        <f t="shared" si="605"/>
        <v>0</v>
      </c>
      <c r="JK207" s="418">
        <f t="shared" si="605"/>
        <v>0</v>
      </c>
      <c r="JL207" s="418">
        <f t="shared" si="605"/>
        <v>0</v>
      </c>
      <c r="JM207" s="418">
        <f t="shared" si="605"/>
        <v>0</v>
      </c>
      <c r="JN207" s="418">
        <f t="shared" si="605"/>
        <v>0</v>
      </c>
      <c r="JO207" s="418">
        <f t="shared" si="605"/>
        <v>0</v>
      </c>
      <c r="JP207" s="418">
        <f t="shared" si="605"/>
        <v>0</v>
      </c>
      <c r="JQ207" s="418">
        <f t="shared" si="605"/>
        <v>0</v>
      </c>
      <c r="JR207" s="418">
        <f t="shared" si="605"/>
        <v>0</v>
      </c>
      <c r="JS207" s="418">
        <f t="shared" si="605"/>
        <v>0</v>
      </c>
      <c r="JT207" s="418">
        <f>(JT$197&lt;=Timing_Reversion_Month)*IFERROR((IF(CU?,MAX(MIN(JT196-JT201,JT204+JT205+JT206),0),JT201/$I$233*$H$233)),0)</f>
        <v>0</v>
      </c>
      <c r="JU207" s="418">
        <f>(JU$197&lt;=Timing_Reversion_Month)*IFERROR((IF(CU?,MAX(MIN(JU196-JU201,JU204+JU205+JU206),0),JU201/$I$233*$H$233)),0)</f>
        <v>0</v>
      </c>
      <c r="JV207" s="418">
        <f>(JV$197&lt;=Timing_Reversion_Month)*IFERROR((IF(CU?,MAX(MIN(JV196-JV201,JV204+JV205+JV206),0),JV201/$I$233*$H$233)),0)</f>
        <v>0</v>
      </c>
      <c r="JW207" s="418">
        <f>(JW$197&lt;=Timing_Reversion_Month)*IFERROR((IF(CU?,MAX(MIN(JW196-JW201,JW204+JW205+JW206),0),JW201/$I$233*$H$233)),0)</f>
        <v>0</v>
      </c>
      <c r="JX207" s="418">
        <f>(JX$197&lt;=Timing_Reversion_Month)*IFERROR((IF(CU?,MAX(MIN(JX196-JX201,JX204+JX205+JX206),0),JX201/$I$233*$H$233)),0)</f>
        <v>0</v>
      </c>
      <c r="JY207"/>
      <c r="JZ207" s="262"/>
      <c r="KA207" s="262"/>
      <c r="KB207" s="262"/>
      <c r="KC207" s="262"/>
      <c r="KD207" s="262"/>
      <c r="KE207" s="262"/>
      <c r="KF207" s="262"/>
      <c r="KG207" s="262"/>
      <c r="KH207" s="262"/>
      <c r="KI207" s="262"/>
      <c r="KJ207" s="262"/>
      <c r="KK207" s="262"/>
      <c r="KL207" s="262"/>
      <c r="KM207" s="262"/>
      <c r="KN207" s="262"/>
      <c r="KO207" s="262"/>
      <c r="KP207" s="262"/>
      <c r="KQ207" s="262"/>
      <c r="KR207" s="262"/>
      <c r="KS207" s="262"/>
      <c r="KT207" s="262"/>
      <c r="KU207" s="262"/>
      <c r="KV207" s="262"/>
      <c r="KW207" s="262"/>
      <c r="KX207" s="262"/>
      <c r="KY207" s="262"/>
      <c r="KZ207" s="262"/>
      <c r="LA207" s="262"/>
      <c r="LB207" s="262"/>
      <c r="LC207" s="262"/>
      <c r="LD207" s="262"/>
      <c r="LE207" s="262"/>
      <c r="LF207" s="262"/>
      <c r="LG207" s="262"/>
      <c r="LH207" s="262"/>
      <c r="LI207" s="262"/>
      <c r="LJ207" s="262"/>
      <c r="LK207" s="262"/>
      <c r="LL207" s="262"/>
      <c r="LM207" s="262"/>
      <c r="LN207" s="262"/>
      <c r="LO207" s="262"/>
      <c r="LP207" s="262"/>
      <c r="LQ207" s="262"/>
      <c r="LR207" s="262"/>
      <c r="LS207" s="262"/>
      <c r="LT207" s="262"/>
      <c r="LU207" s="262"/>
      <c r="LV207" s="262"/>
      <c r="LW207" s="262"/>
      <c r="LX207" s="262"/>
      <c r="LY207" s="262"/>
      <c r="LZ207" s="262"/>
      <c r="MA207" s="262"/>
      <c r="MB207" s="262"/>
      <c r="MC207" s="262"/>
      <c r="MD207" s="262"/>
      <c r="ME207" s="262"/>
      <c r="MF207" s="262"/>
      <c r="MG207" s="262"/>
      <c r="MH207" s="262"/>
      <c r="MI207" s="262"/>
      <c r="MJ207" s="262"/>
      <c r="MK207" s="262"/>
      <c r="ML207" s="262"/>
      <c r="MM207" s="262"/>
      <c r="MN207" s="262"/>
      <c r="MO207" s="262"/>
      <c r="MP207" s="262"/>
      <c r="MQ207" s="262"/>
      <c r="MR207" s="262"/>
      <c r="MS207" s="262"/>
      <c r="MT207" s="262"/>
      <c r="MU207" s="262"/>
      <c r="MV207" s="262"/>
      <c r="MW207" s="262"/>
      <c r="MX207" s="262"/>
      <c r="MY207" s="262"/>
      <c r="MZ207" s="262"/>
      <c r="NA207" s="262"/>
      <c r="NB207" s="262"/>
      <c r="NC207" s="262"/>
      <c r="ND207" s="262"/>
      <c r="NE207" s="262"/>
      <c r="NF207" s="262"/>
      <c r="NG207" s="262"/>
      <c r="NH207" s="262"/>
      <c r="NI207" s="262"/>
      <c r="NJ207" s="262"/>
      <c r="NK207" s="262"/>
      <c r="NL207" s="262"/>
      <c r="NM207" s="262"/>
      <c r="NN207" s="262"/>
      <c r="NO207" s="262"/>
      <c r="NP207" s="262"/>
      <c r="NQ207" s="262"/>
      <c r="NR207" s="262"/>
      <c r="NS207" s="262"/>
      <c r="NT207" s="262"/>
      <c r="NU207" s="262"/>
      <c r="NV207" s="262"/>
      <c r="NW207" s="262"/>
      <c r="NX207" s="262"/>
      <c r="NY207" s="262"/>
      <c r="NZ207" s="262"/>
      <c r="OA207" s="262"/>
      <c r="OB207" s="262"/>
      <c r="OC207" s="262"/>
      <c r="OD207" s="262"/>
      <c r="OE207" s="262"/>
      <c r="OF207" s="262"/>
      <c r="OG207" s="262"/>
      <c r="OH207" s="262"/>
      <c r="OI207" s="262"/>
      <c r="OJ207" s="262"/>
      <c r="OK207" s="262"/>
      <c r="OL207" s="262"/>
      <c r="OM207" s="262"/>
      <c r="ON207" s="262"/>
      <c r="OO207" s="262"/>
      <c r="OP207" s="262"/>
      <c r="OQ207" s="262"/>
      <c r="OR207" s="262"/>
      <c r="OS207" s="262"/>
      <c r="OT207" s="262"/>
      <c r="OU207" s="262"/>
      <c r="OV207" s="262"/>
      <c r="OW207" s="262"/>
      <c r="OX207" s="262"/>
      <c r="OY207" s="262"/>
      <c r="OZ207" s="262"/>
      <c r="PA207" s="262"/>
      <c r="PB207" s="262"/>
      <c r="PC207" s="262"/>
      <c r="PD207" s="262"/>
      <c r="PE207" s="262"/>
      <c r="PF207" s="262"/>
      <c r="PG207" s="262"/>
      <c r="PH207" s="262"/>
    </row>
    <row r="208" spans="1:424" x14ac:dyDescent="0.35">
      <c r="A208"/>
      <c r="B208" s="34" t="s">
        <v>397</v>
      </c>
      <c r="C208" s="400"/>
      <c r="D208" s="400"/>
      <c r="E208" s="400"/>
      <c r="F208" s="400"/>
      <c r="G208" s="400"/>
      <c r="H208" s="40"/>
      <c r="I208" s="445">
        <f>SUM(I205:I207)+I200</f>
        <v>472732398.42289627</v>
      </c>
      <c r="J208"/>
      <c r="K208" s="5"/>
      <c r="L208" s="458">
        <f>IF(L194="","",SUM(L205:L207,L200))</f>
        <v>0</v>
      </c>
      <c r="M208" s="458">
        <f t="shared" ref="M208:BX208" si="606">IF(M194="","",SUM(M205:M207,M200))</f>
        <v>0</v>
      </c>
      <c r="N208" s="458">
        <f t="shared" si="606"/>
        <v>0</v>
      </c>
      <c r="O208" s="458">
        <f t="shared" si="606"/>
        <v>0</v>
      </c>
      <c r="P208" s="458">
        <f t="shared" si="606"/>
        <v>0</v>
      </c>
      <c r="Q208" s="458">
        <f t="shared" si="606"/>
        <v>0</v>
      </c>
      <c r="R208" s="458">
        <f t="shared" si="606"/>
        <v>0</v>
      </c>
      <c r="S208" s="458">
        <f t="shared" si="606"/>
        <v>0</v>
      </c>
      <c r="T208" s="458">
        <f t="shared" si="606"/>
        <v>0</v>
      </c>
      <c r="U208" s="458">
        <f t="shared" si="606"/>
        <v>0</v>
      </c>
      <c r="V208" s="458">
        <f t="shared" si="606"/>
        <v>0</v>
      </c>
      <c r="W208" s="458">
        <f t="shared" si="606"/>
        <v>0</v>
      </c>
      <c r="X208" s="458">
        <f t="shared" si="606"/>
        <v>0</v>
      </c>
      <c r="Y208" s="458">
        <f t="shared" si="606"/>
        <v>0</v>
      </c>
      <c r="Z208" s="458">
        <f t="shared" si="606"/>
        <v>0</v>
      </c>
      <c r="AA208" s="458">
        <f t="shared" si="606"/>
        <v>0</v>
      </c>
      <c r="AB208" s="458">
        <f t="shared" si="606"/>
        <v>0</v>
      </c>
      <c r="AC208" s="458">
        <f t="shared" si="606"/>
        <v>0</v>
      </c>
      <c r="AD208" s="458">
        <f t="shared" si="606"/>
        <v>0</v>
      </c>
      <c r="AE208" s="458">
        <f t="shared" si="606"/>
        <v>0</v>
      </c>
      <c r="AF208" s="458">
        <f t="shared" si="606"/>
        <v>0</v>
      </c>
      <c r="AG208" s="458">
        <f t="shared" si="606"/>
        <v>0</v>
      </c>
      <c r="AH208" s="458">
        <f t="shared" si="606"/>
        <v>0</v>
      </c>
      <c r="AI208" s="458">
        <f t="shared" si="606"/>
        <v>0</v>
      </c>
      <c r="AJ208" s="458">
        <f t="shared" si="606"/>
        <v>0</v>
      </c>
      <c r="AK208" s="458">
        <f t="shared" si="606"/>
        <v>0</v>
      </c>
      <c r="AL208" s="458">
        <f t="shared" si="606"/>
        <v>0</v>
      </c>
      <c r="AM208" s="458">
        <f t="shared" si="606"/>
        <v>0</v>
      </c>
      <c r="AN208" s="458">
        <f t="shared" si="606"/>
        <v>0</v>
      </c>
      <c r="AO208" s="458">
        <f t="shared" si="606"/>
        <v>0</v>
      </c>
      <c r="AP208" s="458">
        <f t="shared" si="606"/>
        <v>0</v>
      </c>
      <c r="AQ208" s="458">
        <f t="shared" si="606"/>
        <v>0</v>
      </c>
      <c r="AR208" s="458">
        <f t="shared" si="606"/>
        <v>0</v>
      </c>
      <c r="AS208" s="458">
        <f t="shared" si="606"/>
        <v>0</v>
      </c>
      <c r="AT208" s="458">
        <f t="shared" si="606"/>
        <v>0</v>
      </c>
      <c r="AU208" s="458">
        <f t="shared" si="606"/>
        <v>0</v>
      </c>
      <c r="AV208" s="458">
        <f t="shared" si="606"/>
        <v>0</v>
      </c>
      <c r="AW208" s="458">
        <f t="shared" si="606"/>
        <v>0</v>
      </c>
      <c r="AX208" s="458">
        <f t="shared" si="606"/>
        <v>0</v>
      </c>
      <c r="AY208" s="458">
        <f t="shared" si="606"/>
        <v>0</v>
      </c>
      <c r="AZ208" s="458">
        <f t="shared" si="606"/>
        <v>0</v>
      </c>
      <c r="BA208" s="458">
        <f t="shared" si="606"/>
        <v>0</v>
      </c>
      <c r="BB208" s="458">
        <f t="shared" si="606"/>
        <v>0</v>
      </c>
      <c r="BC208" s="458">
        <f t="shared" si="606"/>
        <v>0</v>
      </c>
      <c r="BD208" s="270">
        <f t="shared" si="606"/>
        <v>0</v>
      </c>
      <c r="BE208" s="270">
        <f t="shared" si="606"/>
        <v>0</v>
      </c>
      <c r="BF208" s="270">
        <f t="shared" si="606"/>
        <v>0</v>
      </c>
      <c r="BG208" s="270">
        <f t="shared" si="606"/>
        <v>0</v>
      </c>
      <c r="BH208" s="270">
        <f t="shared" si="606"/>
        <v>0</v>
      </c>
      <c r="BI208" s="270">
        <f t="shared" si="606"/>
        <v>0</v>
      </c>
      <c r="BJ208" s="270">
        <f t="shared" si="606"/>
        <v>0</v>
      </c>
      <c r="BK208" s="270">
        <f t="shared" si="606"/>
        <v>0</v>
      </c>
      <c r="BL208" s="270">
        <f t="shared" si="606"/>
        <v>0</v>
      </c>
      <c r="BM208" s="270">
        <f t="shared" si="606"/>
        <v>0</v>
      </c>
      <c r="BN208" s="270">
        <f t="shared" si="606"/>
        <v>0</v>
      </c>
      <c r="BO208" s="270">
        <f t="shared" si="606"/>
        <v>0</v>
      </c>
      <c r="BP208" s="270">
        <f t="shared" si="606"/>
        <v>0</v>
      </c>
      <c r="BQ208" s="270">
        <f t="shared" si="606"/>
        <v>0</v>
      </c>
      <c r="BR208" s="270">
        <f t="shared" si="606"/>
        <v>0</v>
      </c>
      <c r="BS208" s="270">
        <f t="shared" si="606"/>
        <v>0</v>
      </c>
      <c r="BT208" s="270">
        <f t="shared" si="606"/>
        <v>0</v>
      </c>
      <c r="BU208" s="270">
        <f t="shared" si="606"/>
        <v>472732398.42289627</v>
      </c>
      <c r="BV208" s="270" t="str">
        <f t="shared" si="606"/>
        <v/>
      </c>
      <c r="BW208" s="270" t="str">
        <f t="shared" si="606"/>
        <v/>
      </c>
      <c r="BX208" s="270" t="str">
        <f t="shared" si="606"/>
        <v/>
      </c>
      <c r="BY208" s="270" t="str">
        <f t="shared" ref="BY208:EJ208" si="607">IF(BY194="","",SUM(BY205:BY207,BY200))</f>
        <v/>
      </c>
      <c r="BZ208" s="270" t="str">
        <f t="shared" si="607"/>
        <v/>
      </c>
      <c r="CA208" s="270" t="str">
        <f t="shared" si="607"/>
        <v/>
      </c>
      <c r="CB208" s="270" t="str">
        <f t="shared" si="607"/>
        <v/>
      </c>
      <c r="CC208" s="270" t="str">
        <f t="shared" si="607"/>
        <v/>
      </c>
      <c r="CD208" s="270" t="str">
        <f t="shared" si="607"/>
        <v/>
      </c>
      <c r="CE208" s="270" t="str">
        <f t="shared" si="607"/>
        <v/>
      </c>
      <c r="CF208" s="270" t="str">
        <f t="shared" si="607"/>
        <v/>
      </c>
      <c r="CG208" s="270" t="str">
        <f t="shared" si="607"/>
        <v/>
      </c>
      <c r="CH208" s="270" t="str">
        <f t="shared" si="607"/>
        <v/>
      </c>
      <c r="CI208" s="270" t="str">
        <f t="shared" si="607"/>
        <v/>
      </c>
      <c r="CJ208" s="270" t="str">
        <f t="shared" si="607"/>
        <v/>
      </c>
      <c r="CK208" s="270" t="str">
        <f t="shared" si="607"/>
        <v/>
      </c>
      <c r="CL208" s="270" t="str">
        <f t="shared" si="607"/>
        <v/>
      </c>
      <c r="CM208" s="270" t="str">
        <f t="shared" si="607"/>
        <v/>
      </c>
      <c r="CN208" s="270" t="str">
        <f t="shared" si="607"/>
        <v/>
      </c>
      <c r="CO208" s="270" t="str">
        <f t="shared" si="607"/>
        <v/>
      </c>
      <c r="CP208" s="270" t="str">
        <f t="shared" si="607"/>
        <v/>
      </c>
      <c r="CQ208" s="270" t="str">
        <f t="shared" si="607"/>
        <v/>
      </c>
      <c r="CR208" s="270" t="str">
        <f t="shared" si="607"/>
        <v/>
      </c>
      <c r="CS208" s="270" t="str">
        <f t="shared" si="607"/>
        <v/>
      </c>
      <c r="CT208" s="270" t="str">
        <f t="shared" si="607"/>
        <v/>
      </c>
      <c r="CU208" s="270" t="str">
        <f t="shared" si="607"/>
        <v/>
      </c>
      <c r="CV208" s="270" t="str">
        <f t="shared" si="607"/>
        <v/>
      </c>
      <c r="CW208" s="270" t="str">
        <f t="shared" si="607"/>
        <v/>
      </c>
      <c r="CX208" s="270" t="str">
        <f t="shared" si="607"/>
        <v/>
      </c>
      <c r="CY208" s="270" t="str">
        <f t="shared" si="607"/>
        <v/>
      </c>
      <c r="CZ208" s="270" t="str">
        <f t="shared" si="607"/>
        <v/>
      </c>
      <c r="DA208" s="270" t="str">
        <f t="shared" si="607"/>
        <v/>
      </c>
      <c r="DB208" s="270" t="str">
        <f t="shared" si="607"/>
        <v/>
      </c>
      <c r="DC208" s="270" t="str">
        <f t="shared" si="607"/>
        <v/>
      </c>
      <c r="DD208" s="270" t="str">
        <f t="shared" si="607"/>
        <v/>
      </c>
      <c r="DE208" s="270" t="str">
        <f t="shared" si="607"/>
        <v/>
      </c>
      <c r="DF208" s="270" t="str">
        <f t="shared" si="607"/>
        <v/>
      </c>
      <c r="DG208" s="270" t="str">
        <f t="shared" si="607"/>
        <v/>
      </c>
      <c r="DH208" s="270" t="str">
        <f t="shared" si="607"/>
        <v/>
      </c>
      <c r="DI208" s="270" t="str">
        <f t="shared" si="607"/>
        <v/>
      </c>
      <c r="DJ208" s="270" t="str">
        <f t="shared" si="607"/>
        <v/>
      </c>
      <c r="DK208" s="270" t="str">
        <f t="shared" si="607"/>
        <v/>
      </c>
      <c r="DL208" s="270" t="str">
        <f t="shared" si="607"/>
        <v/>
      </c>
      <c r="DM208" s="270" t="str">
        <f t="shared" si="607"/>
        <v/>
      </c>
      <c r="DN208" s="270" t="str">
        <f t="shared" si="607"/>
        <v/>
      </c>
      <c r="DO208" s="270" t="str">
        <f t="shared" si="607"/>
        <v/>
      </c>
      <c r="DP208" s="270" t="str">
        <f t="shared" si="607"/>
        <v/>
      </c>
      <c r="DQ208" s="270" t="str">
        <f t="shared" si="607"/>
        <v/>
      </c>
      <c r="DR208" s="270" t="str">
        <f t="shared" si="607"/>
        <v/>
      </c>
      <c r="DS208" s="270" t="str">
        <f t="shared" si="607"/>
        <v/>
      </c>
      <c r="DT208" s="270" t="str">
        <f t="shared" si="607"/>
        <v/>
      </c>
      <c r="DU208" s="270" t="str">
        <f t="shared" si="607"/>
        <v/>
      </c>
      <c r="DV208" s="270" t="str">
        <f t="shared" si="607"/>
        <v/>
      </c>
      <c r="DW208" s="270" t="str">
        <f t="shared" si="607"/>
        <v/>
      </c>
      <c r="DX208" s="270" t="str">
        <f t="shared" si="607"/>
        <v/>
      </c>
      <c r="DY208" s="270" t="str">
        <f t="shared" si="607"/>
        <v/>
      </c>
      <c r="DZ208" s="270" t="str">
        <f t="shared" si="607"/>
        <v/>
      </c>
      <c r="EA208" s="270" t="str">
        <f t="shared" si="607"/>
        <v/>
      </c>
      <c r="EB208" s="270" t="str">
        <f t="shared" si="607"/>
        <v/>
      </c>
      <c r="EC208" s="270" t="str">
        <f t="shared" si="607"/>
        <v/>
      </c>
      <c r="ED208" s="270" t="str">
        <f t="shared" si="607"/>
        <v/>
      </c>
      <c r="EE208" s="270" t="str">
        <f t="shared" si="607"/>
        <v/>
      </c>
      <c r="EF208" s="270" t="str">
        <f t="shared" si="607"/>
        <v/>
      </c>
      <c r="EG208" s="270" t="str">
        <f t="shared" si="607"/>
        <v/>
      </c>
      <c r="EH208" s="270" t="str">
        <f t="shared" si="607"/>
        <v/>
      </c>
      <c r="EI208" s="270" t="str">
        <f t="shared" si="607"/>
        <v/>
      </c>
      <c r="EJ208" s="270" t="str">
        <f t="shared" si="607"/>
        <v/>
      </c>
      <c r="EK208" s="270" t="str">
        <f>IF(EK194="","",SUM(EK205:EK207,EK200))</f>
        <v/>
      </c>
      <c r="EL208" s="270" t="str">
        <f>IF(EL194="","",SUM(EL205:EL207,EL200))</f>
        <v/>
      </c>
      <c r="EM208" s="270" t="str">
        <f>IF(EM194="","",SUM(EM205:EM207,EM200))</f>
        <v/>
      </c>
      <c r="EN208" s="270" t="str">
        <f>IF(EN194="","",SUM(EN205:EN207,EN200))</f>
        <v/>
      </c>
      <c r="EO208" s="5"/>
      <c r="EP208" s="442"/>
      <c r="EQ208" s="262"/>
      <c r="ER208" s="262"/>
      <c r="ES208" s="262"/>
      <c r="ET208" s="18" t="s">
        <v>398</v>
      </c>
      <c r="EU208" s="81"/>
      <c r="EV208" s="418">
        <f t="shared" ref="EV208:GA208" si="608">(EV$197&lt;=Timing_Reversion_Month)*(EV204+EV205+EV206-EV207)</f>
        <v>0</v>
      </c>
      <c r="EW208" s="418">
        <f t="shared" si="608"/>
        <v>0</v>
      </c>
      <c r="EX208" s="418">
        <f t="shared" si="608"/>
        <v>0</v>
      </c>
      <c r="EY208" s="418">
        <f t="shared" si="608"/>
        <v>0</v>
      </c>
      <c r="EZ208" s="418">
        <f t="shared" si="608"/>
        <v>0</v>
      </c>
      <c r="FA208" s="418">
        <f t="shared" si="608"/>
        <v>0</v>
      </c>
      <c r="FB208" s="418">
        <f t="shared" si="608"/>
        <v>0</v>
      </c>
      <c r="FC208" s="418">
        <f t="shared" si="608"/>
        <v>0</v>
      </c>
      <c r="FD208" s="418">
        <f t="shared" si="608"/>
        <v>0</v>
      </c>
      <c r="FE208" s="418">
        <f t="shared" si="608"/>
        <v>0</v>
      </c>
      <c r="FF208" s="418">
        <f t="shared" si="608"/>
        <v>0</v>
      </c>
      <c r="FG208" s="418">
        <f t="shared" si="608"/>
        <v>0</v>
      </c>
      <c r="FH208" s="418">
        <f t="shared" si="608"/>
        <v>0</v>
      </c>
      <c r="FI208" s="418">
        <f t="shared" si="608"/>
        <v>0</v>
      </c>
      <c r="FJ208" s="418">
        <f t="shared" si="608"/>
        <v>0</v>
      </c>
      <c r="FK208" s="418">
        <f t="shared" si="608"/>
        <v>0</v>
      </c>
      <c r="FL208" s="418">
        <f t="shared" si="608"/>
        <v>0</v>
      </c>
      <c r="FM208" s="418">
        <f t="shared" si="608"/>
        <v>0</v>
      </c>
      <c r="FN208" s="418">
        <f t="shared" si="608"/>
        <v>0</v>
      </c>
      <c r="FO208" s="418">
        <f t="shared" si="608"/>
        <v>0</v>
      </c>
      <c r="FP208" s="418">
        <f t="shared" si="608"/>
        <v>0</v>
      </c>
      <c r="FQ208" s="418">
        <f t="shared" si="608"/>
        <v>0</v>
      </c>
      <c r="FR208" s="418">
        <f t="shared" si="608"/>
        <v>0</v>
      </c>
      <c r="FS208" s="418">
        <f t="shared" si="608"/>
        <v>0</v>
      </c>
      <c r="FT208" s="418">
        <f t="shared" si="608"/>
        <v>0</v>
      </c>
      <c r="FU208" s="418">
        <f t="shared" si="608"/>
        <v>0</v>
      </c>
      <c r="FV208" s="418">
        <f t="shared" si="608"/>
        <v>0</v>
      </c>
      <c r="FW208" s="418">
        <f t="shared" si="608"/>
        <v>0</v>
      </c>
      <c r="FX208" s="418">
        <f t="shared" si="608"/>
        <v>0</v>
      </c>
      <c r="FY208" s="418">
        <f t="shared" si="608"/>
        <v>0</v>
      </c>
      <c r="FZ208" s="418">
        <f t="shared" si="608"/>
        <v>0</v>
      </c>
      <c r="GA208" s="418">
        <f t="shared" si="608"/>
        <v>0</v>
      </c>
      <c r="GB208" s="418">
        <f t="shared" ref="GB208:HG208" si="609">(GB$197&lt;=Timing_Reversion_Month)*(GB204+GB205+GB206-GB207)</f>
        <v>0</v>
      </c>
      <c r="GC208" s="418">
        <f t="shared" si="609"/>
        <v>0</v>
      </c>
      <c r="GD208" s="418">
        <f t="shared" si="609"/>
        <v>0</v>
      </c>
      <c r="GE208" s="418">
        <f t="shared" si="609"/>
        <v>0</v>
      </c>
      <c r="GF208" s="418">
        <f t="shared" si="609"/>
        <v>0</v>
      </c>
      <c r="GG208" s="418">
        <f t="shared" si="609"/>
        <v>0</v>
      </c>
      <c r="GH208" s="418">
        <f t="shared" si="609"/>
        <v>0</v>
      </c>
      <c r="GI208" s="418">
        <f t="shared" si="609"/>
        <v>0</v>
      </c>
      <c r="GJ208" s="418">
        <f t="shared" si="609"/>
        <v>0</v>
      </c>
      <c r="GK208" s="418">
        <f t="shared" si="609"/>
        <v>0</v>
      </c>
      <c r="GL208" s="418">
        <f t="shared" si="609"/>
        <v>0</v>
      </c>
      <c r="GM208" s="418">
        <f t="shared" si="609"/>
        <v>0</v>
      </c>
      <c r="GN208" s="418">
        <f t="shared" si="609"/>
        <v>0</v>
      </c>
      <c r="GO208" s="418">
        <f t="shared" si="609"/>
        <v>0</v>
      </c>
      <c r="GP208" s="418">
        <f t="shared" si="609"/>
        <v>0</v>
      </c>
      <c r="GQ208" s="418">
        <f t="shared" si="609"/>
        <v>0</v>
      </c>
      <c r="GR208" s="418">
        <f t="shared" si="609"/>
        <v>0</v>
      </c>
      <c r="GS208" s="418">
        <f t="shared" si="609"/>
        <v>0</v>
      </c>
      <c r="GT208" s="418">
        <f t="shared" si="609"/>
        <v>0</v>
      </c>
      <c r="GU208" s="418">
        <f t="shared" si="609"/>
        <v>0</v>
      </c>
      <c r="GV208" s="418">
        <f t="shared" si="609"/>
        <v>0</v>
      </c>
      <c r="GW208" s="418">
        <f t="shared" si="609"/>
        <v>0</v>
      </c>
      <c r="GX208" s="418">
        <f t="shared" si="609"/>
        <v>0</v>
      </c>
      <c r="GY208" s="418">
        <f t="shared" si="609"/>
        <v>0</v>
      </c>
      <c r="GZ208" s="418">
        <f t="shared" si="609"/>
        <v>0</v>
      </c>
      <c r="HA208" s="418">
        <f t="shared" si="609"/>
        <v>0</v>
      </c>
      <c r="HB208" s="418">
        <f t="shared" si="609"/>
        <v>0</v>
      </c>
      <c r="HC208" s="418">
        <f t="shared" si="609"/>
        <v>0</v>
      </c>
      <c r="HD208" s="418">
        <f t="shared" si="609"/>
        <v>0</v>
      </c>
      <c r="HE208" s="418">
        <f t="shared" si="609"/>
        <v>0</v>
      </c>
      <c r="HF208" s="418">
        <f t="shared" si="609"/>
        <v>0</v>
      </c>
      <c r="HG208" s="418">
        <f t="shared" si="609"/>
        <v>0</v>
      </c>
      <c r="HH208" s="418">
        <f t="shared" ref="HH208:IM208" si="610">(HH$197&lt;=Timing_Reversion_Month)*(HH204+HH205+HH206-HH207)</f>
        <v>0</v>
      </c>
      <c r="HI208" s="418">
        <f t="shared" si="610"/>
        <v>0</v>
      </c>
      <c r="HJ208" s="418">
        <f t="shared" si="610"/>
        <v>0</v>
      </c>
      <c r="HK208" s="418">
        <f t="shared" si="610"/>
        <v>0</v>
      </c>
      <c r="HL208" s="418">
        <f t="shared" si="610"/>
        <v>0</v>
      </c>
      <c r="HM208" s="418">
        <f t="shared" si="610"/>
        <v>0</v>
      </c>
      <c r="HN208" s="418">
        <f t="shared" si="610"/>
        <v>0</v>
      </c>
      <c r="HO208" s="418">
        <f t="shared" si="610"/>
        <v>0</v>
      </c>
      <c r="HP208" s="418">
        <f t="shared" si="610"/>
        <v>0</v>
      </c>
      <c r="HQ208" s="418">
        <f t="shared" si="610"/>
        <v>0</v>
      </c>
      <c r="HR208" s="418">
        <f t="shared" si="610"/>
        <v>0</v>
      </c>
      <c r="HS208" s="418">
        <f t="shared" si="610"/>
        <v>0</v>
      </c>
      <c r="HT208" s="418">
        <f t="shared" si="610"/>
        <v>0</v>
      </c>
      <c r="HU208" s="418">
        <f t="shared" si="610"/>
        <v>0</v>
      </c>
      <c r="HV208" s="418">
        <f t="shared" si="610"/>
        <v>0</v>
      </c>
      <c r="HW208" s="418">
        <f t="shared" si="610"/>
        <v>0</v>
      </c>
      <c r="HX208" s="418">
        <f t="shared" si="610"/>
        <v>0</v>
      </c>
      <c r="HY208" s="418">
        <f t="shared" si="610"/>
        <v>0</v>
      </c>
      <c r="HZ208" s="418">
        <f t="shared" si="610"/>
        <v>0</v>
      </c>
      <c r="IA208" s="418">
        <f t="shared" si="610"/>
        <v>0</v>
      </c>
      <c r="IB208" s="418">
        <f t="shared" si="610"/>
        <v>0</v>
      </c>
      <c r="IC208" s="418">
        <f t="shared" si="610"/>
        <v>0</v>
      </c>
      <c r="ID208" s="418">
        <f t="shared" si="610"/>
        <v>0</v>
      </c>
      <c r="IE208" s="418">
        <f t="shared" si="610"/>
        <v>0</v>
      </c>
      <c r="IF208" s="418">
        <f t="shared" si="610"/>
        <v>0</v>
      </c>
      <c r="IG208" s="418">
        <f t="shared" si="610"/>
        <v>0</v>
      </c>
      <c r="IH208" s="418">
        <f t="shared" si="610"/>
        <v>0</v>
      </c>
      <c r="II208" s="418">
        <f t="shared" si="610"/>
        <v>0</v>
      </c>
      <c r="IJ208" s="418">
        <f t="shared" si="610"/>
        <v>0</v>
      </c>
      <c r="IK208" s="418">
        <f t="shared" si="610"/>
        <v>0</v>
      </c>
      <c r="IL208" s="418">
        <f t="shared" si="610"/>
        <v>0</v>
      </c>
      <c r="IM208" s="418">
        <f t="shared" si="610"/>
        <v>0</v>
      </c>
      <c r="IN208" s="418">
        <f t="shared" ref="IN208:JS208" si="611">(IN$197&lt;=Timing_Reversion_Month)*(IN204+IN205+IN206-IN207)</f>
        <v>0</v>
      </c>
      <c r="IO208" s="418">
        <f t="shared" si="611"/>
        <v>0</v>
      </c>
      <c r="IP208" s="418">
        <f t="shared" si="611"/>
        <v>0</v>
      </c>
      <c r="IQ208" s="418">
        <f t="shared" si="611"/>
        <v>0</v>
      </c>
      <c r="IR208" s="418">
        <f t="shared" si="611"/>
        <v>0</v>
      </c>
      <c r="IS208" s="418">
        <f t="shared" si="611"/>
        <v>0</v>
      </c>
      <c r="IT208" s="418">
        <f t="shared" si="611"/>
        <v>0</v>
      </c>
      <c r="IU208" s="418">
        <f t="shared" si="611"/>
        <v>0</v>
      </c>
      <c r="IV208" s="418">
        <f t="shared" si="611"/>
        <v>0</v>
      </c>
      <c r="IW208" s="418">
        <f t="shared" si="611"/>
        <v>0</v>
      </c>
      <c r="IX208" s="418">
        <f t="shared" si="611"/>
        <v>0</v>
      </c>
      <c r="IY208" s="418">
        <f t="shared" si="611"/>
        <v>0</v>
      </c>
      <c r="IZ208" s="418">
        <f t="shared" si="611"/>
        <v>0</v>
      </c>
      <c r="JA208" s="418">
        <f t="shared" si="611"/>
        <v>0</v>
      </c>
      <c r="JB208" s="418">
        <f t="shared" si="611"/>
        <v>0</v>
      </c>
      <c r="JC208" s="418">
        <f t="shared" si="611"/>
        <v>0</v>
      </c>
      <c r="JD208" s="418">
        <f t="shared" si="611"/>
        <v>0</v>
      </c>
      <c r="JE208" s="418">
        <f t="shared" si="611"/>
        <v>0</v>
      </c>
      <c r="JF208" s="418">
        <f t="shared" si="611"/>
        <v>0</v>
      </c>
      <c r="JG208" s="418">
        <f t="shared" si="611"/>
        <v>0</v>
      </c>
      <c r="JH208" s="418">
        <f t="shared" si="611"/>
        <v>0</v>
      </c>
      <c r="JI208" s="418">
        <f t="shared" si="611"/>
        <v>0</v>
      </c>
      <c r="JJ208" s="418">
        <f t="shared" si="611"/>
        <v>0</v>
      </c>
      <c r="JK208" s="418">
        <f t="shared" si="611"/>
        <v>0</v>
      </c>
      <c r="JL208" s="418">
        <f t="shared" si="611"/>
        <v>0</v>
      </c>
      <c r="JM208" s="418">
        <f t="shared" si="611"/>
        <v>0</v>
      </c>
      <c r="JN208" s="418">
        <f t="shared" si="611"/>
        <v>0</v>
      </c>
      <c r="JO208" s="418">
        <f t="shared" si="611"/>
        <v>0</v>
      </c>
      <c r="JP208" s="418">
        <f t="shared" si="611"/>
        <v>0</v>
      </c>
      <c r="JQ208" s="418">
        <f t="shared" si="611"/>
        <v>0</v>
      </c>
      <c r="JR208" s="418">
        <f t="shared" si="611"/>
        <v>0</v>
      </c>
      <c r="JS208" s="418">
        <f t="shared" si="611"/>
        <v>0</v>
      </c>
      <c r="JT208" s="418">
        <f>(JT$197&lt;=Timing_Reversion_Month)*(JT204+JT205+JT206-JT207)</f>
        <v>0</v>
      </c>
      <c r="JU208" s="418">
        <f>(JU$197&lt;=Timing_Reversion_Month)*(JU204+JU205+JU206-JU207)</f>
        <v>0</v>
      </c>
      <c r="JV208" s="418">
        <f>(JV$197&lt;=Timing_Reversion_Month)*(JV204+JV205+JV206-JV207)</f>
        <v>0</v>
      </c>
      <c r="JW208" s="418">
        <f>(JW$197&lt;=Timing_Reversion_Month)*(JW204+JW205+JW206-JW207)</f>
        <v>0</v>
      </c>
      <c r="JX208" s="418">
        <f>(JX$197&lt;=Timing_Reversion_Month)*(JX204+JX205+JX206-JX207)</f>
        <v>0</v>
      </c>
      <c r="JY208"/>
      <c r="JZ208" s="262"/>
      <c r="KA208" s="262"/>
      <c r="KB208" s="262"/>
      <c r="KC208" s="262"/>
      <c r="KD208" s="262"/>
      <c r="KE208" s="262"/>
      <c r="KF208" s="262"/>
      <c r="KG208" s="262"/>
      <c r="KH208" s="262"/>
      <c r="KI208" s="262"/>
      <c r="KJ208" s="262"/>
      <c r="KK208" s="262"/>
      <c r="KL208" s="262"/>
      <c r="KM208" s="262"/>
      <c r="KN208" s="262"/>
      <c r="KO208" s="262"/>
      <c r="KP208" s="262"/>
      <c r="KQ208" s="262"/>
      <c r="KR208" s="262"/>
      <c r="KS208" s="262"/>
      <c r="KT208" s="262"/>
      <c r="KU208" s="262"/>
      <c r="KV208" s="262"/>
      <c r="KW208" s="262"/>
      <c r="KX208" s="262"/>
      <c r="KY208" s="262"/>
      <c r="KZ208" s="262"/>
      <c r="LA208" s="262"/>
      <c r="LB208" s="262"/>
      <c r="LC208" s="262"/>
      <c r="LD208" s="262"/>
      <c r="LE208" s="262"/>
      <c r="LF208" s="262"/>
      <c r="LG208" s="262"/>
      <c r="LH208" s="262"/>
      <c r="LI208" s="262"/>
      <c r="LJ208" s="262"/>
      <c r="LK208" s="262"/>
      <c r="LL208" s="262"/>
      <c r="LM208" s="262"/>
      <c r="LN208" s="262"/>
      <c r="LO208" s="262"/>
      <c r="LP208" s="262"/>
      <c r="LQ208" s="262"/>
      <c r="LR208" s="262"/>
      <c r="LS208" s="262"/>
      <c r="LT208" s="262"/>
      <c r="LU208" s="262"/>
      <c r="LV208" s="262"/>
      <c r="LW208" s="262"/>
      <c r="LX208" s="262"/>
      <c r="LY208" s="262"/>
      <c r="LZ208" s="262"/>
      <c r="MA208" s="262"/>
      <c r="MB208" s="262"/>
      <c r="MC208" s="262"/>
      <c r="MD208" s="262"/>
      <c r="ME208" s="262"/>
      <c r="MF208" s="262"/>
      <c r="MG208" s="262"/>
      <c r="MH208" s="262"/>
      <c r="MI208" s="262"/>
      <c r="MJ208" s="262"/>
      <c r="MK208" s="262"/>
      <c r="ML208" s="262"/>
      <c r="MM208" s="262"/>
      <c r="MN208" s="262"/>
      <c r="MO208" s="262"/>
      <c r="MP208" s="262"/>
      <c r="MQ208" s="262"/>
      <c r="MR208" s="262"/>
      <c r="MS208" s="262"/>
      <c r="MT208" s="262"/>
      <c r="MU208" s="262"/>
      <c r="MV208" s="262"/>
      <c r="MW208" s="262"/>
      <c r="MX208" s="262"/>
      <c r="MY208" s="262"/>
      <c r="MZ208" s="262"/>
      <c r="NA208" s="262"/>
      <c r="NB208" s="262"/>
      <c r="NC208" s="262"/>
      <c r="ND208" s="262"/>
      <c r="NE208" s="262"/>
      <c r="NF208" s="262"/>
      <c r="NG208" s="262"/>
      <c r="NH208" s="262"/>
      <c r="NI208" s="262"/>
      <c r="NJ208" s="262"/>
      <c r="NK208" s="262"/>
      <c r="NL208" s="262"/>
      <c r="NM208" s="262"/>
      <c r="NN208" s="262"/>
      <c r="NO208" s="262"/>
      <c r="NP208" s="262"/>
      <c r="NQ208" s="262"/>
      <c r="NR208" s="262"/>
      <c r="NS208" s="262"/>
      <c r="NT208" s="262"/>
      <c r="NU208" s="262"/>
      <c r="NV208" s="262"/>
      <c r="NW208" s="262"/>
      <c r="NX208" s="262"/>
      <c r="NY208" s="262"/>
      <c r="NZ208" s="262"/>
      <c r="OA208" s="262"/>
      <c r="OB208" s="262"/>
      <c r="OC208" s="262"/>
      <c r="OD208" s="262"/>
      <c r="OE208" s="262"/>
      <c r="OF208" s="262"/>
      <c r="OG208" s="262"/>
      <c r="OH208" s="262"/>
      <c r="OI208" s="262"/>
      <c r="OJ208" s="262"/>
      <c r="OK208" s="262"/>
      <c r="OL208" s="262"/>
      <c r="OM208" s="262"/>
      <c r="ON208" s="262"/>
      <c r="OO208" s="262"/>
      <c r="OP208" s="262"/>
      <c r="OQ208" s="262"/>
      <c r="OR208" s="262"/>
      <c r="OS208" s="262"/>
      <c r="OT208" s="262"/>
      <c r="OU208" s="262"/>
      <c r="OV208" s="262"/>
      <c r="OW208" s="262"/>
      <c r="OX208" s="262"/>
      <c r="OY208" s="262"/>
      <c r="OZ208" s="262"/>
      <c r="PA208" s="262"/>
      <c r="PB208" s="262"/>
      <c r="PC208" s="262"/>
      <c r="PD208" s="262"/>
      <c r="PE208" s="262"/>
      <c r="PF208" s="262"/>
      <c r="PG208" s="262"/>
      <c r="PH208" s="262"/>
    </row>
    <row r="209" spans="1:424" x14ac:dyDescent="0.35">
      <c r="A209"/>
      <c r="B209" s="34"/>
      <c r="C209" s="400"/>
      <c r="D209" s="400"/>
      <c r="E209" s="400"/>
      <c r="F209" s="400"/>
      <c r="G209" s="400"/>
      <c r="H209" s="400"/>
      <c r="I209" s="40"/>
      <c r="J209"/>
      <c r="K209"/>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c r="CX209" s="75"/>
      <c r="CY209" s="75"/>
      <c r="CZ209" s="75"/>
      <c r="DA209" s="75"/>
      <c r="DB209" s="75"/>
      <c r="DC209" s="75"/>
      <c r="DD209" s="75"/>
      <c r="DE209" s="75"/>
      <c r="DF209" s="75"/>
      <c r="DG209" s="75"/>
      <c r="DH209" s="75"/>
      <c r="DI209" s="75"/>
      <c r="DJ209" s="75"/>
      <c r="DK209" s="75"/>
      <c r="DL209" s="75"/>
      <c r="DM209" s="75"/>
      <c r="DN209" s="75"/>
      <c r="DO209" s="75"/>
      <c r="DP209" s="75"/>
      <c r="DQ209" s="75"/>
      <c r="DR209" s="75"/>
      <c r="DS209" s="75"/>
      <c r="DT209" s="75"/>
      <c r="DU209" s="75"/>
      <c r="DV209" s="75"/>
      <c r="DW209" s="75"/>
      <c r="DX209" s="75"/>
      <c r="DY209" s="75"/>
      <c r="DZ209" s="75"/>
      <c r="EA209" s="75"/>
      <c r="EB209" s="75"/>
      <c r="EC209" s="75"/>
      <c r="ED209" s="75"/>
      <c r="EE209" s="75"/>
      <c r="EF209" s="75"/>
      <c r="EG209" s="75"/>
      <c r="EH209" s="75"/>
      <c r="EI209" s="75"/>
      <c r="EJ209" s="75"/>
      <c r="EK209" s="75"/>
      <c r="EL209" s="75"/>
      <c r="EM209" s="75"/>
      <c r="EN209" s="75"/>
      <c r="EO209"/>
      <c r="EP209" s="405"/>
      <c r="EQ209" s="18"/>
      <c r="ER209" s="18"/>
      <c r="ES209" s="18" t="s">
        <v>389</v>
      </c>
      <c r="ET209" s="304" t="str">
        <f>IFERROR(XIRR($EV209:INDEX($EV209:$PH209,1,Timing_Reversion_Month+1),$EV$24:INDEX($EV$24:$PH$24,1,Timing_Reversion_Month+1)),"")</f>
        <v/>
      </c>
      <c r="EU209" s="18"/>
      <c r="EV209" s="418">
        <f>-EV206+EV207</f>
        <v>0</v>
      </c>
      <c r="EW209" s="418">
        <f t="shared" ref="EW209:HH209" si="612">-EW206+EW207</f>
        <v>0</v>
      </c>
      <c r="EX209" s="418">
        <f t="shared" si="612"/>
        <v>0</v>
      </c>
      <c r="EY209" s="418">
        <f t="shared" si="612"/>
        <v>0</v>
      </c>
      <c r="EZ209" s="418">
        <f t="shared" si="612"/>
        <v>0</v>
      </c>
      <c r="FA209" s="418">
        <f t="shared" si="612"/>
        <v>0</v>
      </c>
      <c r="FB209" s="418">
        <f t="shared" si="612"/>
        <v>0</v>
      </c>
      <c r="FC209" s="418">
        <f t="shared" si="612"/>
        <v>0</v>
      </c>
      <c r="FD209" s="418">
        <f t="shared" si="612"/>
        <v>0</v>
      </c>
      <c r="FE209" s="418">
        <f t="shared" si="612"/>
        <v>0</v>
      </c>
      <c r="FF209" s="418">
        <f t="shared" si="612"/>
        <v>0</v>
      </c>
      <c r="FG209" s="418">
        <f t="shared" si="612"/>
        <v>0</v>
      </c>
      <c r="FH209" s="418">
        <f t="shared" si="612"/>
        <v>0</v>
      </c>
      <c r="FI209" s="418">
        <f t="shared" si="612"/>
        <v>0</v>
      </c>
      <c r="FJ209" s="418">
        <f t="shared" si="612"/>
        <v>0</v>
      </c>
      <c r="FK209" s="418">
        <f t="shared" si="612"/>
        <v>0</v>
      </c>
      <c r="FL209" s="418">
        <f t="shared" si="612"/>
        <v>0</v>
      </c>
      <c r="FM209" s="418">
        <f t="shared" si="612"/>
        <v>0</v>
      </c>
      <c r="FN209" s="418">
        <f t="shared" si="612"/>
        <v>0</v>
      </c>
      <c r="FO209" s="418">
        <f t="shared" si="612"/>
        <v>0</v>
      </c>
      <c r="FP209" s="418">
        <f t="shared" si="612"/>
        <v>0</v>
      </c>
      <c r="FQ209" s="418">
        <f t="shared" si="612"/>
        <v>0</v>
      </c>
      <c r="FR209" s="418">
        <f t="shared" si="612"/>
        <v>0</v>
      </c>
      <c r="FS209" s="418">
        <f t="shared" si="612"/>
        <v>0</v>
      </c>
      <c r="FT209" s="418">
        <f t="shared" si="612"/>
        <v>0</v>
      </c>
      <c r="FU209" s="418">
        <f t="shared" si="612"/>
        <v>0</v>
      </c>
      <c r="FV209" s="418">
        <f t="shared" si="612"/>
        <v>0</v>
      </c>
      <c r="FW209" s="418">
        <f t="shared" si="612"/>
        <v>0</v>
      </c>
      <c r="FX209" s="418">
        <f t="shared" si="612"/>
        <v>0</v>
      </c>
      <c r="FY209" s="418">
        <f t="shared" si="612"/>
        <v>0</v>
      </c>
      <c r="FZ209" s="418">
        <f t="shared" si="612"/>
        <v>0</v>
      </c>
      <c r="GA209" s="418">
        <f t="shared" si="612"/>
        <v>0</v>
      </c>
      <c r="GB209" s="418">
        <f t="shared" si="612"/>
        <v>0</v>
      </c>
      <c r="GC209" s="418">
        <f t="shared" si="612"/>
        <v>0</v>
      </c>
      <c r="GD209" s="418">
        <f t="shared" si="612"/>
        <v>0</v>
      </c>
      <c r="GE209" s="418">
        <f t="shared" si="612"/>
        <v>0</v>
      </c>
      <c r="GF209" s="418">
        <f t="shared" si="612"/>
        <v>0</v>
      </c>
      <c r="GG209" s="418">
        <f t="shared" si="612"/>
        <v>0</v>
      </c>
      <c r="GH209" s="418">
        <f t="shared" si="612"/>
        <v>0</v>
      </c>
      <c r="GI209" s="418">
        <f t="shared" si="612"/>
        <v>0</v>
      </c>
      <c r="GJ209" s="418">
        <f t="shared" si="612"/>
        <v>0</v>
      </c>
      <c r="GK209" s="418">
        <f t="shared" si="612"/>
        <v>0</v>
      </c>
      <c r="GL209" s="418">
        <f t="shared" si="612"/>
        <v>0</v>
      </c>
      <c r="GM209" s="418">
        <f t="shared" si="612"/>
        <v>0</v>
      </c>
      <c r="GN209" s="418">
        <f t="shared" si="612"/>
        <v>0</v>
      </c>
      <c r="GO209" s="418">
        <f t="shared" si="612"/>
        <v>0</v>
      </c>
      <c r="GP209" s="418">
        <f t="shared" si="612"/>
        <v>0</v>
      </c>
      <c r="GQ209" s="418">
        <f t="shared" si="612"/>
        <v>0</v>
      </c>
      <c r="GR209" s="418">
        <f t="shared" si="612"/>
        <v>0</v>
      </c>
      <c r="GS209" s="418">
        <f t="shared" si="612"/>
        <v>0</v>
      </c>
      <c r="GT209" s="418">
        <f t="shared" si="612"/>
        <v>0</v>
      </c>
      <c r="GU209" s="418">
        <f t="shared" si="612"/>
        <v>0</v>
      </c>
      <c r="GV209" s="418">
        <f t="shared" si="612"/>
        <v>0</v>
      </c>
      <c r="GW209" s="418">
        <f t="shared" si="612"/>
        <v>0</v>
      </c>
      <c r="GX209" s="418">
        <f t="shared" si="612"/>
        <v>0</v>
      </c>
      <c r="GY209" s="418">
        <f t="shared" si="612"/>
        <v>0</v>
      </c>
      <c r="GZ209" s="418">
        <f t="shared" si="612"/>
        <v>0</v>
      </c>
      <c r="HA209" s="418">
        <f t="shared" si="612"/>
        <v>0</v>
      </c>
      <c r="HB209" s="418">
        <f t="shared" si="612"/>
        <v>0</v>
      </c>
      <c r="HC209" s="418">
        <f t="shared" si="612"/>
        <v>0</v>
      </c>
      <c r="HD209" s="418">
        <f t="shared" si="612"/>
        <v>0</v>
      </c>
      <c r="HE209" s="418">
        <f t="shared" si="612"/>
        <v>0</v>
      </c>
      <c r="HF209" s="418">
        <f t="shared" si="612"/>
        <v>0</v>
      </c>
      <c r="HG209" s="418">
        <f t="shared" si="612"/>
        <v>0</v>
      </c>
      <c r="HH209" s="418">
        <f t="shared" si="612"/>
        <v>0</v>
      </c>
      <c r="HI209" s="418">
        <f t="shared" ref="HI209:JT209" si="613">-HI206+HI207</f>
        <v>0</v>
      </c>
      <c r="HJ209" s="418">
        <f t="shared" si="613"/>
        <v>0</v>
      </c>
      <c r="HK209" s="418">
        <f t="shared" si="613"/>
        <v>0</v>
      </c>
      <c r="HL209" s="418">
        <f t="shared" si="613"/>
        <v>0</v>
      </c>
      <c r="HM209" s="418">
        <f t="shared" si="613"/>
        <v>0</v>
      </c>
      <c r="HN209" s="418">
        <f t="shared" si="613"/>
        <v>0</v>
      </c>
      <c r="HO209" s="418">
        <f t="shared" si="613"/>
        <v>0</v>
      </c>
      <c r="HP209" s="418">
        <f t="shared" si="613"/>
        <v>0</v>
      </c>
      <c r="HQ209" s="418">
        <f t="shared" si="613"/>
        <v>0</v>
      </c>
      <c r="HR209" s="418">
        <f t="shared" si="613"/>
        <v>0</v>
      </c>
      <c r="HS209" s="418">
        <f t="shared" si="613"/>
        <v>0</v>
      </c>
      <c r="HT209" s="418">
        <f t="shared" si="613"/>
        <v>0</v>
      </c>
      <c r="HU209" s="418">
        <f t="shared" si="613"/>
        <v>0</v>
      </c>
      <c r="HV209" s="418">
        <f t="shared" si="613"/>
        <v>0</v>
      </c>
      <c r="HW209" s="418">
        <f t="shared" si="613"/>
        <v>0</v>
      </c>
      <c r="HX209" s="418">
        <f t="shared" si="613"/>
        <v>0</v>
      </c>
      <c r="HY209" s="418">
        <f t="shared" si="613"/>
        <v>0</v>
      </c>
      <c r="HZ209" s="418">
        <f t="shared" si="613"/>
        <v>0</v>
      </c>
      <c r="IA209" s="418">
        <f t="shared" si="613"/>
        <v>0</v>
      </c>
      <c r="IB209" s="418">
        <f t="shared" si="613"/>
        <v>0</v>
      </c>
      <c r="IC209" s="418">
        <f t="shared" si="613"/>
        <v>0</v>
      </c>
      <c r="ID209" s="418">
        <f t="shared" si="613"/>
        <v>0</v>
      </c>
      <c r="IE209" s="418">
        <f t="shared" si="613"/>
        <v>0</v>
      </c>
      <c r="IF209" s="418">
        <f t="shared" si="613"/>
        <v>0</v>
      </c>
      <c r="IG209" s="418">
        <f t="shared" si="613"/>
        <v>0</v>
      </c>
      <c r="IH209" s="418">
        <f t="shared" si="613"/>
        <v>0</v>
      </c>
      <c r="II209" s="418">
        <f t="shared" si="613"/>
        <v>0</v>
      </c>
      <c r="IJ209" s="418">
        <f t="shared" si="613"/>
        <v>0</v>
      </c>
      <c r="IK209" s="418">
        <f t="shared" si="613"/>
        <v>0</v>
      </c>
      <c r="IL209" s="418">
        <f t="shared" si="613"/>
        <v>0</v>
      </c>
      <c r="IM209" s="418">
        <f t="shared" si="613"/>
        <v>0</v>
      </c>
      <c r="IN209" s="418">
        <f t="shared" si="613"/>
        <v>0</v>
      </c>
      <c r="IO209" s="418">
        <f t="shared" si="613"/>
        <v>0</v>
      </c>
      <c r="IP209" s="418">
        <f t="shared" si="613"/>
        <v>0</v>
      </c>
      <c r="IQ209" s="418">
        <f t="shared" si="613"/>
        <v>0</v>
      </c>
      <c r="IR209" s="418">
        <f t="shared" si="613"/>
        <v>0</v>
      </c>
      <c r="IS209" s="418">
        <f t="shared" si="613"/>
        <v>0</v>
      </c>
      <c r="IT209" s="418">
        <f t="shared" si="613"/>
        <v>0</v>
      </c>
      <c r="IU209" s="418">
        <f t="shared" si="613"/>
        <v>0</v>
      </c>
      <c r="IV209" s="418">
        <f t="shared" si="613"/>
        <v>0</v>
      </c>
      <c r="IW209" s="418">
        <f t="shared" si="613"/>
        <v>0</v>
      </c>
      <c r="IX209" s="418">
        <f t="shared" si="613"/>
        <v>0</v>
      </c>
      <c r="IY209" s="418">
        <f t="shared" si="613"/>
        <v>0</v>
      </c>
      <c r="IZ209" s="418">
        <f t="shared" si="613"/>
        <v>0</v>
      </c>
      <c r="JA209" s="418">
        <f t="shared" si="613"/>
        <v>0</v>
      </c>
      <c r="JB209" s="418">
        <f t="shared" si="613"/>
        <v>0</v>
      </c>
      <c r="JC209" s="418">
        <f t="shared" si="613"/>
        <v>0</v>
      </c>
      <c r="JD209" s="418">
        <f t="shared" si="613"/>
        <v>0</v>
      </c>
      <c r="JE209" s="418">
        <f t="shared" si="613"/>
        <v>0</v>
      </c>
      <c r="JF209" s="418">
        <f t="shared" si="613"/>
        <v>0</v>
      </c>
      <c r="JG209" s="418">
        <f t="shared" si="613"/>
        <v>0</v>
      </c>
      <c r="JH209" s="418">
        <f t="shared" si="613"/>
        <v>0</v>
      </c>
      <c r="JI209" s="418">
        <f t="shared" si="613"/>
        <v>0</v>
      </c>
      <c r="JJ209" s="418">
        <f t="shared" si="613"/>
        <v>0</v>
      </c>
      <c r="JK209" s="418">
        <f t="shared" si="613"/>
        <v>0</v>
      </c>
      <c r="JL209" s="418">
        <f t="shared" si="613"/>
        <v>0</v>
      </c>
      <c r="JM209" s="418">
        <f t="shared" si="613"/>
        <v>0</v>
      </c>
      <c r="JN209" s="418">
        <f t="shared" si="613"/>
        <v>0</v>
      </c>
      <c r="JO209" s="418">
        <f t="shared" si="613"/>
        <v>0</v>
      </c>
      <c r="JP209" s="418">
        <f t="shared" si="613"/>
        <v>0</v>
      </c>
      <c r="JQ209" s="418">
        <f t="shared" si="613"/>
        <v>0</v>
      </c>
      <c r="JR209" s="418">
        <f t="shared" si="613"/>
        <v>0</v>
      </c>
      <c r="JS209" s="418">
        <f t="shared" si="613"/>
        <v>0</v>
      </c>
      <c r="JT209" s="418">
        <f t="shared" si="613"/>
        <v>0</v>
      </c>
      <c r="JU209" s="418">
        <f>-JU206+JU207</f>
        <v>0</v>
      </c>
      <c r="JV209" s="418">
        <f>-JV206+JV207</f>
        <v>0</v>
      </c>
      <c r="JW209" s="418">
        <f>-JW206+JW207</f>
        <v>0</v>
      </c>
      <c r="JX209" s="418">
        <f>-JX206+JX207</f>
        <v>0</v>
      </c>
      <c r="JY209"/>
      <c r="JZ209" s="262"/>
      <c r="KA209" s="262"/>
      <c r="KB209" s="262"/>
      <c r="KC209" s="262"/>
      <c r="KD209" s="262"/>
      <c r="KE209" s="262"/>
      <c r="KF209" s="262"/>
      <c r="KG209" s="262"/>
      <c r="KH209" s="262"/>
      <c r="KI209" s="262"/>
      <c r="KJ209" s="262"/>
      <c r="KK209" s="262"/>
      <c r="KL209" s="262"/>
      <c r="KM209" s="262"/>
      <c r="KN209" s="262"/>
      <c r="KO209" s="262"/>
      <c r="KP209" s="262"/>
      <c r="KQ209" s="262"/>
      <c r="KR209" s="262"/>
      <c r="KS209" s="262"/>
      <c r="KT209" s="262"/>
      <c r="KU209" s="262"/>
      <c r="KV209" s="262"/>
      <c r="KW209" s="262"/>
      <c r="KX209" s="262"/>
      <c r="KY209" s="262"/>
      <c r="KZ209" s="262"/>
      <c r="LA209" s="262"/>
      <c r="LB209" s="262"/>
      <c r="LC209" s="262"/>
      <c r="LD209" s="262"/>
      <c r="LE209" s="262"/>
      <c r="LF209" s="262"/>
      <c r="LG209" s="262"/>
      <c r="LH209" s="262"/>
      <c r="LI209" s="262"/>
      <c r="LJ209" s="262"/>
      <c r="LK209" s="262"/>
      <c r="LL209" s="262"/>
      <c r="LM209" s="262"/>
      <c r="LN209" s="262"/>
      <c r="LO209" s="262"/>
      <c r="LP209" s="262"/>
      <c r="LQ209" s="262"/>
      <c r="LR209" s="262"/>
      <c r="LS209" s="262"/>
      <c r="LT209" s="262"/>
      <c r="LU209" s="262"/>
      <c r="LV209" s="262"/>
      <c r="LW209" s="262"/>
      <c r="LX209" s="262"/>
      <c r="LY209" s="262"/>
      <c r="LZ209" s="262"/>
      <c r="MA209" s="262"/>
      <c r="MB209" s="262"/>
      <c r="MC209" s="262"/>
      <c r="MD209" s="262"/>
      <c r="ME209" s="262"/>
      <c r="MF209" s="262"/>
      <c r="MG209" s="262"/>
      <c r="MH209" s="262"/>
      <c r="MI209" s="262"/>
      <c r="MJ209" s="262"/>
      <c r="MK209" s="262"/>
      <c r="ML209" s="262"/>
      <c r="MM209" s="262"/>
      <c r="MN209" s="262"/>
      <c r="MO209" s="262"/>
      <c r="MP209" s="262"/>
      <c r="MQ209" s="262"/>
      <c r="MR209" s="262"/>
      <c r="MS209" s="262"/>
      <c r="MT209" s="262"/>
      <c r="MU209" s="262"/>
      <c r="MV209" s="262"/>
      <c r="MW209" s="262"/>
      <c r="MX209" s="262"/>
      <c r="MY209" s="262"/>
      <c r="MZ209" s="262"/>
      <c r="NA209" s="262"/>
      <c r="NB209" s="262"/>
      <c r="NC209" s="262"/>
      <c r="ND209" s="262"/>
      <c r="NE209" s="262"/>
      <c r="NF209" s="262"/>
      <c r="NG209" s="262"/>
      <c r="NH209" s="262"/>
      <c r="NI209" s="262"/>
      <c r="NJ209" s="262"/>
      <c r="NK209" s="262"/>
      <c r="NL209" s="262"/>
      <c r="NM209" s="262"/>
      <c r="NN209" s="262"/>
      <c r="NO209" s="262"/>
      <c r="NP209" s="262"/>
      <c r="NQ209" s="262"/>
      <c r="NR209" s="262"/>
      <c r="NS209" s="262"/>
      <c r="NT209" s="262"/>
      <c r="NU209" s="262"/>
      <c r="NV209" s="262"/>
      <c r="NW209" s="262"/>
      <c r="NX209" s="262"/>
      <c r="NY209" s="262"/>
      <c r="NZ209" s="262"/>
      <c r="OA209" s="262"/>
      <c r="OB209" s="262"/>
      <c r="OC209" s="262"/>
      <c r="OD209" s="262"/>
      <c r="OE209" s="262"/>
      <c r="OF209" s="262"/>
      <c r="OG209" s="262"/>
      <c r="OH209" s="262"/>
      <c r="OI209" s="262"/>
      <c r="OJ209" s="262"/>
      <c r="OK209" s="262"/>
      <c r="OL209" s="262"/>
      <c r="OM209" s="262"/>
      <c r="ON209" s="262"/>
      <c r="OO209" s="262"/>
      <c r="OP209" s="262"/>
      <c r="OQ209" s="262"/>
      <c r="OR209" s="262"/>
      <c r="OS209" s="262"/>
      <c r="OT209" s="262"/>
      <c r="OU209" s="262"/>
      <c r="OV209" s="262"/>
      <c r="OW209" s="262"/>
      <c r="OX209" s="262"/>
      <c r="OY209" s="262"/>
      <c r="OZ209" s="262"/>
      <c r="PA209" s="262"/>
      <c r="PB209" s="262"/>
      <c r="PC209" s="262"/>
      <c r="PD209" s="262"/>
      <c r="PE209" s="262"/>
      <c r="PF209" s="262"/>
      <c r="PG209" s="262"/>
      <c r="PH209" s="262"/>
    </row>
    <row r="210" spans="1:424" x14ac:dyDescent="0.35">
      <c r="A210"/>
      <c r="B210" s="34"/>
      <c r="C210" s="400"/>
      <c r="D210" s="400"/>
      <c r="E210" s="400"/>
      <c r="F210" s="400"/>
      <c r="G210" s="412" t="s">
        <v>399</v>
      </c>
      <c r="H210" s="412" t="s">
        <v>62</v>
      </c>
      <c r="I210" s="412" t="s">
        <v>400</v>
      </c>
      <c r="J210"/>
      <c r="K210"/>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c r="BJ210" s="75"/>
      <c r="BK210" s="75"/>
      <c r="BL210" s="75"/>
      <c r="BM210" s="75"/>
      <c r="BN210" s="75"/>
      <c r="BO210" s="75"/>
      <c r="BP210" s="75"/>
      <c r="BQ210" s="75"/>
      <c r="BR210" s="75"/>
      <c r="BS210" s="75"/>
      <c r="BT210" s="75"/>
      <c r="BU210" s="75"/>
      <c r="BV210" s="75"/>
      <c r="BW210" s="75"/>
      <c r="BX210" s="75"/>
      <c r="BY210" s="75"/>
      <c r="BZ210" s="75"/>
      <c r="CA210" s="75"/>
      <c r="CB210" s="75"/>
      <c r="CC210" s="75"/>
      <c r="CD210" s="75"/>
      <c r="CE210" s="75"/>
      <c r="CF210" s="75"/>
      <c r="CG210" s="75"/>
      <c r="CH210" s="75"/>
      <c r="CI210" s="75"/>
      <c r="CJ210" s="75"/>
      <c r="CK210" s="75"/>
      <c r="CL210" s="75"/>
      <c r="CM210" s="75"/>
      <c r="CN210" s="75"/>
      <c r="CO210" s="75"/>
      <c r="CP210" s="75"/>
      <c r="CQ210" s="75"/>
      <c r="CR210" s="75"/>
      <c r="CS210" s="75"/>
      <c r="CT210" s="75"/>
      <c r="CU210" s="75"/>
      <c r="CV210" s="75"/>
      <c r="CW210" s="75"/>
      <c r="CX210" s="75"/>
      <c r="CY210" s="75"/>
      <c r="CZ210" s="75"/>
      <c r="DA210" s="75"/>
      <c r="DB210" s="75"/>
      <c r="DC210" s="75"/>
      <c r="DD210" s="75"/>
      <c r="DE210" s="75"/>
      <c r="DF210" s="75"/>
      <c r="DG210" s="75"/>
      <c r="DH210" s="75"/>
      <c r="DI210" s="75"/>
      <c r="DJ210" s="75"/>
      <c r="DK210" s="75"/>
      <c r="DL210" s="75"/>
      <c r="DM210" s="75"/>
      <c r="DN210" s="75"/>
      <c r="DO210" s="75"/>
      <c r="DP210" s="75"/>
      <c r="DQ210" s="75"/>
      <c r="DR210" s="75"/>
      <c r="DS210" s="75"/>
      <c r="DT210" s="75"/>
      <c r="DU210" s="75"/>
      <c r="DV210" s="75"/>
      <c r="DW210" s="75"/>
      <c r="DX210" s="75"/>
      <c r="DY210" s="75"/>
      <c r="DZ210" s="75"/>
      <c r="EA210" s="75"/>
      <c r="EB210" s="75"/>
      <c r="EC210" s="75"/>
      <c r="ED210" s="75"/>
      <c r="EE210" s="75"/>
      <c r="EF210" s="75"/>
      <c r="EG210" s="75"/>
      <c r="EH210" s="75"/>
      <c r="EI210" s="75"/>
      <c r="EJ210" s="75"/>
      <c r="EK210" s="75"/>
      <c r="EL210" s="75"/>
      <c r="EM210" s="75"/>
      <c r="EN210" s="75"/>
      <c r="EO210"/>
      <c r="EP210" s="405"/>
      <c r="EQ210" s="18"/>
      <c r="ER210" s="18"/>
      <c r="ES210" s="390"/>
      <c r="ET210" s="529" t="s">
        <v>401</v>
      </c>
      <c r="EU210" s="529"/>
      <c r="EV210" s="530">
        <f t="shared" ref="EV210:GA210" si="614">($G$220="Yes")*L46+EV195</f>
        <v>0</v>
      </c>
      <c r="EW210" s="530">
        <f t="shared" si="614"/>
        <v>0</v>
      </c>
      <c r="EX210" s="530">
        <f t="shared" si="614"/>
        <v>0</v>
      </c>
      <c r="EY210" s="530">
        <f t="shared" si="614"/>
        <v>0</v>
      </c>
      <c r="EZ210" s="530">
        <f t="shared" si="614"/>
        <v>0</v>
      </c>
      <c r="FA210" s="530">
        <f t="shared" si="614"/>
        <v>0</v>
      </c>
      <c r="FB210" s="530">
        <f t="shared" si="614"/>
        <v>0</v>
      </c>
      <c r="FC210" s="530">
        <f t="shared" si="614"/>
        <v>0</v>
      </c>
      <c r="FD210" s="530">
        <f t="shared" si="614"/>
        <v>0</v>
      </c>
      <c r="FE210" s="530">
        <f t="shared" si="614"/>
        <v>0</v>
      </c>
      <c r="FF210" s="530">
        <f t="shared" si="614"/>
        <v>0</v>
      </c>
      <c r="FG210" s="530">
        <f t="shared" si="614"/>
        <v>0</v>
      </c>
      <c r="FH210" s="530">
        <f t="shared" si="614"/>
        <v>0</v>
      </c>
      <c r="FI210" s="530">
        <f t="shared" si="614"/>
        <v>0</v>
      </c>
      <c r="FJ210" s="530">
        <f t="shared" si="614"/>
        <v>0</v>
      </c>
      <c r="FK210" s="530">
        <f t="shared" si="614"/>
        <v>0</v>
      </c>
      <c r="FL210" s="530">
        <f t="shared" si="614"/>
        <v>0</v>
      </c>
      <c r="FM210" s="530">
        <f t="shared" si="614"/>
        <v>0</v>
      </c>
      <c r="FN210" s="530">
        <f t="shared" si="614"/>
        <v>0</v>
      </c>
      <c r="FO210" s="530">
        <f t="shared" si="614"/>
        <v>0</v>
      </c>
      <c r="FP210" s="530">
        <f t="shared" si="614"/>
        <v>0</v>
      </c>
      <c r="FQ210" s="530">
        <f t="shared" si="614"/>
        <v>0</v>
      </c>
      <c r="FR210" s="530">
        <f t="shared" si="614"/>
        <v>0</v>
      </c>
      <c r="FS210" s="530">
        <f t="shared" si="614"/>
        <v>0</v>
      </c>
      <c r="FT210" s="530">
        <f t="shared" si="614"/>
        <v>0</v>
      </c>
      <c r="FU210" s="530">
        <f t="shared" si="614"/>
        <v>0</v>
      </c>
      <c r="FV210" s="530">
        <f t="shared" si="614"/>
        <v>0</v>
      </c>
      <c r="FW210" s="530">
        <f t="shared" si="614"/>
        <v>0</v>
      </c>
      <c r="FX210" s="530">
        <f t="shared" si="614"/>
        <v>0</v>
      </c>
      <c r="FY210" s="530">
        <f t="shared" si="614"/>
        <v>0</v>
      </c>
      <c r="FZ210" s="530">
        <f t="shared" si="614"/>
        <v>0</v>
      </c>
      <c r="GA210" s="530">
        <f t="shared" si="614"/>
        <v>0</v>
      </c>
      <c r="GB210" s="530">
        <f t="shared" ref="GB210:HG210" si="615">($G$220="Yes")*AR46+GB195</f>
        <v>0</v>
      </c>
      <c r="GC210" s="530">
        <f t="shared" si="615"/>
        <v>0</v>
      </c>
      <c r="GD210" s="530">
        <f t="shared" si="615"/>
        <v>0</v>
      </c>
      <c r="GE210" s="530">
        <f t="shared" si="615"/>
        <v>0</v>
      </c>
      <c r="GF210" s="530">
        <f t="shared" si="615"/>
        <v>0</v>
      </c>
      <c r="GG210" s="530">
        <f t="shared" si="615"/>
        <v>0</v>
      </c>
      <c r="GH210" s="530">
        <f t="shared" si="615"/>
        <v>0</v>
      </c>
      <c r="GI210" s="530">
        <f t="shared" si="615"/>
        <v>0</v>
      </c>
      <c r="GJ210" s="530">
        <f t="shared" si="615"/>
        <v>0</v>
      </c>
      <c r="GK210" s="530">
        <f t="shared" si="615"/>
        <v>0</v>
      </c>
      <c r="GL210" s="530">
        <f t="shared" si="615"/>
        <v>0</v>
      </c>
      <c r="GM210" s="530">
        <f t="shared" si="615"/>
        <v>0</v>
      </c>
      <c r="GN210" s="530">
        <f t="shared" si="615"/>
        <v>0</v>
      </c>
      <c r="GO210" s="530">
        <f t="shared" si="615"/>
        <v>0</v>
      </c>
      <c r="GP210" s="530">
        <f t="shared" si="615"/>
        <v>0</v>
      </c>
      <c r="GQ210" s="530">
        <f t="shared" si="615"/>
        <v>0</v>
      </c>
      <c r="GR210" s="530">
        <f t="shared" si="615"/>
        <v>0</v>
      </c>
      <c r="GS210" s="530">
        <f t="shared" si="615"/>
        <v>0</v>
      </c>
      <c r="GT210" s="530">
        <f t="shared" si="615"/>
        <v>0</v>
      </c>
      <c r="GU210" s="530">
        <f t="shared" si="615"/>
        <v>0</v>
      </c>
      <c r="GV210" s="530">
        <f t="shared" si="615"/>
        <v>0</v>
      </c>
      <c r="GW210" s="530">
        <f t="shared" si="615"/>
        <v>0</v>
      </c>
      <c r="GX210" s="530">
        <f t="shared" si="615"/>
        <v>0</v>
      </c>
      <c r="GY210" s="530">
        <f t="shared" si="615"/>
        <v>0</v>
      </c>
      <c r="GZ210" s="530">
        <f t="shared" si="615"/>
        <v>0</v>
      </c>
      <c r="HA210" s="530">
        <f t="shared" si="615"/>
        <v>0</v>
      </c>
      <c r="HB210" s="530">
        <f t="shared" si="615"/>
        <v>0</v>
      </c>
      <c r="HC210" s="530">
        <f t="shared" si="615"/>
        <v>0</v>
      </c>
      <c r="HD210" s="530">
        <f t="shared" si="615"/>
        <v>0</v>
      </c>
      <c r="HE210" s="530">
        <f t="shared" si="615"/>
        <v>0</v>
      </c>
      <c r="HF210" s="530">
        <f t="shared" si="615"/>
        <v>0</v>
      </c>
      <c r="HG210" s="530">
        <f t="shared" si="615"/>
        <v>0</v>
      </c>
      <c r="HH210" s="530">
        <f t="shared" ref="HH210:IM210" si="616">($G$220="Yes")*BX46+HH195</f>
        <v>0</v>
      </c>
      <c r="HI210" s="530">
        <f t="shared" si="616"/>
        <v>0</v>
      </c>
      <c r="HJ210" s="530">
        <f t="shared" si="616"/>
        <v>0</v>
      </c>
      <c r="HK210" s="530">
        <f t="shared" si="616"/>
        <v>0</v>
      </c>
      <c r="HL210" s="530">
        <f t="shared" si="616"/>
        <v>0</v>
      </c>
      <c r="HM210" s="530">
        <f t="shared" si="616"/>
        <v>0</v>
      </c>
      <c r="HN210" s="530">
        <f t="shared" si="616"/>
        <v>0</v>
      </c>
      <c r="HO210" s="530">
        <f t="shared" si="616"/>
        <v>0</v>
      </c>
      <c r="HP210" s="530">
        <f t="shared" si="616"/>
        <v>0</v>
      </c>
      <c r="HQ210" s="530">
        <f t="shared" si="616"/>
        <v>0</v>
      </c>
      <c r="HR210" s="530">
        <f t="shared" si="616"/>
        <v>0</v>
      </c>
      <c r="HS210" s="530">
        <f t="shared" si="616"/>
        <v>0</v>
      </c>
      <c r="HT210" s="530">
        <f t="shared" si="616"/>
        <v>0</v>
      </c>
      <c r="HU210" s="530">
        <f t="shared" si="616"/>
        <v>0</v>
      </c>
      <c r="HV210" s="530">
        <f t="shared" si="616"/>
        <v>0</v>
      </c>
      <c r="HW210" s="530">
        <f t="shared" si="616"/>
        <v>0</v>
      </c>
      <c r="HX210" s="530">
        <f t="shared" si="616"/>
        <v>0</v>
      </c>
      <c r="HY210" s="530">
        <f t="shared" si="616"/>
        <v>0</v>
      </c>
      <c r="HZ210" s="530">
        <f t="shared" si="616"/>
        <v>0</v>
      </c>
      <c r="IA210" s="530">
        <f t="shared" si="616"/>
        <v>0</v>
      </c>
      <c r="IB210" s="530">
        <f t="shared" si="616"/>
        <v>0</v>
      </c>
      <c r="IC210" s="530">
        <f t="shared" si="616"/>
        <v>0</v>
      </c>
      <c r="ID210" s="530">
        <f t="shared" si="616"/>
        <v>0</v>
      </c>
      <c r="IE210" s="530">
        <f t="shared" si="616"/>
        <v>0</v>
      </c>
      <c r="IF210" s="530">
        <f t="shared" si="616"/>
        <v>0</v>
      </c>
      <c r="IG210" s="530">
        <f t="shared" si="616"/>
        <v>0</v>
      </c>
      <c r="IH210" s="530">
        <f t="shared" si="616"/>
        <v>0</v>
      </c>
      <c r="II210" s="530">
        <f t="shared" si="616"/>
        <v>0</v>
      </c>
      <c r="IJ210" s="530">
        <f t="shared" si="616"/>
        <v>0</v>
      </c>
      <c r="IK210" s="530">
        <f t="shared" si="616"/>
        <v>0</v>
      </c>
      <c r="IL210" s="530">
        <f t="shared" si="616"/>
        <v>0</v>
      </c>
      <c r="IM210" s="530">
        <f t="shared" si="616"/>
        <v>0</v>
      </c>
      <c r="IN210" s="530">
        <f t="shared" ref="IN210:JS210" si="617">($G$220="Yes")*DD46+IN195</f>
        <v>0</v>
      </c>
      <c r="IO210" s="530">
        <f t="shared" si="617"/>
        <v>0</v>
      </c>
      <c r="IP210" s="530">
        <f t="shared" si="617"/>
        <v>0</v>
      </c>
      <c r="IQ210" s="530">
        <f t="shared" si="617"/>
        <v>0</v>
      </c>
      <c r="IR210" s="530">
        <f t="shared" si="617"/>
        <v>0</v>
      </c>
      <c r="IS210" s="530">
        <f t="shared" si="617"/>
        <v>0</v>
      </c>
      <c r="IT210" s="530">
        <f t="shared" si="617"/>
        <v>0</v>
      </c>
      <c r="IU210" s="530">
        <f t="shared" si="617"/>
        <v>0</v>
      </c>
      <c r="IV210" s="530">
        <f t="shared" si="617"/>
        <v>0</v>
      </c>
      <c r="IW210" s="530">
        <f t="shared" si="617"/>
        <v>0</v>
      </c>
      <c r="IX210" s="530">
        <f t="shared" si="617"/>
        <v>0</v>
      </c>
      <c r="IY210" s="530">
        <f t="shared" si="617"/>
        <v>0</v>
      </c>
      <c r="IZ210" s="530">
        <f t="shared" si="617"/>
        <v>0</v>
      </c>
      <c r="JA210" s="530">
        <f t="shared" si="617"/>
        <v>0</v>
      </c>
      <c r="JB210" s="530">
        <f t="shared" si="617"/>
        <v>0</v>
      </c>
      <c r="JC210" s="530">
        <f t="shared" si="617"/>
        <v>0</v>
      </c>
      <c r="JD210" s="530">
        <f t="shared" si="617"/>
        <v>0</v>
      </c>
      <c r="JE210" s="530">
        <f t="shared" si="617"/>
        <v>0</v>
      </c>
      <c r="JF210" s="530">
        <f t="shared" si="617"/>
        <v>0</v>
      </c>
      <c r="JG210" s="530">
        <f t="shared" si="617"/>
        <v>0</v>
      </c>
      <c r="JH210" s="530">
        <f t="shared" si="617"/>
        <v>0</v>
      </c>
      <c r="JI210" s="530">
        <f t="shared" si="617"/>
        <v>0</v>
      </c>
      <c r="JJ210" s="530">
        <f t="shared" si="617"/>
        <v>0</v>
      </c>
      <c r="JK210" s="530">
        <f t="shared" si="617"/>
        <v>0</v>
      </c>
      <c r="JL210" s="530">
        <f t="shared" si="617"/>
        <v>0</v>
      </c>
      <c r="JM210" s="530">
        <f t="shared" si="617"/>
        <v>0</v>
      </c>
      <c r="JN210" s="530">
        <f t="shared" si="617"/>
        <v>0</v>
      </c>
      <c r="JO210" s="530">
        <f t="shared" si="617"/>
        <v>0</v>
      </c>
      <c r="JP210" s="530">
        <f t="shared" si="617"/>
        <v>0</v>
      </c>
      <c r="JQ210" s="530">
        <f t="shared" si="617"/>
        <v>0</v>
      </c>
      <c r="JR210" s="530">
        <f t="shared" si="617"/>
        <v>0</v>
      </c>
      <c r="JS210" s="530">
        <f t="shared" si="617"/>
        <v>0</v>
      </c>
      <c r="JT210" s="530">
        <f>($G$220="Yes")*EJ46+JT195</f>
        <v>0</v>
      </c>
      <c r="JU210" s="530">
        <f>($G$220="Yes")*EK46+JU195</f>
        <v>0</v>
      </c>
      <c r="JV210" s="530">
        <f>($G$220="Yes")*EL46+JV195</f>
        <v>0</v>
      </c>
      <c r="JW210" s="530">
        <f>($G$220="Yes")*EM46+JW195</f>
        <v>0</v>
      </c>
      <c r="JX210" s="530">
        <f>($G$220="Yes")*EN46+JX195</f>
        <v>0</v>
      </c>
      <c r="JY210"/>
      <c r="JZ210" s="262"/>
      <c r="KA210" s="262"/>
      <c r="KB210" s="262"/>
      <c r="KC210" s="262"/>
      <c r="KD210" s="262"/>
      <c r="KE210" s="262"/>
      <c r="KF210" s="262"/>
      <c r="KG210" s="262"/>
      <c r="KH210" s="262"/>
      <c r="KI210" s="262"/>
      <c r="KJ210" s="262"/>
      <c r="KK210" s="262"/>
      <c r="KL210" s="262"/>
      <c r="KM210" s="262"/>
      <c r="KN210" s="262"/>
      <c r="KO210" s="262"/>
      <c r="KP210" s="262"/>
      <c r="KQ210" s="262"/>
      <c r="KR210" s="262"/>
      <c r="KS210" s="262"/>
      <c r="KT210" s="262"/>
      <c r="KU210" s="262"/>
      <c r="KV210" s="262"/>
      <c r="KW210" s="262"/>
      <c r="KX210" s="262"/>
      <c r="KY210" s="262"/>
      <c r="KZ210" s="262"/>
      <c r="LA210" s="262"/>
      <c r="LB210" s="262"/>
      <c r="LC210" s="262"/>
      <c r="LD210" s="262"/>
      <c r="LE210" s="262"/>
      <c r="LF210" s="262"/>
      <c r="LG210" s="262"/>
      <c r="LH210" s="262"/>
      <c r="LI210" s="262"/>
      <c r="LJ210" s="262"/>
      <c r="LK210" s="262"/>
      <c r="LL210" s="262"/>
      <c r="LM210" s="262"/>
      <c r="LN210" s="262"/>
      <c r="LO210" s="262"/>
      <c r="LP210" s="262"/>
      <c r="LQ210" s="262"/>
      <c r="LR210" s="262"/>
      <c r="LS210" s="262"/>
      <c r="LT210" s="262"/>
      <c r="LU210" s="262"/>
      <c r="LV210" s="262"/>
      <c r="LW210" s="262"/>
      <c r="LX210" s="262"/>
      <c r="LY210" s="262"/>
      <c r="LZ210" s="262"/>
      <c r="MA210" s="262"/>
      <c r="MB210" s="262"/>
      <c r="MC210" s="262"/>
      <c r="MD210" s="262"/>
      <c r="ME210" s="262"/>
      <c r="MF210" s="262"/>
      <c r="MG210" s="262"/>
      <c r="MH210" s="262"/>
      <c r="MI210" s="262"/>
      <c r="MJ210" s="262"/>
      <c r="MK210" s="262"/>
      <c r="ML210" s="262"/>
      <c r="MM210" s="262"/>
      <c r="MN210" s="262"/>
      <c r="MO210" s="262"/>
      <c r="MP210" s="262"/>
      <c r="MQ210" s="262"/>
      <c r="MR210" s="262"/>
      <c r="MS210" s="262"/>
      <c r="MT210" s="262"/>
      <c r="MU210" s="262"/>
      <c r="MV210" s="262"/>
      <c r="MW210" s="262"/>
      <c r="MX210" s="262"/>
      <c r="MY210" s="262"/>
      <c r="MZ210" s="262"/>
      <c r="NA210" s="262"/>
      <c r="NB210" s="262"/>
      <c r="NC210" s="262"/>
      <c r="ND210" s="262"/>
      <c r="NE210" s="262"/>
      <c r="NF210" s="262"/>
      <c r="NG210" s="262"/>
      <c r="NH210" s="262"/>
      <c r="NI210" s="262"/>
      <c r="NJ210" s="262"/>
      <c r="NK210" s="262"/>
      <c r="NL210" s="262"/>
      <c r="NM210" s="262"/>
      <c r="NN210" s="262"/>
      <c r="NO210" s="262"/>
      <c r="NP210" s="262"/>
      <c r="NQ210" s="262"/>
      <c r="NR210" s="262"/>
      <c r="NS210" s="262"/>
      <c r="NT210" s="262"/>
      <c r="NU210" s="262"/>
      <c r="NV210" s="262"/>
      <c r="NW210" s="262"/>
      <c r="NX210" s="262"/>
      <c r="NY210" s="262"/>
      <c r="NZ210" s="262"/>
      <c r="OA210" s="262"/>
      <c r="OB210" s="262"/>
      <c r="OC210" s="262"/>
      <c r="OD210" s="262"/>
      <c r="OE210" s="262"/>
      <c r="OF210" s="262"/>
      <c r="OG210" s="262"/>
      <c r="OH210" s="262"/>
      <c r="OI210" s="262"/>
      <c r="OJ210" s="262"/>
      <c r="OK210" s="262"/>
      <c r="OL210" s="262"/>
      <c r="OM210" s="262"/>
      <c r="ON210" s="262"/>
      <c r="OO210" s="262"/>
      <c r="OP210" s="262"/>
      <c r="OQ210" s="262"/>
      <c r="OR210" s="262"/>
      <c r="OS210" s="262"/>
      <c r="OT210" s="262"/>
      <c r="OU210" s="262"/>
      <c r="OV210" s="262"/>
      <c r="OW210" s="262"/>
      <c r="OX210" s="262"/>
      <c r="OY210" s="262"/>
      <c r="OZ210" s="262"/>
      <c r="PA210" s="262"/>
      <c r="PB210" s="262"/>
      <c r="PC210" s="262"/>
      <c r="PD210" s="262"/>
      <c r="PE210" s="262"/>
      <c r="PF210" s="262"/>
      <c r="PG210" s="262"/>
      <c r="PH210" s="262"/>
    </row>
    <row r="211" spans="1:424" s="24" customFormat="1" x14ac:dyDescent="0.35">
      <c r="A211" s="437"/>
      <c r="B211" s="61" t="s">
        <v>402</v>
      </c>
      <c r="C211" s="454"/>
      <c r="D211" s="454"/>
      <c r="E211" s="454"/>
      <c r="F211" s="454"/>
      <c r="G211" s="531">
        <f>IFERROR(SUMIF($M211:$BU211,"&gt;0",$M211:$BU211)/-SUMIF($M211:$BU211,"&lt;0",$M211:$BU211),0)</f>
        <v>2.317703172440579</v>
      </c>
      <c r="H211" s="73">
        <f>IFERROR(XIRR($M211:$BU211,$M$195:$BU$195),0)</f>
        <v>0.26738072037696836</v>
      </c>
      <c r="I211" s="489">
        <f>SUM($M211:$BU211)</f>
        <v>449384139.86723363</v>
      </c>
      <c r="J211"/>
      <c r="K211" s="440"/>
      <c r="L211" s="441">
        <f t="shared" ref="L211:AQ211" si="618">IF(L194="","",-L196+L202+L205)</f>
        <v>-93017714.091035873</v>
      </c>
      <c r="M211" s="441">
        <f t="shared" si="618"/>
        <v>-882028.36212584306</v>
      </c>
      <c r="N211" s="441">
        <f t="shared" si="618"/>
        <v>-1153238.7592138182</v>
      </c>
      <c r="O211" s="441">
        <f t="shared" si="618"/>
        <v>-1540571.8400115801</v>
      </c>
      <c r="P211" s="441">
        <f t="shared" si="618"/>
        <v>-2077208.6703043352</v>
      </c>
      <c r="Q211" s="441">
        <f t="shared" si="618"/>
        <v>-2798042.1575110573</v>
      </c>
      <c r="R211" s="441">
        <f t="shared" si="618"/>
        <v>-3736098.8558910517</v>
      </c>
      <c r="S211" s="441">
        <f t="shared" si="618"/>
        <v>-4917681.2983414307</v>
      </c>
      <c r="T211" s="441">
        <f t="shared" si="618"/>
        <v>-6356585.443407244</v>
      </c>
      <c r="U211" s="441">
        <f t="shared" si="618"/>
        <v>-8048084.8374454733</v>
      </c>
      <c r="V211" s="441">
        <f t="shared" si="618"/>
        <v>-9963673.1491933651</v>
      </c>
      <c r="W211" s="441">
        <f t="shared" si="618"/>
        <v>-12047726.791351493</v>
      </c>
      <c r="X211" s="441">
        <f t="shared" si="618"/>
        <v>-14217202.323856961</v>
      </c>
      <c r="Y211" s="441">
        <f t="shared" si="618"/>
        <v>-16365167.698586643</v>
      </c>
      <c r="Z211" s="441">
        <f t="shared" si="618"/>
        <v>-18368392.667920161</v>
      </c>
      <c r="AA211" s="441">
        <f t="shared" si="618"/>
        <v>-20098477.243874725</v>
      </c>
      <c r="AB211" s="441">
        <f t="shared" si="618"/>
        <v>-21435229.253932979</v>
      </c>
      <c r="AC211" s="441">
        <f t="shared" si="618"/>
        <v>-22280397.403045714</v>
      </c>
      <c r="AD211" s="441">
        <f t="shared" si="618"/>
        <v>-22569593.467381995</v>
      </c>
      <c r="AE211" s="441">
        <f t="shared" si="618"/>
        <v>-22280397.403045733</v>
      </c>
      <c r="AF211" s="441">
        <f t="shared" si="618"/>
        <v>-21435229.253932942</v>
      </c>
      <c r="AG211" s="441">
        <f t="shared" si="618"/>
        <v>-20098477.243874762</v>
      </c>
      <c r="AH211" s="441">
        <f t="shared" si="618"/>
        <v>-17651726.001253467</v>
      </c>
      <c r="AI211" s="441">
        <f t="shared" si="618"/>
        <v>-15648501.031919977</v>
      </c>
      <c r="AJ211" s="441">
        <f t="shared" si="618"/>
        <v>-13500535.657190321</v>
      </c>
      <c r="AK211" s="441">
        <f t="shared" si="618"/>
        <v>-11114393.45801813</v>
      </c>
      <c r="AL211" s="441">
        <f t="shared" si="618"/>
        <v>-9030339.8158600312</v>
      </c>
      <c r="AM211" s="441">
        <f t="shared" si="618"/>
        <v>-7114751.5041121645</v>
      </c>
      <c r="AN211" s="441">
        <f t="shared" si="618"/>
        <v>-5249085.4434072273</v>
      </c>
      <c r="AO211" s="441">
        <f t="shared" si="618"/>
        <v>-3810181.2983414317</v>
      </c>
      <c r="AP211" s="441">
        <f t="shared" si="618"/>
        <v>-2628598.8558910657</v>
      </c>
      <c r="AQ211" s="441">
        <f t="shared" si="618"/>
        <v>-1532208.8241777087</v>
      </c>
      <c r="AR211" s="441">
        <f t="shared" ref="AR211:BW211" si="619">IF(AR194="","",-AR196+AR202+AR205)</f>
        <v>-811375.33697100775</v>
      </c>
      <c r="AS211" s="441">
        <f t="shared" si="619"/>
        <v>-274738.5066782278</v>
      </c>
      <c r="AT211" s="441">
        <f t="shared" si="619"/>
        <v>145177.90745282592</v>
      </c>
      <c r="AU211" s="441">
        <f t="shared" si="619"/>
        <v>416388.30454083928</v>
      </c>
      <c r="AV211" s="441">
        <f t="shared" si="619"/>
        <v>600702.57563078811</v>
      </c>
      <c r="AW211" s="441">
        <f t="shared" si="619"/>
        <v>1329966.833333333</v>
      </c>
      <c r="AX211" s="441">
        <f t="shared" si="619"/>
        <v>1537461.250366004</v>
      </c>
      <c r="AY211" s="441">
        <f t="shared" si="619"/>
        <v>1744955.6673986751</v>
      </c>
      <c r="AZ211" s="441">
        <f t="shared" si="619"/>
        <v>1960527.6614040788</v>
      </c>
      <c r="BA211" s="441">
        <f t="shared" si="619"/>
        <v>2168682.6596498829</v>
      </c>
      <c r="BB211" s="441">
        <f t="shared" si="619"/>
        <v>2376837.6578956875</v>
      </c>
      <c r="BC211" s="441">
        <f t="shared" si="619"/>
        <v>2590534.3228081581</v>
      </c>
      <c r="BD211" s="204">
        <f t="shared" si="619"/>
        <v>2798689.3210539622</v>
      </c>
      <c r="BE211" s="204">
        <f t="shared" si="619"/>
        <v>3006844.3192997663</v>
      </c>
      <c r="BF211" s="204">
        <f t="shared" si="619"/>
        <v>3241223.0675455704</v>
      </c>
      <c r="BG211" s="204">
        <f t="shared" si="619"/>
        <v>3449378.065791375</v>
      </c>
      <c r="BH211" s="204">
        <f t="shared" si="619"/>
        <v>3657533.0640371782</v>
      </c>
      <c r="BI211" s="204">
        <f t="shared" si="619"/>
        <v>3936582.4825900565</v>
      </c>
      <c r="BJ211" s="204">
        <f t="shared" si="619"/>
        <v>3936582.4825900565</v>
      </c>
      <c r="BK211" s="204">
        <f t="shared" si="619"/>
        <v>3936582.4825900565</v>
      </c>
      <c r="BL211" s="204">
        <f t="shared" si="619"/>
        <v>3942891.6700900565</v>
      </c>
      <c r="BM211" s="204">
        <f t="shared" si="619"/>
        <v>3942891.6700900565</v>
      </c>
      <c r="BN211" s="204">
        <f t="shared" si="619"/>
        <v>3942891.6700900565</v>
      </c>
      <c r="BO211" s="204">
        <f t="shared" si="619"/>
        <v>3948627.2950900565</v>
      </c>
      <c r="BP211" s="204">
        <f t="shared" si="619"/>
        <v>3948627.2950900565</v>
      </c>
      <c r="BQ211" s="204">
        <f t="shared" si="619"/>
        <v>3948627.2950900565</v>
      </c>
      <c r="BR211" s="204">
        <f t="shared" si="619"/>
        <v>3975768.8763400572</v>
      </c>
      <c r="BS211" s="204">
        <f t="shared" si="619"/>
        <v>3975768.8763400572</v>
      </c>
      <c r="BT211" s="204">
        <f t="shared" si="619"/>
        <v>3975768.8763400572</v>
      </c>
      <c r="BU211" s="204">
        <f t="shared" si="619"/>
        <v>711983566.07476461</v>
      </c>
      <c r="BV211" s="204" t="str">
        <f t="shared" si="619"/>
        <v/>
      </c>
      <c r="BW211" s="204" t="str">
        <f t="shared" si="619"/>
        <v/>
      </c>
      <c r="BX211" s="204" t="str">
        <f t="shared" ref="BX211:DC211" si="620">IF(BX194="","",-BX196+BX202+BX205)</f>
        <v/>
      </c>
      <c r="BY211" s="204" t="str">
        <f t="shared" si="620"/>
        <v/>
      </c>
      <c r="BZ211" s="204" t="str">
        <f t="shared" si="620"/>
        <v/>
      </c>
      <c r="CA211" s="204" t="str">
        <f t="shared" si="620"/>
        <v/>
      </c>
      <c r="CB211" s="204" t="str">
        <f t="shared" si="620"/>
        <v/>
      </c>
      <c r="CC211" s="204" t="str">
        <f t="shared" si="620"/>
        <v/>
      </c>
      <c r="CD211" s="204" t="str">
        <f t="shared" si="620"/>
        <v/>
      </c>
      <c r="CE211" s="204" t="str">
        <f t="shared" si="620"/>
        <v/>
      </c>
      <c r="CF211" s="204" t="str">
        <f t="shared" si="620"/>
        <v/>
      </c>
      <c r="CG211" s="204" t="str">
        <f t="shared" si="620"/>
        <v/>
      </c>
      <c r="CH211" s="204" t="str">
        <f t="shared" si="620"/>
        <v/>
      </c>
      <c r="CI211" s="204" t="str">
        <f t="shared" si="620"/>
        <v/>
      </c>
      <c r="CJ211" s="204" t="str">
        <f t="shared" si="620"/>
        <v/>
      </c>
      <c r="CK211" s="204" t="str">
        <f t="shared" si="620"/>
        <v/>
      </c>
      <c r="CL211" s="204" t="str">
        <f t="shared" si="620"/>
        <v/>
      </c>
      <c r="CM211" s="204" t="str">
        <f t="shared" si="620"/>
        <v/>
      </c>
      <c r="CN211" s="204" t="str">
        <f t="shared" si="620"/>
        <v/>
      </c>
      <c r="CO211" s="204" t="str">
        <f t="shared" si="620"/>
        <v/>
      </c>
      <c r="CP211" s="204" t="str">
        <f t="shared" si="620"/>
        <v/>
      </c>
      <c r="CQ211" s="204" t="str">
        <f t="shared" si="620"/>
        <v/>
      </c>
      <c r="CR211" s="204" t="str">
        <f t="shared" si="620"/>
        <v/>
      </c>
      <c r="CS211" s="204" t="str">
        <f t="shared" si="620"/>
        <v/>
      </c>
      <c r="CT211" s="204" t="str">
        <f t="shared" si="620"/>
        <v/>
      </c>
      <c r="CU211" s="204" t="str">
        <f t="shared" si="620"/>
        <v/>
      </c>
      <c r="CV211" s="204" t="str">
        <f t="shared" si="620"/>
        <v/>
      </c>
      <c r="CW211" s="204" t="str">
        <f t="shared" si="620"/>
        <v/>
      </c>
      <c r="CX211" s="204" t="str">
        <f t="shared" si="620"/>
        <v/>
      </c>
      <c r="CY211" s="204" t="str">
        <f t="shared" si="620"/>
        <v/>
      </c>
      <c r="CZ211" s="204" t="str">
        <f t="shared" si="620"/>
        <v/>
      </c>
      <c r="DA211" s="204" t="str">
        <f t="shared" si="620"/>
        <v/>
      </c>
      <c r="DB211" s="204" t="str">
        <f t="shared" si="620"/>
        <v/>
      </c>
      <c r="DC211" s="204" t="str">
        <f t="shared" si="620"/>
        <v/>
      </c>
      <c r="DD211" s="204" t="str">
        <f t="shared" ref="DD211:EN211" si="621">IF(DD194="","",-DD196+DD202+DD205)</f>
        <v/>
      </c>
      <c r="DE211" s="204" t="str">
        <f t="shared" si="621"/>
        <v/>
      </c>
      <c r="DF211" s="204" t="str">
        <f t="shared" si="621"/>
        <v/>
      </c>
      <c r="DG211" s="204" t="str">
        <f t="shared" si="621"/>
        <v/>
      </c>
      <c r="DH211" s="204" t="str">
        <f t="shared" si="621"/>
        <v/>
      </c>
      <c r="DI211" s="204" t="str">
        <f t="shared" si="621"/>
        <v/>
      </c>
      <c r="DJ211" s="204" t="str">
        <f t="shared" si="621"/>
        <v/>
      </c>
      <c r="DK211" s="204" t="str">
        <f t="shared" si="621"/>
        <v/>
      </c>
      <c r="DL211" s="204" t="str">
        <f t="shared" si="621"/>
        <v/>
      </c>
      <c r="DM211" s="204" t="str">
        <f t="shared" si="621"/>
        <v/>
      </c>
      <c r="DN211" s="204" t="str">
        <f t="shared" si="621"/>
        <v/>
      </c>
      <c r="DO211" s="204" t="str">
        <f t="shared" si="621"/>
        <v/>
      </c>
      <c r="DP211" s="204" t="str">
        <f t="shared" si="621"/>
        <v/>
      </c>
      <c r="DQ211" s="204" t="str">
        <f t="shared" si="621"/>
        <v/>
      </c>
      <c r="DR211" s="204" t="str">
        <f t="shared" si="621"/>
        <v/>
      </c>
      <c r="DS211" s="204" t="str">
        <f t="shared" si="621"/>
        <v/>
      </c>
      <c r="DT211" s="204" t="str">
        <f t="shared" si="621"/>
        <v/>
      </c>
      <c r="DU211" s="204" t="str">
        <f t="shared" si="621"/>
        <v/>
      </c>
      <c r="DV211" s="204" t="str">
        <f t="shared" si="621"/>
        <v/>
      </c>
      <c r="DW211" s="204" t="str">
        <f t="shared" si="621"/>
        <v/>
      </c>
      <c r="DX211" s="204" t="str">
        <f t="shared" si="621"/>
        <v/>
      </c>
      <c r="DY211" s="204" t="str">
        <f t="shared" si="621"/>
        <v/>
      </c>
      <c r="DZ211" s="204" t="str">
        <f t="shared" si="621"/>
        <v/>
      </c>
      <c r="EA211" s="204" t="str">
        <f t="shared" si="621"/>
        <v/>
      </c>
      <c r="EB211" s="204" t="str">
        <f t="shared" si="621"/>
        <v/>
      </c>
      <c r="EC211" s="204" t="str">
        <f t="shared" si="621"/>
        <v/>
      </c>
      <c r="ED211" s="204" t="str">
        <f t="shared" si="621"/>
        <v/>
      </c>
      <c r="EE211" s="204" t="str">
        <f t="shared" si="621"/>
        <v/>
      </c>
      <c r="EF211" s="204" t="str">
        <f t="shared" si="621"/>
        <v/>
      </c>
      <c r="EG211" s="204" t="str">
        <f t="shared" si="621"/>
        <v/>
      </c>
      <c r="EH211" s="204" t="str">
        <f t="shared" si="621"/>
        <v/>
      </c>
      <c r="EI211" s="204" t="str">
        <f t="shared" si="621"/>
        <v/>
      </c>
      <c r="EJ211" s="204" t="str">
        <f t="shared" si="621"/>
        <v/>
      </c>
      <c r="EK211" s="204" t="str">
        <f t="shared" si="621"/>
        <v/>
      </c>
      <c r="EL211" s="204" t="str">
        <f t="shared" si="621"/>
        <v/>
      </c>
      <c r="EM211" s="204" t="str">
        <f t="shared" si="621"/>
        <v/>
      </c>
      <c r="EN211" s="204" t="str">
        <f t="shared" si="621"/>
        <v/>
      </c>
      <c r="EO211" s="440"/>
      <c r="EP211" s="405"/>
      <c r="EQ211" s="18"/>
      <c r="ER211" s="18"/>
      <c r="ES211" s="18"/>
      <c r="ET211" s="18" t="s">
        <v>403</v>
      </c>
      <c r="EU211" s="18"/>
      <c r="EV211" s="418">
        <f>EV207+EV201</f>
        <v>0</v>
      </c>
      <c r="EW211" s="418">
        <f t="shared" ref="EW211:HH211" si="622">EW207+EW201</f>
        <v>70562.268970067496</v>
      </c>
      <c r="EX211" s="418">
        <f t="shared" si="622"/>
        <v>0</v>
      </c>
      <c r="EY211" s="418">
        <f t="shared" si="622"/>
        <v>52683.47823085892</v>
      </c>
      <c r="EZ211" s="418">
        <f t="shared" si="622"/>
        <v>73917.592887241393</v>
      </c>
      <c r="FA211" s="418">
        <f t="shared" si="622"/>
        <v>100597.62539995834</v>
      </c>
      <c r="FB211" s="418">
        <f t="shared" si="622"/>
        <v>132711.21484693745</v>
      </c>
      <c r="FC211" s="418">
        <f t="shared" si="622"/>
        <v>169571.13126643002</v>
      </c>
      <c r="FD211" s="418">
        <f t="shared" si="622"/>
        <v>209638.92700129561</v>
      </c>
      <c r="FE211" s="418">
        <f t="shared" si="622"/>
        <v>250432.28312832303</v>
      </c>
      <c r="FF211" s="418">
        <f t="shared" si="622"/>
        <v>288567.01646289043</v>
      </c>
      <c r="FG211" s="418">
        <f t="shared" si="622"/>
        <v>319971.35631248169</v>
      </c>
      <c r="FH211" s="418">
        <f t="shared" si="622"/>
        <v>340282.33397308737</v>
      </c>
      <c r="FI211" s="418">
        <f t="shared" si="622"/>
        <v>0</v>
      </c>
      <c r="FJ211" s="418">
        <f t="shared" si="622"/>
        <v>0</v>
      </c>
      <c r="FK211" s="418">
        <f t="shared" si="622"/>
        <v>0</v>
      </c>
      <c r="FL211" s="418">
        <f t="shared" si="622"/>
        <v>0</v>
      </c>
      <c r="FM211" s="418">
        <f t="shared" si="622"/>
        <v>0</v>
      </c>
      <c r="FN211" s="418">
        <f t="shared" si="622"/>
        <v>0</v>
      </c>
      <c r="FO211" s="418">
        <f t="shared" si="622"/>
        <v>0</v>
      </c>
      <c r="FP211" s="418">
        <f t="shared" si="622"/>
        <v>0</v>
      </c>
      <c r="FQ211" s="418">
        <f t="shared" si="622"/>
        <v>0</v>
      </c>
      <c r="FR211" s="418">
        <f t="shared" si="622"/>
        <v>0</v>
      </c>
      <c r="FS211" s="418">
        <f t="shared" si="622"/>
        <v>0</v>
      </c>
      <c r="FT211" s="418">
        <f t="shared" si="622"/>
        <v>0</v>
      </c>
      <c r="FU211" s="418">
        <f t="shared" si="622"/>
        <v>0</v>
      </c>
      <c r="FV211" s="418">
        <f t="shared" si="622"/>
        <v>0</v>
      </c>
      <c r="FW211" s="418">
        <f t="shared" si="622"/>
        <v>0</v>
      </c>
      <c r="FX211" s="418">
        <f t="shared" si="622"/>
        <v>0</v>
      </c>
      <c r="FY211" s="418">
        <f t="shared" si="622"/>
        <v>0</v>
      </c>
      <c r="FZ211" s="418">
        <f t="shared" si="622"/>
        <v>0</v>
      </c>
      <c r="GA211" s="418">
        <f t="shared" si="622"/>
        <v>0</v>
      </c>
      <c r="GB211" s="418">
        <f t="shared" si="622"/>
        <v>0</v>
      </c>
      <c r="GC211" s="418">
        <f t="shared" si="622"/>
        <v>0</v>
      </c>
      <c r="GD211" s="418">
        <f t="shared" si="622"/>
        <v>0</v>
      </c>
      <c r="GE211" s="418">
        <f t="shared" si="622"/>
        <v>0</v>
      </c>
      <c r="GF211" s="418">
        <f t="shared" si="622"/>
        <v>0</v>
      </c>
      <c r="GG211" s="418">
        <f t="shared" si="622"/>
        <v>0</v>
      </c>
      <c r="GH211" s="418">
        <f t="shared" si="622"/>
        <v>164230.6805146893</v>
      </c>
      <c r="GI211" s="418">
        <f t="shared" si="622"/>
        <v>364286.76529399911</v>
      </c>
      <c r="GJ211" s="418">
        <f t="shared" si="622"/>
        <v>572380.13607966923</v>
      </c>
      <c r="GK211" s="418">
        <f t="shared" si="622"/>
        <v>773016.00189663284</v>
      </c>
      <c r="GL211" s="418">
        <f t="shared" si="622"/>
        <v>973611.13907960732</v>
      </c>
      <c r="GM211" s="418">
        <f t="shared" si="622"/>
        <v>1179706.9936818241</v>
      </c>
      <c r="GN211" s="418">
        <f t="shared" si="622"/>
        <v>1380220.010561527</v>
      </c>
      <c r="GO211" s="418">
        <f t="shared" si="622"/>
        <v>1580691.6333754973</v>
      </c>
      <c r="GP211" s="418">
        <f t="shared" si="622"/>
        <v>1807345.3879058782</v>
      </c>
      <c r="GQ211" s="418">
        <f t="shared" si="622"/>
        <v>2007733.5487203011</v>
      </c>
      <c r="GR211" s="418">
        <f t="shared" si="622"/>
        <v>2208079.6391653027</v>
      </c>
      <c r="GS211" s="418">
        <f t="shared" si="622"/>
        <v>2479277.8516667918</v>
      </c>
      <c r="GT211" s="418">
        <f t="shared" si="622"/>
        <v>2471384.1182492906</v>
      </c>
      <c r="GU211" s="418">
        <f t="shared" si="622"/>
        <v>2463447.6271091113</v>
      </c>
      <c r="GV211" s="418">
        <f t="shared" si="622"/>
        <v>2461777.3341419231</v>
      </c>
      <c r="GW211" s="418">
        <f t="shared" si="622"/>
        <v>2453754.6314888708</v>
      </c>
      <c r="GX211" s="418">
        <f t="shared" si="622"/>
        <v>2445688.4725297811</v>
      </c>
      <c r="GY211" s="418">
        <f t="shared" si="622"/>
        <v>2443314.2468763296</v>
      </c>
      <c r="GZ211" s="418">
        <f t="shared" si="622"/>
        <v>2435160.4678651718</v>
      </c>
      <c r="HA211" s="418">
        <f t="shared" si="622"/>
        <v>2426962.5225510374</v>
      </c>
      <c r="HB211" s="418">
        <f t="shared" si="622"/>
        <v>2445861.752949785</v>
      </c>
      <c r="HC211" s="418">
        <f t="shared" si="622"/>
        <v>2437574.756031421</v>
      </c>
      <c r="HD211" s="418">
        <f t="shared" si="622"/>
        <v>2429242.8712130822</v>
      </c>
      <c r="HE211" s="418">
        <f t="shared" si="622"/>
        <v>174279787.77195746</v>
      </c>
      <c r="HF211" s="418">
        <f t="shared" si="622"/>
        <v>0</v>
      </c>
      <c r="HG211" s="418">
        <f t="shared" si="622"/>
        <v>0</v>
      </c>
      <c r="HH211" s="418">
        <f t="shared" si="622"/>
        <v>0</v>
      </c>
      <c r="HI211" s="418">
        <f t="shared" ref="HI211:JT211" si="623">HI207+HI201</f>
        <v>0</v>
      </c>
      <c r="HJ211" s="418">
        <f t="shared" si="623"/>
        <v>0</v>
      </c>
      <c r="HK211" s="418">
        <f t="shared" si="623"/>
        <v>0</v>
      </c>
      <c r="HL211" s="418">
        <f t="shared" si="623"/>
        <v>0</v>
      </c>
      <c r="HM211" s="418">
        <f t="shared" si="623"/>
        <v>0</v>
      </c>
      <c r="HN211" s="418">
        <f t="shared" si="623"/>
        <v>0</v>
      </c>
      <c r="HO211" s="418">
        <f t="shared" si="623"/>
        <v>0</v>
      </c>
      <c r="HP211" s="418">
        <f t="shared" si="623"/>
        <v>0</v>
      </c>
      <c r="HQ211" s="418">
        <f t="shared" si="623"/>
        <v>0</v>
      </c>
      <c r="HR211" s="418">
        <f t="shared" si="623"/>
        <v>0</v>
      </c>
      <c r="HS211" s="418">
        <f t="shared" si="623"/>
        <v>0</v>
      </c>
      <c r="HT211" s="418">
        <f t="shared" si="623"/>
        <v>0</v>
      </c>
      <c r="HU211" s="418">
        <f t="shared" si="623"/>
        <v>0</v>
      </c>
      <c r="HV211" s="418">
        <f t="shared" si="623"/>
        <v>0</v>
      </c>
      <c r="HW211" s="418">
        <f t="shared" si="623"/>
        <v>0</v>
      </c>
      <c r="HX211" s="418">
        <f t="shared" si="623"/>
        <v>0</v>
      </c>
      <c r="HY211" s="418">
        <f t="shared" si="623"/>
        <v>0</v>
      </c>
      <c r="HZ211" s="418">
        <f t="shared" si="623"/>
        <v>0</v>
      </c>
      <c r="IA211" s="418">
        <f t="shared" si="623"/>
        <v>0</v>
      </c>
      <c r="IB211" s="418">
        <f t="shared" si="623"/>
        <v>0</v>
      </c>
      <c r="IC211" s="418">
        <f t="shared" si="623"/>
        <v>0</v>
      </c>
      <c r="ID211" s="418">
        <f t="shared" si="623"/>
        <v>0</v>
      </c>
      <c r="IE211" s="418">
        <f t="shared" si="623"/>
        <v>0</v>
      </c>
      <c r="IF211" s="418">
        <f t="shared" si="623"/>
        <v>0</v>
      </c>
      <c r="IG211" s="418">
        <f t="shared" si="623"/>
        <v>0</v>
      </c>
      <c r="IH211" s="418">
        <f t="shared" si="623"/>
        <v>0</v>
      </c>
      <c r="II211" s="418">
        <f t="shared" si="623"/>
        <v>0</v>
      </c>
      <c r="IJ211" s="418">
        <f t="shared" si="623"/>
        <v>0</v>
      </c>
      <c r="IK211" s="418">
        <f t="shared" si="623"/>
        <v>0</v>
      </c>
      <c r="IL211" s="418">
        <f t="shared" si="623"/>
        <v>0</v>
      </c>
      <c r="IM211" s="418">
        <f t="shared" si="623"/>
        <v>0</v>
      </c>
      <c r="IN211" s="418">
        <f t="shared" si="623"/>
        <v>0</v>
      </c>
      <c r="IO211" s="418">
        <f t="shared" si="623"/>
        <v>0</v>
      </c>
      <c r="IP211" s="418">
        <f t="shared" si="623"/>
        <v>0</v>
      </c>
      <c r="IQ211" s="418">
        <f t="shared" si="623"/>
        <v>0</v>
      </c>
      <c r="IR211" s="418">
        <f t="shared" si="623"/>
        <v>0</v>
      </c>
      <c r="IS211" s="418">
        <f t="shared" si="623"/>
        <v>0</v>
      </c>
      <c r="IT211" s="418">
        <f t="shared" si="623"/>
        <v>0</v>
      </c>
      <c r="IU211" s="418">
        <f t="shared" si="623"/>
        <v>0</v>
      </c>
      <c r="IV211" s="418">
        <f t="shared" si="623"/>
        <v>0</v>
      </c>
      <c r="IW211" s="418">
        <f t="shared" si="623"/>
        <v>0</v>
      </c>
      <c r="IX211" s="418">
        <f t="shared" si="623"/>
        <v>0</v>
      </c>
      <c r="IY211" s="418">
        <f t="shared" si="623"/>
        <v>0</v>
      </c>
      <c r="IZ211" s="418">
        <f t="shared" si="623"/>
        <v>0</v>
      </c>
      <c r="JA211" s="418">
        <f t="shared" si="623"/>
        <v>0</v>
      </c>
      <c r="JB211" s="418">
        <f t="shared" si="623"/>
        <v>0</v>
      </c>
      <c r="JC211" s="418">
        <f t="shared" si="623"/>
        <v>0</v>
      </c>
      <c r="JD211" s="418">
        <f t="shared" si="623"/>
        <v>0</v>
      </c>
      <c r="JE211" s="418">
        <f t="shared" si="623"/>
        <v>0</v>
      </c>
      <c r="JF211" s="418">
        <f t="shared" si="623"/>
        <v>0</v>
      </c>
      <c r="JG211" s="418">
        <f t="shared" si="623"/>
        <v>0</v>
      </c>
      <c r="JH211" s="418">
        <f t="shared" si="623"/>
        <v>0</v>
      </c>
      <c r="JI211" s="418">
        <f t="shared" si="623"/>
        <v>0</v>
      </c>
      <c r="JJ211" s="418">
        <f t="shared" si="623"/>
        <v>0</v>
      </c>
      <c r="JK211" s="418">
        <f t="shared" si="623"/>
        <v>0</v>
      </c>
      <c r="JL211" s="418">
        <f t="shared" si="623"/>
        <v>0</v>
      </c>
      <c r="JM211" s="418">
        <f t="shared" si="623"/>
        <v>0</v>
      </c>
      <c r="JN211" s="418">
        <f t="shared" si="623"/>
        <v>0</v>
      </c>
      <c r="JO211" s="418">
        <f t="shared" si="623"/>
        <v>0</v>
      </c>
      <c r="JP211" s="418">
        <f t="shared" si="623"/>
        <v>0</v>
      </c>
      <c r="JQ211" s="418">
        <f t="shared" si="623"/>
        <v>0</v>
      </c>
      <c r="JR211" s="418">
        <f t="shared" si="623"/>
        <v>0</v>
      </c>
      <c r="JS211" s="418">
        <f t="shared" si="623"/>
        <v>0</v>
      </c>
      <c r="JT211" s="418">
        <f t="shared" si="623"/>
        <v>0</v>
      </c>
      <c r="JU211" s="418">
        <f>JU207+JU201</f>
        <v>0</v>
      </c>
      <c r="JV211" s="418">
        <f>JV207+JV201</f>
        <v>0</v>
      </c>
      <c r="JW211" s="418">
        <f>JW207+JW201</f>
        <v>0</v>
      </c>
      <c r="JX211" s="418">
        <f>JX207+JX201</f>
        <v>0</v>
      </c>
      <c r="JY211"/>
      <c r="JZ211" s="442"/>
      <c r="KA211" s="442"/>
      <c r="KB211" s="442"/>
      <c r="KC211" s="442"/>
      <c r="KD211" s="442"/>
      <c r="KE211" s="442"/>
      <c r="KF211" s="442"/>
      <c r="KG211" s="442"/>
      <c r="KH211" s="442"/>
      <c r="KI211" s="442"/>
      <c r="KJ211" s="442"/>
      <c r="KK211" s="442"/>
      <c r="KL211" s="442"/>
      <c r="KM211" s="442"/>
      <c r="KN211" s="442"/>
      <c r="KO211" s="442"/>
      <c r="KP211" s="442"/>
      <c r="KQ211" s="442"/>
      <c r="KR211" s="442"/>
      <c r="KS211" s="442"/>
      <c r="KT211" s="442"/>
      <c r="KU211" s="442"/>
      <c r="KV211" s="442"/>
      <c r="KW211" s="442"/>
      <c r="KX211" s="442"/>
      <c r="KY211" s="442"/>
      <c r="KZ211" s="442"/>
      <c r="LA211" s="442"/>
      <c r="LB211" s="442"/>
      <c r="LC211" s="442"/>
      <c r="LD211" s="442"/>
      <c r="LE211" s="442"/>
      <c r="LF211" s="442"/>
      <c r="LG211" s="442"/>
      <c r="LH211" s="442"/>
      <c r="LI211" s="442"/>
      <c r="LJ211" s="442"/>
      <c r="LK211" s="442"/>
      <c r="LL211" s="442"/>
      <c r="LM211" s="442"/>
      <c r="LN211" s="442"/>
      <c r="LO211" s="442"/>
      <c r="LP211" s="442"/>
      <c r="LQ211" s="442"/>
      <c r="LR211" s="442"/>
      <c r="LS211" s="442"/>
      <c r="LT211" s="442"/>
      <c r="LU211" s="442"/>
      <c r="LV211" s="442"/>
      <c r="LW211" s="442"/>
      <c r="LX211" s="442"/>
      <c r="LY211" s="442"/>
      <c r="LZ211" s="442"/>
      <c r="MA211" s="442"/>
      <c r="MB211" s="442"/>
      <c r="MC211" s="442"/>
      <c r="MD211" s="442"/>
      <c r="ME211" s="442"/>
      <c r="MF211" s="442"/>
      <c r="MG211" s="442"/>
      <c r="MH211" s="442"/>
      <c r="MI211" s="442"/>
      <c r="MJ211" s="442"/>
      <c r="MK211" s="442"/>
      <c r="ML211" s="442"/>
      <c r="MM211" s="442"/>
      <c r="MN211" s="442"/>
      <c r="MO211" s="442"/>
      <c r="MP211" s="442"/>
      <c r="MQ211" s="442"/>
      <c r="MR211" s="442"/>
      <c r="MS211" s="442"/>
      <c r="MT211" s="442"/>
      <c r="MU211" s="442"/>
      <c r="MV211" s="442"/>
      <c r="MW211" s="442"/>
      <c r="MX211" s="442"/>
      <c r="MY211" s="442"/>
      <c r="MZ211" s="442"/>
      <c r="NA211" s="442"/>
      <c r="NB211" s="442"/>
      <c r="NC211" s="442"/>
      <c r="ND211" s="442"/>
      <c r="NE211" s="442"/>
      <c r="NF211" s="442"/>
      <c r="NG211" s="442"/>
      <c r="NH211" s="442"/>
      <c r="NI211" s="442"/>
      <c r="NJ211" s="442"/>
      <c r="NK211" s="442"/>
      <c r="NL211" s="442"/>
      <c r="NM211" s="442"/>
      <c r="NN211" s="442"/>
      <c r="NO211" s="442"/>
      <c r="NP211" s="442"/>
      <c r="NQ211" s="442"/>
      <c r="NR211" s="442"/>
      <c r="NS211" s="442"/>
      <c r="NT211" s="442"/>
      <c r="NU211" s="442"/>
      <c r="NV211" s="442"/>
      <c r="NW211" s="442"/>
      <c r="NX211" s="442"/>
      <c r="NY211" s="442"/>
      <c r="NZ211" s="442"/>
      <c r="OA211" s="442"/>
      <c r="OB211" s="442"/>
      <c r="OC211" s="442"/>
      <c r="OD211" s="442"/>
      <c r="OE211" s="442"/>
      <c r="OF211" s="442"/>
      <c r="OG211" s="442"/>
      <c r="OH211" s="442"/>
      <c r="OI211" s="442"/>
      <c r="OJ211" s="442"/>
      <c r="OK211" s="442"/>
      <c r="OL211" s="442"/>
      <c r="OM211" s="442"/>
      <c r="ON211" s="442"/>
      <c r="OO211" s="442"/>
      <c r="OP211" s="442"/>
      <c r="OQ211" s="442"/>
      <c r="OR211" s="442"/>
      <c r="OS211" s="442"/>
      <c r="OT211" s="442"/>
      <c r="OU211" s="442"/>
      <c r="OV211" s="442"/>
      <c r="OW211" s="442"/>
      <c r="OX211" s="442"/>
      <c r="OY211" s="442"/>
      <c r="OZ211" s="442"/>
      <c r="PA211" s="442"/>
      <c r="PB211" s="442"/>
      <c r="PC211" s="442"/>
      <c r="PD211" s="442"/>
      <c r="PE211" s="442"/>
      <c r="PF211" s="442"/>
      <c r="PG211" s="442"/>
      <c r="PH211" s="442"/>
    </row>
    <row r="212" spans="1:424" s="24" customFormat="1" x14ac:dyDescent="0.35">
      <c r="A212" s="437"/>
      <c r="B212" s="61" t="s">
        <v>404</v>
      </c>
      <c r="C212" s="454"/>
      <c r="D212" s="454"/>
      <c r="E212" s="454"/>
      <c r="F212" s="454"/>
      <c r="G212" s="531">
        <f>IFERROR(SUMIF($M212:$BU212,"&gt;0",$M212:$BU212)/-SUMIF($M212:$BU212,"&lt;0",$M212:$BU212),0)</f>
        <v>3.6516197698477049</v>
      </c>
      <c r="H212" s="73">
        <f>IFERROR(XIRR($M212:$BU212,$M$195:$BU$195),0)</f>
        <v>2.9802322387695314E-9</v>
      </c>
      <c r="I212" s="489">
        <f>SUM($M212:$BU212)</f>
        <v>377335804.64732277</v>
      </c>
      <c r="J212"/>
      <c r="K212" s="440"/>
      <c r="L212" s="441">
        <f t="shared" ref="L212:AQ212" si="624">IF(L194="","",-L53-L196-L197+L199+L200+L202-L203+L205+L206+L207)</f>
        <v>-76389582.872717112</v>
      </c>
      <c r="M212" s="441">
        <f t="shared" si="624"/>
        <v>70562.268970067496</v>
      </c>
      <c r="N212" s="441">
        <f t="shared" si="624"/>
        <v>0</v>
      </c>
      <c r="O212" s="441">
        <f t="shared" si="624"/>
        <v>52683.47823085892</v>
      </c>
      <c r="P212" s="441">
        <f t="shared" si="624"/>
        <v>73917.592887241393</v>
      </c>
      <c r="Q212" s="441">
        <f t="shared" si="624"/>
        <v>100597.62539995834</v>
      </c>
      <c r="R212" s="441">
        <f t="shared" si="624"/>
        <v>132711.21484693745</v>
      </c>
      <c r="S212" s="441">
        <f t="shared" si="624"/>
        <v>169571.13126643002</v>
      </c>
      <c r="T212" s="441">
        <f t="shared" si="624"/>
        <v>209638.92700129561</v>
      </c>
      <c r="U212" s="441">
        <f t="shared" si="624"/>
        <v>250432.28312832303</v>
      </c>
      <c r="V212" s="441">
        <f t="shared" si="624"/>
        <v>288567.01646289043</v>
      </c>
      <c r="W212" s="441">
        <f t="shared" si="624"/>
        <v>319971.35631248169</v>
      </c>
      <c r="X212" s="441">
        <f t="shared" si="624"/>
        <v>340282.33397308737</v>
      </c>
      <c r="Y212" s="441">
        <f t="shared" si="624"/>
        <v>-1932832.6541841328</v>
      </c>
      <c r="Z212" s="441">
        <f t="shared" si="624"/>
        <v>-9018148.7201975472</v>
      </c>
      <c r="AA212" s="441">
        <f t="shared" si="624"/>
        <v>-9899906.2401258312</v>
      </c>
      <c r="AB212" s="441">
        <f t="shared" si="624"/>
        <v>-10594941.16352598</v>
      </c>
      <c r="AC212" s="441">
        <f t="shared" si="624"/>
        <v>-11168623.014029484</v>
      </c>
      <c r="AD212" s="441">
        <f t="shared" si="624"/>
        <v>-11476435.484353572</v>
      </c>
      <c r="AE212" s="441">
        <f t="shared" si="624"/>
        <v>-11500747.807484064</v>
      </c>
      <c r="AF212" s="441">
        <f t="shared" si="624"/>
        <v>-11200802.193184778</v>
      </c>
      <c r="AG212" s="441">
        <f t="shared" si="624"/>
        <v>-10560401.808855567</v>
      </c>
      <c r="AH212" s="441">
        <f t="shared" si="624"/>
        <v>-9007015.4887131397</v>
      </c>
      <c r="AI212" s="441">
        <f t="shared" si="624"/>
        <v>-8037972.8637852902</v>
      </c>
      <c r="AJ212" s="441">
        <f t="shared" si="624"/>
        <v>-7003744.5955059687</v>
      </c>
      <c r="AK212" s="441">
        <f t="shared" si="624"/>
        <v>-5750851.2834514072</v>
      </c>
      <c r="AL212" s="441">
        <f t="shared" si="624"/>
        <v>-4766158.5265351916</v>
      </c>
      <c r="AM212" s="441">
        <f t="shared" si="624"/>
        <v>-3873205.3960134638</v>
      </c>
      <c r="AN212" s="441">
        <f t="shared" si="624"/>
        <v>-2923275.520515983</v>
      </c>
      <c r="AO212" s="441">
        <f t="shared" si="624"/>
        <v>-2276010.0856580529</v>
      </c>
      <c r="AP212" s="441">
        <f t="shared" si="624"/>
        <v>-2650739.4435757259</v>
      </c>
      <c r="AQ212" s="441">
        <f t="shared" si="624"/>
        <v>-2596004.2703655614</v>
      </c>
      <c r="AR212" s="441">
        <f t="shared" ref="AR212:BW212" si="625">IF(AR194="","",-AR53-AR196-AR197+AR199+AR200+AR202-AR203+AR205+AR206+AR207)</f>
        <v>-1937292.4101016719</v>
      </c>
      <c r="AS212" s="441">
        <f t="shared" si="625"/>
        <v>-1455784.2709663643</v>
      </c>
      <c r="AT212" s="441">
        <f t="shared" si="625"/>
        <v>-1083442.3940526801</v>
      </c>
      <c r="AU212" s="441">
        <f t="shared" si="625"/>
        <v>-852358.66986050736</v>
      </c>
      <c r="AV212" s="441">
        <f t="shared" si="625"/>
        <v>-701328.93346127542</v>
      </c>
      <c r="AW212" s="441">
        <f t="shared" si="625"/>
        <v>-35865.47816403769</v>
      </c>
      <c r="AX212" s="441">
        <f t="shared" si="625"/>
        <v>164230.6805146893</v>
      </c>
      <c r="AY212" s="441">
        <f t="shared" si="625"/>
        <v>364286.76529399911</v>
      </c>
      <c r="AZ212" s="441">
        <f t="shared" si="625"/>
        <v>572380.13607966923</v>
      </c>
      <c r="BA212" s="441">
        <f t="shared" si="625"/>
        <v>773016.00189663284</v>
      </c>
      <c r="BB212" s="441">
        <f t="shared" si="625"/>
        <v>973611.13907960732</v>
      </c>
      <c r="BC212" s="441">
        <f t="shared" si="625"/>
        <v>1179706.9936818241</v>
      </c>
      <c r="BD212" s="204">
        <f t="shared" si="625"/>
        <v>1380220.010561527</v>
      </c>
      <c r="BE212" s="204">
        <f t="shared" si="625"/>
        <v>1580691.6333754973</v>
      </c>
      <c r="BF212" s="204">
        <f t="shared" si="625"/>
        <v>1807345.3879058782</v>
      </c>
      <c r="BG212" s="204">
        <f t="shared" si="625"/>
        <v>2007733.5487203011</v>
      </c>
      <c r="BH212" s="204">
        <f t="shared" si="625"/>
        <v>2208079.6391653027</v>
      </c>
      <c r="BI212" s="204">
        <f t="shared" si="625"/>
        <v>2479277.8516667918</v>
      </c>
      <c r="BJ212" s="204">
        <f t="shared" si="625"/>
        <v>2471384.1182492906</v>
      </c>
      <c r="BK212" s="204">
        <f t="shared" si="625"/>
        <v>2463447.6271091113</v>
      </c>
      <c r="BL212" s="204">
        <f t="shared" si="625"/>
        <v>2461777.3341419231</v>
      </c>
      <c r="BM212" s="204">
        <f t="shared" si="625"/>
        <v>2453754.6314888708</v>
      </c>
      <c r="BN212" s="204">
        <f t="shared" si="625"/>
        <v>2445688.4725297811</v>
      </c>
      <c r="BO212" s="204">
        <f t="shared" si="625"/>
        <v>2443314.2468763296</v>
      </c>
      <c r="BP212" s="204">
        <f t="shared" si="625"/>
        <v>2435160.4678651718</v>
      </c>
      <c r="BQ212" s="204">
        <f t="shared" si="625"/>
        <v>2426962.5225510374</v>
      </c>
      <c r="BR212" s="204">
        <f t="shared" si="625"/>
        <v>2445861.752949785</v>
      </c>
      <c r="BS212" s="204">
        <f t="shared" si="625"/>
        <v>2437574.756031421</v>
      </c>
      <c r="BT212" s="204">
        <f t="shared" si="625"/>
        <v>2429242.8712130822</v>
      </c>
      <c r="BU212" s="204">
        <f t="shared" si="625"/>
        <v>475226009.54656303</v>
      </c>
      <c r="BV212" s="204" t="str">
        <f t="shared" si="625"/>
        <v/>
      </c>
      <c r="BW212" s="204" t="str">
        <f t="shared" si="625"/>
        <v/>
      </c>
      <c r="BX212" s="204" t="str">
        <f t="shared" ref="BX212:DC212" si="626">IF(BX194="","",-BX53-BX196-BX197+BX199+BX200+BX202-BX203+BX205+BX206+BX207)</f>
        <v/>
      </c>
      <c r="BY212" s="204" t="str">
        <f t="shared" si="626"/>
        <v/>
      </c>
      <c r="BZ212" s="204" t="str">
        <f t="shared" si="626"/>
        <v/>
      </c>
      <c r="CA212" s="204" t="str">
        <f t="shared" si="626"/>
        <v/>
      </c>
      <c r="CB212" s="204" t="str">
        <f t="shared" si="626"/>
        <v/>
      </c>
      <c r="CC212" s="204" t="str">
        <f t="shared" si="626"/>
        <v/>
      </c>
      <c r="CD212" s="204" t="str">
        <f t="shared" si="626"/>
        <v/>
      </c>
      <c r="CE212" s="204" t="str">
        <f t="shared" si="626"/>
        <v/>
      </c>
      <c r="CF212" s="204" t="str">
        <f t="shared" si="626"/>
        <v/>
      </c>
      <c r="CG212" s="204" t="str">
        <f t="shared" si="626"/>
        <v/>
      </c>
      <c r="CH212" s="204" t="str">
        <f t="shared" si="626"/>
        <v/>
      </c>
      <c r="CI212" s="204" t="str">
        <f t="shared" si="626"/>
        <v/>
      </c>
      <c r="CJ212" s="204" t="str">
        <f t="shared" si="626"/>
        <v/>
      </c>
      <c r="CK212" s="204" t="str">
        <f t="shared" si="626"/>
        <v/>
      </c>
      <c r="CL212" s="204" t="str">
        <f t="shared" si="626"/>
        <v/>
      </c>
      <c r="CM212" s="204" t="str">
        <f t="shared" si="626"/>
        <v/>
      </c>
      <c r="CN212" s="204" t="str">
        <f t="shared" si="626"/>
        <v/>
      </c>
      <c r="CO212" s="204" t="str">
        <f t="shared" si="626"/>
        <v/>
      </c>
      <c r="CP212" s="204" t="str">
        <f t="shared" si="626"/>
        <v/>
      </c>
      <c r="CQ212" s="204" t="str">
        <f t="shared" si="626"/>
        <v/>
      </c>
      <c r="CR212" s="204" t="str">
        <f t="shared" si="626"/>
        <v/>
      </c>
      <c r="CS212" s="204" t="str">
        <f t="shared" si="626"/>
        <v/>
      </c>
      <c r="CT212" s="204" t="str">
        <f t="shared" si="626"/>
        <v/>
      </c>
      <c r="CU212" s="204" t="str">
        <f t="shared" si="626"/>
        <v/>
      </c>
      <c r="CV212" s="204" t="str">
        <f t="shared" si="626"/>
        <v/>
      </c>
      <c r="CW212" s="204" t="str">
        <f t="shared" si="626"/>
        <v/>
      </c>
      <c r="CX212" s="204" t="str">
        <f t="shared" si="626"/>
        <v/>
      </c>
      <c r="CY212" s="204" t="str">
        <f t="shared" si="626"/>
        <v/>
      </c>
      <c r="CZ212" s="204" t="str">
        <f t="shared" si="626"/>
        <v/>
      </c>
      <c r="DA212" s="204" t="str">
        <f t="shared" si="626"/>
        <v/>
      </c>
      <c r="DB212" s="204" t="str">
        <f t="shared" si="626"/>
        <v/>
      </c>
      <c r="DC212" s="204" t="str">
        <f t="shared" si="626"/>
        <v/>
      </c>
      <c r="DD212" s="204" t="str">
        <f t="shared" ref="DD212:EN212" si="627">IF(DD194="","",-DD53-DD196-DD197+DD199+DD200+DD202-DD203+DD205+DD206+DD207)</f>
        <v/>
      </c>
      <c r="DE212" s="204" t="str">
        <f t="shared" si="627"/>
        <v/>
      </c>
      <c r="DF212" s="204" t="str">
        <f t="shared" si="627"/>
        <v/>
      </c>
      <c r="DG212" s="204" t="str">
        <f t="shared" si="627"/>
        <v/>
      </c>
      <c r="DH212" s="204" t="str">
        <f t="shared" si="627"/>
        <v/>
      </c>
      <c r="DI212" s="204" t="str">
        <f t="shared" si="627"/>
        <v/>
      </c>
      <c r="DJ212" s="204" t="str">
        <f t="shared" si="627"/>
        <v/>
      </c>
      <c r="DK212" s="204" t="str">
        <f t="shared" si="627"/>
        <v/>
      </c>
      <c r="DL212" s="204" t="str">
        <f t="shared" si="627"/>
        <v/>
      </c>
      <c r="DM212" s="204" t="str">
        <f t="shared" si="627"/>
        <v/>
      </c>
      <c r="DN212" s="204" t="str">
        <f t="shared" si="627"/>
        <v/>
      </c>
      <c r="DO212" s="204" t="str">
        <f t="shared" si="627"/>
        <v/>
      </c>
      <c r="DP212" s="204" t="str">
        <f t="shared" si="627"/>
        <v/>
      </c>
      <c r="DQ212" s="204" t="str">
        <f t="shared" si="627"/>
        <v/>
      </c>
      <c r="DR212" s="204" t="str">
        <f t="shared" si="627"/>
        <v/>
      </c>
      <c r="DS212" s="204" t="str">
        <f t="shared" si="627"/>
        <v/>
      </c>
      <c r="DT212" s="204" t="str">
        <f t="shared" si="627"/>
        <v/>
      </c>
      <c r="DU212" s="204" t="str">
        <f t="shared" si="627"/>
        <v/>
      </c>
      <c r="DV212" s="204" t="str">
        <f t="shared" si="627"/>
        <v/>
      </c>
      <c r="DW212" s="204" t="str">
        <f t="shared" si="627"/>
        <v/>
      </c>
      <c r="DX212" s="204" t="str">
        <f t="shared" si="627"/>
        <v/>
      </c>
      <c r="DY212" s="204" t="str">
        <f t="shared" si="627"/>
        <v/>
      </c>
      <c r="DZ212" s="204" t="str">
        <f t="shared" si="627"/>
        <v/>
      </c>
      <c r="EA212" s="204" t="str">
        <f t="shared" si="627"/>
        <v/>
      </c>
      <c r="EB212" s="204" t="str">
        <f t="shared" si="627"/>
        <v/>
      </c>
      <c r="EC212" s="204" t="str">
        <f t="shared" si="627"/>
        <v/>
      </c>
      <c r="ED212" s="204" t="str">
        <f t="shared" si="627"/>
        <v/>
      </c>
      <c r="EE212" s="204" t="str">
        <f t="shared" si="627"/>
        <v/>
      </c>
      <c r="EF212" s="204" t="str">
        <f t="shared" si="627"/>
        <v/>
      </c>
      <c r="EG212" s="204" t="str">
        <f t="shared" si="627"/>
        <v/>
      </c>
      <c r="EH212" s="204" t="str">
        <f t="shared" si="627"/>
        <v/>
      </c>
      <c r="EI212" s="204" t="str">
        <f t="shared" si="627"/>
        <v/>
      </c>
      <c r="EJ212" s="204" t="str">
        <f t="shared" si="627"/>
        <v/>
      </c>
      <c r="EK212" s="204" t="str">
        <f t="shared" si="627"/>
        <v/>
      </c>
      <c r="EL212" s="204" t="str">
        <f t="shared" si="627"/>
        <v/>
      </c>
      <c r="EM212" s="204" t="str">
        <f t="shared" si="627"/>
        <v/>
      </c>
      <c r="EN212" s="204" t="str">
        <f t="shared" si="627"/>
        <v/>
      </c>
      <c r="EO212" s="440"/>
      <c r="EP212" s="532"/>
      <c r="EQ212" s="533"/>
      <c r="ER212" s="533"/>
      <c r="ES212" s="533"/>
      <c r="ET212" s="533" t="s">
        <v>405</v>
      </c>
      <c r="EU212" s="533"/>
      <c r="EV212" s="534">
        <f>MAX(EV196-EV211,0)</f>
        <v>0</v>
      </c>
      <c r="EW212" s="534">
        <f t="shared" ref="EW212:GA212" si="628">MAX(EW196-EW211,0)</f>
        <v>0</v>
      </c>
      <c r="EX212" s="534">
        <f t="shared" si="628"/>
        <v>0</v>
      </c>
      <c r="EY212" s="534">
        <f t="shared" si="628"/>
        <v>0</v>
      </c>
      <c r="EZ212" s="534">
        <f t="shared" si="628"/>
        <v>0</v>
      </c>
      <c r="FA212" s="534">
        <f t="shared" si="628"/>
        <v>0</v>
      </c>
      <c r="FB212" s="534">
        <f t="shared" si="628"/>
        <v>0</v>
      </c>
      <c r="FC212" s="534">
        <f t="shared" si="628"/>
        <v>0</v>
      </c>
      <c r="FD212" s="534">
        <f t="shared" si="628"/>
        <v>0</v>
      </c>
      <c r="FE212" s="534">
        <f t="shared" si="628"/>
        <v>0</v>
      </c>
      <c r="FF212" s="534">
        <f t="shared" si="628"/>
        <v>0</v>
      </c>
      <c r="FG212" s="534">
        <f t="shared" si="628"/>
        <v>0</v>
      </c>
      <c r="FH212" s="534">
        <f t="shared" si="628"/>
        <v>0</v>
      </c>
      <c r="FI212" s="534">
        <f t="shared" si="628"/>
        <v>0</v>
      </c>
      <c r="FJ212" s="534">
        <f t="shared" si="628"/>
        <v>0</v>
      </c>
      <c r="FK212" s="534">
        <f t="shared" si="628"/>
        <v>0</v>
      </c>
      <c r="FL212" s="534">
        <f t="shared" si="628"/>
        <v>0</v>
      </c>
      <c r="FM212" s="534">
        <f t="shared" si="628"/>
        <v>0</v>
      </c>
      <c r="FN212" s="534">
        <f t="shared" si="628"/>
        <v>0</v>
      </c>
      <c r="FO212" s="534">
        <f t="shared" si="628"/>
        <v>0</v>
      </c>
      <c r="FP212" s="534">
        <f t="shared" si="628"/>
        <v>0</v>
      </c>
      <c r="FQ212" s="534">
        <f t="shared" si="628"/>
        <v>0</v>
      </c>
      <c r="FR212" s="534">
        <f t="shared" si="628"/>
        <v>0</v>
      </c>
      <c r="FS212" s="534">
        <f t="shared" si="628"/>
        <v>0</v>
      </c>
      <c r="FT212" s="534">
        <f t="shared" si="628"/>
        <v>0</v>
      </c>
      <c r="FU212" s="534">
        <f t="shared" si="628"/>
        <v>0</v>
      </c>
      <c r="FV212" s="534">
        <f t="shared" si="628"/>
        <v>0</v>
      </c>
      <c r="FW212" s="534">
        <f t="shared" si="628"/>
        <v>0</v>
      </c>
      <c r="FX212" s="534">
        <f t="shared" si="628"/>
        <v>0</v>
      </c>
      <c r="FY212" s="534">
        <f t="shared" si="628"/>
        <v>0</v>
      </c>
      <c r="FZ212" s="534">
        <f t="shared" si="628"/>
        <v>0</v>
      </c>
      <c r="GA212" s="534">
        <f t="shared" si="628"/>
        <v>0</v>
      </c>
      <c r="GB212" s="534">
        <f t="shared" ref="GB212:HG212" si="629">MAX(GB196-GB211,0)</f>
        <v>0</v>
      </c>
      <c r="GC212" s="534">
        <f t="shared" si="629"/>
        <v>0</v>
      </c>
      <c r="GD212" s="534">
        <f t="shared" si="629"/>
        <v>0</v>
      </c>
      <c r="GE212" s="534">
        <f t="shared" si="629"/>
        <v>0</v>
      </c>
      <c r="GF212" s="534">
        <f t="shared" si="629"/>
        <v>0</v>
      </c>
      <c r="GG212" s="534">
        <f t="shared" si="629"/>
        <v>0</v>
      </c>
      <c r="GH212" s="534">
        <f t="shared" si="629"/>
        <v>0</v>
      </c>
      <c r="GI212" s="534">
        <f t="shared" si="629"/>
        <v>0</v>
      </c>
      <c r="GJ212" s="534">
        <f t="shared" si="629"/>
        <v>0</v>
      </c>
      <c r="GK212" s="534">
        <f t="shared" si="629"/>
        <v>0</v>
      </c>
      <c r="GL212" s="534">
        <f t="shared" si="629"/>
        <v>0</v>
      </c>
      <c r="GM212" s="534">
        <f t="shared" si="629"/>
        <v>0</v>
      </c>
      <c r="GN212" s="534">
        <f t="shared" si="629"/>
        <v>0</v>
      </c>
      <c r="GO212" s="534">
        <f t="shared" si="629"/>
        <v>0</v>
      </c>
      <c r="GP212" s="534">
        <f t="shared" si="629"/>
        <v>0</v>
      </c>
      <c r="GQ212" s="534">
        <f t="shared" si="629"/>
        <v>0</v>
      </c>
      <c r="GR212" s="534">
        <f t="shared" si="629"/>
        <v>0</v>
      </c>
      <c r="GS212" s="534">
        <f t="shared" si="629"/>
        <v>0</v>
      </c>
      <c r="GT212" s="534">
        <f t="shared" si="629"/>
        <v>0</v>
      </c>
      <c r="GU212" s="534">
        <f t="shared" si="629"/>
        <v>0</v>
      </c>
      <c r="GV212" s="534">
        <f t="shared" si="629"/>
        <v>0</v>
      </c>
      <c r="GW212" s="534">
        <f t="shared" si="629"/>
        <v>0</v>
      </c>
      <c r="GX212" s="534">
        <f t="shared" si="629"/>
        <v>0</v>
      </c>
      <c r="GY212" s="534">
        <f t="shared" si="629"/>
        <v>0</v>
      </c>
      <c r="GZ212" s="534">
        <f t="shared" si="629"/>
        <v>0</v>
      </c>
      <c r="HA212" s="534">
        <f t="shared" si="629"/>
        <v>0</v>
      </c>
      <c r="HB212" s="534">
        <f t="shared" si="629"/>
        <v>0</v>
      </c>
      <c r="HC212" s="534">
        <f t="shared" si="629"/>
        <v>0</v>
      </c>
      <c r="HD212" s="534">
        <f t="shared" si="629"/>
        <v>0</v>
      </c>
      <c r="HE212" s="534">
        <f t="shared" si="629"/>
        <v>300946221.77460557</v>
      </c>
      <c r="HF212" s="534">
        <f t="shared" si="629"/>
        <v>0</v>
      </c>
      <c r="HG212" s="534">
        <f t="shared" si="629"/>
        <v>0</v>
      </c>
      <c r="HH212" s="534">
        <f t="shared" ref="HH212:IM212" si="630">MAX(HH196-HH211,0)</f>
        <v>0</v>
      </c>
      <c r="HI212" s="534">
        <f t="shared" si="630"/>
        <v>0</v>
      </c>
      <c r="HJ212" s="534">
        <f t="shared" si="630"/>
        <v>0</v>
      </c>
      <c r="HK212" s="534">
        <f t="shared" si="630"/>
        <v>0</v>
      </c>
      <c r="HL212" s="534">
        <f t="shared" si="630"/>
        <v>0</v>
      </c>
      <c r="HM212" s="534">
        <f t="shared" si="630"/>
        <v>0</v>
      </c>
      <c r="HN212" s="534">
        <f t="shared" si="630"/>
        <v>0</v>
      </c>
      <c r="HO212" s="534">
        <f t="shared" si="630"/>
        <v>0</v>
      </c>
      <c r="HP212" s="534">
        <f t="shared" si="630"/>
        <v>0</v>
      </c>
      <c r="HQ212" s="534">
        <f t="shared" si="630"/>
        <v>0</v>
      </c>
      <c r="HR212" s="534">
        <f t="shared" si="630"/>
        <v>0</v>
      </c>
      <c r="HS212" s="534">
        <f t="shared" si="630"/>
        <v>0</v>
      </c>
      <c r="HT212" s="534">
        <f t="shared" si="630"/>
        <v>0</v>
      </c>
      <c r="HU212" s="534">
        <f t="shared" si="630"/>
        <v>0</v>
      </c>
      <c r="HV212" s="534">
        <f t="shared" si="630"/>
        <v>0</v>
      </c>
      <c r="HW212" s="534">
        <f t="shared" si="630"/>
        <v>0</v>
      </c>
      <c r="HX212" s="534">
        <f t="shared" si="630"/>
        <v>0</v>
      </c>
      <c r="HY212" s="534">
        <f t="shared" si="630"/>
        <v>0</v>
      </c>
      <c r="HZ212" s="534">
        <f t="shared" si="630"/>
        <v>0</v>
      </c>
      <c r="IA212" s="534">
        <f t="shared" si="630"/>
        <v>0</v>
      </c>
      <c r="IB212" s="534">
        <f t="shared" si="630"/>
        <v>0</v>
      </c>
      <c r="IC212" s="534">
        <f t="shared" si="630"/>
        <v>0</v>
      </c>
      <c r="ID212" s="534">
        <f t="shared" si="630"/>
        <v>0</v>
      </c>
      <c r="IE212" s="534">
        <f t="shared" si="630"/>
        <v>0</v>
      </c>
      <c r="IF212" s="534">
        <f t="shared" si="630"/>
        <v>0</v>
      </c>
      <c r="IG212" s="534">
        <f t="shared" si="630"/>
        <v>0</v>
      </c>
      <c r="IH212" s="534">
        <f t="shared" si="630"/>
        <v>0</v>
      </c>
      <c r="II212" s="534">
        <f t="shared" si="630"/>
        <v>0</v>
      </c>
      <c r="IJ212" s="534">
        <f t="shared" si="630"/>
        <v>0</v>
      </c>
      <c r="IK212" s="534">
        <f t="shared" si="630"/>
        <v>0</v>
      </c>
      <c r="IL212" s="534">
        <f t="shared" si="630"/>
        <v>0</v>
      </c>
      <c r="IM212" s="534">
        <f t="shared" si="630"/>
        <v>0</v>
      </c>
      <c r="IN212" s="534">
        <f t="shared" ref="IN212:JS212" si="631">MAX(IN196-IN211,0)</f>
        <v>0</v>
      </c>
      <c r="IO212" s="534">
        <f t="shared" si="631"/>
        <v>0</v>
      </c>
      <c r="IP212" s="534">
        <f t="shared" si="631"/>
        <v>0</v>
      </c>
      <c r="IQ212" s="534">
        <f t="shared" si="631"/>
        <v>0</v>
      </c>
      <c r="IR212" s="534">
        <f t="shared" si="631"/>
        <v>0</v>
      </c>
      <c r="IS212" s="534">
        <f t="shared" si="631"/>
        <v>0</v>
      </c>
      <c r="IT212" s="534">
        <f t="shared" si="631"/>
        <v>0</v>
      </c>
      <c r="IU212" s="534">
        <f t="shared" si="631"/>
        <v>0</v>
      </c>
      <c r="IV212" s="534">
        <f t="shared" si="631"/>
        <v>0</v>
      </c>
      <c r="IW212" s="534">
        <f t="shared" si="631"/>
        <v>0</v>
      </c>
      <c r="IX212" s="534">
        <f t="shared" si="631"/>
        <v>0</v>
      </c>
      <c r="IY212" s="534">
        <f t="shared" si="631"/>
        <v>0</v>
      </c>
      <c r="IZ212" s="534">
        <f t="shared" si="631"/>
        <v>0</v>
      </c>
      <c r="JA212" s="534">
        <f t="shared" si="631"/>
        <v>0</v>
      </c>
      <c r="JB212" s="534">
        <f t="shared" si="631"/>
        <v>0</v>
      </c>
      <c r="JC212" s="534">
        <f t="shared" si="631"/>
        <v>0</v>
      </c>
      <c r="JD212" s="534">
        <f t="shared" si="631"/>
        <v>0</v>
      </c>
      <c r="JE212" s="534">
        <f t="shared" si="631"/>
        <v>0</v>
      </c>
      <c r="JF212" s="534">
        <f t="shared" si="631"/>
        <v>0</v>
      </c>
      <c r="JG212" s="534">
        <f t="shared" si="631"/>
        <v>0</v>
      </c>
      <c r="JH212" s="534">
        <f t="shared" si="631"/>
        <v>0</v>
      </c>
      <c r="JI212" s="534">
        <f t="shared" si="631"/>
        <v>0</v>
      </c>
      <c r="JJ212" s="534">
        <f t="shared" si="631"/>
        <v>0</v>
      </c>
      <c r="JK212" s="534">
        <f t="shared" si="631"/>
        <v>0</v>
      </c>
      <c r="JL212" s="534">
        <f t="shared" si="631"/>
        <v>0</v>
      </c>
      <c r="JM212" s="534">
        <f t="shared" si="631"/>
        <v>0</v>
      </c>
      <c r="JN212" s="534">
        <f t="shared" si="631"/>
        <v>0</v>
      </c>
      <c r="JO212" s="534">
        <f t="shared" si="631"/>
        <v>0</v>
      </c>
      <c r="JP212" s="534">
        <f t="shared" si="631"/>
        <v>0</v>
      </c>
      <c r="JQ212" s="534">
        <f t="shared" si="631"/>
        <v>0</v>
      </c>
      <c r="JR212" s="534">
        <f t="shared" si="631"/>
        <v>0</v>
      </c>
      <c r="JS212" s="534">
        <f t="shared" si="631"/>
        <v>0</v>
      </c>
      <c r="JT212" s="534">
        <f>MAX(JT196-JT211,0)</f>
        <v>0</v>
      </c>
      <c r="JU212" s="534">
        <f>MAX(JU196-JU211,0)</f>
        <v>0</v>
      </c>
      <c r="JV212" s="534">
        <f>MAX(JV196-JV211,0)</f>
        <v>0</v>
      </c>
      <c r="JW212" s="534">
        <f>MAX(JW196-JW211,0)</f>
        <v>0</v>
      </c>
      <c r="JX212" s="534">
        <f>MAX(JX196-JX211,0)</f>
        <v>0</v>
      </c>
      <c r="JY212"/>
      <c r="JZ212" s="442"/>
      <c r="KA212" s="442"/>
      <c r="KB212" s="442"/>
      <c r="KC212" s="442"/>
      <c r="KD212" s="442"/>
      <c r="KE212" s="442"/>
      <c r="KF212" s="442"/>
      <c r="KG212" s="442"/>
      <c r="KH212" s="442"/>
      <c r="KI212" s="442"/>
      <c r="KJ212" s="442"/>
      <c r="KK212" s="442"/>
      <c r="KL212" s="442"/>
      <c r="KM212" s="442"/>
      <c r="KN212" s="442"/>
      <c r="KO212" s="442"/>
      <c r="KP212" s="442"/>
      <c r="KQ212" s="442"/>
      <c r="KR212" s="442"/>
      <c r="KS212" s="442"/>
      <c r="KT212" s="442"/>
      <c r="KU212" s="442"/>
      <c r="KV212" s="442"/>
      <c r="KW212" s="442"/>
      <c r="KX212" s="442"/>
      <c r="KY212" s="442"/>
      <c r="KZ212" s="442"/>
      <c r="LA212" s="442"/>
      <c r="LB212" s="442"/>
      <c r="LC212" s="442"/>
      <c r="LD212" s="442"/>
      <c r="LE212" s="442"/>
      <c r="LF212" s="442"/>
      <c r="LG212" s="442"/>
      <c r="LH212" s="442"/>
      <c r="LI212" s="442"/>
      <c r="LJ212" s="442"/>
      <c r="LK212" s="442"/>
      <c r="LL212" s="442"/>
      <c r="LM212" s="442"/>
      <c r="LN212" s="442"/>
      <c r="LO212" s="442"/>
      <c r="LP212" s="442"/>
      <c r="LQ212" s="442"/>
      <c r="LR212" s="442"/>
      <c r="LS212" s="442"/>
      <c r="LT212" s="442"/>
      <c r="LU212" s="442"/>
      <c r="LV212" s="442"/>
      <c r="LW212" s="442"/>
      <c r="LX212" s="442"/>
      <c r="LY212" s="442"/>
      <c r="LZ212" s="442"/>
      <c r="MA212" s="442"/>
      <c r="MB212" s="442"/>
      <c r="MC212" s="442"/>
      <c r="MD212" s="442"/>
      <c r="ME212" s="442"/>
      <c r="MF212" s="442"/>
      <c r="MG212" s="442"/>
      <c r="MH212" s="442"/>
      <c r="MI212" s="442"/>
      <c r="MJ212" s="442"/>
      <c r="MK212" s="442"/>
      <c r="ML212" s="442"/>
      <c r="MM212" s="442"/>
      <c r="MN212" s="442"/>
      <c r="MO212" s="442"/>
      <c r="MP212" s="442"/>
      <c r="MQ212" s="442"/>
      <c r="MR212" s="442"/>
      <c r="MS212" s="442"/>
      <c r="MT212" s="442"/>
      <c r="MU212" s="442"/>
      <c r="MV212" s="442"/>
      <c r="MW212" s="442"/>
      <c r="MX212" s="442"/>
      <c r="MY212" s="442"/>
      <c r="MZ212" s="442"/>
      <c r="NA212" s="442"/>
      <c r="NB212" s="442"/>
      <c r="NC212" s="442"/>
      <c r="ND212" s="442"/>
      <c r="NE212" s="442"/>
      <c r="NF212" s="442"/>
      <c r="NG212" s="442"/>
      <c r="NH212" s="442"/>
      <c r="NI212" s="442"/>
      <c r="NJ212" s="442"/>
      <c r="NK212" s="442"/>
      <c r="NL212" s="442"/>
      <c r="NM212" s="442"/>
      <c r="NN212" s="442"/>
      <c r="NO212" s="442"/>
      <c r="NP212" s="442"/>
      <c r="NQ212" s="442"/>
      <c r="NR212" s="442"/>
      <c r="NS212" s="442"/>
      <c r="NT212" s="442"/>
      <c r="NU212" s="442"/>
      <c r="NV212" s="442"/>
      <c r="NW212" s="442"/>
      <c r="NX212" s="442"/>
      <c r="NY212" s="442"/>
      <c r="NZ212" s="442"/>
      <c r="OA212" s="442"/>
      <c r="OB212" s="442"/>
      <c r="OC212" s="442"/>
      <c r="OD212" s="442"/>
      <c r="OE212" s="442"/>
      <c r="OF212" s="442"/>
      <c r="OG212" s="442"/>
      <c r="OH212" s="442"/>
      <c r="OI212" s="442"/>
      <c r="OJ212" s="442"/>
      <c r="OK212" s="442"/>
      <c r="OL212" s="442"/>
      <c r="OM212" s="442"/>
      <c r="ON212" s="442"/>
      <c r="OO212" s="442"/>
      <c r="OP212" s="442"/>
      <c r="OQ212" s="442"/>
      <c r="OR212" s="442"/>
      <c r="OS212" s="442"/>
      <c r="OT212" s="442"/>
      <c r="OU212" s="442"/>
      <c r="OV212" s="442"/>
      <c r="OW212" s="442"/>
      <c r="OX212" s="442"/>
      <c r="OY212" s="442"/>
      <c r="OZ212" s="442"/>
      <c r="PA212" s="442"/>
      <c r="PB212" s="442"/>
      <c r="PC212" s="442"/>
      <c r="PD212" s="442"/>
      <c r="PE212" s="442"/>
      <c r="PF212" s="442"/>
      <c r="PG212" s="442"/>
      <c r="PH212" s="442"/>
    </row>
    <row r="213" spans="1:424" s="24" customFormat="1" x14ac:dyDescent="0.35">
      <c r="A213" s="437"/>
      <c r="B213" s="61"/>
      <c r="C213" s="454"/>
      <c r="D213" s="454"/>
      <c r="E213" s="454"/>
      <c r="F213" s="454"/>
      <c r="G213" s="72"/>
      <c r="H213" s="73"/>
      <c r="I213" s="71"/>
      <c r="J213"/>
      <c r="K213" s="440"/>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c r="BF213" s="204"/>
      <c r="BG213" s="204"/>
      <c r="BH213" s="204"/>
      <c r="BI213" s="204"/>
      <c r="BJ213" s="204"/>
      <c r="BK213" s="204"/>
      <c r="BL213" s="204"/>
      <c r="BM213" s="204"/>
      <c r="BN213" s="204"/>
      <c r="BO213" s="204"/>
      <c r="BP213" s="204"/>
      <c r="BQ213" s="204"/>
      <c r="BR213" s="204"/>
      <c r="BS213" s="204"/>
      <c r="BT213" s="204"/>
      <c r="BU213" s="204"/>
      <c r="BV213" s="204"/>
      <c r="BW213" s="204"/>
      <c r="BX213" s="204"/>
      <c r="BY213" s="204"/>
      <c r="BZ213" s="204"/>
      <c r="CA213" s="204"/>
      <c r="CB213" s="204"/>
      <c r="CC213" s="204"/>
      <c r="CD213" s="204"/>
      <c r="CE213" s="204"/>
      <c r="CF213" s="204"/>
      <c r="CG213" s="204"/>
      <c r="CH213" s="204"/>
      <c r="CI213" s="204"/>
      <c r="CJ213" s="204"/>
      <c r="CK213" s="204"/>
      <c r="CL213" s="204"/>
      <c r="CM213" s="204"/>
      <c r="CN213" s="204"/>
      <c r="CO213" s="204"/>
      <c r="CP213" s="204"/>
      <c r="CQ213" s="204"/>
      <c r="CR213" s="204"/>
      <c r="CS213" s="204"/>
      <c r="CT213" s="204"/>
      <c r="CU213" s="204"/>
      <c r="CV213" s="204"/>
      <c r="CW213" s="204"/>
      <c r="CX213" s="204"/>
      <c r="CY213" s="204"/>
      <c r="CZ213" s="204"/>
      <c r="DA213" s="204"/>
      <c r="DB213" s="204"/>
      <c r="DC213" s="204"/>
      <c r="DD213" s="204"/>
      <c r="DE213" s="204"/>
      <c r="DF213" s="204"/>
      <c r="DG213" s="204"/>
      <c r="DH213" s="204"/>
      <c r="DI213" s="204"/>
      <c r="DJ213" s="204"/>
      <c r="DK213" s="204"/>
      <c r="DL213" s="204"/>
      <c r="DM213" s="204"/>
      <c r="DN213" s="204"/>
      <c r="DO213" s="204"/>
      <c r="DP213" s="204"/>
      <c r="DQ213" s="204"/>
      <c r="DR213" s="204"/>
      <c r="DS213" s="204"/>
      <c r="DT213" s="204"/>
      <c r="DU213" s="204"/>
      <c r="DV213" s="204"/>
      <c r="DW213" s="204"/>
      <c r="DX213" s="204"/>
      <c r="DY213" s="204"/>
      <c r="DZ213" s="204"/>
      <c r="EA213" s="204"/>
      <c r="EB213" s="204"/>
      <c r="EC213" s="204"/>
      <c r="ED213" s="204"/>
      <c r="EE213" s="204"/>
      <c r="EF213" s="204"/>
      <c r="EG213" s="204"/>
      <c r="EH213" s="204"/>
      <c r="EI213" s="204"/>
      <c r="EJ213" s="204"/>
      <c r="EK213" s="204"/>
      <c r="EL213" s="204"/>
      <c r="EM213" s="204"/>
      <c r="EN213" s="204"/>
      <c r="EO213" s="440"/>
      <c r="EP213" s="405"/>
      <c r="EQ213" s="18"/>
      <c r="ER213" s="18"/>
      <c r="ES213" s="18"/>
      <c r="ET213" s="18"/>
      <c r="EU213" s="18"/>
      <c r="EV213" s="81"/>
      <c r="EW213" s="81"/>
      <c r="EX213" s="81"/>
      <c r="EY213" s="81"/>
      <c r="EZ213" s="81"/>
      <c r="FA213" s="81"/>
      <c r="FB213" s="81"/>
      <c r="FC213" s="81"/>
      <c r="FD213" s="81"/>
      <c r="FE213" s="81"/>
      <c r="FF213" s="81"/>
      <c r="FG213" s="81"/>
      <c r="FH213" s="81"/>
      <c r="FI213" s="81"/>
      <c r="FJ213" s="81"/>
      <c r="FK213" s="81"/>
      <c r="FL213" s="81"/>
      <c r="FM213" s="81"/>
      <c r="FN213" s="81"/>
      <c r="FO213" s="81"/>
      <c r="FP213" s="81"/>
      <c r="FQ213" s="81"/>
      <c r="FR213" s="81"/>
      <c r="FS213" s="81"/>
      <c r="FT213" s="81"/>
      <c r="FU213" s="81"/>
      <c r="FV213" s="81"/>
      <c r="FW213" s="81"/>
      <c r="FX213" s="81"/>
      <c r="FY213" s="81"/>
      <c r="FZ213" s="81"/>
      <c r="GA213" s="81"/>
      <c r="GB213" s="81"/>
      <c r="GC213" s="81"/>
      <c r="GD213" s="81"/>
      <c r="GE213" s="81"/>
      <c r="GF213" s="81"/>
      <c r="GG213" s="81"/>
      <c r="GH213" s="81"/>
      <c r="GI213" s="81"/>
      <c r="GJ213" s="81"/>
      <c r="GK213" s="81"/>
      <c r="GL213" s="81"/>
      <c r="GM213" s="81"/>
      <c r="GN213" s="81"/>
      <c r="GO213" s="81"/>
      <c r="GP213" s="81"/>
      <c r="GQ213" s="81"/>
      <c r="GR213" s="81"/>
      <c r="GS213" s="81"/>
      <c r="GT213" s="81"/>
      <c r="GU213" s="81"/>
      <c r="GV213" s="81"/>
      <c r="GW213" s="81"/>
      <c r="GX213" s="81"/>
      <c r="GY213" s="81"/>
      <c r="GZ213" s="81"/>
      <c r="HA213" s="81"/>
      <c r="HB213" s="81"/>
      <c r="HC213" s="81"/>
      <c r="HD213" s="81"/>
      <c r="HE213" s="81"/>
      <c r="HF213" s="81"/>
      <c r="HG213" s="81"/>
      <c r="HH213" s="81"/>
      <c r="HI213" s="81"/>
      <c r="HJ213" s="81"/>
      <c r="HK213" s="81"/>
      <c r="HL213" s="81"/>
      <c r="HM213" s="81"/>
      <c r="HN213" s="81"/>
      <c r="HO213" s="81"/>
      <c r="HP213" s="81"/>
      <c r="HQ213" s="81"/>
      <c r="HR213" s="81"/>
      <c r="HS213" s="81"/>
      <c r="HT213" s="81"/>
      <c r="HU213" s="81"/>
      <c r="HV213" s="81"/>
      <c r="HW213" s="81"/>
      <c r="HX213" s="81"/>
      <c r="HY213" s="81"/>
      <c r="HZ213" s="81"/>
      <c r="IA213" s="81"/>
      <c r="IB213" s="81"/>
      <c r="IC213" s="81"/>
      <c r="ID213" s="81"/>
      <c r="IE213" s="81"/>
      <c r="IF213" s="81"/>
      <c r="IG213" s="81"/>
      <c r="IH213" s="81"/>
      <c r="II213" s="81"/>
      <c r="IJ213" s="81"/>
      <c r="IK213" s="81"/>
      <c r="IL213" s="81"/>
      <c r="IM213" s="81"/>
      <c r="IN213" s="81"/>
      <c r="IO213" s="81"/>
      <c r="IP213" s="81"/>
      <c r="IQ213" s="81"/>
      <c r="IR213" s="81"/>
      <c r="IS213" s="81"/>
      <c r="IT213" s="81"/>
      <c r="IU213" s="81"/>
      <c r="IV213" s="81"/>
      <c r="IW213" s="81"/>
      <c r="IX213" s="81"/>
      <c r="IY213" s="81"/>
      <c r="IZ213" s="81"/>
      <c r="JA213" s="81"/>
      <c r="JB213" s="81"/>
      <c r="JC213" s="81"/>
      <c r="JD213" s="81"/>
      <c r="JE213" s="81"/>
      <c r="JF213" s="81"/>
      <c r="JG213" s="81"/>
      <c r="JH213" s="81"/>
      <c r="JI213" s="81"/>
      <c r="JJ213" s="81"/>
      <c r="JK213" s="81"/>
      <c r="JL213" s="81"/>
      <c r="JM213" s="81"/>
      <c r="JN213" s="81"/>
      <c r="JO213" s="81"/>
      <c r="JP213" s="81"/>
      <c r="JQ213" s="81"/>
      <c r="JR213" s="81"/>
      <c r="JS213" s="81"/>
      <c r="JT213" s="81"/>
      <c r="JU213" s="81"/>
      <c r="JV213" s="81"/>
      <c r="JW213" s="81"/>
      <c r="JX213" s="81"/>
      <c r="JY213"/>
      <c r="JZ213" s="442"/>
      <c r="KA213" s="442"/>
      <c r="KB213" s="442"/>
      <c r="KC213" s="442"/>
      <c r="KD213" s="442"/>
      <c r="KE213" s="442"/>
      <c r="KF213" s="442"/>
      <c r="KG213" s="442"/>
      <c r="KH213" s="442"/>
      <c r="KI213" s="442"/>
      <c r="KJ213" s="442"/>
      <c r="KK213" s="442"/>
      <c r="KL213" s="442"/>
      <c r="KM213" s="442"/>
      <c r="KN213" s="442"/>
      <c r="KO213" s="442"/>
      <c r="KP213" s="442"/>
      <c r="KQ213" s="442"/>
      <c r="KR213" s="442"/>
      <c r="KS213" s="442"/>
      <c r="KT213" s="442"/>
      <c r="KU213" s="442"/>
      <c r="KV213" s="442"/>
      <c r="KW213" s="442"/>
      <c r="KX213" s="442"/>
      <c r="KY213" s="442"/>
      <c r="KZ213" s="442"/>
      <c r="LA213" s="442"/>
      <c r="LB213" s="442"/>
      <c r="LC213" s="442"/>
      <c r="LD213" s="442"/>
      <c r="LE213" s="442"/>
      <c r="LF213" s="442"/>
      <c r="LG213" s="442"/>
      <c r="LH213" s="442"/>
      <c r="LI213" s="442"/>
      <c r="LJ213" s="442"/>
      <c r="LK213" s="442"/>
      <c r="LL213" s="442"/>
      <c r="LM213" s="442"/>
      <c r="LN213" s="442"/>
      <c r="LO213" s="442"/>
      <c r="LP213" s="442"/>
      <c r="LQ213" s="442"/>
      <c r="LR213" s="442"/>
      <c r="LS213" s="442"/>
      <c r="LT213" s="442"/>
      <c r="LU213" s="442"/>
      <c r="LV213" s="442"/>
      <c r="LW213" s="442"/>
      <c r="LX213" s="442"/>
      <c r="LY213" s="442"/>
      <c r="LZ213" s="442"/>
      <c r="MA213" s="442"/>
      <c r="MB213" s="442"/>
      <c r="MC213" s="442"/>
      <c r="MD213" s="442"/>
      <c r="ME213" s="442"/>
      <c r="MF213" s="442"/>
      <c r="MG213" s="442"/>
      <c r="MH213" s="442"/>
      <c r="MI213" s="442"/>
      <c r="MJ213" s="442"/>
      <c r="MK213" s="442"/>
      <c r="ML213" s="442"/>
      <c r="MM213" s="442"/>
      <c r="MN213" s="442"/>
      <c r="MO213" s="442"/>
      <c r="MP213" s="442"/>
      <c r="MQ213" s="442"/>
      <c r="MR213" s="442"/>
      <c r="MS213" s="442"/>
      <c r="MT213" s="442"/>
      <c r="MU213" s="442"/>
      <c r="MV213" s="442"/>
      <c r="MW213" s="442"/>
      <c r="MX213" s="442"/>
      <c r="MY213" s="442"/>
      <c r="MZ213" s="442"/>
      <c r="NA213" s="442"/>
      <c r="NB213" s="442"/>
      <c r="NC213" s="442"/>
      <c r="ND213" s="442"/>
      <c r="NE213" s="442"/>
      <c r="NF213" s="442"/>
      <c r="NG213" s="442"/>
      <c r="NH213" s="442"/>
      <c r="NI213" s="442"/>
      <c r="NJ213" s="442"/>
      <c r="NK213" s="442"/>
      <c r="NL213" s="442"/>
      <c r="NM213" s="442"/>
      <c r="NN213" s="442"/>
      <c r="NO213" s="442"/>
      <c r="NP213" s="442"/>
      <c r="NQ213" s="442"/>
      <c r="NR213" s="442"/>
      <c r="NS213" s="442"/>
      <c r="NT213" s="442"/>
      <c r="NU213" s="442"/>
      <c r="NV213" s="442"/>
      <c r="NW213" s="442"/>
      <c r="NX213" s="442"/>
      <c r="NY213" s="442"/>
      <c r="NZ213" s="442"/>
      <c r="OA213" s="442"/>
      <c r="OB213" s="442"/>
      <c r="OC213" s="442"/>
      <c r="OD213" s="442"/>
      <c r="OE213" s="442"/>
      <c r="OF213" s="442"/>
      <c r="OG213" s="442"/>
      <c r="OH213" s="442"/>
      <c r="OI213" s="442"/>
      <c r="OJ213" s="442"/>
      <c r="OK213" s="442"/>
      <c r="OL213" s="442"/>
      <c r="OM213" s="442"/>
      <c r="ON213" s="442"/>
      <c r="OO213" s="442"/>
      <c r="OP213" s="442"/>
      <c r="OQ213" s="442"/>
      <c r="OR213" s="442"/>
      <c r="OS213" s="442"/>
      <c r="OT213" s="442"/>
      <c r="OU213" s="442"/>
      <c r="OV213" s="442"/>
      <c r="OW213" s="442"/>
      <c r="OX213" s="442"/>
      <c r="OY213" s="442"/>
      <c r="OZ213" s="442"/>
      <c r="PA213" s="442"/>
      <c r="PB213" s="442"/>
      <c r="PC213" s="442"/>
      <c r="PD213" s="442"/>
      <c r="PE213" s="442"/>
      <c r="PF213" s="442"/>
      <c r="PG213" s="442"/>
      <c r="PH213" s="442"/>
    </row>
    <row r="214" spans="1:424" s="24" customFormat="1" x14ac:dyDescent="0.35">
      <c r="A214" s="437"/>
      <c r="B214" s="61"/>
      <c r="C214" s="454"/>
      <c r="D214" s="454"/>
      <c r="E214" s="454"/>
      <c r="F214" s="454"/>
      <c r="G214" s="44"/>
      <c r="H214" s="44" t="str">
        <f>H188</f>
        <v>STABILIZED (UNTRENDED)</v>
      </c>
      <c r="I214" s="44" t="str">
        <f>I188</f>
        <v>SALE</v>
      </c>
      <c r="J214"/>
      <c r="K214" s="440"/>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c r="BF214" s="204"/>
      <c r="BG214" s="204"/>
      <c r="BH214" s="204"/>
      <c r="BI214" s="204"/>
      <c r="BJ214" s="204"/>
      <c r="BK214" s="204"/>
      <c r="BL214" s="204"/>
      <c r="BM214" s="204"/>
      <c r="BN214" s="204"/>
      <c r="BO214" s="204"/>
      <c r="BP214" s="204"/>
      <c r="BQ214" s="204"/>
      <c r="BR214" s="204"/>
      <c r="BS214" s="204"/>
      <c r="BT214" s="204"/>
      <c r="BU214" s="204"/>
      <c r="BV214" s="204"/>
      <c r="BW214" s="204"/>
      <c r="BX214" s="204"/>
      <c r="BY214" s="204"/>
      <c r="BZ214" s="204"/>
      <c r="CA214" s="204"/>
      <c r="CB214" s="204"/>
      <c r="CC214" s="204"/>
      <c r="CD214" s="204"/>
      <c r="CE214" s="204"/>
      <c r="CF214" s="204"/>
      <c r="CG214" s="204"/>
      <c r="CH214" s="204"/>
      <c r="CI214" s="204"/>
      <c r="CJ214" s="204"/>
      <c r="CK214" s="204"/>
      <c r="CL214" s="204"/>
      <c r="CM214" s="204"/>
      <c r="CN214" s="204"/>
      <c r="CO214" s="204"/>
      <c r="CP214" s="204"/>
      <c r="CQ214" s="204"/>
      <c r="CR214" s="204"/>
      <c r="CS214" s="204"/>
      <c r="CT214" s="204"/>
      <c r="CU214" s="204"/>
      <c r="CV214" s="204"/>
      <c r="CW214" s="204"/>
      <c r="CX214" s="204"/>
      <c r="CY214" s="204"/>
      <c r="CZ214" s="204"/>
      <c r="DA214" s="204"/>
      <c r="DB214" s="204"/>
      <c r="DC214" s="204"/>
      <c r="DD214" s="204"/>
      <c r="DE214" s="204"/>
      <c r="DF214" s="204"/>
      <c r="DG214" s="204"/>
      <c r="DH214" s="204"/>
      <c r="DI214" s="204"/>
      <c r="DJ214" s="204"/>
      <c r="DK214" s="204"/>
      <c r="DL214" s="204"/>
      <c r="DM214" s="204"/>
      <c r="DN214" s="204"/>
      <c r="DO214" s="204"/>
      <c r="DP214" s="204"/>
      <c r="DQ214" s="204"/>
      <c r="DR214" s="204"/>
      <c r="DS214" s="204"/>
      <c r="DT214" s="204"/>
      <c r="DU214" s="204"/>
      <c r="DV214" s="204"/>
      <c r="DW214" s="204"/>
      <c r="DX214" s="204"/>
      <c r="DY214" s="204"/>
      <c r="DZ214" s="204"/>
      <c r="EA214" s="204"/>
      <c r="EB214" s="204"/>
      <c r="EC214" s="204"/>
      <c r="ED214" s="204"/>
      <c r="EE214" s="204"/>
      <c r="EF214" s="204"/>
      <c r="EG214" s="204"/>
      <c r="EH214" s="204"/>
      <c r="EI214" s="204"/>
      <c r="EJ214" s="204"/>
      <c r="EK214" s="204"/>
      <c r="EL214" s="204"/>
      <c r="EM214" s="204"/>
      <c r="EN214" s="204"/>
      <c r="EO214" s="440"/>
      <c r="EP214" s="405" t="s">
        <v>406</v>
      </c>
      <c r="EQ214" s="18"/>
      <c r="ER214" s="18"/>
      <c r="ES214" s="18"/>
      <c r="ET214" s="18" t="s">
        <v>379</v>
      </c>
      <c r="EU214" s="18"/>
      <c r="EV214" s="418">
        <f t="shared" ref="EV214:GA214" si="632">(EV$197&lt;=Timing_Reversion_Month)*EU218</f>
        <v>0</v>
      </c>
      <c r="EW214" s="418">
        <f t="shared" si="632"/>
        <v>76389582.872717112</v>
      </c>
      <c r="EX214" s="418">
        <f t="shared" si="632"/>
        <v>76319020.60374704</v>
      </c>
      <c r="EY214" s="418">
        <f t="shared" si="632"/>
        <v>76319020.60374704</v>
      </c>
      <c r="EZ214" s="418">
        <f t="shared" si="632"/>
        <v>76266337.125516176</v>
      </c>
      <c r="FA214" s="418">
        <f t="shared" si="632"/>
        <v>76192419.532628939</v>
      </c>
      <c r="FB214" s="418">
        <f t="shared" si="632"/>
        <v>76091821.907228976</v>
      </c>
      <c r="FC214" s="418">
        <f t="shared" si="632"/>
        <v>75959110.692382038</v>
      </c>
      <c r="FD214" s="418">
        <f t="shared" si="632"/>
        <v>75789539.561115608</v>
      </c>
      <c r="FE214" s="418">
        <f t="shared" si="632"/>
        <v>75579900.63411431</v>
      </c>
      <c r="FF214" s="418">
        <f t="shared" si="632"/>
        <v>75329468.350985989</v>
      </c>
      <c r="FG214" s="418">
        <f t="shared" si="632"/>
        <v>75040901.334523097</v>
      </c>
      <c r="FH214" s="418">
        <f t="shared" si="632"/>
        <v>74720929.978210613</v>
      </c>
      <c r="FI214" s="418">
        <f t="shared" si="632"/>
        <v>74380647.644237518</v>
      </c>
      <c r="FJ214" s="418">
        <f t="shared" si="632"/>
        <v>76313480.298421651</v>
      </c>
      <c r="FK214" s="418">
        <f t="shared" si="632"/>
        <v>85331629.018619195</v>
      </c>
      <c r="FL214" s="418">
        <f t="shared" si="632"/>
        <v>95231535.25874503</v>
      </c>
      <c r="FM214" s="418">
        <f t="shared" si="632"/>
        <v>105826476.42227101</v>
      </c>
      <c r="FN214" s="418">
        <f t="shared" si="632"/>
        <v>116995099.4363005</v>
      </c>
      <c r="FO214" s="418">
        <f t="shared" si="632"/>
        <v>128471534.92065407</v>
      </c>
      <c r="FP214" s="418">
        <f t="shared" si="632"/>
        <v>139972282.72813815</v>
      </c>
      <c r="FQ214" s="418">
        <f t="shared" si="632"/>
        <v>151173084.92132294</v>
      </c>
      <c r="FR214" s="418">
        <f t="shared" si="632"/>
        <v>161733486.73017851</v>
      </c>
      <c r="FS214" s="418">
        <f t="shared" si="632"/>
        <v>170740502.21889165</v>
      </c>
      <c r="FT214" s="418">
        <f t="shared" si="632"/>
        <v>178778475.08267695</v>
      </c>
      <c r="FU214" s="418">
        <f t="shared" si="632"/>
        <v>185782219.67818293</v>
      </c>
      <c r="FV214" s="418">
        <f t="shared" si="632"/>
        <v>191533070.96163434</v>
      </c>
      <c r="FW214" s="418">
        <f t="shared" si="632"/>
        <v>196299229.48816952</v>
      </c>
      <c r="FX214" s="418">
        <f t="shared" si="632"/>
        <v>200172434.88418299</v>
      </c>
      <c r="FY214" s="418">
        <f t="shared" si="632"/>
        <v>203095710.40469897</v>
      </c>
      <c r="FZ214" s="418">
        <f t="shared" si="632"/>
        <v>205371720.49035701</v>
      </c>
      <c r="GA214" s="418">
        <f t="shared" si="632"/>
        <v>208022459.93393275</v>
      </c>
      <c r="GB214" s="418">
        <f t="shared" ref="GB214:HG214" si="633">(GB$197&lt;=Timing_Reversion_Month)*GA218</f>
        <v>210618464.20429832</v>
      </c>
      <c r="GC214" s="418">
        <f t="shared" si="633"/>
        <v>212555756.6144</v>
      </c>
      <c r="GD214" s="418">
        <f t="shared" si="633"/>
        <v>214011540.88536635</v>
      </c>
      <c r="GE214" s="418">
        <f t="shared" si="633"/>
        <v>215094983.27941903</v>
      </c>
      <c r="GF214" s="418">
        <f t="shared" si="633"/>
        <v>215947341.94927955</v>
      </c>
      <c r="GG214" s="418">
        <f t="shared" si="633"/>
        <v>216648670.88274083</v>
      </c>
      <c r="GH214" s="418">
        <f t="shared" si="633"/>
        <v>216684536.36090487</v>
      </c>
      <c r="GI214" s="418">
        <f t="shared" si="633"/>
        <v>216520305.68039018</v>
      </c>
      <c r="GJ214" s="418">
        <f t="shared" si="633"/>
        <v>216156018.91509619</v>
      </c>
      <c r="GK214" s="418">
        <f t="shared" si="633"/>
        <v>215583638.77901652</v>
      </c>
      <c r="GL214" s="418">
        <f t="shared" si="633"/>
        <v>214810622.7771199</v>
      </c>
      <c r="GM214" s="418">
        <f t="shared" si="633"/>
        <v>213837011.6380403</v>
      </c>
      <c r="GN214" s="418">
        <f t="shared" si="633"/>
        <v>212657304.64435849</v>
      </c>
      <c r="GO214" s="418">
        <f t="shared" si="633"/>
        <v>211277084.63379696</v>
      </c>
      <c r="GP214" s="418">
        <f t="shared" si="633"/>
        <v>209696393.00042146</v>
      </c>
      <c r="GQ214" s="418">
        <f t="shared" si="633"/>
        <v>207889047.6125156</v>
      </c>
      <c r="GR214" s="418">
        <f t="shared" si="633"/>
        <v>205881314.0637953</v>
      </c>
      <c r="GS214" s="418">
        <f t="shared" si="633"/>
        <v>203673234.42462999</v>
      </c>
      <c r="GT214" s="418">
        <f t="shared" si="633"/>
        <v>201193956.57296321</v>
      </c>
      <c r="GU214" s="418">
        <f t="shared" si="633"/>
        <v>198722572.45471391</v>
      </c>
      <c r="GV214" s="418">
        <f t="shared" si="633"/>
        <v>196259124.8276048</v>
      </c>
      <c r="GW214" s="418">
        <f t="shared" si="633"/>
        <v>193797347.49346289</v>
      </c>
      <c r="GX214" s="418">
        <f t="shared" si="633"/>
        <v>191343592.86197403</v>
      </c>
      <c r="GY214" s="418">
        <f t="shared" si="633"/>
        <v>188897904.38944426</v>
      </c>
      <c r="GZ214" s="418">
        <f t="shared" si="633"/>
        <v>186454590.14256793</v>
      </c>
      <c r="HA214" s="418">
        <f t="shared" si="633"/>
        <v>184019429.67470276</v>
      </c>
      <c r="HB214" s="418">
        <f t="shared" si="633"/>
        <v>181592467.15215173</v>
      </c>
      <c r="HC214" s="418">
        <f t="shared" si="633"/>
        <v>179146605.39920196</v>
      </c>
      <c r="HD214" s="418">
        <f t="shared" si="633"/>
        <v>176709030.64317054</v>
      </c>
      <c r="HE214" s="418">
        <f t="shared" si="633"/>
        <v>174279787.77195746</v>
      </c>
      <c r="HF214" s="418">
        <f t="shared" si="633"/>
        <v>0</v>
      </c>
      <c r="HG214" s="418">
        <f t="shared" si="633"/>
        <v>0</v>
      </c>
      <c r="HH214" s="418">
        <f t="shared" ref="HH214:IM214" si="634">(HH$197&lt;=Timing_Reversion_Month)*HG218</f>
        <v>0</v>
      </c>
      <c r="HI214" s="418">
        <f t="shared" si="634"/>
        <v>0</v>
      </c>
      <c r="HJ214" s="418">
        <f t="shared" si="634"/>
        <v>0</v>
      </c>
      <c r="HK214" s="418">
        <f t="shared" si="634"/>
        <v>0</v>
      </c>
      <c r="HL214" s="418">
        <f t="shared" si="634"/>
        <v>0</v>
      </c>
      <c r="HM214" s="418">
        <f t="shared" si="634"/>
        <v>0</v>
      </c>
      <c r="HN214" s="418">
        <f t="shared" si="634"/>
        <v>0</v>
      </c>
      <c r="HO214" s="418">
        <f t="shared" si="634"/>
        <v>0</v>
      </c>
      <c r="HP214" s="418">
        <f t="shared" si="634"/>
        <v>0</v>
      </c>
      <c r="HQ214" s="418">
        <f t="shared" si="634"/>
        <v>0</v>
      </c>
      <c r="HR214" s="418">
        <f t="shared" si="634"/>
        <v>0</v>
      </c>
      <c r="HS214" s="418">
        <f t="shared" si="634"/>
        <v>0</v>
      </c>
      <c r="HT214" s="418">
        <f t="shared" si="634"/>
        <v>0</v>
      </c>
      <c r="HU214" s="418">
        <f t="shared" si="634"/>
        <v>0</v>
      </c>
      <c r="HV214" s="418">
        <f t="shared" si="634"/>
        <v>0</v>
      </c>
      <c r="HW214" s="418">
        <f t="shared" si="634"/>
        <v>0</v>
      </c>
      <c r="HX214" s="418">
        <f t="shared" si="634"/>
        <v>0</v>
      </c>
      <c r="HY214" s="418">
        <f t="shared" si="634"/>
        <v>0</v>
      </c>
      <c r="HZ214" s="418">
        <f t="shared" si="634"/>
        <v>0</v>
      </c>
      <c r="IA214" s="418">
        <f t="shared" si="634"/>
        <v>0</v>
      </c>
      <c r="IB214" s="418">
        <f t="shared" si="634"/>
        <v>0</v>
      </c>
      <c r="IC214" s="418">
        <f t="shared" si="634"/>
        <v>0</v>
      </c>
      <c r="ID214" s="418">
        <f t="shared" si="634"/>
        <v>0</v>
      </c>
      <c r="IE214" s="418">
        <f t="shared" si="634"/>
        <v>0</v>
      </c>
      <c r="IF214" s="418">
        <f t="shared" si="634"/>
        <v>0</v>
      </c>
      <c r="IG214" s="418">
        <f t="shared" si="634"/>
        <v>0</v>
      </c>
      <c r="IH214" s="418">
        <f t="shared" si="634"/>
        <v>0</v>
      </c>
      <c r="II214" s="418">
        <f t="shared" si="634"/>
        <v>0</v>
      </c>
      <c r="IJ214" s="418">
        <f t="shared" si="634"/>
        <v>0</v>
      </c>
      <c r="IK214" s="418">
        <f t="shared" si="634"/>
        <v>0</v>
      </c>
      <c r="IL214" s="418">
        <f t="shared" si="634"/>
        <v>0</v>
      </c>
      <c r="IM214" s="418">
        <f t="shared" si="634"/>
        <v>0</v>
      </c>
      <c r="IN214" s="418">
        <f t="shared" ref="IN214:JX214" si="635">(IN$197&lt;=Timing_Reversion_Month)*IM218</f>
        <v>0</v>
      </c>
      <c r="IO214" s="418">
        <f t="shared" si="635"/>
        <v>0</v>
      </c>
      <c r="IP214" s="418">
        <f t="shared" si="635"/>
        <v>0</v>
      </c>
      <c r="IQ214" s="418">
        <f t="shared" si="635"/>
        <v>0</v>
      </c>
      <c r="IR214" s="418">
        <f t="shared" si="635"/>
        <v>0</v>
      </c>
      <c r="IS214" s="418">
        <f t="shared" si="635"/>
        <v>0</v>
      </c>
      <c r="IT214" s="418">
        <f t="shared" si="635"/>
        <v>0</v>
      </c>
      <c r="IU214" s="418">
        <f t="shared" si="635"/>
        <v>0</v>
      </c>
      <c r="IV214" s="418">
        <f t="shared" si="635"/>
        <v>0</v>
      </c>
      <c r="IW214" s="418">
        <f t="shared" si="635"/>
        <v>0</v>
      </c>
      <c r="IX214" s="418">
        <f t="shared" si="635"/>
        <v>0</v>
      </c>
      <c r="IY214" s="418">
        <f t="shared" si="635"/>
        <v>0</v>
      </c>
      <c r="IZ214" s="418">
        <f t="shared" si="635"/>
        <v>0</v>
      </c>
      <c r="JA214" s="418">
        <f t="shared" si="635"/>
        <v>0</v>
      </c>
      <c r="JB214" s="418">
        <f t="shared" si="635"/>
        <v>0</v>
      </c>
      <c r="JC214" s="418">
        <f t="shared" si="635"/>
        <v>0</v>
      </c>
      <c r="JD214" s="418">
        <f t="shared" si="635"/>
        <v>0</v>
      </c>
      <c r="JE214" s="418">
        <f t="shared" si="635"/>
        <v>0</v>
      </c>
      <c r="JF214" s="418">
        <f t="shared" si="635"/>
        <v>0</v>
      </c>
      <c r="JG214" s="418">
        <f t="shared" si="635"/>
        <v>0</v>
      </c>
      <c r="JH214" s="418">
        <f t="shared" si="635"/>
        <v>0</v>
      </c>
      <c r="JI214" s="418">
        <f t="shared" si="635"/>
        <v>0</v>
      </c>
      <c r="JJ214" s="418">
        <f t="shared" si="635"/>
        <v>0</v>
      </c>
      <c r="JK214" s="418">
        <f t="shared" si="635"/>
        <v>0</v>
      </c>
      <c r="JL214" s="418">
        <f t="shared" si="635"/>
        <v>0</v>
      </c>
      <c r="JM214" s="418">
        <f t="shared" si="635"/>
        <v>0</v>
      </c>
      <c r="JN214" s="418">
        <f t="shared" si="635"/>
        <v>0</v>
      </c>
      <c r="JO214" s="418">
        <f t="shared" si="635"/>
        <v>0</v>
      </c>
      <c r="JP214" s="418">
        <f t="shared" si="635"/>
        <v>0</v>
      </c>
      <c r="JQ214" s="418">
        <f t="shared" si="635"/>
        <v>0</v>
      </c>
      <c r="JR214" s="418">
        <f t="shared" si="635"/>
        <v>0</v>
      </c>
      <c r="JS214" s="418">
        <f t="shared" si="635"/>
        <v>0</v>
      </c>
      <c r="JT214" s="418">
        <f t="shared" si="635"/>
        <v>0</v>
      </c>
      <c r="JU214" s="418">
        <f t="shared" si="635"/>
        <v>0</v>
      </c>
      <c r="JV214" s="418">
        <f t="shared" si="635"/>
        <v>0</v>
      </c>
      <c r="JW214" s="418">
        <f t="shared" si="635"/>
        <v>0</v>
      </c>
      <c r="JX214" s="418">
        <f t="shared" si="635"/>
        <v>0</v>
      </c>
      <c r="JY214"/>
      <c r="JZ214" s="442"/>
      <c r="KA214" s="442"/>
      <c r="KB214" s="442"/>
      <c r="KC214" s="442"/>
      <c r="KD214" s="442"/>
      <c r="KE214" s="442"/>
      <c r="KF214" s="442"/>
      <c r="KG214" s="442"/>
      <c r="KH214" s="442"/>
      <c r="KI214" s="442"/>
      <c r="KJ214" s="442"/>
      <c r="KK214" s="442"/>
      <c r="KL214" s="442"/>
      <c r="KM214" s="442"/>
      <c r="KN214" s="442"/>
      <c r="KO214" s="442"/>
      <c r="KP214" s="442"/>
      <c r="KQ214" s="442"/>
      <c r="KR214" s="442"/>
      <c r="KS214" s="442"/>
      <c r="KT214" s="442"/>
      <c r="KU214" s="442"/>
      <c r="KV214" s="442"/>
      <c r="KW214" s="442"/>
      <c r="KX214" s="442"/>
      <c r="KY214" s="442"/>
      <c r="KZ214" s="442"/>
      <c r="LA214" s="442"/>
      <c r="LB214" s="442"/>
      <c r="LC214" s="442"/>
      <c r="LD214" s="442"/>
      <c r="LE214" s="442"/>
      <c r="LF214" s="442"/>
      <c r="LG214" s="442"/>
      <c r="LH214" s="442"/>
      <c r="LI214" s="442"/>
      <c r="LJ214" s="442"/>
      <c r="LK214" s="442"/>
      <c r="LL214" s="442"/>
      <c r="LM214" s="442"/>
      <c r="LN214" s="442"/>
      <c r="LO214" s="442"/>
      <c r="LP214" s="442"/>
      <c r="LQ214" s="442"/>
      <c r="LR214" s="442"/>
      <c r="LS214" s="442"/>
      <c r="LT214" s="442"/>
      <c r="LU214" s="442"/>
      <c r="LV214" s="442"/>
      <c r="LW214" s="442"/>
      <c r="LX214" s="442"/>
      <c r="LY214" s="442"/>
      <c r="LZ214" s="442"/>
      <c r="MA214" s="442"/>
      <c r="MB214" s="442"/>
      <c r="MC214" s="442"/>
      <c r="MD214" s="442"/>
      <c r="ME214" s="442"/>
      <c r="MF214" s="442"/>
      <c r="MG214" s="442"/>
      <c r="MH214" s="442"/>
      <c r="MI214" s="442"/>
      <c r="MJ214" s="442"/>
      <c r="MK214" s="442"/>
      <c r="ML214" s="442"/>
      <c r="MM214" s="442"/>
      <c r="MN214" s="442"/>
      <c r="MO214" s="442"/>
      <c r="MP214" s="442"/>
      <c r="MQ214" s="442"/>
      <c r="MR214" s="442"/>
      <c r="MS214" s="442"/>
      <c r="MT214" s="442"/>
      <c r="MU214" s="442"/>
      <c r="MV214" s="442"/>
      <c r="MW214" s="442"/>
      <c r="MX214" s="442"/>
      <c r="MY214" s="442"/>
      <c r="MZ214" s="442"/>
      <c r="NA214" s="442"/>
      <c r="NB214" s="442"/>
      <c r="NC214" s="442"/>
      <c r="ND214" s="442"/>
      <c r="NE214" s="442"/>
      <c r="NF214" s="442"/>
      <c r="NG214" s="442"/>
      <c r="NH214" s="442"/>
      <c r="NI214" s="442"/>
      <c r="NJ214" s="442"/>
      <c r="NK214" s="442"/>
      <c r="NL214" s="442"/>
      <c r="NM214" s="442"/>
      <c r="NN214" s="442"/>
      <c r="NO214" s="442"/>
      <c r="NP214" s="442"/>
      <c r="NQ214" s="442"/>
      <c r="NR214" s="442"/>
      <c r="NS214" s="442"/>
      <c r="NT214" s="442"/>
      <c r="NU214" s="442"/>
      <c r="NV214" s="442"/>
      <c r="NW214" s="442"/>
      <c r="NX214" s="442"/>
      <c r="NY214" s="442"/>
      <c r="NZ214" s="442"/>
      <c r="OA214" s="442"/>
      <c r="OB214" s="442"/>
      <c r="OC214" s="442"/>
      <c r="OD214" s="442"/>
      <c r="OE214" s="442"/>
      <c r="OF214" s="442"/>
      <c r="OG214" s="442"/>
      <c r="OH214" s="442"/>
      <c r="OI214" s="442"/>
      <c r="OJ214" s="442"/>
      <c r="OK214" s="442"/>
      <c r="OL214" s="442"/>
      <c r="OM214" s="442"/>
      <c r="ON214" s="442"/>
      <c r="OO214" s="442"/>
      <c r="OP214" s="442"/>
      <c r="OQ214" s="442"/>
      <c r="OR214" s="442"/>
      <c r="OS214" s="442"/>
      <c r="OT214" s="442"/>
      <c r="OU214" s="442"/>
      <c r="OV214" s="442"/>
      <c r="OW214" s="442"/>
      <c r="OX214" s="442"/>
      <c r="OY214" s="442"/>
      <c r="OZ214" s="442"/>
      <c r="PA214" s="442"/>
      <c r="PB214" s="442"/>
      <c r="PC214" s="442"/>
      <c r="PD214" s="442"/>
      <c r="PE214" s="442"/>
      <c r="PF214" s="442"/>
      <c r="PG214" s="442"/>
      <c r="PH214" s="442"/>
    </row>
    <row r="215" spans="1:424" s="24" customFormat="1" x14ac:dyDescent="0.35">
      <c r="A215" s="437"/>
      <c r="B215" s="61" t="s">
        <v>407</v>
      </c>
      <c r="C215" s="454"/>
      <c r="D215" s="454"/>
      <c r="E215" s="454"/>
      <c r="F215" s="454"/>
      <c r="G215" s="73"/>
      <c r="H215" s="73">
        <f>H179/Project_Cost_Total</f>
        <v>0.10146206645917477</v>
      </c>
      <c r="I215" s="73">
        <f>I179/Project_Cost_Total</f>
        <v>0.10863342287656985</v>
      </c>
      <c r="J215"/>
      <c r="K215" s="440"/>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c r="BF215" s="204"/>
      <c r="BG215" s="204"/>
      <c r="BH215" s="204"/>
      <c r="BI215" s="204"/>
      <c r="BJ215" s="204"/>
      <c r="BK215" s="204"/>
      <c r="BL215" s="204"/>
      <c r="BM215" s="204"/>
      <c r="BN215" s="204"/>
      <c r="BO215" s="204"/>
      <c r="BP215" s="204"/>
      <c r="BQ215" s="204"/>
      <c r="BR215" s="204"/>
      <c r="BS215" s="204"/>
      <c r="BT215" s="204"/>
      <c r="BU215" s="204"/>
      <c r="BV215" s="204"/>
      <c r="BW215" s="204"/>
      <c r="BX215" s="204"/>
      <c r="BY215" s="204"/>
      <c r="BZ215" s="204"/>
      <c r="CA215" s="204"/>
      <c r="CB215" s="204"/>
      <c r="CC215" s="204"/>
      <c r="CD215" s="204"/>
      <c r="CE215" s="204"/>
      <c r="CF215" s="204"/>
      <c r="CG215" s="204"/>
      <c r="CH215" s="204"/>
      <c r="CI215" s="204"/>
      <c r="CJ215" s="204"/>
      <c r="CK215" s="204"/>
      <c r="CL215" s="204"/>
      <c r="CM215" s="204"/>
      <c r="CN215" s="204"/>
      <c r="CO215" s="204"/>
      <c r="CP215" s="204"/>
      <c r="CQ215" s="204"/>
      <c r="CR215" s="204"/>
      <c r="CS215" s="204"/>
      <c r="CT215" s="204"/>
      <c r="CU215" s="204"/>
      <c r="CV215" s="204"/>
      <c r="CW215" s="204"/>
      <c r="CX215" s="204"/>
      <c r="CY215" s="204"/>
      <c r="CZ215" s="204"/>
      <c r="DA215" s="204"/>
      <c r="DB215" s="204"/>
      <c r="DC215" s="204"/>
      <c r="DD215" s="204"/>
      <c r="DE215" s="204"/>
      <c r="DF215" s="204"/>
      <c r="DG215" s="204"/>
      <c r="DH215" s="204"/>
      <c r="DI215" s="204"/>
      <c r="DJ215" s="204"/>
      <c r="DK215" s="204"/>
      <c r="DL215" s="204"/>
      <c r="DM215" s="204"/>
      <c r="DN215" s="204"/>
      <c r="DO215" s="204"/>
      <c r="DP215" s="204"/>
      <c r="DQ215" s="204"/>
      <c r="DR215" s="204"/>
      <c r="DS215" s="204"/>
      <c r="DT215" s="204"/>
      <c r="DU215" s="204"/>
      <c r="DV215" s="204"/>
      <c r="DW215" s="204"/>
      <c r="DX215" s="204"/>
      <c r="DY215" s="204"/>
      <c r="DZ215" s="204"/>
      <c r="EA215" s="204"/>
      <c r="EB215" s="204"/>
      <c r="EC215" s="204"/>
      <c r="ED215" s="204"/>
      <c r="EE215" s="204"/>
      <c r="EF215" s="204"/>
      <c r="EG215" s="204"/>
      <c r="EH215" s="204"/>
      <c r="EI215" s="204"/>
      <c r="EJ215" s="204"/>
      <c r="EK215" s="204"/>
      <c r="EL215" s="204"/>
      <c r="EM215" s="204"/>
      <c r="EN215" s="204"/>
      <c r="EO215" s="440"/>
      <c r="EP215" s="405"/>
      <c r="EQ215" s="18"/>
      <c r="ER215" s="18"/>
      <c r="ES215" s="18"/>
      <c r="ET215" s="18" t="s">
        <v>382</v>
      </c>
      <c r="EU215" s="18"/>
      <c r="EV215" s="418">
        <f>(EV$197&lt;=Timing_Reversion_Month)*(EV214*((1+$EP216)^(1/12)-1))</f>
        <v>0</v>
      </c>
      <c r="EW215" s="418">
        <f t="shared" ref="EW215:GA215" si="636">(EW$197&lt;=Timing_Reversion_Month)*(EW214*((1+$EP216)^(1/12)-1))</f>
        <v>0</v>
      </c>
      <c r="EX215" s="418">
        <f t="shared" si="636"/>
        <v>0</v>
      </c>
      <c r="EY215" s="418">
        <f t="shared" si="636"/>
        <v>0</v>
      </c>
      <c r="EZ215" s="418">
        <f t="shared" si="636"/>
        <v>0</v>
      </c>
      <c r="FA215" s="418">
        <f t="shared" si="636"/>
        <v>0</v>
      </c>
      <c r="FB215" s="418">
        <f t="shared" si="636"/>
        <v>0</v>
      </c>
      <c r="FC215" s="418">
        <f t="shared" si="636"/>
        <v>0</v>
      </c>
      <c r="FD215" s="418">
        <f t="shared" si="636"/>
        <v>0</v>
      </c>
      <c r="FE215" s="418">
        <f t="shared" si="636"/>
        <v>0</v>
      </c>
      <c r="FF215" s="418">
        <f t="shared" si="636"/>
        <v>0</v>
      </c>
      <c r="FG215" s="418">
        <f t="shared" si="636"/>
        <v>0</v>
      </c>
      <c r="FH215" s="418">
        <f t="shared" si="636"/>
        <v>0</v>
      </c>
      <c r="FI215" s="418">
        <f t="shared" si="636"/>
        <v>0</v>
      </c>
      <c r="FJ215" s="418">
        <f t="shared" si="636"/>
        <v>0</v>
      </c>
      <c r="FK215" s="418">
        <f t="shared" si="636"/>
        <v>0</v>
      </c>
      <c r="FL215" s="418">
        <f t="shared" si="636"/>
        <v>0</v>
      </c>
      <c r="FM215" s="418">
        <f t="shared" si="636"/>
        <v>0</v>
      </c>
      <c r="FN215" s="418">
        <f t="shared" si="636"/>
        <v>0</v>
      </c>
      <c r="FO215" s="418">
        <f t="shared" si="636"/>
        <v>0</v>
      </c>
      <c r="FP215" s="418">
        <f t="shared" si="636"/>
        <v>0</v>
      </c>
      <c r="FQ215" s="418">
        <f t="shared" si="636"/>
        <v>0</v>
      </c>
      <c r="FR215" s="418">
        <f t="shared" si="636"/>
        <v>0</v>
      </c>
      <c r="FS215" s="418">
        <f t="shared" si="636"/>
        <v>0</v>
      </c>
      <c r="FT215" s="418">
        <f t="shared" si="636"/>
        <v>0</v>
      </c>
      <c r="FU215" s="418">
        <f t="shared" si="636"/>
        <v>0</v>
      </c>
      <c r="FV215" s="418">
        <f t="shared" si="636"/>
        <v>0</v>
      </c>
      <c r="FW215" s="418">
        <f t="shared" si="636"/>
        <v>0</v>
      </c>
      <c r="FX215" s="418">
        <f t="shared" si="636"/>
        <v>0</v>
      </c>
      <c r="FY215" s="418">
        <f t="shared" si="636"/>
        <v>0</v>
      </c>
      <c r="FZ215" s="418">
        <f t="shared" si="636"/>
        <v>0</v>
      </c>
      <c r="GA215" s="418">
        <f t="shared" si="636"/>
        <v>0</v>
      </c>
      <c r="GB215" s="418">
        <f t="shared" ref="GB215:HG215" si="637">(GB$197&lt;=Timing_Reversion_Month)*(GB214*((1+$EP216)^(1/12)-1))</f>
        <v>0</v>
      </c>
      <c r="GC215" s="418">
        <f t="shared" si="637"/>
        <v>0</v>
      </c>
      <c r="GD215" s="418">
        <f t="shared" si="637"/>
        <v>0</v>
      </c>
      <c r="GE215" s="418">
        <f t="shared" si="637"/>
        <v>0</v>
      </c>
      <c r="GF215" s="418">
        <f t="shared" si="637"/>
        <v>0</v>
      </c>
      <c r="GG215" s="418">
        <f t="shared" si="637"/>
        <v>0</v>
      </c>
      <c r="GH215" s="418">
        <f t="shared" si="637"/>
        <v>0</v>
      </c>
      <c r="GI215" s="418">
        <f t="shared" si="637"/>
        <v>0</v>
      </c>
      <c r="GJ215" s="418">
        <f t="shared" si="637"/>
        <v>0</v>
      </c>
      <c r="GK215" s="418">
        <f t="shared" si="637"/>
        <v>0</v>
      </c>
      <c r="GL215" s="418">
        <f t="shared" si="637"/>
        <v>0</v>
      </c>
      <c r="GM215" s="418">
        <f t="shared" si="637"/>
        <v>0</v>
      </c>
      <c r="GN215" s="418">
        <f t="shared" si="637"/>
        <v>0</v>
      </c>
      <c r="GO215" s="418">
        <f t="shared" si="637"/>
        <v>0</v>
      </c>
      <c r="GP215" s="418">
        <f t="shared" si="637"/>
        <v>0</v>
      </c>
      <c r="GQ215" s="418">
        <f t="shared" si="637"/>
        <v>0</v>
      </c>
      <c r="GR215" s="418">
        <f t="shared" si="637"/>
        <v>0</v>
      </c>
      <c r="GS215" s="418">
        <f t="shared" si="637"/>
        <v>0</v>
      </c>
      <c r="GT215" s="418">
        <f t="shared" si="637"/>
        <v>0</v>
      </c>
      <c r="GU215" s="418">
        <f t="shared" si="637"/>
        <v>0</v>
      </c>
      <c r="GV215" s="418">
        <f t="shared" si="637"/>
        <v>0</v>
      </c>
      <c r="GW215" s="418">
        <f t="shared" si="637"/>
        <v>0</v>
      </c>
      <c r="GX215" s="418">
        <f t="shared" si="637"/>
        <v>0</v>
      </c>
      <c r="GY215" s="418">
        <f t="shared" si="637"/>
        <v>0</v>
      </c>
      <c r="GZ215" s="418">
        <f t="shared" si="637"/>
        <v>0</v>
      </c>
      <c r="HA215" s="418">
        <f t="shared" si="637"/>
        <v>0</v>
      </c>
      <c r="HB215" s="418">
        <f t="shared" si="637"/>
        <v>0</v>
      </c>
      <c r="HC215" s="418">
        <f t="shared" si="637"/>
        <v>0</v>
      </c>
      <c r="HD215" s="418">
        <f t="shared" si="637"/>
        <v>0</v>
      </c>
      <c r="HE215" s="418">
        <f t="shared" si="637"/>
        <v>0</v>
      </c>
      <c r="HF215" s="418">
        <f t="shared" si="637"/>
        <v>0</v>
      </c>
      <c r="HG215" s="418">
        <f t="shared" si="637"/>
        <v>0</v>
      </c>
      <c r="HH215" s="418">
        <f t="shared" ref="HH215:IM215" si="638">(HH$197&lt;=Timing_Reversion_Month)*(HH214*((1+$EP216)^(1/12)-1))</f>
        <v>0</v>
      </c>
      <c r="HI215" s="418">
        <f t="shared" si="638"/>
        <v>0</v>
      </c>
      <c r="HJ215" s="418">
        <f t="shared" si="638"/>
        <v>0</v>
      </c>
      <c r="HK215" s="418">
        <f t="shared" si="638"/>
        <v>0</v>
      </c>
      <c r="HL215" s="418">
        <f t="shared" si="638"/>
        <v>0</v>
      </c>
      <c r="HM215" s="418">
        <f t="shared" si="638"/>
        <v>0</v>
      </c>
      <c r="HN215" s="418">
        <f t="shared" si="638"/>
        <v>0</v>
      </c>
      <c r="HO215" s="418">
        <f t="shared" si="638"/>
        <v>0</v>
      </c>
      <c r="HP215" s="418">
        <f t="shared" si="638"/>
        <v>0</v>
      </c>
      <c r="HQ215" s="418">
        <f t="shared" si="638"/>
        <v>0</v>
      </c>
      <c r="HR215" s="418">
        <f t="shared" si="638"/>
        <v>0</v>
      </c>
      <c r="HS215" s="418">
        <f t="shared" si="638"/>
        <v>0</v>
      </c>
      <c r="HT215" s="418">
        <f t="shared" si="638"/>
        <v>0</v>
      </c>
      <c r="HU215" s="418">
        <f t="shared" si="638"/>
        <v>0</v>
      </c>
      <c r="HV215" s="418">
        <f t="shared" si="638"/>
        <v>0</v>
      </c>
      <c r="HW215" s="418">
        <f t="shared" si="638"/>
        <v>0</v>
      </c>
      <c r="HX215" s="418">
        <f t="shared" si="638"/>
        <v>0</v>
      </c>
      <c r="HY215" s="418">
        <f t="shared" si="638"/>
        <v>0</v>
      </c>
      <c r="HZ215" s="418">
        <f t="shared" si="638"/>
        <v>0</v>
      </c>
      <c r="IA215" s="418">
        <f t="shared" si="638"/>
        <v>0</v>
      </c>
      <c r="IB215" s="418">
        <f t="shared" si="638"/>
        <v>0</v>
      </c>
      <c r="IC215" s="418">
        <f t="shared" si="638"/>
        <v>0</v>
      </c>
      <c r="ID215" s="418">
        <f t="shared" si="638"/>
        <v>0</v>
      </c>
      <c r="IE215" s="418">
        <f t="shared" si="638"/>
        <v>0</v>
      </c>
      <c r="IF215" s="418">
        <f t="shared" si="638"/>
        <v>0</v>
      </c>
      <c r="IG215" s="418">
        <f t="shared" si="638"/>
        <v>0</v>
      </c>
      <c r="IH215" s="418">
        <f t="shared" si="638"/>
        <v>0</v>
      </c>
      <c r="II215" s="418">
        <f t="shared" si="638"/>
        <v>0</v>
      </c>
      <c r="IJ215" s="418">
        <f t="shared" si="638"/>
        <v>0</v>
      </c>
      <c r="IK215" s="418">
        <f t="shared" si="638"/>
        <v>0</v>
      </c>
      <c r="IL215" s="418">
        <f t="shared" si="638"/>
        <v>0</v>
      </c>
      <c r="IM215" s="418">
        <f t="shared" si="638"/>
        <v>0</v>
      </c>
      <c r="IN215" s="418">
        <f t="shared" ref="IN215:JS215" si="639">(IN$197&lt;=Timing_Reversion_Month)*(IN214*((1+$EP216)^(1/12)-1))</f>
        <v>0</v>
      </c>
      <c r="IO215" s="418">
        <f t="shared" si="639"/>
        <v>0</v>
      </c>
      <c r="IP215" s="418">
        <f t="shared" si="639"/>
        <v>0</v>
      </c>
      <c r="IQ215" s="418">
        <f t="shared" si="639"/>
        <v>0</v>
      </c>
      <c r="IR215" s="418">
        <f t="shared" si="639"/>
        <v>0</v>
      </c>
      <c r="IS215" s="418">
        <f t="shared" si="639"/>
        <v>0</v>
      </c>
      <c r="IT215" s="418">
        <f t="shared" si="639"/>
        <v>0</v>
      </c>
      <c r="IU215" s="418">
        <f t="shared" si="639"/>
        <v>0</v>
      </c>
      <c r="IV215" s="418">
        <f t="shared" si="639"/>
        <v>0</v>
      </c>
      <c r="IW215" s="418">
        <f t="shared" si="639"/>
        <v>0</v>
      </c>
      <c r="IX215" s="418">
        <f t="shared" si="639"/>
        <v>0</v>
      </c>
      <c r="IY215" s="418">
        <f t="shared" si="639"/>
        <v>0</v>
      </c>
      <c r="IZ215" s="418">
        <f t="shared" si="639"/>
        <v>0</v>
      </c>
      <c r="JA215" s="418">
        <f t="shared" si="639"/>
        <v>0</v>
      </c>
      <c r="JB215" s="418">
        <f t="shared" si="639"/>
        <v>0</v>
      </c>
      <c r="JC215" s="418">
        <f t="shared" si="639"/>
        <v>0</v>
      </c>
      <c r="JD215" s="418">
        <f t="shared" si="639"/>
        <v>0</v>
      </c>
      <c r="JE215" s="418">
        <f t="shared" si="639"/>
        <v>0</v>
      </c>
      <c r="JF215" s="418">
        <f t="shared" si="639"/>
        <v>0</v>
      </c>
      <c r="JG215" s="418">
        <f t="shared" si="639"/>
        <v>0</v>
      </c>
      <c r="JH215" s="418">
        <f t="shared" si="639"/>
        <v>0</v>
      </c>
      <c r="JI215" s="418">
        <f t="shared" si="639"/>
        <v>0</v>
      </c>
      <c r="JJ215" s="418">
        <f t="shared" si="639"/>
        <v>0</v>
      </c>
      <c r="JK215" s="418">
        <f t="shared" si="639"/>
        <v>0</v>
      </c>
      <c r="JL215" s="418">
        <f t="shared" si="639"/>
        <v>0</v>
      </c>
      <c r="JM215" s="418">
        <f t="shared" si="639"/>
        <v>0</v>
      </c>
      <c r="JN215" s="418">
        <f t="shared" si="639"/>
        <v>0</v>
      </c>
      <c r="JO215" s="418">
        <f t="shared" si="639"/>
        <v>0</v>
      </c>
      <c r="JP215" s="418">
        <f t="shared" si="639"/>
        <v>0</v>
      </c>
      <c r="JQ215" s="418">
        <f t="shared" si="639"/>
        <v>0</v>
      </c>
      <c r="JR215" s="418">
        <f t="shared" si="639"/>
        <v>0</v>
      </c>
      <c r="JS215" s="418">
        <f t="shared" si="639"/>
        <v>0</v>
      </c>
      <c r="JT215" s="418">
        <f>(JT$197&lt;=Timing_Reversion_Month)*(JT214*((1+$EP216)^(1/12)-1))</f>
        <v>0</v>
      </c>
      <c r="JU215" s="418">
        <f>(JU$197&lt;=Timing_Reversion_Month)*(JU214*((1+$EP216)^(1/12)-1))</f>
        <v>0</v>
      </c>
      <c r="JV215" s="418">
        <f>(JV$197&lt;=Timing_Reversion_Month)*(JV214*((1+$EP216)^(1/12)-1))</f>
        <v>0</v>
      </c>
      <c r="JW215" s="418">
        <f>(JW$197&lt;=Timing_Reversion_Month)*(JW214*((1+$EP216)^(1/12)-1))</f>
        <v>0</v>
      </c>
      <c r="JX215" s="418">
        <f>(JX$197&lt;=Timing_Reversion_Month)*(JX214*((1+$EP216)^(1/12)-1))</f>
        <v>0</v>
      </c>
      <c r="JY215"/>
      <c r="JZ215" s="442"/>
      <c r="KA215" s="442"/>
      <c r="KB215" s="442"/>
      <c r="KC215" s="442"/>
      <c r="KD215" s="442"/>
      <c r="KE215" s="442"/>
      <c r="KF215" s="442"/>
      <c r="KG215" s="442"/>
      <c r="KH215" s="442"/>
      <c r="KI215" s="442"/>
      <c r="KJ215" s="442"/>
      <c r="KK215" s="442"/>
      <c r="KL215" s="442"/>
      <c r="KM215" s="442"/>
      <c r="KN215" s="442"/>
      <c r="KO215" s="442"/>
      <c r="KP215" s="442"/>
      <c r="KQ215" s="442"/>
      <c r="KR215" s="442"/>
      <c r="KS215" s="442"/>
      <c r="KT215" s="442"/>
      <c r="KU215" s="442"/>
      <c r="KV215" s="442"/>
      <c r="KW215" s="442"/>
      <c r="KX215" s="442"/>
      <c r="KY215" s="442"/>
      <c r="KZ215" s="442"/>
      <c r="LA215" s="442"/>
      <c r="LB215" s="442"/>
      <c r="LC215" s="442"/>
      <c r="LD215" s="442"/>
      <c r="LE215" s="442"/>
      <c r="LF215" s="442"/>
      <c r="LG215" s="442"/>
      <c r="LH215" s="442"/>
      <c r="LI215" s="442"/>
      <c r="LJ215" s="442"/>
      <c r="LK215" s="442"/>
      <c r="LL215" s="442"/>
      <c r="LM215" s="442"/>
      <c r="LN215" s="442"/>
      <c r="LO215" s="442"/>
      <c r="LP215" s="442"/>
      <c r="LQ215" s="442"/>
      <c r="LR215" s="442"/>
      <c r="LS215" s="442"/>
      <c r="LT215" s="442"/>
      <c r="LU215" s="442"/>
      <c r="LV215" s="442"/>
      <c r="LW215" s="442"/>
      <c r="LX215" s="442"/>
      <c r="LY215" s="442"/>
      <c r="LZ215" s="442"/>
      <c r="MA215" s="442"/>
      <c r="MB215" s="442"/>
      <c r="MC215" s="442"/>
      <c r="MD215" s="442"/>
      <c r="ME215" s="442"/>
      <c r="MF215" s="442"/>
      <c r="MG215" s="442"/>
      <c r="MH215" s="442"/>
      <c r="MI215" s="442"/>
      <c r="MJ215" s="442"/>
      <c r="MK215" s="442"/>
      <c r="ML215" s="442"/>
      <c r="MM215" s="442"/>
      <c r="MN215" s="442"/>
      <c r="MO215" s="442"/>
      <c r="MP215" s="442"/>
      <c r="MQ215" s="442"/>
      <c r="MR215" s="442"/>
      <c r="MS215" s="442"/>
      <c r="MT215" s="442"/>
      <c r="MU215" s="442"/>
      <c r="MV215" s="442"/>
      <c r="MW215" s="442"/>
      <c r="MX215" s="442"/>
      <c r="MY215" s="442"/>
      <c r="MZ215" s="442"/>
      <c r="NA215" s="442"/>
      <c r="NB215" s="442"/>
      <c r="NC215" s="442"/>
      <c r="ND215" s="442"/>
      <c r="NE215" s="442"/>
      <c r="NF215" s="442"/>
      <c r="NG215" s="442"/>
      <c r="NH215" s="442"/>
      <c r="NI215" s="442"/>
      <c r="NJ215" s="442"/>
      <c r="NK215" s="442"/>
      <c r="NL215" s="442"/>
      <c r="NM215" s="442"/>
      <c r="NN215" s="442"/>
      <c r="NO215" s="442"/>
      <c r="NP215" s="442"/>
      <c r="NQ215" s="442"/>
      <c r="NR215" s="442"/>
      <c r="NS215" s="442"/>
      <c r="NT215" s="442"/>
      <c r="NU215" s="442"/>
      <c r="NV215" s="442"/>
      <c r="NW215" s="442"/>
      <c r="NX215" s="442"/>
      <c r="NY215" s="442"/>
      <c r="NZ215" s="442"/>
      <c r="OA215" s="442"/>
      <c r="OB215" s="442"/>
      <c r="OC215" s="442"/>
      <c r="OD215" s="442"/>
      <c r="OE215" s="442"/>
      <c r="OF215" s="442"/>
      <c r="OG215" s="442"/>
      <c r="OH215" s="442"/>
      <c r="OI215" s="442"/>
      <c r="OJ215" s="442"/>
      <c r="OK215" s="442"/>
      <c r="OL215" s="442"/>
      <c r="OM215" s="442"/>
      <c r="ON215" s="442"/>
      <c r="OO215" s="442"/>
      <c r="OP215" s="442"/>
      <c r="OQ215" s="442"/>
      <c r="OR215" s="442"/>
      <c r="OS215" s="442"/>
      <c r="OT215" s="442"/>
      <c r="OU215" s="442"/>
      <c r="OV215" s="442"/>
      <c r="OW215" s="442"/>
      <c r="OX215" s="442"/>
      <c r="OY215" s="442"/>
      <c r="OZ215" s="442"/>
      <c r="PA215" s="442"/>
      <c r="PB215" s="442"/>
      <c r="PC215" s="442"/>
      <c r="PD215" s="442"/>
      <c r="PE215" s="442"/>
      <c r="PF215" s="442"/>
      <c r="PG215" s="442"/>
      <c r="PH215" s="442"/>
    </row>
    <row r="216" spans="1:424" s="24" customFormat="1" x14ac:dyDescent="0.35">
      <c r="A216" s="437"/>
      <c r="B216" s="61" t="s">
        <v>408</v>
      </c>
      <c r="C216" s="454"/>
      <c r="D216" s="454"/>
      <c r="E216" s="454"/>
      <c r="F216" s="454"/>
      <c r="G216" s="73"/>
      <c r="H216" s="73">
        <f>H189</f>
        <v>6.7008196721311475E-2</v>
      </c>
      <c r="I216" s="73">
        <f>I189</f>
        <v>6.7500000000000004E-2</v>
      </c>
      <c r="J216"/>
      <c r="K216" s="440"/>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c r="BF216" s="204"/>
      <c r="BG216" s="204"/>
      <c r="BH216" s="204"/>
      <c r="BI216" s="204"/>
      <c r="BJ216" s="204"/>
      <c r="BK216" s="204"/>
      <c r="BL216" s="204"/>
      <c r="BM216" s="204"/>
      <c r="BN216" s="204"/>
      <c r="BO216" s="204"/>
      <c r="BP216" s="204"/>
      <c r="BQ216" s="204"/>
      <c r="BR216" s="204"/>
      <c r="BS216" s="204"/>
      <c r="BT216" s="204"/>
      <c r="BU216" s="204"/>
      <c r="BV216" s="204"/>
      <c r="BW216" s="204"/>
      <c r="BX216" s="204"/>
      <c r="BY216" s="204"/>
      <c r="BZ216" s="204"/>
      <c r="CA216" s="204"/>
      <c r="CB216" s="204"/>
      <c r="CC216" s="204"/>
      <c r="CD216" s="204"/>
      <c r="CE216" s="204"/>
      <c r="CF216" s="204"/>
      <c r="CG216" s="204"/>
      <c r="CH216" s="204"/>
      <c r="CI216" s="204"/>
      <c r="CJ216" s="204"/>
      <c r="CK216" s="204"/>
      <c r="CL216" s="204"/>
      <c r="CM216" s="204"/>
      <c r="CN216" s="204"/>
      <c r="CO216" s="204"/>
      <c r="CP216" s="204"/>
      <c r="CQ216" s="204"/>
      <c r="CR216" s="204"/>
      <c r="CS216" s="204"/>
      <c r="CT216" s="204"/>
      <c r="CU216" s="204"/>
      <c r="CV216" s="204"/>
      <c r="CW216" s="204"/>
      <c r="CX216" s="204"/>
      <c r="CY216" s="204"/>
      <c r="CZ216" s="204"/>
      <c r="DA216" s="204"/>
      <c r="DB216" s="204"/>
      <c r="DC216" s="204"/>
      <c r="DD216" s="204"/>
      <c r="DE216" s="204"/>
      <c r="DF216" s="204"/>
      <c r="DG216" s="204"/>
      <c r="DH216" s="204"/>
      <c r="DI216" s="204"/>
      <c r="DJ216" s="204"/>
      <c r="DK216" s="204"/>
      <c r="DL216" s="204"/>
      <c r="DM216" s="204"/>
      <c r="DN216" s="204"/>
      <c r="DO216" s="204"/>
      <c r="DP216" s="204"/>
      <c r="DQ216" s="204"/>
      <c r="DR216" s="204"/>
      <c r="DS216" s="204"/>
      <c r="DT216" s="204"/>
      <c r="DU216" s="204"/>
      <c r="DV216" s="204"/>
      <c r="DW216" s="204"/>
      <c r="DX216" s="204"/>
      <c r="DY216" s="204"/>
      <c r="DZ216" s="204"/>
      <c r="EA216" s="204"/>
      <c r="EB216" s="204"/>
      <c r="EC216" s="204"/>
      <c r="ED216" s="204"/>
      <c r="EE216" s="204"/>
      <c r="EF216" s="204"/>
      <c r="EG216" s="204"/>
      <c r="EH216" s="204"/>
      <c r="EI216" s="204"/>
      <c r="EJ216" s="204"/>
      <c r="EK216" s="204"/>
      <c r="EL216" s="204"/>
      <c r="EM216" s="204"/>
      <c r="EN216" s="204"/>
      <c r="EO216" s="440"/>
      <c r="EP216" s="914">
        <f>N($F$234)</f>
        <v>0</v>
      </c>
      <c r="EQ216" s="18" t="s">
        <v>384</v>
      </c>
      <c r="ER216" s="18"/>
      <c r="ES216" s="18"/>
      <c r="ET216" s="18" t="s">
        <v>409</v>
      </c>
      <c r="EU216" s="18"/>
      <c r="EV216" s="418">
        <f>EV201</f>
        <v>0</v>
      </c>
      <c r="EW216" s="418">
        <f t="shared" ref="EW216:GA216" si="640">EW201</f>
        <v>70562.268970067496</v>
      </c>
      <c r="EX216" s="418">
        <f t="shared" si="640"/>
        <v>0</v>
      </c>
      <c r="EY216" s="418">
        <f t="shared" si="640"/>
        <v>52683.47823085892</v>
      </c>
      <c r="EZ216" s="418">
        <f t="shared" si="640"/>
        <v>73917.592887241393</v>
      </c>
      <c r="FA216" s="418">
        <f t="shared" si="640"/>
        <v>100597.62539995834</v>
      </c>
      <c r="FB216" s="418">
        <f t="shared" si="640"/>
        <v>132711.21484693745</v>
      </c>
      <c r="FC216" s="418">
        <f t="shared" si="640"/>
        <v>169571.13126643002</v>
      </c>
      <c r="FD216" s="418">
        <f t="shared" si="640"/>
        <v>209638.92700129561</v>
      </c>
      <c r="FE216" s="418">
        <f t="shared" si="640"/>
        <v>250432.28312832303</v>
      </c>
      <c r="FF216" s="418">
        <f t="shared" si="640"/>
        <v>288567.01646289043</v>
      </c>
      <c r="FG216" s="418">
        <f t="shared" si="640"/>
        <v>319971.35631248169</v>
      </c>
      <c r="FH216" s="418">
        <f t="shared" si="640"/>
        <v>340282.33397308737</v>
      </c>
      <c r="FI216" s="418">
        <f t="shared" si="640"/>
        <v>0</v>
      </c>
      <c r="FJ216" s="418">
        <f t="shared" si="640"/>
        <v>0</v>
      </c>
      <c r="FK216" s="418">
        <f t="shared" si="640"/>
        <v>0</v>
      </c>
      <c r="FL216" s="418">
        <f t="shared" si="640"/>
        <v>0</v>
      </c>
      <c r="FM216" s="418">
        <f t="shared" si="640"/>
        <v>0</v>
      </c>
      <c r="FN216" s="418">
        <f t="shared" si="640"/>
        <v>0</v>
      </c>
      <c r="FO216" s="418">
        <f t="shared" si="640"/>
        <v>0</v>
      </c>
      <c r="FP216" s="418">
        <f t="shared" si="640"/>
        <v>0</v>
      </c>
      <c r="FQ216" s="418">
        <f t="shared" si="640"/>
        <v>0</v>
      </c>
      <c r="FR216" s="418">
        <f t="shared" si="640"/>
        <v>0</v>
      </c>
      <c r="FS216" s="418">
        <f t="shared" si="640"/>
        <v>0</v>
      </c>
      <c r="FT216" s="418">
        <f t="shared" si="640"/>
        <v>0</v>
      </c>
      <c r="FU216" s="418">
        <f t="shared" si="640"/>
        <v>0</v>
      </c>
      <c r="FV216" s="418">
        <f t="shared" si="640"/>
        <v>0</v>
      </c>
      <c r="FW216" s="418">
        <f t="shared" si="640"/>
        <v>0</v>
      </c>
      <c r="FX216" s="418">
        <f t="shared" si="640"/>
        <v>0</v>
      </c>
      <c r="FY216" s="418">
        <f t="shared" si="640"/>
        <v>0</v>
      </c>
      <c r="FZ216" s="418">
        <f t="shared" si="640"/>
        <v>0</v>
      </c>
      <c r="GA216" s="418">
        <f t="shared" si="640"/>
        <v>0</v>
      </c>
      <c r="GB216" s="418">
        <f t="shared" ref="GB216:HG216" si="641">GB201</f>
        <v>0</v>
      </c>
      <c r="GC216" s="418">
        <f t="shared" si="641"/>
        <v>0</v>
      </c>
      <c r="GD216" s="418">
        <f t="shared" si="641"/>
        <v>0</v>
      </c>
      <c r="GE216" s="418">
        <f t="shared" si="641"/>
        <v>0</v>
      </c>
      <c r="GF216" s="418">
        <f t="shared" si="641"/>
        <v>0</v>
      </c>
      <c r="GG216" s="418">
        <f t="shared" si="641"/>
        <v>0</v>
      </c>
      <c r="GH216" s="418">
        <f t="shared" si="641"/>
        <v>164230.6805146893</v>
      </c>
      <c r="GI216" s="418">
        <f t="shared" si="641"/>
        <v>364286.76529399911</v>
      </c>
      <c r="GJ216" s="418">
        <f t="shared" si="641"/>
        <v>572380.13607966923</v>
      </c>
      <c r="GK216" s="418">
        <f t="shared" si="641"/>
        <v>773016.00189663284</v>
      </c>
      <c r="GL216" s="418">
        <f t="shared" si="641"/>
        <v>973611.13907960732</v>
      </c>
      <c r="GM216" s="418">
        <f t="shared" si="641"/>
        <v>1179706.9936818241</v>
      </c>
      <c r="GN216" s="418">
        <f t="shared" si="641"/>
        <v>1380220.010561527</v>
      </c>
      <c r="GO216" s="418">
        <f t="shared" si="641"/>
        <v>1580691.6333754973</v>
      </c>
      <c r="GP216" s="418">
        <f t="shared" si="641"/>
        <v>1807345.3879058782</v>
      </c>
      <c r="GQ216" s="418">
        <f t="shared" si="641"/>
        <v>2007733.5487203011</v>
      </c>
      <c r="GR216" s="418">
        <f t="shared" si="641"/>
        <v>2208079.6391653027</v>
      </c>
      <c r="GS216" s="418">
        <f t="shared" si="641"/>
        <v>2479277.8516667918</v>
      </c>
      <c r="GT216" s="418">
        <f t="shared" si="641"/>
        <v>2471384.1182492906</v>
      </c>
      <c r="GU216" s="418">
        <f t="shared" si="641"/>
        <v>2463447.6271091113</v>
      </c>
      <c r="GV216" s="418">
        <f t="shared" si="641"/>
        <v>2461777.3341419231</v>
      </c>
      <c r="GW216" s="418">
        <f t="shared" si="641"/>
        <v>2453754.6314888708</v>
      </c>
      <c r="GX216" s="418">
        <f t="shared" si="641"/>
        <v>2445688.4725297811</v>
      </c>
      <c r="GY216" s="418">
        <f t="shared" si="641"/>
        <v>2443314.2468763296</v>
      </c>
      <c r="GZ216" s="418">
        <f t="shared" si="641"/>
        <v>2435160.4678651718</v>
      </c>
      <c r="HA216" s="418">
        <f t="shared" si="641"/>
        <v>2426962.5225510374</v>
      </c>
      <c r="HB216" s="418">
        <f t="shared" si="641"/>
        <v>2445861.752949785</v>
      </c>
      <c r="HC216" s="418">
        <f t="shared" si="641"/>
        <v>2437574.756031421</v>
      </c>
      <c r="HD216" s="418">
        <f t="shared" si="641"/>
        <v>2429242.8712130822</v>
      </c>
      <c r="HE216" s="418">
        <f t="shared" si="641"/>
        <v>174279787.77195746</v>
      </c>
      <c r="HF216" s="418">
        <f t="shared" si="641"/>
        <v>0</v>
      </c>
      <c r="HG216" s="418">
        <f t="shared" si="641"/>
        <v>0</v>
      </c>
      <c r="HH216" s="418">
        <f t="shared" ref="HH216:IM216" si="642">HH201</f>
        <v>0</v>
      </c>
      <c r="HI216" s="418">
        <f t="shared" si="642"/>
        <v>0</v>
      </c>
      <c r="HJ216" s="418">
        <f t="shared" si="642"/>
        <v>0</v>
      </c>
      <c r="HK216" s="418">
        <f t="shared" si="642"/>
        <v>0</v>
      </c>
      <c r="HL216" s="418">
        <f t="shared" si="642"/>
        <v>0</v>
      </c>
      <c r="HM216" s="418">
        <f t="shared" si="642"/>
        <v>0</v>
      </c>
      <c r="HN216" s="418">
        <f t="shared" si="642"/>
        <v>0</v>
      </c>
      <c r="HO216" s="418">
        <f t="shared" si="642"/>
        <v>0</v>
      </c>
      <c r="HP216" s="418">
        <f t="shared" si="642"/>
        <v>0</v>
      </c>
      <c r="HQ216" s="418">
        <f t="shared" si="642"/>
        <v>0</v>
      </c>
      <c r="HR216" s="418">
        <f t="shared" si="642"/>
        <v>0</v>
      </c>
      <c r="HS216" s="418">
        <f t="shared" si="642"/>
        <v>0</v>
      </c>
      <c r="HT216" s="418">
        <f t="shared" si="642"/>
        <v>0</v>
      </c>
      <c r="HU216" s="418">
        <f t="shared" si="642"/>
        <v>0</v>
      </c>
      <c r="HV216" s="418">
        <f t="shared" si="642"/>
        <v>0</v>
      </c>
      <c r="HW216" s="418">
        <f t="shared" si="642"/>
        <v>0</v>
      </c>
      <c r="HX216" s="418">
        <f t="shared" si="642"/>
        <v>0</v>
      </c>
      <c r="HY216" s="418">
        <f t="shared" si="642"/>
        <v>0</v>
      </c>
      <c r="HZ216" s="418">
        <f t="shared" si="642"/>
        <v>0</v>
      </c>
      <c r="IA216" s="418">
        <f t="shared" si="642"/>
        <v>0</v>
      </c>
      <c r="IB216" s="418">
        <f t="shared" si="642"/>
        <v>0</v>
      </c>
      <c r="IC216" s="418">
        <f t="shared" si="642"/>
        <v>0</v>
      </c>
      <c r="ID216" s="418">
        <f t="shared" si="642"/>
        <v>0</v>
      </c>
      <c r="IE216" s="418">
        <f t="shared" si="642"/>
        <v>0</v>
      </c>
      <c r="IF216" s="418">
        <f t="shared" si="642"/>
        <v>0</v>
      </c>
      <c r="IG216" s="418">
        <f t="shared" si="642"/>
        <v>0</v>
      </c>
      <c r="IH216" s="418">
        <f t="shared" si="642"/>
        <v>0</v>
      </c>
      <c r="II216" s="418">
        <f t="shared" si="642"/>
        <v>0</v>
      </c>
      <c r="IJ216" s="418">
        <f t="shared" si="642"/>
        <v>0</v>
      </c>
      <c r="IK216" s="418">
        <f t="shared" si="642"/>
        <v>0</v>
      </c>
      <c r="IL216" s="418">
        <f t="shared" si="642"/>
        <v>0</v>
      </c>
      <c r="IM216" s="418">
        <f t="shared" si="642"/>
        <v>0</v>
      </c>
      <c r="IN216" s="418">
        <f t="shared" ref="IN216:JX216" si="643">IN201</f>
        <v>0</v>
      </c>
      <c r="IO216" s="418">
        <f t="shared" si="643"/>
        <v>0</v>
      </c>
      <c r="IP216" s="418">
        <f t="shared" si="643"/>
        <v>0</v>
      </c>
      <c r="IQ216" s="418">
        <f t="shared" si="643"/>
        <v>0</v>
      </c>
      <c r="IR216" s="418">
        <f t="shared" si="643"/>
        <v>0</v>
      </c>
      <c r="IS216" s="418">
        <f t="shared" si="643"/>
        <v>0</v>
      </c>
      <c r="IT216" s="418">
        <f t="shared" si="643"/>
        <v>0</v>
      </c>
      <c r="IU216" s="418">
        <f t="shared" si="643"/>
        <v>0</v>
      </c>
      <c r="IV216" s="418">
        <f t="shared" si="643"/>
        <v>0</v>
      </c>
      <c r="IW216" s="418">
        <f t="shared" si="643"/>
        <v>0</v>
      </c>
      <c r="IX216" s="418">
        <f t="shared" si="643"/>
        <v>0</v>
      </c>
      <c r="IY216" s="418">
        <f t="shared" si="643"/>
        <v>0</v>
      </c>
      <c r="IZ216" s="418">
        <f t="shared" si="643"/>
        <v>0</v>
      </c>
      <c r="JA216" s="418">
        <f t="shared" si="643"/>
        <v>0</v>
      </c>
      <c r="JB216" s="418">
        <f t="shared" si="643"/>
        <v>0</v>
      </c>
      <c r="JC216" s="418">
        <f t="shared" si="643"/>
        <v>0</v>
      </c>
      <c r="JD216" s="418">
        <f t="shared" si="643"/>
        <v>0</v>
      </c>
      <c r="JE216" s="418">
        <f t="shared" si="643"/>
        <v>0</v>
      </c>
      <c r="JF216" s="418">
        <f t="shared" si="643"/>
        <v>0</v>
      </c>
      <c r="JG216" s="418">
        <f t="shared" si="643"/>
        <v>0</v>
      </c>
      <c r="JH216" s="418">
        <f t="shared" si="643"/>
        <v>0</v>
      </c>
      <c r="JI216" s="418">
        <f t="shared" si="643"/>
        <v>0</v>
      </c>
      <c r="JJ216" s="418">
        <f t="shared" si="643"/>
        <v>0</v>
      </c>
      <c r="JK216" s="418">
        <f t="shared" si="643"/>
        <v>0</v>
      </c>
      <c r="JL216" s="418">
        <f t="shared" si="643"/>
        <v>0</v>
      </c>
      <c r="JM216" s="418">
        <f t="shared" si="643"/>
        <v>0</v>
      </c>
      <c r="JN216" s="418">
        <f t="shared" si="643"/>
        <v>0</v>
      </c>
      <c r="JO216" s="418">
        <f t="shared" si="643"/>
        <v>0</v>
      </c>
      <c r="JP216" s="418">
        <f t="shared" si="643"/>
        <v>0</v>
      </c>
      <c r="JQ216" s="418">
        <f t="shared" si="643"/>
        <v>0</v>
      </c>
      <c r="JR216" s="418">
        <f t="shared" si="643"/>
        <v>0</v>
      </c>
      <c r="JS216" s="418">
        <f t="shared" si="643"/>
        <v>0</v>
      </c>
      <c r="JT216" s="418">
        <f t="shared" si="643"/>
        <v>0</v>
      </c>
      <c r="JU216" s="418">
        <f t="shared" si="643"/>
        <v>0</v>
      </c>
      <c r="JV216" s="418">
        <f t="shared" si="643"/>
        <v>0</v>
      </c>
      <c r="JW216" s="418">
        <f t="shared" si="643"/>
        <v>0</v>
      </c>
      <c r="JX216" s="418">
        <f t="shared" si="643"/>
        <v>0</v>
      </c>
      <c r="JY216"/>
      <c r="JZ216" s="442"/>
      <c r="KA216" s="442"/>
      <c r="KB216" s="442"/>
      <c r="KC216" s="442"/>
      <c r="KD216" s="442"/>
      <c r="KE216" s="442"/>
      <c r="KF216" s="442"/>
      <c r="KG216" s="442"/>
      <c r="KH216" s="442"/>
      <c r="KI216" s="442"/>
      <c r="KJ216" s="442"/>
      <c r="KK216" s="442"/>
      <c r="KL216" s="442"/>
      <c r="KM216" s="442"/>
      <c r="KN216" s="442"/>
      <c r="KO216" s="442"/>
      <c r="KP216" s="442"/>
      <c r="KQ216" s="442"/>
      <c r="KR216" s="442"/>
      <c r="KS216" s="442"/>
      <c r="KT216" s="442"/>
      <c r="KU216" s="442"/>
      <c r="KV216" s="442"/>
      <c r="KW216" s="442"/>
      <c r="KX216" s="442"/>
      <c r="KY216" s="442"/>
      <c r="KZ216" s="442"/>
      <c r="LA216" s="442"/>
      <c r="LB216" s="442"/>
      <c r="LC216" s="442"/>
      <c r="LD216" s="442"/>
      <c r="LE216" s="442"/>
      <c r="LF216" s="442"/>
      <c r="LG216" s="442"/>
      <c r="LH216" s="442"/>
      <c r="LI216" s="442"/>
      <c r="LJ216" s="442"/>
      <c r="LK216" s="442"/>
      <c r="LL216" s="442"/>
      <c r="LM216" s="442"/>
      <c r="LN216" s="442"/>
      <c r="LO216" s="442"/>
      <c r="LP216" s="442"/>
      <c r="LQ216" s="442"/>
      <c r="LR216" s="442"/>
      <c r="LS216" s="442"/>
      <c r="LT216" s="442"/>
      <c r="LU216" s="442"/>
      <c r="LV216" s="442"/>
      <c r="LW216" s="442"/>
      <c r="LX216" s="442"/>
      <c r="LY216" s="442"/>
      <c r="LZ216" s="442"/>
      <c r="MA216" s="442"/>
      <c r="MB216" s="442"/>
      <c r="MC216" s="442"/>
      <c r="MD216" s="442"/>
      <c r="ME216" s="442"/>
      <c r="MF216" s="442"/>
      <c r="MG216" s="442"/>
      <c r="MH216" s="442"/>
      <c r="MI216" s="442"/>
      <c r="MJ216" s="442"/>
      <c r="MK216" s="442"/>
      <c r="ML216" s="442"/>
      <c r="MM216" s="442"/>
      <c r="MN216" s="442"/>
      <c r="MO216" s="442"/>
      <c r="MP216" s="442"/>
      <c r="MQ216" s="442"/>
      <c r="MR216" s="442"/>
      <c r="MS216" s="442"/>
      <c r="MT216" s="442"/>
      <c r="MU216" s="442"/>
      <c r="MV216" s="442"/>
      <c r="MW216" s="442"/>
      <c r="MX216" s="442"/>
      <c r="MY216" s="442"/>
      <c r="MZ216" s="442"/>
      <c r="NA216" s="442"/>
      <c r="NB216" s="442"/>
      <c r="NC216" s="442"/>
      <c r="ND216" s="442"/>
      <c r="NE216" s="442"/>
      <c r="NF216" s="442"/>
      <c r="NG216" s="442"/>
      <c r="NH216" s="442"/>
      <c r="NI216" s="442"/>
      <c r="NJ216" s="442"/>
      <c r="NK216" s="442"/>
      <c r="NL216" s="442"/>
      <c r="NM216" s="442"/>
      <c r="NN216" s="442"/>
      <c r="NO216" s="442"/>
      <c r="NP216" s="442"/>
      <c r="NQ216" s="442"/>
      <c r="NR216" s="442"/>
      <c r="NS216" s="442"/>
      <c r="NT216" s="442"/>
      <c r="NU216" s="442"/>
      <c r="NV216" s="442"/>
      <c r="NW216" s="442"/>
      <c r="NX216" s="442"/>
      <c r="NY216" s="442"/>
      <c r="NZ216" s="442"/>
      <c r="OA216" s="442"/>
      <c r="OB216" s="442"/>
      <c r="OC216" s="442"/>
      <c r="OD216" s="442"/>
      <c r="OE216" s="442"/>
      <c r="OF216" s="442"/>
      <c r="OG216" s="442"/>
      <c r="OH216" s="442"/>
      <c r="OI216" s="442"/>
      <c r="OJ216" s="442"/>
      <c r="OK216" s="442"/>
      <c r="OL216" s="442"/>
      <c r="OM216" s="442"/>
      <c r="ON216" s="442"/>
      <c r="OO216" s="442"/>
      <c r="OP216" s="442"/>
      <c r="OQ216" s="442"/>
      <c r="OR216" s="442"/>
      <c r="OS216" s="442"/>
      <c r="OT216" s="442"/>
      <c r="OU216" s="442"/>
      <c r="OV216" s="442"/>
      <c r="OW216" s="442"/>
      <c r="OX216" s="442"/>
      <c r="OY216" s="442"/>
      <c r="OZ216" s="442"/>
      <c r="PA216" s="442"/>
      <c r="PB216" s="442"/>
      <c r="PC216" s="442"/>
      <c r="PD216" s="442"/>
      <c r="PE216" s="442"/>
      <c r="PF216" s="442"/>
      <c r="PG216" s="442"/>
      <c r="PH216" s="442"/>
    </row>
    <row r="217" spans="1:424" s="24" customFormat="1" x14ac:dyDescent="0.35">
      <c r="A217" s="437"/>
      <c r="B217" s="61" t="s">
        <v>410</v>
      </c>
      <c r="C217" s="454"/>
      <c r="D217" s="454"/>
      <c r="E217" s="454"/>
      <c r="F217" s="454"/>
      <c r="G217" s="74"/>
      <c r="H217" s="74">
        <f>(H215-H216)*10000</f>
        <v>344.53869737863295</v>
      </c>
      <c r="I217" s="74">
        <f>(I215-I216)*10000</f>
        <v>411.33422876569847</v>
      </c>
      <c r="J217"/>
      <c r="K217" s="440"/>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c r="BF217" s="204"/>
      <c r="BG217" s="204"/>
      <c r="BH217" s="204"/>
      <c r="BI217" s="204"/>
      <c r="BJ217" s="204"/>
      <c r="BK217" s="204"/>
      <c r="BL217" s="204"/>
      <c r="BM217" s="204"/>
      <c r="BN217" s="204"/>
      <c r="BO217" s="204"/>
      <c r="BP217" s="204"/>
      <c r="BQ217" s="204"/>
      <c r="BR217" s="204"/>
      <c r="BS217" s="204"/>
      <c r="BT217" s="204"/>
      <c r="BU217" s="204"/>
      <c r="BV217" s="204"/>
      <c r="BW217" s="204"/>
      <c r="BX217" s="204"/>
      <c r="BY217" s="204"/>
      <c r="BZ217" s="204"/>
      <c r="CA217" s="204"/>
      <c r="CB217" s="204"/>
      <c r="CC217" s="204"/>
      <c r="CD217" s="204"/>
      <c r="CE217" s="204"/>
      <c r="CF217" s="204"/>
      <c r="CG217" s="204"/>
      <c r="CH217" s="204"/>
      <c r="CI217" s="204"/>
      <c r="CJ217" s="204"/>
      <c r="CK217" s="204"/>
      <c r="CL217" s="204"/>
      <c r="CM217" s="204"/>
      <c r="CN217" s="204"/>
      <c r="CO217" s="204"/>
      <c r="CP217" s="204"/>
      <c r="CQ217" s="204"/>
      <c r="CR217" s="204"/>
      <c r="CS217" s="204"/>
      <c r="CT217" s="204"/>
      <c r="CU217" s="204"/>
      <c r="CV217" s="204"/>
      <c r="CW217" s="204"/>
      <c r="CX217" s="204"/>
      <c r="CY217" s="204"/>
      <c r="CZ217" s="204"/>
      <c r="DA217" s="204"/>
      <c r="DB217" s="204"/>
      <c r="DC217" s="204"/>
      <c r="DD217" s="204"/>
      <c r="DE217" s="204"/>
      <c r="DF217" s="204"/>
      <c r="DG217" s="204"/>
      <c r="DH217" s="204"/>
      <c r="DI217" s="204"/>
      <c r="DJ217" s="204"/>
      <c r="DK217" s="204"/>
      <c r="DL217" s="204"/>
      <c r="DM217" s="204"/>
      <c r="DN217" s="204"/>
      <c r="DO217" s="204"/>
      <c r="DP217" s="204"/>
      <c r="DQ217" s="204"/>
      <c r="DR217" s="204"/>
      <c r="DS217" s="204"/>
      <c r="DT217" s="204"/>
      <c r="DU217" s="204"/>
      <c r="DV217" s="204"/>
      <c r="DW217" s="204"/>
      <c r="DX217" s="204"/>
      <c r="DY217" s="204"/>
      <c r="DZ217" s="204"/>
      <c r="EA217" s="204"/>
      <c r="EB217" s="204"/>
      <c r="EC217" s="204"/>
      <c r="ED217" s="204"/>
      <c r="EE217" s="204"/>
      <c r="EF217" s="204"/>
      <c r="EG217" s="204"/>
      <c r="EH217" s="204"/>
      <c r="EI217" s="204"/>
      <c r="EJ217" s="204"/>
      <c r="EK217" s="204"/>
      <c r="EL217" s="204"/>
      <c r="EM217" s="204"/>
      <c r="EN217" s="204"/>
      <c r="EO217" s="440"/>
      <c r="EP217" s="405"/>
      <c r="EQ217" s="18"/>
      <c r="ER217" s="18"/>
      <c r="ES217" s="18"/>
      <c r="ET217" s="18" t="s">
        <v>411</v>
      </c>
      <c r="EU217" s="18"/>
      <c r="EV217" s="418">
        <f>(EV$197&lt;=Timing_Reversion_Month)*(MIN(EV214+EV215-EV216,MAX(EV212,0)*$I$234))</f>
        <v>0</v>
      </c>
      <c r="EW217" s="418">
        <f t="shared" ref="EW217:GA217" si="644">(EW$197&lt;=Timing_Reversion_Month)*(MIN(EW214+EW215-EW216,MAX(EW212,0)*$I$234))</f>
        <v>0</v>
      </c>
      <c r="EX217" s="418">
        <f t="shared" si="644"/>
        <v>0</v>
      </c>
      <c r="EY217" s="418">
        <f t="shared" si="644"/>
        <v>0</v>
      </c>
      <c r="EZ217" s="418">
        <f t="shared" si="644"/>
        <v>0</v>
      </c>
      <c r="FA217" s="418">
        <f t="shared" si="644"/>
        <v>0</v>
      </c>
      <c r="FB217" s="418">
        <f t="shared" si="644"/>
        <v>0</v>
      </c>
      <c r="FC217" s="418">
        <f t="shared" si="644"/>
        <v>0</v>
      </c>
      <c r="FD217" s="418">
        <f t="shared" si="644"/>
        <v>0</v>
      </c>
      <c r="FE217" s="418">
        <f t="shared" si="644"/>
        <v>0</v>
      </c>
      <c r="FF217" s="418">
        <f t="shared" si="644"/>
        <v>0</v>
      </c>
      <c r="FG217" s="418">
        <f t="shared" si="644"/>
        <v>0</v>
      </c>
      <c r="FH217" s="418">
        <f t="shared" si="644"/>
        <v>0</v>
      </c>
      <c r="FI217" s="418">
        <f t="shared" si="644"/>
        <v>0</v>
      </c>
      <c r="FJ217" s="418">
        <f t="shared" si="644"/>
        <v>0</v>
      </c>
      <c r="FK217" s="418">
        <f t="shared" si="644"/>
        <v>0</v>
      </c>
      <c r="FL217" s="418">
        <f t="shared" si="644"/>
        <v>0</v>
      </c>
      <c r="FM217" s="418">
        <f t="shared" si="644"/>
        <v>0</v>
      </c>
      <c r="FN217" s="418">
        <f t="shared" si="644"/>
        <v>0</v>
      </c>
      <c r="FO217" s="418">
        <f t="shared" si="644"/>
        <v>0</v>
      </c>
      <c r="FP217" s="418">
        <f t="shared" si="644"/>
        <v>0</v>
      </c>
      <c r="FQ217" s="418">
        <f t="shared" si="644"/>
        <v>0</v>
      </c>
      <c r="FR217" s="418">
        <f t="shared" si="644"/>
        <v>0</v>
      </c>
      <c r="FS217" s="418">
        <f t="shared" si="644"/>
        <v>0</v>
      </c>
      <c r="FT217" s="418">
        <f t="shared" si="644"/>
        <v>0</v>
      </c>
      <c r="FU217" s="418">
        <f t="shared" si="644"/>
        <v>0</v>
      </c>
      <c r="FV217" s="418">
        <f t="shared" si="644"/>
        <v>0</v>
      </c>
      <c r="FW217" s="418">
        <f t="shared" si="644"/>
        <v>0</v>
      </c>
      <c r="FX217" s="418">
        <f t="shared" si="644"/>
        <v>0</v>
      </c>
      <c r="FY217" s="418">
        <f t="shared" si="644"/>
        <v>0</v>
      </c>
      <c r="FZ217" s="418">
        <f t="shared" si="644"/>
        <v>0</v>
      </c>
      <c r="GA217" s="418">
        <f t="shared" si="644"/>
        <v>0</v>
      </c>
      <c r="GB217" s="418">
        <f t="shared" ref="GB217:HG217" si="645">(GB$197&lt;=Timing_Reversion_Month)*(MIN(GB214+GB215-GB216,MAX(GB212,0)*$I$234))</f>
        <v>0</v>
      </c>
      <c r="GC217" s="418">
        <f t="shared" si="645"/>
        <v>0</v>
      </c>
      <c r="GD217" s="418">
        <f t="shared" si="645"/>
        <v>0</v>
      </c>
      <c r="GE217" s="418">
        <f t="shared" si="645"/>
        <v>0</v>
      </c>
      <c r="GF217" s="418">
        <f t="shared" si="645"/>
        <v>0</v>
      </c>
      <c r="GG217" s="418">
        <f t="shared" si="645"/>
        <v>0</v>
      </c>
      <c r="GH217" s="418">
        <f t="shared" si="645"/>
        <v>0</v>
      </c>
      <c r="GI217" s="418">
        <f t="shared" si="645"/>
        <v>0</v>
      </c>
      <c r="GJ217" s="418">
        <f t="shared" si="645"/>
        <v>0</v>
      </c>
      <c r="GK217" s="418">
        <f t="shared" si="645"/>
        <v>0</v>
      </c>
      <c r="GL217" s="418">
        <f t="shared" si="645"/>
        <v>0</v>
      </c>
      <c r="GM217" s="418">
        <f t="shared" si="645"/>
        <v>0</v>
      </c>
      <c r="GN217" s="418">
        <f t="shared" si="645"/>
        <v>0</v>
      </c>
      <c r="GO217" s="418">
        <f t="shared" si="645"/>
        <v>0</v>
      </c>
      <c r="GP217" s="418">
        <f t="shared" si="645"/>
        <v>0</v>
      </c>
      <c r="GQ217" s="418">
        <f t="shared" si="645"/>
        <v>0</v>
      </c>
      <c r="GR217" s="418">
        <f t="shared" si="645"/>
        <v>0</v>
      </c>
      <c r="GS217" s="418">
        <f t="shared" si="645"/>
        <v>0</v>
      </c>
      <c r="GT217" s="418">
        <f t="shared" si="645"/>
        <v>0</v>
      </c>
      <c r="GU217" s="418">
        <f t="shared" si="645"/>
        <v>0</v>
      </c>
      <c r="GV217" s="418">
        <f t="shared" si="645"/>
        <v>0</v>
      </c>
      <c r="GW217" s="418">
        <f t="shared" si="645"/>
        <v>0</v>
      </c>
      <c r="GX217" s="418">
        <f t="shared" si="645"/>
        <v>0</v>
      </c>
      <c r="GY217" s="418">
        <f t="shared" si="645"/>
        <v>0</v>
      </c>
      <c r="GZ217" s="418">
        <f t="shared" si="645"/>
        <v>0</v>
      </c>
      <c r="HA217" s="418">
        <f t="shared" si="645"/>
        <v>0</v>
      </c>
      <c r="HB217" s="418">
        <f t="shared" si="645"/>
        <v>0</v>
      </c>
      <c r="HC217" s="418">
        <f t="shared" si="645"/>
        <v>0</v>
      </c>
      <c r="HD217" s="418">
        <f t="shared" si="645"/>
        <v>0</v>
      </c>
      <c r="HE217" s="418">
        <f t="shared" si="645"/>
        <v>0</v>
      </c>
      <c r="HF217" s="418">
        <f t="shared" si="645"/>
        <v>0</v>
      </c>
      <c r="HG217" s="418">
        <f t="shared" si="645"/>
        <v>0</v>
      </c>
      <c r="HH217" s="418">
        <f t="shared" ref="HH217:IM217" si="646">(HH$197&lt;=Timing_Reversion_Month)*(MIN(HH214+HH215-HH216,MAX(HH212,0)*$I$234))</f>
        <v>0</v>
      </c>
      <c r="HI217" s="418">
        <f t="shared" si="646"/>
        <v>0</v>
      </c>
      <c r="HJ217" s="418">
        <f t="shared" si="646"/>
        <v>0</v>
      </c>
      <c r="HK217" s="418">
        <f t="shared" si="646"/>
        <v>0</v>
      </c>
      <c r="HL217" s="418">
        <f t="shared" si="646"/>
        <v>0</v>
      </c>
      <c r="HM217" s="418">
        <f t="shared" si="646"/>
        <v>0</v>
      </c>
      <c r="HN217" s="418">
        <f t="shared" si="646"/>
        <v>0</v>
      </c>
      <c r="HO217" s="418">
        <f t="shared" si="646"/>
        <v>0</v>
      </c>
      <c r="HP217" s="418">
        <f t="shared" si="646"/>
        <v>0</v>
      </c>
      <c r="HQ217" s="418">
        <f t="shared" si="646"/>
        <v>0</v>
      </c>
      <c r="HR217" s="418">
        <f t="shared" si="646"/>
        <v>0</v>
      </c>
      <c r="HS217" s="418">
        <f t="shared" si="646"/>
        <v>0</v>
      </c>
      <c r="HT217" s="418">
        <f t="shared" si="646"/>
        <v>0</v>
      </c>
      <c r="HU217" s="418">
        <f t="shared" si="646"/>
        <v>0</v>
      </c>
      <c r="HV217" s="418">
        <f t="shared" si="646"/>
        <v>0</v>
      </c>
      <c r="HW217" s="418">
        <f t="shared" si="646"/>
        <v>0</v>
      </c>
      <c r="HX217" s="418">
        <f t="shared" si="646"/>
        <v>0</v>
      </c>
      <c r="HY217" s="418">
        <f t="shared" si="646"/>
        <v>0</v>
      </c>
      <c r="HZ217" s="418">
        <f t="shared" si="646"/>
        <v>0</v>
      </c>
      <c r="IA217" s="418">
        <f t="shared" si="646"/>
        <v>0</v>
      </c>
      <c r="IB217" s="418">
        <f t="shared" si="646"/>
        <v>0</v>
      </c>
      <c r="IC217" s="418">
        <f t="shared" si="646"/>
        <v>0</v>
      </c>
      <c r="ID217" s="418">
        <f t="shared" si="646"/>
        <v>0</v>
      </c>
      <c r="IE217" s="418">
        <f t="shared" si="646"/>
        <v>0</v>
      </c>
      <c r="IF217" s="418">
        <f t="shared" si="646"/>
        <v>0</v>
      </c>
      <c r="IG217" s="418">
        <f t="shared" si="646"/>
        <v>0</v>
      </c>
      <c r="IH217" s="418">
        <f t="shared" si="646"/>
        <v>0</v>
      </c>
      <c r="II217" s="418">
        <f t="shared" si="646"/>
        <v>0</v>
      </c>
      <c r="IJ217" s="418">
        <f t="shared" si="646"/>
        <v>0</v>
      </c>
      <c r="IK217" s="418">
        <f t="shared" si="646"/>
        <v>0</v>
      </c>
      <c r="IL217" s="418">
        <f t="shared" si="646"/>
        <v>0</v>
      </c>
      <c r="IM217" s="418">
        <f t="shared" si="646"/>
        <v>0</v>
      </c>
      <c r="IN217" s="418">
        <f t="shared" ref="IN217:JS217" si="647">(IN$197&lt;=Timing_Reversion_Month)*(MIN(IN214+IN215-IN216,MAX(IN212,0)*$I$234))</f>
        <v>0</v>
      </c>
      <c r="IO217" s="418">
        <f t="shared" si="647"/>
        <v>0</v>
      </c>
      <c r="IP217" s="418">
        <f t="shared" si="647"/>
        <v>0</v>
      </c>
      <c r="IQ217" s="418">
        <f t="shared" si="647"/>
        <v>0</v>
      </c>
      <c r="IR217" s="418">
        <f t="shared" si="647"/>
        <v>0</v>
      </c>
      <c r="IS217" s="418">
        <f t="shared" si="647"/>
        <v>0</v>
      </c>
      <c r="IT217" s="418">
        <f t="shared" si="647"/>
        <v>0</v>
      </c>
      <c r="IU217" s="418">
        <f t="shared" si="647"/>
        <v>0</v>
      </c>
      <c r="IV217" s="418">
        <f t="shared" si="647"/>
        <v>0</v>
      </c>
      <c r="IW217" s="418">
        <f t="shared" si="647"/>
        <v>0</v>
      </c>
      <c r="IX217" s="418">
        <f t="shared" si="647"/>
        <v>0</v>
      </c>
      <c r="IY217" s="418">
        <f t="shared" si="647"/>
        <v>0</v>
      </c>
      <c r="IZ217" s="418">
        <f t="shared" si="647"/>
        <v>0</v>
      </c>
      <c r="JA217" s="418">
        <f t="shared" si="647"/>
        <v>0</v>
      </c>
      <c r="JB217" s="418">
        <f t="shared" si="647"/>
        <v>0</v>
      </c>
      <c r="JC217" s="418">
        <f t="shared" si="647"/>
        <v>0</v>
      </c>
      <c r="JD217" s="418">
        <f t="shared" si="647"/>
        <v>0</v>
      </c>
      <c r="JE217" s="418">
        <f t="shared" si="647"/>
        <v>0</v>
      </c>
      <c r="JF217" s="418">
        <f t="shared" si="647"/>
        <v>0</v>
      </c>
      <c r="JG217" s="418">
        <f t="shared" si="647"/>
        <v>0</v>
      </c>
      <c r="JH217" s="418">
        <f t="shared" si="647"/>
        <v>0</v>
      </c>
      <c r="JI217" s="418">
        <f t="shared" si="647"/>
        <v>0</v>
      </c>
      <c r="JJ217" s="418">
        <f t="shared" si="647"/>
        <v>0</v>
      </c>
      <c r="JK217" s="418">
        <f t="shared" si="647"/>
        <v>0</v>
      </c>
      <c r="JL217" s="418">
        <f t="shared" si="647"/>
        <v>0</v>
      </c>
      <c r="JM217" s="418">
        <f t="shared" si="647"/>
        <v>0</v>
      </c>
      <c r="JN217" s="418">
        <f t="shared" si="647"/>
        <v>0</v>
      </c>
      <c r="JO217" s="418">
        <f t="shared" si="647"/>
        <v>0</v>
      </c>
      <c r="JP217" s="418">
        <f t="shared" si="647"/>
        <v>0</v>
      </c>
      <c r="JQ217" s="418">
        <f t="shared" si="647"/>
        <v>0</v>
      </c>
      <c r="JR217" s="418">
        <f t="shared" si="647"/>
        <v>0</v>
      </c>
      <c r="JS217" s="418">
        <f t="shared" si="647"/>
        <v>0</v>
      </c>
      <c r="JT217" s="418">
        <f>(JT$197&lt;=Timing_Reversion_Month)*(MIN(JT214+JT215-JT216,MAX(JT212,0)*$I$234))</f>
        <v>0</v>
      </c>
      <c r="JU217" s="418">
        <f>(JU$197&lt;=Timing_Reversion_Month)*(MIN(JU214+JU215-JU216,MAX(JU212,0)*$I$234))</f>
        <v>0</v>
      </c>
      <c r="JV217" s="418">
        <f>(JV$197&lt;=Timing_Reversion_Month)*(MIN(JV214+JV215-JV216,MAX(JV212,0)*$I$234))</f>
        <v>0</v>
      </c>
      <c r="JW217" s="418">
        <f>(JW$197&lt;=Timing_Reversion_Month)*(MIN(JW214+JW215-JW216,MAX(JW212,0)*$I$234))</f>
        <v>0</v>
      </c>
      <c r="JX217" s="418">
        <f>(JX$197&lt;=Timing_Reversion_Month)*(MIN(JX214+JX215-JX216,MAX(JX212,0)*$I$234))</f>
        <v>0</v>
      </c>
      <c r="JY217"/>
      <c r="JZ217" s="442"/>
      <c r="KA217" s="442"/>
      <c r="KB217" s="442"/>
      <c r="KC217" s="442"/>
      <c r="KD217" s="442"/>
      <c r="KE217" s="442"/>
      <c r="KF217" s="442"/>
      <c r="KG217" s="442"/>
      <c r="KH217" s="442"/>
      <c r="KI217" s="442"/>
      <c r="KJ217" s="442"/>
      <c r="KK217" s="442"/>
      <c r="KL217" s="442"/>
      <c r="KM217" s="442"/>
      <c r="KN217" s="442"/>
      <c r="KO217" s="442"/>
      <c r="KP217" s="442"/>
      <c r="KQ217" s="442"/>
      <c r="KR217" s="442"/>
      <c r="KS217" s="442"/>
      <c r="KT217" s="442"/>
      <c r="KU217" s="442"/>
      <c r="KV217" s="442"/>
      <c r="KW217" s="442"/>
      <c r="KX217" s="442"/>
      <c r="KY217" s="442"/>
      <c r="KZ217" s="442"/>
      <c r="LA217" s="442"/>
      <c r="LB217" s="442"/>
      <c r="LC217" s="442"/>
      <c r="LD217" s="442"/>
      <c r="LE217" s="442"/>
      <c r="LF217" s="442"/>
      <c r="LG217" s="442"/>
      <c r="LH217" s="442"/>
      <c r="LI217" s="442"/>
      <c r="LJ217" s="442"/>
      <c r="LK217" s="442"/>
      <c r="LL217" s="442"/>
      <c r="LM217" s="442"/>
      <c r="LN217" s="442"/>
      <c r="LO217" s="442"/>
      <c r="LP217" s="442"/>
      <c r="LQ217" s="442"/>
      <c r="LR217" s="442"/>
      <c r="LS217" s="442"/>
      <c r="LT217" s="442"/>
      <c r="LU217" s="442"/>
      <c r="LV217" s="442"/>
      <c r="LW217" s="442"/>
      <c r="LX217" s="442"/>
      <c r="LY217" s="442"/>
      <c r="LZ217" s="442"/>
      <c r="MA217" s="442"/>
      <c r="MB217" s="442"/>
      <c r="MC217" s="442"/>
      <c r="MD217" s="442"/>
      <c r="ME217" s="442"/>
      <c r="MF217" s="442"/>
      <c r="MG217" s="442"/>
      <c r="MH217" s="442"/>
      <c r="MI217" s="442"/>
      <c r="MJ217" s="442"/>
      <c r="MK217" s="442"/>
      <c r="ML217" s="442"/>
      <c r="MM217" s="442"/>
      <c r="MN217" s="442"/>
      <c r="MO217" s="442"/>
      <c r="MP217" s="442"/>
      <c r="MQ217" s="442"/>
      <c r="MR217" s="442"/>
      <c r="MS217" s="442"/>
      <c r="MT217" s="442"/>
      <c r="MU217" s="442"/>
      <c r="MV217" s="442"/>
      <c r="MW217" s="442"/>
      <c r="MX217" s="442"/>
      <c r="MY217" s="442"/>
      <c r="MZ217" s="442"/>
      <c r="NA217" s="442"/>
      <c r="NB217" s="442"/>
      <c r="NC217" s="442"/>
      <c r="ND217" s="442"/>
      <c r="NE217" s="442"/>
      <c r="NF217" s="442"/>
      <c r="NG217" s="442"/>
      <c r="NH217" s="442"/>
      <c r="NI217" s="442"/>
      <c r="NJ217" s="442"/>
      <c r="NK217" s="442"/>
      <c r="NL217" s="442"/>
      <c r="NM217" s="442"/>
      <c r="NN217" s="442"/>
      <c r="NO217" s="442"/>
      <c r="NP217" s="442"/>
      <c r="NQ217" s="442"/>
      <c r="NR217" s="442"/>
      <c r="NS217" s="442"/>
      <c r="NT217" s="442"/>
      <c r="NU217" s="442"/>
      <c r="NV217" s="442"/>
      <c r="NW217" s="442"/>
      <c r="NX217" s="442"/>
      <c r="NY217" s="442"/>
      <c r="NZ217" s="442"/>
      <c r="OA217" s="442"/>
      <c r="OB217" s="442"/>
      <c r="OC217" s="442"/>
      <c r="OD217" s="442"/>
      <c r="OE217" s="442"/>
      <c r="OF217" s="442"/>
      <c r="OG217" s="442"/>
      <c r="OH217" s="442"/>
      <c r="OI217" s="442"/>
      <c r="OJ217" s="442"/>
      <c r="OK217" s="442"/>
      <c r="OL217" s="442"/>
      <c r="OM217" s="442"/>
      <c r="ON217" s="442"/>
      <c r="OO217" s="442"/>
      <c r="OP217" s="442"/>
      <c r="OQ217" s="442"/>
      <c r="OR217" s="442"/>
      <c r="OS217" s="442"/>
      <c r="OT217" s="442"/>
      <c r="OU217" s="442"/>
      <c r="OV217" s="442"/>
      <c r="OW217" s="442"/>
      <c r="OX217" s="442"/>
      <c r="OY217" s="442"/>
      <c r="OZ217" s="442"/>
      <c r="PA217" s="442"/>
      <c r="PB217" s="442"/>
      <c r="PC217" s="442"/>
      <c r="PD217" s="442"/>
      <c r="PE217" s="442"/>
      <c r="PF217" s="442"/>
      <c r="PG217" s="442"/>
      <c r="PH217" s="442"/>
    </row>
    <row r="218" spans="1:424" x14ac:dyDescent="0.35">
      <c r="A218"/>
      <c r="B218" s="497" t="s">
        <v>412</v>
      </c>
      <c r="C218" s="526"/>
      <c r="D218" s="526"/>
      <c r="E218" s="526"/>
      <c r="F218" s="526"/>
      <c r="G218" s="526"/>
      <c r="H218" s="526"/>
      <c r="I218" s="526"/>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s="405"/>
      <c r="EQ218" s="18"/>
      <c r="ER218" s="18"/>
      <c r="ES218" s="18"/>
      <c r="ET218" s="18" t="s">
        <v>387</v>
      </c>
      <c r="EU218" s="18"/>
      <c r="EV218" s="418">
        <f>(EV$197&lt;=Timing_Reversion_Month)*(EV214+EV215+EV200-EV216-EV217)</f>
        <v>76389582.872717112</v>
      </c>
      <c r="EW218" s="418">
        <f t="shared" ref="EW218:GA218" si="648">(EW$197&lt;=Timing_Reversion_Month)*(EW214+EW215+EW200-EW216-EW217)</f>
        <v>76319020.60374704</v>
      </c>
      <c r="EX218" s="418">
        <f t="shared" si="648"/>
        <v>76319020.60374704</v>
      </c>
      <c r="EY218" s="418">
        <f t="shared" si="648"/>
        <v>76266337.125516176</v>
      </c>
      <c r="EZ218" s="418">
        <f t="shared" si="648"/>
        <v>76192419.532628939</v>
      </c>
      <c r="FA218" s="418">
        <f t="shared" si="648"/>
        <v>76091821.907228976</v>
      </c>
      <c r="FB218" s="418">
        <f t="shared" si="648"/>
        <v>75959110.692382038</v>
      </c>
      <c r="FC218" s="418">
        <f t="shared" si="648"/>
        <v>75789539.561115608</v>
      </c>
      <c r="FD218" s="418">
        <f t="shared" si="648"/>
        <v>75579900.63411431</v>
      </c>
      <c r="FE218" s="418">
        <f t="shared" si="648"/>
        <v>75329468.350985989</v>
      </c>
      <c r="FF218" s="418">
        <f t="shared" si="648"/>
        <v>75040901.334523097</v>
      </c>
      <c r="FG218" s="418">
        <f t="shared" si="648"/>
        <v>74720929.978210613</v>
      </c>
      <c r="FH218" s="418">
        <f t="shared" si="648"/>
        <v>74380647.644237518</v>
      </c>
      <c r="FI218" s="418">
        <f t="shared" si="648"/>
        <v>76313480.298421651</v>
      </c>
      <c r="FJ218" s="418">
        <f t="shared" si="648"/>
        <v>85331629.018619195</v>
      </c>
      <c r="FK218" s="418">
        <f t="shared" si="648"/>
        <v>95231535.25874503</v>
      </c>
      <c r="FL218" s="418">
        <f t="shared" si="648"/>
        <v>105826476.42227101</v>
      </c>
      <c r="FM218" s="418">
        <f t="shared" si="648"/>
        <v>116995099.4363005</v>
      </c>
      <c r="FN218" s="418">
        <f t="shared" si="648"/>
        <v>128471534.92065407</v>
      </c>
      <c r="FO218" s="418">
        <f t="shared" si="648"/>
        <v>139972282.72813815</v>
      </c>
      <c r="FP218" s="418">
        <f t="shared" si="648"/>
        <v>151173084.92132294</v>
      </c>
      <c r="FQ218" s="418">
        <f t="shared" si="648"/>
        <v>161733486.73017851</v>
      </c>
      <c r="FR218" s="418">
        <f t="shared" si="648"/>
        <v>170740502.21889165</v>
      </c>
      <c r="FS218" s="418">
        <f t="shared" si="648"/>
        <v>178778475.08267695</v>
      </c>
      <c r="FT218" s="418">
        <f t="shared" si="648"/>
        <v>185782219.67818293</v>
      </c>
      <c r="FU218" s="418">
        <f t="shared" si="648"/>
        <v>191533070.96163434</v>
      </c>
      <c r="FV218" s="418">
        <f t="shared" si="648"/>
        <v>196299229.48816952</v>
      </c>
      <c r="FW218" s="418">
        <f t="shared" si="648"/>
        <v>200172434.88418299</v>
      </c>
      <c r="FX218" s="418">
        <f t="shared" si="648"/>
        <v>203095710.40469897</v>
      </c>
      <c r="FY218" s="418">
        <f t="shared" si="648"/>
        <v>205371720.49035701</v>
      </c>
      <c r="FZ218" s="418">
        <f t="shared" si="648"/>
        <v>208022459.93393275</v>
      </c>
      <c r="GA218" s="418">
        <f t="shared" si="648"/>
        <v>210618464.20429832</v>
      </c>
      <c r="GB218" s="418">
        <f t="shared" ref="GB218:HG218" si="649">(GB$197&lt;=Timing_Reversion_Month)*(GB214+GB215+GB200-GB216-GB217)</f>
        <v>212555756.6144</v>
      </c>
      <c r="GC218" s="418">
        <f t="shared" si="649"/>
        <v>214011540.88536635</v>
      </c>
      <c r="GD218" s="418">
        <f t="shared" si="649"/>
        <v>215094983.27941903</v>
      </c>
      <c r="GE218" s="418">
        <f t="shared" si="649"/>
        <v>215947341.94927955</v>
      </c>
      <c r="GF218" s="418">
        <f t="shared" si="649"/>
        <v>216648670.88274083</v>
      </c>
      <c r="GG218" s="418">
        <f t="shared" si="649"/>
        <v>216684536.36090487</v>
      </c>
      <c r="GH218" s="418">
        <f t="shared" si="649"/>
        <v>216520305.68039018</v>
      </c>
      <c r="GI218" s="418">
        <f t="shared" si="649"/>
        <v>216156018.91509619</v>
      </c>
      <c r="GJ218" s="418">
        <f t="shared" si="649"/>
        <v>215583638.77901652</v>
      </c>
      <c r="GK218" s="418">
        <f t="shared" si="649"/>
        <v>214810622.7771199</v>
      </c>
      <c r="GL218" s="418">
        <f t="shared" si="649"/>
        <v>213837011.6380403</v>
      </c>
      <c r="GM218" s="418">
        <f t="shared" si="649"/>
        <v>212657304.64435849</v>
      </c>
      <c r="GN218" s="418">
        <f t="shared" si="649"/>
        <v>211277084.63379696</v>
      </c>
      <c r="GO218" s="418">
        <f t="shared" si="649"/>
        <v>209696393.00042146</v>
      </c>
      <c r="GP218" s="418">
        <f t="shared" si="649"/>
        <v>207889047.6125156</v>
      </c>
      <c r="GQ218" s="418">
        <f t="shared" si="649"/>
        <v>205881314.0637953</v>
      </c>
      <c r="GR218" s="418">
        <f t="shared" si="649"/>
        <v>203673234.42462999</v>
      </c>
      <c r="GS218" s="418">
        <f t="shared" si="649"/>
        <v>201193956.57296321</v>
      </c>
      <c r="GT218" s="418">
        <f t="shared" si="649"/>
        <v>198722572.45471391</v>
      </c>
      <c r="GU218" s="418">
        <f t="shared" si="649"/>
        <v>196259124.8276048</v>
      </c>
      <c r="GV218" s="418">
        <f t="shared" si="649"/>
        <v>193797347.49346289</v>
      </c>
      <c r="GW218" s="418">
        <f t="shared" si="649"/>
        <v>191343592.86197403</v>
      </c>
      <c r="GX218" s="418">
        <f t="shared" si="649"/>
        <v>188897904.38944426</v>
      </c>
      <c r="GY218" s="418">
        <f t="shared" si="649"/>
        <v>186454590.14256793</v>
      </c>
      <c r="GZ218" s="418">
        <f t="shared" si="649"/>
        <v>184019429.67470276</v>
      </c>
      <c r="HA218" s="418">
        <f t="shared" si="649"/>
        <v>181592467.15215173</v>
      </c>
      <c r="HB218" s="418">
        <f t="shared" si="649"/>
        <v>179146605.39920196</v>
      </c>
      <c r="HC218" s="418">
        <f t="shared" si="649"/>
        <v>176709030.64317054</v>
      </c>
      <c r="HD218" s="418">
        <f t="shared" si="649"/>
        <v>174279787.77195746</v>
      </c>
      <c r="HE218" s="418">
        <f t="shared" si="649"/>
        <v>0</v>
      </c>
      <c r="HF218" s="418">
        <f t="shared" si="649"/>
        <v>0</v>
      </c>
      <c r="HG218" s="418">
        <f t="shared" si="649"/>
        <v>0</v>
      </c>
      <c r="HH218" s="418">
        <f t="shared" ref="HH218:IM218" si="650">(HH$197&lt;=Timing_Reversion_Month)*(HH214+HH215+HH200-HH216-HH217)</f>
        <v>0</v>
      </c>
      <c r="HI218" s="418">
        <f t="shared" si="650"/>
        <v>0</v>
      </c>
      <c r="HJ218" s="418">
        <f t="shared" si="650"/>
        <v>0</v>
      </c>
      <c r="HK218" s="418">
        <f t="shared" si="650"/>
        <v>0</v>
      </c>
      <c r="HL218" s="418">
        <f t="shared" si="650"/>
        <v>0</v>
      </c>
      <c r="HM218" s="418">
        <f t="shared" si="650"/>
        <v>0</v>
      </c>
      <c r="HN218" s="418">
        <f t="shared" si="650"/>
        <v>0</v>
      </c>
      <c r="HO218" s="418">
        <f t="shared" si="650"/>
        <v>0</v>
      </c>
      <c r="HP218" s="418">
        <f t="shared" si="650"/>
        <v>0</v>
      </c>
      <c r="HQ218" s="418">
        <f t="shared" si="650"/>
        <v>0</v>
      </c>
      <c r="HR218" s="418">
        <f t="shared" si="650"/>
        <v>0</v>
      </c>
      <c r="HS218" s="418">
        <f t="shared" si="650"/>
        <v>0</v>
      </c>
      <c r="HT218" s="418">
        <f t="shared" si="650"/>
        <v>0</v>
      </c>
      <c r="HU218" s="418">
        <f t="shared" si="650"/>
        <v>0</v>
      </c>
      <c r="HV218" s="418">
        <f t="shared" si="650"/>
        <v>0</v>
      </c>
      <c r="HW218" s="418">
        <f t="shared" si="650"/>
        <v>0</v>
      </c>
      <c r="HX218" s="418">
        <f t="shared" si="650"/>
        <v>0</v>
      </c>
      <c r="HY218" s="418">
        <f t="shared" si="650"/>
        <v>0</v>
      </c>
      <c r="HZ218" s="418">
        <f t="shared" si="650"/>
        <v>0</v>
      </c>
      <c r="IA218" s="418">
        <f t="shared" si="650"/>
        <v>0</v>
      </c>
      <c r="IB218" s="418">
        <f t="shared" si="650"/>
        <v>0</v>
      </c>
      <c r="IC218" s="418">
        <f t="shared" si="650"/>
        <v>0</v>
      </c>
      <c r="ID218" s="418">
        <f t="shared" si="650"/>
        <v>0</v>
      </c>
      <c r="IE218" s="418">
        <f t="shared" si="650"/>
        <v>0</v>
      </c>
      <c r="IF218" s="418">
        <f t="shared" si="650"/>
        <v>0</v>
      </c>
      <c r="IG218" s="418">
        <f t="shared" si="650"/>
        <v>0</v>
      </c>
      <c r="IH218" s="418">
        <f t="shared" si="650"/>
        <v>0</v>
      </c>
      <c r="II218" s="418">
        <f t="shared" si="650"/>
        <v>0</v>
      </c>
      <c r="IJ218" s="418">
        <f t="shared" si="650"/>
        <v>0</v>
      </c>
      <c r="IK218" s="418">
        <f t="shared" si="650"/>
        <v>0</v>
      </c>
      <c r="IL218" s="418">
        <f t="shared" si="650"/>
        <v>0</v>
      </c>
      <c r="IM218" s="418">
        <f t="shared" si="650"/>
        <v>0</v>
      </c>
      <c r="IN218" s="418">
        <f t="shared" ref="IN218:JS218" si="651">(IN$197&lt;=Timing_Reversion_Month)*(IN214+IN215+IN200-IN216-IN217)</f>
        <v>0</v>
      </c>
      <c r="IO218" s="418">
        <f t="shared" si="651"/>
        <v>0</v>
      </c>
      <c r="IP218" s="418">
        <f t="shared" si="651"/>
        <v>0</v>
      </c>
      <c r="IQ218" s="418">
        <f t="shared" si="651"/>
        <v>0</v>
      </c>
      <c r="IR218" s="418">
        <f t="shared" si="651"/>
        <v>0</v>
      </c>
      <c r="IS218" s="418">
        <f t="shared" si="651"/>
        <v>0</v>
      </c>
      <c r="IT218" s="418">
        <f t="shared" si="651"/>
        <v>0</v>
      </c>
      <c r="IU218" s="418">
        <f t="shared" si="651"/>
        <v>0</v>
      </c>
      <c r="IV218" s="418">
        <f t="shared" si="651"/>
        <v>0</v>
      </c>
      <c r="IW218" s="418">
        <f t="shared" si="651"/>
        <v>0</v>
      </c>
      <c r="IX218" s="418">
        <f t="shared" si="651"/>
        <v>0</v>
      </c>
      <c r="IY218" s="418">
        <f t="shared" si="651"/>
        <v>0</v>
      </c>
      <c r="IZ218" s="418">
        <f t="shared" si="651"/>
        <v>0</v>
      </c>
      <c r="JA218" s="418">
        <f t="shared" si="651"/>
        <v>0</v>
      </c>
      <c r="JB218" s="418">
        <f t="shared" si="651"/>
        <v>0</v>
      </c>
      <c r="JC218" s="418">
        <f t="shared" si="651"/>
        <v>0</v>
      </c>
      <c r="JD218" s="418">
        <f t="shared" si="651"/>
        <v>0</v>
      </c>
      <c r="JE218" s="418">
        <f t="shared" si="651"/>
        <v>0</v>
      </c>
      <c r="JF218" s="418">
        <f t="shared" si="651"/>
        <v>0</v>
      </c>
      <c r="JG218" s="418">
        <f t="shared" si="651"/>
        <v>0</v>
      </c>
      <c r="JH218" s="418">
        <f t="shared" si="651"/>
        <v>0</v>
      </c>
      <c r="JI218" s="418">
        <f t="shared" si="651"/>
        <v>0</v>
      </c>
      <c r="JJ218" s="418">
        <f t="shared" si="651"/>
        <v>0</v>
      </c>
      <c r="JK218" s="418">
        <f t="shared" si="651"/>
        <v>0</v>
      </c>
      <c r="JL218" s="418">
        <f t="shared" si="651"/>
        <v>0</v>
      </c>
      <c r="JM218" s="418">
        <f t="shared" si="651"/>
        <v>0</v>
      </c>
      <c r="JN218" s="418">
        <f t="shared" si="651"/>
        <v>0</v>
      </c>
      <c r="JO218" s="418">
        <f t="shared" si="651"/>
        <v>0</v>
      </c>
      <c r="JP218" s="418">
        <f t="shared" si="651"/>
        <v>0</v>
      </c>
      <c r="JQ218" s="418">
        <f t="shared" si="651"/>
        <v>0</v>
      </c>
      <c r="JR218" s="418">
        <f t="shared" si="651"/>
        <v>0</v>
      </c>
      <c r="JS218" s="418">
        <f t="shared" si="651"/>
        <v>0</v>
      </c>
      <c r="JT218" s="418">
        <f>(JT$197&lt;=Timing_Reversion_Month)*(JT214+JT215+JT200-JT216-JT217)</f>
        <v>0</v>
      </c>
      <c r="JU218" s="418">
        <f>(JU$197&lt;=Timing_Reversion_Month)*(JU214+JU215+JU200-JU216-JU217)</f>
        <v>0</v>
      </c>
      <c r="JV218" s="418">
        <f>(JV$197&lt;=Timing_Reversion_Month)*(JV214+JV215+JV200-JV216-JV217)</f>
        <v>0</v>
      </c>
      <c r="JW218" s="418">
        <f>(JW$197&lt;=Timing_Reversion_Month)*(JW214+JW215+JW200-JW216-JW217)</f>
        <v>0</v>
      </c>
      <c r="JX218" s="418">
        <f>(JX$197&lt;=Timing_Reversion_Month)*(JX214+JX215+JX200-JX216-JX217)</f>
        <v>0</v>
      </c>
      <c r="JY218"/>
      <c r="JZ218" s="262"/>
      <c r="KA218" s="262"/>
      <c r="KB218" s="262"/>
      <c r="KC218" s="262"/>
      <c r="KD218" s="262"/>
      <c r="KE218" s="262"/>
      <c r="KF218" s="262"/>
      <c r="KG218" s="262"/>
      <c r="KH218" s="262"/>
      <c r="KI218" s="262"/>
      <c r="KJ218" s="262"/>
      <c r="KK218" s="262"/>
      <c r="KL218" s="262"/>
      <c r="KM218" s="262"/>
      <c r="KN218" s="262"/>
      <c r="KO218" s="262"/>
      <c r="KP218" s="262"/>
      <c r="KQ218" s="262"/>
      <c r="KR218" s="262"/>
      <c r="KS218" s="262"/>
      <c r="KT218" s="262"/>
      <c r="KU218" s="262"/>
      <c r="KV218" s="262"/>
      <c r="KW218" s="262"/>
      <c r="KX218" s="262"/>
      <c r="KY218" s="262"/>
      <c r="KZ218" s="262"/>
      <c r="LA218" s="262"/>
      <c r="LB218" s="262"/>
      <c r="LC218" s="262"/>
      <c r="LD218" s="262"/>
      <c r="LE218" s="262"/>
      <c r="LF218" s="262"/>
      <c r="LG218" s="262"/>
      <c r="LH218" s="262"/>
      <c r="LI218" s="262"/>
      <c r="LJ218" s="262"/>
      <c r="LK218" s="262"/>
      <c r="LL218" s="262"/>
      <c r="LM218" s="262"/>
      <c r="LN218" s="262"/>
      <c r="LO218" s="262"/>
      <c r="LP218" s="262"/>
      <c r="LQ218" s="262"/>
      <c r="LR218" s="262"/>
      <c r="LS218" s="262"/>
      <c r="LT218" s="262"/>
      <c r="LU218" s="262"/>
      <c r="LV218" s="262"/>
      <c r="LW218" s="262"/>
      <c r="LX218" s="262"/>
      <c r="LY218" s="262"/>
      <c r="LZ218" s="262"/>
      <c r="MA218" s="262"/>
      <c r="MB218" s="262"/>
      <c r="MC218" s="262"/>
      <c r="MD218" s="262"/>
      <c r="ME218" s="262"/>
      <c r="MF218" s="262"/>
      <c r="MG218" s="262"/>
      <c r="MH218" s="262"/>
      <c r="MI218" s="262"/>
      <c r="MJ218" s="262"/>
      <c r="MK218" s="262"/>
      <c r="ML218" s="262"/>
      <c r="MM218" s="262"/>
      <c r="MN218" s="262"/>
      <c r="MO218" s="262"/>
      <c r="MP218" s="262"/>
      <c r="MQ218" s="262"/>
      <c r="MR218" s="262"/>
      <c r="MS218" s="262"/>
      <c r="MT218" s="262"/>
      <c r="MU218" s="262"/>
      <c r="MV218" s="262"/>
      <c r="MW218" s="262"/>
      <c r="MX218" s="262"/>
      <c r="MY218" s="262"/>
      <c r="MZ218" s="262"/>
      <c r="NA218" s="262"/>
      <c r="NB218" s="262"/>
      <c r="NC218" s="262"/>
      <c r="ND218" s="262"/>
      <c r="NE218" s="262"/>
      <c r="NF218" s="262"/>
      <c r="NG218" s="262"/>
      <c r="NH218" s="262"/>
      <c r="NI218" s="262"/>
      <c r="NJ218" s="262"/>
      <c r="NK218" s="262"/>
      <c r="NL218" s="262"/>
      <c r="NM218" s="262"/>
      <c r="NN218" s="262"/>
      <c r="NO218" s="262"/>
      <c r="NP218" s="262"/>
      <c r="NQ218" s="262"/>
      <c r="NR218" s="262"/>
      <c r="NS218" s="262"/>
      <c r="NT218" s="262"/>
      <c r="NU218" s="262"/>
      <c r="NV218" s="262"/>
      <c r="NW218" s="262"/>
      <c r="NX218" s="262"/>
      <c r="NY218" s="262"/>
      <c r="NZ218" s="262"/>
      <c r="OA218" s="262"/>
      <c r="OB218" s="262"/>
      <c r="OC218" s="262"/>
      <c r="OD218" s="262"/>
      <c r="OE218" s="262"/>
      <c r="OF218" s="262"/>
      <c r="OG218" s="262"/>
      <c r="OH218" s="262"/>
      <c r="OI218" s="262"/>
      <c r="OJ218" s="262"/>
      <c r="OK218" s="262"/>
      <c r="OL218" s="262"/>
      <c r="OM218" s="262"/>
      <c r="ON218" s="262"/>
      <c r="OO218" s="262"/>
      <c r="OP218" s="262"/>
      <c r="OQ218" s="262"/>
      <c r="OR218" s="262"/>
      <c r="OS218" s="262"/>
      <c r="OT218" s="262"/>
      <c r="OU218" s="262"/>
      <c r="OV218" s="262"/>
      <c r="OW218" s="262"/>
      <c r="OX218" s="262"/>
      <c r="OY218" s="262"/>
      <c r="OZ218" s="262"/>
      <c r="PA218" s="262"/>
      <c r="PB218" s="262"/>
      <c r="PC218" s="262"/>
      <c r="PD218" s="262"/>
      <c r="PE218" s="262"/>
      <c r="PF218" s="262"/>
      <c r="PG218" s="262"/>
      <c r="PH218" s="262"/>
    </row>
    <row r="219" spans="1:424" x14ac:dyDescent="0.35">
      <c r="A219"/>
      <c r="B219" s="34"/>
      <c r="C219" s="400"/>
      <c r="D219" s="400"/>
      <c r="E219" s="400"/>
      <c r="F219" s="400"/>
      <c r="G219" s="400"/>
      <c r="H219" s="400"/>
      <c r="I219" s="400"/>
      <c r="J219"/>
      <c r="K219"/>
      <c r="L219" s="196"/>
      <c r="M219" s="196"/>
      <c r="N219" s="196"/>
      <c r="O219" s="196"/>
      <c r="P219" s="196"/>
      <c r="Q219" s="196"/>
      <c r="R219" s="196"/>
      <c r="S219" s="196"/>
      <c r="T219" s="196"/>
      <c r="U219" s="196"/>
      <c r="V219" s="196"/>
      <c r="W219" s="196"/>
      <c r="X219" s="196"/>
      <c r="Y219" s="196"/>
      <c r="Z219" s="196"/>
      <c r="AA219" s="196"/>
      <c r="AB219" s="196"/>
      <c r="AC219" s="196"/>
      <c r="AD219" s="196"/>
      <c r="AE219" s="196"/>
      <c r="AF219" s="196"/>
      <c r="AG219" s="196"/>
      <c r="AH219" s="196"/>
      <c r="AI219" s="196"/>
      <c r="AJ219" s="196"/>
      <c r="AK219" s="196"/>
      <c r="AL219" s="196"/>
      <c r="AM219" s="196"/>
      <c r="AN219" s="196"/>
      <c r="AO219" s="196"/>
      <c r="AP219" s="196"/>
      <c r="AQ219" s="196"/>
      <c r="AR219" s="196"/>
      <c r="AS219" s="196"/>
      <c r="AT219" s="196"/>
      <c r="AU219" s="196"/>
      <c r="AV219" s="196"/>
      <c r="AW219" s="196"/>
      <c r="AX219" s="196"/>
      <c r="AY219" s="196"/>
      <c r="AZ219" s="196"/>
      <c r="BA219" s="196"/>
      <c r="BB219" s="196"/>
      <c r="BC219" s="196"/>
      <c r="BD219" s="196"/>
      <c r="BE219" s="196"/>
      <c r="BF219" s="196"/>
      <c r="BG219" s="196"/>
      <c r="BH219" s="196"/>
      <c r="BI219" s="196"/>
      <c r="BJ219" s="196"/>
      <c r="BK219" s="196"/>
      <c r="BL219" s="196"/>
      <c r="BM219" s="196"/>
      <c r="BN219" s="196"/>
      <c r="BO219" s="196"/>
      <c r="BP219" s="196"/>
      <c r="BQ219" s="196"/>
      <c r="BR219" s="196"/>
      <c r="BS219" s="196"/>
      <c r="BT219" s="196"/>
      <c r="BU219" s="196"/>
      <c r="BV219" s="196"/>
      <c r="BW219" s="196"/>
      <c r="BX219" s="196"/>
      <c r="BY219" s="196"/>
      <c r="BZ219" s="196"/>
      <c r="CA219" s="196"/>
      <c r="CB219" s="196"/>
      <c r="CC219" s="196"/>
      <c r="CD219" s="196"/>
      <c r="CE219" s="196"/>
      <c r="CF219" s="196"/>
      <c r="CG219" s="196"/>
      <c r="CH219" s="196"/>
      <c r="CI219" s="196"/>
      <c r="CJ219" s="196"/>
      <c r="CK219" s="196"/>
      <c r="CL219" s="196"/>
      <c r="CM219" s="196"/>
      <c r="CN219" s="196"/>
      <c r="CO219" s="196"/>
      <c r="CP219" s="196"/>
      <c r="CQ219" s="196"/>
      <c r="CR219" s="196"/>
      <c r="CS219" s="196"/>
      <c r="CT219" s="196"/>
      <c r="CU219" s="196"/>
      <c r="CV219" s="196"/>
      <c r="CW219" s="196"/>
      <c r="CX219" s="196"/>
      <c r="CY219" s="196"/>
      <c r="CZ219" s="196"/>
      <c r="DA219" s="196"/>
      <c r="DB219" s="196"/>
      <c r="DC219" s="196"/>
      <c r="DD219" s="196"/>
      <c r="DE219" s="196"/>
      <c r="DF219" s="196"/>
      <c r="DG219" s="196"/>
      <c r="DH219" s="196"/>
      <c r="DI219" s="196"/>
      <c r="DJ219" s="196"/>
      <c r="DK219" s="196"/>
      <c r="DL219" s="196"/>
      <c r="DM219" s="196"/>
      <c r="DN219" s="196"/>
      <c r="DO219" s="196"/>
      <c r="DP219" s="196"/>
      <c r="DQ219" s="196"/>
      <c r="DR219" s="196"/>
      <c r="DS219" s="196"/>
      <c r="DT219" s="196"/>
      <c r="DU219" s="196"/>
      <c r="DV219" s="196"/>
      <c r="DW219" s="196"/>
      <c r="DX219" s="196"/>
      <c r="DY219" s="196"/>
      <c r="DZ219" s="196"/>
      <c r="EA219" s="196"/>
      <c r="EB219" s="196"/>
      <c r="EC219" s="196"/>
      <c r="ED219" s="196"/>
      <c r="EE219" s="196"/>
      <c r="EF219" s="196"/>
      <c r="EG219" s="196"/>
      <c r="EH219" s="196"/>
      <c r="EI219" s="196"/>
      <c r="EJ219" s="196"/>
      <c r="EK219" s="196"/>
      <c r="EL219" s="196"/>
      <c r="EM219" s="196"/>
      <c r="EN219" s="196"/>
      <c r="EO219"/>
      <c r="EP219" s="405"/>
      <c r="EQ219" s="18"/>
      <c r="ER219" s="18"/>
      <c r="ES219" s="18" t="s">
        <v>389</v>
      </c>
      <c r="ET219" s="304">
        <f>IFERROR(XIRR($EV219:INDEX($EV219:$PH219,1,Timing_Reversion_Month+1),$EV$24:INDEX($EV$24:$PH$24,1,Timing_Reversion_Month+1)),"")</f>
        <v>2.9802322387695314E-9</v>
      </c>
      <c r="EU219" s="18"/>
      <c r="EV219" s="418">
        <f>+-EV200+EV216+EV217</f>
        <v>-76389582.872717112</v>
      </c>
      <c r="EW219" s="418">
        <f t="shared" ref="EW219:GA219" si="652">+-EW200+EW216+EW217</f>
        <v>70562.268970067496</v>
      </c>
      <c r="EX219" s="418">
        <f t="shared" si="652"/>
        <v>0</v>
      </c>
      <c r="EY219" s="418">
        <f t="shared" si="652"/>
        <v>52683.47823085892</v>
      </c>
      <c r="EZ219" s="418">
        <f t="shared" si="652"/>
        <v>73917.592887241393</v>
      </c>
      <c r="FA219" s="418">
        <f t="shared" si="652"/>
        <v>100597.62539995834</v>
      </c>
      <c r="FB219" s="418">
        <f t="shared" si="652"/>
        <v>132711.21484693745</v>
      </c>
      <c r="FC219" s="418">
        <f t="shared" si="652"/>
        <v>169571.13126643002</v>
      </c>
      <c r="FD219" s="418">
        <f t="shared" si="652"/>
        <v>209638.92700129561</v>
      </c>
      <c r="FE219" s="418">
        <f t="shared" si="652"/>
        <v>250432.28312832303</v>
      </c>
      <c r="FF219" s="418">
        <f t="shared" si="652"/>
        <v>288567.01646289043</v>
      </c>
      <c r="FG219" s="418">
        <f t="shared" si="652"/>
        <v>319971.35631248169</v>
      </c>
      <c r="FH219" s="418">
        <f t="shared" si="652"/>
        <v>340282.33397308737</v>
      </c>
      <c r="FI219" s="418">
        <f t="shared" si="652"/>
        <v>-1932832.6541841328</v>
      </c>
      <c r="FJ219" s="418">
        <f t="shared" si="652"/>
        <v>-9018148.7201975472</v>
      </c>
      <c r="FK219" s="418">
        <f t="shared" si="652"/>
        <v>-9899906.2401258312</v>
      </c>
      <c r="FL219" s="418">
        <f t="shared" si="652"/>
        <v>-10594941.16352598</v>
      </c>
      <c r="FM219" s="418">
        <f t="shared" si="652"/>
        <v>-11168623.014029484</v>
      </c>
      <c r="FN219" s="418">
        <f t="shared" si="652"/>
        <v>-11476435.484353572</v>
      </c>
      <c r="FO219" s="418">
        <f t="shared" si="652"/>
        <v>-11500747.807484064</v>
      </c>
      <c r="FP219" s="418">
        <f t="shared" si="652"/>
        <v>-11200802.193184778</v>
      </c>
      <c r="FQ219" s="418">
        <f t="shared" si="652"/>
        <v>-10560401.808855567</v>
      </c>
      <c r="FR219" s="418">
        <f t="shared" si="652"/>
        <v>-9007015.4887131397</v>
      </c>
      <c r="FS219" s="418">
        <f t="shared" si="652"/>
        <v>-8037972.8637852902</v>
      </c>
      <c r="FT219" s="418">
        <f t="shared" si="652"/>
        <v>-7003744.5955059687</v>
      </c>
      <c r="FU219" s="418">
        <f t="shared" si="652"/>
        <v>-5750851.2834514072</v>
      </c>
      <c r="FV219" s="418">
        <f t="shared" si="652"/>
        <v>-4766158.5265351916</v>
      </c>
      <c r="FW219" s="418">
        <f t="shared" si="652"/>
        <v>-3873205.3960134638</v>
      </c>
      <c r="FX219" s="418">
        <f t="shared" si="652"/>
        <v>-2923275.520515983</v>
      </c>
      <c r="FY219" s="418">
        <f t="shared" si="652"/>
        <v>-2276010.0856580529</v>
      </c>
      <c r="FZ219" s="418">
        <f t="shared" si="652"/>
        <v>-2650739.4435757259</v>
      </c>
      <c r="GA219" s="418">
        <f t="shared" si="652"/>
        <v>-2596004.2703655614</v>
      </c>
      <c r="GB219" s="418">
        <f t="shared" ref="GB219:HG219" si="653">+-GB200+GB216+GB217</f>
        <v>-1937292.4101016719</v>
      </c>
      <c r="GC219" s="418">
        <f t="shared" si="653"/>
        <v>-1455784.2709663643</v>
      </c>
      <c r="GD219" s="418">
        <f t="shared" si="653"/>
        <v>-1083442.3940526801</v>
      </c>
      <c r="GE219" s="418">
        <f t="shared" si="653"/>
        <v>-852358.66986050736</v>
      </c>
      <c r="GF219" s="418">
        <f t="shared" si="653"/>
        <v>-701328.93346127542</v>
      </c>
      <c r="GG219" s="418">
        <f t="shared" si="653"/>
        <v>-35865.47816403769</v>
      </c>
      <c r="GH219" s="418">
        <f t="shared" si="653"/>
        <v>164230.6805146893</v>
      </c>
      <c r="GI219" s="418">
        <f t="shared" si="653"/>
        <v>364286.76529399911</v>
      </c>
      <c r="GJ219" s="418">
        <f t="shared" si="653"/>
        <v>572380.13607966923</v>
      </c>
      <c r="GK219" s="418">
        <f t="shared" si="653"/>
        <v>773016.00189663284</v>
      </c>
      <c r="GL219" s="418">
        <f t="shared" si="653"/>
        <v>973611.13907960732</v>
      </c>
      <c r="GM219" s="418">
        <f t="shared" si="653"/>
        <v>1179706.9936818241</v>
      </c>
      <c r="GN219" s="418">
        <f t="shared" si="653"/>
        <v>1380220.010561527</v>
      </c>
      <c r="GO219" s="418">
        <f t="shared" si="653"/>
        <v>1580691.6333754973</v>
      </c>
      <c r="GP219" s="418">
        <f t="shared" si="653"/>
        <v>1807345.3879058782</v>
      </c>
      <c r="GQ219" s="418">
        <f t="shared" si="653"/>
        <v>2007733.5487203011</v>
      </c>
      <c r="GR219" s="418">
        <f t="shared" si="653"/>
        <v>2208079.6391653027</v>
      </c>
      <c r="GS219" s="418">
        <f t="shared" si="653"/>
        <v>2479277.8516667918</v>
      </c>
      <c r="GT219" s="418">
        <f t="shared" si="653"/>
        <v>2471384.1182492906</v>
      </c>
      <c r="GU219" s="418">
        <f t="shared" si="653"/>
        <v>2463447.6271091113</v>
      </c>
      <c r="GV219" s="418">
        <f t="shared" si="653"/>
        <v>2461777.3341419231</v>
      </c>
      <c r="GW219" s="418">
        <f t="shared" si="653"/>
        <v>2453754.6314888708</v>
      </c>
      <c r="GX219" s="418">
        <f t="shared" si="653"/>
        <v>2445688.4725297811</v>
      </c>
      <c r="GY219" s="418">
        <f t="shared" si="653"/>
        <v>2443314.2468763296</v>
      </c>
      <c r="GZ219" s="418">
        <f t="shared" si="653"/>
        <v>2435160.4678651718</v>
      </c>
      <c r="HA219" s="418">
        <f t="shared" si="653"/>
        <v>2426962.5225510374</v>
      </c>
      <c r="HB219" s="418">
        <f t="shared" si="653"/>
        <v>2445861.752949785</v>
      </c>
      <c r="HC219" s="418">
        <f t="shared" si="653"/>
        <v>2437574.756031421</v>
      </c>
      <c r="HD219" s="418">
        <f t="shared" si="653"/>
        <v>2429242.8712130822</v>
      </c>
      <c r="HE219" s="418">
        <f t="shared" si="653"/>
        <v>174279787.77195746</v>
      </c>
      <c r="HF219" s="418">
        <f t="shared" si="653"/>
        <v>0</v>
      </c>
      <c r="HG219" s="418">
        <f t="shared" si="653"/>
        <v>0</v>
      </c>
      <c r="HH219" s="418">
        <f t="shared" ref="HH219:IM219" si="654">+-HH200+HH216+HH217</f>
        <v>0</v>
      </c>
      <c r="HI219" s="418">
        <f t="shared" si="654"/>
        <v>0</v>
      </c>
      <c r="HJ219" s="418">
        <f t="shared" si="654"/>
        <v>0</v>
      </c>
      <c r="HK219" s="418">
        <f t="shared" si="654"/>
        <v>0</v>
      </c>
      <c r="HL219" s="418">
        <f t="shared" si="654"/>
        <v>0</v>
      </c>
      <c r="HM219" s="418">
        <f t="shared" si="654"/>
        <v>0</v>
      </c>
      <c r="HN219" s="418">
        <f t="shared" si="654"/>
        <v>0</v>
      </c>
      <c r="HO219" s="418">
        <f t="shared" si="654"/>
        <v>0</v>
      </c>
      <c r="HP219" s="418">
        <f t="shared" si="654"/>
        <v>0</v>
      </c>
      <c r="HQ219" s="418">
        <f t="shared" si="654"/>
        <v>0</v>
      </c>
      <c r="HR219" s="418">
        <f t="shared" si="654"/>
        <v>0</v>
      </c>
      <c r="HS219" s="418">
        <f t="shared" si="654"/>
        <v>0</v>
      </c>
      <c r="HT219" s="418">
        <f t="shared" si="654"/>
        <v>0</v>
      </c>
      <c r="HU219" s="418">
        <f t="shared" si="654"/>
        <v>0</v>
      </c>
      <c r="HV219" s="418">
        <f t="shared" si="654"/>
        <v>0</v>
      </c>
      <c r="HW219" s="418">
        <f t="shared" si="654"/>
        <v>0</v>
      </c>
      <c r="HX219" s="418">
        <f t="shared" si="654"/>
        <v>0</v>
      </c>
      <c r="HY219" s="418">
        <f t="shared" si="654"/>
        <v>0</v>
      </c>
      <c r="HZ219" s="418">
        <f t="shared" si="654"/>
        <v>0</v>
      </c>
      <c r="IA219" s="418">
        <f t="shared" si="654"/>
        <v>0</v>
      </c>
      <c r="IB219" s="418">
        <f t="shared" si="654"/>
        <v>0</v>
      </c>
      <c r="IC219" s="418">
        <f t="shared" si="654"/>
        <v>0</v>
      </c>
      <c r="ID219" s="418">
        <f t="shared" si="654"/>
        <v>0</v>
      </c>
      <c r="IE219" s="418">
        <f t="shared" si="654"/>
        <v>0</v>
      </c>
      <c r="IF219" s="418">
        <f t="shared" si="654"/>
        <v>0</v>
      </c>
      <c r="IG219" s="418">
        <f t="shared" si="654"/>
        <v>0</v>
      </c>
      <c r="IH219" s="418">
        <f t="shared" si="654"/>
        <v>0</v>
      </c>
      <c r="II219" s="418">
        <f t="shared" si="654"/>
        <v>0</v>
      </c>
      <c r="IJ219" s="418">
        <f t="shared" si="654"/>
        <v>0</v>
      </c>
      <c r="IK219" s="418">
        <f t="shared" si="654"/>
        <v>0</v>
      </c>
      <c r="IL219" s="418">
        <f t="shared" si="654"/>
        <v>0</v>
      </c>
      <c r="IM219" s="418">
        <f t="shared" si="654"/>
        <v>0</v>
      </c>
      <c r="IN219" s="418">
        <f t="shared" ref="IN219:JX219" si="655">+-IN200+IN216+IN217</f>
        <v>0</v>
      </c>
      <c r="IO219" s="418">
        <f t="shared" si="655"/>
        <v>0</v>
      </c>
      <c r="IP219" s="418">
        <f t="shared" si="655"/>
        <v>0</v>
      </c>
      <c r="IQ219" s="418">
        <f t="shared" si="655"/>
        <v>0</v>
      </c>
      <c r="IR219" s="418">
        <f t="shared" si="655"/>
        <v>0</v>
      </c>
      <c r="IS219" s="418">
        <f t="shared" si="655"/>
        <v>0</v>
      </c>
      <c r="IT219" s="418">
        <f t="shared" si="655"/>
        <v>0</v>
      </c>
      <c r="IU219" s="418">
        <f t="shared" si="655"/>
        <v>0</v>
      </c>
      <c r="IV219" s="418">
        <f t="shared" si="655"/>
        <v>0</v>
      </c>
      <c r="IW219" s="418">
        <f t="shared" si="655"/>
        <v>0</v>
      </c>
      <c r="IX219" s="418">
        <f t="shared" si="655"/>
        <v>0</v>
      </c>
      <c r="IY219" s="418">
        <f t="shared" si="655"/>
        <v>0</v>
      </c>
      <c r="IZ219" s="418">
        <f t="shared" si="655"/>
        <v>0</v>
      </c>
      <c r="JA219" s="418">
        <f t="shared" si="655"/>
        <v>0</v>
      </c>
      <c r="JB219" s="418">
        <f t="shared" si="655"/>
        <v>0</v>
      </c>
      <c r="JC219" s="418">
        <f t="shared" si="655"/>
        <v>0</v>
      </c>
      <c r="JD219" s="418">
        <f t="shared" si="655"/>
        <v>0</v>
      </c>
      <c r="JE219" s="418">
        <f t="shared" si="655"/>
        <v>0</v>
      </c>
      <c r="JF219" s="418">
        <f t="shared" si="655"/>
        <v>0</v>
      </c>
      <c r="JG219" s="418">
        <f t="shared" si="655"/>
        <v>0</v>
      </c>
      <c r="JH219" s="418">
        <f t="shared" si="655"/>
        <v>0</v>
      </c>
      <c r="JI219" s="418">
        <f t="shared" si="655"/>
        <v>0</v>
      </c>
      <c r="JJ219" s="418">
        <f t="shared" si="655"/>
        <v>0</v>
      </c>
      <c r="JK219" s="418">
        <f t="shared" si="655"/>
        <v>0</v>
      </c>
      <c r="JL219" s="418">
        <f t="shared" si="655"/>
        <v>0</v>
      </c>
      <c r="JM219" s="418">
        <f t="shared" si="655"/>
        <v>0</v>
      </c>
      <c r="JN219" s="418">
        <f t="shared" si="655"/>
        <v>0</v>
      </c>
      <c r="JO219" s="418">
        <f t="shared" si="655"/>
        <v>0</v>
      </c>
      <c r="JP219" s="418">
        <f t="shared" si="655"/>
        <v>0</v>
      </c>
      <c r="JQ219" s="418">
        <f t="shared" si="655"/>
        <v>0</v>
      </c>
      <c r="JR219" s="418">
        <f t="shared" si="655"/>
        <v>0</v>
      </c>
      <c r="JS219" s="418">
        <f t="shared" si="655"/>
        <v>0</v>
      </c>
      <c r="JT219" s="418">
        <f t="shared" si="655"/>
        <v>0</v>
      </c>
      <c r="JU219" s="418">
        <f t="shared" si="655"/>
        <v>0</v>
      </c>
      <c r="JV219" s="418">
        <f t="shared" si="655"/>
        <v>0</v>
      </c>
      <c r="JW219" s="418">
        <f t="shared" si="655"/>
        <v>0</v>
      </c>
      <c r="JX219" s="418">
        <f t="shared" si="655"/>
        <v>0</v>
      </c>
      <c r="JY219"/>
      <c r="JZ219" s="262"/>
      <c r="KA219" s="262"/>
      <c r="KB219" s="262"/>
      <c r="KC219" s="262"/>
      <c r="KD219" s="262"/>
      <c r="KE219" s="262"/>
      <c r="KF219" s="262"/>
      <c r="KG219" s="262"/>
      <c r="KH219" s="262"/>
      <c r="KI219" s="262"/>
      <c r="KJ219" s="262"/>
      <c r="KK219" s="262"/>
      <c r="KL219" s="262"/>
      <c r="KM219" s="262"/>
      <c r="KN219" s="262"/>
      <c r="KO219" s="262"/>
      <c r="KP219" s="262"/>
      <c r="KQ219" s="262"/>
      <c r="KR219" s="262"/>
      <c r="KS219" s="262"/>
      <c r="KT219" s="262"/>
      <c r="KU219" s="262"/>
      <c r="KV219" s="262"/>
      <c r="KW219" s="262"/>
      <c r="KX219" s="262"/>
      <c r="KY219" s="262"/>
      <c r="KZ219" s="262"/>
      <c r="LA219" s="262"/>
      <c r="LB219" s="262"/>
      <c r="LC219" s="262"/>
      <c r="LD219" s="262"/>
      <c r="LE219" s="262"/>
      <c r="LF219" s="262"/>
      <c r="LG219" s="262"/>
      <c r="LH219" s="262"/>
      <c r="LI219" s="262"/>
      <c r="LJ219" s="262"/>
      <c r="LK219" s="262"/>
      <c r="LL219" s="262"/>
      <c r="LM219" s="262"/>
      <c r="LN219" s="262"/>
      <c r="LO219" s="262"/>
      <c r="LP219" s="262"/>
      <c r="LQ219" s="262"/>
      <c r="LR219" s="262"/>
      <c r="LS219" s="262"/>
      <c r="LT219" s="262"/>
      <c r="LU219" s="262"/>
      <c r="LV219" s="262"/>
      <c r="LW219" s="262"/>
      <c r="LX219" s="262"/>
      <c r="LY219" s="262"/>
      <c r="LZ219" s="262"/>
      <c r="MA219" s="262"/>
      <c r="MB219" s="262"/>
      <c r="MC219" s="262"/>
      <c r="MD219" s="262"/>
      <c r="ME219" s="262"/>
      <c r="MF219" s="262"/>
      <c r="MG219" s="262"/>
      <c r="MH219" s="262"/>
      <c r="MI219" s="262"/>
      <c r="MJ219" s="262"/>
      <c r="MK219" s="262"/>
      <c r="ML219" s="262"/>
      <c r="MM219" s="262"/>
      <c r="MN219" s="262"/>
      <c r="MO219" s="262"/>
      <c r="MP219" s="262"/>
      <c r="MQ219" s="262"/>
      <c r="MR219" s="262"/>
      <c r="MS219" s="262"/>
      <c r="MT219" s="262"/>
      <c r="MU219" s="262"/>
      <c r="MV219" s="262"/>
      <c r="MW219" s="262"/>
      <c r="MX219" s="262"/>
      <c r="MY219" s="262"/>
      <c r="MZ219" s="262"/>
      <c r="NA219" s="262"/>
      <c r="NB219" s="262"/>
      <c r="NC219" s="262"/>
      <c r="ND219" s="262"/>
      <c r="NE219" s="262"/>
      <c r="NF219" s="262"/>
      <c r="NG219" s="262"/>
      <c r="NH219" s="262"/>
      <c r="NI219" s="262"/>
      <c r="NJ219" s="262"/>
      <c r="NK219" s="262"/>
      <c r="NL219" s="262"/>
      <c r="NM219" s="262"/>
      <c r="NN219" s="262"/>
      <c r="NO219" s="262"/>
      <c r="NP219" s="262"/>
      <c r="NQ219" s="262"/>
      <c r="NR219" s="262"/>
      <c r="NS219" s="262"/>
      <c r="NT219" s="262"/>
      <c r="NU219" s="262"/>
      <c r="NV219" s="262"/>
      <c r="NW219" s="262"/>
      <c r="NX219" s="262"/>
      <c r="NY219" s="262"/>
      <c r="NZ219" s="262"/>
      <c r="OA219" s="262"/>
      <c r="OB219" s="262"/>
      <c r="OC219" s="262"/>
      <c r="OD219" s="262"/>
      <c r="OE219" s="262"/>
      <c r="OF219" s="262"/>
      <c r="OG219" s="262"/>
      <c r="OH219" s="262"/>
      <c r="OI219" s="262"/>
      <c r="OJ219" s="262"/>
      <c r="OK219" s="262"/>
      <c r="OL219" s="262"/>
      <c r="OM219" s="262"/>
      <c r="ON219" s="262"/>
      <c r="OO219" s="262"/>
      <c r="OP219" s="262"/>
      <c r="OQ219" s="262"/>
      <c r="OR219" s="262"/>
      <c r="OS219" s="262"/>
      <c r="OT219" s="262"/>
      <c r="OU219" s="262"/>
      <c r="OV219" s="262"/>
      <c r="OW219" s="262"/>
      <c r="OX219" s="262"/>
      <c r="OY219" s="262"/>
      <c r="OZ219" s="262"/>
      <c r="PA219" s="262"/>
      <c r="PB219" s="262"/>
      <c r="PC219" s="262"/>
      <c r="PD219" s="262"/>
      <c r="PE219" s="262"/>
      <c r="PF219" s="262"/>
      <c r="PG219" s="262"/>
      <c r="PH219" s="262"/>
    </row>
    <row r="220" spans="1:424" x14ac:dyDescent="0.35">
      <c r="A220" s="448">
        <f>0</f>
        <v>0</v>
      </c>
      <c r="B220" s="452" t="s">
        <v>413</v>
      </c>
      <c r="C220" s="453" t="s">
        <v>414</v>
      </c>
      <c r="D220" s="400"/>
      <c r="E220" s="400"/>
      <c r="F220" s="400" t="s">
        <v>415</v>
      </c>
      <c r="G220" s="892" t="str">
        <f>"No"</f>
        <v>No</v>
      </c>
      <c r="H220" s="400" t="str">
        <f>IF(G220="No","","Dev. Fee Amount")</f>
        <v/>
      </c>
      <c r="I220" s="91" t="str">
        <f>IF(G220="No","",I46)</f>
        <v/>
      </c>
      <c r="J220"/>
      <c r="K220"/>
      <c r="L220" s="196"/>
      <c r="M220" s="196"/>
      <c r="N220" s="196"/>
      <c r="O220" s="196"/>
      <c r="P220" s="196"/>
      <c r="Q220" s="196"/>
      <c r="R220" s="196"/>
      <c r="S220" s="196"/>
      <c r="T220" s="196"/>
      <c r="U220" s="196"/>
      <c r="V220" s="196"/>
      <c r="W220" s="196"/>
      <c r="X220" s="196"/>
      <c r="Y220" s="196"/>
      <c r="Z220" s="196"/>
      <c r="AA220" s="196"/>
      <c r="AB220" s="196"/>
      <c r="AC220" s="196"/>
      <c r="AD220" s="196"/>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c r="BD220" s="196"/>
      <c r="BE220" s="196"/>
      <c r="BF220" s="196"/>
      <c r="BG220" s="196"/>
      <c r="BH220" s="196"/>
      <c r="BI220" s="196"/>
      <c r="BJ220" s="196"/>
      <c r="BK220" s="196"/>
      <c r="BL220" s="196"/>
      <c r="BM220" s="196"/>
      <c r="BN220" s="196"/>
      <c r="BO220" s="196"/>
      <c r="BP220" s="196"/>
      <c r="BQ220" s="196"/>
      <c r="BR220" s="196"/>
      <c r="BS220" s="196"/>
      <c r="BT220" s="196"/>
      <c r="BU220" s="196"/>
      <c r="BV220" s="196"/>
      <c r="BW220" s="196"/>
      <c r="BX220" s="196"/>
      <c r="BY220" s="196"/>
      <c r="BZ220" s="196"/>
      <c r="CA220" s="196"/>
      <c r="CB220" s="196"/>
      <c r="CC220" s="196"/>
      <c r="CD220" s="196"/>
      <c r="CE220" s="196"/>
      <c r="CF220" s="196"/>
      <c r="CG220" s="196"/>
      <c r="CH220" s="196"/>
      <c r="CI220" s="196"/>
      <c r="CJ220" s="196"/>
      <c r="CK220" s="196"/>
      <c r="CL220" s="196"/>
      <c r="CM220" s="196"/>
      <c r="CN220" s="196"/>
      <c r="CO220" s="196"/>
      <c r="CP220" s="196"/>
      <c r="CQ220" s="196"/>
      <c r="CR220" s="196"/>
      <c r="CS220" s="196"/>
      <c r="CT220" s="196"/>
      <c r="CU220" s="196"/>
      <c r="CV220" s="196"/>
      <c r="CW220" s="196"/>
      <c r="CX220" s="196"/>
      <c r="CY220" s="196"/>
      <c r="CZ220" s="196"/>
      <c r="DA220" s="196"/>
      <c r="DB220" s="196"/>
      <c r="DC220" s="196"/>
      <c r="DD220" s="196"/>
      <c r="DE220" s="196"/>
      <c r="DF220" s="196"/>
      <c r="DG220" s="196"/>
      <c r="DH220" s="196"/>
      <c r="DI220" s="196"/>
      <c r="DJ220" s="196"/>
      <c r="DK220" s="196"/>
      <c r="DL220" s="196"/>
      <c r="DM220" s="196"/>
      <c r="DN220" s="196"/>
      <c r="DO220" s="196"/>
      <c r="DP220" s="196"/>
      <c r="DQ220" s="196"/>
      <c r="DR220" s="196"/>
      <c r="DS220" s="196"/>
      <c r="DT220" s="196"/>
      <c r="DU220" s="196"/>
      <c r="DV220" s="196"/>
      <c r="DW220" s="196"/>
      <c r="DX220" s="196"/>
      <c r="DY220" s="196"/>
      <c r="DZ220" s="196"/>
      <c r="EA220" s="196"/>
      <c r="EB220" s="196"/>
      <c r="EC220" s="196"/>
      <c r="ED220" s="196"/>
      <c r="EE220" s="196"/>
      <c r="EF220" s="196"/>
      <c r="EG220" s="196"/>
      <c r="EH220" s="196"/>
      <c r="EI220" s="196"/>
      <c r="EJ220" s="196"/>
      <c r="EK220" s="196"/>
      <c r="EL220" s="196"/>
      <c r="EM220" s="196"/>
      <c r="EN220" s="196"/>
      <c r="EO220"/>
      <c r="EP220" s="405"/>
      <c r="EQ220" s="18"/>
      <c r="ER220" s="18"/>
      <c r="ES220" s="18"/>
      <c r="ET220" s="18" t="s">
        <v>416</v>
      </c>
      <c r="EU220" s="18"/>
      <c r="EV220" s="418">
        <f t="shared" ref="EV220:GA220" si="656">(EV$197&lt;=Timing_Reversion_Month)*IFERROR((EV217/$I$234*$H$234),0)</f>
        <v>0</v>
      </c>
      <c r="EW220" s="418">
        <f t="shared" si="656"/>
        <v>0</v>
      </c>
      <c r="EX220" s="418">
        <f t="shared" si="656"/>
        <v>0</v>
      </c>
      <c r="EY220" s="418">
        <f t="shared" si="656"/>
        <v>0</v>
      </c>
      <c r="EZ220" s="418">
        <f t="shared" si="656"/>
        <v>0</v>
      </c>
      <c r="FA220" s="418">
        <f t="shared" si="656"/>
        <v>0</v>
      </c>
      <c r="FB220" s="418">
        <f t="shared" si="656"/>
        <v>0</v>
      </c>
      <c r="FC220" s="418">
        <f t="shared" si="656"/>
        <v>0</v>
      </c>
      <c r="FD220" s="418">
        <f t="shared" si="656"/>
        <v>0</v>
      </c>
      <c r="FE220" s="418">
        <f t="shared" si="656"/>
        <v>0</v>
      </c>
      <c r="FF220" s="418">
        <f t="shared" si="656"/>
        <v>0</v>
      </c>
      <c r="FG220" s="418">
        <f t="shared" si="656"/>
        <v>0</v>
      </c>
      <c r="FH220" s="418">
        <f t="shared" si="656"/>
        <v>0</v>
      </c>
      <c r="FI220" s="418">
        <f t="shared" si="656"/>
        <v>0</v>
      </c>
      <c r="FJ220" s="418">
        <f t="shared" si="656"/>
        <v>0</v>
      </c>
      <c r="FK220" s="418">
        <f t="shared" si="656"/>
        <v>0</v>
      </c>
      <c r="FL220" s="418">
        <f t="shared" si="656"/>
        <v>0</v>
      </c>
      <c r="FM220" s="418">
        <f t="shared" si="656"/>
        <v>0</v>
      </c>
      <c r="FN220" s="418">
        <f t="shared" si="656"/>
        <v>0</v>
      </c>
      <c r="FO220" s="418">
        <f t="shared" si="656"/>
        <v>0</v>
      </c>
      <c r="FP220" s="418">
        <f t="shared" si="656"/>
        <v>0</v>
      </c>
      <c r="FQ220" s="418">
        <f t="shared" si="656"/>
        <v>0</v>
      </c>
      <c r="FR220" s="418">
        <f t="shared" si="656"/>
        <v>0</v>
      </c>
      <c r="FS220" s="418">
        <f t="shared" si="656"/>
        <v>0</v>
      </c>
      <c r="FT220" s="418">
        <f t="shared" si="656"/>
        <v>0</v>
      </c>
      <c r="FU220" s="418">
        <f t="shared" si="656"/>
        <v>0</v>
      </c>
      <c r="FV220" s="418">
        <f t="shared" si="656"/>
        <v>0</v>
      </c>
      <c r="FW220" s="418">
        <f t="shared" si="656"/>
        <v>0</v>
      </c>
      <c r="FX220" s="418">
        <f t="shared" si="656"/>
        <v>0</v>
      </c>
      <c r="FY220" s="418">
        <f t="shared" si="656"/>
        <v>0</v>
      </c>
      <c r="FZ220" s="418">
        <f t="shared" si="656"/>
        <v>0</v>
      </c>
      <c r="GA220" s="418">
        <f t="shared" si="656"/>
        <v>0</v>
      </c>
      <c r="GB220" s="418">
        <f t="shared" ref="GB220:HG220" si="657">(GB$197&lt;=Timing_Reversion_Month)*IFERROR((GB217/$I$234*$H$234),0)</f>
        <v>0</v>
      </c>
      <c r="GC220" s="418">
        <f t="shared" si="657"/>
        <v>0</v>
      </c>
      <c r="GD220" s="418">
        <f t="shared" si="657"/>
        <v>0</v>
      </c>
      <c r="GE220" s="418">
        <f t="shared" si="657"/>
        <v>0</v>
      </c>
      <c r="GF220" s="418">
        <f t="shared" si="657"/>
        <v>0</v>
      </c>
      <c r="GG220" s="418">
        <f t="shared" si="657"/>
        <v>0</v>
      </c>
      <c r="GH220" s="418">
        <f t="shared" si="657"/>
        <v>0</v>
      </c>
      <c r="GI220" s="418">
        <f t="shared" si="657"/>
        <v>0</v>
      </c>
      <c r="GJ220" s="418">
        <f t="shared" si="657"/>
        <v>0</v>
      </c>
      <c r="GK220" s="418">
        <f t="shared" si="657"/>
        <v>0</v>
      </c>
      <c r="GL220" s="418">
        <f t="shared" si="657"/>
        <v>0</v>
      </c>
      <c r="GM220" s="418">
        <f t="shared" si="657"/>
        <v>0</v>
      </c>
      <c r="GN220" s="418">
        <f t="shared" si="657"/>
        <v>0</v>
      </c>
      <c r="GO220" s="418">
        <f t="shared" si="657"/>
        <v>0</v>
      </c>
      <c r="GP220" s="418">
        <f t="shared" si="657"/>
        <v>0</v>
      </c>
      <c r="GQ220" s="418">
        <f t="shared" si="657"/>
        <v>0</v>
      </c>
      <c r="GR220" s="418">
        <f t="shared" si="657"/>
        <v>0</v>
      </c>
      <c r="GS220" s="418">
        <f t="shared" si="657"/>
        <v>0</v>
      </c>
      <c r="GT220" s="418">
        <f t="shared" si="657"/>
        <v>0</v>
      </c>
      <c r="GU220" s="418">
        <f t="shared" si="657"/>
        <v>0</v>
      </c>
      <c r="GV220" s="418">
        <f t="shared" si="657"/>
        <v>0</v>
      </c>
      <c r="GW220" s="418">
        <f t="shared" si="657"/>
        <v>0</v>
      </c>
      <c r="GX220" s="418">
        <f t="shared" si="657"/>
        <v>0</v>
      </c>
      <c r="GY220" s="418">
        <f t="shared" si="657"/>
        <v>0</v>
      </c>
      <c r="GZ220" s="418">
        <f t="shared" si="657"/>
        <v>0</v>
      </c>
      <c r="HA220" s="418">
        <f t="shared" si="657"/>
        <v>0</v>
      </c>
      <c r="HB220" s="418">
        <f t="shared" si="657"/>
        <v>0</v>
      </c>
      <c r="HC220" s="418">
        <f t="shared" si="657"/>
        <v>0</v>
      </c>
      <c r="HD220" s="418">
        <f t="shared" si="657"/>
        <v>0</v>
      </c>
      <c r="HE220" s="418">
        <f t="shared" si="657"/>
        <v>0</v>
      </c>
      <c r="HF220" s="418">
        <f t="shared" si="657"/>
        <v>0</v>
      </c>
      <c r="HG220" s="418">
        <f t="shared" si="657"/>
        <v>0</v>
      </c>
      <c r="HH220" s="418">
        <f t="shared" ref="HH220:IM220" si="658">(HH$197&lt;=Timing_Reversion_Month)*IFERROR((HH217/$I$234*$H$234),0)</f>
        <v>0</v>
      </c>
      <c r="HI220" s="418">
        <f t="shared" si="658"/>
        <v>0</v>
      </c>
      <c r="HJ220" s="418">
        <f t="shared" si="658"/>
        <v>0</v>
      </c>
      <c r="HK220" s="418">
        <f t="shared" si="658"/>
        <v>0</v>
      </c>
      <c r="HL220" s="418">
        <f t="shared" si="658"/>
        <v>0</v>
      </c>
      <c r="HM220" s="418">
        <f t="shared" si="658"/>
        <v>0</v>
      </c>
      <c r="HN220" s="418">
        <f t="shared" si="658"/>
        <v>0</v>
      </c>
      <c r="HO220" s="418">
        <f t="shared" si="658"/>
        <v>0</v>
      </c>
      <c r="HP220" s="418">
        <f t="shared" si="658"/>
        <v>0</v>
      </c>
      <c r="HQ220" s="418">
        <f t="shared" si="658"/>
        <v>0</v>
      </c>
      <c r="HR220" s="418">
        <f t="shared" si="658"/>
        <v>0</v>
      </c>
      <c r="HS220" s="418">
        <f t="shared" si="658"/>
        <v>0</v>
      </c>
      <c r="HT220" s="418">
        <f t="shared" si="658"/>
        <v>0</v>
      </c>
      <c r="HU220" s="418">
        <f t="shared" si="658"/>
        <v>0</v>
      </c>
      <c r="HV220" s="418">
        <f t="shared" si="658"/>
        <v>0</v>
      </c>
      <c r="HW220" s="418">
        <f t="shared" si="658"/>
        <v>0</v>
      </c>
      <c r="HX220" s="418">
        <f t="shared" si="658"/>
        <v>0</v>
      </c>
      <c r="HY220" s="418">
        <f t="shared" si="658"/>
        <v>0</v>
      </c>
      <c r="HZ220" s="418">
        <f t="shared" si="658"/>
        <v>0</v>
      </c>
      <c r="IA220" s="418">
        <f t="shared" si="658"/>
        <v>0</v>
      </c>
      <c r="IB220" s="418">
        <f t="shared" si="658"/>
        <v>0</v>
      </c>
      <c r="IC220" s="418">
        <f t="shared" si="658"/>
        <v>0</v>
      </c>
      <c r="ID220" s="418">
        <f t="shared" si="658"/>
        <v>0</v>
      </c>
      <c r="IE220" s="418">
        <f t="shared" si="658"/>
        <v>0</v>
      </c>
      <c r="IF220" s="418">
        <f t="shared" si="658"/>
        <v>0</v>
      </c>
      <c r="IG220" s="418">
        <f t="shared" si="658"/>
        <v>0</v>
      </c>
      <c r="IH220" s="418">
        <f t="shared" si="658"/>
        <v>0</v>
      </c>
      <c r="II220" s="418">
        <f t="shared" si="658"/>
        <v>0</v>
      </c>
      <c r="IJ220" s="418">
        <f t="shared" si="658"/>
        <v>0</v>
      </c>
      <c r="IK220" s="418">
        <f t="shared" si="658"/>
        <v>0</v>
      </c>
      <c r="IL220" s="418">
        <f t="shared" si="658"/>
        <v>0</v>
      </c>
      <c r="IM220" s="418">
        <f t="shared" si="658"/>
        <v>0</v>
      </c>
      <c r="IN220" s="418">
        <f t="shared" ref="IN220:JX220" si="659">(IN$197&lt;=Timing_Reversion_Month)*IFERROR((IN217/$I$234*$H$234),0)</f>
        <v>0</v>
      </c>
      <c r="IO220" s="418">
        <f t="shared" si="659"/>
        <v>0</v>
      </c>
      <c r="IP220" s="418">
        <f t="shared" si="659"/>
        <v>0</v>
      </c>
      <c r="IQ220" s="418">
        <f t="shared" si="659"/>
        <v>0</v>
      </c>
      <c r="IR220" s="418">
        <f t="shared" si="659"/>
        <v>0</v>
      </c>
      <c r="IS220" s="418">
        <f t="shared" si="659"/>
        <v>0</v>
      </c>
      <c r="IT220" s="418">
        <f t="shared" si="659"/>
        <v>0</v>
      </c>
      <c r="IU220" s="418">
        <f t="shared" si="659"/>
        <v>0</v>
      </c>
      <c r="IV220" s="418">
        <f t="shared" si="659"/>
        <v>0</v>
      </c>
      <c r="IW220" s="418">
        <f t="shared" si="659"/>
        <v>0</v>
      </c>
      <c r="IX220" s="418">
        <f t="shared" si="659"/>
        <v>0</v>
      </c>
      <c r="IY220" s="418">
        <f t="shared" si="659"/>
        <v>0</v>
      </c>
      <c r="IZ220" s="418">
        <f t="shared" si="659"/>
        <v>0</v>
      </c>
      <c r="JA220" s="418">
        <f t="shared" si="659"/>
        <v>0</v>
      </c>
      <c r="JB220" s="418">
        <f t="shared" si="659"/>
        <v>0</v>
      </c>
      <c r="JC220" s="418">
        <f t="shared" si="659"/>
        <v>0</v>
      </c>
      <c r="JD220" s="418">
        <f t="shared" si="659"/>
        <v>0</v>
      </c>
      <c r="JE220" s="418">
        <f t="shared" si="659"/>
        <v>0</v>
      </c>
      <c r="JF220" s="418">
        <f t="shared" si="659"/>
        <v>0</v>
      </c>
      <c r="JG220" s="418">
        <f t="shared" si="659"/>
        <v>0</v>
      </c>
      <c r="JH220" s="418">
        <f t="shared" si="659"/>
        <v>0</v>
      </c>
      <c r="JI220" s="418">
        <f t="shared" si="659"/>
        <v>0</v>
      </c>
      <c r="JJ220" s="418">
        <f t="shared" si="659"/>
        <v>0</v>
      </c>
      <c r="JK220" s="418">
        <f t="shared" si="659"/>
        <v>0</v>
      </c>
      <c r="JL220" s="418">
        <f t="shared" si="659"/>
        <v>0</v>
      </c>
      <c r="JM220" s="418">
        <f t="shared" si="659"/>
        <v>0</v>
      </c>
      <c r="JN220" s="418">
        <f t="shared" si="659"/>
        <v>0</v>
      </c>
      <c r="JO220" s="418">
        <f t="shared" si="659"/>
        <v>0</v>
      </c>
      <c r="JP220" s="418">
        <f t="shared" si="659"/>
        <v>0</v>
      </c>
      <c r="JQ220" s="418">
        <f t="shared" si="659"/>
        <v>0</v>
      </c>
      <c r="JR220" s="418">
        <f t="shared" si="659"/>
        <v>0</v>
      </c>
      <c r="JS220" s="418">
        <f t="shared" si="659"/>
        <v>0</v>
      </c>
      <c r="JT220" s="418">
        <f t="shared" si="659"/>
        <v>0</v>
      </c>
      <c r="JU220" s="418">
        <f t="shared" si="659"/>
        <v>0</v>
      </c>
      <c r="JV220" s="418">
        <f t="shared" si="659"/>
        <v>0</v>
      </c>
      <c r="JW220" s="418">
        <f t="shared" si="659"/>
        <v>0</v>
      </c>
      <c r="JX220" s="418">
        <f t="shared" si="659"/>
        <v>0</v>
      </c>
      <c r="JY220"/>
      <c r="JZ220" s="262"/>
      <c r="KA220" s="262"/>
      <c r="KB220" s="262"/>
      <c r="KC220" s="262"/>
      <c r="KD220" s="262"/>
      <c r="KE220" s="262"/>
      <c r="KF220" s="262"/>
      <c r="KG220" s="262"/>
      <c r="KH220" s="262"/>
      <c r="KI220" s="262"/>
      <c r="KJ220" s="262"/>
      <c r="KK220" s="262"/>
      <c r="KL220" s="262"/>
      <c r="KM220" s="262"/>
      <c r="KN220" s="262"/>
      <c r="KO220" s="262"/>
      <c r="KP220" s="262"/>
      <c r="KQ220" s="262"/>
      <c r="KR220" s="262"/>
      <c r="KS220" s="262"/>
      <c r="KT220" s="262"/>
      <c r="KU220" s="262"/>
      <c r="KV220" s="262"/>
      <c r="KW220" s="262"/>
      <c r="KX220" s="262"/>
      <c r="KY220" s="262"/>
      <c r="KZ220" s="262"/>
      <c r="LA220" s="262"/>
      <c r="LB220" s="262"/>
      <c r="LC220" s="262"/>
      <c r="LD220" s="262"/>
      <c r="LE220" s="262"/>
      <c r="LF220" s="262"/>
      <c r="LG220" s="262"/>
      <c r="LH220" s="262"/>
      <c r="LI220" s="262"/>
      <c r="LJ220" s="262"/>
      <c r="LK220" s="262"/>
      <c r="LL220" s="262"/>
      <c r="LM220" s="262"/>
      <c r="LN220" s="262"/>
      <c r="LO220" s="262"/>
      <c r="LP220" s="262"/>
      <c r="LQ220" s="262"/>
      <c r="LR220" s="262"/>
      <c r="LS220" s="262"/>
      <c r="LT220" s="262"/>
      <c r="LU220" s="262"/>
      <c r="LV220" s="262"/>
      <c r="LW220" s="262"/>
      <c r="LX220" s="262"/>
      <c r="LY220" s="262"/>
      <c r="LZ220" s="262"/>
      <c r="MA220" s="262"/>
      <c r="MB220" s="262"/>
      <c r="MC220" s="262"/>
      <c r="MD220" s="262"/>
      <c r="ME220" s="262"/>
      <c r="MF220" s="262"/>
      <c r="MG220" s="262"/>
      <c r="MH220" s="262"/>
      <c r="MI220" s="262"/>
      <c r="MJ220" s="262"/>
      <c r="MK220" s="262"/>
      <c r="ML220" s="262"/>
      <c r="MM220" s="262"/>
      <c r="MN220" s="262"/>
      <c r="MO220" s="262"/>
      <c r="MP220" s="262"/>
      <c r="MQ220" s="262"/>
      <c r="MR220" s="262"/>
      <c r="MS220" s="262"/>
      <c r="MT220" s="262"/>
      <c r="MU220" s="262"/>
      <c r="MV220" s="262"/>
      <c r="MW220" s="262"/>
      <c r="MX220" s="262"/>
      <c r="MY220" s="262"/>
      <c r="MZ220" s="262"/>
      <c r="NA220" s="262"/>
      <c r="NB220" s="262"/>
      <c r="NC220" s="262"/>
      <c r="ND220" s="262"/>
      <c r="NE220" s="262"/>
      <c r="NF220" s="262"/>
      <c r="NG220" s="262"/>
      <c r="NH220" s="262"/>
      <c r="NI220" s="262"/>
      <c r="NJ220" s="262"/>
      <c r="NK220" s="262"/>
      <c r="NL220" s="262"/>
      <c r="NM220" s="262"/>
      <c r="NN220" s="262"/>
      <c r="NO220" s="262"/>
      <c r="NP220" s="262"/>
      <c r="NQ220" s="262"/>
      <c r="NR220" s="262"/>
      <c r="NS220" s="262"/>
      <c r="NT220" s="262"/>
      <c r="NU220" s="262"/>
      <c r="NV220" s="262"/>
      <c r="NW220" s="262"/>
      <c r="NX220" s="262"/>
      <c r="NY220" s="262"/>
      <c r="NZ220" s="262"/>
      <c r="OA220" s="262"/>
      <c r="OB220" s="262"/>
      <c r="OC220" s="262"/>
      <c r="OD220" s="262"/>
      <c r="OE220" s="262"/>
      <c r="OF220" s="262"/>
      <c r="OG220" s="262"/>
      <c r="OH220" s="262"/>
      <c r="OI220" s="262"/>
      <c r="OJ220" s="262"/>
      <c r="OK220" s="262"/>
      <c r="OL220" s="262"/>
      <c r="OM220" s="262"/>
      <c r="ON220" s="262"/>
      <c r="OO220" s="262"/>
      <c r="OP220" s="262"/>
      <c r="OQ220" s="262"/>
      <c r="OR220" s="262"/>
      <c r="OS220" s="262"/>
      <c r="OT220" s="262"/>
      <c r="OU220" s="262"/>
      <c r="OV220" s="262"/>
      <c r="OW220" s="262"/>
      <c r="OX220" s="262"/>
      <c r="OY220" s="262"/>
      <c r="OZ220" s="262"/>
      <c r="PA220" s="262"/>
      <c r="PB220" s="262"/>
      <c r="PC220" s="262"/>
      <c r="PD220" s="262"/>
      <c r="PE220" s="262"/>
      <c r="PF220" s="262"/>
      <c r="PG220" s="262"/>
      <c r="PH220" s="262"/>
    </row>
    <row r="221" spans="1:424" x14ac:dyDescent="0.35">
      <c r="A221"/>
      <c r="B221" s="400" t="s">
        <v>417</v>
      </c>
      <c r="C221" s="454" t="s">
        <v>418</v>
      </c>
      <c r="D221" s="535" t="s">
        <v>419</v>
      </c>
      <c r="E221" s="278">
        <f>IF(D221="% of Project Cost",I221*Project_Cost_Total/12,I221*Equity_Total/12)</f>
        <v>0</v>
      </c>
      <c r="F221" s="400" t="s">
        <v>420</v>
      </c>
      <c r="G221" s="193">
        <f>Stabilization_1st_Month</f>
        <v>49</v>
      </c>
      <c r="H221" s="400" t="s">
        <v>421</v>
      </c>
      <c r="I221" s="893">
        <f>0</f>
        <v>0</v>
      </c>
      <c r="J221"/>
      <c r="K221"/>
      <c r="L221" s="196"/>
      <c r="M221" s="196"/>
      <c r="N221" s="196"/>
      <c r="O221" s="196"/>
      <c r="P221" s="196"/>
      <c r="Q221" s="196"/>
      <c r="R221" s="196"/>
      <c r="S221" s="196"/>
      <c r="T221" s="196"/>
      <c r="U221" s="196"/>
      <c r="V221" s="196"/>
      <c r="W221" s="196"/>
      <c r="X221" s="196"/>
      <c r="Y221" s="196"/>
      <c r="Z221" s="196"/>
      <c r="AA221" s="196"/>
      <c r="AB221" s="196"/>
      <c r="AC221" s="196"/>
      <c r="AD221" s="196"/>
      <c r="AE221" s="196"/>
      <c r="AF221" s="196"/>
      <c r="AG221" s="196"/>
      <c r="AH221" s="196"/>
      <c r="AI221" s="196"/>
      <c r="AJ221" s="196"/>
      <c r="AK221" s="196"/>
      <c r="AL221" s="196"/>
      <c r="AM221" s="196"/>
      <c r="AN221" s="196"/>
      <c r="AO221" s="196"/>
      <c r="AP221" s="196"/>
      <c r="AQ221" s="196"/>
      <c r="AR221" s="196"/>
      <c r="AS221" s="196"/>
      <c r="AT221" s="196"/>
      <c r="AU221" s="196"/>
      <c r="AV221" s="196"/>
      <c r="AW221" s="196"/>
      <c r="AX221" s="196"/>
      <c r="AY221" s="196"/>
      <c r="AZ221" s="196"/>
      <c r="BA221" s="196"/>
      <c r="BB221" s="196"/>
      <c r="BC221" s="196"/>
      <c r="BD221" s="196"/>
      <c r="BE221" s="196"/>
      <c r="BF221" s="196"/>
      <c r="BG221" s="196"/>
      <c r="BH221" s="196"/>
      <c r="BI221" s="196"/>
      <c r="BJ221" s="196"/>
      <c r="BK221" s="196"/>
      <c r="BL221" s="196"/>
      <c r="BM221" s="196"/>
      <c r="BN221" s="196"/>
      <c r="BO221" s="196"/>
      <c r="BP221" s="196"/>
      <c r="BQ221" s="196"/>
      <c r="BR221" s="196"/>
      <c r="BS221" s="196"/>
      <c r="BT221" s="196"/>
      <c r="BU221" s="196"/>
      <c r="BV221" s="196"/>
      <c r="BW221" s="196"/>
      <c r="BX221" s="196"/>
      <c r="BY221" s="196"/>
      <c r="BZ221" s="196"/>
      <c r="CA221" s="196"/>
      <c r="CB221" s="196"/>
      <c r="CC221" s="196"/>
      <c r="CD221" s="196"/>
      <c r="CE221" s="196"/>
      <c r="CF221" s="196"/>
      <c r="CG221" s="196"/>
      <c r="CH221" s="196"/>
      <c r="CI221" s="196"/>
      <c r="CJ221" s="196"/>
      <c r="CK221" s="196"/>
      <c r="CL221" s="196"/>
      <c r="CM221" s="196"/>
      <c r="CN221" s="196"/>
      <c r="CO221" s="196"/>
      <c r="CP221" s="196"/>
      <c r="CQ221" s="196"/>
      <c r="CR221" s="196"/>
      <c r="CS221" s="196"/>
      <c r="CT221" s="196"/>
      <c r="CU221" s="196"/>
      <c r="CV221" s="196"/>
      <c r="CW221" s="196"/>
      <c r="CX221" s="196"/>
      <c r="CY221" s="196"/>
      <c r="CZ221" s="196"/>
      <c r="DA221" s="196"/>
      <c r="DB221" s="196"/>
      <c r="DC221" s="196"/>
      <c r="DD221" s="196"/>
      <c r="DE221" s="196"/>
      <c r="DF221" s="196"/>
      <c r="DG221" s="196"/>
      <c r="DH221" s="196"/>
      <c r="DI221" s="196"/>
      <c r="DJ221" s="196"/>
      <c r="DK221" s="196"/>
      <c r="DL221" s="196"/>
      <c r="DM221" s="196"/>
      <c r="DN221" s="196"/>
      <c r="DO221" s="196"/>
      <c r="DP221" s="196"/>
      <c r="DQ221" s="196"/>
      <c r="DR221" s="196"/>
      <c r="DS221" s="196"/>
      <c r="DT221" s="196"/>
      <c r="DU221" s="196"/>
      <c r="DV221" s="196"/>
      <c r="DW221" s="196"/>
      <c r="DX221" s="196"/>
      <c r="DY221" s="196"/>
      <c r="DZ221" s="196"/>
      <c r="EA221" s="196"/>
      <c r="EB221" s="196"/>
      <c r="EC221" s="196"/>
      <c r="ED221" s="196"/>
      <c r="EE221" s="196"/>
      <c r="EF221" s="196"/>
      <c r="EG221" s="196"/>
      <c r="EH221" s="196"/>
      <c r="EI221" s="196"/>
      <c r="EJ221" s="196"/>
      <c r="EK221" s="196"/>
      <c r="EL221" s="196"/>
      <c r="EM221" s="196"/>
      <c r="EN221" s="196"/>
      <c r="EO221"/>
      <c r="EP221" s="405"/>
      <c r="EQ221" s="18"/>
      <c r="ER221" s="18"/>
      <c r="ES221" s="18"/>
      <c r="ET221" s="18"/>
      <c r="EU221" s="18"/>
      <c r="EV221" s="81"/>
      <c r="EW221" s="81"/>
      <c r="EX221" s="81"/>
      <c r="EY221" s="81"/>
      <c r="EZ221" s="81"/>
      <c r="FA221" s="81"/>
      <c r="FB221" s="81"/>
      <c r="FC221" s="81"/>
      <c r="FD221" s="81"/>
      <c r="FE221" s="81"/>
      <c r="FF221" s="81"/>
      <c r="FG221" s="81"/>
      <c r="FH221" s="81"/>
      <c r="FI221" s="81"/>
      <c r="FJ221" s="81"/>
      <c r="FK221" s="81"/>
      <c r="FL221" s="81"/>
      <c r="FM221" s="81"/>
      <c r="FN221" s="81"/>
      <c r="FO221" s="81"/>
      <c r="FP221" s="81"/>
      <c r="FQ221" s="81"/>
      <c r="FR221" s="81"/>
      <c r="FS221" s="81"/>
      <c r="FT221" s="81"/>
      <c r="FU221" s="81"/>
      <c r="FV221" s="81"/>
      <c r="FW221" s="81"/>
      <c r="FX221" s="81"/>
      <c r="FY221" s="81"/>
      <c r="FZ221" s="81"/>
      <c r="GA221" s="81"/>
      <c r="GB221" s="81"/>
      <c r="GC221" s="81"/>
      <c r="GD221" s="81"/>
      <c r="GE221" s="81"/>
      <c r="GF221" s="81"/>
      <c r="GG221" s="81"/>
      <c r="GH221" s="81"/>
      <c r="GI221" s="81"/>
      <c r="GJ221" s="81"/>
      <c r="GK221" s="81"/>
      <c r="GL221" s="81"/>
      <c r="GM221" s="81"/>
      <c r="GN221" s="81"/>
      <c r="GO221" s="81"/>
      <c r="GP221" s="81"/>
      <c r="GQ221" s="81"/>
      <c r="GR221" s="81"/>
      <c r="GS221" s="81"/>
      <c r="GT221" s="81"/>
      <c r="GU221" s="81"/>
      <c r="GV221" s="81"/>
      <c r="GW221" s="81"/>
      <c r="GX221" s="81"/>
      <c r="GY221" s="81"/>
      <c r="GZ221" s="81"/>
      <c r="HA221" s="81"/>
      <c r="HB221" s="81"/>
      <c r="HC221" s="81"/>
      <c r="HD221" s="81"/>
      <c r="HE221" s="81"/>
      <c r="HF221" s="81"/>
      <c r="HG221" s="81"/>
      <c r="HH221" s="81"/>
      <c r="HI221" s="81"/>
      <c r="HJ221" s="81"/>
      <c r="HK221" s="81"/>
      <c r="HL221" s="81"/>
      <c r="HM221" s="81"/>
      <c r="HN221" s="81"/>
      <c r="HO221" s="81"/>
      <c r="HP221" s="81"/>
      <c r="HQ221" s="81"/>
      <c r="HR221" s="81"/>
      <c r="HS221" s="81"/>
      <c r="HT221" s="81"/>
      <c r="HU221" s="81"/>
      <c r="HV221" s="81"/>
      <c r="HW221" s="81"/>
      <c r="HX221" s="81"/>
      <c r="HY221" s="81"/>
      <c r="HZ221" s="81"/>
      <c r="IA221" s="81"/>
      <c r="IB221" s="81"/>
      <c r="IC221" s="81"/>
      <c r="ID221" s="81"/>
      <c r="IE221" s="81"/>
      <c r="IF221" s="81"/>
      <c r="IG221" s="81"/>
      <c r="IH221" s="81"/>
      <c r="II221" s="81"/>
      <c r="IJ221" s="81"/>
      <c r="IK221" s="81"/>
      <c r="IL221" s="81"/>
      <c r="IM221" s="81"/>
      <c r="IN221" s="81"/>
      <c r="IO221" s="81"/>
      <c r="IP221" s="81"/>
      <c r="IQ221" s="81"/>
      <c r="IR221" s="81"/>
      <c r="IS221" s="81"/>
      <c r="IT221" s="81"/>
      <c r="IU221" s="81"/>
      <c r="IV221" s="81"/>
      <c r="IW221" s="81"/>
      <c r="IX221" s="81"/>
      <c r="IY221" s="81"/>
      <c r="IZ221" s="81"/>
      <c r="JA221" s="81"/>
      <c r="JB221" s="81"/>
      <c r="JC221" s="81"/>
      <c r="JD221" s="81"/>
      <c r="JE221" s="81"/>
      <c r="JF221" s="81"/>
      <c r="JG221" s="81"/>
      <c r="JH221" s="81"/>
      <c r="JI221" s="81"/>
      <c r="JJ221" s="81"/>
      <c r="JK221" s="81"/>
      <c r="JL221" s="81"/>
      <c r="JM221" s="81"/>
      <c r="JN221" s="81"/>
      <c r="JO221" s="81"/>
      <c r="JP221" s="81"/>
      <c r="JQ221" s="81"/>
      <c r="JR221" s="81"/>
      <c r="JS221" s="81"/>
      <c r="JT221" s="81"/>
      <c r="JU221" s="81"/>
      <c r="JV221" s="81"/>
      <c r="JW221" s="81"/>
      <c r="JX221" s="81"/>
      <c r="JY221"/>
      <c r="JZ221" s="262"/>
      <c r="KA221" s="262"/>
      <c r="KB221" s="262"/>
      <c r="KC221" s="262"/>
      <c r="KD221" s="262"/>
      <c r="KE221" s="262"/>
      <c r="KF221" s="262"/>
      <c r="KG221" s="262"/>
      <c r="KH221" s="262"/>
      <c r="KI221" s="262"/>
      <c r="KJ221" s="262"/>
      <c r="KK221" s="262"/>
      <c r="KL221" s="262"/>
      <c r="KM221" s="262"/>
      <c r="KN221" s="262"/>
      <c r="KO221" s="262"/>
      <c r="KP221" s="262"/>
      <c r="KQ221" s="262"/>
      <c r="KR221" s="262"/>
      <c r="KS221" s="262"/>
      <c r="KT221" s="262"/>
      <c r="KU221" s="262"/>
      <c r="KV221" s="262"/>
      <c r="KW221" s="262"/>
      <c r="KX221" s="262"/>
      <c r="KY221" s="262"/>
      <c r="KZ221" s="262"/>
      <c r="LA221" s="262"/>
      <c r="LB221" s="262"/>
      <c r="LC221" s="262"/>
      <c r="LD221" s="262"/>
      <c r="LE221" s="262"/>
      <c r="LF221" s="262"/>
      <c r="LG221" s="262"/>
      <c r="LH221" s="262"/>
      <c r="LI221" s="262"/>
      <c r="LJ221" s="262"/>
      <c r="LK221" s="262"/>
      <c r="LL221" s="262"/>
      <c r="LM221" s="262"/>
      <c r="LN221" s="262"/>
      <c r="LO221" s="262"/>
      <c r="LP221" s="262"/>
      <c r="LQ221" s="262"/>
      <c r="LR221" s="262"/>
      <c r="LS221" s="262"/>
      <c r="LT221" s="262"/>
      <c r="LU221" s="262"/>
      <c r="LV221" s="262"/>
      <c r="LW221" s="262"/>
      <c r="LX221" s="262"/>
      <c r="LY221" s="262"/>
      <c r="LZ221" s="262"/>
      <c r="MA221" s="262"/>
      <c r="MB221" s="262"/>
      <c r="MC221" s="262"/>
      <c r="MD221" s="262"/>
      <c r="ME221" s="262"/>
      <c r="MF221" s="262"/>
      <c r="MG221" s="262"/>
      <c r="MH221" s="262"/>
      <c r="MI221" s="262"/>
      <c r="MJ221" s="262"/>
      <c r="MK221" s="262"/>
      <c r="ML221" s="262"/>
      <c r="MM221" s="262"/>
      <c r="MN221" s="262"/>
      <c r="MO221" s="262"/>
      <c r="MP221" s="262"/>
      <c r="MQ221" s="262"/>
      <c r="MR221" s="262"/>
      <c r="MS221" s="262"/>
      <c r="MT221" s="262"/>
      <c r="MU221" s="262"/>
      <c r="MV221" s="262"/>
      <c r="MW221" s="262"/>
      <c r="MX221" s="262"/>
      <c r="MY221" s="262"/>
      <c r="MZ221" s="262"/>
      <c r="NA221" s="262"/>
      <c r="NB221" s="262"/>
      <c r="NC221" s="262"/>
      <c r="ND221" s="262"/>
      <c r="NE221" s="262"/>
      <c r="NF221" s="262"/>
      <c r="NG221" s="262"/>
      <c r="NH221" s="262"/>
      <c r="NI221" s="262"/>
      <c r="NJ221" s="262"/>
      <c r="NK221" s="262"/>
      <c r="NL221" s="262"/>
      <c r="NM221" s="262"/>
      <c r="NN221" s="262"/>
      <c r="NO221" s="262"/>
      <c r="NP221" s="262"/>
      <c r="NQ221" s="262"/>
      <c r="NR221" s="262"/>
      <c r="NS221" s="262"/>
      <c r="NT221" s="262"/>
      <c r="NU221" s="262"/>
      <c r="NV221" s="262"/>
      <c r="NW221" s="262"/>
      <c r="NX221" s="262"/>
      <c r="NY221" s="262"/>
      <c r="NZ221" s="262"/>
      <c r="OA221" s="262"/>
      <c r="OB221" s="262"/>
      <c r="OC221" s="262"/>
      <c r="OD221" s="262"/>
      <c r="OE221" s="262"/>
      <c r="OF221" s="262"/>
      <c r="OG221" s="262"/>
      <c r="OH221" s="262"/>
      <c r="OI221" s="262"/>
      <c r="OJ221" s="262"/>
      <c r="OK221" s="262"/>
      <c r="OL221" s="262"/>
      <c r="OM221" s="262"/>
      <c r="ON221" s="262"/>
      <c r="OO221" s="262"/>
      <c r="OP221" s="262"/>
      <c r="OQ221" s="262"/>
      <c r="OR221" s="262"/>
      <c r="OS221" s="262"/>
      <c r="OT221" s="262"/>
      <c r="OU221" s="262"/>
      <c r="OV221" s="262"/>
      <c r="OW221" s="262"/>
      <c r="OX221" s="262"/>
      <c r="OY221" s="262"/>
      <c r="OZ221" s="262"/>
      <c r="PA221" s="262"/>
      <c r="PB221" s="262"/>
      <c r="PC221" s="262"/>
      <c r="PD221" s="262"/>
      <c r="PE221" s="262"/>
      <c r="PF221" s="262"/>
      <c r="PG221" s="262"/>
      <c r="PH221" s="262"/>
    </row>
    <row r="222" spans="1:424" x14ac:dyDescent="0.35">
      <c r="A222"/>
      <c r="B222" s="449" t="s">
        <v>422</v>
      </c>
      <c r="C222" s="400"/>
      <c r="D222" s="412" t="s">
        <v>423</v>
      </c>
      <c r="E222" s="412" t="s">
        <v>424</v>
      </c>
      <c r="F222" s="412"/>
      <c r="G222" s="412" t="s">
        <v>60</v>
      </c>
      <c r="H222" s="412" t="s">
        <v>61</v>
      </c>
      <c r="I222" s="412" t="s">
        <v>62</v>
      </c>
      <c r="J222"/>
      <c r="K222"/>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c r="BP222" s="196"/>
      <c r="BQ222" s="196"/>
      <c r="BR222" s="196"/>
      <c r="BS222" s="196"/>
      <c r="BT222" s="196"/>
      <c r="BU222" s="196"/>
      <c r="BV222" s="196"/>
      <c r="BW222" s="196"/>
      <c r="BX222" s="196"/>
      <c r="BY222" s="196"/>
      <c r="BZ222" s="196"/>
      <c r="CA222" s="196"/>
      <c r="CB222" s="196"/>
      <c r="CC222" s="196"/>
      <c r="CD222" s="196"/>
      <c r="CE222" s="196"/>
      <c r="CF222" s="196"/>
      <c r="CG222" s="196"/>
      <c r="CH222" s="196"/>
      <c r="CI222" s="196"/>
      <c r="CJ222" s="196"/>
      <c r="CK222" s="196"/>
      <c r="CL222" s="196"/>
      <c r="CM222" s="196"/>
      <c r="CN222" s="196"/>
      <c r="CO222" s="196"/>
      <c r="CP222" s="196"/>
      <c r="CQ222" s="196"/>
      <c r="CR222" s="196"/>
      <c r="CS222" s="196"/>
      <c r="CT222" s="196"/>
      <c r="CU222" s="196"/>
      <c r="CV222" s="196"/>
      <c r="CW222" s="196"/>
      <c r="CX222" s="196"/>
      <c r="CY222" s="196"/>
      <c r="CZ222" s="196"/>
      <c r="DA222" s="196"/>
      <c r="DB222" s="196"/>
      <c r="DC222" s="196"/>
      <c r="DD222" s="196"/>
      <c r="DE222" s="196"/>
      <c r="DF222" s="196"/>
      <c r="DG222" s="196"/>
      <c r="DH222" s="196"/>
      <c r="DI222" s="196"/>
      <c r="DJ222" s="196"/>
      <c r="DK222" s="196"/>
      <c r="DL222" s="196"/>
      <c r="DM222" s="196"/>
      <c r="DN222" s="196"/>
      <c r="DO222" s="196"/>
      <c r="DP222" s="196"/>
      <c r="DQ222" s="196"/>
      <c r="DR222" s="196"/>
      <c r="DS222" s="196"/>
      <c r="DT222" s="196"/>
      <c r="DU222" s="196"/>
      <c r="DV222" s="196"/>
      <c r="DW222" s="196"/>
      <c r="DX222" s="196"/>
      <c r="DY222" s="196"/>
      <c r="DZ222" s="196"/>
      <c r="EA222" s="196"/>
      <c r="EB222" s="196"/>
      <c r="EC222" s="196"/>
      <c r="ED222" s="196"/>
      <c r="EE222" s="196"/>
      <c r="EF222" s="196"/>
      <c r="EG222" s="196"/>
      <c r="EH222" s="196"/>
      <c r="EI222" s="196"/>
      <c r="EJ222" s="196"/>
      <c r="EK222" s="196"/>
      <c r="EL222" s="196"/>
      <c r="EM222" s="196"/>
      <c r="EN222" s="196"/>
      <c r="EO222"/>
      <c r="EP222" s="405"/>
      <c r="EQ222" s="18"/>
      <c r="ER222" s="18"/>
      <c r="ES222" s="18"/>
      <c r="ET222" s="18" t="s">
        <v>425</v>
      </c>
      <c r="EU222" s="18"/>
      <c r="EV222" s="418">
        <f>+EV220+EV217</f>
        <v>0</v>
      </c>
      <c r="EW222" s="418">
        <f t="shared" ref="EW222:HH222" si="660">+EW220+EW217</f>
        <v>0</v>
      </c>
      <c r="EX222" s="418">
        <f t="shared" si="660"/>
        <v>0</v>
      </c>
      <c r="EY222" s="418">
        <f t="shared" si="660"/>
        <v>0</v>
      </c>
      <c r="EZ222" s="418">
        <f t="shared" si="660"/>
        <v>0</v>
      </c>
      <c r="FA222" s="418">
        <f t="shared" si="660"/>
        <v>0</v>
      </c>
      <c r="FB222" s="418">
        <f t="shared" si="660"/>
        <v>0</v>
      </c>
      <c r="FC222" s="418">
        <f t="shared" si="660"/>
        <v>0</v>
      </c>
      <c r="FD222" s="418">
        <f t="shared" si="660"/>
        <v>0</v>
      </c>
      <c r="FE222" s="418">
        <f t="shared" si="660"/>
        <v>0</v>
      </c>
      <c r="FF222" s="418">
        <f t="shared" si="660"/>
        <v>0</v>
      </c>
      <c r="FG222" s="418">
        <f t="shared" si="660"/>
        <v>0</v>
      </c>
      <c r="FH222" s="418">
        <f t="shared" si="660"/>
        <v>0</v>
      </c>
      <c r="FI222" s="418">
        <f t="shared" si="660"/>
        <v>0</v>
      </c>
      <c r="FJ222" s="418">
        <f t="shared" si="660"/>
        <v>0</v>
      </c>
      <c r="FK222" s="418">
        <f t="shared" si="660"/>
        <v>0</v>
      </c>
      <c r="FL222" s="418">
        <f t="shared" si="660"/>
        <v>0</v>
      </c>
      <c r="FM222" s="418">
        <f t="shared" si="660"/>
        <v>0</v>
      </c>
      <c r="FN222" s="418">
        <f t="shared" si="660"/>
        <v>0</v>
      </c>
      <c r="FO222" s="418">
        <f t="shared" si="660"/>
        <v>0</v>
      </c>
      <c r="FP222" s="418">
        <f t="shared" si="660"/>
        <v>0</v>
      </c>
      <c r="FQ222" s="418">
        <f t="shared" si="660"/>
        <v>0</v>
      </c>
      <c r="FR222" s="418">
        <f t="shared" si="660"/>
        <v>0</v>
      </c>
      <c r="FS222" s="418">
        <f t="shared" si="660"/>
        <v>0</v>
      </c>
      <c r="FT222" s="418">
        <f t="shared" si="660"/>
        <v>0</v>
      </c>
      <c r="FU222" s="418">
        <f t="shared" si="660"/>
        <v>0</v>
      </c>
      <c r="FV222" s="418">
        <f t="shared" si="660"/>
        <v>0</v>
      </c>
      <c r="FW222" s="418">
        <f t="shared" si="660"/>
        <v>0</v>
      </c>
      <c r="FX222" s="418">
        <f t="shared" si="660"/>
        <v>0</v>
      </c>
      <c r="FY222" s="418">
        <f t="shared" si="660"/>
        <v>0</v>
      </c>
      <c r="FZ222" s="418">
        <f t="shared" si="660"/>
        <v>0</v>
      </c>
      <c r="GA222" s="418">
        <f t="shared" si="660"/>
        <v>0</v>
      </c>
      <c r="GB222" s="418">
        <f t="shared" si="660"/>
        <v>0</v>
      </c>
      <c r="GC222" s="418">
        <f t="shared" si="660"/>
        <v>0</v>
      </c>
      <c r="GD222" s="418">
        <f t="shared" si="660"/>
        <v>0</v>
      </c>
      <c r="GE222" s="418">
        <f t="shared" si="660"/>
        <v>0</v>
      </c>
      <c r="GF222" s="418">
        <f t="shared" si="660"/>
        <v>0</v>
      </c>
      <c r="GG222" s="418">
        <f t="shared" si="660"/>
        <v>0</v>
      </c>
      <c r="GH222" s="418">
        <f t="shared" si="660"/>
        <v>0</v>
      </c>
      <c r="GI222" s="418">
        <f t="shared" si="660"/>
        <v>0</v>
      </c>
      <c r="GJ222" s="418">
        <f t="shared" si="660"/>
        <v>0</v>
      </c>
      <c r="GK222" s="418">
        <f t="shared" si="660"/>
        <v>0</v>
      </c>
      <c r="GL222" s="418">
        <f t="shared" si="660"/>
        <v>0</v>
      </c>
      <c r="GM222" s="418">
        <f t="shared" si="660"/>
        <v>0</v>
      </c>
      <c r="GN222" s="418">
        <f t="shared" si="660"/>
        <v>0</v>
      </c>
      <c r="GO222" s="418">
        <f t="shared" si="660"/>
        <v>0</v>
      </c>
      <c r="GP222" s="418">
        <f t="shared" si="660"/>
        <v>0</v>
      </c>
      <c r="GQ222" s="418">
        <f t="shared" si="660"/>
        <v>0</v>
      </c>
      <c r="GR222" s="418">
        <f t="shared" si="660"/>
        <v>0</v>
      </c>
      <c r="GS222" s="418">
        <f t="shared" si="660"/>
        <v>0</v>
      </c>
      <c r="GT222" s="418">
        <f t="shared" si="660"/>
        <v>0</v>
      </c>
      <c r="GU222" s="418">
        <f t="shared" si="660"/>
        <v>0</v>
      </c>
      <c r="GV222" s="418">
        <f t="shared" si="660"/>
        <v>0</v>
      </c>
      <c r="GW222" s="418">
        <f t="shared" si="660"/>
        <v>0</v>
      </c>
      <c r="GX222" s="418">
        <f t="shared" si="660"/>
        <v>0</v>
      </c>
      <c r="GY222" s="418">
        <f t="shared" si="660"/>
        <v>0</v>
      </c>
      <c r="GZ222" s="418">
        <f t="shared" si="660"/>
        <v>0</v>
      </c>
      <c r="HA222" s="418">
        <f t="shared" si="660"/>
        <v>0</v>
      </c>
      <c r="HB222" s="418">
        <f t="shared" si="660"/>
        <v>0</v>
      </c>
      <c r="HC222" s="418">
        <f t="shared" si="660"/>
        <v>0</v>
      </c>
      <c r="HD222" s="418">
        <f t="shared" si="660"/>
        <v>0</v>
      </c>
      <c r="HE222" s="418">
        <f t="shared" si="660"/>
        <v>0</v>
      </c>
      <c r="HF222" s="418">
        <f t="shared" si="660"/>
        <v>0</v>
      </c>
      <c r="HG222" s="418">
        <f t="shared" si="660"/>
        <v>0</v>
      </c>
      <c r="HH222" s="418">
        <f t="shared" si="660"/>
        <v>0</v>
      </c>
      <c r="HI222" s="418">
        <f t="shared" ref="HI222:JT222" si="661">+HI220+HI217</f>
        <v>0</v>
      </c>
      <c r="HJ222" s="418">
        <f t="shared" si="661"/>
        <v>0</v>
      </c>
      <c r="HK222" s="418">
        <f t="shared" si="661"/>
        <v>0</v>
      </c>
      <c r="HL222" s="418">
        <f t="shared" si="661"/>
        <v>0</v>
      </c>
      <c r="HM222" s="418">
        <f t="shared" si="661"/>
        <v>0</v>
      </c>
      <c r="HN222" s="418">
        <f t="shared" si="661"/>
        <v>0</v>
      </c>
      <c r="HO222" s="418">
        <f t="shared" si="661"/>
        <v>0</v>
      </c>
      <c r="HP222" s="418">
        <f t="shared" si="661"/>
        <v>0</v>
      </c>
      <c r="HQ222" s="418">
        <f t="shared" si="661"/>
        <v>0</v>
      </c>
      <c r="HR222" s="418">
        <f t="shared" si="661"/>
        <v>0</v>
      </c>
      <c r="HS222" s="418">
        <f t="shared" si="661"/>
        <v>0</v>
      </c>
      <c r="HT222" s="418">
        <f t="shared" si="661"/>
        <v>0</v>
      </c>
      <c r="HU222" s="418">
        <f t="shared" si="661"/>
        <v>0</v>
      </c>
      <c r="HV222" s="418">
        <f t="shared" si="661"/>
        <v>0</v>
      </c>
      <c r="HW222" s="418">
        <f t="shared" si="661"/>
        <v>0</v>
      </c>
      <c r="HX222" s="418">
        <f t="shared" si="661"/>
        <v>0</v>
      </c>
      <c r="HY222" s="418">
        <f t="shared" si="661"/>
        <v>0</v>
      </c>
      <c r="HZ222" s="418">
        <f t="shared" si="661"/>
        <v>0</v>
      </c>
      <c r="IA222" s="418">
        <f t="shared" si="661"/>
        <v>0</v>
      </c>
      <c r="IB222" s="418">
        <f t="shared" si="661"/>
        <v>0</v>
      </c>
      <c r="IC222" s="418">
        <f t="shared" si="661"/>
        <v>0</v>
      </c>
      <c r="ID222" s="418">
        <f t="shared" si="661"/>
        <v>0</v>
      </c>
      <c r="IE222" s="418">
        <f t="shared" si="661"/>
        <v>0</v>
      </c>
      <c r="IF222" s="418">
        <f t="shared" si="661"/>
        <v>0</v>
      </c>
      <c r="IG222" s="418">
        <f t="shared" si="661"/>
        <v>0</v>
      </c>
      <c r="IH222" s="418">
        <f t="shared" si="661"/>
        <v>0</v>
      </c>
      <c r="II222" s="418">
        <f t="shared" si="661"/>
        <v>0</v>
      </c>
      <c r="IJ222" s="418">
        <f t="shared" si="661"/>
        <v>0</v>
      </c>
      <c r="IK222" s="418">
        <f t="shared" si="661"/>
        <v>0</v>
      </c>
      <c r="IL222" s="418">
        <f t="shared" si="661"/>
        <v>0</v>
      </c>
      <c r="IM222" s="418">
        <f t="shared" si="661"/>
        <v>0</v>
      </c>
      <c r="IN222" s="418">
        <f t="shared" si="661"/>
        <v>0</v>
      </c>
      <c r="IO222" s="418">
        <f t="shared" si="661"/>
        <v>0</v>
      </c>
      <c r="IP222" s="418">
        <f t="shared" si="661"/>
        <v>0</v>
      </c>
      <c r="IQ222" s="418">
        <f t="shared" si="661"/>
        <v>0</v>
      </c>
      <c r="IR222" s="418">
        <f t="shared" si="661"/>
        <v>0</v>
      </c>
      <c r="IS222" s="418">
        <f t="shared" si="661"/>
        <v>0</v>
      </c>
      <c r="IT222" s="418">
        <f t="shared" si="661"/>
        <v>0</v>
      </c>
      <c r="IU222" s="418">
        <f t="shared" si="661"/>
        <v>0</v>
      </c>
      <c r="IV222" s="418">
        <f t="shared" si="661"/>
        <v>0</v>
      </c>
      <c r="IW222" s="418">
        <f t="shared" si="661"/>
        <v>0</v>
      </c>
      <c r="IX222" s="418">
        <f t="shared" si="661"/>
        <v>0</v>
      </c>
      <c r="IY222" s="418">
        <f t="shared" si="661"/>
        <v>0</v>
      </c>
      <c r="IZ222" s="418">
        <f t="shared" si="661"/>
        <v>0</v>
      </c>
      <c r="JA222" s="418">
        <f t="shared" si="661"/>
        <v>0</v>
      </c>
      <c r="JB222" s="418">
        <f t="shared" si="661"/>
        <v>0</v>
      </c>
      <c r="JC222" s="418">
        <f t="shared" si="661"/>
        <v>0</v>
      </c>
      <c r="JD222" s="418">
        <f t="shared" si="661"/>
        <v>0</v>
      </c>
      <c r="JE222" s="418">
        <f t="shared" si="661"/>
        <v>0</v>
      </c>
      <c r="JF222" s="418">
        <f t="shared" si="661"/>
        <v>0</v>
      </c>
      <c r="JG222" s="418">
        <f t="shared" si="661"/>
        <v>0</v>
      </c>
      <c r="JH222" s="418">
        <f t="shared" si="661"/>
        <v>0</v>
      </c>
      <c r="JI222" s="418">
        <f t="shared" si="661"/>
        <v>0</v>
      </c>
      <c r="JJ222" s="418">
        <f t="shared" si="661"/>
        <v>0</v>
      </c>
      <c r="JK222" s="418">
        <f t="shared" si="661"/>
        <v>0</v>
      </c>
      <c r="JL222" s="418">
        <f t="shared" si="661"/>
        <v>0</v>
      </c>
      <c r="JM222" s="418">
        <f t="shared" si="661"/>
        <v>0</v>
      </c>
      <c r="JN222" s="418">
        <f t="shared" si="661"/>
        <v>0</v>
      </c>
      <c r="JO222" s="418">
        <f t="shared" si="661"/>
        <v>0</v>
      </c>
      <c r="JP222" s="418">
        <f t="shared" si="661"/>
        <v>0</v>
      </c>
      <c r="JQ222" s="418">
        <f t="shared" si="661"/>
        <v>0</v>
      </c>
      <c r="JR222" s="418">
        <f t="shared" si="661"/>
        <v>0</v>
      </c>
      <c r="JS222" s="418">
        <f t="shared" si="661"/>
        <v>0</v>
      </c>
      <c r="JT222" s="418">
        <f t="shared" si="661"/>
        <v>0</v>
      </c>
      <c r="JU222" s="418">
        <f>+JU220+JU217</f>
        <v>0</v>
      </c>
      <c r="JV222" s="418">
        <f>+JV220+JV217</f>
        <v>0</v>
      </c>
      <c r="JW222" s="418">
        <f>+JW220+JW217</f>
        <v>0</v>
      </c>
      <c r="JX222" s="418">
        <f>+JX220+JX217</f>
        <v>0</v>
      </c>
      <c r="JY222"/>
      <c r="JZ222" s="262"/>
      <c r="KA222" s="262"/>
      <c r="KB222" s="262"/>
      <c r="KC222" s="262"/>
      <c r="KD222" s="262"/>
      <c r="KE222" s="262"/>
      <c r="KF222" s="262"/>
      <c r="KG222" s="262"/>
      <c r="KH222" s="262"/>
      <c r="KI222" s="262"/>
      <c r="KJ222" s="262"/>
      <c r="KK222" s="262"/>
      <c r="KL222" s="262"/>
      <c r="KM222" s="262"/>
      <c r="KN222" s="262"/>
      <c r="KO222" s="262"/>
      <c r="KP222" s="262"/>
      <c r="KQ222" s="262"/>
      <c r="KR222" s="262"/>
      <c r="KS222" s="262"/>
      <c r="KT222" s="262"/>
      <c r="KU222" s="262"/>
      <c r="KV222" s="262"/>
      <c r="KW222" s="262"/>
      <c r="KX222" s="262"/>
      <c r="KY222" s="262"/>
      <c r="KZ222" s="262"/>
      <c r="LA222" s="262"/>
      <c r="LB222" s="262"/>
      <c r="LC222" s="262"/>
      <c r="LD222" s="262"/>
      <c r="LE222" s="262"/>
      <c r="LF222" s="262"/>
      <c r="LG222" s="262"/>
      <c r="LH222" s="262"/>
      <c r="LI222" s="262"/>
      <c r="LJ222" s="262"/>
      <c r="LK222" s="262"/>
      <c r="LL222" s="262"/>
      <c r="LM222" s="262"/>
      <c r="LN222" s="262"/>
      <c r="LO222" s="262"/>
      <c r="LP222" s="262"/>
      <c r="LQ222" s="262"/>
      <c r="LR222" s="262"/>
      <c r="LS222" s="262"/>
      <c r="LT222" s="262"/>
      <c r="LU222" s="262"/>
      <c r="LV222" s="262"/>
      <c r="LW222" s="262"/>
      <c r="LX222" s="262"/>
      <c r="LY222" s="262"/>
      <c r="LZ222" s="262"/>
      <c r="MA222" s="262"/>
      <c r="MB222" s="262"/>
      <c r="MC222" s="262"/>
      <c r="MD222" s="262"/>
      <c r="ME222" s="262"/>
      <c r="MF222" s="262"/>
      <c r="MG222" s="262"/>
      <c r="MH222" s="262"/>
      <c r="MI222" s="262"/>
      <c r="MJ222" s="262"/>
      <c r="MK222" s="262"/>
      <c r="ML222" s="262"/>
      <c r="MM222" s="262"/>
      <c r="MN222" s="262"/>
      <c r="MO222" s="262"/>
      <c r="MP222" s="262"/>
      <c r="MQ222" s="262"/>
      <c r="MR222" s="262"/>
      <c r="MS222" s="262"/>
      <c r="MT222" s="262"/>
      <c r="MU222" s="262"/>
      <c r="MV222" s="262"/>
      <c r="MW222" s="262"/>
      <c r="MX222" s="262"/>
      <c r="MY222" s="262"/>
      <c r="MZ222" s="262"/>
      <c r="NA222" s="262"/>
      <c r="NB222" s="262"/>
      <c r="NC222" s="262"/>
      <c r="ND222" s="262"/>
      <c r="NE222" s="262"/>
      <c r="NF222" s="262"/>
      <c r="NG222" s="262"/>
      <c r="NH222" s="262"/>
      <c r="NI222" s="262"/>
      <c r="NJ222" s="262"/>
      <c r="NK222" s="262"/>
      <c r="NL222" s="262"/>
      <c r="NM222" s="262"/>
      <c r="NN222" s="262"/>
      <c r="NO222" s="262"/>
      <c r="NP222" s="262"/>
      <c r="NQ222" s="262"/>
      <c r="NR222" s="262"/>
      <c r="NS222" s="262"/>
      <c r="NT222" s="262"/>
      <c r="NU222" s="262"/>
      <c r="NV222" s="262"/>
      <c r="NW222" s="262"/>
      <c r="NX222" s="262"/>
      <c r="NY222" s="262"/>
      <c r="NZ222" s="262"/>
      <c r="OA222" s="262"/>
      <c r="OB222" s="262"/>
      <c r="OC222" s="262"/>
      <c r="OD222" s="262"/>
      <c r="OE222" s="262"/>
      <c r="OF222" s="262"/>
      <c r="OG222" s="262"/>
      <c r="OH222" s="262"/>
      <c r="OI222" s="262"/>
      <c r="OJ222" s="262"/>
      <c r="OK222" s="262"/>
      <c r="OL222" s="262"/>
      <c r="OM222" s="262"/>
      <c r="ON222" s="262"/>
      <c r="OO222" s="262"/>
      <c r="OP222" s="262"/>
      <c r="OQ222" s="262"/>
      <c r="OR222" s="262"/>
      <c r="OS222" s="262"/>
      <c r="OT222" s="262"/>
      <c r="OU222" s="262"/>
      <c r="OV222" s="262"/>
      <c r="OW222" s="262"/>
      <c r="OX222" s="262"/>
      <c r="OY222" s="262"/>
      <c r="OZ222" s="262"/>
      <c r="PA222" s="262"/>
      <c r="PB222" s="262"/>
      <c r="PC222" s="262"/>
      <c r="PD222" s="262"/>
      <c r="PE222" s="262"/>
      <c r="PF222" s="262"/>
      <c r="PG222" s="262"/>
      <c r="PH222" s="262"/>
    </row>
    <row r="223" spans="1:424" x14ac:dyDescent="0.35">
      <c r="A223"/>
      <c r="B223" s="444">
        <f>C229</f>
        <v>1</v>
      </c>
      <c r="C223" s="400"/>
      <c r="D223" s="445">
        <f>I229</f>
        <v>218693471.58938444</v>
      </c>
      <c r="E223" s="445">
        <f>I245</f>
        <v>300946221.77460557</v>
      </c>
      <c r="F223" s="40"/>
      <c r="G223" s="299">
        <f>IFERROR(E223/D223,"NA")</f>
        <v>1.3761097649026197</v>
      </c>
      <c r="H223" s="536">
        <f>IFERROR(F245,"NA")</f>
        <v>3.6516197698477049</v>
      </c>
      <c r="I223" s="300">
        <f>IFERROR(G245,"NA")</f>
        <v>4.7683715820312501E-9</v>
      </c>
      <c r="J223"/>
      <c r="K223"/>
      <c r="L223" s="196"/>
      <c r="M223" s="196"/>
      <c r="N223" s="196"/>
      <c r="O223" s="196"/>
      <c r="P223" s="196"/>
      <c r="Q223" s="196"/>
      <c r="R223" s="196"/>
      <c r="S223" s="196"/>
      <c r="T223" s="196"/>
      <c r="U223" s="196"/>
      <c r="V223" s="196"/>
      <c r="W223" s="196"/>
      <c r="X223" s="196"/>
      <c r="Y223" s="196"/>
      <c r="Z223" s="196"/>
      <c r="AA223" s="196"/>
      <c r="AB223" s="196"/>
      <c r="AC223" s="196"/>
      <c r="AD223" s="196"/>
      <c r="AE223" s="196"/>
      <c r="AF223" s="196"/>
      <c r="AG223" s="196"/>
      <c r="AH223" s="196"/>
      <c r="AI223" s="196"/>
      <c r="AJ223" s="196"/>
      <c r="AK223" s="196"/>
      <c r="AL223" s="196"/>
      <c r="AM223" s="196"/>
      <c r="AN223" s="196"/>
      <c r="AO223" s="196"/>
      <c r="AP223" s="196"/>
      <c r="AQ223" s="196"/>
      <c r="AR223" s="196"/>
      <c r="AS223" s="196"/>
      <c r="AT223" s="196"/>
      <c r="AU223" s="196"/>
      <c r="AV223" s="196"/>
      <c r="AW223" s="196"/>
      <c r="AX223" s="196"/>
      <c r="AY223" s="196"/>
      <c r="AZ223" s="196"/>
      <c r="BA223" s="196"/>
      <c r="BB223" s="196"/>
      <c r="BC223" s="196"/>
      <c r="BD223" s="196"/>
      <c r="BE223" s="196"/>
      <c r="BF223" s="196"/>
      <c r="BG223" s="196"/>
      <c r="BH223" s="196"/>
      <c r="BI223" s="196"/>
      <c r="BJ223" s="196"/>
      <c r="BK223" s="196"/>
      <c r="BL223" s="196"/>
      <c r="BM223" s="196"/>
      <c r="BN223" s="196"/>
      <c r="BO223" s="196"/>
      <c r="BP223" s="196"/>
      <c r="BQ223" s="196"/>
      <c r="BR223" s="196"/>
      <c r="BS223" s="196"/>
      <c r="BT223" s="196"/>
      <c r="BU223" s="196"/>
      <c r="BV223" s="196"/>
      <c r="BW223" s="196"/>
      <c r="BX223" s="196"/>
      <c r="BY223" s="196"/>
      <c r="BZ223" s="196"/>
      <c r="CA223" s="196"/>
      <c r="CB223" s="196"/>
      <c r="CC223" s="196"/>
      <c r="CD223" s="196"/>
      <c r="CE223" s="196"/>
      <c r="CF223" s="196"/>
      <c r="CG223" s="196"/>
      <c r="CH223" s="196"/>
      <c r="CI223" s="196"/>
      <c r="CJ223" s="196"/>
      <c r="CK223" s="196"/>
      <c r="CL223" s="196"/>
      <c r="CM223" s="196"/>
      <c r="CN223" s="196"/>
      <c r="CO223" s="196"/>
      <c r="CP223" s="196"/>
      <c r="CQ223" s="196"/>
      <c r="CR223" s="196"/>
      <c r="CS223" s="196"/>
      <c r="CT223" s="196"/>
      <c r="CU223" s="196"/>
      <c r="CV223" s="196"/>
      <c r="CW223" s="196"/>
      <c r="CX223" s="196"/>
      <c r="CY223" s="196"/>
      <c r="CZ223" s="196"/>
      <c r="DA223" s="196"/>
      <c r="DB223" s="196"/>
      <c r="DC223" s="196"/>
      <c r="DD223" s="196"/>
      <c r="DE223" s="196"/>
      <c r="DF223" s="196"/>
      <c r="DG223" s="196"/>
      <c r="DH223" s="196"/>
      <c r="DI223" s="196"/>
      <c r="DJ223" s="196"/>
      <c r="DK223" s="196"/>
      <c r="DL223" s="196"/>
      <c r="DM223" s="196"/>
      <c r="DN223" s="196"/>
      <c r="DO223" s="196"/>
      <c r="DP223" s="196"/>
      <c r="DQ223" s="196"/>
      <c r="DR223" s="196"/>
      <c r="DS223" s="196"/>
      <c r="DT223" s="196"/>
      <c r="DU223" s="196"/>
      <c r="DV223" s="196"/>
      <c r="DW223" s="196"/>
      <c r="DX223" s="196"/>
      <c r="DY223" s="196"/>
      <c r="DZ223" s="196"/>
      <c r="EA223" s="196"/>
      <c r="EB223" s="196"/>
      <c r="EC223" s="196"/>
      <c r="ED223" s="196"/>
      <c r="EE223" s="196"/>
      <c r="EF223" s="196"/>
      <c r="EG223" s="196"/>
      <c r="EH223" s="196"/>
      <c r="EI223" s="196"/>
      <c r="EJ223" s="196"/>
      <c r="EK223" s="196"/>
      <c r="EL223" s="196"/>
      <c r="EM223" s="196"/>
      <c r="EN223" s="196"/>
      <c r="EO223"/>
      <c r="EP223" s="537"/>
      <c r="EQ223" s="533"/>
      <c r="ER223" s="533"/>
      <c r="ES223" s="533"/>
      <c r="ET223" s="533" t="s">
        <v>405</v>
      </c>
      <c r="EU223" s="533"/>
      <c r="EV223" s="534">
        <f>MAX(EV196-EV211-EV222,0)</f>
        <v>0</v>
      </c>
      <c r="EW223" s="534">
        <f t="shared" ref="EW223:GA223" si="662">MAX(EW196-EW211-EW222,0)</f>
        <v>0</v>
      </c>
      <c r="EX223" s="534">
        <f t="shared" si="662"/>
        <v>0</v>
      </c>
      <c r="EY223" s="534">
        <f t="shared" si="662"/>
        <v>0</v>
      </c>
      <c r="EZ223" s="534">
        <f t="shared" si="662"/>
        <v>0</v>
      </c>
      <c r="FA223" s="534">
        <f t="shared" si="662"/>
        <v>0</v>
      </c>
      <c r="FB223" s="534">
        <f t="shared" si="662"/>
        <v>0</v>
      </c>
      <c r="FC223" s="534">
        <f t="shared" si="662"/>
        <v>0</v>
      </c>
      <c r="FD223" s="534">
        <f t="shared" si="662"/>
        <v>0</v>
      </c>
      <c r="FE223" s="534">
        <f t="shared" si="662"/>
        <v>0</v>
      </c>
      <c r="FF223" s="534">
        <f t="shared" si="662"/>
        <v>0</v>
      </c>
      <c r="FG223" s="534">
        <f t="shared" si="662"/>
        <v>0</v>
      </c>
      <c r="FH223" s="534">
        <f t="shared" si="662"/>
        <v>0</v>
      </c>
      <c r="FI223" s="534">
        <f t="shared" si="662"/>
        <v>0</v>
      </c>
      <c r="FJ223" s="534">
        <f t="shared" si="662"/>
        <v>0</v>
      </c>
      <c r="FK223" s="534">
        <f t="shared" si="662"/>
        <v>0</v>
      </c>
      <c r="FL223" s="534">
        <f t="shared" si="662"/>
        <v>0</v>
      </c>
      <c r="FM223" s="534">
        <f t="shared" si="662"/>
        <v>0</v>
      </c>
      <c r="FN223" s="534">
        <f t="shared" si="662"/>
        <v>0</v>
      </c>
      <c r="FO223" s="534">
        <f t="shared" si="662"/>
        <v>0</v>
      </c>
      <c r="FP223" s="534">
        <f t="shared" si="662"/>
        <v>0</v>
      </c>
      <c r="FQ223" s="534">
        <f t="shared" si="662"/>
        <v>0</v>
      </c>
      <c r="FR223" s="534">
        <f t="shared" si="662"/>
        <v>0</v>
      </c>
      <c r="FS223" s="534">
        <f t="shared" si="662"/>
        <v>0</v>
      </c>
      <c r="FT223" s="534">
        <f t="shared" si="662"/>
        <v>0</v>
      </c>
      <c r="FU223" s="534">
        <f t="shared" si="662"/>
        <v>0</v>
      </c>
      <c r="FV223" s="534">
        <f t="shared" si="662"/>
        <v>0</v>
      </c>
      <c r="FW223" s="534">
        <f t="shared" si="662"/>
        <v>0</v>
      </c>
      <c r="FX223" s="534">
        <f t="shared" si="662"/>
        <v>0</v>
      </c>
      <c r="FY223" s="534">
        <f t="shared" si="662"/>
        <v>0</v>
      </c>
      <c r="FZ223" s="534">
        <f t="shared" si="662"/>
        <v>0</v>
      </c>
      <c r="GA223" s="534">
        <f t="shared" si="662"/>
        <v>0</v>
      </c>
      <c r="GB223" s="534">
        <f t="shared" ref="GB223:HG223" si="663">MAX(GB196-GB211-GB222,0)</f>
        <v>0</v>
      </c>
      <c r="GC223" s="534">
        <f t="shared" si="663"/>
        <v>0</v>
      </c>
      <c r="GD223" s="534">
        <f t="shared" si="663"/>
        <v>0</v>
      </c>
      <c r="GE223" s="534">
        <f t="shared" si="663"/>
        <v>0</v>
      </c>
      <c r="GF223" s="534">
        <f t="shared" si="663"/>
        <v>0</v>
      </c>
      <c r="GG223" s="534">
        <f t="shared" si="663"/>
        <v>0</v>
      </c>
      <c r="GH223" s="534">
        <f t="shared" si="663"/>
        <v>0</v>
      </c>
      <c r="GI223" s="534">
        <f t="shared" si="663"/>
        <v>0</v>
      </c>
      <c r="GJ223" s="534">
        <f t="shared" si="663"/>
        <v>0</v>
      </c>
      <c r="GK223" s="534">
        <f t="shared" si="663"/>
        <v>0</v>
      </c>
      <c r="GL223" s="534">
        <f t="shared" si="663"/>
        <v>0</v>
      </c>
      <c r="GM223" s="534">
        <f t="shared" si="663"/>
        <v>0</v>
      </c>
      <c r="GN223" s="534">
        <f t="shared" si="663"/>
        <v>0</v>
      </c>
      <c r="GO223" s="534">
        <f t="shared" si="663"/>
        <v>0</v>
      </c>
      <c r="GP223" s="534">
        <f t="shared" si="663"/>
        <v>0</v>
      </c>
      <c r="GQ223" s="534">
        <f t="shared" si="663"/>
        <v>0</v>
      </c>
      <c r="GR223" s="534">
        <f t="shared" si="663"/>
        <v>0</v>
      </c>
      <c r="GS223" s="534">
        <f t="shared" si="663"/>
        <v>0</v>
      </c>
      <c r="GT223" s="534">
        <f t="shared" si="663"/>
        <v>0</v>
      </c>
      <c r="GU223" s="534">
        <f t="shared" si="663"/>
        <v>0</v>
      </c>
      <c r="GV223" s="534">
        <f t="shared" si="663"/>
        <v>0</v>
      </c>
      <c r="GW223" s="534">
        <f t="shared" si="663"/>
        <v>0</v>
      </c>
      <c r="GX223" s="534">
        <f t="shared" si="663"/>
        <v>0</v>
      </c>
      <c r="GY223" s="534">
        <f t="shared" si="663"/>
        <v>0</v>
      </c>
      <c r="GZ223" s="534">
        <f t="shared" si="663"/>
        <v>0</v>
      </c>
      <c r="HA223" s="534">
        <f t="shared" si="663"/>
        <v>0</v>
      </c>
      <c r="HB223" s="534">
        <f t="shared" si="663"/>
        <v>0</v>
      </c>
      <c r="HC223" s="534">
        <f t="shared" si="663"/>
        <v>0</v>
      </c>
      <c r="HD223" s="534">
        <f t="shared" si="663"/>
        <v>0</v>
      </c>
      <c r="HE223" s="534">
        <f t="shared" si="663"/>
        <v>300946221.77460557</v>
      </c>
      <c r="HF223" s="534">
        <f t="shared" si="663"/>
        <v>0</v>
      </c>
      <c r="HG223" s="534">
        <f t="shared" si="663"/>
        <v>0</v>
      </c>
      <c r="HH223" s="534">
        <f t="shared" ref="HH223:IM223" si="664">MAX(HH196-HH211-HH222,0)</f>
        <v>0</v>
      </c>
      <c r="HI223" s="534">
        <f t="shared" si="664"/>
        <v>0</v>
      </c>
      <c r="HJ223" s="534">
        <f t="shared" si="664"/>
        <v>0</v>
      </c>
      <c r="HK223" s="534">
        <f t="shared" si="664"/>
        <v>0</v>
      </c>
      <c r="HL223" s="534">
        <f t="shared" si="664"/>
        <v>0</v>
      </c>
      <c r="HM223" s="534">
        <f t="shared" si="664"/>
        <v>0</v>
      </c>
      <c r="HN223" s="534">
        <f t="shared" si="664"/>
        <v>0</v>
      </c>
      <c r="HO223" s="534">
        <f t="shared" si="664"/>
        <v>0</v>
      </c>
      <c r="HP223" s="534">
        <f t="shared" si="664"/>
        <v>0</v>
      </c>
      <c r="HQ223" s="534">
        <f t="shared" si="664"/>
        <v>0</v>
      </c>
      <c r="HR223" s="534">
        <f t="shared" si="664"/>
        <v>0</v>
      </c>
      <c r="HS223" s="534">
        <f t="shared" si="664"/>
        <v>0</v>
      </c>
      <c r="HT223" s="534">
        <f t="shared" si="664"/>
        <v>0</v>
      </c>
      <c r="HU223" s="534">
        <f t="shared" si="664"/>
        <v>0</v>
      </c>
      <c r="HV223" s="534">
        <f t="shared" si="664"/>
        <v>0</v>
      </c>
      <c r="HW223" s="534">
        <f t="shared" si="664"/>
        <v>0</v>
      </c>
      <c r="HX223" s="534">
        <f t="shared" si="664"/>
        <v>0</v>
      </c>
      <c r="HY223" s="534">
        <f t="shared" si="664"/>
        <v>0</v>
      </c>
      <c r="HZ223" s="534">
        <f t="shared" si="664"/>
        <v>0</v>
      </c>
      <c r="IA223" s="534">
        <f t="shared" si="664"/>
        <v>0</v>
      </c>
      <c r="IB223" s="534">
        <f t="shared" si="664"/>
        <v>0</v>
      </c>
      <c r="IC223" s="534">
        <f t="shared" si="664"/>
        <v>0</v>
      </c>
      <c r="ID223" s="534">
        <f t="shared" si="664"/>
        <v>0</v>
      </c>
      <c r="IE223" s="534">
        <f t="shared" si="664"/>
        <v>0</v>
      </c>
      <c r="IF223" s="534">
        <f t="shared" si="664"/>
        <v>0</v>
      </c>
      <c r="IG223" s="534">
        <f t="shared" si="664"/>
        <v>0</v>
      </c>
      <c r="IH223" s="534">
        <f t="shared" si="664"/>
        <v>0</v>
      </c>
      <c r="II223" s="534">
        <f t="shared" si="664"/>
        <v>0</v>
      </c>
      <c r="IJ223" s="534">
        <f t="shared" si="664"/>
        <v>0</v>
      </c>
      <c r="IK223" s="534">
        <f t="shared" si="664"/>
        <v>0</v>
      </c>
      <c r="IL223" s="534">
        <f t="shared" si="664"/>
        <v>0</v>
      </c>
      <c r="IM223" s="534">
        <f t="shared" si="664"/>
        <v>0</v>
      </c>
      <c r="IN223" s="534">
        <f t="shared" ref="IN223:JS223" si="665">MAX(IN196-IN211-IN222,0)</f>
        <v>0</v>
      </c>
      <c r="IO223" s="534">
        <f t="shared" si="665"/>
        <v>0</v>
      </c>
      <c r="IP223" s="534">
        <f t="shared" si="665"/>
        <v>0</v>
      </c>
      <c r="IQ223" s="534">
        <f t="shared" si="665"/>
        <v>0</v>
      </c>
      <c r="IR223" s="534">
        <f t="shared" si="665"/>
        <v>0</v>
      </c>
      <c r="IS223" s="534">
        <f t="shared" si="665"/>
        <v>0</v>
      </c>
      <c r="IT223" s="534">
        <f t="shared" si="665"/>
        <v>0</v>
      </c>
      <c r="IU223" s="534">
        <f t="shared" si="665"/>
        <v>0</v>
      </c>
      <c r="IV223" s="534">
        <f t="shared" si="665"/>
        <v>0</v>
      </c>
      <c r="IW223" s="534">
        <f t="shared" si="665"/>
        <v>0</v>
      </c>
      <c r="IX223" s="534">
        <f t="shared" si="665"/>
        <v>0</v>
      </c>
      <c r="IY223" s="534">
        <f t="shared" si="665"/>
        <v>0</v>
      </c>
      <c r="IZ223" s="534">
        <f t="shared" si="665"/>
        <v>0</v>
      </c>
      <c r="JA223" s="534">
        <f t="shared" si="665"/>
        <v>0</v>
      </c>
      <c r="JB223" s="534">
        <f t="shared" si="665"/>
        <v>0</v>
      </c>
      <c r="JC223" s="534">
        <f t="shared" si="665"/>
        <v>0</v>
      </c>
      <c r="JD223" s="534">
        <f t="shared" si="665"/>
        <v>0</v>
      </c>
      <c r="JE223" s="534">
        <f t="shared" si="665"/>
        <v>0</v>
      </c>
      <c r="JF223" s="534">
        <f t="shared" si="665"/>
        <v>0</v>
      </c>
      <c r="JG223" s="534">
        <f t="shared" si="665"/>
        <v>0</v>
      </c>
      <c r="JH223" s="534">
        <f t="shared" si="665"/>
        <v>0</v>
      </c>
      <c r="JI223" s="534">
        <f t="shared" si="665"/>
        <v>0</v>
      </c>
      <c r="JJ223" s="534">
        <f t="shared" si="665"/>
        <v>0</v>
      </c>
      <c r="JK223" s="534">
        <f t="shared" si="665"/>
        <v>0</v>
      </c>
      <c r="JL223" s="534">
        <f t="shared" si="665"/>
        <v>0</v>
      </c>
      <c r="JM223" s="534">
        <f t="shared" si="665"/>
        <v>0</v>
      </c>
      <c r="JN223" s="534">
        <f t="shared" si="665"/>
        <v>0</v>
      </c>
      <c r="JO223" s="534">
        <f t="shared" si="665"/>
        <v>0</v>
      </c>
      <c r="JP223" s="534">
        <f t="shared" si="665"/>
        <v>0</v>
      </c>
      <c r="JQ223" s="534">
        <f t="shared" si="665"/>
        <v>0</v>
      </c>
      <c r="JR223" s="534">
        <f t="shared" si="665"/>
        <v>0</v>
      </c>
      <c r="JS223" s="534">
        <f t="shared" si="665"/>
        <v>0</v>
      </c>
      <c r="JT223" s="534">
        <f>MAX(JT196-JT211-JT222,0)</f>
        <v>0</v>
      </c>
      <c r="JU223" s="534">
        <f>MAX(JU196-JU211-JU222,0)</f>
        <v>0</v>
      </c>
      <c r="JV223" s="534">
        <f>MAX(JV196-JV211-JV222,0)</f>
        <v>0</v>
      </c>
      <c r="JW223" s="534">
        <f>MAX(JW196-JW211-JW222,0)</f>
        <v>0</v>
      </c>
      <c r="JX223" s="534">
        <f>MAX(JX196-JX211-JX222,0)</f>
        <v>0</v>
      </c>
      <c r="JY223"/>
      <c r="JZ223" s="262"/>
      <c r="KA223" s="262"/>
      <c r="KB223" s="262"/>
      <c r="KC223" s="262"/>
      <c r="KD223" s="262"/>
      <c r="KE223" s="262"/>
      <c r="KF223" s="262"/>
      <c r="KG223" s="262"/>
      <c r="KH223" s="262"/>
      <c r="KI223" s="262"/>
      <c r="KJ223" s="262"/>
      <c r="KK223" s="262"/>
      <c r="KL223" s="262"/>
      <c r="KM223" s="262"/>
      <c r="KN223" s="262"/>
      <c r="KO223" s="262"/>
      <c r="KP223" s="262"/>
      <c r="KQ223" s="262"/>
      <c r="KR223" s="262"/>
      <c r="KS223" s="262"/>
      <c r="KT223" s="262"/>
      <c r="KU223" s="262"/>
      <c r="KV223" s="262"/>
      <c r="KW223" s="262"/>
      <c r="KX223" s="262"/>
      <c r="KY223" s="262"/>
      <c r="KZ223" s="262"/>
      <c r="LA223" s="262"/>
      <c r="LB223" s="262"/>
      <c r="LC223" s="262"/>
      <c r="LD223" s="262"/>
      <c r="LE223" s="262"/>
      <c r="LF223" s="262"/>
      <c r="LG223" s="262"/>
      <c r="LH223" s="262"/>
      <c r="LI223" s="262"/>
      <c r="LJ223" s="262"/>
      <c r="LK223" s="262"/>
      <c r="LL223" s="262"/>
      <c r="LM223" s="262"/>
      <c r="LN223" s="262"/>
      <c r="LO223" s="262"/>
      <c r="LP223" s="262"/>
      <c r="LQ223" s="262"/>
      <c r="LR223" s="262"/>
      <c r="LS223" s="262"/>
      <c r="LT223" s="262"/>
      <c r="LU223" s="262"/>
      <c r="LV223" s="262"/>
      <c r="LW223" s="262"/>
      <c r="LX223" s="262"/>
      <c r="LY223" s="262"/>
      <c r="LZ223" s="262"/>
      <c r="MA223" s="262"/>
      <c r="MB223" s="262"/>
      <c r="MC223" s="262"/>
      <c r="MD223" s="262"/>
      <c r="ME223" s="262"/>
      <c r="MF223" s="262"/>
      <c r="MG223" s="262"/>
      <c r="MH223" s="262"/>
      <c r="MI223" s="262"/>
      <c r="MJ223" s="262"/>
      <c r="MK223" s="262"/>
      <c r="ML223" s="262"/>
      <c r="MM223" s="262"/>
      <c r="MN223" s="262"/>
      <c r="MO223" s="262"/>
      <c r="MP223" s="262"/>
      <c r="MQ223" s="262"/>
      <c r="MR223" s="262"/>
      <c r="MS223" s="262"/>
      <c r="MT223" s="262"/>
      <c r="MU223" s="262"/>
      <c r="MV223" s="262"/>
      <c r="MW223" s="262"/>
      <c r="MX223" s="262"/>
      <c r="MY223" s="262"/>
      <c r="MZ223" s="262"/>
      <c r="NA223" s="262"/>
      <c r="NB223" s="262"/>
      <c r="NC223" s="262"/>
      <c r="ND223" s="262"/>
      <c r="NE223" s="262"/>
      <c r="NF223" s="262"/>
      <c r="NG223" s="262"/>
      <c r="NH223" s="262"/>
      <c r="NI223" s="262"/>
      <c r="NJ223" s="262"/>
      <c r="NK223" s="262"/>
      <c r="NL223" s="262"/>
      <c r="NM223" s="262"/>
      <c r="NN223" s="262"/>
      <c r="NO223" s="262"/>
      <c r="NP223" s="262"/>
      <c r="NQ223" s="262"/>
      <c r="NR223" s="262"/>
      <c r="NS223" s="262"/>
      <c r="NT223" s="262"/>
      <c r="NU223" s="262"/>
      <c r="NV223" s="262"/>
      <c r="NW223" s="262"/>
      <c r="NX223" s="262"/>
      <c r="NY223" s="262"/>
      <c r="NZ223" s="262"/>
      <c r="OA223" s="262"/>
      <c r="OB223" s="262"/>
      <c r="OC223" s="262"/>
      <c r="OD223" s="262"/>
      <c r="OE223" s="262"/>
      <c r="OF223" s="262"/>
      <c r="OG223" s="262"/>
      <c r="OH223" s="262"/>
      <c r="OI223" s="262"/>
      <c r="OJ223" s="262"/>
      <c r="OK223" s="262"/>
      <c r="OL223" s="262"/>
      <c r="OM223" s="262"/>
      <c r="ON223" s="262"/>
      <c r="OO223" s="262"/>
      <c r="OP223" s="262"/>
      <c r="OQ223" s="262"/>
      <c r="OR223" s="262"/>
      <c r="OS223" s="262"/>
      <c r="OT223" s="262"/>
      <c r="OU223" s="262"/>
      <c r="OV223" s="262"/>
      <c r="OW223" s="262"/>
      <c r="OX223" s="262"/>
      <c r="OY223" s="262"/>
      <c r="OZ223" s="262"/>
      <c r="PA223" s="262"/>
      <c r="PB223" s="262"/>
      <c r="PC223" s="262"/>
      <c r="PD223" s="262"/>
      <c r="PE223" s="262"/>
      <c r="PF223" s="262"/>
      <c r="PG223" s="262"/>
      <c r="PH223" s="262"/>
    </row>
    <row r="224" spans="1:424" x14ac:dyDescent="0.35">
      <c r="A224"/>
      <c r="B224" s="444">
        <f>IF(Dbl_Promote?=1,C260,C228)</f>
        <v>0</v>
      </c>
      <c r="C224" s="400"/>
      <c r="D224" s="445">
        <f>IF(Dbl_Promote?=1,I249,I228)</f>
        <v>0</v>
      </c>
      <c r="E224" s="445">
        <f>IF(Dbl_Promote?=1,I265,I244)</f>
        <v>0</v>
      </c>
      <c r="F224" s="40"/>
      <c r="G224" s="57" t="str">
        <f>IFERROR(E224/D224,"NA")</f>
        <v>NA</v>
      </c>
      <c r="H224" s="538" t="str">
        <f>IFERROR(IF(Dbl_Promote?=1,F265,F244),"NA")</f>
        <v>NA</v>
      </c>
      <c r="I224" s="39" t="str">
        <f>IFERROR(IF(Dbl_Promote?=1,G265,G244),"NA")</f>
        <v>NA</v>
      </c>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s="405" t="s">
        <v>426</v>
      </c>
      <c r="EQ224" s="18"/>
      <c r="ER224" s="18"/>
      <c r="ES224" s="18"/>
      <c r="ET224" s="18" t="s">
        <v>379</v>
      </c>
      <c r="EU224" s="18"/>
      <c r="EV224" s="418">
        <f>(EV$197&lt;=Timing_Reversion_Month)*EU228</f>
        <v>0</v>
      </c>
      <c r="EW224" s="418">
        <f t="shared" ref="EW224:GA224" si="666">(EW$197&lt;=Timing_Reversion_Month)*EV228</f>
        <v>76389582.872717112</v>
      </c>
      <c r="EX224" s="418">
        <f t="shared" si="666"/>
        <v>76319020.60374704</v>
      </c>
      <c r="EY224" s="418">
        <f t="shared" si="666"/>
        <v>76319020.60374704</v>
      </c>
      <c r="EZ224" s="418">
        <f t="shared" si="666"/>
        <v>76266337.125516176</v>
      </c>
      <c r="FA224" s="418">
        <f t="shared" si="666"/>
        <v>76192419.532628939</v>
      </c>
      <c r="FB224" s="418">
        <f t="shared" si="666"/>
        <v>76091821.907228976</v>
      </c>
      <c r="FC224" s="418">
        <f t="shared" si="666"/>
        <v>75959110.692382038</v>
      </c>
      <c r="FD224" s="418">
        <f t="shared" si="666"/>
        <v>75789539.561115608</v>
      </c>
      <c r="FE224" s="418">
        <f t="shared" si="666"/>
        <v>75579900.63411431</v>
      </c>
      <c r="FF224" s="418">
        <f t="shared" si="666"/>
        <v>75329468.350985989</v>
      </c>
      <c r="FG224" s="418">
        <f t="shared" si="666"/>
        <v>75040901.334523097</v>
      </c>
      <c r="FH224" s="418">
        <f t="shared" si="666"/>
        <v>74720929.978210613</v>
      </c>
      <c r="FI224" s="418">
        <f t="shared" si="666"/>
        <v>74380647.644237518</v>
      </c>
      <c r="FJ224" s="418">
        <f t="shared" si="666"/>
        <v>76313480.298421651</v>
      </c>
      <c r="FK224" s="418">
        <f t="shared" si="666"/>
        <v>85331629.018619195</v>
      </c>
      <c r="FL224" s="418">
        <f t="shared" si="666"/>
        <v>95231535.25874503</v>
      </c>
      <c r="FM224" s="418">
        <f t="shared" si="666"/>
        <v>105826476.42227101</v>
      </c>
      <c r="FN224" s="418">
        <f t="shared" si="666"/>
        <v>116995099.4363005</v>
      </c>
      <c r="FO224" s="418">
        <f t="shared" si="666"/>
        <v>128471534.92065407</v>
      </c>
      <c r="FP224" s="418">
        <f t="shared" si="666"/>
        <v>139972282.72813815</v>
      </c>
      <c r="FQ224" s="418">
        <f t="shared" si="666"/>
        <v>151173084.92132294</v>
      </c>
      <c r="FR224" s="418">
        <f t="shared" si="666"/>
        <v>161733486.73017851</v>
      </c>
      <c r="FS224" s="418">
        <f t="shared" si="666"/>
        <v>170740502.21889165</v>
      </c>
      <c r="FT224" s="418">
        <f t="shared" si="666"/>
        <v>178778475.08267695</v>
      </c>
      <c r="FU224" s="418">
        <f t="shared" si="666"/>
        <v>185782219.67818293</v>
      </c>
      <c r="FV224" s="418">
        <f t="shared" si="666"/>
        <v>191533070.96163434</v>
      </c>
      <c r="FW224" s="418">
        <f t="shared" si="666"/>
        <v>196299229.48816952</v>
      </c>
      <c r="FX224" s="418">
        <f t="shared" si="666"/>
        <v>200172434.88418299</v>
      </c>
      <c r="FY224" s="418">
        <f t="shared" si="666"/>
        <v>203095710.40469897</v>
      </c>
      <c r="FZ224" s="418">
        <f t="shared" si="666"/>
        <v>205371720.49035701</v>
      </c>
      <c r="GA224" s="418">
        <f t="shared" si="666"/>
        <v>208022459.93393275</v>
      </c>
      <c r="GB224" s="418">
        <f t="shared" ref="GB224:HG224" si="667">(GB$197&lt;=Timing_Reversion_Month)*GA228</f>
        <v>210618464.20429832</v>
      </c>
      <c r="GC224" s="418">
        <f t="shared" si="667"/>
        <v>212555756.6144</v>
      </c>
      <c r="GD224" s="418">
        <f t="shared" si="667"/>
        <v>214011540.88536635</v>
      </c>
      <c r="GE224" s="418">
        <f t="shared" si="667"/>
        <v>215094983.27941903</v>
      </c>
      <c r="GF224" s="418">
        <f t="shared" si="667"/>
        <v>215947341.94927955</v>
      </c>
      <c r="GG224" s="418">
        <f t="shared" si="667"/>
        <v>216648670.88274083</v>
      </c>
      <c r="GH224" s="418">
        <f t="shared" si="667"/>
        <v>216684536.36090487</v>
      </c>
      <c r="GI224" s="418">
        <f t="shared" si="667"/>
        <v>216520305.68039018</v>
      </c>
      <c r="GJ224" s="418">
        <f t="shared" si="667"/>
        <v>216156018.91509619</v>
      </c>
      <c r="GK224" s="418">
        <f t="shared" si="667"/>
        <v>215583638.77901652</v>
      </c>
      <c r="GL224" s="418">
        <f t="shared" si="667"/>
        <v>214810622.7771199</v>
      </c>
      <c r="GM224" s="418">
        <f t="shared" si="667"/>
        <v>213837011.6380403</v>
      </c>
      <c r="GN224" s="418">
        <f t="shared" si="667"/>
        <v>212657304.64435849</v>
      </c>
      <c r="GO224" s="418">
        <f t="shared" si="667"/>
        <v>211277084.63379696</v>
      </c>
      <c r="GP224" s="418">
        <f t="shared" si="667"/>
        <v>209696393.00042146</v>
      </c>
      <c r="GQ224" s="418">
        <f t="shared" si="667"/>
        <v>207889047.6125156</v>
      </c>
      <c r="GR224" s="418">
        <f t="shared" si="667"/>
        <v>205881314.0637953</v>
      </c>
      <c r="GS224" s="418">
        <f t="shared" si="667"/>
        <v>203673234.42462999</v>
      </c>
      <c r="GT224" s="418">
        <f t="shared" si="667"/>
        <v>201193956.57296321</v>
      </c>
      <c r="GU224" s="418">
        <f t="shared" si="667"/>
        <v>198722572.45471391</v>
      </c>
      <c r="GV224" s="418">
        <f t="shared" si="667"/>
        <v>196259124.8276048</v>
      </c>
      <c r="GW224" s="418">
        <f t="shared" si="667"/>
        <v>193797347.49346289</v>
      </c>
      <c r="GX224" s="418">
        <f t="shared" si="667"/>
        <v>191343592.86197403</v>
      </c>
      <c r="GY224" s="418">
        <f t="shared" si="667"/>
        <v>188897904.38944426</v>
      </c>
      <c r="GZ224" s="418">
        <f t="shared" si="667"/>
        <v>186454590.14256793</v>
      </c>
      <c r="HA224" s="418">
        <f t="shared" si="667"/>
        <v>184019429.67470276</v>
      </c>
      <c r="HB224" s="418">
        <f t="shared" si="667"/>
        <v>181592467.15215173</v>
      </c>
      <c r="HC224" s="418">
        <f t="shared" si="667"/>
        <v>179146605.39920196</v>
      </c>
      <c r="HD224" s="418">
        <f t="shared" si="667"/>
        <v>176709030.64317054</v>
      </c>
      <c r="HE224" s="418">
        <f t="shared" si="667"/>
        <v>174279787.77195746</v>
      </c>
      <c r="HF224" s="418">
        <f t="shared" si="667"/>
        <v>0</v>
      </c>
      <c r="HG224" s="418">
        <f t="shared" si="667"/>
        <v>0</v>
      </c>
      <c r="HH224" s="418">
        <f t="shared" ref="HH224:IM224" si="668">(HH$197&lt;=Timing_Reversion_Month)*HG228</f>
        <v>0</v>
      </c>
      <c r="HI224" s="418">
        <f t="shared" si="668"/>
        <v>0</v>
      </c>
      <c r="HJ224" s="418">
        <f t="shared" si="668"/>
        <v>0</v>
      </c>
      <c r="HK224" s="418">
        <f t="shared" si="668"/>
        <v>0</v>
      </c>
      <c r="HL224" s="418">
        <f t="shared" si="668"/>
        <v>0</v>
      </c>
      <c r="HM224" s="418">
        <f t="shared" si="668"/>
        <v>0</v>
      </c>
      <c r="HN224" s="418">
        <f t="shared" si="668"/>
        <v>0</v>
      </c>
      <c r="HO224" s="418">
        <f t="shared" si="668"/>
        <v>0</v>
      </c>
      <c r="HP224" s="418">
        <f t="shared" si="668"/>
        <v>0</v>
      </c>
      <c r="HQ224" s="418">
        <f t="shared" si="668"/>
        <v>0</v>
      </c>
      <c r="HR224" s="418">
        <f t="shared" si="668"/>
        <v>0</v>
      </c>
      <c r="HS224" s="418">
        <f t="shared" si="668"/>
        <v>0</v>
      </c>
      <c r="HT224" s="418">
        <f t="shared" si="668"/>
        <v>0</v>
      </c>
      <c r="HU224" s="418">
        <f t="shared" si="668"/>
        <v>0</v>
      </c>
      <c r="HV224" s="418">
        <f t="shared" si="668"/>
        <v>0</v>
      </c>
      <c r="HW224" s="418">
        <f t="shared" si="668"/>
        <v>0</v>
      </c>
      <c r="HX224" s="418">
        <f t="shared" si="668"/>
        <v>0</v>
      </c>
      <c r="HY224" s="418">
        <f t="shared" si="668"/>
        <v>0</v>
      </c>
      <c r="HZ224" s="418">
        <f t="shared" si="668"/>
        <v>0</v>
      </c>
      <c r="IA224" s="418">
        <f t="shared" si="668"/>
        <v>0</v>
      </c>
      <c r="IB224" s="418">
        <f t="shared" si="668"/>
        <v>0</v>
      </c>
      <c r="IC224" s="418">
        <f t="shared" si="668"/>
        <v>0</v>
      </c>
      <c r="ID224" s="418">
        <f t="shared" si="668"/>
        <v>0</v>
      </c>
      <c r="IE224" s="418">
        <f t="shared" si="668"/>
        <v>0</v>
      </c>
      <c r="IF224" s="418">
        <f t="shared" si="668"/>
        <v>0</v>
      </c>
      <c r="IG224" s="418">
        <f t="shared" si="668"/>
        <v>0</v>
      </c>
      <c r="IH224" s="418">
        <f t="shared" si="668"/>
        <v>0</v>
      </c>
      <c r="II224" s="418">
        <f t="shared" si="668"/>
        <v>0</v>
      </c>
      <c r="IJ224" s="418">
        <f t="shared" si="668"/>
        <v>0</v>
      </c>
      <c r="IK224" s="418">
        <f t="shared" si="668"/>
        <v>0</v>
      </c>
      <c r="IL224" s="418">
        <f t="shared" si="668"/>
        <v>0</v>
      </c>
      <c r="IM224" s="418">
        <f t="shared" si="668"/>
        <v>0</v>
      </c>
      <c r="IN224" s="418">
        <f t="shared" ref="IN224:JX224" si="669">(IN$197&lt;=Timing_Reversion_Month)*IM228</f>
        <v>0</v>
      </c>
      <c r="IO224" s="418">
        <f t="shared" si="669"/>
        <v>0</v>
      </c>
      <c r="IP224" s="418">
        <f t="shared" si="669"/>
        <v>0</v>
      </c>
      <c r="IQ224" s="418">
        <f t="shared" si="669"/>
        <v>0</v>
      </c>
      <c r="IR224" s="418">
        <f t="shared" si="669"/>
        <v>0</v>
      </c>
      <c r="IS224" s="418">
        <f t="shared" si="669"/>
        <v>0</v>
      </c>
      <c r="IT224" s="418">
        <f t="shared" si="669"/>
        <v>0</v>
      </c>
      <c r="IU224" s="418">
        <f t="shared" si="669"/>
        <v>0</v>
      </c>
      <c r="IV224" s="418">
        <f t="shared" si="669"/>
        <v>0</v>
      </c>
      <c r="IW224" s="418">
        <f t="shared" si="669"/>
        <v>0</v>
      </c>
      <c r="IX224" s="418">
        <f t="shared" si="669"/>
        <v>0</v>
      </c>
      <c r="IY224" s="418">
        <f t="shared" si="669"/>
        <v>0</v>
      </c>
      <c r="IZ224" s="418">
        <f t="shared" si="669"/>
        <v>0</v>
      </c>
      <c r="JA224" s="418">
        <f t="shared" si="669"/>
        <v>0</v>
      </c>
      <c r="JB224" s="418">
        <f t="shared" si="669"/>
        <v>0</v>
      </c>
      <c r="JC224" s="418">
        <f t="shared" si="669"/>
        <v>0</v>
      </c>
      <c r="JD224" s="418">
        <f t="shared" si="669"/>
        <v>0</v>
      </c>
      <c r="JE224" s="418">
        <f t="shared" si="669"/>
        <v>0</v>
      </c>
      <c r="JF224" s="418">
        <f t="shared" si="669"/>
        <v>0</v>
      </c>
      <c r="JG224" s="418">
        <f t="shared" si="669"/>
        <v>0</v>
      </c>
      <c r="JH224" s="418">
        <f t="shared" si="669"/>
        <v>0</v>
      </c>
      <c r="JI224" s="418">
        <f t="shared" si="669"/>
        <v>0</v>
      </c>
      <c r="JJ224" s="418">
        <f t="shared" si="669"/>
        <v>0</v>
      </c>
      <c r="JK224" s="418">
        <f t="shared" si="669"/>
        <v>0</v>
      </c>
      <c r="JL224" s="418">
        <f t="shared" si="669"/>
        <v>0</v>
      </c>
      <c r="JM224" s="418">
        <f t="shared" si="669"/>
        <v>0</v>
      </c>
      <c r="JN224" s="418">
        <f t="shared" si="669"/>
        <v>0</v>
      </c>
      <c r="JO224" s="418">
        <f t="shared" si="669"/>
        <v>0</v>
      </c>
      <c r="JP224" s="418">
        <f t="shared" si="669"/>
        <v>0</v>
      </c>
      <c r="JQ224" s="418">
        <f t="shared" si="669"/>
        <v>0</v>
      </c>
      <c r="JR224" s="418">
        <f t="shared" si="669"/>
        <v>0</v>
      </c>
      <c r="JS224" s="418">
        <f t="shared" si="669"/>
        <v>0</v>
      </c>
      <c r="JT224" s="418">
        <f t="shared" si="669"/>
        <v>0</v>
      </c>
      <c r="JU224" s="418">
        <f t="shared" si="669"/>
        <v>0</v>
      </c>
      <c r="JV224" s="418">
        <f t="shared" si="669"/>
        <v>0</v>
      </c>
      <c r="JW224" s="418">
        <f t="shared" si="669"/>
        <v>0</v>
      </c>
      <c r="JX224" s="418">
        <f t="shared" si="669"/>
        <v>0</v>
      </c>
      <c r="JY224"/>
      <c r="JZ224" s="262"/>
      <c r="KA224" s="262"/>
      <c r="KB224" s="262"/>
      <c r="KC224" s="262"/>
      <c r="KD224" s="262"/>
      <c r="KE224" s="262"/>
      <c r="KF224" s="262"/>
      <c r="KG224" s="262"/>
      <c r="KH224" s="262"/>
      <c r="KI224" s="262"/>
      <c r="KJ224" s="262"/>
      <c r="KK224" s="262"/>
      <c r="KL224" s="262"/>
      <c r="KM224" s="262"/>
      <c r="KN224" s="262"/>
      <c r="KO224" s="262"/>
      <c r="KP224" s="262"/>
      <c r="KQ224" s="262"/>
      <c r="KR224" s="262"/>
      <c r="KS224" s="262"/>
      <c r="KT224" s="262"/>
      <c r="KU224" s="262"/>
      <c r="KV224" s="262"/>
      <c r="KW224" s="262"/>
      <c r="KX224" s="262"/>
      <c r="KY224" s="262"/>
      <c r="KZ224" s="262"/>
      <c r="LA224" s="262"/>
      <c r="LB224" s="262"/>
      <c r="LC224" s="262"/>
      <c r="LD224" s="262"/>
      <c r="LE224" s="262"/>
      <c r="LF224" s="262"/>
      <c r="LG224" s="262"/>
      <c r="LH224" s="262"/>
      <c r="LI224" s="262"/>
      <c r="LJ224" s="262"/>
      <c r="LK224" s="262"/>
      <c r="LL224" s="262"/>
      <c r="LM224" s="262"/>
      <c r="LN224" s="262"/>
      <c r="LO224" s="262"/>
      <c r="LP224" s="262"/>
      <c r="LQ224" s="262"/>
      <c r="LR224" s="262"/>
      <c r="LS224" s="262"/>
      <c r="LT224" s="262"/>
      <c r="LU224" s="262"/>
      <c r="LV224" s="262"/>
      <c r="LW224" s="262"/>
      <c r="LX224" s="262"/>
      <c r="LY224" s="262"/>
      <c r="LZ224" s="262"/>
      <c r="MA224" s="262"/>
      <c r="MB224" s="262"/>
      <c r="MC224" s="262"/>
      <c r="MD224" s="262"/>
      <c r="ME224" s="262"/>
      <c r="MF224" s="262"/>
      <c r="MG224" s="262"/>
      <c r="MH224" s="262"/>
      <c r="MI224" s="262"/>
      <c r="MJ224" s="262"/>
      <c r="MK224" s="262"/>
      <c r="ML224" s="262"/>
      <c r="MM224" s="262"/>
      <c r="MN224" s="262"/>
      <c r="MO224" s="262"/>
      <c r="MP224" s="262"/>
      <c r="MQ224" s="262"/>
      <c r="MR224" s="262"/>
      <c r="MS224" s="262"/>
      <c r="MT224" s="262"/>
      <c r="MU224" s="262"/>
      <c r="MV224" s="262"/>
      <c r="MW224" s="262"/>
      <c r="MX224" s="262"/>
      <c r="MY224" s="262"/>
      <c r="MZ224" s="262"/>
      <c r="NA224" s="262"/>
      <c r="NB224" s="262"/>
      <c r="NC224" s="262"/>
      <c r="ND224" s="262"/>
      <c r="NE224" s="262"/>
      <c r="NF224" s="262"/>
      <c r="NG224" s="262"/>
      <c r="NH224" s="262"/>
      <c r="NI224" s="262"/>
      <c r="NJ224" s="262"/>
      <c r="NK224" s="262"/>
      <c r="NL224" s="262"/>
      <c r="NM224" s="262"/>
      <c r="NN224" s="262"/>
      <c r="NO224" s="262"/>
      <c r="NP224" s="262"/>
      <c r="NQ224" s="262"/>
      <c r="NR224" s="262"/>
      <c r="NS224" s="262"/>
      <c r="NT224" s="262"/>
      <c r="NU224" s="262"/>
      <c r="NV224" s="262"/>
      <c r="NW224" s="262"/>
      <c r="NX224" s="262"/>
      <c r="NY224" s="262"/>
      <c r="NZ224" s="262"/>
      <c r="OA224" s="262"/>
      <c r="OB224" s="262"/>
      <c r="OC224" s="262"/>
      <c r="OD224" s="262"/>
      <c r="OE224" s="262"/>
      <c r="OF224" s="262"/>
      <c r="OG224" s="262"/>
      <c r="OH224" s="262"/>
      <c r="OI224" s="262"/>
      <c r="OJ224" s="262"/>
      <c r="OK224" s="262"/>
      <c r="OL224" s="262"/>
      <c r="OM224" s="262"/>
      <c r="ON224" s="262"/>
      <c r="OO224" s="262"/>
      <c r="OP224" s="262"/>
      <c r="OQ224" s="262"/>
      <c r="OR224" s="262"/>
      <c r="OS224" s="262"/>
      <c r="OT224" s="262"/>
      <c r="OU224" s="262"/>
      <c r="OV224" s="262"/>
      <c r="OW224" s="262"/>
      <c r="OX224" s="262"/>
      <c r="OY224" s="262"/>
      <c r="OZ224" s="262"/>
      <c r="PA224" s="262"/>
      <c r="PB224" s="262"/>
      <c r="PC224" s="262"/>
      <c r="PD224" s="262"/>
      <c r="PE224" s="262"/>
      <c r="PF224" s="262"/>
      <c r="PG224" s="262"/>
      <c r="PH224" s="262"/>
    </row>
    <row r="225" spans="1:424" x14ac:dyDescent="0.35">
      <c r="A225"/>
      <c r="B225" s="444" t="str">
        <f>IF(Dbl_Promote?=1,C250,"")</f>
        <v/>
      </c>
      <c r="C225" s="400"/>
      <c r="D225" s="40" t="str">
        <f>IF(Dbl_Promote?=1,I250,"")</f>
        <v/>
      </c>
      <c r="E225" s="40" t="str">
        <f>IF(Dbl_Promote?=1,I266,"")</f>
        <v/>
      </c>
      <c r="F225" s="40"/>
      <c r="G225" s="57" t="str">
        <f>IFERROR(IF(Dbl_Promote?=1,E225/D225,""),"NA")</f>
        <v/>
      </c>
      <c r="H225" s="90" t="str">
        <f>IFERROR(IF(Dbl_Promote?=1,F266,""),"NA")</f>
        <v/>
      </c>
      <c r="I225" s="39" t="str">
        <f>IFERROR(IF(Dbl_Promote?=1,G266,""),"NA")</f>
        <v/>
      </c>
      <c r="J225" s="539"/>
      <c r="K225" s="540"/>
      <c r="L225" s="540"/>
      <c r="M225" s="540"/>
      <c r="N225" s="540"/>
      <c r="O225" s="540"/>
      <c r="P225" s="540"/>
      <c r="Q225" s="540"/>
      <c r="R225" s="540"/>
      <c r="S225" s="540"/>
      <c r="T225" s="540"/>
      <c r="U225" s="540"/>
      <c r="V225" s="540"/>
      <c r="W225" s="540"/>
      <c r="X225" s="540"/>
      <c r="Y225" s="540"/>
      <c r="Z225" s="540"/>
      <c r="AA225" s="540"/>
      <c r="AB225" s="540"/>
      <c r="AC225" s="540"/>
      <c r="AD225" s="540"/>
      <c r="AE225" s="540"/>
      <c r="AF225" s="540"/>
      <c r="AG225" s="540"/>
      <c r="AH225" s="540"/>
      <c r="AI225" s="540"/>
      <c r="AJ225" s="540"/>
      <c r="AK225" s="540"/>
      <c r="AL225" s="540"/>
      <c r="AM225" s="540"/>
      <c r="AN225" s="540"/>
      <c r="AO225" s="540"/>
      <c r="AP225" s="540"/>
      <c r="AQ225" s="540"/>
      <c r="AR225" s="540"/>
      <c r="AS225" s="540"/>
      <c r="AT225" s="540"/>
      <c r="AU225" s="540"/>
      <c r="AV225" s="540"/>
      <c r="AW225" s="540"/>
      <c r="AX225" s="540"/>
      <c r="AY225" s="540"/>
      <c r="AZ225" s="540"/>
      <c r="BA225" s="540"/>
      <c r="BB225" s="540"/>
      <c r="BC225" s="540"/>
      <c r="BD225" s="540"/>
      <c r="BE225" s="540"/>
      <c r="BF225" s="540"/>
      <c r="BG225" s="540"/>
      <c r="BH225" s="540"/>
      <c r="BI225" s="540"/>
      <c r="BJ225" s="540"/>
      <c r="BK225" s="540"/>
      <c r="BL225" s="540"/>
      <c r="BM225" s="540"/>
      <c r="BN225" s="540"/>
      <c r="BO225" s="540"/>
      <c r="BP225" s="540"/>
      <c r="BQ225" s="540"/>
      <c r="BR225" s="540"/>
      <c r="BS225" s="540"/>
      <c r="BT225" s="540"/>
      <c r="BU225" s="540"/>
      <c r="BV225" s="540"/>
      <c r="BW225" s="540"/>
      <c r="BX225" s="540"/>
      <c r="BY225" s="540"/>
      <c r="BZ225" s="540"/>
      <c r="CA225" s="540"/>
      <c r="CB225" s="540"/>
      <c r="CC225" s="540"/>
      <c r="CD225" s="540"/>
      <c r="CE225" s="540"/>
      <c r="CF225" s="540"/>
      <c r="CG225" s="540"/>
      <c r="CH225" s="540"/>
      <c r="CI225" s="540"/>
      <c r="CJ225" s="540"/>
      <c r="CK225" s="540"/>
      <c r="CL225" s="540"/>
      <c r="CM225" s="540"/>
      <c r="CN225" s="540"/>
      <c r="CO225" s="540"/>
      <c r="CP225" s="540"/>
      <c r="CQ225" s="540"/>
      <c r="CR225" s="540"/>
      <c r="CS225" s="540"/>
      <c r="CT225" s="540"/>
      <c r="CU225" s="540"/>
      <c r="CV225" s="540"/>
      <c r="CW225" s="540"/>
      <c r="CX225" s="540"/>
      <c r="CY225" s="540"/>
      <c r="CZ225" s="540"/>
      <c r="DA225" s="540"/>
      <c r="DB225" s="540"/>
      <c r="DC225" s="540"/>
      <c r="DD225" s="540"/>
      <c r="DE225" s="540"/>
      <c r="DF225" s="540"/>
      <c r="DG225" s="540"/>
      <c r="DH225" s="540"/>
      <c r="DI225" s="540"/>
      <c r="DJ225" s="540"/>
      <c r="DK225" s="540"/>
      <c r="DL225" s="540"/>
      <c r="DM225" s="540"/>
      <c r="DN225" s="540"/>
      <c r="DO225" s="540"/>
      <c r="DP225" s="540"/>
      <c r="DQ225" s="540"/>
      <c r="DR225" s="540"/>
      <c r="DS225" s="540"/>
      <c r="DT225" s="540"/>
      <c r="DU225" s="540"/>
      <c r="DV225" s="540"/>
      <c r="DW225" s="540"/>
      <c r="DX225" s="540"/>
      <c r="DY225" s="540"/>
      <c r="DZ225" s="540"/>
      <c r="EA225" s="540"/>
      <c r="EB225" s="540"/>
      <c r="EC225" s="540"/>
      <c r="ED225" s="540"/>
      <c r="EE225" s="540"/>
      <c r="EF225" s="540"/>
      <c r="EG225" s="540"/>
      <c r="EH225" s="540"/>
      <c r="EI225" s="540"/>
      <c r="EJ225" s="540"/>
      <c r="EK225" s="540"/>
      <c r="EL225" s="540"/>
      <c r="EM225" s="540"/>
      <c r="EN225" s="540"/>
      <c r="EO225" s="540"/>
      <c r="EP225" s="405"/>
      <c r="EQ225" s="18"/>
      <c r="ER225" s="18"/>
      <c r="ES225" s="18"/>
      <c r="ET225" s="18" t="s">
        <v>382</v>
      </c>
      <c r="EU225" s="18"/>
      <c r="EV225" s="418">
        <f>(EV$197&lt;=Timing_Reversion_Month)*(EV224*((1+$EP226)^(1/12)-1))</f>
        <v>0</v>
      </c>
      <c r="EW225" s="418">
        <f t="shared" ref="EW225:GA225" si="670">(EW$197&lt;=Timing_Reversion_Month)*(EW224*((1+$EP226)^(1/12)-1))</f>
        <v>0</v>
      </c>
      <c r="EX225" s="418">
        <f t="shared" si="670"/>
        <v>0</v>
      </c>
      <c r="EY225" s="418">
        <f t="shared" si="670"/>
        <v>0</v>
      </c>
      <c r="EZ225" s="418">
        <f t="shared" si="670"/>
        <v>0</v>
      </c>
      <c r="FA225" s="418">
        <f t="shared" si="670"/>
        <v>0</v>
      </c>
      <c r="FB225" s="418">
        <f t="shared" si="670"/>
        <v>0</v>
      </c>
      <c r="FC225" s="418">
        <f t="shared" si="670"/>
        <v>0</v>
      </c>
      <c r="FD225" s="418">
        <f t="shared" si="670"/>
        <v>0</v>
      </c>
      <c r="FE225" s="418">
        <f t="shared" si="670"/>
        <v>0</v>
      </c>
      <c r="FF225" s="418">
        <f t="shared" si="670"/>
        <v>0</v>
      </c>
      <c r="FG225" s="418">
        <f t="shared" si="670"/>
        <v>0</v>
      </c>
      <c r="FH225" s="418">
        <f t="shared" si="670"/>
        <v>0</v>
      </c>
      <c r="FI225" s="418">
        <f t="shared" si="670"/>
        <v>0</v>
      </c>
      <c r="FJ225" s="418">
        <f t="shared" si="670"/>
        <v>0</v>
      </c>
      <c r="FK225" s="418">
        <f t="shared" si="670"/>
        <v>0</v>
      </c>
      <c r="FL225" s="418">
        <f t="shared" si="670"/>
        <v>0</v>
      </c>
      <c r="FM225" s="418">
        <f t="shared" si="670"/>
        <v>0</v>
      </c>
      <c r="FN225" s="418">
        <f t="shared" si="670"/>
        <v>0</v>
      </c>
      <c r="FO225" s="418">
        <f t="shared" si="670"/>
        <v>0</v>
      </c>
      <c r="FP225" s="418">
        <f t="shared" si="670"/>
        <v>0</v>
      </c>
      <c r="FQ225" s="418">
        <f t="shared" si="670"/>
        <v>0</v>
      </c>
      <c r="FR225" s="418">
        <f t="shared" si="670"/>
        <v>0</v>
      </c>
      <c r="FS225" s="418">
        <f t="shared" si="670"/>
        <v>0</v>
      </c>
      <c r="FT225" s="418">
        <f t="shared" si="670"/>
        <v>0</v>
      </c>
      <c r="FU225" s="418">
        <f t="shared" si="670"/>
        <v>0</v>
      </c>
      <c r="FV225" s="418">
        <f t="shared" si="670"/>
        <v>0</v>
      </c>
      <c r="FW225" s="418">
        <f t="shared" si="670"/>
        <v>0</v>
      </c>
      <c r="FX225" s="418">
        <f t="shared" si="670"/>
        <v>0</v>
      </c>
      <c r="FY225" s="418">
        <f t="shared" si="670"/>
        <v>0</v>
      </c>
      <c r="FZ225" s="418">
        <f t="shared" si="670"/>
        <v>0</v>
      </c>
      <c r="GA225" s="418">
        <f t="shared" si="670"/>
        <v>0</v>
      </c>
      <c r="GB225" s="418">
        <f t="shared" ref="GB225:HG225" si="671">(GB$197&lt;=Timing_Reversion_Month)*(GB224*((1+$EP226)^(1/12)-1))</f>
        <v>0</v>
      </c>
      <c r="GC225" s="418">
        <f t="shared" si="671"/>
        <v>0</v>
      </c>
      <c r="GD225" s="418">
        <f t="shared" si="671"/>
        <v>0</v>
      </c>
      <c r="GE225" s="418">
        <f t="shared" si="671"/>
        <v>0</v>
      </c>
      <c r="GF225" s="418">
        <f t="shared" si="671"/>
        <v>0</v>
      </c>
      <c r="GG225" s="418">
        <f t="shared" si="671"/>
        <v>0</v>
      </c>
      <c r="GH225" s="418">
        <f t="shared" si="671"/>
        <v>0</v>
      </c>
      <c r="GI225" s="418">
        <f t="shared" si="671"/>
        <v>0</v>
      </c>
      <c r="GJ225" s="418">
        <f t="shared" si="671"/>
        <v>0</v>
      </c>
      <c r="GK225" s="418">
        <f t="shared" si="671"/>
        <v>0</v>
      </c>
      <c r="GL225" s="418">
        <f t="shared" si="671"/>
        <v>0</v>
      </c>
      <c r="GM225" s="418">
        <f t="shared" si="671"/>
        <v>0</v>
      </c>
      <c r="GN225" s="418">
        <f t="shared" si="671"/>
        <v>0</v>
      </c>
      <c r="GO225" s="418">
        <f t="shared" si="671"/>
        <v>0</v>
      </c>
      <c r="GP225" s="418">
        <f t="shared" si="671"/>
        <v>0</v>
      </c>
      <c r="GQ225" s="418">
        <f t="shared" si="671"/>
        <v>0</v>
      </c>
      <c r="GR225" s="418">
        <f t="shared" si="671"/>
        <v>0</v>
      </c>
      <c r="GS225" s="418">
        <f t="shared" si="671"/>
        <v>0</v>
      </c>
      <c r="GT225" s="418">
        <f t="shared" si="671"/>
        <v>0</v>
      </c>
      <c r="GU225" s="418">
        <f t="shared" si="671"/>
        <v>0</v>
      </c>
      <c r="GV225" s="418">
        <f t="shared" si="671"/>
        <v>0</v>
      </c>
      <c r="GW225" s="418">
        <f t="shared" si="671"/>
        <v>0</v>
      </c>
      <c r="GX225" s="418">
        <f t="shared" si="671"/>
        <v>0</v>
      </c>
      <c r="GY225" s="418">
        <f t="shared" si="671"/>
        <v>0</v>
      </c>
      <c r="GZ225" s="418">
        <f t="shared" si="671"/>
        <v>0</v>
      </c>
      <c r="HA225" s="418">
        <f t="shared" si="671"/>
        <v>0</v>
      </c>
      <c r="HB225" s="418">
        <f t="shared" si="671"/>
        <v>0</v>
      </c>
      <c r="HC225" s="418">
        <f t="shared" si="671"/>
        <v>0</v>
      </c>
      <c r="HD225" s="418">
        <f t="shared" si="671"/>
        <v>0</v>
      </c>
      <c r="HE225" s="418">
        <f t="shared" si="671"/>
        <v>0</v>
      </c>
      <c r="HF225" s="418">
        <f t="shared" si="671"/>
        <v>0</v>
      </c>
      <c r="HG225" s="418">
        <f t="shared" si="671"/>
        <v>0</v>
      </c>
      <c r="HH225" s="418">
        <f t="shared" ref="HH225:IM225" si="672">(HH$197&lt;=Timing_Reversion_Month)*(HH224*((1+$EP226)^(1/12)-1))</f>
        <v>0</v>
      </c>
      <c r="HI225" s="418">
        <f t="shared" si="672"/>
        <v>0</v>
      </c>
      <c r="HJ225" s="418">
        <f t="shared" si="672"/>
        <v>0</v>
      </c>
      <c r="HK225" s="418">
        <f t="shared" si="672"/>
        <v>0</v>
      </c>
      <c r="HL225" s="418">
        <f t="shared" si="672"/>
        <v>0</v>
      </c>
      <c r="HM225" s="418">
        <f t="shared" si="672"/>
        <v>0</v>
      </c>
      <c r="HN225" s="418">
        <f t="shared" si="672"/>
        <v>0</v>
      </c>
      <c r="HO225" s="418">
        <f t="shared" si="672"/>
        <v>0</v>
      </c>
      <c r="HP225" s="418">
        <f t="shared" si="672"/>
        <v>0</v>
      </c>
      <c r="HQ225" s="418">
        <f t="shared" si="672"/>
        <v>0</v>
      </c>
      <c r="HR225" s="418">
        <f t="shared" si="672"/>
        <v>0</v>
      </c>
      <c r="HS225" s="418">
        <f t="shared" si="672"/>
        <v>0</v>
      </c>
      <c r="HT225" s="418">
        <f t="shared" si="672"/>
        <v>0</v>
      </c>
      <c r="HU225" s="418">
        <f t="shared" si="672"/>
        <v>0</v>
      </c>
      <c r="HV225" s="418">
        <f t="shared" si="672"/>
        <v>0</v>
      </c>
      <c r="HW225" s="418">
        <f t="shared" si="672"/>
        <v>0</v>
      </c>
      <c r="HX225" s="418">
        <f t="shared" si="672"/>
        <v>0</v>
      </c>
      <c r="HY225" s="418">
        <f t="shared" si="672"/>
        <v>0</v>
      </c>
      <c r="HZ225" s="418">
        <f t="shared" si="672"/>
        <v>0</v>
      </c>
      <c r="IA225" s="418">
        <f t="shared" si="672"/>
        <v>0</v>
      </c>
      <c r="IB225" s="418">
        <f t="shared" si="672"/>
        <v>0</v>
      </c>
      <c r="IC225" s="418">
        <f t="shared" si="672"/>
        <v>0</v>
      </c>
      <c r="ID225" s="418">
        <f t="shared" si="672"/>
        <v>0</v>
      </c>
      <c r="IE225" s="418">
        <f t="shared" si="672"/>
        <v>0</v>
      </c>
      <c r="IF225" s="418">
        <f t="shared" si="672"/>
        <v>0</v>
      </c>
      <c r="IG225" s="418">
        <f t="shared" si="672"/>
        <v>0</v>
      </c>
      <c r="IH225" s="418">
        <f t="shared" si="672"/>
        <v>0</v>
      </c>
      <c r="II225" s="418">
        <f t="shared" si="672"/>
        <v>0</v>
      </c>
      <c r="IJ225" s="418">
        <f t="shared" si="672"/>
        <v>0</v>
      </c>
      <c r="IK225" s="418">
        <f t="shared" si="672"/>
        <v>0</v>
      </c>
      <c r="IL225" s="418">
        <f t="shared" si="672"/>
        <v>0</v>
      </c>
      <c r="IM225" s="418">
        <f t="shared" si="672"/>
        <v>0</v>
      </c>
      <c r="IN225" s="418">
        <f t="shared" ref="IN225:JS225" si="673">(IN$197&lt;=Timing_Reversion_Month)*(IN224*((1+$EP226)^(1/12)-1))</f>
        <v>0</v>
      </c>
      <c r="IO225" s="418">
        <f t="shared" si="673"/>
        <v>0</v>
      </c>
      <c r="IP225" s="418">
        <f t="shared" si="673"/>
        <v>0</v>
      </c>
      <c r="IQ225" s="418">
        <f t="shared" si="673"/>
        <v>0</v>
      </c>
      <c r="IR225" s="418">
        <f t="shared" si="673"/>
        <v>0</v>
      </c>
      <c r="IS225" s="418">
        <f t="shared" si="673"/>
        <v>0</v>
      </c>
      <c r="IT225" s="418">
        <f t="shared" si="673"/>
        <v>0</v>
      </c>
      <c r="IU225" s="418">
        <f t="shared" si="673"/>
        <v>0</v>
      </c>
      <c r="IV225" s="418">
        <f t="shared" si="673"/>
        <v>0</v>
      </c>
      <c r="IW225" s="418">
        <f t="shared" si="673"/>
        <v>0</v>
      </c>
      <c r="IX225" s="418">
        <f t="shared" si="673"/>
        <v>0</v>
      </c>
      <c r="IY225" s="418">
        <f t="shared" si="673"/>
        <v>0</v>
      </c>
      <c r="IZ225" s="418">
        <f t="shared" si="673"/>
        <v>0</v>
      </c>
      <c r="JA225" s="418">
        <f t="shared" si="673"/>
        <v>0</v>
      </c>
      <c r="JB225" s="418">
        <f t="shared" si="673"/>
        <v>0</v>
      </c>
      <c r="JC225" s="418">
        <f t="shared" si="673"/>
        <v>0</v>
      </c>
      <c r="JD225" s="418">
        <f t="shared" si="673"/>
        <v>0</v>
      </c>
      <c r="JE225" s="418">
        <f t="shared" si="673"/>
        <v>0</v>
      </c>
      <c r="JF225" s="418">
        <f t="shared" si="673"/>
        <v>0</v>
      </c>
      <c r="JG225" s="418">
        <f t="shared" si="673"/>
        <v>0</v>
      </c>
      <c r="JH225" s="418">
        <f t="shared" si="673"/>
        <v>0</v>
      </c>
      <c r="JI225" s="418">
        <f t="shared" si="673"/>
        <v>0</v>
      </c>
      <c r="JJ225" s="418">
        <f t="shared" si="673"/>
        <v>0</v>
      </c>
      <c r="JK225" s="418">
        <f t="shared" si="673"/>
        <v>0</v>
      </c>
      <c r="JL225" s="418">
        <f t="shared" si="673"/>
        <v>0</v>
      </c>
      <c r="JM225" s="418">
        <f t="shared" si="673"/>
        <v>0</v>
      </c>
      <c r="JN225" s="418">
        <f t="shared" si="673"/>
        <v>0</v>
      </c>
      <c r="JO225" s="418">
        <f t="shared" si="673"/>
        <v>0</v>
      </c>
      <c r="JP225" s="418">
        <f t="shared" si="673"/>
        <v>0</v>
      </c>
      <c r="JQ225" s="418">
        <f t="shared" si="673"/>
        <v>0</v>
      </c>
      <c r="JR225" s="418">
        <f t="shared" si="673"/>
        <v>0</v>
      </c>
      <c r="JS225" s="418">
        <f t="shared" si="673"/>
        <v>0</v>
      </c>
      <c r="JT225" s="418">
        <f>(JT$197&lt;=Timing_Reversion_Month)*(JT224*((1+$EP226)^(1/12)-1))</f>
        <v>0</v>
      </c>
      <c r="JU225" s="418">
        <f>(JU$197&lt;=Timing_Reversion_Month)*(JU224*((1+$EP226)^(1/12)-1))</f>
        <v>0</v>
      </c>
      <c r="JV225" s="418">
        <f>(JV$197&lt;=Timing_Reversion_Month)*(JV224*((1+$EP226)^(1/12)-1))</f>
        <v>0</v>
      </c>
      <c r="JW225" s="418">
        <f>(JW$197&lt;=Timing_Reversion_Month)*(JW224*((1+$EP226)^(1/12)-1))</f>
        <v>0</v>
      </c>
      <c r="JX225" s="418">
        <f>(JX$197&lt;=Timing_Reversion_Month)*(JX224*((1+$EP226)^(1/12)-1))</f>
        <v>0</v>
      </c>
      <c r="JY225"/>
      <c r="JZ225" s="262"/>
      <c r="KA225" s="262"/>
      <c r="KB225" s="262"/>
      <c r="KC225" s="262"/>
      <c r="KD225" s="262"/>
      <c r="KE225" s="262"/>
      <c r="KF225" s="262"/>
      <c r="KG225" s="262"/>
      <c r="KH225" s="262"/>
      <c r="KI225" s="262"/>
      <c r="KJ225" s="262"/>
      <c r="KK225" s="262"/>
      <c r="KL225" s="262"/>
      <c r="KM225" s="262"/>
      <c r="KN225" s="262"/>
      <c r="KO225" s="262"/>
      <c r="KP225" s="262"/>
      <c r="KQ225" s="262"/>
      <c r="KR225" s="262"/>
      <c r="KS225" s="262"/>
      <c r="KT225" s="262"/>
      <c r="KU225" s="262"/>
      <c r="KV225" s="262"/>
      <c r="KW225" s="262"/>
      <c r="KX225" s="262"/>
      <c r="KY225" s="262"/>
      <c r="KZ225" s="262"/>
      <c r="LA225" s="262"/>
      <c r="LB225" s="262"/>
      <c r="LC225" s="262"/>
      <c r="LD225" s="262"/>
      <c r="LE225" s="262"/>
      <c r="LF225" s="262"/>
      <c r="LG225" s="262"/>
      <c r="LH225" s="262"/>
      <c r="LI225" s="262"/>
      <c r="LJ225" s="262"/>
      <c r="LK225" s="262"/>
      <c r="LL225" s="262"/>
      <c r="LM225" s="262"/>
      <c r="LN225" s="262"/>
      <c r="LO225" s="262"/>
      <c r="LP225" s="262"/>
      <c r="LQ225" s="262"/>
      <c r="LR225" s="262"/>
      <c r="LS225" s="262"/>
      <c r="LT225" s="262"/>
      <c r="LU225" s="262"/>
      <c r="LV225" s="262"/>
      <c r="LW225" s="262"/>
      <c r="LX225" s="262"/>
      <c r="LY225" s="262"/>
      <c r="LZ225" s="262"/>
      <c r="MA225" s="262"/>
      <c r="MB225" s="262"/>
      <c r="MC225" s="262"/>
      <c r="MD225" s="262"/>
      <c r="ME225" s="262"/>
      <c r="MF225" s="262"/>
      <c r="MG225" s="262"/>
      <c r="MH225" s="262"/>
      <c r="MI225" s="262"/>
      <c r="MJ225" s="262"/>
      <c r="MK225" s="262"/>
      <c r="ML225" s="262"/>
      <c r="MM225" s="262"/>
      <c r="MN225" s="262"/>
      <c r="MO225" s="262"/>
      <c r="MP225" s="262"/>
      <c r="MQ225" s="262"/>
      <c r="MR225" s="262"/>
      <c r="MS225" s="262"/>
      <c r="MT225" s="262"/>
      <c r="MU225" s="262"/>
      <c r="MV225" s="262"/>
      <c r="MW225" s="262"/>
      <c r="MX225" s="262"/>
      <c r="MY225" s="262"/>
      <c r="MZ225" s="262"/>
      <c r="NA225" s="262"/>
      <c r="NB225" s="262"/>
      <c r="NC225" s="262"/>
      <c r="ND225" s="262"/>
      <c r="NE225" s="262"/>
      <c r="NF225" s="262"/>
      <c r="NG225" s="262"/>
      <c r="NH225" s="262"/>
      <c r="NI225" s="262"/>
      <c r="NJ225" s="262"/>
      <c r="NK225" s="262"/>
      <c r="NL225" s="262"/>
      <c r="NM225" s="262"/>
      <c r="NN225" s="262"/>
      <c r="NO225" s="262"/>
      <c r="NP225" s="262"/>
      <c r="NQ225" s="262"/>
      <c r="NR225" s="262"/>
      <c r="NS225" s="262"/>
      <c r="NT225" s="262"/>
      <c r="NU225" s="262"/>
      <c r="NV225" s="262"/>
      <c r="NW225" s="262"/>
      <c r="NX225" s="262"/>
      <c r="NY225" s="262"/>
      <c r="NZ225" s="262"/>
      <c r="OA225" s="262"/>
      <c r="OB225" s="262"/>
      <c r="OC225" s="262"/>
      <c r="OD225" s="262"/>
      <c r="OE225" s="262"/>
      <c r="OF225" s="262"/>
      <c r="OG225" s="262"/>
      <c r="OH225" s="262"/>
      <c r="OI225" s="262"/>
      <c r="OJ225" s="262"/>
      <c r="OK225" s="262"/>
      <c r="OL225" s="262"/>
      <c r="OM225" s="262"/>
      <c r="ON225" s="262"/>
      <c r="OO225" s="262"/>
      <c r="OP225" s="262"/>
      <c r="OQ225" s="262"/>
      <c r="OR225" s="262"/>
      <c r="OS225" s="262"/>
      <c r="OT225" s="262"/>
      <c r="OU225" s="262"/>
      <c r="OV225" s="262"/>
      <c r="OW225" s="262"/>
      <c r="OX225" s="262"/>
      <c r="OY225" s="262"/>
      <c r="OZ225" s="262"/>
      <c r="PA225" s="262"/>
      <c r="PB225" s="262"/>
      <c r="PC225" s="262"/>
      <c r="PD225" s="262"/>
      <c r="PE225" s="262"/>
      <c r="PF225" s="262"/>
      <c r="PG225" s="262"/>
      <c r="PH225" s="262"/>
    </row>
    <row r="226" spans="1:424" x14ac:dyDescent="0.35">
      <c r="A226"/>
      <c r="B226" s="541" t="str">
        <f>IF(Dbl_Promote?=0,"WATERFALL (GP AND LP)","1ST WATERFALL (GP AND LP)")</f>
        <v>WATERFALL (GP AND LP)</v>
      </c>
      <c r="C226" s="541"/>
      <c r="D226" s="541"/>
      <c r="E226" s="541"/>
      <c r="F226" s="541"/>
      <c r="G226" s="541"/>
      <c r="H226" s="541"/>
      <c r="I226" s="541"/>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s="914">
        <f>N($F$235)</f>
        <v>0</v>
      </c>
      <c r="EQ226" s="18" t="s">
        <v>384</v>
      </c>
      <c r="ER226" s="18"/>
      <c r="ES226" s="18"/>
      <c r="ET226" s="18" t="s">
        <v>409</v>
      </c>
      <c r="EU226" s="18"/>
      <c r="EV226" s="418">
        <f>EV201+EV217</f>
        <v>0</v>
      </c>
      <c r="EW226" s="418">
        <f t="shared" ref="EW226:GA226" si="674">EW201+EW217</f>
        <v>70562.268970067496</v>
      </c>
      <c r="EX226" s="418">
        <f t="shared" si="674"/>
        <v>0</v>
      </c>
      <c r="EY226" s="418">
        <f t="shared" si="674"/>
        <v>52683.47823085892</v>
      </c>
      <c r="EZ226" s="418">
        <f t="shared" si="674"/>
        <v>73917.592887241393</v>
      </c>
      <c r="FA226" s="418">
        <f t="shared" si="674"/>
        <v>100597.62539995834</v>
      </c>
      <c r="FB226" s="418">
        <f t="shared" si="674"/>
        <v>132711.21484693745</v>
      </c>
      <c r="FC226" s="418">
        <f t="shared" si="674"/>
        <v>169571.13126643002</v>
      </c>
      <c r="FD226" s="418">
        <f t="shared" si="674"/>
        <v>209638.92700129561</v>
      </c>
      <c r="FE226" s="418">
        <f t="shared" si="674"/>
        <v>250432.28312832303</v>
      </c>
      <c r="FF226" s="418">
        <f t="shared" si="674"/>
        <v>288567.01646289043</v>
      </c>
      <c r="FG226" s="418">
        <f t="shared" si="674"/>
        <v>319971.35631248169</v>
      </c>
      <c r="FH226" s="418">
        <f t="shared" si="674"/>
        <v>340282.33397308737</v>
      </c>
      <c r="FI226" s="418">
        <f t="shared" si="674"/>
        <v>0</v>
      </c>
      <c r="FJ226" s="418">
        <f t="shared" si="674"/>
        <v>0</v>
      </c>
      <c r="FK226" s="418">
        <f t="shared" si="674"/>
        <v>0</v>
      </c>
      <c r="FL226" s="418">
        <f t="shared" si="674"/>
        <v>0</v>
      </c>
      <c r="FM226" s="418">
        <f t="shared" si="674"/>
        <v>0</v>
      </c>
      <c r="FN226" s="418">
        <f t="shared" si="674"/>
        <v>0</v>
      </c>
      <c r="FO226" s="418">
        <f t="shared" si="674"/>
        <v>0</v>
      </c>
      <c r="FP226" s="418">
        <f t="shared" si="674"/>
        <v>0</v>
      </c>
      <c r="FQ226" s="418">
        <f t="shared" si="674"/>
        <v>0</v>
      </c>
      <c r="FR226" s="418">
        <f t="shared" si="674"/>
        <v>0</v>
      </c>
      <c r="FS226" s="418">
        <f t="shared" si="674"/>
        <v>0</v>
      </c>
      <c r="FT226" s="418">
        <f t="shared" si="674"/>
        <v>0</v>
      </c>
      <c r="FU226" s="418">
        <f t="shared" si="674"/>
        <v>0</v>
      </c>
      <c r="FV226" s="418">
        <f t="shared" si="674"/>
        <v>0</v>
      </c>
      <c r="FW226" s="418">
        <f t="shared" si="674"/>
        <v>0</v>
      </c>
      <c r="FX226" s="418">
        <f t="shared" si="674"/>
        <v>0</v>
      </c>
      <c r="FY226" s="418">
        <f t="shared" si="674"/>
        <v>0</v>
      </c>
      <c r="FZ226" s="418">
        <f t="shared" si="674"/>
        <v>0</v>
      </c>
      <c r="GA226" s="418">
        <f t="shared" si="674"/>
        <v>0</v>
      </c>
      <c r="GB226" s="418">
        <f t="shared" ref="GB226:HG226" si="675">GB201+GB217</f>
        <v>0</v>
      </c>
      <c r="GC226" s="418">
        <f t="shared" si="675"/>
        <v>0</v>
      </c>
      <c r="GD226" s="418">
        <f t="shared" si="675"/>
        <v>0</v>
      </c>
      <c r="GE226" s="418">
        <f t="shared" si="675"/>
        <v>0</v>
      </c>
      <c r="GF226" s="418">
        <f t="shared" si="675"/>
        <v>0</v>
      </c>
      <c r="GG226" s="418">
        <f t="shared" si="675"/>
        <v>0</v>
      </c>
      <c r="GH226" s="418">
        <f t="shared" si="675"/>
        <v>164230.6805146893</v>
      </c>
      <c r="GI226" s="418">
        <f t="shared" si="675"/>
        <v>364286.76529399911</v>
      </c>
      <c r="GJ226" s="418">
        <f t="shared" si="675"/>
        <v>572380.13607966923</v>
      </c>
      <c r="GK226" s="418">
        <f t="shared" si="675"/>
        <v>773016.00189663284</v>
      </c>
      <c r="GL226" s="418">
        <f t="shared" si="675"/>
        <v>973611.13907960732</v>
      </c>
      <c r="GM226" s="418">
        <f t="shared" si="675"/>
        <v>1179706.9936818241</v>
      </c>
      <c r="GN226" s="418">
        <f t="shared" si="675"/>
        <v>1380220.010561527</v>
      </c>
      <c r="GO226" s="418">
        <f t="shared" si="675"/>
        <v>1580691.6333754973</v>
      </c>
      <c r="GP226" s="418">
        <f t="shared" si="675"/>
        <v>1807345.3879058782</v>
      </c>
      <c r="GQ226" s="418">
        <f t="shared" si="675"/>
        <v>2007733.5487203011</v>
      </c>
      <c r="GR226" s="418">
        <f t="shared" si="675"/>
        <v>2208079.6391653027</v>
      </c>
      <c r="GS226" s="418">
        <f t="shared" si="675"/>
        <v>2479277.8516667918</v>
      </c>
      <c r="GT226" s="418">
        <f t="shared" si="675"/>
        <v>2471384.1182492906</v>
      </c>
      <c r="GU226" s="418">
        <f t="shared" si="675"/>
        <v>2463447.6271091113</v>
      </c>
      <c r="GV226" s="418">
        <f t="shared" si="675"/>
        <v>2461777.3341419231</v>
      </c>
      <c r="GW226" s="418">
        <f t="shared" si="675"/>
        <v>2453754.6314888708</v>
      </c>
      <c r="GX226" s="418">
        <f t="shared" si="675"/>
        <v>2445688.4725297811</v>
      </c>
      <c r="GY226" s="418">
        <f t="shared" si="675"/>
        <v>2443314.2468763296</v>
      </c>
      <c r="GZ226" s="418">
        <f t="shared" si="675"/>
        <v>2435160.4678651718</v>
      </c>
      <c r="HA226" s="418">
        <f t="shared" si="675"/>
        <v>2426962.5225510374</v>
      </c>
      <c r="HB226" s="418">
        <f t="shared" si="675"/>
        <v>2445861.752949785</v>
      </c>
      <c r="HC226" s="418">
        <f t="shared" si="675"/>
        <v>2437574.756031421</v>
      </c>
      <c r="HD226" s="418">
        <f t="shared" si="675"/>
        <v>2429242.8712130822</v>
      </c>
      <c r="HE226" s="418">
        <f t="shared" si="675"/>
        <v>174279787.77195746</v>
      </c>
      <c r="HF226" s="418">
        <f t="shared" si="675"/>
        <v>0</v>
      </c>
      <c r="HG226" s="418">
        <f t="shared" si="675"/>
        <v>0</v>
      </c>
      <c r="HH226" s="418">
        <f t="shared" ref="HH226:IM226" si="676">HH201+HH217</f>
        <v>0</v>
      </c>
      <c r="HI226" s="418">
        <f t="shared" si="676"/>
        <v>0</v>
      </c>
      <c r="HJ226" s="418">
        <f t="shared" si="676"/>
        <v>0</v>
      </c>
      <c r="HK226" s="418">
        <f t="shared" si="676"/>
        <v>0</v>
      </c>
      <c r="HL226" s="418">
        <f t="shared" si="676"/>
        <v>0</v>
      </c>
      <c r="HM226" s="418">
        <f t="shared" si="676"/>
        <v>0</v>
      </c>
      <c r="HN226" s="418">
        <f t="shared" si="676"/>
        <v>0</v>
      </c>
      <c r="HO226" s="418">
        <f t="shared" si="676"/>
        <v>0</v>
      </c>
      <c r="HP226" s="418">
        <f t="shared" si="676"/>
        <v>0</v>
      </c>
      <c r="HQ226" s="418">
        <f t="shared" si="676"/>
        <v>0</v>
      </c>
      <c r="HR226" s="418">
        <f t="shared" si="676"/>
        <v>0</v>
      </c>
      <c r="HS226" s="418">
        <f t="shared" si="676"/>
        <v>0</v>
      </c>
      <c r="HT226" s="418">
        <f t="shared" si="676"/>
        <v>0</v>
      </c>
      <c r="HU226" s="418">
        <f t="shared" si="676"/>
        <v>0</v>
      </c>
      <c r="HV226" s="418">
        <f t="shared" si="676"/>
        <v>0</v>
      </c>
      <c r="HW226" s="418">
        <f t="shared" si="676"/>
        <v>0</v>
      </c>
      <c r="HX226" s="418">
        <f t="shared" si="676"/>
        <v>0</v>
      </c>
      <c r="HY226" s="418">
        <f t="shared" si="676"/>
        <v>0</v>
      </c>
      <c r="HZ226" s="418">
        <f t="shared" si="676"/>
        <v>0</v>
      </c>
      <c r="IA226" s="418">
        <f t="shared" si="676"/>
        <v>0</v>
      </c>
      <c r="IB226" s="418">
        <f t="shared" si="676"/>
        <v>0</v>
      </c>
      <c r="IC226" s="418">
        <f t="shared" si="676"/>
        <v>0</v>
      </c>
      <c r="ID226" s="418">
        <f t="shared" si="676"/>
        <v>0</v>
      </c>
      <c r="IE226" s="418">
        <f t="shared" si="676"/>
        <v>0</v>
      </c>
      <c r="IF226" s="418">
        <f t="shared" si="676"/>
        <v>0</v>
      </c>
      <c r="IG226" s="418">
        <f t="shared" si="676"/>
        <v>0</v>
      </c>
      <c r="IH226" s="418">
        <f t="shared" si="676"/>
        <v>0</v>
      </c>
      <c r="II226" s="418">
        <f t="shared" si="676"/>
        <v>0</v>
      </c>
      <c r="IJ226" s="418">
        <f t="shared" si="676"/>
        <v>0</v>
      </c>
      <c r="IK226" s="418">
        <f t="shared" si="676"/>
        <v>0</v>
      </c>
      <c r="IL226" s="418">
        <f t="shared" si="676"/>
        <v>0</v>
      </c>
      <c r="IM226" s="418">
        <f t="shared" si="676"/>
        <v>0</v>
      </c>
      <c r="IN226" s="418">
        <f t="shared" ref="IN226:JX226" si="677">IN201+IN217</f>
        <v>0</v>
      </c>
      <c r="IO226" s="418">
        <f t="shared" si="677"/>
        <v>0</v>
      </c>
      <c r="IP226" s="418">
        <f t="shared" si="677"/>
        <v>0</v>
      </c>
      <c r="IQ226" s="418">
        <f t="shared" si="677"/>
        <v>0</v>
      </c>
      <c r="IR226" s="418">
        <f t="shared" si="677"/>
        <v>0</v>
      </c>
      <c r="IS226" s="418">
        <f t="shared" si="677"/>
        <v>0</v>
      </c>
      <c r="IT226" s="418">
        <f t="shared" si="677"/>
        <v>0</v>
      </c>
      <c r="IU226" s="418">
        <f t="shared" si="677"/>
        <v>0</v>
      </c>
      <c r="IV226" s="418">
        <f t="shared" si="677"/>
        <v>0</v>
      </c>
      <c r="IW226" s="418">
        <f t="shared" si="677"/>
        <v>0</v>
      </c>
      <c r="IX226" s="418">
        <f t="shared" si="677"/>
        <v>0</v>
      </c>
      <c r="IY226" s="418">
        <f t="shared" si="677"/>
        <v>0</v>
      </c>
      <c r="IZ226" s="418">
        <f t="shared" si="677"/>
        <v>0</v>
      </c>
      <c r="JA226" s="418">
        <f t="shared" si="677"/>
        <v>0</v>
      </c>
      <c r="JB226" s="418">
        <f t="shared" si="677"/>
        <v>0</v>
      </c>
      <c r="JC226" s="418">
        <f t="shared" si="677"/>
        <v>0</v>
      </c>
      <c r="JD226" s="418">
        <f t="shared" si="677"/>
        <v>0</v>
      </c>
      <c r="JE226" s="418">
        <f t="shared" si="677"/>
        <v>0</v>
      </c>
      <c r="JF226" s="418">
        <f t="shared" si="677"/>
        <v>0</v>
      </c>
      <c r="JG226" s="418">
        <f t="shared" si="677"/>
        <v>0</v>
      </c>
      <c r="JH226" s="418">
        <f t="shared" si="677"/>
        <v>0</v>
      </c>
      <c r="JI226" s="418">
        <f t="shared" si="677"/>
        <v>0</v>
      </c>
      <c r="JJ226" s="418">
        <f t="shared" si="677"/>
        <v>0</v>
      </c>
      <c r="JK226" s="418">
        <f t="shared" si="677"/>
        <v>0</v>
      </c>
      <c r="JL226" s="418">
        <f t="shared" si="677"/>
        <v>0</v>
      </c>
      <c r="JM226" s="418">
        <f t="shared" si="677"/>
        <v>0</v>
      </c>
      <c r="JN226" s="418">
        <f t="shared" si="677"/>
        <v>0</v>
      </c>
      <c r="JO226" s="418">
        <f t="shared" si="677"/>
        <v>0</v>
      </c>
      <c r="JP226" s="418">
        <f t="shared" si="677"/>
        <v>0</v>
      </c>
      <c r="JQ226" s="418">
        <f t="shared" si="677"/>
        <v>0</v>
      </c>
      <c r="JR226" s="418">
        <f t="shared" si="677"/>
        <v>0</v>
      </c>
      <c r="JS226" s="418">
        <f t="shared" si="677"/>
        <v>0</v>
      </c>
      <c r="JT226" s="418">
        <f t="shared" si="677"/>
        <v>0</v>
      </c>
      <c r="JU226" s="418">
        <f t="shared" si="677"/>
        <v>0</v>
      </c>
      <c r="JV226" s="418">
        <f t="shared" si="677"/>
        <v>0</v>
      </c>
      <c r="JW226" s="418">
        <f t="shared" si="677"/>
        <v>0</v>
      </c>
      <c r="JX226" s="418">
        <f t="shared" si="677"/>
        <v>0</v>
      </c>
      <c r="JY226"/>
      <c r="JZ226" s="262"/>
      <c r="KA226" s="262"/>
      <c r="KB226" s="262"/>
      <c r="KC226" s="262"/>
      <c r="KD226" s="262"/>
      <c r="KE226" s="262"/>
      <c r="KF226" s="262"/>
      <c r="KG226" s="262"/>
      <c r="KH226" s="262"/>
      <c r="KI226" s="262"/>
      <c r="KJ226" s="262"/>
      <c r="KK226" s="262"/>
      <c r="KL226" s="262"/>
      <c r="KM226" s="262"/>
      <c r="KN226" s="262"/>
      <c r="KO226" s="262"/>
      <c r="KP226" s="262"/>
      <c r="KQ226" s="262"/>
      <c r="KR226" s="262"/>
      <c r="KS226" s="262"/>
      <c r="KT226" s="262"/>
      <c r="KU226" s="262"/>
      <c r="KV226" s="262"/>
      <c r="KW226" s="262"/>
      <c r="KX226" s="262"/>
      <c r="KY226" s="262"/>
      <c r="KZ226" s="262"/>
      <c r="LA226" s="262"/>
      <c r="LB226" s="262"/>
      <c r="LC226" s="262"/>
      <c r="LD226" s="262"/>
      <c r="LE226" s="262"/>
      <c r="LF226" s="262"/>
      <c r="LG226" s="262"/>
      <c r="LH226" s="262"/>
      <c r="LI226" s="262"/>
      <c r="LJ226" s="262"/>
      <c r="LK226" s="262"/>
      <c r="LL226" s="262"/>
      <c r="LM226" s="262"/>
      <c r="LN226" s="262"/>
      <c r="LO226" s="262"/>
      <c r="LP226" s="262"/>
      <c r="LQ226" s="262"/>
      <c r="LR226" s="262"/>
      <c r="LS226" s="262"/>
      <c r="LT226" s="262"/>
      <c r="LU226" s="262"/>
      <c r="LV226" s="262"/>
      <c r="LW226" s="262"/>
      <c r="LX226" s="262"/>
      <c r="LY226" s="262"/>
      <c r="LZ226" s="262"/>
      <c r="MA226" s="262"/>
      <c r="MB226" s="262"/>
      <c r="MC226" s="262"/>
      <c r="MD226" s="262"/>
      <c r="ME226" s="262"/>
      <c r="MF226" s="262"/>
      <c r="MG226" s="262"/>
      <c r="MH226" s="262"/>
      <c r="MI226" s="262"/>
      <c r="MJ226" s="262"/>
      <c r="MK226" s="262"/>
      <c r="ML226" s="262"/>
      <c r="MM226" s="262"/>
      <c r="MN226" s="262"/>
      <c r="MO226" s="262"/>
      <c r="MP226" s="262"/>
      <c r="MQ226" s="262"/>
      <c r="MR226" s="262"/>
      <c r="MS226" s="262"/>
      <c r="MT226" s="262"/>
      <c r="MU226" s="262"/>
      <c r="MV226" s="262"/>
      <c r="MW226" s="262"/>
      <c r="MX226" s="262"/>
      <c r="MY226" s="262"/>
      <c r="MZ226" s="262"/>
      <c r="NA226" s="262"/>
      <c r="NB226" s="262"/>
      <c r="NC226" s="262"/>
      <c r="ND226" s="262"/>
      <c r="NE226" s="262"/>
      <c r="NF226" s="262"/>
      <c r="NG226" s="262"/>
      <c r="NH226" s="262"/>
      <c r="NI226" s="262"/>
      <c r="NJ226" s="262"/>
      <c r="NK226" s="262"/>
      <c r="NL226" s="262"/>
      <c r="NM226" s="262"/>
      <c r="NN226" s="262"/>
      <c r="NO226" s="262"/>
      <c r="NP226" s="262"/>
      <c r="NQ226" s="262"/>
      <c r="NR226" s="262"/>
      <c r="NS226" s="262"/>
      <c r="NT226" s="262"/>
      <c r="NU226" s="262"/>
      <c r="NV226" s="262"/>
      <c r="NW226" s="262"/>
      <c r="NX226" s="262"/>
      <c r="NY226" s="262"/>
      <c r="NZ226" s="262"/>
      <c r="OA226" s="262"/>
      <c r="OB226" s="262"/>
      <c r="OC226" s="262"/>
      <c r="OD226" s="262"/>
      <c r="OE226" s="262"/>
      <c r="OF226" s="262"/>
      <c r="OG226" s="262"/>
      <c r="OH226" s="262"/>
      <c r="OI226" s="262"/>
      <c r="OJ226" s="262"/>
      <c r="OK226" s="262"/>
      <c r="OL226" s="262"/>
      <c r="OM226" s="262"/>
      <c r="ON226" s="262"/>
      <c r="OO226" s="262"/>
      <c r="OP226" s="262"/>
      <c r="OQ226" s="262"/>
      <c r="OR226" s="262"/>
      <c r="OS226" s="262"/>
      <c r="OT226" s="262"/>
      <c r="OU226" s="262"/>
      <c r="OV226" s="262"/>
      <c r="OW226" s="262"/>
      <c r="OX226" s="262"/>
      <c r="OY226" s="262"/>
      <c r="OZ226" s="262"/>
      <c r="PA226" s="262"/>
      <c r="PB226" s="262"/>
      <c r="PC226" s="262"/>
      <c r="PD226" s="262"/>
      <c r="PE226" s="262"/>
      <c r="PF226" s="262"/>
      <c r="PG226" s="262"/>
      <c r="PH226" s="262"/>
    </row>
    <row r="227" spans="1:424" x14ac:dyDescent="0.35">
      <c r="A227"/>
      <c r="B227" s="411" t="s">
        <v>427</v>
      </c>
      <c r="C227" s="397"/>
      <c r="D227" s="397"/>
      <c r="E227" s="542"/>
      <c r="F227" s="542"/>
      <c r="G227" s="542"/>
      <c r="H227" s="412" t="s">
        <v>217</v>
      </c>
      <c r="I227" s="412" t="s">
        <v>85</v>
      </c>
      <c r="J227" s="374"/>
      <c r="K227" s="374" t="s">
        <v>94</v>
      </c>
      <c r="L227" s="196">
        <f t="shared" ref="L227:AQ227" si="678">L194</f>
        <v>0</v>
      </c>
      <c r="M227" s="196">
        <f t="shared" si="678"/>
        <v>1</v>
      </c>
      <c r="N227" s="196">
        <f t="shared" si="678"/>
        <v>2</v>
      </c>
      <c r="O227" s="196">
        <f t="shared" si="678"/>
        <v>3</v>
      </c>
      <c r="P227" s="196">
        <f t="shared" si="678"/>
        <v>4</v>
      </c>
      <c r="Q227" s="196">
        <f t="shared" si="678"/>
        <v>5</v>
      </c>
      <c r="R227" s="196">
        <f t="shared" si="678"/>
        <v>6</v>
      </c>
      <c r="S227" s="196">
        <f t="shared" si="678"/>
        <v>7</v>
      </c>
      <c r="T227" s="196">
        <f t="shared" si="678"/>
        <v>8</v>
      </c>
      <c r="U227" s="196">
        <f t="shared" si="678"/>
        <v>9</v>
      </c>
      <c r="V227" s="196">
        <f t="shared" si="678"/>
        <v>10</v>
      </c>
      <c r="W227" s="196">
        <f t="shared" si="678"/>
        <v>11</v>
      </c>
      <c r="X227" s="196">
        <f t="shared" si="678"/>
        <v>12</v>
      </c>
      <c r="Y227" s="196">
        <f t="shared" si="678"/>
        <v>13</v>
      </c>
      <c r="Z227" s="196">
        <f t="shared" si="678"/>
        <v>14</v>
      </c>
      <c r="AA227" s="196">
        <f t="shared" si="678"/>
        <v>15</v>
      </c>
      <c r="AB227" s="196">
        <f t="shared" si="678"/>
        <v>16</v>
      </c>
      <c r="AC227" s="196">
        <f t="shared" si="678"/>
        <v>17</v>
      </c>
      <c r="AD227" s="196">
        <f t="shared" si="678"/>
        <v>18</v>
      </c>
      <c r="AE227" s="196">
        <f t="shared" si="678"/>
        <v>19</v>
      </c>
      <c r="AF227" s="196">
        <f t="shared" si="678"/>
        <v>20</v>
      </c>
      <c r="AG227" s="196">
        <f t="shared" si="678"/>
        <v>21</v>
      </c>
      <c r="AH227" s="196">
        <f t="shared" si="678"/>
        <v>22</v>
      </c>
      <c r="AI227" s="196">
        <f t="shared" si="678"/>
        <v>23</v>
      </c>
      <c r="AJ227" s="196">
        <f t="shared" si="678"/>
        <v>24</v>
      </c>
      <c r="AK227" s="196">
        <f t="shared" si="678"/>
        <v>25</v>
      </c>
      <c r="AL227" s="196">
        <f t="shared" si="678"/>
        <v>26</v>
      </c>
      <c r="AM227" s="196">
        <f t="shared" si="678"/>
        <v>27</v>
      </c>
      <c r="AN227" s="196">
        <f t="shared" si="678"/>
        <v>28</v>
      </c>
      <c r="AO227" s="196">
        <f t="shared" si="678"/>
        <v>29</v>
      </c>
      <c r="AP227" s="196">
        <f t="shared" si="678"/>
        <v>30</v>
      </c>
      <c r="AQ227" s="196">
        <f t="shared" si="678"/>
        <v>31</v>
      </c>
      <c r="AR227" s="196">
        <f t="shared" ref="AR227:BW227" si="679">AR194</f>
        <v>32</v>
      </c>
      <c r="AS227" s="196">
        <f t="shared" si="679"/>
        <v>33</v>
      </c>
      <c r="AT227" s="196">
        <f t="shared" si="679"/>
        <v>34</v>
      </c>
      <c r="AU227" s="196">
        <f t="shared" si="679"/>
        <v>35</v>
      </c>
      <c r="AV227" s="196">
        <f t="shared" si="679"/>
        <v>36</v>
      </c>
      <c r="AW227" s="196">
        <f t="shared" si="679"/>
        <v>37</v>
      </c>
      <c r="AX227" s="196">
        <f t="shared" si="679"/>
        <v>38</v>
      </c>
      <c r="AY227" s="196">
        <f t="shared" si="679"/>
        <v>39</v>
      </c>
      <c r="AZ227" s="196">
        <f t="shared" si="679"/>
        <v>40</v>
      </c>
      <c r="BA227" s="196">
        <f t="shared" si="679"/>
        <v>41</v>
      </c>
      <c r="BB227" s="196">
        <f t="shared" si="679"/>
        <v>42</v>
      </c>
      <c r="BC227" s="196">
        <f t="shared" si="679"/>
        <v>43</v>
      </c>
      <c r="BD227" s="196">
        <f t="shared" si="679"/>
        <v>44</v>
      </c>
      <c r="BE227" s="196">
        <f t="shared" si="679"/>
        <v>45</v>
      </c>
      <c r="BF227" s="196">
        <f t="shared" si="679"/>
        <v>46</v>
      </c>
      <c r="BG227" s="196">
        <f t="shared" si="679"/>
        <v>47</v>
      </c>
      <c r="BH227" s="196">
        <f t="shared" si="679"/>
        <v>48</v>
      </c>
      <c r="BI227" s="196">
        <f t="shared" si="679"/>
        <v>49</v>
      </c>
      <c r="BJ227" s="196">
        <f t="shared" si="679"/>
        <v>50</v>
      </c>
      <c r="BK227" s="196">
        <f t="shared" si="679"/>
        <v>51</v>
      </c>
      <c r="BL227" s="196">
        <f t="shared" si="679"/>
        <v>52</v>
      </c>
      <c r="BM227" s="196">
        <f t="shared" si="679"/>
        <v>53</v>
      </c>
      <c r="BN227" s="196">
        <f t="shared" si="679"/>
        <v>54</v>
      </c>
      <c r="BO227" s="196">
        <f t="shared" si="679"/>
        <v>55</v>
      </c>
      <c r="BP227" s="196">
        <f t="shared" si="679"/>
        <v>56</v>
      </c>
      <c r="BQ227" s="196">
        <f t="shared" si="679"/>
        <v>57</v>
      </c>
      <c r="BR227" s="196">
        <f t="shared" si="679"/>
        <v>58</v>
      </c>
      <c r="BS227" s="196">
        <f t="shared" si="679"/>
        <v>59</v>
      </c>
      <c r="BT227" s="196">
        <f t="shared" si="679"/>
        <v>60</v>
      </c>
      <c r="BU227" s="196">
        <f t="shared" si="679"/>
        <v>61</v>
      </c>
      <c r="BV227" s="196" t="str">
        <f t="shared" si="679"/>
        <v/>
      </c>
      <c r="BW227" s="196" t="str">
        <f t="shared" si="679"/>
        <v/>
      </c>
      <c r="BX227" s="196" t="str">
        <f t="shared" ref="BX227:DC227" si="680">BX194</f>
        <v/>
      </c>
      <c r="BY227" s="196" t="str">
        <f t="shared" si="680"/>
        <v/>
      </c>
      <c r="BZ227" s="196" t="str">
        <f t="shared" si="680"/>
        <v/>
      </c>
      <c r="CA227" s="196" t="str">
        <f t="shared" si="680"/>
        <v/>
      </c>
      <c r="CB227" s="196" t="str">
        <f t="shared" si="680"/>
        <v/>
      </c>
      <c r="CC227" s="196" t="str">
        <f t="shared" si="680"/>
        <v/>
      </c>
      <c r="CD227" s="196" t="str">
        <f t="shared" si="680"/>
        <v/>
      </c>
      <c r="CE227" s="196" t="str">
        <f t="shared" si="680"/>
        <v/>
      </c>
      <c r="CF227" s="196" t="str">
        <f t="shared" si="680"/>
        <v/>
      </c>
      <c r="CG227" s="196" t="str">
        <f t="shared" si="680"/>
        <v/>
      </c>
      <c r="CH227" s="196" t="str">
        <f t="shared" si="680"/>
        <v/>
      </c>
      <c r="CI227" s="196" t="str">
        <f t="shared" si="680"/>
        <v/>
      </c>
      <c r="CJ227" s="196" t="str">
        <f t="shared" si="680"/>
        <v/>
      </c>
      <c r="CK227" s="196" t="str">
        <f t="shared" si="680"/>
        <v/>
      </c>
      <c r="CL227" s="196" t="str">
        <f t="shared" si="680"/>
        <v/>
      </c>
      <c r="CM227" s="196" t="str">
        <f t="shared" si="680"/>
        <v/>
      </c>
      <c r="CN227" s="196" t="str">
        <f t="shared" si="680"/>
        <v/>
      </c>
      <c r="CO227" s="196" t="str">
        <f t="shared" si="680"/>
        <v/>
      </c>
      <c r="CP227" s="196" t="str">
        <f t="shared" si="680"/>
        <v/>
      </c>
      <c r="CQ227" s="196" t="str">
        <f t="shared" si="680"/>
        <v/>
      </c>
      <c r="CR227" s="196" t="str">
        <f t="shared" si="680"/>
        <v/>
      </c>
      <c r="CS227" s="196" t="str">
        <f t="shared" si="680"/>
        <v/>
      </c>
      <c r="CT227" s="196" t="str">
        <f t="shared" si="680"/>
        <v/>
      </c>
      <c r="CU227" s="196" t="str">
        <f t="shared" si="680"/>
        <v/>
      </c>
      <c r="CV227" s="196" t="str">
        <f t="shared" si="680"/>
        <v/>
      </c>
      <c r="CW227" s="196" t="str">
        <f t="shared" si="680"/>
        <v/>
      </c>
      <c r="CX227" s="196" t="str">
        <f t="shared" si="680"/>
        <v/>
      </c>
      <c r="CY227" s="196" t="str">
        <f t="shared" si="680"/>
        <v/>
      </c>
      <c r="CZ227" s="196" t="str">
        <f t="shared" si="680"/>
        <v/>
      </c>
      <c r="DA227" s="196" t="str">
        <f t="shared" si="680"/>
        <v/>
      </c>
      <c r="DB227" s="196" t="str">
        <f t="shared" si="680"/>
        <v/>
      </c>
      <c r="DC227" s="196" t="str">
        <f t="shared" si="680"/>
        <v/>
      </c>
      <c r="DD227" s="196" t="str">
        <f t="shared" ref="DD227:EN227" si="681">DD194</f>
        <v/>
      </c>
      <c r="DE227" s="196" t="str">
        <f t="shared" si="681"/>
        <v/>
      </c>
      <c r="DF227" s="196" t="str">
        <f t="shared" si="681"/>
        <v/>
      </c>
      <c r="DG227" s="196" t="str">
        <f t="shared" si="681"/>
        <v/>
      </c>
      <c r="DH227" s="196" t="str">
        <f t="shared" si="681"/>
        <v/>
      </c>
      <c r="DI227" s="196" t="str">
        <f t="shared" si="681"/>
        <v/>
      </c>
      <c r="DJ227" s="196" t="str">
        <f t="shared" si="681"/>
        <v/>
      </c>
      <c r="DK227" s="196" t="str">
        <f t="shared" si="681"/>
        <v/>
      </c>
      <c r="DL227" s="196" t="str">
        <f t="shared" si="681"/>
        <v/>
      </c>
      <c r="DM227" s="196" t="str">
        <f t="shared" si="681"/>
        <v/>
      </c>
      <c r="DN227" s="196" t="str">
        <f t="shared" si="681"/>
        <v/>
      </c>
      <c r="DO227" s="196" t="str">
        <f t="shared" si="681"/>
        <v/>
      </c>
      <c r="DP227" s="196" t="str">
        <f t="shared" si="681"/>
        <v/>
      </c>
      <c r="DQ227" s="196" t="str">
        <f t="shared" si="681"/>
        <v/>
      </c>
      <c r="DR227" s="196" t="str">
        <f t="shared" si="681"/>
        <v/>
      </c>
      <c r="DS227" s="196" t="str">
        <f t="shared" si="681"/>
        <v/>
      </c>
      <c r="DT227" s="196" t="str">
        <f t="shared" si="681"/>
        <v/>
      </c>
      <c r="DU227" s="196" t="str">
        <f t="shared" si="681"/>
        <v/>
      </c>
      <c r="DV227" s="196" t="str">
        <f t="shared" si="681"/>
        <v/>
      </c>
      <c r="DW227" s="196" t="str">
        <f t="shared" si="681"/>
        <v/>
      </c>
      <c r="DX227" s="196" t="str">
        <f t="shared" si="681"/>
        <v/>
      </c>
      <c r="DY227" s="196" t="str">
        <f t="shared" si="681"/>
        <v/>
      </c>
      <c r="DZ227" s="196" t="str">
        <f t="shared" si="681"/>
        <v/>
      </c>
      <c r="EA227" s="196" t="str">
        <f t="shared" si="681"/>
        <v/>
      </c>
      <c r="EB227" s="196" t="str">
        <f t="shared" si="681"/>
        <v/>
      </c>
      <c r="EC227" s="196" t="str">
        <f t="shared" si="681"/>
        <v/>
      </c>
      <c r="ED227" s="196" t="str">
        <f t="shared" si="681"/>
        <v/>
      </c>
      <c r="EE227" s="196" t="str">
        <f t="shared" si="681"/>
        <v/>
      </c>
      <c r="EF227" s="196" t="str">
        <f t="shared" si="681"/>
        <v/>
      </c>
      <c r="EG227" s="196" t="str">
        <f t="shared" si="681"/>
        <v/>
      </c>
      <c r="EH227" s="196" t="str">
        <f t="shared" si="681"/>
        <v/>
      </c>
      <c r="EI227" s="196" t="str">
        <f t="shared" si="681"/>
        <v/>
      </c>
      <c r="EJ227" s="196" t="str">
        <f t="shared" si="681"/>
        <v/>
      </c>
      <c r="EK227" s="196" t="str">
        <f t="shared" si="681"/>
        <v/>
      </c>
      <c r="EL227" s="196" t="str">
        <f t="shared" si="681"/>
        <v/>
      </c>
      <c r="EM227" s="196" t="str">
        <f t="shared" si="681"/>
        <v/>
      </c>
      <c r="EN227" s="196" t="str">
        <f t="shared" si="681"/>
        <v/>
      </c>
      <c r="EO227"/>
      <c r="EP227" s="405"/>
      <c r="EQ227" s="18"/>
      <c r="ER227" s="18"/>
      <c r="ES227" s="18"/>
      <c r="ET227" s="18" t="s">
        <v>428</v>
      </c>
      <c r="EU227" s="18"/>
      <c r="EV227" s="418">
        <f t="shared" ref="EV227:GA227" si="682">(EV$197&lt;=Timing_Reversion_Month)*(MIN(EV224+EV225-EV226,MAX(EV223,0)*$I$235))</f>
        <v>0</v>
      </c>
      <c r="EW227" s="418">
        <f t="shared" si="682"/>
        <v>0</v>
      </c>
      <c r="EX227" s="418">
        <f t="shared" si="682"/>
        <v>0</v>
      </c>
      <c r="EY227" s="418">
        <f t="shared" si="682"/>
        <v>0</v>
      </c>
      <c r="EZ227" s="418">
        <f t="shared" si="682"/>
        <v>0</v>
      </c>
      <c r="FA227" s="418">
        <f t="shared" si="682"/>
        <v>0</v>
      </c>
      <c r="FB227" s="418">
        <f t="shared" si="682"/>
        <v>0</v>
      </c>
      <c r="FC227" s="418">
        <f t="shared" si="682"/>
        <v>0</v>
      </c>
      <c r="FD227" s="418">
        <f t="shared" si="682"/>
        <v>0</v>
      </c>
      <c r="FE227" s="418">
        <f t="shared" si="682"/>
        <v>0</v>
      </c>
      <c r="FF227" s="418">
        <f t="shared" si="682"/>
        <v>0</v>
      </c>
      <c r="FG227" s="418">
        <f t="shared" si="682"/>
        <v>0</v>
      </c>
      <c r="FH227" s="418">
        <f t="shared" si="682"/>
        <v>0</v>
      </c>
      <c r="FI227" s="418">
        <f t="shared" si="682"/>
        <v>0</v>
      </c>
      <c r="FJ227" s="418">
        <f t="shared" si="682"/>
        <v>0</v>
      </c>
      <c r="FK227" s="418">
        <f t="shared" si="682"/>
        <v>0</v>
      </c>
      <c r="FL227" s="418">
        <f t="shared" si="682"/>
        <v>0</v>
      </c>
      <c r="FM227" s="418">
        <f t="shared" si="682"/>
        <v>0</v>
      </c>
      <c r="FN227" s="418">
        <f t="shared" si="682"/>
        <v>0</v>
      </c>
      <c r="FO227" s="418">
        <f t="shared" si="682"/>
        <v>0</v>
      </c>
      <c r="FP227" s="418">
        <f t="shared" si="682"/>
        <v>0</v>
      </c>
      <c r="FQ227" s="418">
        <f t="shared" si="682"/>
        <v>0</v>
      </c>
      <c r="FR227" s="418">
        <f t="shared" si="682"/>
        <v>0</v>
      </c>
      <c r="FS227" s="418">
        <f t="shared" si="682"/>
        <v>0</v>
      </c>
      <c r="FT227" s="418">
        <f t="shared" si="682"/>
        <v>0</v>
      </c>
      <c r="FU227" s="418">
        <f t="shared" si="682"/>
        <v>0</v>
      </c>
      <c r="FV227" s="418">
        <f t="shared" si="682"/>
        <v>0</v>
      </c>
      <c r="FW227" s="418">
        <f t="shared" si="682"/>
        <v>0</v>
      </c>
      <c r="FX227" s="418">
        <f t="shared" si="682"/>
        <v>0</v>
      </c>
      <c r="FY227" s="418">
        <f t="shared" si="682"/>
        <v>0</v>
      </c>
      <c r="FZ227" s="418">
        <f t="shared" si="682"/>
        <v>0</v>
      </c>
      <c r="GA227" s="418">
        <f t="shared" si="682"/>
        <v>0</v>
      </c>
      <c r="GB227" s="418">
        <f t="shared" ref="GB227:HG227" si="683">(GB$197&lt;=Timing_Reversion_Month)*(MIN(GB224+GB225-GB226,MAX(GB223,0)*$I$235))</f>
        <v>0</v>
      </c>
      <c r="GC227" s="418">
        <f t="shared" si="683"/>
        <v>0</v>
      </c>
      <c r="GD227" s="418">
        <f t="shared" si="683"/>
        <v>0</v>
      </c>
      <c r="GE227" s="418">
        <f t="shared" si="683"/>
        <v>0</v>
      </c>
      <c r="GF227" s="418">
        <f t="shared" si="683"/>
        <v>0</v>
      </c>
      <c r="GG227" s="418">
        <f t="shared" si="683"/>
        <v>0</v>
      </c>
      <c r="GH227" s="418">
        <f t="shared" si="683"/>
        <v>0</v>
      </c>
      <c r="GI227" s="418">
        <f t="shared" si="683"/>
        <v>0</v>
      </c>
      <c r="GJ227" s="418">
        <f t="shared" si="683"/>
        <v>0</v>
      </c>
      <c r="GK227" s="418">
        <f t="shared" si="683"/>
        <v>0</v>
      </c>
      <c r="GL227" s="418">
        <f t="shared" si="683"/>
        <v>0</v>
      </c>
      <c r="GM227" s="418">
        <f t="shared" si="683"/>
        <v>0</v>
      </c>
      <c r="GN227" s="418">
        <f t="shared" si="683"/>
        <v>0</v>
      </c>
      <c r="GO227" s="418">
        <f t="shared" si="683"/>
        <v>0</v>
      </c>
      <c r="GP227" s="418">
        <f t="shared" si="683"/>
        <v>0</v>
      </c>
      <c r="GQ227" s="418">
        <f t="shared" si="683"/>
        <v>0</v>
      </c>
      <c r="GR227" s="418">
        <f t="shared" si="683"/>
        <v>0</v>
      </c>
      <c r="GS227" s="418">
        <f t="shared" si="683"/>
        <v>0</v>
      </c>
      <c r="GT227" s="418">
        <f t="shared" si="683"/>
        <v>0</v>
      </c>
      <c r="GU227" s="418">
        <f t="shared" si="683"/>
        <v>0</v>
      </c>
      <c r="GV227" s="418">
        <f t="shared" si="683"/>
        <v>0</v>
      </c>
      <c r="GW227" s="418">
        <f t="shared" si="683"/>
        <v>0</v>
      </c>
      <c r="GX227" s="418">
        <f t="shared" si="683"/>
        <v>0</v>
      </c>
      <c r="GY227" s="418">
        <f t="shared" si="683"/>
        <v>0</v>
      </c>
      <c r="GZ227" s="418">
        <f t="shared" si="683"/>
        <v>0</v>
      </c>
      <c r="HA227" s="418">
        <f t="shared" si="683"/>
        <v>0</v>
      </c>
      <c r="HB227" s="418">
        <f t="shared" si="683"/>
        <v>0</v>
      </c>
      <c r="HC227" s="418">
        <f t="shared" si="683"/>
        <v>0</v>
      </c>
      <c r="HD227" s="418">
        <f t="shared" si="683"/>
        <v>0</v>
      </c>
      <c r="HE227" s="418">
        <f t="shared" si="683"/>
        <v>0</v>
      </c>
      <c r="HF227" s="418">
        <f t="shared" si="683"/>
        <v>0</v>
      </c>
      <c r="HG227" s="418">
        <f t="shared" si="683"/>
        <v>0</v>
      </c>
      <c r="HH227" s="418">
        <f t="shared" ref="HH227:IM227" si="684">(HH$197&lt;=Timing_Reversion_Month)*(MIN(HH224+HH225-HH226,MAX(HH223,0)*$I$235))</f>
        <v>0</v>
      </c>
      <c r="HI227" s="418">
        <f t="shared" si="684"/>
        <v>0</v>
      </c>
      <c r="HJ227" s="418">
        <f t="shared" si="684"/>
        <v>0</v>
      </c>
      <c r="HK227" s="418">
        <f t="shared" si="684"/>
        <v>0</v>
      </c>
      <c r="HL227" s="418">
        <f t="shared" si="684"/>
        <v>0</v>
      </c>
      <c r="HM227" s="418">
        <f t="shared" si="684"/>
        <v>0</v>
      </c>
      <c r="HN227" s="418">
        <f t="shared" si="684"/>
        <v>0</v>
      </c>
      <c r="HO227" s="418">
        <f t="shared" si="684"/>
        <v>0</v>
      </c>
      <c r="HP227" s="418">
        <f t="shared" si="684"/>
        <v>0</v>
      </c>
      <c r="HQ227" s="418">
        <f t="shared" si="684"/>
        <v>0</v>
      </c>
      <c r="HR227" s="418">
        <f t="shared" si="684"/>
        <v>0</v>
      </c>
      <c r="HS227" s="418">
        <f t="shared" si="684"/>
        <v>0</v>
      </c>
      <c r="HT227" s="418">
        <f t="shared" si="684"/>
        <v>0</v>
      </c>
      <c r="HU227" s="418">
        <f t="shared" si="684"/>
        <v>0</v>
      </c>
      <c r="HV227" s="418">
        <f t="shared" si="684"/>
        <v>0</v>
      </c>
      <c r="HW227" s="418">
        <f t="shared" si="684"/>
        <v>0</v>
      </c>
      <c r="HX227" s="418">
        <f t="shared" si="684"/>
        <v>0</v>
      </c>
      <c r="HY227" s="418">
        <f t="shared" si="684"/>
        <v>0</v>
      </c>
      <c r="HZ227" s="418">
        <f t="shared" si="684"/>
        <v>0</v>
      </c>
      <c r="IA227" s="418">
        <f t="shared" si="684"/>
        <v>0</v>
      </c>
      <c r="IB227" s="418">
        <f t="shared" si="684"/>
        <v>0</v>
      </c>
      <c r="IC227" s="418">
        <f t="shared" si="684"/>
        <v>0</v>
      </c>
      <c r="ID227" s="418">
        <f t="shared" si="684"/>
        <v>0</v>
      </c>
      <c r="IE227" s="418">
        <f t="shared" si="684"/>
        <v>0</v>
      </c>
      <c r="IF227" s="418">
        <f t="shared" si="684"/>
        <v>0</v>
      </c>
      <c r="IG227" s="418">
        <f t="shared" si="684"/>
        <v>0</v>
      </c>
      <c r="IH227" s="418">
        <f t="shared" si="684"/>
        <v>0</v>
      </c>
      <c r="II227" s="418">
        <f t="shared" si="684"/>
        <v>0</v>
      </c>
      <c r="IJ227" s="418">
        <f t="shared" si="684"/>
        <v>0</v>
      </c>
      <c r="IK227" s="418">
        <f t="shared" si="684"/>
        <v>0</v>
      </c>
      <c r="IL227" s="418">
        <f t="shared" si="684"/>
        <v>0</v>
      </c>
      <c r="IM227" s="418">
        <f t="shared" si="684"/>
        <v>0</v>
      </c>
      <c r="IN227" s="418">
        <f t="shared" ref="IN227:JS227" si="685">(IN$197&lt;=Timing_Reversion_Month)*(MIN(IN224+IN225-IN226,MAX(IN223,0)*$I$235))</f>
        <v>0</v>
      </c>
      <c r="IO227" s="418">
        <f t="shared" si="685"/>
        <v>0</v>
      </c>
      <c r="IP227" s="418">
        <f t="shared" si="685"/>
        <v>0</v>
      </c>
      <c r="IQ227" s="418">
        <f t="shared" si="685"/>
        <v>0</v>
      </c>
      <c r="IR227" s="418">
        <f t="shared" si="685"/>
        <v>0</v>
      </c>
      <c r="IS227" s="418">
        <f t="shared" si="685"/>
        <v>0</v>
      </c>
      <c r="IT227" s="418">
        <f t="shared" si="685"/>
        <v>0</v>
      </c>
      <c r="IU227" s="418">
        <f t="shared" si="685"/>
        <v>0</v>
      </c>
      <c r="IV227" s="418">
        <f t="shared" si="685"/>
        <v>0</v>
      </c>
      <c r="IW227" s="418">
        <f t="shared" si="685"/>
        <v>0</v>
      </c>
      <c r="IX227" s="418">
        <f t="shared" si="685"/>
        <v>0</v>
      </c>
      <c r="IY227" s="418">
        <f t="shared" si="685"/>
        <v>0</v>
      </c>
      <c r="IZ227" s="418">
        <f t="shared" si="685"/>
        <v>0</v>
      </c>
      <c r="JA227" s="418">
        <f t="shared" si="685"/>
        <v>0</v>
      </c>
      <c r="JB227" s="418">
        <f t="shared" si="685"/>
        <v>0</v>
      </c>
      <c r="JC227" s="418">
        <f t="shared" si="685"/>
        <v>0</v>
      </c>
      <c r="JD227" s="418">
        <f t="shared" si="685"/>
        <v>0</v>
      </c>
      <c r="JE227" s="418">
        <f t="shared" si="685"/>
        <v>0</v>
      </c>
      <c r="JF227" s="418">
        <f t="shared" si="685"/>
        <v>0</v>
      </c>
      <c r="JG227" s="418">
        <f t="shared" si="685"/>
        <v>0</v>
      </c>
      <c r="JH227" s="418">
        <f t="shared" si="685"/>
        <v>0</v>
      </c>
      <c r="JI227" s="418">
        <f t="shared" si="685"/>
        <v>0</v>
      </c>
      <c r="JJ227" s="418">
        <f t="shared" si="685"/>
        <v>0</v>
      </c>
      <c r="JK227" s="418">
        <f t="shared" si="685"/>
        <v>0</v>
      </c>
      <c r="JL227" s="418">
        <f t="shared" si="685"/>
        <v>0</v>
      </c>
      <c r="JM227" s="418">
        <f t="shared" si="685"/>
        <v>0</v>
      </c>
      <c r="JN227" s="418">
        <f t="shared" si="685"/>
        <v>0</v>
      </c>
      <c r="JO227" s="418">
        <f t="shared" si="685"/>
        <v>0</v>
      </c>
      <c r="JP227" s="418">
        <f t="shared" si="685"/>
        <v>0</v>
      </c>
      <c r="JQ227" s="418">
        <f t="shared" si="685"/>
        <v>0</v>
      </c>
      <c r="JR227" s="418">
        <f t="shared" si="685"/>
        <v>0</v>
      </c>
      <c r="JS227" s="418">
        <f t="shared" si="685"/>
        <v>0</v>
      </c>
      <c r="JT227" s="418">
        <f>(JT$197&lt;=Timing_Reversion_Month)*(MIN(JT224+JT225-JT226,MAX(JT223,0)*$I$235))</f>
        <v>0</v>
      </c>
      <c r="JU227" s="418">
        <f>(JU$197&lt;=Timing_Reversion_Month)*(MIN(JU224+JU225-JU226,MAX(JU223,0)*$I$235))</f>
        <v>0</v>
      </c>
      <c r="JV227" s="418">
        <f>(JV$197&lt;=Timing_Reversion_Month)*(MIN(JV224+JV225-JV226,MAX(JV223,0)*$I$235))</f>
        <v>0</v>
      </c>
      <c r="JW227" s="418">
        <f>(JW$197&lt;=Timing_Reversion_Month)*(MIN(JW224+JW225-JW226,MAX(JW223,0)*$I$235))</f>
        <v>0</v>
      </c>
      <c r="JX227" s="418">
        <f>(JX$197&lt;=Timing_Reversion_Month)*(MIN(JX224+JX225-JX226,MAX(JX223,0)*$I$235))</f>
        <v>0</v>
      </c>
      <c r="JY227"/>
      <c r="JZ227" s="262"/>
      <c r="KA227" s="262"/>
      <c r="KB227" s="262"/>
      <c r="KC227" s="262"/>
      <c r="KD227" s="262"/>
      <c r="KE227" s="262"/>
      <c r="KF227" s="262"/>
      <c r="KG227" s="262"/>
      <c r="KH227" s="262"/>
      <c r="KI227" s="262"/>
      <c r="KJ227" s="262"/>
      <c r="KK227" s="262"/>
      <c r="KL227" s="262"/>
      <c r="KM227" s="262"/>
      <c r="KN227" s="262"/>
      <c r="KO227" s="262"/>
      <c r="KP227" s="262"/>
      <c r="KQ227" s="262"/>
      <c r="KR227" s="262"/>
      <c r="KS227" s="262"/>
      <c r="KT227" s="262"/>
      <c r="KU227" s="262"/>
      <c r="KV227" s="262"/>
      <c r="KW227" s="262"/>
      <c r="KX227" s="262"/>
      <c r="KY227" s="262"/>
      <c r="KZ227" s="262"/>
      <c r="LA227" s="262"/>
      <c r="LB227" s="262"/>
      <c r="LC227" s="262"/>
      <c r="LD227" s="262"/>
      <c r="LE227" s="262"/>
      <c r="LF227" s="262"/>
      <c r="LG227" s="262"/>
      <c r="LH227" s="262"/>
      <c r="LI227" s="262"/>
      <c r="LJ227" s="262"/>
      <c r="LK227" s="262"/>
      <c r="LL227" s="262"/>
      <c r="LM227" s="262"/>
      <c r="LN227" s="262"/>
      <c r="LO227" s="262"/>
      <c r="LP227" s="262"/>
      <c r="LQ227" s="262"/>
      <c r="LR227" s="262"/>
      <c r="LS227" s="262"/>
      <c r="LT227" s="262"/>
      <c r="LU227" s="262"/>
      <c r="LV227" s="262"/>
      <c r="LW227" s="262"/>
      <c r="LX227" s="262"/>
      <c r="LY227" s="262"/>
      <c r="LZ227" s="262"/>
      <c r="MA227" s="262"/>
      <c r="MB227" s="262"/>
      <c r="MC227" s="262"/>
      <c r="MD227" s="262"/>
      <c r="ME227" s="262"/>
      <c r="MF227" s="262"/>
      <c r="MG227" s="262"/>
      <c r="MH227" s="262"/>
      <c r="MI227" s="262"/>
      <c r="MJ227" s="262"/>
      <c r="MK227" s="262"/>
      <c r="ML227" s="262"/>
      <c r="MM227" s="262"/>
      <c r="MN227" s="262"/>
      <c r="MO227" s="262"/>
      <c r="MP227" s="262"/>
      <c r="MQ227" s="262"/>
      <c r="MR227" s="262"/>
      <c r="MS227" s="262"/>
      <c r="MT227" s="262"/>
      <c r="MU227" s="262"/>
      <c r="MV227" s="262"/>
      <c r="MW227" s="262"/>
      <c r="MX227" s="262"/>
      <c r="MY227" s="262"/>
      <c r="MZ227" s="262"/>
      <c r="NA227" s="262"/>
      <c r="NB227" s="262"/>
      <c r="NC227" s="262"/>
      <c r="ND227" s="262"/>
      <c r="NE227" s="262"/>
      <c r="NF227" s="262"/>
      <c r="NG227" s="262"/>
      <c r="NH227" s="262"/>
      <c r="NI227" s="262"/>
      <c r="NJ227" s="262"/>
      <c r="NK227" s="262"/>
      <c r="NL227" s="262"/>
      <c r="NM227" s="262"/>
      <c r="NN227" s="262"/>
      <c r="NO227" s="262"/>
      <c r="NP227" s="262"/>
      <c r="NQ227" s="262"/>
      <c r="NR227" s="262"/>
      <c r="NS227" s="262"/>
      <c r="NT227" s="262"/>
      <c r="NU227" s="262"/>
      <c r="NV227" s="262"/>
      <c r="NW227" s="262"/>
      <c r="NX227" s="262"/>
      <c r="NY227" s="262"/>
      <c r="NZ227" s="262"/>
      <c r="OA227" s="262"/>
      <c r="OB227" s="262"/>
      <c r="OC227" s="262"/>
      <c r="OD227" s="262"/>
      <c r="OE227" s="262"/>
      <c r="OF227" s="262"/>
      <c r="OG227" s="262"/>
      <c r="OH227" s="262"/>
      <c r="OI227" s="262"/>
      <c r="OJ227" s="262"/>
      <c r="OK227" s="262"/>
      <c r="OL227" s="262"/>
      <c r="OM227" s="262"/>
      <c r="ON227" s="262"/>
      <c r="OO227" s="262"/>
      <c r="OP227" s="262"/>
      <c r="OQ227" s="262"/>
      <c r="OR227" s="262"/>
      <c r="OS227" s="262"/>
      <c r="OT227" s="262"/>
      <c r="OU227" s="262"/>
      <c r="OV227" s="262"/>
      <c r="OW227" s="262"/>
      <c r="OX227" s="262"/>
      <c r="OY227" s="262"/>
      <c r="OZ227" s="262"/>
      <c r="PA227" s="262"/>
      <c r="PB227" s="262"/>
      <c r="PC227" s="262"/>
      <c r="PD227" s="262"/>
      <c r="PE227" s="262"/>
      <c r="PF227" s="262"/>
      <c r="PG227" s="262"/>
      <c r="PH227" s="262"/>
    </row>
    <row r="228" spans="1:424" x14ac:dyDescent="0.35">
      <c r="A228"/>
      <c r="B228" s="34" t="s">
        <v>429</v>
      </c>
      <c r="C228" s="894">
        <f>IF('URWLD COMPANY INPUTS'!$F$866="",0,'URWLD COMPANY INPUTS'!$F$866)</f>
        <v>0</v>
      </c>
      <c r="D228" s="397"/>
      <c r="E228" s="82"/>
      <c r="F228" s="82"/>
      <c r="G228" s="542"/>
      <c r="H228" s="884">
        <f>$C$228</f>
        <v>0</v>
      </c>
      <c r="I228" s="445">
        <f>SUM(L228:EN228)</f>
        <v>0</v>
      </c>
      <c r="J228"/>
      <c r="K228"/>
      <c r="L228" s="417">
        <f t="shared" ref="L228:U229" si="686">IF(L$227="","",-MIN(L$212,0)*$H228)</f>
        <v>0</v>
      </c>
      <c r="M228" s="417">
        <f t="shared" si="686"/>
        <v>0</v>
      </c>
      <c r="N228" s="417">
        <f t="shared" si="686"/>
        <v>0</v>
      </c>
      <c r="O228" s="417">
        <f t="shared" si="686"/>
        <v>0</v>
      </c>
      <c r="P228" s="417">
        <f t="shared" si="686"/>
        <v>0</v>
      </c>
      <c r="Q228" s="417">
        <f t="shared" si="686"/>
        <v>0</v>
      </c>
      <c r="R228" s="417">
        <f t="shared" si="686"/>
        <v>0</v>
      </c>
      <c r="S228" s="417">
        <f t="shared" si="686"/>
        <v>0</v>
      </c>
      <c r="T228" s="417">
        <f t="shared" si="686"/>
        <v>0</v>
      </c>
      <c r="U228" s="417">
        <f t="shared" si="686"/>
        <v>0</v>
      </c>
      <c r="V228" s="417">
        <f t="shared" ref="V228:AE229" si="687">IF(V$227="","",-MIN(V$212,0)*$H228)</f>
        <v>0</v>
      </c>
      <c r="W228" s="417">
        <f t="shared" si="687"/>
        <v>0</v>
      </c>
      <c r="X228" s="417">
        <f t="shared" si="687"/>
        <v>0</v>
      </c>
      <c r="Y228" s="417">
        <f t="shared" si="687"/>
        <v>0</v>
      </c>
      <c r="Z228" s="417">
        <f t="shared" si="687"/>
        <v>0</v>
      </c>
      <c r="AA228" s="417">
        <f t="shared" si="687"/>
        <v>0</v>
      </c>
      <c r="AB228" s="417">
        <f t="shared" si="687"/>
        <v>0</v>
      </c>
      <c r="AC228" s="417">
        <f t="shared" si="687"/>
        <v>0</v>
      </c>
      <c r="AD228" s="417">
        <f t="shared" si="687"/>
        <v>0</v>
      </c>
      <c r="AE228" s="417">
        <f t="shared" si="687"/>
        <v>0</v>
      </c>
      <c r="AF228" s="417">
        <f t="shared" ref="AF228:AO229" si="688">IF(AF$227="","",-MIN(AF$212,0)*$H228)</f>
        <v>0</v>
      </c>
      <c r="AG228" s="417">
        <f t="shared" si="688"/>
        <v>0</v>
      </c>
      <c r="AH228" s="417">
        <f t="shared" si="688"/>
        <v>0</v>
      </c>
      <c r="AI228" s="417">
        <f t="shared" si="688"/>
        <v>0</v>
      </c>
      <c r="AJ228" s="417">
        <f t="shared" si="688"/>
        <v>0</v>
      </c>
      <c r="AK228" s="417">
        <f t="shared" si="688"/>
        <v>0</v>
      </c>
      <c r="AL228" s="417">
        <f t="shared" si="688"/>
        <v>0</v>
      </c>
      <c r="AM228" s="417">
        <f t="shared" si="688"/>
        <v>0</v>
      </c>
      <c r="AN228" s="417">
        <f t="shared" si="688"/>
        <v>0</v>
      </c>
      <c r="AO228" s="417">
        <f t="shared" si="688"/>
        <v>0</v>
      </c>
      <c r="AP228" s="417">
        <f t="shared" ref="AP228:AY229" si="689">IF(AP$227="","",-MIN(AP$212,0)*$H228)</f>
        <v>0</v>
      </c>
      <c r="AQ228" s="417">
        <f t="shared" si="689"/>
        <v>0</v>
      </c>
      <c r="AR228" s="417">
        <f t="shared" si="689"/>
        <v>0</v>
      </c>
      <c r="AS228" s="417">
        <f t="shared" si="689"/>
        <v>0</v>
      </c>
      <c r="AT228" s="417">
        <f t="shared" si="689"/>
        <v>0</v>
      </c>
      <c r="AU228" s="417">
        <f t="shared" si="689"/>
        <v>0</v>
      </c>
      <c r="AV228" s="417">
        <f t="shared" si="689"/>
        <v>0</v>
      </c>
      <c r="AW228" s="417">
        <f t="shared" si="689"/>
        <v>0</v>
      </c>
      <c r="AX228" s="417">
        <f t="shared" si="689"/>
        <v>0</v>
      </c>
      <c r="AY228" s="417">
        <f t="shared" si="689"/>
        <v>0</v>
      </c>
      <c r="AZ228" s="417">
        <f t="shared" ref="AZ228:BI229" si="690">IF(AZ$227="","",-MIN(AZ$212,0)*$H228)</f>
        <v>0</v>
      </c>
      <c r="BA228" s="417">
        <f t="shared" si="690"/>
        <v>0</v>
      </c>
      <c r="BB228" s="417">
        <f t="shared" si="690"/>
        <v>0</v>
      </c>
      <c r="BC228" s="417">
        <f t="shared" si="690"/>
        <v>0</v>
      </c>
      <c r="BD228" s="75">
        <f t="shared" si="690"/>
        <v>0</v>
      </c>
      <c r="BE228" s="75">
        <f t="shared" si="690"/>
        <v>0</v>
      </c>
      <c r="BF228" s="75">
        <f t="shared" si="690"/>
        <v>0</v>
      </c>
      <c r="BG228" s="75">
        <f t="shared" si="690"/>
        <v>0</v>
      </c>
      <c r="BH228" s="75">
        <f t="shared" si="690"/>
        <v>0</v>
      </c>
      <c r="BI228" s="75">
        <f t="shared" si="690"/>
        <v>0</v>
      </c>
      <c r="BJ228" s="75">
        <f t="shared" ref="BJ228:BS229" si="691">IF(BJ$227="","",-MIN(BJ$212,0)*$H228)</f>
        <v>0</v>
      </c>
      <c r="BK228" s="75">
        <f t="shared" si="691"/>
        <v>0</v>
      </c>
      <c r="BL228" s="75">
        <f t="shared" si="691"/>
        <v>0</v>
      </c>
      <c r="BM228" s="75">
        <f t="shared" si="691"/>
        <v>0</v>
      </c>
      <c r="BN228" s="75">
        <f t="shared" si="691"/>
        <v>0</v>
      </c>
      <c r="BO228" s="75">
        <f t="shared" si="691"/>
        <v>0</v>
      </c>
      <c r="BP228" s="75">
        <f t="shared" si="691"/>
        <v>0</v>
      </c>
      <c r="BQ228" s="75">
        <f t="shared" si="691"/>
        <v>0</v>
      </c>
      <c r="BR228" s="75">
        <f t="shared" si="691"/>
        <v>0</v>
      </c>
      <c r="BS228" s="75">
        <f t="shared" si="691"/>
        <v>0</v>
      </c>
      <c r="BT228" s="75">
        <f t="shared" ref="BT228:CC229" si="692">IF(BT$227="","",-MIN(BT$212,0)*$H228)</f>
        <v>0</v>
      </c>
      <c r="BU228" s="75">
        <f t="shared" si="692"/>
        <v>0</v>
      </c>
      <c r="BV228" s="75" t="str">
        <f t="shared" si="692"/>
        <v/>
      </c>
      <c r="BW228" s="75" t="str">
        <f t="shared" si="692"/>
        <v/>
      </c>
      <c r="BX228" s="75" t="str">
        <f t="shared" si="692"/>
        <v/>
      </c>
      <c r="BY228" s="75" t="str">
        <f t="shared" si="692"/>
        <v/>
      </c>
      <c r="BZ228" s="75" t="str">
        <f t="shared" si="692"/>
        <v/>
      </c>
      <c r="CA228" s="75" t="str">
        <f t="shared" si="692"/>
        <v/>
      </c>
      <c r="CB228" s="75" t="str">
        <f t="shared" si="692"/>
        <v/>
      </c>
      <c r="CC228" s="75" t="str">
        <f t="shared" si="692"/>
        <v/>
      </c>
      <c r="CD228" s="75" t="str">
        <f t="shared" ref="CD228:CM229" si="693">IF(CD$227="","",-MIN(CD$212,0)*$H228)</f>
        <v/>
      </c>
      <c r="CE228" s="75" t="str">
        <f t="shared" si="693"/>
        <v/>
      </c>
      <c r="CF228" s="75" t="str">
        <f t="shared" si="693"/>
        <v/>
      </c>
      <c r="CG228" s="75" t="str">
        <f t="shared" si="693"/>
        <v/>
      </c>
      <c r="CH228" s="75" t="str">
        <f t="shared" si="693"/>
        <v/>
      </c>
      <c r="CI228" s="75" t="str">
        <f t="shared" si="693"/>
        <v/>
      </c>
      <c r="CJ228" s="75" t="str">
        <f t="shared" si="693"/>
        <v/>
      </c>
      <c r="CK228" s="75" t="str">
        <f t="shared" si="693"/>
        <v/>
      </c>
      <c r="CL228" s="75" t="str">
        <f t="shared" si="693"/>
        <v/>
      </c>
      <c r="CM228" s="75" t="str">
        <f t="shared" si="693"/>
        <v/>
      </c>
      <c r="CN228" s="75" t="str">
        <f t="shared" ref="CN228:CW229" si="694">IF(CN$227="","",-MIN(CN$212,0)*$H228)</f>
        <v/>
      </c>
      <c r="CO228" s="75" t="str">
        <f t="shared" si="694"/>
        <v/>
      </c>
      <c r="CP228" s="75" t="str">
        <f t="shared" si="694"/>
        <v/>
      </c>
      <c r="CQ228" s="75" t="str">
        <f t="shared" si="694"/>
        <v/>
      </c>
      <c r="CR228" s="75" t="str">
        <f t="shared" si="694"/>
        <v/>
      </c>
      <c r="CS228" s="75" t="str">
        <f t="shared" si="694"/>
        <v/>
      </c>
      <c r="CT228" s="75" t="str">
        <f t="shared" si="694"/>
        <v/>
      </c>
      <c r="CU228" s="75" t="str">
        <f t="shared" si="694"/>
        <v/>
      </c>
      <c r="CV228" s="75" t="str">
        <f t="shared" si="694"/>
        <v/>
      </c>
      <c r="CW228" s="75" t="str">
        <f t="shared" si="694"/>
        <v/>
      </c>
      <c r="CX228" s="75" t="str">
        <f t="shared" ref="CX228:DG229" si="695">IF(CX$227="","",-MIN(CX$212,0)*$H228)</f>
        <v/>
      </c>
      <c r="CY228" s="75" t="str">
        <f t="shared" si="695"/>
        <v/>
      </c>
      <c r="CZ228" s="75" t="str">
        <f t="shared" si="695"/>
        <v/>
      </c>
      <c r="DA228" s="75" t="str">
        <f t="shared" si="695"/>
        <v/>
      </c>
      <c r="DB228" s="75" t="str">
        <f t="shared" si="695"/>
        <v/>
      </c>
      <c r="DC228" s="75" t="str">
        <f t="shared" si="695"/>
        <v/>
      </c>
      <c r="DD228" s="75" t="str">
        <f t="shared" si="695"/>
        <v/>
      </c>
      <c r="DE228" s="75" t="str">
        <f t="shared" si="695"/>
        <v/>
      </c>
      <c r="DF228" s="75" t="str">
        <f t="shared" si="695"/>
        <v/>
      </c>
      <c r="DG228" s="75" t="str">
        <f t="shared" si="695"/>
        <v/>
      </c>
      <c r="DH228" s="75" t="str">
        <f t="shared" ref="DH228:DQ229" si="696">IF(DH$227="","",-MIN(DH$212,0)*$H228)</f>
        <v/>
      </c>
      <c r="DI228" s="75" t="str">
        <f t="shared" si="696"/>
        <v/>
      </c>
      <c r="DJ228" s="75" t="str">
        <f t="shared" si="696"/>
        <v/>
      </c>
      <c r="DK228" s="75" t="str">
        <f t="shared" si="696"/>
        <v/>
      </c>
      <c r="DL228" s="75" t="str">
        <f t="shared" si="696"/>
        <v/>
      </c>
      <c r="DM228" s="75" t="str">
        <f t="shared" si="696"/>
        <v/>
      </c>
      <c r="DN228" s="75" t="str">
        <f t="shared" si="696"/>
        <v/>
      </c>
      <c r="DO228" s="75" t="str">
        <f t="shared" si="696"/>
        <v/>
      </c>
      <c r="DP228" s="75" t="str">
        <f t="shared" si="696"/>
        <v/>
      </c>
      <c r="DQ228" s="75" t="str">
        <f t="shared" si="696"/>
        <v/>
      </c>
      <c r="DR228" s="75" t="str">
        <f t="shared" ref="DR228:EA229" si="697">IF(DR$227="","",-MIN(DR$212,0)*$H228)</f>
        <v/>
      </c>
      <c r="DS228" s="75" t="str">
        <f t="shared" si="697"/>
        <v/>
      </c>
      <c r="DT228" s="75" t="str">
        <f t="shared" si="697"/>
        <v/>
      </c>
      <c r="DU228" s="75" t="str">
        <f t="shared" si="697"/>
        <v/>
      </c>
      <c r="DV228" s="75" t="str">
        <f t="shared" si="697"/>
        <v/>
      </c>
      <c r="DW228" s="75" t="str">
        <f t="shared" si="697"/>
        <v/>
      </c>
      <c r="DX228" s="75" t="str">
        <f t="shared" si="697"/>
        <v/>
      </c>
      <c r="DY228" s="75" t="str">
        <f t="shared" si="697"/>
        <v/>
      </c>
      <c r="DZ228" s="75" t="str">
        <f t="shared" si="697"/>
        <v/>
      </c>
      <c r="EA228" s="75" t="str">
        <f t="shared" si="697"/>
        <v/>
      </c>
      <c r="EB228" s="75" t="str">
        <f t="shared" ref="EB228:EN229" si="698">IF(EB$227="","",-MIN(EB$212,0)*$H228)</f>
        <v/>
      </c>
      <c r="EC228" s="75" t="str">
        <f t="shared" si="698"/>
        <v/>
      </c>
      <c r="ED228" s="75" t="str">
        <f t="shared" si="698"/>
        <v/>
      </c>
      <c r="EE228" s="75" t="str">
        <f t="shared" si="698"/>
        <v/>
      </c>
      <c r="EF228" s="75" t="str">
        <f t="shared" si="698"/>
        <v/>
      </c>
      <c r="EG228" s="75" t="str">
        <f t="shared" si="698"/>
        <v/>
      </c>
      <c r="EH228" s="75" t="str">
        <f t="shared" si="698"/>
        <v/>
      </c>
      <c r="EI228" s="75" t="str">
        <f t="shared" si="698"/>
        <v/>
      </c>
      <c r="EJ228" s="75" t="str">
        <f t="shared" si="698"/>
        <v/>
      </c>
      <c r="EK228" s="75" t="str">
        <f t="shared" si="698"/>
        <v/>
      </c>
      <c r="EL228" s="75" t="str">
        <f t="shared" si="698"/>
        <v/>
      </c>
      <c r="EM228" s="75" t="str">
        <f t="shared" si="698"/>
        <v/>
      </c>
      <c r="EN228" s="75" t="str">
        <f t="shared" si="698"/>
        <v/>
      </c>
      <c r="EO228"/>
      <c r="EP228" s="405"/>
      <c r="EQ228" s="18"/>
      <c r="ER228" s="18"/>
      <c r="ES228" s="18"/>
      <c r="ET228" s="18" t="s">
        <v>387</v>
      </c>
      <c r="EU228" s="18"/>
      <c r="EV228" s="418">
        <f t="shared" ref="EV228:GA228" si="699">(EV$197&lt;=Timing_Reversion_Month)*(EV224+EV225+EV200-EV226-EV227)</f>
        <v>76389582.872717112</v>
      </c>
      <c r="EW228" s="418">
        <f t="shared" si="699"/>
        <v>76319020.60374704</v>
      </c>
      <c r="EX228" s="418">
        <f t="shared" si="699"/>
        <v>76319020.60374704</v>
      </c>
      <c r="EY228" s="418">
        <f t="shared" si="699"/>
        <v>76266337.125516176</v>
      </c>
      <c r="EZ228" s="418">
        <f t="shared" si="699"/>
        <v>76192419.532628939</v>
      </c>
      <c r="FA228" s="418">
        <f t="shared" si="699"/>
        <v>76091821.907228976</v>
      </c>
      <c r="FB228" s="418">
        <f t="shared" si="699"/>
        <v>75959110.692382038</v>
      </c>
      <c r="FC228" s="418">
        <f t="shared" si="699"/>
        <v>75789539.561115608</v>
      </c>
      <c r="FD228" s="418">
        <f t="shared" si="699"/>
        <v>75579900.63411431</v>
      </c>
      <c r="FE228" s="418">
        <f t="shared" si="699"/>
        <v>75329468.350985989</v>
      </c>
      <c r="FF228" s="418">
        <f t="shared" si="699"/>
        <v>75040901.334523097</v>
      </c>
      <c r="FG228" s="418">
        <f t="shared" si="699"/>
        <v>74720929.978210613</v>
      </c>
      <c r="FH228" s="418">
        <f t="shared" si="699"/>
        <v>74380647.644237518</v>
      </c>
      <c r="FI228" s="418">
        <f t="shared" si="699"/>
        <v>76313480.298421651</v>
      </c>
      <c r="FJ228" s="418">
        <f t="shared" si="699"/>
        <v>85331629.018619195</v>
      </c>
      <c r="FK228" s="418">
        <f t="shared" si="699"/>
        <v>95231535.25874503</v>
      </c>
      <c r="FL228" s="418">
        <f t="shared" si="699"/>
        <v>105826476.42227101</v>
      </c>
      <c r="FM228" s="418">
        <f t="shared" si="699"/>
        <v>116995099.4363005</v>
      </c>
      <c r="FN228" s="418">
        <f t="shared" si="699"/>
        <v>128471534.92065407</v>
      </c>
      <c r="FO228" s="418">
        <f t="shared" si="699"/>
        <v>139972282.72813815</v>
      </c>
      <c r="FP228" s="418">
        <f t="shared" si="699"/>
        <v>151173084.92132294</v>
      </c>
      <c r="FQ228" s="418">
        <f t="shared" si="699"/>
        <v>161733486.73017851</v>
      </c>
      <c r="FR228" s="418">
        <f t="shared" si="699"/>
        <v>170740502.21889165</v>
      </c>
      <c r="FS228" s="418">
        <f t="shared" si="699"/>
        <v>178778475.08267695</v>
      </c>
      <c r="FT228" s="418">
        <f t="shared" si="699"/>
        <v>185782219.67818293</v>
      </c>
      <c r="FU228" s="418">
        <f t="shared" si="699"/>
        <v>191533070.96163434</v>
      </c>
      <c r="FV228" s="418">
        <f t="shared" si="699"/>
        <v>196299229.48816952</v>
      </c>
      <c r="FW228" s="418">
        <f t="shared" si="699"/>
        <v>200172434.88418299</v>
      </c>
      <c r="FX228" s="418">
        <f t="shared" si="699"/>
        <v>203095710.40469897</v>
      </c>
      <c r="FY228" s="418">
        <f t="shared" si="699"/>
        <v>205371720.49035701</v>
      </c>
      <c r="FZ228" s="418">
        <f t="shared" si="699"/>
        <v>208022459.93393275</v>
      </c>
      <c r="GA228" s="418">
        <f t="shared" si="699"/>
        <v>210618464.20429832</v>
      </c>
      <c r="GB228" s="418">
        <f t="shared" ref="GB228:HG228" si="700">(GB$197&lt;=Timing_Reversion_Month)*(GB224+GB225+GB200-GB226-GB227)</f>
        <v>212555756.6144</v>
      </c>
      <c r="GC228" s="418">
        <f t="shared" si="700"/>
        <v>214011540.88536635</v>
      </c>
      <c r="GD228" s="418">
        <f t="shared" si="700"/>
        <v>215094983.27941903</v>
      </c>
      <c r="GE228" s="418">
        <f t="shared" si="700"/>
        <v>215947341.94927955</v>
      </c>
      <c r="GF228" s="418">
        <f t="shared" si="700"/>
        <v>216648670.88274083</v>
      </c>
      <c r="GG228" s="418">
        <f t="shared" si="700"/>
        <v>216684536.36090487</v>
      </c>
      <c r="GH228" s="418">
        <f t="shared" si="700"/>
        <v>216520305.68039018</v>
      </c>
      <c r="GI228" s="418">
        <f t="shared" si="700"/>
        <v>216156018.91509619</v>
      </c>
      <c r="GJ228" s="418">
        <f t="shared" si="700"/>
        <v>215583638.77901652</v>
      </c>
      <c r="GK228" s="418">
        <f t="shared" si="700"/>
        <v>214810622.7771199</v>
      </c>
      <c r="GL228" s="418">
        <f t="shared" si="700"/>
        <v>213837011.6380403</v>
      </c>
      <c r="GM228" s="418">
        <f t="shared" si="700"/>
        <v>212657304.64435849</v>
      </c>
      <c r="GN228" s="418">
        <f t="shared" si="700"/>
        <v>211277084.63379696</v>
      </c>
      <c r="GO228" s="418">
        <f t="shared" si="700"/>
        <v>209696393.00042146</v>
      </c>
      <c r="GP228" s="418">
        <f t="shared" si="700"/>
        <v>207889047.6125156</v>
      </c>
      <c r="GQ228" s="418">
        <f t="shared" si="700"/>
        <v>205881314.0637953</v>
      </c>
      <c r="GR228" s="418">
        <f t="shared" si="700"/>
        <v>203673234.42462999</v>
      </c>
      <c r="GS228" s="418">
        <f t="shared" si="700"/>
        <v>201193956.57296321</v>
      </c>
      <c r="GT228" s="418">
        <f t="shared" si="700"/>
        <v>198722572.45471391</v>
      </c>
      <c r="GU228" s="418">
        <f t="shared" si="700"/>
        <v>196259124.8276048</v>
      </c>
      <c r="GV228" s="418">
        <f t="shared" si="700"/>
        <v>193797347.49346289</v>
      </c>
      <c r="GW228" s="418">
        <f t="shared" si="700"/>
        <v>191343592.86197403</v>
      </c>
      <c r="GX228" s="418">
        <f t="shared" si="700"/>
        <v>188897904.38944426</v>
      </c>
      <c r="GY228" s="418">
        <f t="shared" si="700"/>
        <v>186454590.14256793</v>
      </c>
      <c r="GZ228" s="418">
        <f t="shared" si="700"/>
        <v>184019429.67470276</v>
      </c>
      <c r="HA228" s="418">
        <f t="shared" si="700"/>
        <v>181592467.15215173</v>
      </c>
      <c r="HB228" s="418">
        <f t="shared" si="700"/>
        <v>179146605.39920196</v>
      </c>
      <c r="HC228" s="418">
        <f t="shared" si="700"/>
        <v>176709030.64317054</v>
      </c>
      <c r="HD228" s="418">
        <f t="shared" si="700"/>
        <v>174279787.77195746</v>
      </c>
      <c r="HE228" s="418">
        <f t="shared" si="700"/>
        <v>0</v>
      </c>
      <c r="HF228" s="418">
        <f t="shared" si="700"/>
        <v>0</v>
      </c>
      <c r="HG228" s="418">
        <f t="shared" si="700"/>
        <v>0</v>
      </c>
      <c r="HH228" s="418">
        <f t="shared" ref="HH228:IM228" si="701">(HH$197&lt;=Timing_Reversion_Month)*(HH224+HH225+HH200-HH226-HH227)</f>
        <v>0</v>
      </c>
      <c r="HI228" s="418">
        <f t="shared" si="701"/>
        <v>0</v>
      </c>
      <c r="HJ228" s="418">
        <f t="shared" si="701"/>
        <v>0</v>
      </c>
      <c r="HK228" s="418">
        <f t="shared" si="701"/>
        <v>0</v>
      </c>
      <c r="HL228" s="418">
        <f t="shared" si="701"/>
        <v>0</v>
      </c>
      <c r="HM228" s="418">
        <f t="shared" si="701"/>
        <v>0</v>
      </c>
      <c r="HN228" s="418">
        <f t="shared" si="701"/>
        <v>0</v>
      </c>
      <c r="HO228" s="418">
        <f t="shared" si="701"/>
        <v>0</v>
      </c>
      <c r="HP228" s="418">
        <f t="shared" si="701"/>
        <v>0</v>
      </c>
      <c r="HQ228" s="418">
        <f t="shared" si="701"/>
        <v>0</v>
      </c>
      <c r="HR228" s="418">
        <f t="shared" si="701"/>
        <v>0</v>
      </c>
      <c r="HS228" s="418">
        <f t="shared" si="701"/>
        <v>0</v>
      </c>
      <c r="HT228" s="418">
        <f t="shared" si="701"/>
        <v>0</v>
      </c>
      <c r="HU228" s="418">
        <f t="shared" si="701"/>
        <v>0</v>
      </c>
      <c r="HV228" s="418">
        <f t="shared" si="701"/>
        <v>0</v>
      </c>
      <c r="HW228" s="418">
        <f t="shared" si="701"/>
        <v>0</v>
      </c>
      <c r="HX228" s="418">
        <f t="shared" si="701"/>
        <v>0</v>
      </c>
      <c r="HY228" s="418">
        <f t="shared" si="701"/>
        <v>0</v>
      </c>
      <c r="HZ228" s="418">
        <f t="shared" si="701"/>
        <v>0</v>
      </c>
      <c r="IA228" s="418">
        <f t="shared" si="701"/>
        <v>0</v>
      </c>
      <c r="IB228" s="418">
        <f t="shared" si="701"/>
        <v>0</v>
      </c>
      <c r="IC228" s="418">
        <f t="shared" si="701"/>
        <v>0</v>
      </c>
      <c r="ID228" s="418">
        <f t="shared" si="701"/>
        <v>0</v>
      </c>
      <c r="IE228" s="418">
        <f t="shared" si="701"/>
        <v>0</v>
      </c>
      <c r="IF228" s="418">
        <f t="shared" si="701"/>
        <v>0</v>
      </c>
      <c r="IG228" s="418">
        <f t="shared" si="701"/>
        <v>0</v>
      </c>
      <c r="IH228" s="418">
        <f t="shared" si="701"/>
        <v>0</v>
      </c>
      <c r="II228" s="418">
        <f t="shared" si="701"/>
        <v>0</v>
      </c>
      <c r="IJ228" s="418">
        <f t="shared" si="701"/>
        <v>0</v>
      </c>
      <c r="IK228" s="418">
        <f t="shared" si="701"/>
        <v>0</v>
      </c>
      <c r="IL228" s="418">
        <f t="shared" si="701"/>
        <v>0</v>
      </c>
      <c r="IM228" s="418">
        <f t="shared" si="701"/>
        <v>0</v>
      </c>
      <c r="IN228" s="418">
        <f t="shared" ref="IN228:JS228" si="702">(IN$197&lt;=Timing_Reversion_Month)*(IN224+IN225+IN200-IN226-IN227)</f>
        <v>0</v>
      </c>
      <c r="IO228" s="418">
        <f t="shared" si="702"/>
        <v>0</v>
      </c>
      <c r="IP228" s="418">
        <f t="shared" si="702"/>
        <v>0</v>
      </c>
      <c r="IQ228" s="418">
        <f t="shared" si="702"/>
        <v>0</v>
      </c>
      <c r="IR228" s="418">
        <f t="shared" si="702"/>
        <v>0</v>
      </c>
      <c r="IS228" s="418">
        <f t="shared" si="702"/>
        <v>0</v>
      </c>
      <c r="IT228" s="418">
        <f t="shared" si="702"/>
        <v>0</v>
      </c>
      <c r="IU228" s="418">
        <f t="shared" si="702"/>
        <v>0</v>
      </c>
      <c r="IV228" s="418">
        <f t="shared" si="702"/>
        <v>0</v>
      </c>
      <c r="IW228" s="418">
        <f t="shared" si="702"/>
        <v>0</v>
      </c>
      <c r="IX228" s="418">
        <f t="shared" si="702"/>
        <v>0</v>
      </c>
      <c r="IY228" s="418">
        <f t="shared" si="702"/>
        <v>0</v>
      </c>
      <c r="IZ228" s="418">
        <f t="shared" si="702"/>
        <v>0</v>
      </c>
      <c r="JA228" s="418">
        <f t="shared" si="702"/>
        <v>0</v>
      </c>
      <c r="JB228" s="418">
        <f t="shared" si="702"/>
        <v>0</v>
      </c>
      <c r="JC228" s="418">
        <f t="shared" si="702"/>
        <v>0</v>
      </c>
      <c r="JD228" s="418">
        <f t="shared" si="702"/>
        <v>0</v>
      </c>
      <c r="JE228" s="418">
        <f t="shared" si="702"/>
        <v>0</v>
      </c>
      <c r="JF228" s="418">
        <f t="shared" si="702"/>
        <v>0</v>
      </c>
      <c r="JG228" s="418">
        <f t="shared" si="702"/>
        <v>0</v>
      </c>
      <c r="JH228" s="418">
        <f t="shared" si="702"/>
        <v>0</v>
      </c>
      <c r="JI228" s="418">
        <f t="shared" si="702"/>
        <v>0</v>
      </c>
      <c r="JJ228" s="418">
        <f t="shared" si="702"/>
        <v>0</v>
      </c>
      <c r="JK228" s="418">
        <f t="shared" si="702"/>
        <v>0</v>
      </c>
      <c r="JL228" s="418">
        <f t="shared" si="702"/>
        <v>0</v>
      </c>
      <c r="JM228" s="418">
        <f t="shared" si="702"/>
        <v>0</v>
      </c>
      <c r="JN228" s="418">
        <f t="shared" si="702"/>
        <v>0</v>
      </c>
      <c r="JO228" s="418">
        <f t="shared" si="702"/>
        <v>0</v>
      </c>
      <c r="JP228" s="418">
        <f t="shared" si="702"/>
        <v>0</v>
      </c>
      <c r="JQ228" s="418">
        <f t="shared" si="702"/>
        <v>0</v>
      </c>
      <c r="JR228" s="418">
        <f t="shared" si="702"/>
        <v>0</v>
      </c>
      <c r="JS228" s="418">
        <f t="shared" si="702"/>
        <v>0</v>
      </c>
      <c r="JT228" s="418">
        <f>(JT$197&lt;=Timing_Reversion_Month)*(JT224+JT225+JT200-JT226-JT227)</f>
        <v>0</v>
      </c>
      <c r="JU228" s="418">
        <f>(JU$197&lt;=Timing_Reversion_Month)*(JU224+JU225+JU200-JU226-JU227)</f>
        <v>0</v>
      </c>
      <c r="JV228" s="418">
        <f>(JV$197&lt;=Timing_Reversion_Month)*(JV224+JV225+JV200-JV226-JV227)</f>
        <v>0</v>
      </c>
      <c r="JW228" s="418">
        <f>(JW$197&lt;=Timing_Reversion_Month)*(JW224+JW225+JW200-JW226-JW227)</f>
        <v>0</v>
      </c>
      <c r="JX228" s="418">
        <f>(JX$197&lt;=Timing_Reversion_Month)*(JX224+JX225+JX200-JX226-JX227)</f>
        <v>0</v>
      </c>
      <c r="JY228"/>
      <c r="JZ228" s="262"/>
      <c r="KA228" s="262"/>
      <c r="KB228" s="262"/>
      <c r="KC228" s="262"/>
      <c r="KD228" s="262"/>
      <c r="KE228" s="262"/>
      <c r="KF228" s="262"/>
      <c r="KG228" s="262"/>
      <c r="KH228" s="262"/>
      <c r="KI228" s="262"/>
      <c r="KJ228" s="262"/>
      <c r="KK228" s="262"/>
      <c r="KL228" s="262"/>
      <c r="KM228" s="262"/>
      <c r="KN228" s="262"/>
      <c r="KO228" s="262"/>
      <c r="KP228" s="262"/>
      <c r="KQ228" s="262"/>
      <c r="KR228" s="262"/>
      <c r="KS228" s="262"/>
      <c r="KT228" s="262"/>
      <c r="KU228" s="262"/>
      <c r="KV228" s="262"/>
      <c r="KW228" s="262"/>
      <c r="KX228" s="262"/>
      <c r="KY228" s="262"/>
      <c r="KZ228" s="262"/>
      <c r="LA228" s="262"/>
      <c r="LB228" s="262"/>
      <c r="LC228" s="262"/>
      <c r="LD228" s="262"/>
      <c r="LE228" s="262"/>
      <c r="LF228" s="262"/>
      <c r="LG228" s="262"/>
      <c r="LH228" s="262"/>
      <c r="LI228" s="262"/>
      <c r="LJ228" s="262"/>
      <c r="LK228" s="262"/>
      <c r="LL228" s="262"/>
      <c r="LM228" s="262"/>
      <c r="LN228" s="262"/>
      <c r="LO228" s="262"/>
      <c r="LP228" s="262"/>
      <c r="LQ228" s="262"/>
      <c r="LR228" s="262"/>
      <c r="LS228" s="262"/>
      <c r="LT228" s="262"/>
      <c r="LU228" s="262"/>
      <c r="LV228" s="262"/>
      <c r="LW228" s="262"/>
      <c r="LX228" s="262"/>
      <c r="LY228" s="262"/>
      <c r="LZ228" s="262"/>
      <c r="MA228" s="262"/>
      <c r="MB228" s="262"/>
      <c r="MC228" s="262"/>
      <c r="MD228" s="262"/>
      <c r="ME228" s="262"/>
      <c r="MF228" s="262"/>
      <c r="MG228" s="262"/>
      <c r="MH228" s="262"/>
      <c r="MI228" s="262"/>
      <c r="MJ228" s="262"/>
      <c r="MK228" s="262"/>
      <c r="ML228" s="262"/>
      <c r="MM228" s="262"/>
      <c r="MN228" s="262"/>
      <c r="MO228" s="262"/>
      <c r="MP228" s="262"/>
      <c r="MQ228" s="262"/>
      <c r="MR228" s="262"/>
      <c r="MS228" s="262"/>
      <c r="MT228" s="262"/>
      <c r="MU228" s="262"/>
      <c r="MV228" s="262"/>
      <c r="MW228" s="262"/>
      <c r="MX228" s="262"/>
      <c r="MY228" s="262"/>
      <c r="MZ228" s="262"/>
      <c r="NA228" s="262"/>
      <c r="NB228" s="262"/>
      <c r="NC228" s="262"/>
      <c r="ND228" s="262"/>
      <c r="NE228" s="262"/>
      <c r="NF228" s="262"/>
      <c r="NG228" s="262"/>
      <c r="NH228" s="262"/>
      <c r="NI228" s="262"/>
      <c r="NJ228" s="262"/>
      <c r="NK228" s="262"/>
      <c r="NL228" s="262"/>
      <c r="NM228" s="262"/>
      <c r="NN228" s="262"/>
      <c r="NO228" s="262"/>
      <c r="NP228" s="262"/>
      <c r="NQ228" s="262"/>
      <c r="NR228" s="262"/>
      <c r="NS228" s="262"/>
      <c r="NT228" s="262"/>
      <c r="NU228" s="262"/>
      <c r="NV228" s="262"/>
      <c r="NW228" s="262"/>
      <c r="NX228" s="262"/>
      <c r="NY228" s="262"/>
      <c r="NZ228" s="262"/>
      <c r="OA228" s="262"/>
      <c r="OB228" s="262"/>
      <c r="OC228" s="262"/>
      <c r="OD228" s="262"/>
      <c r="OE228" s="262"/>
      <c r="OF228" s="262"/>
      <c r="OG228" s="262"/>
      <c r="OH228" s="262"/>
      <c r="OI228" s="262"/>
      <c r="OJ228" s="262"/>
      <c r="OK228" s="262"/>
      <c r="OL228" s="262"/>
      <c r="OM228" s="262"/>
      <c r="ON228" s="262"/>
      <c r="OO228" s="262"/>
      <c r="OP228" s="262"/>
      <c r="OQ228" s="262"/>
      <c r="OR228" s="262"/>
      <c r="OS228" s="262"/>
      <c r="OT228" s="262"/>
      <c r="OU228" s="262"/>
      <c r="OV228" s="262"/>
      <c r="OW228" s="262"/>
      <c r="OX228" s="262"/>
      <c r="OY228" s="262"/>
      <c r="OZ228" s="262"/>
      <c r="PA228" s="262"/>
      <c r="PB228" s="262"/>
      <c r="PC228" s="262"/>
      <c r="PD228" s="262"/>
      <c r="PE228" s="262"/>
      <c r="PF228" s="262"/>
      <c r="PG228" s="262"/>
      <c r="PH228" s="262"/>
    </row>
    <row r="229" spans="1:424" x14ac:dyDescent="0.35">
      <c r="A229"/>
      <c r="B229" s="411" t="s">
        <v>430</v>
      </c>
      <c r="C229" s="543">
        <f>IF(C228="","",1-C228)</f>
        <v>1</v>
      </c>
      <c r="D229" s="397"/>
      <c r="E229" s="82"/>
      <c r="F229" s="82"/>
      <c r="G229" s="542"/>
      <c r="H229" s="884">
        <f>$C$229</f>
        <v>1</v>
      </c>
      <c r="I229" s="420">
        <f>SUM(L229:EN229)</f>
        <v>218693471.58938444</v>
      </c>
      <c r="J229"/>
      <c r="K229"/>
      <c r="L229" s="422">
        <f t="shared" si="686"/>
        <v>76389582.872717112</v>
      </c>
      <c r="M229" s="422">
        <f t="shared" si="686"/>
        <v>0</v>
      </c>
      <c r="N229" s="422">
        <f t="shared" si="686"/>
        <v>0</v>
      </c>
      <c r="O229" s="422">
        <f t="shared" si="686"/>
        <v>0</v>
      </c>
      <c r="P229" s="422">
        <f t="shared" si="686"/>
        <v>0</v>
      </c>
      <c r="Q229" s="422">
        <f t="shared" si="686"/>
        <v>0</v>
      </c>
      <c r="R229" s="422">
        <f t="shared" si="686"/>
        <v>0</v>
      </c>
      <c r="S229" s="422">
        <f t="shared" si="686"/>
        <v>0</v>
      </c>
      <c r="T229" s="422">
        <f t="shared" si="686"/>
        <v>0</v>
      </c>
      <c r="U229" s="422">
        <f t="shared" si="686"/>
        <v>0</v>
      </c>
      <c r="V229" s="422">
        <f t="shared" si="687"/>
        <v>0</v>
      </c>
      <c r="W229" s="422">
        <f t="shared" si="687"/>
        <v>0</v>
      </c>
      <c r="X229" s="422">
        <f t="shared" si="687"/>
        <v>0</v>
      </c>
      <c r="Y229" s="422">
        <f t="shared" si="687"/>
        <v>1932832.6541841328</v>
      </c>
      <c r="Z229" s="422">
        <f t="shared" si="687"/>
        <v>9018148.7201975472</v>
      </c>
      <c r="AA229" s="422">
        <f t="shared" si="687"/>
        <v>9899906.2401258312</v>
      </c>
      <c r="AB229" s="422">
        <f t="shared" si="687"/>
        <v>10594941.16352598</v>
      </c>
      <c r="AC229" s="422">
        <f t="shared" si="687"/>
        <v>11168623.014029484</v>
      </c>
      <c r="AD229" s="422">
        <f t="shared" si="687"/>
        <v>11476435.484353572</v>
      </c>
      <c r="AE229" s="422">
        <f t="shared" si="687"/>
        <v>11500747.807484064</v>
      </c>
      <c r="AF229" s="422">
        <f t="shared" si="688"/>
        <v>11200802.193184778</v>
      </c>
      <c r="AG229" s="422">
        <f t="shared" si="688"/>
        <v>10560401.808855567</v>
      </c>
      <c r="AH229" s="422">
        <f t="shared" si="688"/>
        <v>9007015.4887131397</v>
      </c>
      <c r="AI229" s="422">
        <f t="shared" si="688"/>
        <v>8037972.8637852902</v>
      </c>
      <c r="AJ229" s="422">
        <f t="shared" si="688"/>
        <v>7003744.5955059687</v>
      </c>
      <c r="AK229" s="422">
        <f t="shared" si="688"/>
        <v>5750851.2834514072</v>
      </c>
      <c r="AL229" s="422">
        <f t="shared" si="688"/>
        <v>4766158.5265351916</v>
      </c>
      <c r="AM229" s="422">
        <f t="shared" si="688"/>
        <v>3873205.3960134638</v>
      </c>
      <c r="AN229" s="422">
        <f t="shared" si="688"/>
        <v>2923275.520515983</v>
      </c>
      <c r="AO229" s="422">
        <f t="shared" si="688"/>
        <v>2276010.0856580529</v>
      </c>
      <c r="AP229" s="422">
        <f t="shared" si="689"/>
        <v>2650739.4435757259</v>
      </c>
      <c r="AQ229" s="422">
        <f t="shared" si="689"/>
        <v>2596004.2703655614</v>
      </c>
      <c r="AR229" s="422">
        <f t="shared" si="689"/>
        <v>1937292.4101016719</v>
      </c>
      <c r="AS229" s="422">
        <f t="shared" si="689"/>
        <v>1455784.2709663643</v>
      </c>
      <c r="AT229" s="422">
        <f t="shared" si="689"/>
        <v>1083442.3940526801</v>
      </c>
      <c r="AU229" s="422">
        <f t="shared" si="689"/>
        <v>852358.66986050736</v>
      </c>
      <c r="AV229" s="422">
        <f t="shared" si="689"/>
        <v>701328.93346127542</v>
      </c>
      <c r="AW229" s="422">
        <f t="shared" si="689"/>
        <v>35865.47816403769</v>
      </c>
      <c r="AX229" s="422">
        <f t="shared" si="689"/>
        <v>0</v>
      </c>
      <c r="AY229" s="422">
        <f t="shared" si="689"/>
        <v>0</v>
      </c>
      <c r="AZ229" s="422">
        <f t="shared" si="690"/>
        <v>0</v>
      </c>
      <c r="BA229" s="422">
        <f t="shared" si="690"/>
        <v>0</v>
      </c>
      <c r="BB229" s="422">
        <f t="shared" si="690"/>
        <v>0</v>
      </c>
      <c r="BC229" s="422">
        <f t="shared" si="690"/>
        <v>0</v>
      </c>
      <c r="BD229" s="202">
        <f t="shared" si="690"/>
        <v>0</v>
      </c>
      <c r="BE229" s="202">
        <f t="shared" si="690"/>
        <v>0</v>
      </c>
      <c r="BF229" s="202">
        <f t="shared" si="690"/>
        <v>0</v>
      </c>
      <c r="BG229" s="202">
        <f t="shared" si="690"/>
        <v>0</v>
      </c>
      <c r="BH229" s="202">
        <f t="shared" si="690"/>
        <v>0</v>
      </c>
      <c r="BI229" s="202">
        <f t="shared" si="690"/>
        <v>0</v>
      </c>
      <c r="BJ229" s="202">
        <f t="shared" si="691"/>
        <v>0</v>
      </c>
      <c r="BK229" s="202">
        <f t="shared" si="691"/>
        <v>0</v>
      </c>
      <c r="BL229" s="202">
        <f t="shared" si="691"/>
        <v>0</v>
      </c>
      <c r="BM229" s="202">
        <f t="shared" si="691"/>
        <v>0</v>
      </c>
      <c r="BN229" s="202">
        <f t="shared" si="691"/>
        <v>0</v>
      </c>
      <c r="BO229" s="202">
        <f t="shared" si="691"/>
        <v>0</v>
      </c>
      <c r="BP229" s="202">
        <f t="shared" si="691"/>
        <v>0</v>
      </c>
      <c r="BQ229" s="202">
        <f t="shared" si="691"/>
        <v>0</v>
      </c>
      <c r="BR229" s="202">
        <f t="shared" si="691"/>
        <v>0</v>
      </c>
      <c r="BS229" s="202">
        <f t="shared" si="691"/>
        <v>0</v>
      </c>
      <c r="BT229" s="202">
        <f t="shared" si="692"/>
        <v>0</v>
      </c>
      <c r="BU229" s="202">
        <f t="shared" si="692"/>
        <v>0</v>
      </c>
      <c r="BV229" s="202" t="str">
        <f t="shared" si="692"/>
        <v/>
      </c>
      <c r="BW229" s="202" t="str">
        <f t="shared" si="692"/>
        <v/>
      </c>
      <c r="BX229" s="202" t="str">
        <f t="shared" si="692"/>
        <v/>
      </c>
      <c r="BY229" s="202" t="str">
        <f t="shared" si="692"/>
        <v/>
      </c>
      <c r="BZ229" s="202" t="str">
        <f t="shared" si="692"/>
        <v/>
      </c>
      <c r="CA229" s="202" t="str">
        <f t="shared" si="692"/>
        <v/>
      </c>
      <c r="CB229" s="202" t="str">
        <f t="shared" si="692"/>
        <v/>
      </c>
      <c r="CC229" s="202" t="str">
        <f t="shared" si="692"/>
        <v/>
      </c>
      <c r="CD229" s="202" t="str">
        <f t="shared" si="693"/>
        <v/>
      </c>
      <c r="CE229" s="202" t="str">
        <f t="shared" si="693"/>
        <v/>
      </c>
      <c r="CF229" s="202" t="str">
        <f t="shared" si="693"/>
        <v/>
      </c>
      <c r="CG229" s="202" t="str">
        <f t="shared" si="693"/>
        <v/>
      </c>
      <c r="CH229" s="202" t="str">
        <f t="shared" si="693"/>
        <v/>
      </c>
      <c r="CI229" s="202" t="str">
        <f t="shared" si="693"/>
        <v/>
      </c>
      <c r="CJ229" s="202" t="str">
        <f t="shared" si="693"/>
        <v/>
      </c>
      <c r="CK229" s="202" t="str">
        <f t="shared" si="693"/>
        <v/>
      </c>
      <c r="CL229" s="202" t="str">
        <f t="shared" si="693"/>
        <v/>
      </c>
      <c r="CM229" s="202" t="str">
        <f t="shared" si="693"/>
        <v/>
      </c>
      <c r="CN229" s="202" t="str">
        <f t="shared" si="694"/>
        <v/>
      </c>
      <c r="CO229" s="202" t="str">
        <f t="shared" si="694"/>
        <v/>
      </c>
      <c r="CP229" s="202" t="str">
        <f t="shared" si="694"/>
        <v/>
      </c>
      <c r="CQ229" s="202" t="str">
        <f t="shared" si="694"/>
        <v/>
      </c>
      <c r="CR229" s="202" t="str">
        <f t="shared" si="694"/>
        <v/>
      </c>
      <c r="CS229" s="202" t="str">
        <f t="shared" si="694"/>
        <v/>
      </c>
      <c r="CT229" s="202" t="str">
        <f t="shared" si="694"/>
        <v/>
      </c>
      <c r="CU229" s="202" t="str">
        <f t="shared" si="694"/>
        <v/>
      </c>
      <c r="CV229" s="202" t="str">
        <f t="shared" si="694"/>
        <v/>
      </c>
      <c r="CW229" s="202" t="str">
        <f t="shared" si="694"/>
        <v/>
      </c>
      <c r="CX229" s="202" t="str">
        <f t="shared" si="695"/>
        <v/>
      </c>
      <c r="CY229" s="202" t="str">
        <f t="shared" si="695"/>
        <v/>
      </c>
      <c r="CZ229" s="202" t="str">
        <f t="shared" si="695"/>
        <v/>
      </c>
      <c r="DA229" s="202" t="str">
        <f t="shared" si="695"/>
        <v/>
      </c>
      <c r="DB229" s="202" t="str">
        <f t="shared" si="695"/>
        <v/>
      </c>
      <c r="DC229" s="202" t="str">
        <f t="shared" si="695"/>
        <v/>
      </c>
      <c r="DD229" s="202" t="str">
        <f t="shared" si="695"/>
        <v/>
      </c>
      <c r="DE229" s="202" t="str">
        <f t="shared" si="695"/>
        <v/>
      </c>
      <c r="DF229" s="202" t="str">
        <f t="shared" si="695"/>
        <v/>
      </c>
      <c r="DG229" s="202" t="str">
        <f t="shared" si="695"/>
        <v/>
      </c>
      <c r="DH229" s="202" t="str">
        <f t="shared" si="696"/>
        <v/>
      </c>
      <c r="DI229" s="202" t="str">
        <f t="shared" si="696"/>
        <v/>
      </c>
      <c r="DJ229" s="202" t="str">
        <f t="shared" si="696"/>
        <v/>
      </c>
      <c r="DK229" s="202" t="str">
        <f t="shared" si="696"/>
        <v/>
      </c>
      <c r="DL229" s="202" t="str">
        <f t="shared" si="696"/>
        <v/>
      </c>
      <c r="DM229" s="202" t="str">
        <f t="shared" si="696"/>
        <v/>
      </c>
      <c r="DN229" s="202" t="str">
        <f t="shared" si="696"/>
        <v/>
      </c>
      <c r="DO229" s="202" t="str">
        <f t="shared" si="696"/>
        <v/>
      </c>
      <c r="DP229" s="202" t="str">
        <f t="shared" si="696"/>
        <v/>
      </c>
      <c r="DQ229" s="202" t="str">
        <f t="shared" si="696"/>
        <v/>
      </c>
      <c r="DR229" s="202" t="str">
        <f t="shared" si="697"/>
        <v/>
      </c>
      <c r="DS229" s="202" t="str">
        <f t="shared" si="697"/>
        <v/>
      </c>
      <c r="DT229" s="202" t="str">
        <f t="shared" si="697"/>
        <v/>
      </c>
      <c r="DU229" s="202" t="str">
        <f t="shared" si="697"/>
        <v/>
      </c>
      <c r="DV229" s="202" t="str">
        <f t="shared" si="697"/>
        <v/>
      </c>
      <c r="DW229" s="202" t="str">
        <f t="shared" si="697"/>
        <v/>
      </c>
      <c r="DX229" s="202" t="str">
        <f t="shared" si="697"/>
        <v/>
      </c>
      <c r="DY229" s="202" t="str">
        <f t="shared" si="697"/>
        <v/>
      </c>
      <c r="DZ229" s="202" t="str">
        <f t="shared" si="697"/>
        <v/>
      </c>
      <c r="EA229" s="202" t="str">
        <f t="shared" si="697"/>
        <v/>
      </c>
      <c r="EB229" s="202" t="str">
        <f t="shared" si="698"/>
        <v/>
      </c>
      <c r="EC229" s="202" t="str">
        <f t="shared" si="698"/>
        <v/>
      </c>
      <c r="ED229" s="202" t="str">
        <f t="shared" si="698"/>
        <v/>
      </c>
      <c r="EE229" s="202" t="str">
        <f t="shared" si="698"/>
        <v/>
      </c>
      <c r="EF229" s="202" t="str">
        <f t="shared" si="698"/>
        <v/>
      </c>
      <c r="EG229" s="202" t="str">
        <f t="shared" si="698"/>
        <v/>
      </c>
      <c r="EH229" s="202" t="str">
        <f t="shared" si="698"/>
        <v/>
      </c>
      <c r="EI229" s="202" t="str">
        <f t="shared" si="698"/>
        <v/>
      </c>
      <c r="EJ229" s="202" t="str">
        <f t="shared" si="698"/>
        <v/>
      </c>
      <c r="EK229" s="202" t="str">
        <f t="shared" si="698"/>
        <v/>
      </c>
      <c r="EL229" s="202" t="str">
        <f t="shared" si="698"/>
        <v/>
      </c>
      <c r="EM229" s="202" t="str">
        <f t="shared" si="698"/>
        <v/>
      </c>
      <c r="EN229" s="202" t="str">
        <f t="shared" si="698"/>
        <v/>
      </c>
      <c r="EO229"/>
      <c r="EP229" s="405"/>
      <c r="EQ229" s="18"/>
      <c r="ER229" s="18"/>
      <c r="ES229" s="18" t="s">
        <v>389</v>
      </c>
      <c r="ET229" s="304">
        <f>IFERROR(XIRR($EV229:INDEX($EV229:$PH229,1,Timing_Reversion_Month+1),$EV$24:INDEX($EV$24:$PH$24,1,Timing_Reversion_Month+1)),"")</f>
        <v>2.9802322387695314E-9</v>
      </c>
      <c r="EU229" s="18"/>
      <c r="EV229" s="418">
        <f>+-EV200+EV226+EV227</f>
        <v>-76389582.872717112</v>
      </c>
      <c r="EW229" s="418">
        <f t="shared" ref="EW229:GA229" si="703">+-EW200+EW226+EW227</f>
        <v>70562.268970067496</v>
      </c>
      <c r="EX229" s="418">
        <f t="shared" si="703"/>
        <v>0</v>
      </c>
      <c r="EY229" s="418">
        <f t="shared" si="703"/>
        <v>52683.47823085892</v>
      </c>
      <c r="EZ229" s="418">
        <f t="shared" si="703"/>
        <v>73917.592887241393</v>
      </c>
      <c r="FA229" s="418">
        <f t="shared" si="703"/>
        <v>100597.62539995834</v>
      </c>
      <c r="FB229" s="418">
        <f t="shared" si="703"/>
        <v>132711.21484693745</v>
      </c>
      <c r="FC229" s="418">
        <f t="shared" si="703"/>
        <v>169571.13126643002</v>
      </c>
      <c r="FD229" s="418">
        <f t="shared" si="703"/>
        <v>209638.92700129561</v>
      </c>
      <c r="FE229" s="418">
        <f t="shared" si="703"/>
        <v>250432.28312832303</v>
      </c>
      <c r="FF229" s="418">
        <f t="shared" si="703"/>
        <v>288567.01646289043</v>
      </c>
      <c r="FG229" s="418">
        <f t="shared" si="703"/>
        <v>319971.35631248169</v>
      </c>
      <c r="FH229" s="418">
        <f t="shared" si="703"/>
        <v>340282.33397308737</v>
      </c>
      <c r="FI229" s="418">
        <f t="shared" si="703"/>
        <v>-1932832.6541841328</v>
      </c>
      <c r="FJ229" s="418">
        <f t="shared" si="703"/>
        <v>-9018148.7201975472</v>
      </c>
      <c r="FK229" s="418">
        <f t="shared" si="703"/>
        <v>-9899906.2401258312</v>
      </c>
      <c r="FL229" s="418">
        <f t="shared" si="703"/>
        <v>-10594941.16352598</v>
      </c>
      <c r="FM229" s="418">
        <f t="shared" si="703"/>
        <v>-11168623.014029484</v>
      </c>
      <c r="FN229" s="418">
        <f t="shared" si="703"/>
        <v>-11476435.484353572</v>
      </c>
      <c r="FO229" s="418">
        <f t="shared" si="703"/>
        <v>-11500747.807484064</v>
      </c>
      <c r="FP229" s="418">
        <f t="shared" si="703"/>
        <v>-11200802.193184778</v>
      </c>
      <c r="FQ229" s="418">
        <f t="shared" si="703"/>
        <v>-10560401.808855567</v>
      </c>
      <c r="FR229" s="418">
        <f t="shared" si="703"/>
        <v>-9007015.4887131397</v>
      </c>
      <c r="FS229" s="418">
        <f t="shared" si="703"/>
        <v>-8037972.8637852902</v>
      </c>
      <c r="FT229" s="418">
        <f t="shared" si="703"/>
        <v>-7003744.5955059687</v>
      </c>
      <c r="FU229" s="418">
        <f t="shared" si="703"/>
        <v>-5750851.2834514072</v>
      </c>
      <c r="FV229" s="418">
        <f t="shared" si="703"/>
        <v>-4766158.5265351916</v>
      </c>
      <c r="FW229" s="418">
        <f t="shared" si="703"/>
        <v>-3873205.3960134638</v>
      </c>
      <c r="FX229" s="418">
        <f t="shared" si="703"/>
        <v>-2923275.520515983</v>
      </c>
      <c r="FY229" s="418">
        <f t="shared" si="703"/>
        <v>-2276010.0856580529</v>
      </c>
      <c r="FZ229" s="418">
        <f t="shared" si="703"/>
        <v>-2650739.4435757259</v>
      </c>
      <c r="GA229" s="418">
        <f t="shared" si="703"/>
        <v>-2596004.2703655614</v>
      </c>
      <c r="GB229" s="418">
        <f t="shared" ref="GB229:HG229" si="704">+-GB200+GB226+GB227</f>
        <v>-1937292.4101016719</v>
      </c>
      <c r="GC229" s="418">
        <f t="shared" si="704"/>
        <v>-1455784.2709663643</v>
      </c>
      <c r="GD229" s="418">
        <f t="shared" si="704"/>
        <v>-1083442.3940526801</v>
      </c>
      <c r="GE229" s="418">
        <f t="shared" si="704"/>
        <v>-852358.66986050736</v>
      </c>
      <c r="GF229" s="418">
        <f t="shared" si="704"/>
        <v>-701328.93346127542</v>
      </c>
      <c r="GG229" s="418">
        <f t="shared" si="704"/>
        <v>-35865.47816403769</v>
      </c>
      <c r="GH229" s="418">
        <f t="shared" si="704"/>
        <v>164230.6805146893</v>
      </c>
      <c r="GI229" s="418">
        <f t="shared" si="704"/>
        <v>364286.76529399911</v>
      </c>
      <c r="GJ229" s="418">
        <f t="shared" si="704"/>
        <v>572380.13607966923</v>
      </c>
      <c r="GK229" s="418">
        <f t="shared" si="704"/>
        <v>773016.00189663284</v>
      </c>
      <c r="GL229" s="418">
        <f t="shared" si="704"/>
        <v>973611.13907960732</v>
      </c>
      <c r="GM229" s="418">
        <f t="shared" si="704"/>
        <v>1179706.9936818241</v>
      </c>
      <c r="GN229" s="418">
        <f t="shared" si="704"/>
        <v>1380220.010561527</v>
      </c>
      <c r="GO229" s="418">
        <f t="shared" si="704"/>
        <v>1580691.6333754973</v>
      </c>
      <c r="GP229" s="418">
        <f t="shared" si="704"/>
        <v>1807345.3879058782</v>
      </c>
      <c r="GQ229" s="418">
        <f t="shared" si="704"/>
        <v>2007733.5487203011</v>
      </c>
      <c r="GR229" s="418">
        <f t="shared" si="704"/>
        <v>2208079.6391653027</v>
      </c>
      <c r="GS229" s="418">
        <f t="shared" si="704"/>
        <v>2479277.8516667918</v>
      </c>
      <c r="GT229" s="418">
        <f t="shared" si="704"/>
        <v>2471384.1182492906</v>
      </c>
      <c r="GU229" s="418">
        <f t="shared" si="704"/>
        <v>2463447.6271091113</v>
      </c>
      <c r="GV229" s="418">
        <f t="shared" si="704"/>
        <v>2461777.3341419231</v>
      </c>
      <c r="GW229" s="418">
        <f t="shared" si="704"/>
        <v>2453754.6314888708</v>
      </c>
      <c r="GX229" s="418">
        <f t="shared" si="704"/>
        <v>2445688.4725297811</v>
      </c>
      <c r="GY229" s="418">
        <f t="shared" si="704"/>
        <v>2443314.2468763296</v>
      </c>
      <c r="GZ229" s="418">
        <f t="shared" si="704"/>
        <v>2435160.4678651718</v>
      </c>
      <c r="HA229" s="418">
        <f t="shared" si="704"/>
        <v>2426962.5225510374</v>
      </c>
      <c r="HB229" s="418">
        <f t="shared" si="704"/>
        <v>2445861.752949785</v>
      </c>
      <c r="HC229" s="418">
        <f t="shared" si="704"/>
        <v>2437574.756031421</v>
      </c>
      <c r="HD229" s="418">
        <f t="shared" si="704"/>
        <v>2429242.8712130822</v>
      </c>
      <c r="HE229" s="418">
        <f t="shared" si="704"/>
        <v>174279787.77195746</v>
      </c>
      <c r="HF229" s="418">
        <f t="shared" si="704"/>
        <v>0</v>
      </c>
      <c r="HG229" s="418">
        <f t="shared" si="704"/>
        <v>0</v>
      </c>
      <c r="HH229" s="418">
        <f t="shared" ref="HH229:IM229" si="705">+-HH200+HH226+HH227</f>
        <v>0</v>
      </c>
      <c r="HI229" s="418">
        <f t="shared" si="705"/>
        <v>0</v>
      </c>
      <c r="HJ229" s="418">
        <f t="shared" si="705"/>
        <v>0</v>
      </c>
      <c r="HK229" s="418">
        <f t="shared" si="705"/>
        <v>0</v>
      </c>
      <c r="HL229" s="418">
        <f t="shared" si="705"/>
        <v>0</v>
      </c>
      <c r="HM229" s="418">
        <f t="shared" si="705"/>
        <v>0</v>
      </c>
      <c r="HN229" s="418">
        <f t="shared" si="705"/>
        <v>0</v>
      </c>
      <c r="HO229" s="418">
        <f t="shared" si="705"/>
        <v>0</v>
      </c>
      <c r="HP229" s="418">
        <f t="shared" si="705"/>
        <v>0</v>
      </c>
      <c r="HQ229" s="418">
        <f t="shared" si="705"/>
        <v>0</v>
      </c>
      <c r="HR229" s="418">
        <f t="shared" si="705"/>
        <v>0</v>
      </c>
      <c r="HS229" s="418">
        <f t="shared" si="705"/>
        <v>0</v>
      </c>
      <c r="HT229" s="418">
        <f t="shared" si="705"/>
        <v>0</v>
      </c>
      <c r="HU229" s="418">
        <f t="shared" si="705"/>
        <v>0</v>
      </c>
      <c r="HV229" s="418">
        <f t="shared" si="705"/>
        <v>0</v>
      </c>
      <c r="HW229" s="418">
        <f t="shared" si="705"/>
        <v>0</v>
      </c>
      <c r="HX229" s="418">
        <f t="shared" si="705"/>
        <v>0</v>
      </c>
      <c r="HY229" s="418">
        <f t="shared" si="705"/>
        <v>0</v>
      </c>
      <c r="HZ229" s="418">
        <f t="shared" si="705"/>
        <v>0</v>
      </c>
      <c r="IA229" s="418">
        <f t="shared" si="705"/>
        <v>0</v>
      </c>
      <c r="IB229" s="418">
        <f t="shared" si="705"/>
        <v>0</v>
      </c>
      <c r="IC229" s="418">
        <f t="shared" si="705"/>
        <v>0</v>
      </c>
      <c r="ID229" s="418">
        <f t="shared" si="705"/>
        <v>0</v>
      </c>
      <c r="IE229" s="418">
        <f t="shared" si="705"/>
        <v>0</v>
      </c>
      <c r="IF229" s="418">
        <f t="shared" si="705"/>
        <v>0</v>
      </c>
      <c r="IG229" s="418">
        <f t="shared" si="705"/>
        <v>0</v>
      </c>
      <c r="IH229" s="418">
        <f t="shared" si="705"/>
        <v>0</v>
      </c>
      <c r="II229" s="418">
        <f t="shared" si="705"/>
        <v>0</v>
      </c>
      <c r="IJ229" s="418">
        <f t="shared" si="705"/>
        <v>0</v>
      </c>
      <c r="IK229" s="418">
        <f t="shared" si="705"/>
        <v>0</v>
      </c>
      <c r="IL229" s="418">
        <f t="shared" si="705"/>
        <v>0</v>
      </c>
      <c r="IM229" s="418">
        <f t="shared" si="705"/>
        <v>0</v>
      </c>
      <c r="IN229" s="418">
        <f t="shared" ref="IN229:JX229" si="706">+-IN200+IN226+IN227</f>
        <v>0</v>
      </c>
      <c r="IO229" s="418">
        <f t="shared" si="706"/>
        <v>0</v>
      </c>
      <c r="IP229" s="418">
        <f t="shared" si="706"/>
        <v>0</v>
      </c>
      <c r="IQ229" s="418">
        <f t="shared" si="706"/>
        <v>0</v>
      </c>
      <c r="IR229" s="418">
        <f t="shared" si="706"/>
        <v>0</v>
      </c>
      <c r="IS229" s="418">
        <f t="shared" si="706"/>
        <v>0</v>
      </c>
      <c r="IT229" s="418">
        <f t="shared" si="706"/>
        <v>0</v>
      </c>
      <c r="IU229" s="418">
        <f t="shared" si="706"/>
        <v>0</v>
      </c>
      <c r="IV229" s="418">
        <f t="shared" si="706"/>
        <v>0</v>
      </c>
      <c r="IW229" s="418">
        <f t="shared" si="706"/>
        <v>0</v>
      </c>
      <c r="IX229" s="418">
        <f t="shared" si="706"/>
        <v>0</v>
      </c>
      <c r="IY229" s="418">
        <f t="shared" si="706"/>
        <v>0</v>
      </c>
      <c r="IZ229" s="418">
        <f t="shared" si="706"/>
        <v>0</v>
      </c>
      <c r="JA229" s="418">
        <f t="shared" si="706"/>
        <v>0</v>
      </c>
      <c r="JB229" s="418">
        <f t="shared" si="706"/>
        <v>0</v>
      </c>
      <c r="JC229" s="418">
        <f t="shared" si="706"/>
        <v>0</v>
      </c>
      <c r="JD229" s="418">
        <f t="shared" si="706"/>
        <v>0</v>
      </c>
      <c r="JE229" s="418">
        <f t="shared" si="706"/>
        <v>0</v>
      </c>
      <c r="JF229" s="418">
        <f t="shared" si="706"/>
        <v>0</v>
      </c>
      <c r="JG229" s="418">
        <f t="shared" si="706"/>
        <v>0</v>
      </c>
      <c r="JH229" s="418">
        <f t="shared" si="706"/>
        <v>0</v>
      </c>
      <c r="JI229" s="418">
        <f t="shared" si="706"/>
        <v>0</v>
      </c>
      <c r="JJ229" s="418">
        <f t="shared" si="706"/>
        <v>0</v>
      </c>
      <c r="JK229" s="418">
        <f t="shared" si="706"/>
        <v>0</v>
      </c>
      <c r="JL229" s="418">
        <f t="shared" si="706"/>
        <v>0</v>
      </c>
      <c r="JM229" s="418">
        <f t="shared" si="706"/>
        <v>0</v>
      </c>
      <c r="JN229" s="418">
        <f t="shared" si="706"/>
        <v>0</v>
      </c>
      <c r="JO229" s="418">
        <f t="shared" si="706"/>
        <v>0</v>
      </c>
      <c r="JP229" s="418">
        <f t="shared" si="706"/>
        <v>0</v>
      </c>
      <c r="JQ229" s="418">
        <f t="shared" si="706"/>
        <v>0</v>
      </c>
      <c r="JR229" s="418">
        <f t="shared" si="706"/>
        <v>0</v>
      </c>
      <c r="JS229" s="418">
        <f t="shared" si="706"/>
        <v>0</v>
      </c>
      <c r="JT229" s="418">
        <f t="shared" si="706"/>
        <v>0</v>
      </c>
      <c r="JU229" s="418">
        <f t="shared" si="706"/>
        <v>0</v>
      </c>
      <c r="JV229" s="418">
        <f t="shared" si="706"/>
        <v>0</v>
      </c>
      <c r="JW229" s="418">
        <f t="shared" si="706"/>
        <v>0</v>
      </c>
      <c r="JX229" s="418">
        <f t="shared" si="706"/>
        <v>0</v>
      </c>
      <c r="JY229"/>
      <c r="JZ229" s="262"/>
      <c r="KA229" s="262"/>
      <c r="KB229" s="262"/>
      <c r="KC229" s="262"/>
      <c r="KD229" s="262"/>
      <c r="KE229" s="262"/>
      <c r="KF229" s="262"/>
      <c r="KG229" s="262"/>
      <c r="KH229" s="262"/>
      <c r="KI229" s="262"/>
      <c r="KJ229" s="262"/>
      <c r="KK229" s="262"/>
      <c r="KL229" s="262"/>
      <c r="KM229" s="262"/>
      <c r="KN229" s="262"/>
      <c r="KO229" s="262"/>
      <c r="KP229" s="262"/>
      <c r="KQ229" s="262"/>
      <c r="KR229" s="262"/>
      <c r="KS229" s="262"/>
      <c r="KT229" s="262"/>
      <c r="KU229" s="262"/>
      <c r="KV229" s="262"/>
      <c r="KW229" s="262"/>
      <c r="KX229" s="262"/>
      <c r="KY229" s="262"/>
      <c r="KZ229" s="262"/>
      <c r="LA229" s="262"/>
      <c r="LB229" s="262"/>
      <c r="LC229" s="262"/>
      <c r="LD229" s="262"/>
      <c r="LE229" s="262"/>
      <c r="LF229" s="262"/>
      <c r="LG229" s="262"/>
      <c r="LH229" s="262"/>
      <c r="LI229" s="262"/>
      <c r="LJ229" s="262"/>
      <c r="LK229" s="262"/>
      <c r="LL229" s="262"/>
      <c r="LM229" s="262"/>
      <c r="LN229" s="262"/>
      <c r="LO229" s="262"/>
      <c r="LP229" s="262"/>
      <c r="LQ229" s="262"/>
      <c r="LR229" s="262"/>
      <c r="LS229" s="262"/>
      <c r="LT229" s="262"/>
      <c r="LU229" s="262"/>
      <c r="LV229" s="262"/>
      <c r="LW229" s="262"/>
      <c r="LX229" s="262"/>
      <c r="LY229" s="262"/>
      <c r="LZ229" s="262"/>
      <c r="MA229" s="262"/>
      <c r="MB229" s="262"/>
      <c r="MC229" s="262"/>
      <c r="MD229" s="262"/>
      <c r="ME229" s="262"/>
      <c r="MF229" s="262"/>
      <c r="MG229" s="262"/>
      <c r="MH229" s="262"/>
      <c r="MI229" s="262"/>
      <c r="MJ229" s="262"/>
      <c r="MK229" s="262"/>
      <c r="ML229" s="262"/>
      <c r="MM229" s="262"/>
      <c r="MN229" s="262"/>
      <c r="MO229" s="262"/>
      <c r="MP229" s="262"/>
      <c r="MQ229" s="262"/>
      <c r="MR229" s="262"/>
      <c r="MS229" s="262"/>
      <c r="MT229" s="262"/>
      <c r="MU229" s="262"/>
      <c r="MV229" s="262"/>
      <c r="MW229" s="262"/>
      <c r="MX229" s="262"/>
      <c r="MY229" s="262"/>
      <c r="MZ229" s="262"/>
      <c r="NA229" s="262"/>
      <c r="NB229" s="262"/>
      <c r="NC229" s="262"/>
      <c r="ND229" s="262"/>
      <c r="NE229" s="262"/>
      <c r="NF229" s="262"/>
      <c r="NG229" s="262"/>
      <c r="NH229" s="262"/>
      <c r="NI229" s="262"/>
      <c r="NJ229" s="262"/>
      <c r="NK229" s="262"/>
      <c r="NL229" s="262"/>
      <c r="NM229" s="262"/>
      <c r="NN229" s="262"/>
      <c r="NO229" s="262"/>
      <c r="NP229" s="262"/>
      <c r="NQ229" s="262"/>
      <c r="NR229" s="262"/>
      <c r="NS229" s="262"/>
      <c r="NT229" s="262"/>
      <c r="NU229" s="262"/>
      <c r="NV229" s="262"/>
      <c r="NW229" s="262"/>
      <c r="NX229" s="262"/>
      <c r="NY229" s="262"/>
      <c r="NZ229" s="262"/>
      <c r="OA229" s="262"/>
      <c r="OB229" s="262"/>
      <c r="OC229" s="262"/>
      <c r="OD229" s="262"/>
      <c r="OE229" s="262"/>
      <c r="OF229" s="262"/>
      <c r="OG229" s="262"/>
      <c r="OH229" s="262"/>
      <c r="OI229" s="262"/>
      <c r="OJ229" s="262"/>
      <c r="OK229" s="262"/>
      <c r="OL229" s="262"/>
      <c r="OM229" s="262"/>
      <c r="ON229" s="262"/>
      <c r="OO229" s="262"/>
      <c r="OP229" s="262"/>
      <c r="OQ229" s="262"/>
      <c r="OR229" s="262"/>
      <c r="OS229" s="262"/>
      <c r="OT229" s="262"/>
      <c r="OU229" s="262"/>
      <c r="OV229" s="262"/>
      <c r="OW229" s="262"/>
      <c r="OX229" s="262"/>
      <c r="OY229" s="262"/>
      <c r="OZ229" s="262"/>
      <c r="PA229" s="262"/>
      <c r="PB229" s="262"/>
      <c r="PC229" s="262"/>
      <c r="PD229" s="262"/>
      <c r="PE229" s="262"/>
      <c r="PF229" s="262"/>
      <c r="PG229" s="262"/>
      <c r="PH229" s="262"/>
    </row>
    <row r="230" spans="1:424" x14ac:dyDescent="0.35">
      <c r="A230"/>
      <c r="B230" s="34" t="s">
        <v>158</v>
      </c>
      <c r="C230" s="397"/>
      <c r="D230" s="397"/>
      <c r="E230" s="542"/>
      <c r="F230" s="542"/>
      <c r="G230" s="542"/>
      <c r="H230" s="544">
        <f>SUM(H228:H229)</f>
        <v>1</v>
      </c>
      <c r="I230" s="545">
        <f>SUM(I228:I229)</f>
        <v>218693471.58938444</v>
      </c>
      <c r="J230"/>
      <c r="K230"/>
      <c r="L230" s="417">
        <f t="shared" ref="L230:AQ230" si="707">IF(L227="","",SUM(L228:L229))</f>
        <v>76389582.872717112</v>
      </c>
      <c r="M230" s="417">
        <f t="shared" si="707"/>
        <v>0</v>
      </c>
      <c r="N230" s="417">
        <f t="shared" si="707"/>
        <v>0</v>
      </c>
      <c r="O230" s="417">
        <f t="shared" si="707"/>
        <v>0</v>
      </c>
      <c r="P230" s="417">
        <f t="shared" si="707"/>
        <v>0</v>
      </c>
      <c r="Q230" s="417">
        <f t="shared" si="707"/>
        <v>0</v>
      </c>
      <c r="R230" s="417">
        <f t="shared" si="707"/>
        <v>0</v>
      </c>
      <c r="S230" s="417">
        <f t="shared" si="707"/>
        <v>0</v>
      </c>
      <c r="T230" s="417">
        <f t="shared" si="707"/>
        <v>0</v>
      </c>
      <c r="U230" s="417">
        <f t="shared" si="707"/>
        <v>0</v>
      </c>
      <c r="V230" s="417">
        <f t="shared" si="707"/>
        <v>0</v>
      </c>
      <c r="W230" s="417">
        <f t="shared" si="707"/>
        <v>0</v>
      </c>
      <c r="X230" s="417">
        <f t="shared" si="707"/>
        <v>0</v>
      </c>
      <c r="Y230" s="417">
        <f t="shared" si="707"/>
        <v>1932832.6541841328</v>
      </c>
      <c r="Z230" s="417">
        <f t="shared" si="707"/>
        <v>9018148.7201975472</v>
      </c>
      <c r="AA230" s="417">
        <f t="shared" si="707"/>
        <v>9899906.2401258312</v>
      </c>
      <c r="AB230" s="417">
        <f t="shared" si="707"/>
        <v>10594941.16352598</v>
      </c>
      <c r="AC230" s="417">
        <f t="shared" si="707"/>
        <v>11168623.014029484</v>
      </c>
      <c r="AD230" s="417">
        <f t="shared" si="707"/>
        <v>11476435.484353572</v>
      </c>
      <c r="AE230" s="417">
        <f t="shared" si="707"/>
        <v>11500747.807484064</v>
      </c>
      <c r="AF230" s="417">
        <f t="shared" si="707"/>
        <v>11200802.193184778</v>
      </c>
      <c r="AG230" s="417">
        <f t="shared" si="707"/>
        <v>10560401.808855567</v>
      </c>
      <c r="AH230" s="417">
        <f t="shared" si="707"/>
        <v>9007015.4887131397</v>
      </c>
      <c r="AI230" s="417">
        <f t="shared" si="707"/>
        <v>8037972.8637852902</v>
      </c>
      <c r="AJ230" s="417">
        <f t="shared" si="707"/>
        <v>7003744.5955059687</v>
      </c>
      <c r="AK230" s="417">
        <f t="shared" si="707"/>
        <v>5750851.2834514072</v>
      </c>
      <c r="AL230" s="417">
        <f t="shared" si="707"/>
        <v>4766158.5265351916</v>
      </c>
      <c r="AM230" s="417">
        <f t="shared" si="707"/>
        <v>3873205.3960134638</v>
      </c>
      <c r="AN230" s="417">
        <f t="shared" si="707"/>
        <v>2923275.520515983</v>
      </c>
      <c r="AO230" s="417">
        <f t="shared" si="707"/>
        <v>2276010.0856580529</v>
      </c>
      <c r="AP230" s="417">
        <f t="shared" si="707"/>
        <v>2650739.4435757259</v>
      </c>
      <c r="AQ230" s="417">
        <f t="shared" si="707"/>
        <v>2596004.2703655614</v>
      </c>
      <c r="AR230" s="417">
        <f t="shared" ref="AR230:BW230" si="708">IF(AR227="","",SUM(AR228:AR229))</f>
        <v>1937292.4101016719</v>
      </c>
      <c r="AS230" s="417">
        <f t="shared" si="708"/>
        <v>1455784.2709663643</v>
      </c>
      <c r="AT230" s="417">
        <f t="shared" si="708"/>
        <v>1083442.3940526801</v>
      </c>
      <c r="AU230" s="417">
        <f t="shared" si="708"/>
        <v>852358.66986050736</v>
      </c>
      <c r="AV230" s="417">
        <f t="shared" si="708"/>
        <v>701328.93346127542</v>
      </c>
      <c r="AW230" s="417">
        <f t="shared" si="708"/>
        <v>35865.47816403769</v>
      </c>
      <c r="AX230" s="417">
        <f t="shared" si="708"/>
        <v>0</v>
      </c>
      <c r="AY230" s="417">
        <f t="shared" si="708"/>
        <v>0</v>
      </c>
      <c r="AZ230" s="417">
        <f t="shared" si="708"/>
        <v>0</v>
      </c>
      <c r="BA230" s="417">
        <f t="shared" si="708"/>
        <v>0</v>
      </c>
      <c r="BB230" s="417">
        <f t="shared" si="708"/>
        <v>0</v>
      </c>
      <c r="BC230" s="417">
        <f t="shared" si="708"/>
        <v>0</v>
      </c>
      <c r="BD230" s="75">
        <f t="shared" si="708"/>
        <v>0</v>
      </c>
      <c r="BE230" s="75">
        <f t="shared" si="708"/>
        <v>0</v>
      </c>
      <c r="BF230" s="75">
        <f t="shared" si="708"/>
        <v>0</v>
      </c>
      <c r="BG230" s="75">
        <f t="shared" si="708"/>
        <v>0</v>
      </c>
      <c r="BH230" s="75">
        <f t="shared" si="708"/>
        <v>0</v>
      </c>
      <c r="BI230" s="75">
        <f t="shared" si="708"/>
        <v>0</v>
      </c>
      <c r="BJ230" s="75">
        <f t="shared" si="708"/>
        <v>0</v>
      </c>
      <c r="BK230" s="75">
        <f t="shared" si="708"/>
        <v>0</v>
      </c>
      <c r="BL230" s="75">
        <f t="shared" si="708"/>
        <v>0</v>
      </c>
      <c r="BM230" s="75">
        <f t="shared" si="708"/>
        <v>0</v>
      </c>
      <c r="BN230" s="75">
        <f t="shared" si="708"/>
        <v>0</v>
      </c>
      <c r="BO230" s="75">
        <f t="shared" si="708"/>
        <v>0</v>
      </c>
      <c r="BP230" s="75">
        <f t="shared" si="708"/>
        <v>0</v>
      </c>
      <c r="BQ230" s="75">
        <f t="shared" si="708"/>
        <v>0</v>
      </c>
      <c r="BR230" s="75">
        <f t="shared" si="708"/>
        <v>0</v>
      </c>
      <c r="BS230" s="75">
        <f t="shared" si="708"/>
        <v>0</v>
      </c>
      <c r="BT230" s="75">
        <f t="shared" si="708"/>
        <v>0</v>
      </c>
      <c r="BU230" s="75">
        <f t="shared" si="708"/>
        <v>0</v>
      </c>
      <c r="BV230" s="75" t="str">
        <f t="shared" si="708"/>
        <v/>
      </c>
      <c r="BW230" s="75" t="str">
        <f t="shared" si="708"/>
        <v/>
      </c>
      <c r="BX230" s="75" t="str">
        <f t="shared" ref="BX230:DC230" si="709">IF(BX227="","",SUM(BX228:BX229))</f>
        <v/>
      </c>
      <c r="BY230" s="75" t="str">
        <f t="shared" si="709"/>
        <v/>
      </c>
      <c r="BZ230" s="75" t="str">
        <f t="shared" si="709"/>
        <v/>
      </c>
      <c r="CA230" s="75" t="str">
        <f t="shared" si="709"/>
        <v/>
      </c>
      <c r="CB230" s="75" t="str">
        <f t="shared" si="709"/>
        <v/>
      </c>
      <c r="CC230" s="75" t="str">
        <f t="shared" si="709"/>
        <v/>
      </c>
      <c r="CD230" s="75" t="str">
        <f t="shared" si="709"/>
        <v/>
      </c>
      <c r="CE230" s="75" t="str">
        <f t="shared" si="709"/>
        <v/>
      </c>
      <c r="CF230" s="75" t="str">
        <f t="shared" si="709"/>
        <v/>
      </c>
      <c r="CG230" s="75" t="str">
        <f t="shared" si="709"/>
        <v/>
      </c>
      <c r="CH230" s="75" t="str">
        <f t="shared" si="709"/>
        <v/>
      </c>
      <c r="CI230" s="75" t="str">
        <f t="shared" si="709"/>
        <v/>
      </c>
      <c r="CJ230" s="75" t="str">
        <f t="shared" si="709"/>
        <v/>
      </c>
      <c r="CK230" s="75" t="str">
        <f t="shared" si="709"/>
        <v/>
      </c>
      <c r="CL230" s="75" t="str">
        <f t="shared" si="709"/>
        <v/>
      </c>
      <c r="CM230" s="75" t="str">
        <f t="shared" si="709"/>
        <v/>
      </c>
      <c r="CN230" s="75" t="str">
        <f t="shared" si="709"/>
        <v/>
      </c>
      <c r="CO230" s="75" t="str">
        <f t="shared" si="709"/>
        <v/>
      </c>
      <c r="CP230" s="75" t="str">
        <f t="shared" si="709"/>
        <v/>
      </c>
      <c r="CQ230" s="75" t="str">
        <f t="shared" si="709"/>
        <v/>
      </c>
      <c r="CR230" s="75" t="str">
        <f t="shared" si="709"/>
        <v/>
      </c>
      <c r="CS230" s="75" t="str">
        <f t="shared" si="709"/>
        <v/>
      </c>
      <c r="CT230" s="75" t="str">
        <f t="shared" si="709"/>
        <v/>
      </c>
      <c r="CU230" s="75" t="str">
        <f t="shared" si="709"/>
        <v/>
      </c>
      <c r="CV230" s="75" t="str">
        <f t="shared" si="709"/>
        <v/>
      </c>
      <c r="CW230" s="75" t="str">
        <f t="shared" si="709"/>
        <v/>
      </c>
      <c r="CX230" s="75" t="str">
        <f t="shared" si="709"/>
        <v/>
      </c>
      <c r="CY230" s="75" t="str">
        <f t="shared" si="709"/>
        <v/>
      </c>
      <c r="CZ230" s="75" t="str">
        <f t="shared" si="709"/>
        <v/>
      </c>
      <c r="DA230" s="75" t="str">
        <f t="shared" si="709"/>
        <v/>
      </c>
      <c r="DB230" s="75" t="str">
        <f t="shared" si="709"/>
        <v/>
      </c>
      <c r="DC230" s="75" t="str">
        <f t="shared" si="709"/>
        <v/>
      </c>
      <c r="DD230" s="75" t="str">
        <f t="shared" ref="DD230:EI230" si="710">IF(DD227="","",SUM(DD228:DD229))</f>
        <v/>
      </c>
      <c r="DE230" s="75" t="str">
        <f t="shared" si="710"/>
        <v/>
      </c>
      <c r="DF230" s="75" t="str">
        <f t="shared" si="710"/>
        <v/>
      </c>
      <c r="DG230" s="75" t="str">
        <f t="shared" si="710"/>
        <v/>
      </c>
      <c r="DH230" s="75" t="str">
        <f t="shared" si="710"/>
        <v/>
      </c>
      <c r="DI230" s="75" t="str">
        <f t="shared" si="710"/>
        <v/>
      </c>
      <c r="DJ230" s="75" t="str">
        <f t="shared" si="710"/>
        <v/>
      </c>
      <c r="DK230" s="75" t="str">
        <f t="shared" si="710"/>
        <v/>
      </c>
      <c r="DL230" s="75" t="str">
        <f t="shared" si="710"/>
        <v/>
      </c>
      <c r="DM230" s="75" t="str">
        <f t="shared" si="710"/>
        <v/>
      </c>
      <c r="DN230" s="75" t="str">
        <f t="shared" si="710"/>
        <v/>
      </c>
      <c r="DO230" s="75" t="str">
        <f t="shared" si="710"/>
        <v/>
      </c>
      <c r="DP230" s="75" t="str">
        <f t="shared" si="710"/>
        <v/>
      </c>
      <c r="DQ230" s="75" t="str">
        <f t="shared" si="710"/>
        <v/>
      </c>
      <c r="DR230" s="75" t="str">
        <f t="shared" si="710"/>
        <v/>
      </c>
      <c r="DS230" s="75" t="str">
        <f t="shared" si="710"/>
        <v/>
      </c>
      <c r="DT230" s="75" t="str">
        <f t="shared" si="710"/>
        <v/>
      </c>
      <c r="DU230" s="75" t="str">
        <f t="shared" si="710"/>
        <v/>
      </c>
      <c r="DV230" s="75" t="str">
        <f t="shared" si="710"/>
        <v/>
      </c>
      <c r="DW230" s="75" t="str">
        <f t="shared" si="710"/>
        <v/>
      </c>
      <c r="DX230" s="75" t="str">
        <f t="shared" si="710"/>
        <v/>
      </c>
      <c r="DY230" s="75" t="str">
        <f t="shared" si="710"/>
        <v/>
      </c>
      <c r="DZ230" s="75" t="str">
        <f t="shared" si="710"/>
        <v/>
      </c>
      <c r="EA230" s="75" t="str">
        <f t="shared" si="710"/>
        <v/>
      </c>
      <c r="EB230" s="75" t="str">
        <f t="shared" si="710"/>
        <v/>
      </c>
      <c r="EC230" s="75" t="str">
        <f t="shared" si="710"/>
        <v/>
      </c>
      <c r="ED230" s="75" t="str">
        <f t="shared" si="710"/>
        <v/>
      </c>
      <c r="EE230" s="75" t="str">
        <f t="shared" si="710"/>
        <v/>
      </c>
      <c r="EF230" s="75" t="str">
        <f t="shared" si="710"/>
        <v/>
      </c>
      <c r="EG230" s="75" t="str">
        <f t="shared" si="710"/>
        <v/>
      </c>
      <c r="EH230" s="75" t="str">
        <f t="shared" si="710"/>
        <v/>
      </c>
      <c r="EI230" s="75" t="str">
        <f t="shared" si="710"/>
        <v/>
      </c>
      <c r="EJ230" s="75" t="str">
        <f>IF(EJ227="","",SUM(EJ228:EJ229))</f>
        <v/>
      </c>
      <c r="EK230" s="75" t="str">
        <f>IF(EK227="","",SUM(EK228:EK229))</f>
        <v/>
      </c>
      <c r="EL230" s="75" t="str">
        <f>IF(EL227="","",SUM(EL228:EL229))</f>
        <v/>
      </c>
      <c r="EM230" s="75" t="str">
        <f>IF(EM227="","",SUM(EM228:EM229))</f>
        <v/>
      </c>
      <c r="EN230" s="75" t="str">
        <f>IF(EN227="","",SUM(EN228:EN229))</f>
        <v/>
      </c>
      <c r="EO230"/>
      <c r="EP230" s="405"/>
      <c r="EQ230" s="18"/>
      <c r="ER230" s="18"/>
      <c r="ES230" s="18"/>
      <c r="ET230" s="18" t="s">
        <v>416</v>
      </c>
      <c r="EU230" s="18"/>
      <c r="EV230" s="418">
        <f t="shared" ref="EV230:GA230" si="711">(EV$197&lt;=Timing_Reversion_Month)*IFERROR((EV227/$I$235*$H$235),0)</f>
        <v>0</v>
      </c>
      <c r="EW230" s="418">
        <f t="shared" si="711"/>
        <v>0</v>
      </c>
      <c r="EX230" s="418">
        <f t="shared" si="711"/>
        <v>0</v>
      </c>
      <c r="EY230" s="418">
        <f t="shared" si="711"/>
        <v>0</v>
      </c>
      <c r="EZ230" s="418">
        <f t="shared" si="711"/>
        <v>0</v>
      </c>
      <c r="FA230" s="418">
        <f t="shared" si="711"/>
        <v>0</v>
      </c>
      <c r="FB230" s="418">
        <f t="shared" si="711"/>
        <v>0</v>
      </c>
      <c r="FC230" s="418">
        <f t="shared" si="711"/>
        <v>0</v>
      </c>
      <c r="FD230" s="418">
        <f t="shared" si="711"/>
        <v>0</v>
      </c>
      <c r="FE230" s="418">
        <f t="shared" si="711"/>
        <v>0</v>
      </c>
      <c r="FF230" s="418">
        <f t="shared" si="711"/>
        <v>0</v>
      </c>
      <c r="FG230" s="418">
        <f t="shared" si="711"/>
        <v>0</v>
      </c>
      <c r="FH230" s="418">
        <f t="shared" si="711"/>
        <v>0</v>
      </c>
      <c r="FI230" s="418">
        <f t="shared" si="711"/>
        <v>0</v>
      </c>
      <c r="FJ230" s="418">
        <f t="shared" si="711"/>
        <v>0</v>
      </c>
      <c r="FK230" s="418">
        <f t="shared" si="711"/>
        <v>0</v>
      </c>
      <c r="FL230" s="418">
        <f t="shared" si="711"/>
        <v>0</v>
      </c>
      <c r="FM230" s="418">
        <f t="shared" si="711"/>
        <v>0</v>
      </c>
      <c r="FN230" s="418">
        <f t="shared" si="711"/>
        <v>0</v>
      </c>
      <c r="FO230" s="418">
        <f t="shared" si="711"/>
        <v>0</v>
      </c>
      <c r="FP230" s="418">
        <f t="shared" si="711"/>
        <v>0</v>
      </c>
      <c r="FQ230" s="418">
        <f t="shared" si="711"/>
        <v>0</v>
      </c>
      <c r="FR230" s="418">
        <f t="shared" si="711"/>
        <v>0</v>
      </c>
      <c r="FS230" s="418">
        <f t="shared" si="711"/>
        <v>0</v>
      </c>
      <c r="FT230" s="418">
        <f t="shared" si="711"/>
        <v>0</v>
      </c>
      <c r="FU230" s="418">
        <f t="shared" si="711"/>
        <v>0</v>
      </c>
      <c r="FV230" s="418">
        <f t="shared" si="711"/>
        <v>0</v>
      </c>
      <c r="FW230" s="418">
        <f t="shared" si="711"/>
        <v>0</v>
      </c>
      <c r="FX230" s="418">
        <f t="shared" si="711"/>
        <v>0</v>
      </c>
      <c r="FY230" s="418">
        <f t="shared" si="711"/>
        <v>0</v>
      </c>
      <c r="FZ230" s="418">
        <f t="shared" si="711"/>
        <v>0</v>
      </c>
      <c r="GA230" s="418">
        <f t="shared" si="711"/>
        <v>0</v>
      </c>
      <c r="GB230" s="418">
        <f t="shared" ref="GB230:HG230" si="712">(GB$197&lt;=Timing_Reversion_Month)*IFERROR((GB227/$I$235*$H$235),0)</f>
        <v>0</v>
      </c>
      <c r="GC230" s="418">
        <f t="shared" si="712"/>
        <v>0</v>
      </c>
      <c r="GD230" s="418">
        <f t="shared" si="712"/>
        <v>0</v>
      </c>
      <c r="GE230" s="418">
        <f t="shared" si="712"/>
        <v>0</v>
      </c>
      <c r="GF230" s="418">
        <f t="shared" si="712"/>
        <v>0</v>
      </c>
      <c r="GG230" s="418">
        <f t="shared" si="712"/>
        <v>0</v>
      </c>
      <c r="GH230" s="418">
        <f t="shared" si="712"/>
        <v>0</v>
      </c>
      <c r="GI230" s="418">
        <f t="shared" si="712"/>
        <v>0</v>
      </c>
      <c r="GJ230" s="418">
        <f t="shared" si="712"/>
        <v>0</v>
      </c>
      <c r="GK230" s="418">
        <f t="shared" si="712"/>
        <v>0</v>
      </c>
      <c r="GL230" s="418">
        <f t="shared" si="712"/>
        <v>0</v>
      </c>
      <c r="GM230" s="418">
        <f t="shared" si="712"/>
        <v>0</v>
      </c>
      <c r="GN230" s="418">
        <f t="shared" si="712"/>
        <v>0</v>
      </c>
      <c r="GO230" s="418">
        <f t="shared" si="712"/>
        <v>0</v>
      </c>
      <c r="GP230" s="418">
        <f t="shared" si="712"/>
        <v>0</v>
      </c>
      <c r="GQ230" s="418">
        <f t="shared" si="712"/>
        <v>0</v>
      </c>
      <c r="GR230" s="418">
        <f t="shared" si="712"/>
        <v>0</v>
      </c>
      <c r="GS230" s="418">
        <f t="shared" si="712"/>
        <v>0</v>
      </c>
      <c r="GT230" s="418">
        <f t="shared" si="712"/>
        <v>0</v>
      </c>
      <c r="GU230" s="418">
        <f t="shared" si="712"/>
        <v>0</v>
      </c>
      <c r="GV230" s="418">
        <f t="shared" si="712"/>
        <v>0</v>
      </c>
      <c r="GW230" s="418">
        <f t="shared" si="712"/>
        <v>0</v>
      </c>
      <c r="GX230" s="418">
        <f t="shared" si="712"/>
        <v>0</v>
      </c>
      <c r="GY230" s="418">
        <f t="shared" si="712"/>
        <v>0</v>
      </c>
      <c r="GZ230" s="418">
        <f t="shared" si="712"/>
        <v>0</v>
      </c>
      <c r="HA230" s="418">
        <f t="shared" si="712"/>
        <v>0</v>
      </c>
      <c r="HB230" s="418">
        <f t="shared" si="712"/>
        <v>0</v>
      </c>
      <c r="HC230" s="418">
        <f t="shared" si="712"/>
        <v>0</v>
      </c>
      <c r="HD230" s="418">
        <f t="shared" si="712"/>
        <v>0</v>
      </c>
      <c r="HE230" s="418">
        <f t="shared" si="712"/>
        <v>0</v>
      </c>
      <c r="HF230" s="418">
        <f t="shared" si="712"/>
        <v>0</v>
      </c>
      <c r="HG230" s="418">
        <f t="shared" si="712"/>
        <v>0</v>
      </c>
      <c r="HH230" s="418">
        <f t="shared" ref="HH230:IM230" si="713">(HH$197&lt;=Timing_Reversion_Month)*IFERROR((HH227/$I$235*$H$235),0)</f>
        <v>0</v>
      </c>
      <c r="HI230" s="418">
        <f t="shared" si="713"/>
        <v>0</v>
      </c>
      <c r="HJ230" s="418">
        <f t="shared" si="713"/>
        <v>0</v>
      </c>
      <c r="HK230" s="418">
        <f t="shared" si="713"/>
        <v>0</v>
      </c>
      <c r="HL230" s="418">
        <f t="shared" si="713"/>
        <v>0</v>
      </c>
      <c r="HM230" s="418">
        <f t="shared" si="713"/>
        <v>0</v>
      </c>
      <c r="HN230" s="418">
        <f t="shared" si="713"/>
        <v>0</v>
      </c>
      <c r="HO230" s="418">
        <f t="shared" si="713"/>
        <v>0</v>
      </c>
      <c r="HP230" s="418">
        <f t="shared" si="713"/>
        <v>0</v>
      </c>
      <c r="HQ230" s="418">
        <f t="shared" si="713"/>
        <v>0</v>
      </c>
      <c r="HR230" s="418">
        <f t="shared" si="713"/>
        <v>0</v>
      </c>
      <c r="HS230" s="418">
        <f t="shared" si="713"/>
        <v>0</v>
      </c>
      <c r="HT230" s="418">
        <f t="shared" si="713"/>
        <v>0</v>
      </c>
      <c r="HU230" s="418">
        <f t="shared" si="713"/>
        <v>0</v>
      </c>
      <c r="HV230" s="418">
        <f t="shared" si="713"/>
        <v>0</v>
      </c>
      <c r="HW230" s="418">
        <f t="shared" si="713"/>
        <v>0</v>
      </c>
      <c r="HX230" s="418">
        <f t="shared" si="713"/>
        <v>0</v>
      </c>
      <c r="HY230" s="418">
        <f t="shared" si="713"/>
        <v>0</v>
      </c>
      <c r="HZ230" s="418">
        <f t="shared" si="713"/>
        <v>0</v>
      </c>
      <c r="IA230" s="418">
        <f t="shared" si="713"/>
        <v>0</v>
      </c>
      <c r="IB230" s="418">
        <f t="shared" si="713"/>
        <v>0</v>
      </c>
      <c r="IC230" s="418">
        <f t="shared" si="713"/>
        <v>0</v>
      </c>
      <c r="ID230" s="418">
        <f t="shared" si="713"/>
        <v>0</v>
      </c>
      <c r="IE230" s="418">
        <f t="shared" si="713"/>
        <v>0</v>
      </c>
      <c r="IF230" s="418">
        <f t="shared" si="713"/>
        <v>0</v>
      </c>
      <c r="IG230" s="418">
        <f t="shared" si="713"/>
        <v>0</v>
      </c>
      <c r="IH230" s="418">
        <f t="shared" si="713"/>
        <v>0</v>
      </c>
      <c r="II230" s="418">
        <f t="shared" si="713"/>
        <v>0</v>
      </c>
      <c r="IJ230" s="418">
        <f t="shared" si="713"/>
        <v>0</v>
      </c>
      <c r="IK230" s="418">
        <f t="shared" si="713"/>
        <v>0</v>
      </c>
      <c r="IL230" s="418">
        <f t="shared" si="713"/>
        <v>0</v>
      </c>
      <c r="IM230" s="418">
        <f t="shared" si="713"/>
        <v>0</v>
      </c>
      <c r="IN230" s="418">
        <f t="shared" ref="IN230:JX230" si="714">(IN$197&lt;=Timing_Reversion_Month)*IFERROR((IN227/$I$235*$H$235),0)</f>
        <v>0</v>
      </c>
      <c r="IO230" s="418">
        <f t="shared" si="714"/>
        <v>0</v>
      </c>
      <c r="IP230" s="418">
        <f t="shared" si="714"/>
        <v>0</v>
      </c>
      <c r="IQ230" s="418">
        <f t="shared" si="714"/>
        <v>0</v>
      </c>
      <c r="IR230" s="418">
        <f t="shared" si="714"/>
        <v>0</v>
      </c>
      <c r="IS230" s="418">
        <f t="shared" si="714"/>
        <v>0</v>
      </c>
      <c r="IT230" s="418">
        <f t="shared" si="714"/>
        <v>0</v>
      </c>
      <c r="IU230" s="418">
        <f t="shared" si="714"/>
        <v>0</v>
      </c>
      <c r="IV230" s="418">
        <f t="shared" si="714"/>
        <v>0</v>
      </c>
      <c r="IW230" s="418">
        <f t="shared" si="714"/>
        <v>0</v>
      </c>
      <c r="IX230" s="418">
        <f t="shared" si="714"/>
        <v>0</v>
      </c>
      <c r="IY230" s="418">
        <f t="shared" si="714"/>
        <v>0</v>
      </c>
      <c r="IZ230" s="418">
        <f t="shared" si="714"/>
        <v>0</v>
      </c>
      <c r="JA230" s="418">
        <f t="shared" si="714"/>
        <v>0</v>
      </c>
      <c r="JB230" s="418">
        <f t="shared" si="714"/>
        <v>0</v>
      </c>
      <c r="JC230" s="418">
        <f t="shared" si="714"/>
        <v>0</v>
      </c>
      <c r="JD230" s="418">
        <f t="shared" si="714"/>
        <v>0</v>
      </c>
      <c r="JE230" s="418">
        <f t="shared" si="714"/>
        <v>0</v>
      </c>
      <c r="JF230" s="418">
        <f t="shared" si="714"/>
        <v>0</v>
      </c>
      <c r="JG230" s="418">
        <f t="shared" si="714"/>
        <v>0</v>
      </c>
      <c r="JH230" s="418">
        <f t="shared" si="714"/>
        <v>0</v>
      </c>
      <c r="JI230" s="418">
        <f t="shared" si="714"/>
        <v>0</v>
      </c>
      <c r="JJ230" s="418">
        <f t="shared" si="714"/>
        <v>0</v>
      </c>
      <c r="JK230" s="418">
        <f t="shared" si="714"/>
        <v>0</v>
      </c>
      <c r="JL230" s="418">
        <f t="shared" si="714"/>
        <v>0</v>
      </c>
      <c r="JM230" s="418">
        <f t="shared" si="714"/>
        <v>0</v>
      </c>
      <c r="JN230" s="418">
        <f t="shared" si="714"/>
        <v>0</v>
      </c>
      <c r="JO230" s="418">
        <f t="shared" si="714"/>
        <v>0</v>
      </c>
      <c r="JP230" s="418">
        <f t="shared" si="714"/>
        <v>0</v>
      </c>
      <c r="JQ230" s="418">
        <f t="shared" si="714"/>
        <v>0</v>
      </c>
      <c r="JR230" s="418">
        <f t="shared" si="714"/>
        <v>0</v>
      </c>
      <c r="JS230" s="418">
        <f t="shared" si="714"/>
        <v>0</v>
      </c>
      <c r="JT230" s="418">
        <f t="shared" si="714"/>
        <v>0</v>
      </c>
      <c r="JU230" s="418">
        <f t="shared" si="714"/>
        <v>0</v>
      </c>
      <c r="JV230" s="418">
        <f t="shared" si="714"/>
        <v>0</v>
      </c>
      <c r="JW230" s="418">
        <f t="shared" si="714"/>
        <v>0</v>
      </c>
      <c r="JX230" s="418">
        <f t="shared" si="714"/>
        <v>0</v>
      </c>
      <c r="JY230"/>
      <c r="JZ230" s="262"/>
      <c r="KA230" s="262"/>
      <c r="KB230" s="262"/>
      <c r="KC230" s="262"/>
      <c r="KD230" s="262"/>
      <c r="KE230" s="262"/>
      <c r="KF230" s="262"/>
      <c r="KG230" s="262"/>
      <c r="KH230" s="262"/>
      <c r="KI230" s="262"/>
      <c r="KJ230" s="262"/>
      <c r="KK230" s="262"/>
      <c r="KL230" s="262"/>
      <c r="KM230" s="262"/>
      <c r="KN230" s="262"/>
      <c r="KO230" s="262"/>
      <c r="KP230" s="262"/>
      <c r="KQ230" s="262"/>
      <c r="KR230" s="262"/>
      <c r="KS230" s="262"/>
      <c r="KT230" s="262"/>
      <c r="KU230" s="262"/>
      <c r="KV230" s="262"/>
      <c r="KW230" s="262"/>
      <c r="KX230" s="262"/>
      <c r="KY230" s="262"/>
      <c r="KZ230" s="262"/>
      <c r="LA230" s="262"/>
      <c r="LB230" s="262"/>
      <c r="LC230" s="262"/>
      <c r="LD230" s="262"/>
      <c r="LE230" s="262"/>
      <c r="LF230" s="262"/>
      <c r="LG230" s="262"/>
      <c r="LH230" s="262"/>
      <c r="LI230" s="262"/>
      <c r="LJ230" s="262"/>
      <c r="LK230" s="262"/>
      <c r="LL230" s="262"/>
      <c r="LM230" s="262"/>
      <c r="LN230" s="262"/>
      <c r="LO230" s="262"/>
      <c r="LP230" s="262"/>
      <c r="LQ230" s="262"/>
      <c r="LR230" s="262"/>
      <c r="LS230" s="262"/>
      <c r="LT230" s="262"/>
      <c r="LU230" s="262"/>
      <c r="LV230" s="262"/>
      <c r="LW230" s="262"/>
      <c r="LX230" s="262"/>
      <c r="LY230" s="262"/>
      <c r="LZ230" s="262"/>
      <c r="MA230" s="262"/>
      <c r="MB230" s="262"/>
      <c r="MC230" s="262"/>
      <c r="MD230" s="262"/>
      <c r="ME230" s="262"/>
      <c r="MF230" s="262"/>
      <c r="MG230" s="262"/>
      <c r="MH230" s="262"/>
      <c r="MI230" s="262"/>
      <c r="MJ230" s="262"/>
      <c r="MK230" s="262"/>
      <c r="ML230" s="262"/>
      <c r="MM230" s="262"/>
      <c r="MN230" s="262"/>
      <c r="MO230" s="262"/>
      <c r="MP230" s="262"/>
      <c r="MQ230" s="262"/>
      <c r="MR230" s="262"/>
      <c r="MS230" s="262"/>
      <c r="MT230" s="262"/>
      <c r="MU230" s="262"/>
      <c r="MV230" s="262"/>
      <c r="MW230" s="262"/>
      <c r="MX230" s="262"/>
      <c r="MY230" s="262"/>
      <c r="MZ230" s="262"/>
      <c r="NA230" s="262"/>
      <c r="NB230" s="262"/>
      <c r="NC230" s="262"/>
      <c r="ND230" s="262"/>
      <c r="NE230" s="262"/>
      <c r="NF230" s="262"/>
      <c r="NG230" s="262"/>
      <c r="NH230" s="262"/>
      <c r="NI230" s="262"/>
      <c r="NJ230" s="262"/>
      <c r="NK230" s="262"/>
      <c r="NL230" s="262"/>
      <c r="NM230" s="262"/>
      <c r="NN230" s="262"/>
      <c r="NO230" s="262"/>
      <c r="NP230" s="262"/>
      <c r="NQ230" s="262"/>
      <c r="NR230" s="262"/>
      <c r="NS230" s="262"/>
      <c r="NT230" s="262"/>
      <c r="NU230" s="262"/>
      <c r="NV230" s="262"/>
      <c r="NW230" s="262"/>
      <c r="NX230" s="262"/>
      <c r="NY230" s="262"/>
      <c r="NZ230" s="262"/>
      <c r="OA230" s="262"/>
      <c r="OB230" s="262"/>
      <c r="OC230" s="262"/>
      <c r="OD230" s="262"/>
      <c r="OE230" s="262"/>
      <c r="OF230" s="262"/>
      <c r="OG230" s="262"/>
      <c r="OH230" s="262"/>
      <c r="OI230" s="262"/>
      <c r="OJ230" s="262"/>
      <c r="OK230" s="262"/>
      <c r="OL230" s="262"/>
      <c r="OM230" s="262"/>
      <c r="ON230" s="262"/>
      <c r="OO230" s="262"/>
      <c r="OP230" s="262"/>
      <c r="OQ230" s="262"/>
      <c r="OR230" s="262"/>
      <c r="OS230" s="262"/>
      <c r="OT230" s="262"/>
      <c r="OU230" s="262"/>
      <c r="OV230" s="262"/>
      <c r="OW230" s="262"/>
      <c r="OX230" s="262"/>
      <c r="OY230" s="262"/>
      <c r="OZ230" s="262"/>
      <c r="PA230" s="262"/>
      <c r="PB230" s="262"/>
      <c r="PC230" s="262"/>
      <c r="PD230" s="262"/>
      <c r="PE230" s="262"/>
      <c r="PF230" s="262"/>
      <c r="PG230" s="262"/>
      <c r="PH230" s="262"/>
    </row>
    <row r="231" spans="1:424" x14ac:dyDescent="0.35">
      <c r="A231"/>
      <c r="B231" s="34"/>
      <c r="C231" s="397"/>
      <c r="D231" s="397"/>
      <c r="E231" s="542"/>
      <c r="F231" s="542"/>
      <c r="G231" s="542"/>
      <c r="H231" s="84"/>
      <c r="I231" s="85"/>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s="405"/>
      <c r="EQ231" s="18"/>
      <c r="ER231" s="18"/>
      <c r="ES231" s="18"/>
      <c r="ET231" s="18" t="s">
        <v>431</v>
      </c>
      <c r="EU231" s="18"/>
      <c r="EV231" s="418">
        <f>+EV230+EV227</f>
        <v>0</v>
      </c>
      <c r="EW231" s="418">
        <f t="shared" ref="EW231:HH231" si="715">+EW230+EW227</f>
        <v>0</v>
      </c>
      <c r="EX231" s="418">
        <f t="shared" si="715"/>
        <v>0</v>
      </c>
      <c r="EY231" s="418">
        <f t="shared" si="715"/>
        <v>0</v>
      </c>
      <c r="EZ231" s="418">
        <f t="shared" si="715"/>
        <v>0</v>
      </c>
      <c r="FA231" s="418">
        <f t="shared" si="715"/>
        <v>0</v>
      </c>
      <c r="FB231" s="418">
        <f t="shared" si="715"/>
        <v>0</v>
      </c>
      <c r="FC231" s="418">
        <f t="shared" si="715"/>
        <v>0</v>
      </c>
      <c r="FD231" s="418">
        <f t="shared" si="715"/>
        <v>0</v>
      </c>
      <c r="FE231" s="418">
        <f t="shared" si="715"/>
        <v>0</v>
      </c>
      <c r="FF231" s="418">
        <f t="shared" si="715"/>
        <v>0</v>
      </c>
      <c r="FG231" s="418">
        <f t="shared" si="715"/>
        <v>0</v>
      </c>
      <c r="FH231" s="418">
        <f t="shared" si="715"/>
        <v>0</v>
      </c>
      <c r="FI231" s="418">
        <f t="shared" si="715"/>
        <v>0</v>
      </c>
      <c r="FJ231" s="418">
        <f t="shared" si="715"/>
        <v>0</v>
      </c>
      <c r="FK231" s="418">
        <f t="shared" si="715"/>
        <v>0</v>
      </c>
      <c r="FL231" s="418">
        <f t="shared" si="715"/>
        <v>0</v>
      </c>
      <c r="FM231" s="418">
        <f t="shared" si="715"/>
        <v>0</v>
      </c>
      <c r="FN231" s="418">
        <f t="shared" si="715"/>
        <v>0</v>
      </c>
      <c r="FO231" s="418">
        <f t="shared" si="715"/>
        <v>0</v>
      </c>
      <c r="FP231" s="418">
        <f t="shared" si="715"/>
        <v>0</v>
      </c>
      <c r="FQ231" s="418">
        <f t="shared" si="715"/>
        <v>0</v>
      </c>
      <c r="FR231" s="418">
        <f t="shared" si="715"/>
        <v>0</v>
      </c>
      <c r="FS231" s="418">
        <f t="shared" si="715"/>
        <v>0</v>
      </c>
      <c r="FT231" s="418">
        <f t="shared" si="715"/>
        <v>0</v>
      </c>
      <c r="FU231" s="418">
        <f t="shared" si="715"/>
        <v>0</v>
      </c>
      <c r="FV231" s="418">
        <f t="shared" si="715"/>
        <v>0</v>
      </c>
      <c r="FW231" s="418">
        <f t="shared" si="715"/>
        <v>0</v>
      </c>
      <c r="FX231" s="418">
        <f t="shared" si="715"/>
        <v>0</v>
      </c>
      <c r="FY231" s="418">
        <f t="shared" si="715"/>
        <v>0</v>
      </c>
      <c r="FZ231" s="418">
        <f t="shared" si="715"/>
        <v>0</v>
      </c>
      <c r="GA231" s="418">
        <f t="shared" si="715"/>
        <v>0</v>
      </c>
      <c r="GB231" s="418">
        <f t="shared" si="715"/>
        <v>0</v>
      </c>
      <c r="GC231" s="418">
        <f t="shared" si="715"/>
        <v>0</v>
      </c>
      <c r="GD231" s="418">
        <f t="shared" si="715"/>
        <v>0</v>
      </c>
      <c r="GE231" s="418">
        <f t="shared" si="715"/>
        <v>0</v>
      </c>
      <c r="GF231" s="418">
        <f t="shared" si="715"/>
        <v>0</v>
      </c>
      <c r="GG231" s="418">
        <f t="shared" si="715"/>
        <v>0</v>
      </c>
      <c r="GH231" s="418">
        <f t="shared" si="715"/>
        <v>0</v>
      </c>
      <c r="GI231" s="418">
        <f t="shared" si="715"/>
        <v>0</v>
      </c>
      <c r="GJ231" s="418">
        <f t="shared" si="715"/>
        <v>0</v>
      </c>
      <c r="GK231" s="418">
        <f t="shared" si="715"/>
        <v>0</v>
      </c>
      <c r="GL231" s="418">
        <f t="shared" si="715"/>
        <v>0</v>
      </c>
      <c r="GM231" s="418">
        <f t="shared" si="715"/>
        <v>0</v>
      </c>
      <c r="GN231" s="418">
        <f t="shared" si="715"/>
        <v>0</v>
      </c>
      <c r="GO231" s="418">
        <f t="shared" si="715"/>
        <v>0</v>
      </c>
      <c r="GP231" s="418">
        <f t="shared" si="715"/>
        <v>0</v>
      </c>
      <c r="GQ231" s="418">
        <f t="shared" si="715"/>
        <v>0</v>
      </c>
      <c r="GR231" s="418">
        <f t="shared" si="715"/>
        <v>0</v>
      </c>
      <c r="GS231" s="418">
        <f t="shared" si="715"/>
        <v>0</v>
      </c>
      <c r="GT231" s="418">
        <f t="shared" si="715"/>
        <v>0</v>
      </c>
      <c r="GU231" s="418">
        <f t="shared" si="715"/>
        <v>0</v>
      </c>
      <c r="GV231" s="418">
        <f t="shared" si="715"/>
        <v>0</v>
      </c>
      <c r="GW231" s="418">
        <f t="shared" si="715"/>
        <v>0</v>
      </c>
      <c r="GX231" s="418">
        <f t="shared" si="715"/>
        <v>0</v>
      </c>
      <c r="GY231" s="418">
        <f t="shared" si="715"/>
        <v>0</v>
      </c>
      <c r="GZ231" s="418">
        <f t="shared" si="715"/>
        <v>0</v>
      </c>
      <c r="HA231" s="418">
        <f t="shared" si="715"/>
        <v>0</v>
      </c>
      <c r="HB231" s="418">
        <f t="shared" si="715"/>
        <v>0</v>
      </c>
      <c r="HC231" s="418">
        <f t="shared" si="715"/>
        <v>0</v>
      </c>
      <c r="HD231" s="418">
        <f t="shared" si="715"/>
        <v>0</v>
      </c>
      <c r="HE231" s="418">
        <f t="shared" si="715"/>
        <v>0</v>
      </c>
      <c r="HF231" s="418">
        <f t="shared" si="715"/>
        <v>0</v>
      </c>
      <c r="HG231" s="418">
        <f t="shared" si="715"/>
        <v>0</v>
      </c>
      <c r="HH231" s="418">
        <f t="shared" si="715"/>
        <v>0</v>
      </c>
      <c r="HI231" s="418">
        <f t="shared" ref="HI231:JT231" si="716">+HI230+HI227</f>
        <v>0</v>
      </c>
      <c r="HJ231" s="418">
        <f t="shared" si="716"/>
        <v>0</v>
      </c>
      <c r="HK231" s="418">
        <f t="shared" si="716"/>
        <v>0</v>
      </c>
      <c r="HL231" s="418">
        <f t="shared" si="716"/>
        <v>0</v>
      </c>
      <c r="HM231" s="418">
        <f t="shared" si="716"/>
        <v>0</v>
      </c>
      <c r="HN231" s="418">
        <f t="shared" si="716"/>
        <v>0</v>
      </c>
      <c r="HO231" s="418">
        <f t="shared" si="716"/>
        <v>0</v>
      </c>
      <c r="HP231" s="418">
        <f t="shared" si="716"/>
        <v>0</v>
      </c>
      <c r="HQ231" s="418">
        <f t="shared" si="716"/>
        <v>0</v>
      </c>
      <c r="HR231" s="418">
        <f t="shared" si="716"/>
        <v>0</v>
      </c>
      <c r="HS231" s="418">
        <f t="shared" si="716"/>
        <v>0</v>
      </c>
      <c r="HT231" s="418">
        <f t="shared" si="716"/>
        <v>0</v>
      </c>
      <c r="HU231" s="418">
        <f t="shared" si="716"/>
        <v>0</v>
      </c>
      <c r="HV231" s="418">
        <f t="shared" si="716"/>
        <v>0</v>
      </c>
      <c r="HW231" s="418">
        <f t="shared" si="716"/>
        <v>0</v>
      </c>
      <c r="HX231" s="418">
        <f t="shared" si="716"/>
        <v>0</v>
      </c>
      <c r="HY231" s="418">
        <f t="shared" si="716"/>
        <v>0</v>
      </c>
      <c r="HZ231" s="418">
        <f t="shared" si="716"/>
        <v>0</v>
      </c>
      <c r="IA231" s="418">
        <f t="shared" si="716"/>
        <v>0</v>
      </c>
      <c r="IB231" s="418">
        <f t="shared" si="716"/>
        <v>0</v>
      </c>
      <c r="IC231" s="418">
        <f t="shared" si="716"/>
        <v>0</v>
      </c>
      <c r="ID231" s="418">
        <f t="shared" si="716"/>
        <v>0</v>
      </c>
      <c r="IE231" s="418">
        <f t="shared" si="716"/>
        <v>0</v>
      </c>
      <c r="IF231" s="418">
        <f t="shared" si="716"/>
        <v>0</v>
      </c>
      <c r="IG231" s="418">
        <f t="shared" si="716"/>
        <v>0</v>
      </c>
      <c r="IH231" s="418">
        <f t="shared" si="716"/>
        <v>0</v>
      </c>
      <c r="II231" s="418">
        <f t="shared" si="716"/>
        <v>0</v>
      </c>
      <c r="IJ231" s="418">
        <f t="shared" si="716"/>
        <v>0</v>
      </c>
      <c r="IK231" s="418">
        <f t="shared" si="716"/>
        <v>0</v>
      </c>
      <c r="IL231" s="418">
        <f t="shared" si="716"/>
        <v>0</v>
      </c>
      <c r="IM231" s="418">
        <f t="shared" si="716"/>
        <v>0</v>
      </c>
      <c r="IN231" s="418">
        <f t="shared" si="716"/>
        <v>0</v>
      </c>
      <c r="IO231" s="418">
        <f t="shared" si="716"/>
        <v>0</v>
      </c>
      <c r="IP231" s="418">
        <f t="shared" si="716"/>
        <v>0</v>
      </c>
      <c r="IQ231" s="418">
        <f t="shared" si="716"/>
        <v>0</v>
      </c>
      <c r="IR231" s="418">
        <f t="shared" si="716"/>
        <v>0</v>
      </c>
      <c r="IS231" s="418">
        <f t="shared" si="716"/>
        <v>0</v>
      </c>
      <c r="IT231" s="418">
        <f t="shared" si="716"/>
        <v>0</v>
      </c>
      <c r="IU231" s="418">
        <f t="shared" si="716"/>
        <v>0</v>
      </c>
      <c r="IV231" s="418">
        <f t="shared" si="716"/>
        <v>0</v>
      </c>
      <c r="IW231" s="418">
        <f t="shared" si="716"/>
        <v>0</v>
      </c>
      <c r="IX231" s="418">
        <f t="shared" si="716"/>
        <v>0</v>
      </c>
      <c r="IY231" s="418">
        <f t="shared" si="716"/>
        <v>0</v>
      </c>
      <c r="IZ231" s="418">
        <f t="shared" si="716"/>
        <v>0</v>
      </c>
      <c r="JA231" s="418">
        <f t="shared" si="716"/>
        <v>0</v>
      </c>
      <c r="JB231" s="418">
        <f t="shared" si="716"/>
        <v>0</v>
      </c>
      <c r="JC231" s="418">
        <f t="shared" si="716"/>
        <v>0</v>
      </c>
      <c r="JD231" s="418">
        <f t="shared" si="716"/>
        <v>0</v>
      </c>
      <c r="JE231" s="418">
        <f t="shared" si="716"/>
        <v>0</v>
      </c>
      <c r="JF231" s="418">
        <f t="shared" si="716"/>
        <v>0</v>
      </c>
      <c r="JG231" s="418">
        <f t="shared" si="716"/>
        <v>0</v>
      </c>
      <c r="JH231" s="418">
        <f t="shared" si="716"/>
        <v>0</v>
      </c>
      <c r="JI231" s="418">
        <f t="shared" si="716"/>
        <v>0</v>
      </c>
      <c r="JJ231" s="418">
        <f t="shared" si="716"/>
        <v>0</v>
      </c>
      <c r="JK231" s="418">
        <f t="shared" si="716"/>
        <v>0</v>
      </c>
      <c r="JL231" s="418">
        <f t="shared" si="716"/>
        <v>0</v>
      </c>
      <c r="JM231" s="418">
        <f t="shared" si="716"/>
        <v>0</v>
      </c>
      <c r="JN231" s="418">
        <f t="shared" si="716"/>
        <v>0</v>
      </c>
      <c r="JO231" s="418">
        <f t="shared" si="716"/>
        <v>0</v>
      </c>
      <c r="JP231" s="418">
        <f t="shared" si="716"/>
        <v>0</v>
      </c>
      <c r="JQ231" s="418">
        <f t="shared" si="716"/>
        <v>0</v>
      </c>
      <c r="JR231" s="418">
        <f t="shared" si="716"/>
        <v>0</v>
      </c>
      <c r="JS231" s="418">
        <f t="shared" si="716"/>
        <v>0</v>
      </c>
      <c r="JT231" s="418">
        <f t="shared" si="716"/>
        <v>0</v>
      </c>
      <c r="JU231" s="418">
        <f>+JU230+JU227</f>
        <v>0</v>
      </c>
      <c r="JV231" s="418">
        <f>+JV230+JV227</f>
        <v>0</v>
      </c>
      <c r="JW231" s="418">
        <f>+JW230+JW227</f>
        <v>0</v>
      </c>
      <c r="JX231" s="418">
        <f>+JX230+JX227</f>
        <v>0</v>
      </c>
      <c r="JY231"/>
      <c r="JZ231" s="262"/>
      <c r="KA231" s="262"/>
      <c r="KB231" s="262"/>
      <c r="KC231" s="262"/>
      <c r="KD231" s="262"/>
      <c r="KE231" s="262"/>
      <c r="KF231" s="262"/>
      <c r="KG231" s="262"/>
      <c r="KH231" s="262"/>
      <c r="KI231" s="262"/>
      <c r="KJ231" s="262"/>
      <c r="KK231" s="262"/>
      <c r="KL231" s="262"/>
      <c r="KM231" s="262"/>
      <c r="KN231" s="262"/>
      <c r="KO231" s="262"/>
      <c r="KP231" s="262"/>
      <c r="KQ231" s="262"/>
      <c r="KR231" s="262"/>
      <c r="KS231" s="262"/>
      <c r="KT231" s="262"/>
      <c r="KU231" s="262"/>
      <c r="KV231" s="262"/>
      <c r="KW231" s="262"/>
      <c r="KX231" s="262"/>
      <c r="KY231" s="262"/>
      <c r="KZ231" s="262"/>
      <c r="LA231" s="262"/>
      <c r="LB231" s="262"/>
      <c r="LC231" s="262"/>
      <c r="LD231" s="262"/>
      <c r="LE231" s="262"/>
      <c r="LF231" s="262"/>
      <c r="LG231" s="262"/>
      <c r="LH231" s="262"/>
      <c r="LI231" s="262"/>
      <c r="LJ231" s="262"/>
      <c r="LK231" s="262"/>
      <c r="LL231" s="262"/>
      <c r="LM231" s="262"/>
      <c r="LN231" s="262"/>
      <c r="LO231" s="262"/>
      <c r="LP231" s="262"/>
      <c r="LQ231" s="262"/>
      <c r="LR231" s="262"/>
      <c r="LS231" s="262"/>
      <c r="LT231" s="262"/>
      <c r="LU231" s="262"/>
      <c r="LV231" s="262"/>
      <c r="LW231" s="262"/>
      <c r="LX231" s="262"/>
      <c r="LY231" s="262"/>
      <c r="LZ231" s="262"/>
      <c r="MA231" s="262"/>
      <c r="MB231" s="262"/>
      <c r="MC231" s="262"/>
      <c r="MD231" s="262"/>
      <c r="ME231" s="262"/>
      <c r="MF231" s="262"/>
      <c r="MG231" s="262"/>
      <c r="MH231" s="262"/>
      <c r="MI231" s="262"/>
      <c r="MJ231" s="262"/>
      <c r="MK231" s="262"/>
      <c r="ML231" s="262"/>
      <c r="MM231" s="262"/>
      <c r="MN231" s="262"/>
      <c r="MO231" s="262"/>
      <c r="MP231" s="262"/>
      <c r="MQ231" s="262"/>
      <c r="MR231" s="262"/>
      <c r="MS231" s="262"/>
      <c r="MT231" s="262"/>
      <c r="MU231" s="262"/>
      <c r="MV231" s="262"/>
      <c r="MW231" s="262"/>
      <c r="MX231" s="262"/>
      <c r="MY231" s="262"/>
      <c r="MZ231" s="262"/>
      <c r="NA231" s="262"/>
      <c r="NB231" s="262"/>
      <c r="NC231" s="262"/>
      <c r="ND231" s="262"/>
      <c r="NE231" s="262"/>
      <c r="NF231" s="262"/>
      <c r="NG231" s="262"/>
      <c r="NH231" s="262"/>
      <c r="NI231" s="262"/>
      <c r="NJ231" s="262"/>
      <c r="NK231" s="262"/>
      <c r="NL231" s="262"/>
      <c r="NM231" s="262"/>
      <c r="NN231" s="262"/>
      <c r="NO231" s="262"/>
      <c r="NP231" s="262"/>
      <c r="NQ231" s="262"/>
      <c r="NR231" s="262"/>
      <c r="NS231" s="262"/>
      <c r="NT231" s="262"/>
      <c r="NU231" s="262"/>
      <c r="NV231" s="262"/>
      <c r="NW231" s="262"/>
      <c r="NX231" s="262"/>
      <c r="NY231" s="262"/>
      <c r="NZ231" s="262"/>
      <c r="OA231" s="262"/>
      <c r="OB231" s="262"/>
      <c r="OC231" s="262"/>
      <c r="OD231" s="262"/>
      <c r="OE231" s="262"/>
      <c r="OF231" s="262"/>
      <c r="OG231" s="262"/>
      <c r="OH231" s="262"/>
      <c r="OI231" s="262"/>
      <c r="OJ231" s="262"/>
      <c r="OK231" s="262"/>
      <c r="OL231" s="262"/>
      <c r="OM231" s="262"/>
      <c r="ON231" s="262"/>
      <c r="OO231" s="262"/>
      <c r="OP231" s="262"/>
      <c r="OQ231" s="262"/>
      <c r="OR231" s="262"/>
      <c r="OS231" s="262"/>
      <c r="OT231" s="262"/>
      <c r="OU231" s="262"/>
      <c r="OV231" s="262"/>
      <c r="OW231" s="262"/>
      <c r="OX231" s="262"/>
      <c r="OY231" s="262"/>
      <c r="OZ231" s="262"/>
      <c r="PA231" s="262"/>
      <c r="PB231" s="262"/>
      <c r="PC231" s="262"/>
      <c r="PD231" s="262"/>
      <c r="PE231" s="262"/>
      <c r="PF231" s="262"/>
      <c r="PG231" s="262"/>
      <c r="PH231" s="262"/>
    </row>
    <row r="232" spans="1:424" x14ac:dyDescent="0.35">
      <c r="A232"/>
      <c r="B232" s="411" t="s">
        <v>432</v>
      </c>
      <c r="C232" s="397"/>
      <c r="D232" s="397"/>
      <c r="E232" s="397"/>
      <c r="F232" s="546" t="s">
        <v>433</v>
      </c>
      <c r="G232" s="412" t="s">
        <v>434</v>
      </c>
      <c r="H232" s="412" t="s">
        <v>435</v>
      </c>
      <c r="I232" s="412" t="s">
        <v>436</v>
      </c>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s="537"/>
      <c r="EQ232" s="533"/>
      <c r="ER232" s="533"/>
      <c r="ES232" s="533"/>
      <c r="ET232" s="533" t="s">
        <v>405</v>
      </c>
      <c r="EU232" s="533"/>
      <c r="EV232" s="534">
        <f t="shared" ref="EV232:GA232" si="717">MAX(EV223-EV231,0)</f>
        <v>0</v>
      </c>
      <c r="EW232" s="534">
        <f t="shared" si="717"/>
        <v>0</v>
      </c>
      <c r="EX232" s="534">
        <f t="shared" si="717"/>
        <v>0</v>
      </c>
      <c r="EY232" s="534">
        <f t="shared" si="717"/>
        <v>0</v>
      </c>
      <c r="EZ232" s="534">
        <f t="shared" si="717"/>
        <v>0</v>
      </c>
      <c r="FA232" s="534">
        <f t="shared" si="717"/>
        <v>0</v>
      </c>
      <c r="FB232" s="534">
        <f t="shared" si="717"/>
        <v>0</v>
      </c>
      <c r="FC232" s="534">
        <f t="shared" si="717"/>
        <v>0</v>
      </c>
      <c r="FD232" s="534">
        <f t="shared" si="717"/>
        <v>0</v>
      </c>
      <c r="FE232" s="534">
        <f t="shared" si="717"/>
        <v>0</v>
      </c>
      <c r="FF232" s="534">
        <f t="shared" si="717"/>
        <v>0</v>
      </c>
      <c r="FG232" s="534">
        <f t="shared" si="717"/>
        <v>0</v>
      </c>
      <c r="FH232" s="534">
        <f t="shared" si="717"/>
        <v>0</v>
      </c>
      <c r="FI232" s="534">
        <f t="shared" si="717"/>
        <v>0</v>
      </c>
      <c r="FJ232" s="534">
        <f t="shared" si="717"/>
        <v>0</v>
      </c>
      <c r="FK232" s="534">
        <f t="shared" si="717"/>
        <v>0</v>
      </c>
      <c r="FL232" s="534">
        <f t="shared" si="717"/>
        <v>0</v>
      </c>
      <c r="FM232" s="534">
        <f t="shared" si="717"/>
        <v>0</v>
      </c>
      <c r="FN232" s="534">
        <f t="shared" si="717"/>
        <v>0</v>
      </c>
      <c r="FO232" s="534">
        <f t="shared" si="717"/>
        <v>0</v>
      </c>
      <c r="FP232" s="534">
        <f t="shared" si="717"/>
        <v>0</v>
      </c>
      <c r="FQ232" s="534">
        <f t="shared" si="717"/>
        <v>0</v>
      </c>
      <c r="FR232" s="534">
        <f t="shared" si="717"/>
        <v>0</v>
      </c>
      <c r="FS232" s="534">
        <f t="shared" si="717"/>
        <v>0</v>
      </c>
      <c r="FT232" s="534">
        <f t="shared" si="717"/>
        <v>0</v>
      </c>
      <c r="FU232" s="534">
        <f t="shared" si="717"/>
        <v>0</v>
      </c>
      <c r="FV232" s="534">
        <f t="shared" si="717"/>
        <v>0</v>
      </c>
      <c r="FW232" s="534">
        <f t="shared" si="717"/>
        <v>0</v>
      </c>
      <c r="FX232" s="534">
        <f t="shared" si="717"/>
        <v>0</v>
      </c>
      <c r="FY232" s="534">
        <f t="shared" si="717"/>
        <v>0</v>
      </c>
      <c r="FZ232" s="534">
        <f t="shared" si="717"/>
        <v>0</v>
      </c>
      <c r="GA232" s="534">
        <f t="shared" si="717"/>
        <v>0</v>
      </c>
      <c r="GB232" s="534">
        <f t="shared" ref="GB232:HG232" si="718">MAX(GB223-GB231,0)</f>
        <v>0</v>
      </c>
      <c r="GC232" s="534">
        <f t="shared" si="718"/>
        <v>0</v>
      </c>
      <c r="GD232" s="534">
        <f t="shared" si="718"/>
        <v>0</v>
      </c>
      <c r="GE232" s="534">
        <f t="shared" si="718"/>
        <v>0</v>
      </c>
      <c r="GF232" s="534">
        <f t="shared" si="718"/>
        <v>0</v>
      </c>
      <c r="GG232" s="534">
        <f t="shared" si="718"/>
        <v>0</v>
      </c>
      <c r="GH232" s="534">
        <f t="shared" si="718"/>
        <v>0</v>
      </c>
      <c r="GI232" s="534">
        <f t="shared" si="718"/>
        <v>0</v>
      </c>
      <c r="GJ232" s="534">
        <f t="shared" si="718"/>
        <v>0</v>
      </c>
      <c r="GK232" s="534">
        <f t="shared" si="718"/>
        <v>0</v>
      </c>
      <c r="GL232" s="534">
        <f t="shared" si="718"/>
        <v>0</v>
      </c>
      <c r="GM232" s="534">
        <f t="shared" si="718"/>
        <v>0</v>
      </c>
      <c r="GN232" s="534">
        <f t="shared" si="718"/>
        <v>0</v>
      </c>
      <c r="GO232" s="534">
        <f t="shared" si="718"/>
        <v>0</v>
      </c>
      <c r="GP232" s="534">
        <f t="shared" si="718"/>
        <v>0</v>
      </c>
      <c r="GQ232" s="534">
        <f t="shared" si="718"/>
        <v>0</v>
      </c>
      <c r="GR232" s="534">
        <f t="shared" si="718"/>
        <v>0</v>
      </c>
      <c r="GS232" s="534">
        <f t="shared" si="718"/>
        <v>0</v>
      </c>
      <c r="GT232" s="534">
        <f t="shared" si="718"/>
        <v>0</v>
      </c>
      <c r="GU232" s="534">
        <f t="shared" si="718"/>
        <v>0</v>
      </c>
      <c r="GV232" s="534">
        <f t="shared" si="718"/>
        <v>0</v>
      </c>
      <c r="GW232" s="534">
        <f t="shared" si="718"/>
        <v>0</v>
      </c>
      <c r="GX232" s="534">
        <f t="shared" si="718"/>
        <v>0</v>
      </c>
      <c r="GY232" s="534">
        <f t="shared" si="718"/>
        <v>0</v>
      </c>
      <c r="GZ232" s="534">
        <f t="shared" si="718"/>
        <v>0</v>
      </c>
      <c r="HA232" s="534">
        <f t="shared" si="718"/>
        <v>0</v>
      </c>
      <c r="HB232" s="534">
        <f t="shared" si="718"/>
        <v>0</v>
      </c>
      <c r="HC232" s="534">
        <f t="shared" si="718"/>
        <v>0</v>
      </c>
      <c r="HD232" s="534">
        <f t="shared" si="718"/>
        <v>0</v>
      </c>
      <c r="HE232" s="534">
        <f t="shared" si="718"/>
        <v>300946221.77460557</v>
      </c>
      <c r="HF232" s="534">
        <f t="shared" si="718"/>
        <v>0</v>
      </c>
      <c r="HG232" s="534">
        <f t="shared" si="718"/>
        <v>0</v>
      </c>
      <c r="HH232" s="534">
        <f t="shared" ref="HH232:IM232" si="719">MAX(HH223-HH231,0)</f>
        <v>0</v>
      </c>
      <c r="HI232" s="534">
        <f t="shared" si="719"/>
        <v>0</v>
      </c>
      <c r="HJ232" s="534">
        <f t="shared" si="719"/>
        <v>0</v>
      </c>
      <c r="HK232" s="534">
        <f t="shared" si="719"/>
        <v>0</v>
      </c>
      <c r="HL232" s="534">
        <f t="shared" si="719"/>
        <v>0</v>
      </c>
      <c r="HM232" s="534">
        <f t="shared" si="719"/>
        <v>0</v>
      </c>
      <c r="HN232" s="534">
        <f t="shared" si="719"/>
        <v>0</v>
      </c>
      <c r="HO232" s="534">
        <f t="shared" si="719"/>
        <v>0</v>
      </c>
      <c r="HP232" s="534">
        <f t="shared" si="719"/>
        <v>0</v>
      </c>
      <c r="HQ232" s="534">
        <f t="shared" si="719"/>
        <v>0</v>
      </c>
      <c r="HR232" s="534">
        <f t="shared" si="719"/>
        <v>0</v>
      </c>
      <c r="HS232" s="534">
        <f t="shared" si="719"/>
        <v>0</v>
      </c>
      <c r="HT232" s="534">
        <f t="shared" si="719"/>
        <v>0</v>
      </c>
      <c r="HU232" s="534">
        <f t="shared" si="719"/>
        <v>0</v>
      </c>
      <c r="HV232" s="534">
        <f t="shared" si="719"/>
        <v>0</v>
      </c>
      <c r="HW232" s="534">
        <f t="shared" si="719"/>
        <v>0</v>
      </c>
      <c r="HX232" s="534">
        <f t="shared" si="719"/>
        <v>0</v>
      </c>
      <c r="HY232" s="534">
        <f t="shared" si="719"/>
        <v>0</v>
      </c>
      <c r="HZ232" s="534">
        <f t="shared" si="719"/>
        <v>0</v>
      </c>
      <c r="IA232" s="534">
        <f t="shared" si="719"/>
        <v>0</v>
      </c>
      <c r="IB232" s="534">
        <f t="shared" si="719"/>
        <v>0</v>
      </c>
      <c r="IC232" s="534">
        <f t="shared" si="719"/>
        <v>0</v>
      </c>
      <c r="ID232" s="534">
        <f t="shared" si="719"/>
        <v>0</v>
      </c>
      <c r="IE232" s="534">
        <f t="shared" si="719"/>
        <v>0</v>
      </c>
      <c r="IF232" s="534">
        <f t="shared" si="719"/>
        <v>0</v>
      </c>
      <c r="IG232" s="534">
        <f t="shared" si="719"/>
        <v>0</v>
      </c>
      <c r="IH232" s="534">
        <f t="shared" si="719"/>
        <v>0</v>
      </c>
      <c r="II232" s="534">
        <f t="shared" si="719"/>
        <v>0</v>
      </c>
      <c r="IJ232" s="534">
        <f t="shared" si="719"/>
        <v>0</v>
      </c>
      <c r="IK232" s="534">
        <f t="shared" si="719"/>
        <v>0</v>
      </c>
      <c r="IL232" s="534">
        <f t="shared" si="719"/>
        <v>0</v>
      </c>
      <c r="IM232" s="534">
        <f t="shared" si="719"/>
        <v>0</v>
      </c>
      <c r="IN232" s="534">
        <f t="shared" ref="IN232:JS232" si="720">MAX(IN223-IN231,0)</f>
        <v>0</v>
      </c>
      <c r="IO232" s="534">
        <f t="shared" si="720"/>
        <v>0</v>
      </c>
      <c r="IP232" s="534">
        <f t="shared" si="720"/>
        <v>0</v>
      </c>
      <c r="IQ232" s="534">
        <f t="shared" si="720"/>
        <v>0</v>
      </c>
      <c r="IR232" s="534">
        <f t="shared" si="720"/>
        <v>0</v>
      </c>
      <c r="IS232" s="534">
        <f t="shared" si="720"/>
        <v>0</v>
      </c>
      <c r="IT232" s="534">
        <f t="shared" si="720"/>
        <v>0</v>
      </c>
      <c r="IU232" s="534">
        <f t="shared" si="720"/>
        <v>0</v>
      </c>
      <c r="IV232" s="534">
        <f t="shared" si="720"/>
        <v>0</v>
      </c>
      <c r="IW232" s="534">
        <f t="shared" si="720"/>
        <v>0</v>
      </c>
      <c r="IX232" s="534">
        <f t="shared" si="720"/>
        <v>0</v>
      </c>
      <c r="IY232" s="534">
        <f t="shared" si="720"/>
        <v>0</v>
      </c>
      <c r="IZ232" s="534">
        <f t="shared" si="720"/>
        <v>0</v>
      </c>
      <c r="JA232" s="534">
        <f t="shared" si="720"/>
        <v>0</v>
      </c>
      <c r="JB232" s="534">
        <f t="shared" si="720"/>
        <v>0</v>
      </c>
      <c r="JC232" s="534">
        <f t="shared" si="720"/>
        <v>0</v>
      </c>
      <c r="JD232" s="534">
        <f t="shared" si="720"/>
        <v>0</v>
      </c>
      <c r="JE232" s="534">
        <f t="shared" si="720"/>
        <v>0</v>
      </c>
      <c r="JF232" s="534">
        <f t="shared" si="720"/>
        <v>0</v>
      </c>
      <c r="JG232" s="534">
        <f t="shared" si="720"/>
        <v>0</v>
      </c>
      <c r="JH232" s="534">
        <f t="shared" si="720"/>
        <v>0</v>
      </c>
      <c r="JI232" s="534">
        <f t="shared" si="720"/>
        <v>0</v>
      </c>
      <c r="JJ232" s="534">
        <f t="shared" si="720"/>
        <v>0</v>
      </c>
      <c r="JK232" s="534">
        <f t="shared" si="720"/>
        <v>0</v>
      </c>
      <c r="JL232" s="534">
        <f t="shared" si="720"/>
        <v>0</v>
      </c>
      <c r="JM232" s="534">
        <f t="shared" si="720"/>
        <v>0</v>
      </c>
      <c r="JN232" s="534">
        <f t="shared" si="720"/>
        <v>0</v>
      </c>
      <c r="JO232" s="534">
        <f t="shared" si="720"/>
        <v>0</v>
      </c>
      <c r="JP232" s="534">
        <f t="shared" si="720"/>
        <v>0</v>
      </c>
      <c r="JQ232" s="534">
        <f t="shared" si="720"/>
        <v>0</v>
      </c>
      <c r="JR232" s="534">
        <f t="shared" si="720"/>
        <v>0</v>
      </c>
      <c r="JS232" s="534">
        <f t="shared" si="720"/>
        <v>0</v>
      </c>
      <c r="JT232" s="534">
        <f>MAX(JT223-JT231,0)</f>
        <v>0</v>
      </c>
      <c r="JU232" s="534">
        <f>MAX(JU223-JU231,0)</f>
        <v>0</v>
      </c>
      <c r="JV232" s="534">
        <f>MAX(JV223-JV231,0)</f>
        <v>0</v>
      </c>
      <c r="JW232" s="534">
        <f>MAX(JW223-JW231,0)</f>
        <v>0</v>
      </c>
      <c r="JX232" s="534">
        <f>MAX(JX223-JX231,0)</f>
        <v>0</v>
      </c>
      <c r="JY232"/>
      <c r="JZ232" s="262"/>
      <c r="KA232" s="262"/>
      <c r="KB232" s="262"/>
      <c r="KC232" s="262"/>
      <c r="KD232" s="262"/>
      <c r="KE232" s="262"/>
      <c r="KF232" s="262"/>
      <c r="KG232" s="262"/>
      <c r="KH232" s="262"/>
      <c r="KI232" s="262"/>
      <c r="KJ232" s="262"/>
      <c r="KK232" s="262"/>
      <c r="KL232" s="262"/>
      <c r="KM232" s="262"/>
      <c r="KN232" s="262"/>
      <c r="KO232" s="262"/>
      <c r="KP232" s="262"/>
      <c r="KQ232" s="262"/>
      <c r="KR232" s="262"/>
      <c r="KS232" s="262"/>
      <c r="KT232" s="262"/>
      <c r="KU232" s="262"/>
      <c r="KV232" s="262"/>
      <c r="KW232" s="262"/>
      <c r="KX232" s="262"/>
      <c r="KY232" s="262"/>
      <c r="KZ232" s="262"/>
      <c r="LA232" s="262"/>
      <c r="LB232" s="262"/>
      <c r="LC232" s="262"/>
      <c r="LD232" s="262"/>
      <c r="LE232" s="262"/>
      <c r="LF232" s="262"/>
      <c r="LG232" s="262"/>
      <c r="LH232" s="262"/>
      <c r="LI232" s="262"/>
      <c r="LJ232" s="262"/>
      <c r="LK232" s="262"/>
      <c r="LL232" s="262"/>
      <c r="LM232" s="262"/>
      <c r="LN232" s="262"/>
      <c r="LO232" s="262"/>
      <c r="LP232" s="262"/>
      <c r="LQ232" s="262"/>
      <c r="LR232" s="262"/>
      <c r="LS232" s="262"/>
      <c r="LT232" s="262"/>
      <c r="LU232" s="262"/>
      <c r="LV232" s="262"/>
      <c r="LW232" s="262"/>
      <c r="LX232" s="262"/>
      <c r="LY232" s="262"/>
      <c r="LZ232" s="262"/>
      <c r="MA232" s="262"/>
      <c r="MB232" s="262"/>
      <c r="MC232" s="262"/>
      <c r="MD232" s="262"/>
      <c r="ME232" s="262"/>
      <c r="MF232" s="262"/>
      <c r="MG232" s="262"/>
      <c r="MH232" s="262"/>
      <c r="MI232" s="262"/>
      <c r="MJ232" s="262"/>
      <c r="MK232" s="262"/>
      <c r="ML232" s="262"/>
      <c r="MM232" s="262"/>
      <c r="MN232" s="262"/>
      <c r="MO232" s="262"/>
      <c r="MP232" s="262"/>
      <c r="MQ232" s="262"/>
      <c r="MR232" s="262"/>
      <c r="MS232" s="262"/>
      <c r="MT232" s="262"/>
      <c r="MU232" s="262"/>
      <c r="MV232" s="262"/>
      <c r="MW232" s="262"/>
      <c r="MX232" s="262"/>
      <c r="MY232" s="262"/>
      <c r="MZ232" s="262"/>
      <c r="NA232" s="262"/>
      <c r="NB232" s="262"/>
      <c r="NC232" s="262"/>
      <c r="ND232" s="262"/>
      <c r="NE232" s="262"/>
      <c r="NF232" s="262"/>
      <c r="NG232" s="262"/>
      <c r="NH232" s="262"/>
      <c r="NI232" s="262"/>
      <c r="NJ232" s="262"/>
      <c r="NK232" s="262"/>
      <c r="NL232" s="262"/>
      <c r="NM232" s="262"/>
      <c r="NN232" s="262"/>
      <c r="NO232" s="262"/>
      <c r="NP232" s="262"/>
      <c r="NQ232" s="262"/>
      <c r="NR232" s="262"/>
      <c r="NS232" s="262"/>
      <c r="NT232" s="262"/>
      <c r="NU232" s="262"/>
      <c r="NV232" s="262"/>
      <c r="NW232" s="262"/>
      <c r="NX232" s="262"/>
      <c r="NY232" s="262"/>
      <c r="NZ232" s="262"/>
      <c r="OA232" s="262"/>
      <c r="OB232" s="262"/>
      <c r="OC232" s="262"/>
      <c r="OD232" s="262"/>
      <c r="OE232" s="262"/>
      <c r="OF232" s="262"/>
      <c r="OG232" s="262"/>
      <c r="OH232" s="262"/>
      <c r="OI232" s="262"/>
      <c r="OJ232" s="262"/>
      <c r="OK232" s="262"/>
      <c r="OL232" s="262"/>
      <c r="OM232" s="262"/>
      <c r="ON232" s="262"/>
      <c r="OO232" s="262"/>
      <c r="OP232" s="262"/>
      <c r="OQ232" s="262"/>
      <c r="OR232" s="262"/>
      <c r="OS232" s="262"/>
      <c r="OT232" s="262"/>
      <c r="OU232" s="262"/>
      <c r="OV232" s="262"/>
      <c r="OW232" s="262"/>
      <c r="OX232" s="262"/>
      <c r="OY232" s="262"/>
      <c r="OZ232" s="262"/>
      <c r="PA232" s="262"/>
      <c r="PB232" s="262"/>
      <c r="PC232" s="262"/>
      <c r="PD232" s="262"/>
      <c r="PE232" s="262"/>
      <c r="PF232" s="262"/>
      <c r="PG232" s="262"/>
      <c r="PH232" s="262"/>
    </row>
    <row r="233" spans="1:424" x14ac:dyDescent="0.35">
      <c r="A233"/>
      <c r="B233" s="34" t="s">
        <v>437</v>
      </c>
      <c r="C233" s="547" t="s">
        <v>438</v>
      </c>
      <c r="D233" s="548" t="s">
        <v>439</v>
      </c>
      <c r="E233" s="400" t="s">
        <v>440</v>
      </c>
      <c r="F233" s="845" t="str">
        <f>IF('URWLD COMPANY INPUTS'!$F$867="","",'URWLD COMPANY INPUTS'!$F$867)</f>
        <v/>
      </c>
      <c r="G233" s="52">
        <v>0</v>
      </c>
      <c r="H233" s="298">
        <f>$H$228</f>
        <v>0</v>
      </c>
      <c r="I233" s="57">
        <f>1-H233</f>
        <v>1</v>
      </c>
      <c r="J233"/>
      <c r="K233"/>
      <c r="L233" s="417">
        <f t="shared" ref="L233:AQ233" si="721">IF(L$227="","",EV211)</f>
        <v>0</v>
      </c>
      <c r="M233" s="417">
        <f t="shared" si="721"/>
        <v>70562.268970067496</v>
      </c>
      <c r="N233" s="417">
        <f t="shared" si="721"/>
        <v>0</v>
      </c>
      <c r="O233" s="417">
        <f t="shared" si="721"/>
        <v>52683.47823085892</v>
      </c>
      <c r="P233" s="417">
        <f t="shared" si="721"/>
        <v>73917.592887241393</v>
      </c>
      <c r="Q233" s="417">
        <f t="shared" si="721"/>
        <v>100597.62539995834</v>
      </c>
      <c r="R233" s="417">
        <f t="shared" si="721"/>
        <v>132711.21484693745</v>
      </c>
      <c r="S233" s="417">
        <f t="shared" si="721"/>
        <v>169571.13126643002</v>
      </c>
      <c r="T233" s="417">
        <f t="shared" si="721"/>
        <v>209638.92700129561</v>
      </c>
      <c r="U233" s="417">
        <f t="shared" si="721"/>
        <v>250432.28312832303</v>
      </c>
      <c r="V233" s="417">
        <f t="shared" si="721"/>
        <v>288567.01646289043</v>
      </c>
      <c r="W233" s="417">
        <f t="shared" si="721"/>
        <v>319971.35631248169</v>
      </c>
      <c r="X233" s="417">
        <f t="shared" si="721"/>
        <v>340282.33397308737</v>
      </c>
      <c r="Y233" s="417">
        <f t="shared" si="721"/>
        <v>0</v>
      </c>
      <c r="Z233" s="417">
        <f t="shared" si="721"/>
        <v>0</v>
      </c>
      <c r="AA233" s="417">
        <f t="shared" si="721"/>
        <v>0</v>
      </c>
      <c r="AB233" s="417">
        <f t="shared" si="721"/>
        <v>0</v>
      </c>
      <c r="AC233" s="417">
        <f t="shared" si="721"/>
        <v>0</v>
      </c>
      <c r="AD233" s="417">
        <f t="shared" si="721"/>
        <v>0</v>
      </c>
      <c r="AE233" s="417">
        <f t="shared" si="721"/>
        <v>0</v>
      </c>
      <c r="AF233" s="417">
        <f t="shared" si="721"/>
        <v>0</v>
      </c>
      <c r="AG233" s="417">
        <f t="shared" si="721"/>
        <v>0</v>
      </c>
      <c r="AH233" s="417">
        <f t="shared" si="721"/>
        <v>0</v>
      </c>
      <c r="AI233" s="417">
        <f t="shared" si="721"/>
        <v>0</v>
      </c>
      <c r="AJ233" s="417">
        <f t="shared" si="721"/>
        <v>0</v>
      </c>
      <c r="AK233" s="417">
        <f t="shared" si="721"/>
        <v>0</v>
      </c>
      <c r="AL233" s="417">
        <f t="shared" si="721"/>
        <v>0</v>
      </c>
      <c r="AM233" s="417">
        <f t="shared" si="721"/>
        <v>0</v>
      </c>
      <c r="AN233" s="417">
        <f t="shared" si="721"/>
        <v>0</v>
      </c>
      <c r="AO233" s="417">
        <f t="shared" si="721"/>
        <v>0</v>
      </c>
      <c r="AP233" s="417">
        <f t="shared" si="721"/>
        <v>0</v>
      </c>
      <c r="AQ233" s="417">
        <f t="shared" si="721"/>
        <v>0</v>
      </c>
      <c r="AR233" s="417">
        <f t="shared" ref="AR233:BW233" si="722">IF(AR$227="","",GB211)</f>
        <v>0</v>
      </c>
      <c r="AS233" s="417">
        <f t="shared" si="722"/>
        <v>0</v>
      </c>
      <c r="AT233" s="417">
        <f t="shared" si="722"/>
        <v>0</v>
      </c>
      <c r="AU233" s="417">
        <f t="shared" si="722"/>
        <v>0</v>
      </c>
      <c r="AV233" s="417">
        <f t="shared" si="722"/>
        <v>0</v>
      </c>
      <c r="AW233" s="417">
        <f t="shared" si="722"/>
        <v>0</v>
      </c>
      <c r="AX233" s="417">
        <f t="shared" si="722"/>
        <v>164230.6805146893</v>
      </c>
      <c r="AY233" s="417">
        <f t="shared" si="722"/>
        <v>364286.76529399911</v>
      </c>
      <c r="AZ233" s="417">
        <f t="shared" si="722"/>
        <v>572380.13607966923</v>
      </c>
      <c r="BA233" s="417">
        <f t="shared" si="722"/>
        <v>773016.00189663284</v>
      </c>
      <c r="BB233" s="417">
        <f t="shared" si="722"/>
        <v>973611.13907960732</v>
      </c>
      <c r="BC233" s="417">
        <f t="shared" si="722"/>
        <v>1179706.9936818241</v>
      </c>
      <c r="BD233" s="75">
        <f t="shared" si="722"/>
        <v>1380220.010561527</v>
      </c>
      <c r="BE233" s="75">
        <f t="shared" si="722"/>
        <v>1580691.6333754973</v>
      </c>
      <c r="BF233" s="75">
        <f t="shared" si="722"/>
        <v>1807345.3879058782</v>
      </c>
      <c r="BG233" s="75">
        <f t="shared" si="722"/>
        <v>2007733.5487203011</v>
      </c>
      <c r="BH233" s="75">
        <f t="shared" si="722"/>
        <v>2208079.6391653027</v>
      </c>
      <c r="BI233" s="75">
        <f t="shared" si="722"/>
        <v>2479277.8516667918</v>
      </c>
      <c r="BJ233" s="75">
        <f t="shared" si="722"/>
        <v>2471384.1182492906</v>
      </c>
      <c r="BK233" s="75">
        <f t="shared" si="722"/>
        <v>2463447.6271091113</v>
      </c>
      <c r="BL233" s="75">
        <f t="shared" si="722"/>
        <v>2461777.3341419231</v>
      </c>
      <c r="BM233" s="75">
        <f t="shared" si="722"/>
        <v>2453754.6314888708</v>
      </c>
      <c r="BN233" s="75">
        <f t="shared" si="722"/>
        <v>2445688.4725297811</v>
      </c>
      <c r="BO233" s="75">
        <f t="shared" si="722"/>
        <v>2443314.2468763296</v>
      </c>
      <c r="BP233" s="75">
        <f t="shared" si="722"/>
        <v>2435160.4678651718</v>
      </c>
      <c r="BQ233" s="75">
        <f t="shared" si="722"/>
        <v>2426962.5225510374</v>
      </c>
      <c r="BR233" s="75">
        <f t="shared" si="722"/>
        <v>2445861.752949785</v>
      </c>
      <c r="BS233" s="75">
        <f t="shared" si="722"/>
        <v>2437574.756031421</v>
      </c>
      <c r="BT233" s="75">
        <f t="shared" si="722"/>
        <v>2429242.8712130822</v>
      </c>
      <c r="BU233" s="75">
        <f t="shared" si="722"/>
        <v>174279787.77195746</v>
      </c>
      <c r="BV233" s="75" t="str">
        <f t="shared" si="722"/>
        <v/>
      </c>
      <c r="BW233" s="75" t="str">
        <f t="shared" si="722"/>
        <v/>
      </c>
      <c r="BX233" s="75" t="str">
        <f t="shared" ref="BX233:DC233" si="723">IF(BX$227="","",HH211)</f>
        <v/>
      </c>
      <c r="BY233" s="75" t="str">
        <f t="shared" si="723"/>
        <v/>
      </c>
      <c r="BZ233" s="75" t="str">
        <f t="shared" si="723"/>
        <v/>
      </c>
      <c r="CA233" s="75" t="str">
        <f t="shared" si="723"/>
        <v/>
      </c>
      <c r="CB233" s="75" t="str">
        <f t="shared" si="723"/>
        <v/>
      </c>
      <c r="CC233" s="75" t="str">
        <f t="shared" si="723"/>
        <v/>
      </c>
      <c r="CD233" s="75" t="str">
        <f t="shared" si="723"/>
        <v/>
      </c>
      <c r="CE233" s="75" t="str">
        <f t="shared" si="723"/>
        <v/>
      </c>
      <c r="CF233" s="75" t="str">
        <f t="shared" si="723"/>
        <v/>
      </c>
      <c r="CG233" s="75" t="str">
        <f t="shared" si="723"/>
        <v/>
      </c>
      <c r="CH233" s="75" t="str">
        <f t="shared" si="723"/>
        <v/>
      </c>
      <c r="CI233" s="75" t="str">
        <f t="shared" si="723"/>
        <v/>
      </c>
      <c r="CJ233" s="75" t="str">
        <f t="shared" si="723"/>
        <v/>
      </c>
      <c r="CK233" s="75" t="str">
        <f t="shared" si="723"/>
        <v/>
      </c>
      <c r="CL233" s="75" t="str">
        <f t="shared" si="723"/>
        <v/>
      </c>
      <c r="CM233" s="75" t="str">
        <f t="shared" si="723"/>
        <v/>
      </c>
      <c r="CN233" s="75" t="str">
        <f t="shared" si="723"/>
        <v/>
      </c>
      <c r="CO233" s="75" t="str">
        <f t="shared" si="723"/>
        <v/>
      </c>
      <c r="CP233" s="75" t="str">
        <f t="shared" si="723"/>
        <v/>
      </c>
      <c r="CQ233" s="75" t="str">
        <f t="shared" si="723"/>
        <v/>
      </c>
      <c r="CR233" s="75" t="str">
        <f t="shared" si="723"/>
        <v/>
      </c>
      <c r="CS233" s="75" t="str">
        <f t="shared" si="723"/>
        <v/>
      </c>
      <c r="CT233" s="75" t="str">
        <f t="shared" si="723"/>
        <v/>
      </c>
      <c r="CU233" s="75" t="str">
        <f t="shared" si="723"/>
        <v/>
      </c>
      <c r="CV233" s="75" t="str">
        <f t="shared" si="723"/>
        <v/>
      </c>
      <c r="CW233" s="75" t="str">
        <f t="shared" si="723"/>
        <v/>
      </c>
      <c r="CX233" s="75" t="str">
        <f t="shared" si="723"/>
        <v/>
      </c>
      <c r="CY233" s="75" t="str">
        <f t="shared" si="723"/>
        <v/>
      </c>
      <c r="CZ233" s="75" t="str">
        <f t="shared" si="723"/>
        <v/>
      </c>
      <c r="DA233" s="75" t="str">
        <f t="shared" si="723"/>
        <v/>
      </c>
      <c r="DB233" s="75" t="str">
        <f t="shared" si="723"/>
        <v/>
      </c>
      <c r="DC233" s="75" t="str">
        <f t="shared" si="723"/>
        <v/>
      </c>
      <c r="DD233" s="75" t="str">
        <f t="shared" ref="DD233:EI233" si="724">IF(DD$227="","",IN211)</f>
        <v/>
      </c>
      <c r="DE233" s="75" t="str">
        <f t="shared" si="724"/>
        <v/>
      </c>
      <c r="DF233" s="75" t="str">
        <f t="shared" si="724"/>
        <v/>
      </c>
      <c r="DG233" s="75" t="str">
        <f t="shared" si="724"/>
        <v/>
      </c>
      <c r="DH233" s="75" t="str">
        <f t="shared" si="724"/>
        <v/>
      </c>
      <c r="DI233" s="75" t="str">
        <f t="shared" si="724"/>
        <v/>
      </c>
      <c r="DJ233" s="75" t="str">
        <f t="shared" si="724"/>
        <v/>
      </c>
      <c r="DK233" s="75" t="str">
        <f t="shared" si="724"/>
        <v/>
      </c>
      <c r="DL233" s="75" t="str">
        <f t="shared" si="724"/>
        <v/>
      </c>
      <c r="DM233" s="75" t="str">
        <f t="shared" si="724"/>
        <v/>
      </c>
      <c r="DN233" s="75" t="str">
        <f t="shared" si="724"/>
        <v/>
      </c>
      <c r="DO233" s="75" t="str">
        <f t="shared" si="724"/>
        <v/>
      </c>
      <c r="DP233" s="75" t="str">
        <f t="shared" si="724"/>
        <v/>
      </c>
      <c r="DQ233" s="75" t="str">
        <f t="shared" si="724"/>
        <v/>
      </c>
      <c r="DR233" s="75" t="str">
        <f t="shared" si="724"/>
        <v/>
      </c>
      <c r="DS233" s="75" t="str">
        <f t="shared" si="724"/>
        <v/>
      </c>
      <c r="DT233" s="75" t="str">
        <f t="shared" si="724"/>
        <v/>
      </c>
      <c r="DU233" s="75" t="str">
        <f t="shared" si="724"/>
        <v/>
      </c>
      <c r="DV233" s="75" t="str">
        <f t="shared" si="724"/>
        <v/>
      </c>
      <c r="DW233" s="75" t="str">
        <f t="shared" si="724"/>
        <v/>
      </c>
      <c r="DX233" s="75" t="str">
        <f t="shared" si="724"/>
        <v/>
      </c>
      <c r="DY233" s="75" t="str">
        <f t="shared" si="724"/>
        <v/>
      </c>
      <c r="DZ233" s="75" t="str">
        <f t="shared" si="724"/>
        <v/>
      </c>
      <c r="EA233" s="75" t="str">
        <f t="shared" si="724"/>
        <v/>
      </c>
      <c r="EB233" s="75" t="str">
        <f t="shared" si="724"/>
        <v/>
      </c>
      <c r="EC233" s="75" t="str">
        <f t="shared" si="724"/>
        <v/>
      </c>
      <c r="ED233" s="75" t="str">
        <f t="shared" si="724"/>
        <v/>
      </c>
      <c r="EE233" s="75" t="str">
        <f t="shared" si="724"/>
        <v/>
      </c>
      <c r="EF233" s="75" t="str">
        <f t="shared" si="724"/>
        <v/>
      </c>
      <c r="EG233" s="75" t="str">
        <f t="shared" si="724"/>
        <v/>
      </c>
      <c r="EH233" s="75" t="str">
        <f t="shared" si="724"/>
        <v/>
      </c>
      <c r="EI233" s="75" t="str">
        <f t="shared" si="724"/>
        <v/>
      </c>
      <c r="EJ233" s="75" t="str">
        <f>IF(EJ$227="","",JT211)</f>
        <v/>
      </c>
      <c r="EK233" s="75" t="str">
        <f>IF(EK$227="","",JU211)</f>
        <v/>
      </c>
      <c r="EL233" s="75" t="str">
        <f>IF(EL$227="","",JV211)</f>
        <v/>
      </c>
      <c r="EM233" s="75" t="str">
        <f>IF(EM$227="","",JW211)</f>
        <v/>
      </c>
      <c r="EN233" s="75" t="str">
        <f>IF(EN$227="","",JX211)</f>
        <v/>
      </c>
      <c r="EO233"/>
      <c r="EP233" s="405" t="s">
        <v>441</v>
      </c>
      <c r="EQ233" s="18"/>
      <c r="ER233" s="18"/>
      <c r="ES233" s="18"/>
      <c r="ET233" s="18" t="s">
        <v>442</v>
      </c>
      <c r="EU233" s="18"/>
      <c r="EV233" s="418">
        <f t="shared" ref="EV233:GA233" si="725">EV$232*$I$236</f>
        <v>0</v>
      </c>
      <c r="EW233" s="418">
        <f t="shared" si="725"/>
        <v>0</v>
      </c>
      <c r="EX233" s="418">
        <f t="shared" si="725"/>
        <v>0</v>
      </c>
      <c r="EY233" s="418">
        <f t="shared" si="725"/>
        <v>0</v>
      </c>
      <c r="EZ233" s="418">
        <f t="shared" si="725"/>
        <v>0</v>
      </c>
      <c r="FA233" s="418">
        <f t="shared" si="725"/>
        <v>0</v>
      </c>
      <c r="FB233" s="418">
        <f t="shared" si="725"/>
        <v>0</v>
      </c>
      <c r="FC233" s="418">
        <f t="shared" si="725"/>
        <v>0</v>
      </c>
      <c r="FD233" s="418">
        <f t="shared" si="725"/>
        <v>0</v>
      </c>
      <c r="FE233" s="418">
        <f t="shared" si="725"/>
        <v>0</v>
      </c>
      <c r="FF233" s="418">
        <f t="shared" si="725"/>
        <v>0</v>
      </c>
      <c r="FG233" s="418">
        <f t="shared" si="725"/>
        <v>0</v>
      </c>
      <c r="FH233" s="418">
        <f t="shared" si="725"/>
        <v>0</v>
      </c>
      <c r="FI233" s="418">
        <f t="shared" si="725"/>
        <v>0</v>
      </c>
      <c r="FJ233" s="418">
        <f t="shared" si="725"/>
        <v>0</v>
      </c>
      <c r="FK233" s="418">
        <f t="shared" si="725"/>
        <v>0</v>
      </c>
      <c r="FL233" s="418">
        <f t="shared" si="725"/>
        <v>0</v>
      </c>
      <c r="FM233" s="418">
        <f t="shared" si="725"/>
        <v>0</v>
      </c>
      <c r="FN233" s="418">
        <f t="shared" si="725"/>
        <v>0</v>
      </c>
      <c r="FO233" s="418">
        <f t="shared" si="725"/>
        <v>0</v>
      </c>
      <c r="FP233" s="418">
        <f t="shared" si="725"/>
        <v>0</v>
      </c>
      <c r="FQ233" s="418">
        <f t="shared" si="725"/>
        <v>0</v>
      </c>
      <c r="FR233" s="418">
        <f t="shared" si="725"/>
        <v>0</v>
      </c>
      <c r="FS233" s="418">
        <f t="shared" si="725"/>
        <v>0</v>
      </c>
      <c r="FT233" s="418">
        <f t="shared" si="725"/>
        <v>0</v>
      </c>
      <c r="FU233" s="418">
        <f t="shared" si="725"/>
        <v>0</v>
      </c>
      <c r="FV233" s="418">
        <f t="shared" si="725"/>
        <v>0</v>
      </c>
      <c r="FW233" s="418">
        <f t="shared" si="725"/>
        <v>0</v>
      </c>
      <c r="FX233" s="418">
        <f t="shared" si="725"/>
        <v>0</v>
      </c>
      <c r="FY233" s="418">
        <f t="shared" si="725"/>
        <v>0</v>
      </c>
      <c r="FZ233" s="418">
        <f t="shared" si="725"/>
        <v>0</v>
      </c>
      <c r="GA233" s="418">
        <f t="shared" si="725"/>
        <v>0</v>
      </c>
      <c r="GB233" s="418">
        <f t="shared" ref="GB233:HG233" si="726">GB$232*$I$236</f>
        <v>0</v>
      </c>
      <c r="GC233" s="418">
        <f t="shared" si="726"/>
        <v>0</v>
      </c>
      <c r="GD233" s="418">
        <f t="shared" si="726"/>
        <v>0</v>
      </c>
      <c r="GE233" s="418">
        <f t="shared" si="726"/>
        <v>0</v>
      </c>
      <c r="GF233" s="418">
        <f t="shared" si="726"/>
        <v>0</v>
      </c>
      <c r="GG233" s="418">
        <f t="shared" si="726"/>
        <v>0</v>
      </c>
      <c r="GH233" s="418">
        <f t="shared" si="726"/>
        <v>0</v>
      </c>
      <c r="GI233" s="418">
        <f t="shared" si="726"/>
        <v>0</v>
      </c>
      <c r="GJ233" s="418">
        <f t="shared" si="726"/>
        <v>0</v>
      </c>
      <c r="GK233" s="418">
        <f t="shared" si="726"/>
        <v>0</v>
      </c>
      <c r="GL233" s="418">
        <f t="shared" si="726"/>
        <v>0</v>
      </c>
      <c r="GM233" s="418">
        <f t="shared" si="726"/>
        <v>0</v>
      </c>
      <c r="GN233" s="418">
        <f t="shared" si="726"/>
        <v>0</v>
      </c>
      <c r="GO233" s="418">
        <f t="shared" si="726"/>
        <v>0</v>
      </c>
      <c r="GP233" s="418">
        <f t="shared" si="726"/>
        <v>0</v>
      </c>
      <c r="GQ233" s="418">
        <f t="shared" si="726"/>
        <v>0</v>
      </c>
      <c r="GR233" s="418">
        <f t="shared" si="726"/>
        <v>0</v>
      </c>
      <c r="GS233" s="418">
        <f t="shared" si="726"/>
        <v>0</v>
      </c>
      <c r="GT233" s="418">
        <f t="shared" si="726"/>
        <v>0</v>
      </c>
      <c r="GU233" s="418">
        <f t="shared" si="726"/>
        <v>0</v>
      </c>
      <c r="GV233" s="418">
        <f t="shared" si="726"/>
        <v>0</v>
      </c>
      <c r="GW233" s="418">
        <f t="shared" si="726"/>
        <v>0</v>
      </c>
      <c r="GX233" s="418">
        <f t="shared" si="726"/>
        <v>0</v>
      </c>
      <c r="GY233" s="418">
        <f t="shared" si="726"/>
        <v>0</v>
      </c>
      <c r="GZ233" s="418">
        <f t="shared" si="726"/>
        <v>0</v>
      </c>
      <c r="HA233" s="418">
        <f t="shared" si="726"/>
        <v>0</v>
      </c>
      <c r="HB233" s="418">
        <f t="shared" si="726"/>
        <v>0</v>
      </c>
      <c r="HC233" s="418">
        <f t="shared" si="726"/>
        <v>0</v>
      </c>
      <c r="HD233" s="418">
        <f t="shared" si="726"/>
        <v>0</v>
      </c>
      <c r="HE233" s="418">
        <f t="shared" si="726"/>
        <v>300946221.77460557</v>
      </c>
      <c r="HF233" s="418">
        <f t="shared" si="726"/>
        <v>0</v>
      </c>
      <c r="HG233" s="418">
        <f t="shared" si="726"/>
        <v>0</v>
      </c>
      <c r="HH233" s="418">
        <f t="shared" ref="HH233:IM233" si="727">HH$232*$I$236</f>
        <v>0</v>
      </c>
      <c r="HI233" s="418">
        <f t="shared" si="727"/>
        <v>0</v>
      </c>
      <c r="HJ233" s="418">
        <f t="shared" si="727"/>
        <v>0</v>
      </c>
      <c r="HK233" s="418">
        <f t="shared" si="727"/>
        <v>0</v>
      </c>
      <c r="HL233" s="418">
        <f t="shared" si="727"/>
        <v>0</v>
      </c>
      <c r="HM233" s="418">
        <f t="shared" si="727"/>
        <v>0</v>
      </c>
      <c r="HN233" s="418">
        <f t="shared" si="727"/>
        <v>0</v>
      </c>
      <c r="HO233" s="418">
        <f t="shared" si="727"/>
        <v>0</v>
      </c>
      <c r="HP233" s="418">
        <f t="shared" si="727"/>
        <v>0</v>
      </c>
      <c r="HQ233" s="418">
        <f t="shared" si="727"/>
        <v>0</v>
      </c>
      <c r="HR233" s="418">
        <f t="shared" si="727"/>
        <v>0</v>
      </c>
      <c r="HS233" s="418">
        <f t="shared" si="727"/>
        <v>0</v>
      </c>
      <c r="HT233" s="418">
        <f t="shared" si="727"/>
        <v>0</v>
      </c>
      <c r="HU233" s="418">
        <f t="shared" si="727"/>
        <v>0</v>
      </c>
      <c r="HV233" s="418">
        <f t="shared" si="727"/>
        <v>0</v>
      </c>
      <c r="HW233" s="418">
        <f t="shared" si="727"/>
        <v>0</v>
      </c>
      <c r="HX233" s="418">
        <f t="shared" si="727"/>
        <v>0</v>
      </c>
      <c r="HY233" s="418">
        <f t="shared" si="727"/>
        <v>0</v>
      </c>
      <c r="HZ233" s="418">
        <f t="shared" si="727"/>
        <v>0</v>
      </c>
      <c r="IA233" s="418">
        <f t="shared" si="727"/>
        <v>0</v>
      </c>
      <c r="IB233" s="418">
        <f t="shared" si="727"/>
        <v>0</v>
      </c>
      <c r="IC233" s="418">
        <f t="shared" si="727"/>
        <v>0</v>
      </c>
      <c r="ID233" s="418">
        <f t="shared" si="727"/>
        <v>0</v>
      </c>
      <c r="IE233" s="418">
        <f t="shared" si="727"/>
        <v>0</v>
      </c>
      <c r="IF233" s="418">
        <f t="shared" si="727"/>
        <v>0</v>
      </c>
      <c r="IG233" s="418">
        <f t="shared" si="727"/>
        <v>0</v>
      </c>
      <c r="IH233" s="418">
        <f t="shared" si="727"/>
        <v>0</v>
      </c>
      <c r="II233" s="418">
        <f t="shared" si="727"/>
        <v>0</v>
      </c>
      <c r="IJ233" s="418">
        <f t="shared" si="727"/>
        <v>0</v>
      </c>
      <c r="IK233" s="418">
        <f t="shared" si="727"/>
        <v>0</v>
      </c>
      <c r="IL233" s="418">
        <f t="shared" si="727"/>
        <v>0</v>
      </c>
      <c r="IM233" s="418">
        <f t="shared" si="727"/>
        <v>0</v>
      </c>
      <c r="IN233" s="418">
        <f t="shared" ref="IN233:JX233" si="728">IN$232*$I$236</f>
        <v>0</v>
      </c>
      <c r="IO233" s="418">
        <f t="shared" si="728"/>
        <v>0</v>
      </c>
      <c r="IP233" s="418">
        <f t="shared" si="728"/>
        <v>0</v>
      </c>
      <c r="IQ233" s="418">
        <f t="shared" si="728"/>
        <v>0</v>
      </c>
      <c r="IR233" s="418">
        <f t="shared" si="728"/>
        <v>0</v>
      </c>
      <c r="IS233" s="418">
        <f t="shared" si="728"/>
        <v>0</v>
      </c>
      <c r="IT233" s="418">
        <f t="shared" si="728"/>
        <v>0</v>
      </c>
      <c r="IU233" s="418">
        <f t="shared" si="728"/>
        <v>0</v>
      </c>
      <c r="IV233" s="418">
        <f t="shared" si="728"/>
        <v>0</v>
      </c>
      <c r="IW233" s="418">
        <f t="shared" si="728"/>
        <v>0</v>
      </c>
      <c r="IX233" s="418">
        <f t="shared" si="728"/>
        <v>0</v>
      </c>
      <c r="IY233" s="418">
        <f t="shared" si="728"/>
        <v>0</v>
      </c>
      <c r="IZ233" s="418">
        <f t="shared" si="728"/>
        <v>0</v>
      </c>
      <c r="JA233" s="418">
        <f t="shared" si="728"/>
        <v>0</v>
      </c>
      <c r="JB233" s="418">
        <f t="shared" si="728"/>
        <v>0</v>
      </c>
      <c r="JC233" s="418">
        <f t="shared" si="728"/>
        <v>0</v>
      </c>
      <c r="JD233" s="418">
        <f t="shared" si="728"/>
        <v>0</v>
      </c>
      <c r="JE233" s="418">
        <f t="shared" si="728"/>
        <v>0</v>
      </c>
      <c r="JF233" s="418">
        <f t="shared" si="728"/>
        <v>0</v>
      </c>
      <c r="JG233" s="418">
        <f t="shared" si="728"/>
        <v>0</v>
      </c>
      <c r="JH233" s="418">
        <f t="shared" si="728"/>
        <v>0</v>
      </c>
      <c r="JI233" s="418">
        <f t="shared" si="728"/>
        <v>0</v>
      </c>
      <c r="JJ233" s="418">
        <f t="shared" si="728"/>
        <v>0</v>
      </c>
      <c r="JK233" s="418">
        <f t="shared" si="728"/>
        <v>0</v>
      </c>
      <c r="JL233" s="418">
        <f t="shared" si="728"/>
        <v>0</v>
      </c>
      <c r="JM233" s="418">
        <f t="shared" si="728"/>
        <v>0</v>
      </c>
      <c r="JN233" s="418">
        <f t="shared" si="728"/>
        <v>0</v>
      </c>
      <c r="JO233" s="418">
        <f t="shared" si="728"/>
        <v>0</v>
      </c>
      <c r="JP233" s="418">
        <f t="shared" si="728"/>
        <v>0</v>
      </c>
      <c r="JQ233" s="418">
        <f t="shared" si="728"/>
        <v>0</v>
      </c>
      <c r="JR233" s="418">
        <f t="shared" si="728"/>
        <v>0</v>
      </c>
      <c r="JS233" s="418">
        <f t="shared" si="728"/>
        <v>0</v>
      </c>
      <c r="JT233" s="418">
        <f t="shared" si="728"/>
        <v>0</v>
      </c>
      <c r="JU233" s="418">
        <f t="shared" si="728"/>
        <v>0</v>
      </c>
      <c r="JV233" s="418">
        <f t="shared" si="728"/>
        <v>0</v>
      </c>
      <c r="JW233" s="418">
        <f t="shared" si="728"/>
        <v>0</v>
      </c>
      <c r="JX233" s="418">
        <f t="shared" si="728"/>
        <v>0</v>
      </c>
      <c r="JY233"/>
      <c r="JZ233" s="262"/>
      <c r="KA233" s="262"/>
      <c r="KB233" s="262"/>
      <c r="KC233" s="262"/>
      <c r="KD233" s="262"/>
      <c r="KE233" s="262"/>
      <c r="KF233" s="262"/>
      <c r="KG233" s="262"/>
      <c r="KH233" s="262"/>
      <c r="KI233" s="262"/>
      <c r="KJ233" s="262"/>
      <c r="KK233" s="262"/>
      <c r="KL233" s="262"/>
      <c r="KM233" s="262"/>
      <c r="KN233" s="262"/>
      <c r="KO233" s="262"/>
      <c r="KP233" s="262"/>
      <c r="KQ233" s="262"/>
      <c r="KR233" s="262"/>
      <c r="KS233" s="262"/>
      <c r="KT233" s="262"/>
      <c r="KU233" s="262"/>
      <c r="KV233" s="262"/>
      <c r="KW233" s="262"/>
      <c r="KX233" s="262"/>
      <c r="KY233" s="262"/>
      <c r="KZ233" s="262"/>
      <c r="LA233" s="262"/>
      <c r="LB233" s="262"/>
      <c r="LC233" s="262"/>
      <c r="LD233" s="262"/>
      <c r="LE233" s="262"/>
      <c r="LF233" s="262"/>
      <c r="LG233" s="262"/>
      <c r="LH233" s="262"/>
      <c r="LI233" s="262"/>
      <c r="LJ233" s="262"/>
      <c r="LK233" s="262"/>
      <c r="LL233" s="262"/>
      <c r="LM233" s="262"/>
      <c r="LN233" s="262"/>
      <c r="LO233" s="262"/>
      <c r="LP233" s="262"/>
      <c r="LQ233" s="262"/>
      <c r="LR233" s="262"/>
      <c r="LS233" s="262"/>
      <c r="LT233" s="262"/>
      <c r="LU233" s="262"/>
      <c r="LV233" s="262"/>
      <c r="LW233" s="262"/>
      <c r="LX233" s="262"/>
      <c r="LY233" s="262"/>
      <c r="LZ233" s="262"/>
      <c r="MA233" s="262"/>
      <c r="MB233" s="262"/>
      <c r="MC233" s="262"/>
      <c r="MD233" s="262"/>
      <c r="ME233" s="262"/>
      <c r="MF233" s="262"/>
      <c r="MG233" s="262"/>
      <c r="MH233" s="262"/>
      <c r="MI233" s="262"/>
      <c r="MJ233" s="262"/>
      <c r="MK233" s="262"/>
      <c r="ML233" s="262"/>
      <c r="MM233" s="262"/>
      <c r="MN233" s="262"/>
      <c r="MO233" s="262"/>
      <c r="MP233" s="262"/>
      <c r="MQ233" s="262"/>
      <c r="MR233" s="262"/>
      <c r="MS233" s="262"/>
      <c r="MT233" s="262"/>
      <c r="MU233" s="262"/>
      <c r="MV233" s="262"/>
      <c r="MW233" s="262"/>
      <c r="MX233" s="262"/>
      <c r="MY233" s="262"/>
      <c r="MZ233" s="262"/>
      <c r="NA233" s="262"/>
      <c r="NB233" s="262"/>
      <c r="NC233" s="262"/>
      <c r="ND233" s="262"/>
      <c r="NE233" s="262"/>
      <c r="NF233" s="262"/>
      <c r="NG233" s="262"/>
      <c r="NH233" s="262"/>
      <c r="NI233" s="262"/>
      <c r="NJ233" s="262"/>
      <c r="NK233" s="262"/>
      <c r="NL233" s="262"/>
      <c r="NM233" s="262"/>
      <c r="NN233" s="262"/>
      <c r="NO233" s="262"/>
      <c r="NP233" s="262"/>
      <c r="NQ233" s="262"/>
      <c r="NR233" s="262"/>
      <c r="NS233" s="262"/>
      <c r="NT233" s="262"/>
      <c r="NU233" s="262"/>
      <c r="NV233" s="262"/>
      <c r="NW233" s="262"/>
      <c r="NX233" s="262"/>
      <c r="NY233" s="262"/>
      <c r="NZ233" s="262"/>
      <c r="OA233" s="262"/>
      <c r="OB233" s="262"/>
      <c r="OC233" s="262"/>
      <c r="OD233" s="262"/>
      <c r="OE233" s="262"/>
      <c r="OF233" s="262"/>
      <c r="OG233" s="262"/>
      <c r="OH233" s="262"/>
      <c r="OI233" s="262"/>
      <c r="OJ233" s="262"/>
      <c r="OK233" s="262"/>
      <c r="OL233" s="262"/>
      <c r="OM233" s="262"/>
      <c r="ON233" s="262"/>
      <c r="OO233" s="262"/>
      <c r="OP233" s="262"/>
      <c r="OQ233" s="262"/>
      <c r="OR233" s="262"/>
      <c r="OS233" s="262"/>
      <c r="OT233" s="262"/>
      <c r="OU233" s="262"/>
      <c r="OV233" s="262"/>
      <c r="OW233" s="262"/>
      <c r="OX233" s="262"/>
      <c r="OY233" s="262"/>
      <c r="OZ233" s="262"/>
      <c r="PA233" s="262"/>
      <c r="PB233" s="262"/>
      <c r="PC233" s="262"/>
      <c r="PD233" s="262"/>
      <c r="PE233" s="262"/>
      <c r="PF233" s="262"/>
      <c r="PG233" s="262"/>
      <c r="PH233" s="262"/>
    </row>
    <row r="234" spans="1:424" x14ac:dyDescent="0.35">
      <c r="A234"/>
      <c r="B234" s="34" t="s">
        <v>443</v>
      </c>
      <c r="C234" s="397"/>
      <c r="D234" s="400"/>
      <c r="E234" s="400" t="s">
        <v>440</v>
      </c>
      <c r="F234" s="845" t="str">
        <f>IF('URWLD COMPANY INPUTS'!$F$868="","",'URWLD COMPANY INPUTS'!$F$868)</f>
        <v/>
      </c>
      <c r="G234" s="844" t="str">
        <f>IF('URWLD COMPANY INPUTS'!$F$869="","",'URWLD COMPANY INPUTS'!$F$869)</f>
        <v/>
      </c>
      <c r="H234" s="884">
        <f>IF($G$234="",$H$228,$G$234+(1-$G$234)*$H$228)</f>
        <v>0</v>
      </c>
      <c r="I234" s="57">
        <f>1-H234</f>
        <v>1</v>
      </c>
      <c r="J234"/>
      <c r="K234"/>
      <c r="L234" s="417">
        <f t="shared" ref="L234:AQ234" si="729">IF(L$227="","",EV222)</f>
        <v>0</v>
      </c>
      <c r="M234" s="417">
        <f t="shared" si="729"/>
        <v>0</v>
      </c>
      <c r="N234" s="417">
        <f t="shared" si="729"/>
        <v>0</v>
      </c>
      <c r="O234" s="417">
        <f t="shared" si="729"/>
        <v>0</v>
      </c>
      <c r="P234" s="417">
        <f t="shared" si="729"/>
        <v>0</v>
      </c>
      <c r="Q234" s="417">
        <f t="shared" si="729"/>
        <v>0</v>
      </c>
      <c r="R234" s="417">
        <f t="shared" si="729"/>
        <v>0</v>
      </c>
      <c r="S234" s="417">
        <f t="shared" si="729"/>
        <v>0</v>
      </c>
      <c r="T234" s="417">
        <f t="shared" si="729"/>
        <v>0</v>
      </c>
      <c r="U234" s="417">
        <f t="shared" si="729"/>
        <v>0</v>
      </c>
      <c r="V234" s="417">
        <f t="shared" si="729"/>
        <v>0</v>
      </c>
      <c r="W234" s="417">
        <f t="shared" si="729"/>
        <v>0</v>
      </c>
      <c r="X234" s="417">
        <f t="shared" si="729"/>
        <v>0</v>
      </c>
      <c r="Y234" s="417">
        <f t="shared" si="729"/>
        <v>0</v>
      </c>
      <c r="Z234" s="417">
        <f t="shared" si="729"/>
        <v>0</v>
      </c>
      <c r="AA234" s="417">
        <f t="shared" si="729"/>
        <v>0</v>
      </c>
      <c r="AB234" s="417">
        <f t="shared" si="729"/>
        <v>0</v>
      </c>
      <c r="AC234" s="417">
        <f t="shared" si="729"/>
        <v>0</v>
      </c>
      <c r="AD234" s="417">
        <f t="shared" si="729"/>
        <v>0</v>
      </c>
      <c r="AE234" s="417">
        <f t="shared" si="729"/>
        <v>0</v>
      </c>
      <c r="AF234" s="417">
        <f t="shared" si="729"/>
        <v>0</v>
      </c>
      <c r="AG234" s="417">
        <f t="shared" si="729"/>
        <v>0</v>
      </c>
      <c r="AH234" s="417">
        <f t="shared" si="729"/>
        <v>0</v>
      </c>
      <c r="AI234" s="417">
        <f t="shared" si="729"/>
        <v>0</v>
      </c>
      <c r="AJ234" s="417">
        <f t="shared" si="729"/>
        <v>0</v>
      </c>
      <c r="AK234" s="417">
        <f t="shared" si="729"/>
        <v>0</v>
      </c>
      <c r="AL234" s="417">
        <f t="shared" si="729"/>
        <v>0</v>
      </c>
      <c r="AM234" s="417">
        <f t="shared" si="729"/>
        <v>0</v>
      </c>
      <c r="AN234" s="417">
        <f t="shared" si="729"/>
        <v>0</v>
      </c>
      <c r="AO234" s="417">
        <f t="shared" si="729"/>
        <v>0</v>
      </c>
      <c r="AP234" s="417">
        <f t="shared" si="729"/>
        <v>0</v>
      </c>
      <c r="AQ234" s="417">
        <f t="shared" si="729"/>
        <v>0</v>
      </c>
      <c r="AR234" s="417">
        <f t="shared" ref="AR234:BW234" si="730">IF(AR$227="","",GB222)</f>
        <v>0</v>
      </c>
      <c r="AS234" s="417">
        <f t="shared" si="730"/>
        <v>0</v>
      </c>
      <c r="AT234" s="417">
        <f t="shared" si="730"/>
        <v>0</v>
      </c>
      <c r="AU234" s="417">
        <f t="shared" si="730"/>
        <v>0</v>
      </c>
      <c r="AV234" s="417">
        <f t="shared" si="730"/>
        <v>0</v>
      </c>
      <c r="AW234" s="417">
        <f t="shared" si="730"/>
        <v>0</v>
      </c>
      <c r="AX234" s="417">
        <f t="shared" si="730"/>
        <v>0</v>
      </c>
      <c r="AY234" s="417">
        <f t="shared" si="730"/>
        <v>0</v>
      </c>
      <c r="AZ234" s="417">
        <f t="shared" si="730"/>
        <v>0</v>
      </c>
      <c r="BA234" s="417">
        <f t="shared" si="730"/>
        <v>0</v>
      </c>
      <c r="BB234" s="417">
        <f t="shared" si="730"/>
        <v>0</v>
      </c>
      <c r="BC234" s="417">
        <f t="shared" si="730"/>
        <v>0</v>
      </c>
      <c r="BD234" s="75">
        <f t="shared" si="730"/>
        <v>0</v>
      </c>
      <c r="BE234" s="75">
        <f t="shared" si="730"/>
        <v>0</v>
      </c>
      <c r="BF234" s="75">
        <f t="shared" si="730"/>
        <v>0</v>
      </c>
      <c r="BG234" s="75">
        <f t="shared" si="730"/>
        <v>0</v>
      </c>
      <c r="BH234" s="75">
        <f t="shared" si="730"/>
        <v>0</v>
      </c>
      <c r="BI234" s="75">
        <f t="shared" si="730"/>
        <v>0</v>
      </c>
      <c r="BJ234" s="75">
        <f t="shared" si="730"/>
        <v>0</v>
      </c>
      <c r="BK234" s="75">
        <f t="shared" si="730"/>
        <v>0</v>
      </c>
      <c r="BL234" s="75">
        <f t="shared" si="730"/>
        <v>0</v>
      </c>
      <c r="BM234" s="75">
        <f t="shared" si="730"/>
        <v>0</v>
      </c>
      <c r="BN234" s="75">
        <f t="shared" si="730"/>
        <v>0</v>
      </c>
      <c r="BO234" s="75">
        <f t="shared" si="730"/>
        <v>0</v>
      </c>
      <c r="BP234" s="75">
        <f t="shared" si="730"/>
        <v>0</v>
      </c>
      <c r="BQ234" s="75">
        <f t="shared" si="730"/>
        <v>0</v>
      </c>
      <c r="BR234" s="75">
        <f t="shared" si="730"/>
        <v>0</v>
      </c>
      <c r="BS234" s="75">
        <f t="shared" si="730"/>
        <v>0</v>
      </c>
      <c r="BT234" s="75">
        <f t="shared" si="730"/>
        <v>0</v>
      </c>
      <c r="BU234" s="75">
        <f t="shared" si="730"/>
        <v>0</v>
      </c>
      <c r="BV234" s="75" t="str">
        <f t="shared" si="730"/>
        <v/>
      </c>
      <c r="BW234" s="75" t="str">
        <f t="shared" si="730"/>
        <v/>
      </c>
      <c r="BX234" s="75" t="str">
        <f t="shared" ref="BX234:DC234" si="731">IF(BX$227="","",HH222)</f>
        <v/>
      </c>
      <c r="BY234" s="75" t="str">
        <f t="shared" si="731"/>
        <v/>
      </c>
      <c r="BZ234" s="75" t="str">
        <f t="shared" si="731"/>
        <v/>
      </c>
      <c r="CA234" s="75" t="str">
        <f t="shared" si="731"/>
        <v/>
      </c>
      <c r="CB234" s="75" t="str">
        <f t="shared" si="731"/>
        <v/>
      </c>
      <c r="CC234" s="75" t="str">
        <f t="shared" si="731"/>
        <v/>
      </c>
      <c r="CD234" s="75" t="str">
        <f t="shared" si="731"/>
        <v/>
      </c>
      <c r="CE234" s="75" t="str">
        <f t="shared" si="731"/>
        <v/>
      </c>
      <c r="CF234" s="75" t="str">
        <f t="shared" si="731"/>
        <v/>
      </c>
      <c r="CG234" s="75" t="str">
        <f t="shared" si="731"/>
        <v/>
      </c>
      <c r="CH234" s="75" t="str">
        <f t="shared" si="731"/>
        <v/>
      </c>
      <c r="CI234" s="75" t="str">
        <f t="shared" si="731"/>
        <v/>
      </c>
      <c r="CJ234" s="75" t="str">
        <f t="shared" si="731"/>
        <v/>
      </c>
      <c r="CK234" s="75" t="str">
        <f t="shared" si="731"/>
        <v/>
      </c>
      <c r="CL234" s="75" t="str">
        <f t="shared" si="731"/>
        <v/>
      </c>
      <c r="CM234" s="75" t="str">
        <f t="shared" si="731"/>
        <v/>
      </c>
      <c r="CN234" s="75" t="str">
        <f t="shared" si="731"/>
        <v/>
      </c>
      <c r="CO234" s="75" t="str">
        <f t="shared" si="731"/>
        <v/>
      </c>
      <c r="CP234" s="75" t="str">
        <f t="shared" si="731"/>
        <v/>
      </c>
      <c r="CQ234" s="75" t="str">
        <f t="shared" si="731"/>
        <v/>
      </c>
      <c r="CR234" s="75" t="str">
        <f t="shared" si="731"/>
        <v/>
      </c>
      <c r="CS234" s="75" t="str">
        <f t="shared" si="731"/>
        <v/>
      </c>
      <c r="CT234" s="75" t="str">
        <f t="shared" si="731"/>
        <v/>
      </c>
      <c r="CU234" s="75" t="str">
        <f t="shared" si="731"/>
        <v/>
      </c>
      <c r="CV234" s="75" t="str">
        <f t="shared" si="731"/>
        <v/>
      </c>
      <c r="CW234" s="75" t="str">
        <f t="shared" si="731"/>
        <v/>
      </c>
      <c r="CX234" s="75" t="str">
        <f t="shared" si="731"/>
        <v/>
      </c>
      <c r="CY234" s="75" t="str">
        <f t="shared" si="731"/>
        <v/>
      </c>
      <c r="CZ234" s="75" t="str">
        <f t="shared" si="731"/>
        <v/>
      </c>
      <c r="DA234" s="75" t="str">
        <f t="shared" si="731"/>
        <v/>
      </c>
      <c r="DB234" s="75" t="str">
        <f t="shared" si="731"/>
        <v/>
      </c>
      <c r="DC234" s="75" t="str">
        <f t="shared" si="731"/>
        <v/>
      </c>
      <c r="DD234" s="75" t="str">
        <f t="shared" ref="DD234:EI234" si="732">IF(DD$227="","",IN222)</f>
        <v/>
      </c>
      <c r="DE234" s="75" t="str">
        <f t="shared" si="732"/>
        <v/>
      </c>
      <c r="DF234" s="75" t="str">
        <f t="shared" si="732"/>
        <v/>
      </c>
      <c r="DG234" s="75" t="str">
        <f t="shared" si="732"/>
        <v/>
      </c>
      <c r="DH234" s="75" t="str">
        <f t="shared" si="732"/>
        <v/>
      </c>
      <c r="DI234" s="75" t="str">
        <f t="shared" si="732"/>
        <v/>
      </c>
      <c r="DJ234" s="75" t="str">
        <f t="shared" si="732"/>
        <v/>
      </c>
      <c r="DK234" s="75" t="str">
        <f t="shared" si="732"/>
        <v/>
      </c>
      <c r="DL234" s="75" t="str">
        <f t="shared" si="732"/>
        <v/>
      </c>
      <c r="DM234" s="75" t="str">
        <f t="shared" si="732"/>
        <v/>
      </c>
      <c r="DN234" s="75" t="str">
        <f t="shared" si="732"/>
        <v/>
      </c>
      <c r="DO234" s="75" t="str">
        <f t="shared" si="732"/>
        <v/>
      </c>
      <c r="DP234" s="75" t="str">
        <f t="shared" si="732"/>
        <v/>
      </c>
      <c r="DQ234" s="75" t="str">
        <f t="shared" si="732"/>
        <v/>
      </c>
      <c r="DR234" s="75" t="str">
        <f t="shared" si="732"/>
        <v/>
      </c>
      <c r="DS234" s="75" t="str">
        <f t="shared" si="732"/>
        <v/>
      </c>
      <c r="DT234" s="75" t="str">
        <f t="shared" si="732"/>
        <v/>
      </c>
      <c r="DU234" s="75" t="str">
        <f t="shared" si="732"/>
        <v/>
      </c>
      <c r="DV234" s="75" t="str">
        <f t="shared" si="732"/>
        <v/>
      </c>
      <c r="DW234" s="75" t="str">
        <f t="shared" si="732"/>
        <v/>
      </c>
      <c r="DX234" s="75" t="str">
        <f t="shared" si="732"/>
        <v/>
      </c>
      <c r="DY234" s="75" t="str">
        <f t="shared" si="732"/>
        <v/>
      </c>
      <c r="DZ234" s="75" t="str">
        <f t="shared" si="732"/>
        <v/>
      </c>
      <c r="EA234" s="75" t="str">
        <f t="shared" si="732"/>
        <v/>
      </c>
      <c r="EB234" s="75" t="str">
        <f t="shared" si="732"/>
        <v/>
      </c>
      <c r="EC234" s="75" t="str">
        <f t="shared" si="732"/>
        <v/>
      </c>
      <c r="ED234" s="75" t="str">
        <f t="shared" si="732"/>
        <v/>
      </c>
      <c r="EE234" s="75" t="str">
        <f t="shared" si="732"/>
        <v/>
      </c>
      <c r="EF234" s="75" t="str">
        <f t="shared" si="732"/>
        <v/>
      </c>
      <c r="EG234" s="75" t="str">
        <f t="shared" si="732"/>
        <v/>
      </c>
      <c r="EH234" s="75" t="str">
        <f t="shared" si="732"/>
        <v/>
      </c>
      <c r="EI234" s="75" t="str">
        <f t="shared" si="732"/>
        <v/>
      </c>
      <c r="EJ234" s="75" t="str">
        <f>IF(EJ$227="","",JT222)</f>
        <v/>
      </c>
      <c r="EK234" s="75" t="str">
        <f>IF(EK$227="","",JU222)</f>
        <v/>
      </c>
      <c r="EL234" s="75" t="str">
        <f>IF(EL$227="","",JV222)</f>
        <v/>
      </c>
      <c r="EM234" s="75" t="str">
        <f>IF(EM$227="","",JW222)</f>
        <v/>
      </c>
      <c r="EN234" s="75" t="str">
        <f>IF(EN$227="","",JX222)</f>
        <v/>
      </c>
      <c r="EO234"/>
      <c r="EP234" s="405"/>
      <c r="EQ234" s="18"/>
      <c r="ER234" s="18"/>
      <c r="ES234" s="18"/>
      <c r="ET234" s="18" t="s">
        <v>416</v>
      </c>
      <c r="EU234" s="18"/>
      <c r="EV234" s="418">
        <f t="shared" ref="EV234:GA234" si="733">EV$232*$H$236</f>
        <v>0</v>
      </c>
      <c r="EW234" s="418">
        <f t="shared" si="733"/>
        <v>0</v>
      </c>
      <c r="EX234" s="418">
        <f t="shared" si="733"/>
        <v>0</v>
      </c>
      <c r="EY234" s="418">
        <f t="shared" si="733"/>
        <v>0</v>
      </c>
      <c r="EZ234" s="418">
        <f t="shared" si="733"/>
        <v>0</v>
      </c>
      <c r="FA234" s="418">
        <f t="shared" si="733"/>
        <v>0</v>
      </c>
      <c r="FB234" s="418">
        <f t="shared" si="733"/>
        <v>0</v>
      </c>
      <c r="FC234" s="418">
        <f t="shared" si="733"/>
        <v>0</v>
      </c>
      <c r="FD234" s="418">
        <f t="shared" si="733"/>
        <v>0</v>
      </c>
      <c r="FE234" s="418">
        <f t="shared" si="733"/>
        <v>0</v>
      </c>
      <c r="FF234" s="418">
        <f t="shared" si="733"/>
        <v>0</v>
      </c>
      <c r="FG234" s="418">
        <f t="shared" si="733"/>
        <v>0</v>
      </c>
      <c r="FH234" s="418">
        <f t="shared" si="733"/>
        <v>0</v>
      </c>
      <c r="FI234" s="418">
        <f t="shared" si="733"/>
        <v>0</v>
      </c>
      <c r="FJ234" s="418">
        <f t="shared" si="733"/>
        <v>0</v>
      </c>
      <c r="FK234" s="418">
        <f t="shared" si="733"/>
        <v>0</v>
      </c>
      <c r="FL234" s="418">
        <f t="shared" si="733"/>
        <v>0</v>
      </c>
      <c r="FM234" s="418">
        <f t="shared" si="733"/>
        <v>0</v>
      </c>
      <c r="FN234" s="418">
        <f t="shared" si="733"/>
        <v>0</v>
      </c>
      <c r="FO234" s="418">
        <f t="shared" si="733"/>
        <v>0</v>
      </c>
      <c r="FP234" s="418">
        <f t="shared" si="733"/>
        <v>0</v>
      </c>
      <c r="FQ234" s="418">
        <f t="shared" si="733"/>
        <v>0</v>
      </c>
      <c r="FR234" s="418">
        <f t="shared" si="733"/>
        <v>0</v>
      </c>
      <c r="FS234" s="418">
        <f t="shared" si="733"/>
        <v>0</v>
      </c>
      <c r="FT234" s="418">
        <f t="shared" si="733"/>
        <v>0</v>
      </c>
      <c r="FU234" s="418">
        <f t="shared" si="733"/>
        <v>0</v>
      </c>
      <c r="FV234" s="418">
        <f t="shared" si="733"/>
        <v>0</v>
      </c>
      <c r="FW234" s="418">
        <f t="shared" si="733"/>
        <v>0</v>
      </c>
      <c r="FX234" s="418">
        <f t="shared" si="733"/>
        <v>0</v>
      </c>
      <c r="FY234" s="418">
        <f t="shared" si="733"/>
        <v>0</v>
      </c>
      <c r="FZ234" s="418">
        <f t="shared" si="733"/>
        <v>0</v>
      </c>
      <c r="GA234" s="418">
        <f t="shared" si="733"/>
        <v>0</v>
      </c>
      <c r="GB234" s="418">
        <f t="shared" ref="GB234:HG234" si="734">GB$232*$H$236</f>
        <v>0</v>
      </c>
      <c r="GC234" s="418">
        <f t="shared" si="734"/>
        <v>0</v>
      </c>
      <c r="GD234" s="418">
        <f t="shared" si="734"/>
        <v>0</v>
      </c>
      <c r="GE234" s="418">
        <f t="shared" si="734"/>
        <v>0</v>
      </c>
      <c r="GF234" s="418">
        <f t="shared" si="734"/>
        <v>0</v>
      </c>
      <c r="GG234" s="418">
        <f t="shared" si="734"/>
        <v>0</v>
      </c>
      <c r="GH234" s="418">
        <f t="shared" si="734"/>
        <v>0</v>
      </c>
      <c r="GI234" s="418">
        <f t="shared" si="734"/>
        <v>0</v>
      </c>
      <c r="GJ234" s="418">
        <f t="shared" si="734"/>
        <v>0</v>
      </c>
      <c r="GK234" s="418">
        <f t="shared" si="734"/>
        <v>0</v>
      </c>
      <c r="GL234" s="418">
        <f t="shared" si="734"/>
        <v>0</v>
      </c>
      <c r="GM234" s="418">
        <f t="shared" si="734"/>
        <v>0</v>
      </c>
      <c r="GN234" s="418">
        <f t="shared" si="734"/>
        <v>0</v>
      </c>
      <c r="GO234" s="418">
        <f t="shared" si="734"/>
        <v>0</v>
      </c>
      <c r="GP234" s="418">
        <f t="shared" si="734"/>
        <v>0</v>
      </c>
      <c r="GQ234" s="418">
        <f t="shared" si="734"/>
        <v>0</v>
      </c>
      <c r="GR234" s="418">
        <f t="shared" si="734"/>
        <v>0</v>
      </c>
      <c r="GS234" s="418">
        <f t="shared" si="734"/>
        <v>0</v>
      </c>
      <c r="GT234" s="418">
        <f t="shared" si="734"/>
        <v>0</v>
      </c>
      <c r="GU234" s="418">
        <f t="shared" si="734"/>
        <v>0</v>
      </c>
      <c r="GV234" s="418">
        <f t="shared" si="734"/>
        <v>0</v>
      </c>
      <c r="GW234" s="418">
        <f t="shared" si="734"/>
        <v>0</v>
      </c>
      <c r="GX234" s="418">
        <f t="shared" si="734"/>
        <v>0</v>
      </c>
      <c r="GY234" s="418">
        <f t="shared" si="734"/>
        <v>0</v>
      </c>
      <c r="GZ234" s="418">
        <f t="shared" si="734"/>
        <v>0</v>
      </c>
      <c r="HA234" s="418">
        <f t="shared" si="734"/>
        <v>0</v>
      </c>
      <c r="HB234" s="418">
        <f t="shared" si="734"/>
        <v>0</v>
      </c>
      <c r="HC234" s="418">
        <f t="shared" si="734"/>
        <v>0</v>
      </c>
      <c r="HD234" s="418">
        <f t="shared" si="734"/>
        <v>0</v>
      </c>
      <c r="HE234" s="418">
        <f t="shared" si="734"/>
        <v>0</v>
      </c>
      <c r="HF234" s="418">
        <f t="shared" si="734"/>
        <v>0</v>
      </c>
      <c r="HG234" s="418">
        <f t="shared" si="734"/>
        <v>0</v>
      </c>
      <c r="HH234" s="418">
        <f t="shared" ref="HH234:IM234" si="735">HH$232*$H$236</f>
        <v>0</v>
      </c>
      <c r="HI234" s="418">
        <f t="shared" si="735"/>
        <v>0</v>
      </c>
      <c r="HJ234" s="418">
        <f t="shared" si="735"/>
        <v>0</v>
      </c>
      <c r="HK234" s="418">
        <f t="shared" si="735"/>
        <v>0</v>
      </c>
      <c r="HL234" s="418">
        <f t="shared" si="735"/>
        <v>0</v>
      </c>
      <c r="HM234" s="418">
        <f t="shared" si="735"/>
        <v>0</v>
      </c>
      <c r="HN234" s="418">
        <f t="shared" si="735"/>
        <v>0</v>
      </c>
      <c r="HO234" s="418">
        <f t="shared" si="735"/>
        <v>0</v>
      </c>
      <c r="HP234" s="418">
        <f t="shared" si="735"/>
        <v>0</v>
      </c>
      <c r="HQ234" s="418">
        <f t="shared" si="735"/>
        <v>0</v>
      </c>
      <c r="HR234" s="418">
        <f t="shared" si="735"/>
        <v>0</v>
      </c>
      <c r="HS234" s="418">
        <f t="shared" si="735"/>
        <v>0</v>
      </c>
      <c r="HT234" s="418">
        <f t="shared" si="735"/>
        <v>0</v>
      </c>
      <c r="HU234" s="418">
        <f t="shared" si="735"/>
        <v>0</v>
      </c>
      <c r="HV234" s="418">
        <f t="shared" si="735"/>
        <v>0</v>
      </c>
      <c r="HW234" s="418">
        <f t="shared" si="735"/>
        <v>0</v>
      </c>
      <c r="HX234" s="418">
        <f t="shared" si="735"/>
        <v>0</v>
      </c>
      <c r="HY234" s="418">
        <f t="shared" si="735"/>
        <v>0</v>
      </c>
      <c r="HZ234" s="418">
        <f t="shared" si="735"/>
        <v>0</v>
      </c>
      <c r="IA234" s="418">
        <f t="shared" si="735"/>
        <v>0</v>
      </c>
      <c r="IB234" s="418">
        <f t="shared" si="735"/>
        <v>0</v>
      </c>
      <c r="IC234" s="418">
        <f t="shared" si="735"/>
        <v>0</v>
      </c>
      <c r="ID234" s="418">
        <f t="shared" si="735"/>
        <v>0</v>
      </c>
      <c r="IE234" s="418">
        <f t="shared" si="735"/>
        <v>0</v>
      </c>
      <c r="IF234" s="418">
        <f t="shared" si="735"/>
        <v>0</v>
      </c>
      <c r="IG234" s="418">
        <f t="shared" si="735"/>
        <v>0</v>
      </c>
      <c r="IH234" s="418">
        <f t="shared" si="735"/>
        <v>0</v>
      </c>
      <c r="II234" s="418">
        <f t="shared" si="735"/>
        <v>0</v>
      </c>
      <c r="IJ234" s="418">
        <f t="shared" si="735"/>
        <v>0</v>
      </c>
      <c r="IK234" s="418">
        <f t="shared" si="735"/>
        <v>0</v>
      </c>
      <c r="IL234" s="418">
        <f t="shared" si="735"/>
        <v>0</v>
      </c>
      <c r="IM234" s="418">
        <f t="shared" si="735"/>
        <v>0</v>
      </c>
      <c r="IN234" s="418">
        <f t="shared" ref="IN234:JX234" si="736">IN$232*$H$236</f>
        <v>0</v>
      </c>
      <c r="IO234" s="418">
        <f t="shared" si="736"/>
        <v>0</v>
      </c>
      <c r="IP234" s="418">
        <f t="shared" si="736"/>
        <v>0</v>
      </c>
      <c r="IQ234" s="418">
        <f t="shared" si="736"/>
        <v>0</v>
      </c>
      <c r="IR234" s="418">
        <f t="shared" si="736"/>
        <v>0</v>
      </c>
      <c r="IS234" s="418">
        <f t="shared" si="736"/>
        <v>0</v>
      </c>
      <c r="IT234" s="418">
        <f t="shared" si="736"/>
        <v>0</v>
      </c>
      <c r="IU234" s="418">
        <f t="shared" si="736"/>
        <v>0</v>
      </c>
      <c r="IV234" s="418">
        <f t="shared" si="736"/>
        <v>0</v>
      </c>
      <c r="IW234" s="418">
        <f t="shared" si="736"/>
        <v>0</v>
      </c>
      <c r="IX234" s="418">
        <f t="shared" si="736"/>
        <v>0</v>
      </c>
      <c r="IY234" s="418">
        <f t="shared" si="736"/>
        <v>0</v>
      </c>
      <c r="IZ234" s="418">
        <f t="shared" si="736"/>
        <v>0</v>
      </c>
      <c r="JA234" s="418">
        <f t="shared" si="736"/>
        <v>0</v>
      </c>
      <c r="JB234" s="418">
        <f t="shared" si="736"/>
        <v>0</v>
      </c>
      <c r="JC234" s="418">
        <f t="shared" si="736"/>
        <v>0</v>
      </c>
      <c r="JD234" s="418">
        <f t="shared" si="736"/>
        <v>0</v>
      </c>
      <c r="JE234" s="418">
        <f t="shared" si="736"/>
        <v>0</v>
      </c>
      <c r="JF234" s="418">
        <f t="shared" si="736"/>
        <v>0</v>
      </c>
      <c r="JG234" s="418">
        <f t="shared" si="736"/>
        <v>0</v>
      </c>
      <c r="JH234" s="418">
        <f t="shared" si="736"/>
        <v>0</v>
      </c>
      <c r="JI234" s="418">
        <f t="shared" si="736"/>
        <v>0</v>
      </c>
      <c r="JJ234" s="418">
        <f t="shared" si="736"/>
        <v>0</v>
      </c>
      <c r="JK234" s="418">
        <f t="shared" si="736"/>
        <v>0</v>
      </c>
      <c r="JL234" s="418">
        <f t="shared" si="736"/>
        <v>0</v>
      </c>
      <c r="JM234" s="418">
        <f t="shared" si="736"/>
        <v>0</v>
      </c>
      <c r="JN234" s="418">
        <f t="shared" si="736"/>
        <v>0</v>
      </c>
      <c r="JO234" s="418">
        <f t="shared" si="736"/>
        <v>0</v>
      </c>
      <c r="JP234" s="418">
        <f t="shared" si="736"/>
        <v>0</v>
      </c>
      <c r="JQ234" s="418">
        <f t="shared" si="736"/>
        <v>0</v>
      </c>
      <c r="JR234" s="418">
        <f t="shared" si="736"/>
        <v>0</v>
      </c>
      <c r="JS234" s="418">
        <f t="shared" si="736"/>
        <v>0</v>
      </c>
      <c r="JT234" s="418">
        <f t="shared" si="736"/>
        <v>0</v>
      </c>
      <c r="JU234" s="418">
        <f t="shared" si="736"/>
        <v>0</v>
      </c>
      <c r="JV234" s="418">
        <f t="shared" si="736"/>
        <v>0</v>
      </c>
      <c r="JW234" s="418">
        <f t="shared" si="736"/>
        <v>0</v>
      </c>
      <c r="JX234" s="418">
        <f t="shared" si="736"/>
        <v>0</v>
      </c>
      <c r="JY234"/>
      <c r="JZ234" s="262"/>
      <c r="KA234" s="262"/>
      <c r="KB234" s="262"/>
      <c r="KC234" s="262"/>
      <c r="KD234" s="262"/>
      <c r="KE234" s="262"/>
      <c r="KF234" s="262"/>
      <c r="KG234" s="262"/>
      <c r="KH234" s="262"/>
      <c r="KI234" s="262"/>
      <c r="KJ234" s="262"/>
      <c r="KK234" s="262"/>
      <c r="KL234" s="262"/>
      <c r="KM234" s="262"/>
      <c r="KN234" s="262"/>
      <c r="KO234" s="262"/>
      <c r="KP234" s="262"/>
      <c r="KQ234" s="262"/>
      <c r="KR234" s="262"/>
      <c r="KS234" s="262"/>
      <c r="KT234" s="262"/>
      <c r="KU234" s="262"/>
      <c r="KV234" s="262"/>
      <c r="KW234" s="262"/>
      <c r="KX234" s="262"/>
      <c r="KY234" s="262"/>
      <c r="KZ234" s="262"/>
      <c r="LA234" s="262"/>
      <c r="LB234" s="262"/>
      <c r="LC234" s="262"/>
      <c r="LD234" s="262"/>
      <c r="LE234" s="262"/>
      <c r="LF234" s="262"/>
      <c r="LG234" s="262"/>
      <c r="LH234" s="262"/>
      <c r="LI234" s="262"/>
      <c r="LJ234" s="262"/>
      <c r="LK234" s="262"/>
      <c r="LL234" s="262"/>
      <c r="LM234" s="262"/>
      <c r="LN234" s="262"/>
      <c r="LO234" s="262"/>
      <c r="LP234" s="262"/>
      <c r="LQ234" s="262"/>
      <c r="LR234" s="262"/>
      <c r="LS234" s="262"/>
      <c r="LT234" s="262"/>
      <c r="LU234" s="262"/>
      <c r="LV234" s="262"/>
      <c r="LW234" s="262"/>
      <c r="LX234" s="262"/>
      <c r="LY234" s="262"/>
      <c r="LZ234" s="262"/>
      <c r="MA234" s="262"/>
      <c r="MB234" s="262"/>
      <c r="MC234" s="262"/>
      <c r="MD234" s="262"/>
      <c r="ME234" s="262"/>
      <c r="MF234" s="262"/>
      <c r="MG234" s="262"/>
      <c r="MH234" s="262"/>
      <c r="MI234" s="262"/>
      <c r="MJ234" s="262"/>
      <c r="MK234" s="262"/>
      <c r="ML234" s="262"/>
      <c r="MM234" s="262"/>
      <c r="MN234" s="262"/>
      <c r="MO234" s="262"/>
      <c r="MP234" s="262"/>
      <c r="MQ234" s="262"/>
      <c r="MR234" s="262"/>
      <c r="MS234" s="262"/>
      <c r="MT234" s="262"/>
      <c r="MU234" s="262"/>
      <c r="MV234" s="262"/>
      <c r="MW234" s="262"/>
      <c r="MX234" s="262"/>
      <c r="MY234" s="262"/>
      <c r="MZ234" s="262"/>
      <c r="NA234" s="262"/>
      <c r="NB234" s="262"/>
      <c r="NC234" s="262"/>
      <c r="ND234" s="262"/>
      <c r="NE234" s="262"/>
      <c r="NF234" s="262"/>
      <c r="NG234" s="262"/>
      <c r="NH234" s="262"/>
      <c r="NI234" s="262"/>
      <c r="NJ234" s="262"/>
      <c r="NK234" s="262"/>
      <c r="NL234" s="262"/>
      <c r="NM234" s="262"/>
      <c r="NN234" s="262"/>
      <c r="NO234" s="262"/>
      <c r="NP234" s="262"/>
      <c r="NQ234" s="262"/>
      <c r="NR234" s="262"/>
      <c r="NS234" s="262"/>
      <c r="NT234" s="262"/>
      <c r="NU234" s="262"/>
      <c r="NV234" s="262"/>
      <c r="NW234" s="262"/>
      <c r="NX234" s="262"/>
      <c r="NY234" s="262"/>
      <c r="NZ234" s="262"/>
      <c r="OA234" s="262"/>
      <c r="OB234" s="262"/>
      <c r="OC234" s="262"/>
      <c r="OD234" s="262"/>
      <c r="OE234" s="262"/>
      <c r="OF234" s="262"/>
      <c r="OG234" s="262"/>
      <c r="OH234" s="262"/>
      <c r="OI234" s="262"/>
      <c r="OJ234" s="262"/>
      <c r="OK234" s="262"/>
      <c r="OL234" s="262"/>
      <c r="OM234" s="262"/>
      <c r="ON234" s="262"/>
      <c r="OO234" s="262"/>
      <c r="OP234" s="262"/>
      <c r="OQ234" s="262"/>
      <c r="OR234" s="262"/>
      <c r="OS234" s="262"/>
      <c r="OT234" s="262"/>
      <c r="OU234" s="262"/>
      <c r="OV234" s="262"/>
      <c r="OW234" s="262"/>
      <c r="OX234" s="262"/>
      <c r="OY234" s="262"/>
      <c r="OZ234" s="262"/>
      <c r="PA234" s="262"/>
      <c r="PB234" s="262"/>
      <c r="PC234" s="262"/>
      <c r="PD234" s="262"/>
      <c r="PE234" s="262"/>
      <c r="PF234" s="262"/>
      <c r="PG234" s="262"/>
      <c r="PH234" s="262"/>
    </row>
    <row r="235" spans="1:424" x14ac:dyDescent="0.35">
      <c r="A235"/>
      <c r="B235" s="34" t="s">
        <v>444</v>
      </c>
      <c r="C235" s="397"/>
      <c r="D235" s="400"/>
      <c r="E235" s="400" t="s">
        <v>440</v>
      </c>
      <c r="F235" s="845" t="str">
        <f>IF('URWLD COMPANY INPUTS'!$F$870="","",'URWLD COMPANY INPUTS'!$F$870)</f>
        <v/>
      </c>
      <c r="G235" s="844" t="str">
        <f>IF('URWLD COMPANY INPUTS'!$F$871="","",'URWLD COMPANY INPUTS'!$F$871+(1-'URWLD COMPANY INPUTS'!$F$871)*$H$228)</f>
        <v/>
      </c>
      <c r="H235" s="884">
        <f>IF($G$235="",$H$228,1-$G$235)</f>
        <v>0</v>
      </c>
      <c r="I235" s="57">
        <f>1-H235</f>
        <v>1</v>
      </c>
      <c r="J235"/>
      <c r="K235"/>
      <c r="L235" s="417">
        <f t="shared" ref="L235:AQ235" si="737">IF(L$227="","",EV231)</f>
        <v>0</v>
      </c>
      <c r="M235" s="417">
        <f t="shared" si="737"/>
        <v>0</v>
      </c>
      <c r="N235" s="417">
        <f t="shared" si="737"/>
        <v>0</v>
      </c>
      <c r="O235" s="417">
        <f t="shared" si="737"/>
        <v>0</v>
      </c>
      <c r="P235" s="417">
        <f t="shared" si="737"/>
        <v>0</v>
      </c>
      <c r="Q235" s="417">
        <f t="shared" si="737"/>
        <v>0</v>
      </c>
      <c r="R235" s="417">
        <f t="shared" si="737"/>
        <v>0</v>
      </c>
      <c r="S235" s="417">
        <f t="shared" si="737"/>
        <v>0</v>
      </c>
      <c r="T235" s="417">
        <f t="shared" si="737"/>
        <v>0</v>
      </c>
      <c r="U235" s="417">
        <f t="shared" si="737"/>
        <v>0</v>
      </c>
      <c r="V235" s="417">
        <f t="shared" si="737"/>
        <v>0</v>
      </c>
      <c r="W235" s="417">
        <f t="shared" si="737"/>
        <v>0</v>
      </c>
      <c r="X235" s="417">
        <f t="shared" si="737"/>
        <v>0</v>
      </c>
      <c r="Y235" s="417">
        <f t="shared" si="737"/>
        <v>0</v>
      </c>
      <c r="Z235" s="417">
        <f t="shared" si="737"/>
        <v>0</v>
      </c>
      <c r="AA235" s="417">
        <f t="shared" si="737"/>
        <v>0</v>
      </c>
      <c r="AB235" s="417">
        <f t="shared" si="737"/>
        <v>0</v>
      </c>
      <c r="AC235" s="417">
        <f t="shared" si="737"/>
        <v>0</v>
      </c>
      <c r="AD235" s="417">
        <f t="shared" si="737"/>
        <v>0</v>
      </c>
      <c r="AE235" s="417">
        <f t="shared" si="737"/>
        <v>0</v>
      </c>
      <c r="AF235" s="417">
        <f t="shared" si="737"/>
        <v>0</v>
      </c>
      <c r="AG235" s="417">
        <f t="shared" si="737"/>
        <v>0</v>
      </c>
      <c r="AH235" s="417">
        <f t="shared" si="737"/>
        <v>0</v>
      </c>
      <c r="AI235" s="417">
        <f t="shared" si="737"/>
        <v>0</v>
      </c>
      <c r="AJ235" s="417">
        <f t="shared" si="737"/>
        <v>0</v>
      </c>
      <c r="AK235" s="417">
        <f t="shared" si="737"/>
        <v>0</v>
      </c>
      <c r="AL235" s="417">
        <f t="shared" si="737"/>
        <v>0</v>
      </c>
      <c r="AM235" s="417">
        <f t="shared" si="737"/>
        <v>0</v>
      </c>
      <c r="AN235" s="417">
        <f t="shared" si="737"/>
        <v>0</v>
      </c>
      <c r="AO235" s="417">
        <f t="shared" si="737"/>
        <v>0</v>
      </c>
      <c r="AP235" s="417">
        <f t="shared" si="737"/>
        <v>0</v>
      </c>
      <c r="AQ235" s="417">
        <f t="shared" si="737"/>
        <v>0</v>
      </c>
      <c r="AR235" s="417">
        <f t="shared" ref="AR235:BW235" si="738">IF(AR$227="","",GB231)</f>
        <v>0</v>
      </c>
      <c r="AS235" s="417">
        <f t="shared" si="738"/>
        <v>0</v>
      </c>
      <c r="AT235" s="417">
        <f t="shared" si="738"/>
        <v>0</v>
      </c>
      <c r="AU235" s="417">
        <f t="shared" si="738"/>
        <v>0</v>
      </c>
      <c r="AV235" s="417">
        <f t="shared" si="738"/>
        <v>0</v>
      </c>
      <c r="AW235" s="417">
        <f t="shared" si="738"/>
        <v>0</v>
      </c>
      <c r="AX235" s="417">
        <f t="shared" si="738"/>
        <v>0</v>
      </c>
      <c r="AY235" s="417">
        <f t="shared" si="738"/>
        <v>0</v>
      </c>
      <c r="AZ235" s="417">
        <f t="shared" si="738"/>
        <v>0</v>
      </c>
      <c r="BA235" s="417">
        <f t="shared" si="738"/>
        <v>0</v>
      </c>
      <c r="BB235" s="417">
        <f t="shared" si="738"/>
        <v>0</v>
      </c>
      <c r="BC235" s="417">
        <f t="shared" si="738"/>
        <v>0</v>
      </c>
      <c r="BD235" s="75">
        <f t="shared" si="738"/>
        <v>0</v>
      </c>
      <c r="BE235" s="75">
        <f t="shared" si="738"/>
        <v>0</v>
      </c>
      <c r="BF235" s="75">
        <f t="shared" si="738"/>
        <v>0</v>
      </c>
      <c r="BG235" s="75">
        <f t="shared" si="738"/>
        <v>0</v>
      </c>
      <c r="BH235" s="75">
        <f t="shared" si="738"/>
        <v>0</v>
      </c>
      <c r="BI235" s="75">
        <f t="shared" si="738"/>
        <v>0</v>
      </c>
      <c r="BJ235" s="75">
        <f t="shared" si="738"/>
        <v>0</v>
      </c>
      <c r="BK235" s="75">
        <f t="shared" si="738"/>
        <v>0</v>
      </c>
      <c r="BL235" s="75">
        <f t="shared" si="738"/>
        <v>0</v>
      </c>
      <c r="BM235" s="75">
        <f t="shared" si="738"/>
        <v>0</v>
      </c>
      <c r="BN235" s="75">
        <f t="shared" si="738"/>
        <v>0</v>
      </c>
      <c r="BO235" s="75">
        <f t="shared" si="738"/>
        <v>0</v>
      </c>
      <c r="BP235" s="75">
        <f t="shared" si="738"/>
        <v>0</v>
      </c>
      <c r="BQ235" s="75">
        <f t="shared" si="738"/>
        <v>0</v>
      </c>
      <c r="BR235" s="75">
        <f t="shared" si="738"/>
        <v>0</v>
      </c>
      <c r="BS235" s="75">
        <f t="shared" si="738"/>
        <v>0</v>
      </c>
      <c r="BT235" s="75">
        <f t="shared" si="738"/>
        <v>0</v>
      </c>
      <c r="BU235" s="75">
        <f t="shared" si="738"/>
        <v>0</v>
      </c>
      <c r="BV235" s="75" t="str">
        <f t="shared" si="738"/>
        <v/>
      </c>
      <c r="BW235" s="75" t="str">
        <f t="shared" si="738"/>
        <v/>
      </c>
      <c r="BX235" s="75" t="str">
        <f t="shared" ref="BX235:DC235" si="739">IF(BX$227="","",HH231)</f>
        <v/>
      </c>
      <c r="BY235" s="75" t="str">
        <f t="shared" si="739"/>
        <v/>
      </c>
      <c r="BZ235" s="75" t="str">
        <f t="shared" si="739"/>
        <v/>
      </c>
      <c r="CA235" s="75" t="str">
        <f t="shared" si="739"/>
        <v/>
      </c>
      <c r="CB235" s="75" t="str">
        <f t="shared" si="739"/>
        <v/>
      </c>
      <c r="CC235" s="75" t="str">
        <f t="shared" si="739"/>
        <v/>
      </c>
      <c r="CD235" s="75" t="str">
        <f t="shared" si="739"/>
        <v/>
      </c>
      <c r="CE235" s="75" t="str">
        <f t="shared" si="739"/>
        <v/>
      </c>
      <c r="CF235" s="75" t="str">
        <f t="shared" si="739"/>
        <v/>
      </c>
      <c r="CG235" s="75" t="str">
        <f t="shared" si="739"/>
        <v/>
      </c>
      <c r="CH235" s="75" t="str">
        <f t="shared" si="739"/>
        <v/>
      </c>
      <c r="CI235" s="75" t="str">
        <f t="shared" si="739"/>
        <v/>
      </c>
      <c r="CJ235" s="75" t="str">
        <f t="shared" si="739"/>
        <v/>
      </c>
      <c r="CK235" s="75" t="str">
        <f t="shared" si="739"/>
        <v/>
      </c>
      <c r="CL235" s="75" t="str">
        <f t="shared" si="739"/>
        <v/>
      </c>
      <c r="CM235" s="75" t="str">
        <f t="shared" si="739"/>
        <v/>
      </c>
      <c r="CN235" s="75" t="str">
        <f t="shared" si="739"/>
        <v/>
      </c>
      <c r="CO235" s="75" t="str">
        <f t="shared" si="739"/>
        <v/>
      </c>
      <c r="CP235" s="75" t="str">
        <f t="shared" si="739"/>
        <v/>
      </c>
      <c r="CQ235" s="75" t="str">
        <f t="shared" si="739"/>
        <v/>
      </c>
      <c r="CR235" s="75" t="str">
        <f t="shared" si="739"/>
        <v/>
      </c>
      <c r="CS235" s="75" t="str">
        <f t="shared" si="739"/>
        <v/>
      </c>
      <c r="CT235" s="75" t="str">
        <f t="shared" si="739"/>
        <v/>
      </c>
      <c r="CU235" s="75" t="str">
        <f t="shared" si="739"/>
        <v/>
      </c>
      <c r="CV235" s="75" t="str">
        <f t="shared" si="739"/>
        <v/>
      </c>
      <c r="CW235" s="75" t="str">
        <f t="shared" si="739"/>
        <v/>
      </c>
      <c r="CX235" s="75" t="str">
        <f t="shared" si="739"/>
        <v/>
      </c>
      <c r="CY235" s="75" t="str">
        <f t="shared" si="739"/>
        <v/>
      </c>
      <c r="CZ235" s="75" t="str">
        <f t="shared" si="739"/>
        <v/>
      </c>
      <c r="DA235" s="75" t="str">
        <f t="shared" si="739"/>
        <v/>
      </c>
      <c r="DB235" s="75" t="str">
        <f t="shared" si="739"/>
        <v/>
      </c>
      <c r="DC235" s="75" t="str">
        <f t="shared" si="739"/>
        <v/>
      </c>
      <c r="DD235" s="75" t="str">
        <f t="shared" ref="DD235:EI235" si="740">IF(DD$227="","",IN231)</f>
        <v/>
      </c>
      <c r="DE235" s="75" t="str">
        <f t="shared" si="740"/>
        <v/>
      </c>
      <c r="DF235" s="75" t="str">
        <f t="shared" si="740"/>
        <v/>
      </c>
      <c r="DG235" s="75" t="str">
        <f t="shared" si="740"/>
        <v/>
      </c>
      <c r="DH235" s="75" t="str">
        <f t="shared" si="740"/>
        <v/>
      </c>
      <c r="DI235" s="75" t="str">
        <f t="shared" si="740"/>
        <v/>
      </c>
      <c r="DJ235" s="75" t="str">
        <f t="shared" si="740"/>
        <v/>
      </c>
      <c r="DK235" s="75" t="str">
        <f t="shared" si="740"/>
        <v/>
      </c>
      <c r="DL235" s="75" t="str">
        <f t="shared" si="740"/>
        <v/>
      </c>
      <c r="DM235" s="75" t="str">
        <f t="shared" si="740"/>
        <v/>
      </c>
      <c r="DN235" s="75" t="str">
        <f t="shared" si="740"/>
        <v/>
      </c>
      <c r="DO235" s="75" t="str">
        <f t="shared" si="740"/>
        <v/>
      </c>
      <c r="DP235" s="75" t="str">
        <f t="shared" si="740"/>
        <v/>
      </c>
      <c r="DQ235" s="75" t="str">
        <f t="shared" si="740"/>
        <v/>
      </c>
      <c r="DR235" s="75" t="str">
        <f t="shared" si="740"/>
        <v/>
      </c>
      <c r="DS235" s="75" t="str">
        <f t="shared" si="740"/>
        <v/>
      </c>
      <c r="DT235" s="75" t="str">
        <f t="shared" si="740"/>
        <v/>
      </c>
      <c r="DU235" s="75" t="str">
        <f t="shared" si="740"/>
        <v/>
      </c>
      <c r="DV235" s="75" t="str">
        <f t="shared" si="740"/>
        <v/>
      </c>
      <c r="DW235" s="75" t="str">
        <f t="shared" si="740"/>
        <v/>
      </c>
      <c r="DX235" s="75" t="str">
        <f t="shared" si="740"/>
        <v/>
      </c>
      <c r="DY235" s="75" t="str">
        <f t="shared" si="740"/>
        <v/>
      </c>
      <c r="DZ235" s="75" t="str">
        <f t="shared" si="740"/>
        <v/>
      </c>
      <c r="EA235" s="75" t="str">
        <f t="shared" si="740"/>
        <v/>
      </c>
      <c r="EB235" s="75" t="str">
        <f t="shared" si="740"/>
        <v/>
      </c>
      <c r="EC235" s="75" t="str">
        <f t="shared" si="740"/>
        <v/>
      </c>
      <c r="ED235" s="75" t="str">
        <f t="shared" si="740"/>
        <v/>
      </c>
      <c r="EE235" s="75" t="str">
        <f t="shared" si="740"/>
        <v/>
      </c>
      <c r="EF235" s="75" t="str">
        <f t="shared" si="740"/>
        <v/>
      </c>
      <c r="EG235" s="75" t="str">
        <f t="shared" si="740"/>
        <v/>
      </c>
      <c r="EH235" s="75" t="str">
        <f t="shared" si="740"/>
        <v/>
      </c>
      <c r="EI235" s="75" t="str">
        <f t="shared" si="740"/>
        <v/>
      </c>
      <c r="EJ235" s="75" t="str">
        <f>IF(EJ$227="","",JT231)</f>
        <v/>
      </c>
      <c r="EK235" s="75" t="str">
        <f>IF(EK$227="","",JU231)</f>
        <v/>
      </c>
      <c r="EL235" s="75" t="str">
        <f>IF(EL$227="","",JV231)</f>
        <v/>
      </c>
      <c r="EM235" s="75" t="str">
        <f>IF(EM$227="","",JW231)</f>
        <v/>
      </c>
      <c r="EN235" s="75" t="str">
        <f>IF(EN$227="","",JX231)</f>
        <v/>
      </c>
      <c r="EO235"/>
      <c r="EP235" s="549"/>
      <c r="EQ235" s="390"/>
      <c r="ER235" s="390"/>
      <c r="ES235" s="390"/>
      <c r="ET235" s="390" t="s">
        <v>445</v>
      </c>
      <c r="EU235" s="390"/>
      <c r="EV235" s="528">
        <f>SUM(EV233:EV234)</f>
        <v>0</v>
      </c>
      <c r="EW235" s="528">
        <f t="shared" ref="EW235:HH235" si="741">SUM(EW233:EW234)</f>
        <v>0</v>
      </c>
      <c r="EX235" s="528">
        <f t="shared" si="741"/>
        <v>0</v>
      </c>
      <c r="EY235" s="528">
        <f t="shared" si="741"/>
        <v>0</v>
      </c>
      <c r="EZ235" s="528">
        <f t="shared" si="741"/>
        <v>0</v>
      </c>
      <c r="FA235" s="528">
        <f t="shared" si="741"/>
        <v>0</v>
      </c>
      <c r="FB235" s="528">
        <f t="shared" si="741"/>
        <v>0</v>
      </c>
      <c r="FC235" s="528">
        <f t="shared" si="741"/>
        <v>0</v>
      </c>
      <c r="FD235" s="528">
        <f t="shared" si="741"/>
        <v>0</v>
      </c>
      <c r="FE235" s="528">
        <f t="shared" si="741"/>
        <v>0</v>
      </c>
      <c r="FF235" s="528">
        <f t="shared" si="741"/>
        <v>0</v>
      </c>
      <c r="FG235" s="528">
        <f t="shared" si="741"/>
        <v>0</v>
      </c>
      <c r="FH235" s="528">
        <f t="shared" si="741"/>
        <v>0</v>
      </c>
      <c r="FI235" s="528">
        <f t="shared" si="741"/>
        <v>0</v>
      </c>
      <c r="FJ235" s="528">
        <f t="shared" si="741"/>
        <v>0</v>
      </c>
      <c r="FK235" s="528">
        <f t="shared" si="741"/>
        <v>0</v>
      </c>
      <c r="FL235" s="528">
        <f t="shared" si="741"/>
        <v>0</v>
      </c>
      <c r="FM235" s="528">
        <f t="shared" si="741"/>
        <v>0</v>
      </c>
      <c r="FN235" s="528">
        <f t="shared" si="741"/>
        <v>0</v>
      </c>
      <c r="FO235" s="528">
        <f t="shared" si="741"/>
        <v>0</v>
      </c>
      <c r="FP235" s="528">
        <f t="shared" si="741"/>
        <v>0</v>
      </c>
      <c r="FQ235" s="528">
        <f t="shared" si="741"/>
        <v>0</v>
      </c>
      <c r="FR235" s="528">
        <f t="shared" si="741"/>
        <v>0</v>
      </c>
      <c r="FS235" s="528">
        <f t="shared" si="741"/>
        <v>0</v>
      </c>
      <c r="FT235" s="528">
        <f t="shared" si="741"/>
        <v>0</v>
      </c>
      <c r="FU235" s="528">
        <f t="shared" si="741"/>
        <v>0</v>
      </c>
      <c r="FV235" s="528">
        <f t="shared" si="741"/>
        <v>0</v>
      </c>
      <c r="FW235" s="528">
        <f t="shared" si="741"/>
        <v>0</v>
      </c>
      <c r="FX235" s="528">
        <f t="shared" si="741"/>
        <v>0</v>
      </c>
      <c r="FY235" s="528">
        <f t="shared" si="741"/>
        <v>0</v>
      </c>
      <c r="FZ235" s="528">
        <f t="shared" si="741"/>
        <v>0</v>
      </c>
      <c r="GA235" s="528">
        <f t="shared" si="741"/>
        <v>0</v>
      </c>
      <c r="GB235" s="528">
        <f t="shared" si="741"/>
        <v>0</v>
      </c>
      <c r="GC235" s="528">
        <f t="shared" si="741"/>
        <v>0</v>
      </c>
      <c r="GD235" s="528">
        <f t="shared" si="741"/>
        <v>0</v>
      </c>
      <c r="GE235" s="528">
        <f t="shared" si="741"/>
        <v>0</v>
      </c>
      <c r="GF235" s="528">
        <f t="shared" si="741"/>
        <v>0</v>
      </c>
      <c r="GG235" s="528">
        <f t="shared" si="741"/>
        <v>0</v>
      </c>
      <c r="GH235" s="528">
        <f t="shared" si="741"/>
        <v>0</v>
      </c>
      <c r="GI235" s="528">
        <f t="shared" si="741"/>
        <v>0</v>
      </c>
      <c r="GJ235" s="528">
        <f t="shared" si="741"/>
        <v>0</v>
      </c>
      <c r="GK235" s="528">
        <f t="shared" si="741"/>
        <v>0</v>
      </c>
      <c r="GL235" s="528">
        <f t="shared" si="741"/>
        <v>0</v>
      </c>
      <c r="GM235" s="528">
        <f t="shared" si="741"/>
        <v>0</v>
      </c>
      <c r="GN235" s="528">
        <f t="shared" si="741"/>
        <v>0</v>
      </c>
      <c r="GO235" s="528">
        <f t="shared" si="741"/>
        <v>0</v>
      </c>
      <c r="GP235" s="528">
        <f t="shared" si="741"/>
        <v>0</v>
      </c>
      <c r="GQ235" s="528">
        <f t="shared" si="741"/>
        <v>0</v>
      </c>
      <c r="GR235" s="528">
        <f t="shared" si="741"/>
        <v>0</v>
      </c>
      <c r="GS235" s="528">
        <f t="shared" si="741"/>
        <v>0</v>
      </c>
      <c r="GT235" s="528">
        <f t="shared" si="741"/>
        <v>0</v>
      </c>
      <c r="GU235" s="528">
        <f t="shared" si="741"/>
        <v>0</v>
      </c>
      <c r="GV235" s="528">
        <f t="shared" si="741"/>
        <v>0</v>
      </c>
      <c r="GW235" s="528">
        <f t="shared" si="741"/>
        <v>0</v>
      </c>
      <c r="GX235" s="528">
        <f t="shared" si="741"/>
        <v>0</v>
      </c>
      <c r="GY235" s="528">
        <f t="shared" si="741"/>
        <v>0</v>
      </c>
      <c r="GZ235" s="528">
        <f t="shared" si="741"/>
        <v>0</v>
      </c>
      <c r="HA235" s="528">
        <f t="shared" si="741"/>
        <v>0</v>
      </c>
      <c r="HB235" s="528">
        <f t="shared" si="741"/>
        <v>0</v>
      </c>
      <c r="HC235" s="528">
        <f t="shared" si="741"/>
        <v>0</v>
      </c>
      <c r="HD235" s="528">
        <f t="shared" si="741"/>
        <v>0</v>
      </c>
      <c r="HE235" s="528">
        <f t="shared" si="741"/>
        <v>300946221.77460557</v>
      </c>
      <c r="HF235" s="528">
        <f t="shared" si="741"/>
        <v>0</v>
      </c>
      <c r="HG235" s="528">
        <f t="shared" si="741"/>
        <v>0</v>
      </c>
      <c r="HH235" s="528">
        <f t="shared" si="741"/>
        <v>0</v>
      </c>
      <c r="HI235" s="528">
        <f t="shared" ref="HI235:JT235" si="742">SUM(HI233:HI234)</f>
        <v>0</v>
      </c>
      <c r="HJ235" s="528">
        <f t="shared" si="742"/>
        <v>0</v>
      </c>
      <c r="HK235" s="528">
        <f t="shared" si="742"/>
        <v>0</v>
      </c>
      <c r="HL235" s="528">
        <f t="shared" si="742"/>
        <v>0</v>
      </c>
      <c r="HM235" s="528">
        <f t="shared" si="742"/>
        <v>0</v>
      </c>
      <c r="HN235" s="528">
        <f t="shared" si="742"/>
        <v>0</v>
      </c>
      <c r="HO235" s="528">
        <f t="shared" si="742"/>
        <v>0</v>
      </c>
      <c r="HP235" s="528">
        <f t="shared" si="742"/>
        <v>0</v>
      </c>
      <c r="HQ235" s="528">
        <f t="shared" si="742"/>
        <v>0</v>
      </c>
      <c r="HR235" s="528">
        <f t="shared" si="742"/>
        <v>0</v>
      </c>
      <c r="HS235" s="528">
        <f t="shared" si="742"/>
        <v>0</v>
      </c>
      <c r="HT235" s="528">
        <f t="shared" si="742"/>
        <v>0</v>
      </c>
      <c r="HU235" s="528">
        <f t="shared" si="742"/>
        <v>0</v>
      </c>
      <c r="HV235" s="528">
        <f t="shared" si="742"/>
        <v>0</v>
      </c>
      <c r="HW235" s="528">
        <f t="shared" si="742"/>
        <v>0</v>
      </c>
      <c r="HX235" s="528">
        <f t="shared" si="742"/>
        <v>0</v>
      </c>
      <c r="HY235" s="528">
        <f t="shared" si="742"/>
        <v>0</v>
      </c>
      <c r="HZ235" s="528">
        <f t="shared" si="742"/>
        <v>0</v>
      </c>
      <c r="IA235" s="528">
        <f t="shared" si="742"/>
        <v>0</v>
      </c>
      <c r="IB235" s="528">
        <f t="shared" si="742"/>
        <v>0</v>
      </c>
      <c r="IC235" s="528">
        <f t="shared" si="742"/>
        <v>0</v>
      </c>
      <c r="ID235" s="528">
        <f t="shared" si="742"/>
        <v>0</v>
      </c>
      <c r="IE235" s="528">
        <f t="shared" si="742"/>
        <v>0</v>
      </c>
      <c r="IF235" s="528">
        <f t="shared" si="742"/>
        <v>0</v>
      </c>
      <c r="IG235" s="528">
        <f t="shared" si="742"/>
        <v>0</v>
      </c>
      <c r="IH235" s="528">
        <f t="shared" si="742"/>
        <v>0</v>
      </c>
      <c r="II235" s="528">
        <f t="shared" si="742"/>
        <v>0</v>
      </c>
      <c r="IJ235" s="528">
        <f t="shared" si="742"/>
        <v>0</v>
      </c>
      <c r="IK235" s="528">
        <f t="shared" si="742"/>
        <v>0</v>
      </c>
      <c r="IL235" s="528">
        <f t="shared" si="742"/>
        <v>0</v>
      </c>
      <c r="IM235" s="528">
        <f t="shared" si="742"/>
        <v>0</v>
      </c>
      <c r="IN235" s="528">
        <f t="shared" si="742"/>
        <v>0</v>
      </c>
      <c r="IO235" s="528">
        <f t="shared" si="742"/>
        <v>0</v>
      </c>
      <c r="IP235" s="528">
        <f t="shared" si="742"/>
        <v>0</v>
      </c>
      <c r="IQ235" s="528">
        <f t="shared" si="742"/>
        <v>0</v>
      </c>
      <c r="IR235" s="528">
        <f t="shared" si="742"/>
        <v>0</v>
      </c>
      <c r="IS235" s="528">
        <f t="shared" si="742"/>
        <v>0</v>
      </c>
      <c r="IT235" s="528">
        <f t="shared" si="742"/>
        <v>0</v>
      </c>
      <c r="IU235" s="528">
        <f t="shared" si="742"/>
        <v>0</v>
      </c>
      <c r="IV235" s="528">
        <f t="shared" si="742"/>
        <v>0</v>
      </c>
      <c r="IW235" s="528">
        <f t="shared" si="742"/>
        <v>0</v>
      </c>
      <c r="IX235" s="528">
        <f t="shared" si="742"/>
        <v>0</v>
      </c>
      <c r="IY235" s="528">
        <f t="shared" si="742"/>
        <v>0</v>
      </c>
      <c r="IZ235" s="528">
        <f t="shared" si="742"/>
        <v>0</v>
      </c>
      <c r="JA235" s="528">
        <f t="shared" si="742"/>
        <v>0</v>
      </c>
      <c r="JB235" s="528">
        <f t="shared" si="742"/>
        <v>0</v>
      </c>
      <c r="JC235" s="528">
        <f t="shared" si="742"/>
        <v>0</v>
      </c>
      <c r="JD235" s="528">
        <f t="shared" si="742"/>
        <v>0</v>
      </c>
      <c r="JE235" s="528">
        <f t="shared" si="742"/>
        <v>0</v>
      </c>
      <c r="JF235" s="528">
        <f t="shared" si="742"/>
        <v>0</v>
      </c>
      <c r="JG235" s="528">
        <f t="shared" si="742"/>
        <v>0</v>
      </c>
      <c r="JH235" s="528">
        <f t="shared" si="742"/>
        <v>0</v>
      </c>
      <c r="JI235" s="528">
        <f t="shared" si="742"/>
        <v>0</v>
      </c>
      <c r="JJ235" s="528">
        <f t="shared" si="742"/>
        <v>0</v>
      </c>
      <c r="JK235" s="528">
        <f t="shared" si="742"/>
        <v>0</v>
      </c>
      <c r="JL235" s="528">
        <f t="shared" si="742"/>
        <v>0</v>
      </c>
      <c r="JM235" s="528">
        <f t="shared" si="742"/>
        <v>0</v>
      </c>
      <c r="JN235" s="528">
        <f t="shared" si="742"/>
        <v>0</v>
      </c>
      <c r="JO235" s="528">
        <f t="shared" si="742"/>
        <v>0</v>
      </c>
      <c r="JP235" s="528">
        <f t="shared" si="742"/>
        <v>0</v>
      </c>
      <c r="JQ235" s="528">
        <f t="shared" si="742"/>
        <v>0</v>
      </c>
      <c r="JR235" s="528">
        <f t="shared" si="742"/>
        <v>0</v>
      </c>
      <c r="JS235" s="528">
        <f t="shared" si="742"/>
        <v>0</v>
      </c>
      <c r="JT235" s="528">
        <f t="shared" si="742"/>
        <v>0</v>
      </c>
      <c r="JU235" s="528">
        <f>SUM(JU233:JU234)</f>
        <v>0</v>
      </c>
      <c r="JV235" s="528">
        <f>SUM(JV233:JV234)</f>
        <v>0</v>
      </c>
      <c r="JW235" s="528">
        <f>SUM(JW233:JW234)</f>
        <v>0</v>
      </c>
      <c r="JX235" s="528">
        <f>SUM(JX233:JX234)</f>
        <v>0</v>
      </c>
      <c r="JY235"/>
      <c r="JZ235" s="262"/>
      <c r="KA235" s="262"/>
      <c r="KB235" s="262"/>
      <c r="KC235" s="262"/>
      <c r="KD235" s="262"/>
      <c r="KE235" s="262"/>
      <c r="KF235" s="262"/>
      <c r="KG235" s="262"/>
      <c r="KH235" s="262"/>
      <c r="KI235" s="262"/>
      <c r="KJ235" s="262"/>
      <c r="KK235" s="262"/>
      <c r="KL235" s="262"/>
      <c r="KM235" s="262"/>
      <c r="KN235" s="262"/>
      <c r="KO235" s="262"/>
      <c r="KP235" s="262"/>
      <c r="KQ235" s="262"/>
      <c r="KR235" s="262"/>
      <c r="KS235" s="262"/>
      <c r="KT235" s="262"/>
      <c r="KU235" s="262"/>
      <c r="KV235" s="262"/>
      <c r="KW235" s="262"/>
      <c r="KX235" s="262"/>
      <c r="KY235" s="262"/>
      <c r="KZ235" s="262"/>
      <c r="LA235" s="262"/>
      <c r="LB235" s="262"/>
      <c r="LC235" s="262"/>
      <c r="LD235" s="262"/>
      <c r="LE235" s="262"/>
      <c r="LF235" s="262"/>
      <c r="LG235" s="262"/>
      <c r="LH235" s="262"/>
      <c r="LI235" s="262"/>
      <c r="LJ235" s="262"/>
      <c r="LK235" s="262"/>
      <c r="LL235" s="262"/>
      <c r="LM235" s="262"/>
      <c r="LN235" s="262"/>
      <c r="LO235" s="262"/>
      <c r="LP235" s="262"/>
      <c r="LQ235" s="262"/>
      <c r="LR235" s="262"/>
      <c r="LS235" s="262"/>
      <c r="LT235" s="262"/>
      <c r="LU235" s="262"/>
      <c r="LV235" s="262"/>
      <c r="LW235" s="262"/>
      <c r="LX235" s="262"/>
      <c r="LY235" s="262"/>
      <c r="LZ235" s="262"/>
      <c r="MA235" s="262"/>
      <c r="MB235" s="262"/>
      <c r="MC235" s="262"/>
      <c r="MD235" s="262"/>
      <c r="ME235" s="262"/>
      <c r="MF235" s="262"/>
      <c r="MG235" s="262"/>
      <c r="MH235" s="262"/>
      <c r="MI235" s="262"/>
      <c r="MJ235" s="262"/>
      <c r="MK235" s="262"/>
      <c r="ML235" s="262"/>
      <c r="MM235" s="262"/>
      <c r="MN235" s="262"/>
      <c r="MO235" s="262"/>
      <c r="MP235" s="262"/>
      <c r="MQ235" s="262"/>
      <c r="MR235" s="262"/>
      <c r="MS235" s="262"/>
      <c r="MT235" s="262"/>
      <c r="MU235" s="262"/>
      <c r="MV235" s="262"/>
      <c r="MW235" s="262"/>
      <c r="MX235" s="262"/>
      <c r="MY235" s="262"/>
      <c r="MZ235" s="262"/>
      <c r="NA235" s="262"/>
      <c r="NB235" s="262"/>
      <c r="NC235" s="262"/>
      <c r="ND235" s="262"/>
      <c r="NE235" s="262"/>
      <c r="NF235" s="262"/>
      <c r="NG235" s="262"/>
      <c r="NH235" s="262"/>
      <c r="NI235" s="262"/>
      <c r="NJ235" s="262"/>
      <c r="NK235" s="262"/>
      <c r="NL235" s="262"/>
      <c r="NM235" s="262"/>
      <c r="NN235" s="262"/>
      <c r="NO235" s="262"/>
      <c r="NP235" s="262"/>
      <c r="NQ235" s="262"/>
      <c r="NR235" s="262"/>
      <c r="NS235" s="262"/>
      <c r="NT235" s="262"/>
      <c r="NU235" s="262"/>
      <c r="NV235" s="262"/>
      <c r="NW235" s="262"/>
      <c r="NX235" s="262"/>
      <c r="NY235" s="262"/>
      <c r="NZ235" s="262"/>
      <c r="OA235" s="262"/>
      <c r="OB235" s="262"/>
      <c r="OC235" s="262"/>
      <c r="OD235" s="262"/>
      <c r="OE235" s="262"/>
      <c r="OF235" s="262"/>
      <c r="OG235" s="262"/>
      <c r="OH235" s="262"/>
      <c r="OI235" s="262"/>
      <c r="OJ235" s="262"/>
      <c r="OK235" s="262"/>
      <c r="OL235" s="262"/>
      <c r="OM235" s="262"/>
      <c r="ON235" s="262"/>
      <c r="OO235" s="262"/>
      <c r="OP235" s="262"/>
      <c r="OQ235" s="262"/>
      <c r="OR235" s="262"/>
      <c r="OS235" s="262"/>
      <c r="OT235" s="262"/>
      <c r="OU235" s="262"/>
      <c r="OV235" s="262"/>
      <c r="OW235" s="262"/>
      <c r="OX235" s="262"/>
      <c r="OY235" s="262"/>
      <c r="OZ235" s="262"/>
      <c r="PA235" s="262"/>
      <c r="PB235" s="262"/>
      <c r="PC235" s="262"/>
      <c r="PD235" s="262"/>
      <c r="PE235" s="262"/>
      <c r="PF235" s="262"/>
      <c r="PG235" s="262"/>
      <c r="PH235" s="262"/>
    </row>
    <row r="236" spans="1:424" x14ac:dyDescent="0.35">
      <c r="A236"/>
      <c r="B236" s="34" t="s">
        <v>446</v>
      </c>
      <c r="C236" s="397"/>
      <c r="D236" s="400"/>
      <c r="E236" s="400" t="s">
        <v>447</v>
      </c>
      <c r="F236" s="87" t="str">
        <f>F235</f>
        <v/>
      </c>
      <c r="G236" s="844" t="str">
        <f>IF('URWLD COMPANY INPUTS'!$F$872="","",'URWLD COMPANY INPUTS'!$F$872+(1-'URWLD COMPANY INPUTS'!$F$872)*$H$228)</f>
        <v/>
      </c>
      <c r="H236" s="884">
        <f>IF($G$236="",$H$228,1-$G$236)</f>
        <v>0</v>
      </c>
      <c r="I236" s="57">
        <f>1-H236</f>
        <v>1</v>
      </c>
      <c r="J236"/>
      <c r="K236"/>
      <c r="L236" s="417">
        <f t="shared" ref="L236:AQ236" si="743">IF(L$227="","",EV235)</f>
        <v>0</v>
      </c>
      <c r="M236" s="417">
        <f t="shared" si="743"/>
        <v>0</v>
      </c>
      <c r="N236" s="417">
        <f t="shared" si="743"/>
        <v>0</v>
      </c>
      <c r="O236" s="417">
        <f t="shared" si="743"/>
        <v>0</v>
      </c>
      <c r="P236" s="417">
        <f t="shared" si="743"/>
        <v>0</v>
      </c>
      <c r="Q236" s="417">
        <f t="shared" si="743"/>
        <v>0</v>
      </c>
      <c r="R236" s="417">
        <f t="shared" si="743"/>
        <v>0</v>
      </c>
      <c r="S236" s="417">
        <f t="shared" si="743"/>
        <v>0</v>
      </c>
      <c r="T236" s="417">
        <f t="shared" si="743"/>
        <v>0</v>
      </c>
      <c r="U236" s="417">
        <f t="shared" si="743"/>
        <v>0</v>
      </c>
      <c r="V236" s="417">
        <f t="shared" si="743"/>
        <v>0</v>
      </c>
      <c r="W236" s="417">
        <f t="shared" si="743"/>
        <v>0</v>
      </c>
      <c r="X236" s="417">
        <f t="shared" si="743"/>
        <v>0</v>
      </c>
      <c r="Y236" s="417">
        <f t="shared" si="743"/>
        <v>0</v>
      </c>
      <c r="Z236" s="417">
        <f t="shared" si="743"/>
        <v>0</v>
      </c>
      <c r="AA236" s="417">
        <f t="shared" si="743"/>
        <v>0</v>
      </c>
      <c r="AB236" s="417">
        <f t="shared" si="743"/>
        <v>0</v>
      </c>
      <c r="AC236" s="417">
        <f t="shared" si="743"/>
        <v>0</v>
      </c>
      <c r="AD236" s="417">
        <f t="shared" si="743"/>
        <v>0</v>
      </c>
      <c r="AE236" s="417">
        <f t="shared" si="743"/>
        <v>0</v>
      </c>
      <c r="AF236" s="417">
        <f t="shared" si="743"/>
        <v>0</v>
      </c>
      <c r="AG236" s="417">
        <f t="shared" si="743"/>
        <v>0</v>
      </c>
      <c r="AH236" s="417">
        <f t="shared" si="743"/>
        <v>0</v>
      </c>
      <c r="AI236" s="417">
        <f t="shared" si="743"/>
        <v>0</v>
      </c>
      <c r="AJ236" s="417">
        <f t="shared" si="743"/>
        <v>0</v>
      </c>
      <c r="AK236" s="417">
        <f t="shared" si="743"/>
        <v>0</v>
      </c>
      <c r="AL236" s="417">
        <f t="shared" si="743"/>
        <v>0</v>
      </c>
      <c r="AM236" s="417">
        <f t="shared" si="743"/>
        <v>0</v>
      </c>
      <c r="AN236" s="417">
        <f t="shared" si="743"/>
        <v>0</v>
      </c>
      <c r="AO236" s="417">
        <f t="shared" si="743"/>
        <v>0</v>
      </c>
      <c r="AP236" s="417">
        <f t="shared" si="743"/>
        <v>0</v>
      </c>
      <c r="AQ236" s="417">
        <f t="shared" si="743"/>
        <v>0</v>
      </c>
      <c r="AR236" s="417">
        <f t="shared" ref="AR236:BW236" si="744">IF(AR$227="","",GB235)</f>
        <v>0</v>
      </c>
      <c r="AS236" s="417">
        <f t="shared" si="744"/>
        <v>0</v>
      </c>
      <c r="AT236" s="417">
        <f t="shared" si="744"/>
        <v>0</v>
      </c>
      <c r="AU236" s="417">
        <f t="shared" si="744"/>
        <v>0</v>
      </c>
      <c r="AV236" s="417">
        <f t="shared" si="744"/>
        <v>0</v>
      </c>
      <c r="AW236" s="417">
        <f t="shared" si="744"/>
        <v>0</v>
      </c>
      <c r="AX236" s="417">
        <f t="shared" si="744"/>
        <v>0</v>
      </c>
      <c r="AY236" s="417">
        <f t="shared" si="744"/>
        <v>0</v>
      </c>
      <c r="AZ236" s="417">
        <f t="shared" si="744"/>
        <v>0</v>
      </c>
      <c r="BA236" s="417">
        <f t="shared" si="744"/>
        <v>0</v>
      </c>
      <c r="BB236" s="417">
        <f t="shared" si="744"/>
        <v>0</v>
      </c>
      <c r="BC236" s="417">
        <f t="shared" si="744"/>
        <v>0</v>
      </c>
      <c r="BD236" s="75">
        <f t="shared" si="744"/>
        <v>0</v>
      </c>
      <c r="BE236" s="75">
        <f t="shared" si="744"/>
        <v>0</v>
      </c>
      <c r="BF236" s="75">
        <f t="shared" si="744"/>
        <v>0</v>
      </c>
      <c r="BG236" s="75">
        <f t="shared" si="744"/>
        <v>0</v>
      </c>
      <c r="BH236" s="75">
        <f t="shared" si="744"/>
        <v>0</v>
      </c>
      <c r="BI236" s="75">
        <f t="shared" si="744"/>
        <v>0</v>
      </c>
      <c r="BJ236" s="75">
        <f t="shared" si="744"/>
        <v>0</v>
      </c>
      <c r="BK236" s="75">
        <f t="shared" si="744"/>
        <v>0</v>
      </c>
      <c r="BL236" s="75">
        <f t="shared" si="744"/>
        <v>0</v>
      </c>
      <c r="BM236" s="75">
        <f t="shared" si="744"/>
        <v>0</v>
      </c>
      <c r="BN236" s="75">
        <f t="shared" si="744"/>
        <v>0</v>
      </c>
      <c r="BO236" s="75">
        <f t="shared" si="744"/>
        <v>0</v>
      </c>
      <c r="BP236" s="75">
        <f t="shared" si="744"/>
        <v>0</v>
      </c>
      <c r="BQ236" s="75">
        <f t="shared" si="744"/>
        <v>0</v>
      </c>
      <c r="BR236" s="75">
        <f t="shared" si="744"/>
        <v>0</v>
      </c>
      <c r="BS236" s="75">
        <f t="shared" si="744"/>
        <v>0</v>
      </c>
      <c r="BT236" s="75">
        <f t="shared" si="744"/>
        <v>0</v>
      </c>
      <c r="BU236" s="75">
        <f t="shared" si="744"/>
        <v>300946221.77460557</v>
      </c>
      <c r="BV236" s="75" t="str">
        <f t="shared" si="744"/>
        <v/>
      </c>
      <c r="BW236" s="75" t="str">
        <f t="shared" si="744"/>
        <v/>
      </c>
      <c r="BX236" s="75" t="str">
        <f t="shared" ref="BX236:DC236" si="745">IF(BX$227="","",HH235)</f>
        <v/>
      </c>
      <c r="BY236" s="75" t="str">
        <f t="shared" si="745"/>
        <v/>
      </c>
      <c r="BZ236" s="75" t="str">
        <f t="shared" si="745"/>
        <v/>
      </c>
      <c r="CA236" s="75" t="str">
        <f t="shared" si="745"/>
        <v/>
      </c>
      <c r="CB236" s="75" t="str">
        <f t="shared" si="745"/>
        <v/>
      </c>
      <c r="CC236" s="75" t="str">
        <f t="shared" si="745"/>
        <v/>
      </c>
      <c r="CD236" s="75" t="str">
        <f t="shared" si="745"/>
        <v/>
      </c>
      <c r="CE236" s="75" t="str">
        <f t="shared" si="745"/>
        <v/>
      </c>
      <c r="CF236" s="75" t="str">
        <f t="shared" si="745"/>
        <v/>
      </c>
      <c r="CG236" s="75" t="str">
        <f t="shared" si="745"/>
        <v/>
      </c>
      <c r="CH236" s="75" t="str">
        <f t="shared" si="745"/>
        <v/>
      </c>
      <c r="CI236" s="75" t="str">
        <f t="shared" si="745"/>
        <v/>
      </c>
      <c r="CJ236" s="75" t="str">
        <f t="shared" si="745"/>
        <v/>
      </c>
      <c r="CK236" s="75" t="str">
        <f t="shared" si="745"/>
        <v/>
      </c>
      <c r="CL236" s="75" t="str">
        <f t="shared" si="745"/>
        <v/>
      </c>
      <c r="CM236" s="75" t="str">
        <f t="shared" si="745"/>
        <v/>
      </c>
      <c r="CN236" s="75" t="str">
        <f t="shared" si="745"/>
        <v/>
      </c>
      <c r="CO236" s="75" t="str">
        <f t="shared" si="745"/>
        <v/>
      </c>
      <c r="CP236" s="75" t="str">
        <f t="shared" si="745"/>
        <v/>
      </c>
      <c r="CQ236" s="75" t="str">
        <f t="shared" si="745"/>
        <v/>
      </c>
      <c r="CR236" s="75" t="str">
        <f t="shared" si="745"/>
        <v/>
      </c>
      <c r="CS236" s="75" t="str">
        <f t="shared" si="745"/>
        <v/>
      </c>
      <c r="CT236" s="75" t="str">
        <f t="shared" si="745"/>
        <v/>
      </c>
      <c r="CU236" s="75" t="str">
        <f t="shared" si="745"/>
        <v/>
      </c>
      <c r="CV236" s="75" t="str">
        <f t="shared" si="745"/>
        <v/>
      </c>
      <c r="CW236" s="75" t="str">
        <f t="shared" si="745"/>
        <v/>
      </c>
      <c r="CX236" s="75" t="str">
        <f t="shared" si="745"/>
        <v/>
      </c>
      <c r="CY236" s="75" t="str">
        <f t="shared" si="745"/>
        <v/>
      </c>
      <c r="CZ236" s="75" t="str">
        <f t="shared" si="745"/>
        <v/>
      </c>
      <c r="DA236" s="75" t="str">
        <f t="shared" si="745"/>
        <v/>
      </c>
      <c r="DB236" s="75" t="str">
        <f t="shared" si="745"/>
        <v/>
      </c>
      <c r="DC236" s="75" t="str">
        <f t="shared" si="745"/>
        <v/>
      </c>
      <c r="DD236" s="75" t="str">
        <f t="shared" ref="DD236:EI236" si="746">IF(DD$227="","",IN235)</f>
        <v/>
      </c>
      <c r="DE236" s="75" t="str">
        <f t="shared" si="746"/>
        <v/>
      </c>
      <c r="DF236" s="75" t="str">
        <f t="shared" si="746"/>
        <v/>
      </c>
      <c r="DG236" s="75" t="str">
        <f t="shared" si="746"/>
        <v/>
      </c>
      <c r="DH236" s="75" t="str">
        <f t="shared" si="746"/>
        <v/>
      </c>
      <c r="DI236" s="75" t="str">
        <f t="shared" si="746"/>
        <v/>
      </c>
      <c r="DJ236" s="75" t="str">
        <f t="shared" si="746"/>
        <v/>
      </c>
      <c r="DK236" s="75" t="str">
        <f t="shared" si="746"/>
        <v/>
      </c>
      <c r="DL236" s="75" t="str">
        <f t="shared" si="746"/>
        <v/>
      </c>
      <c r="DM236" s="75" t="str">
        <f t="shared" si="746"/>
        <v/>
      </c>
      <c r="DN236" s="75" t="str">
        <f t="shared" si="746"/>
        <v/>
      </c>
      <c r="DO236" s="75" t="str">
        <f t="shared" si="746"/>
        <v/>
      </c>
      <c r="DP236" s="75" t="str">
        <f t="shared" si="746"/>
        <v/>
      </c>
      <c r="DQ236" s="75" t="str">
        <f t="shared" si="746"/>
        <v/>
      </c>
      <c r="DR236" s="75" t="str">
        <f t="shared" si="746"/>
        <v/>
      </c>
      <c r="DS236" s="75" t="str">
        <f t="shared" si="746"/>
        <v/>
      </c>
      <c r="DT236" s="75" t="str">
        <f t="shared" si="746"/>
        <v/>
      </c>
      <c r="DU236" s="75" t="str">
        <f t="shared" si="746"/>
        <v/>
      </c>
      <c r="DV236" s="75" t="str">
        <f t="shared" si="746"/>
        <v/>
      </c>
      <c r="DW236" s="75" t="str">
        <f t="shared" si="746"/>
        <v/>
      </c>
      <c r="DX236" s="75" t="str">
        <f t="shared" si="746"/>
        <v/>
      </c>
      <c r="DY236" s="75" t="str">
        <f t="shared" si="746"/>
        <v/>
      </c>
      <c r="DZ236" s="75" t="str">
        <f t="shared" si="746"/>
        <v/>
      </c>
      <c r="EA236" s="75" t="str">
        <f t="shared" si="746"/>
        <v/>
      </c>
      <c r="EB236" s="75" t="str">
        <f t="shared" si="746"/>
        <v/>
      </c>
      <c r="EC236" s="75" t="str">
        <f t="shared" si="746"/>
        <v/>
      </c>
      <c r="ED236" s="75" t="str">
        <f t="shared" si="746"/>
        <v/>
      </c>
      <c r="EE236" s="75" t="str">
        <f t="shared" si="746"/>
        <v/>
      </c>
      <c r="EF236" s="75" t="str">
        <f t="shared" si="746"/>
        <v/>
      </c>
      <c r="EG236" s="75" t="str">
        <f t="shared" si="746"/>
        <v/>
      </c>
      <c r="EH236" s="75" t="str">
        <f t="shared" si="746"/>
        <v/>
      </c>
      <c r="EI236" s="75" t="str">
        <f t="shared" si="746"/>
        <v/>
      </c>
      <c r="EJ236" s="75" t="str">
        <f>IF(EJ$227="","",JT235)</f>
        <v/>
      </c>
      <c r="EK236" s="75" t="str">
        <f>IF(EK$227="","",JU235)</f>
        <v/>
      </c>
      <c r="EL236" s="75" t="str">
        <f>IF(EL$227="","",JV235)</f>
        <v/>
      </c>
      <c r="EM236" s="75" t="str">
        <f>IF(EM$227="","",JW235)</f>
        <v/>
      </c>
      <c r="EN236" s="75" t="str">
        <f>IF(EN$227="","",JX235)</f>
        <v/>
      </c>
      <c r="EO236"/>
      <c r="EP236" s="405"/>
      <c r="EQ236" s="524"/>
      <c r="ER236" s="524"/>
      <c r="ES236" s="524"/>
      <c r="ET236" s="18" t="s">
        <v>448</v>
      </c>
      <c r="EU236" s="302"/>
      <c r="EV236" s="418">
        <f>IF(L244="",0,L244-EV210)</f>
        <v>0</v>
      </c>
      <c r="EW236" s="418">
        <f t="shared" ref="EW236:GA236" si="747">IF(M244="",0,M244-EW210)</f>
        <v>0</v>
      </c>
      <c r="EX236" s="418">
        <f t="shared" si="747"/>
        <v>0</v>
      </c>
      <c r="EY236" s="418">
        <f t="shared" si="747"/>
        <v>0</v>
      </c>
      <c r="EZ236" s="418">
        <f t="shared" si="747"/>
        <v>0</v>
      </c>
      <c r="FA236" s="418">
        <f t="shared" si="747"/>
        <v>0</v>
      </c>
      <c r="FB236" s="418">
        <f t="shared" si="747"/>
        <v>0</v>
      </c>
      <c r="FC236" s="418">
        <f t="shared" si="747"/>
        <v>0</v>
      </c>
      <c r="FD236" s="418">
        <f t="shared" si="747"/>
        <v>0</v>
      </c>
      <c r="FE236" s="418">
        <f t="shared" si="747"/>
        <v>0</v>
      </c>
      <c r="FF236" s="418">
        <f t="shared" si="747"/>
        <v>0</v>
      </c>
      <c r="FG236" s="418">
        <f t="shared" si="747"/>
        <v>0</v>
      </c>
      <c r="FH236" s="418">
        <f t="shared" si="747"/>
        <v>0</v>
      </c>
      <c r="FI236" s="418">
        <f t="shared" si="747"/>
        <v>0</v>
      </c>
      <c r="FJ236" s="418">
        <f t="shared" si="747"/>
        <v>0</v>
      </c>
      <c r="FK236" s="418">
        <f t="shared" si="747"/>
        <v>0</v>
      </c>
      <c r="FL236" s="418">
        <f t="shared" si="747"/>
        <v>0</v>
      </c>
      <c r="FM236" s="418">
        <f t="shared" si="747"/>
        <v>0</v>
      </c>
      <c r="FN236" s="418">
        <f t="shared" si="747"/>
        <v>0</v>
      </c>
      <c r="FO236" s="418">
        <f t="shared" si="747"/>
        <v>0</v>
      </c>
      <c r="FP236" s="418">
        <f t="shared" si="747"/>
        <v>0</v>
      </c>
      <c r="FQ236" s="418">
        <f t="shared" si="747"/>
        <v>0</v>
      </c>
      <c r="FR236" s="418">
        <f t="shared" si="747"/>
        <v>0</v>
      </c>
      <c r="FS236" s="418">
        <f t="shared" si="747"/>
        <v>0</v>
      </c>
      <c r="FT236" s="418">
        <f t="shared" si="747"/>
        <v>0</v>
      </c>
      <c r="FU236" s="418">
        <f t="shared" si="747"/>
        <v>0</v>
      </c>
      <c r="FV236" s="418">
        <f t="shared" si="747"/>
        <v>0</v>
      </c>
      <c r="FW236" s="418">
        <f t="shared" si="747"/>
        <v>0</v>
      </c>
      <c r="FX236" s="418">
        <f t="shared" si="747"/>
        <v>0</v>
      </c>
      <c r="FY236" s="418">
        <f t="shared" si="747"/>
        <v>0</v>
      </c>
      <c r="FZ236" s="418">
        <f t="shared" si="747"/>
        <v>0</v>
      </c>
      <c r="GA236" s="418">
        <f t="shared" si="747"/>
        <v>0</v>
      </c>
      <c r="GB236" s="418">
        <f t="shared" ref="GB236:HG236" si="748">IF(AR244="",0,AR244-GB210)</f>
        <v>0</v>
      </c>
      <c r="GC236" s="418">
        <f t="shared" si="748"/>
        <v>0</v>
      </c>
      <c r="GD236" s="418">
        <f t="shared" si="748"/>
        <v>0</v>
      </c>
      <c r="GE236" s="418">
        <f t="shared" si="748"/>
        <v>0</v>
      </c>
      <c r="GF236" s="418">
        <f t="shared" si="748"/>
        <v>0</v>
      </c>
      <c r="GG236" s="418">
        <f t="shared" si="748"/>
        <v>0</v>
      </c>
      <c r="GH236" s="418">
        <f t="shared" si="748"/>
        <v>0</v>
      </c>
      <c r="GI236" s="418">
        <f t="shared" si="748"/>
        <v>0</v>
      </c>
      <c r="GJ236" s="418">
        <f t="shared" si="748"/>
        <v>0</v>
      </c>
      <c r="GK236" s="418">
        <f t="shared" si="748"/>
        <v>0</v>
      </c>
      <c r="GL236" s="418">
        <f t="shared" si="748"/>
        <v>0</v>
      </c>
      <c r="GM236" s="418">
        <f t="shared" si="748"/>
        <v>0</v>
      </c>
      <c r="GN236" s="418">
        <f t="shared" si="748"/>
        <v>0</v>
      </c>
      <c r="GO236" s="418">
        <f t="shared" si="748"/>
        <v>0</v>
      </c>
      <c r="GP236" s="418">
        <f t="shared" si="748"/>
        <v>0</v>
      </c>
      <c r="GQ236" s="418">
        <f t="shared" si="748"/>
        <v>0</v>
      </c>
      <c r="GR236" s="418">
        <f t="shared" si="748"/>
        <v>0</v>
      </c>
      <c r="GS236" s="418">
        <f t="shared" si="748"/>
        <v>0</v>
      </c>
      <c r="GT236" s="418">
        <f t="shared" si="748"/>
        <v>0</v>
      </c>
      <c r="GU236" s="418">
        <f t="shared" si="748"/>
        <v>0</v>
      </c>
      <c r="GV236" s="418">
        <f t="shared" si="748"/>
        <v>0</v>
      </c>
      <c r="GW236" s="418">
        <f t="shared" si="748"/>
        <v>0</v>
      </c>
      <c r="GX236" s="418">
        <f t="shared" si="748"/>
        <v>0</v>
      </c>
      <c r="GY236" s="418">
        <f t="shared" si="748"/>
        <v>0</v>
      </c>
      <c r="GZ236" s="418">
        <f t="shared" si="748"/>
        <v>0</v>
      </c>
      <c r="HA236" s="418">
        <f t="shared" si="748"/>
        <v>0</v>
      </c>
      <c r="HB236" s="418">
        <f t="shared" si="748"/>
        <v>0</v>
      </c>
      <c r="HC236" s="418">
        <f t="shared" si="748"/>
        <v>0</v>
      </c>
      <c r="HD236" s="418">
        <f t="shared" si="748"/>
        <v>0</v>
      </c>
      <c r="HE236" s="418">
        <f t="shared" si="748"/>
        <v>0</v>
      </c>
      <c r="HF236" s="418">
        <f t="shared" si="748"/>
        <v>0</v>
      </c>
      <c r="HG236" s="418">
        <f t="shared" si="748"/>
        <v>0</v>
      </c>
      <c r="HH236" s="418">
        <f t="shared" ref="HH236:IM236" si="749">IF(BX244="",0,BX244-HH210)</f>
        <v>0</v>
      </c>
      <c r="HI236" s="418">
        <f t="shared" si="749"/>
        <v>0</v>
      </c>
      <c r="HJ236" s="418">
        <f t="shared" si="749"/>
        <v>0</v>
      </c>
      <c r="HK236" s="418">
        <f t="shared" si="749"/>
        <v>0</v>
      </c>
      <c r="HL236" s="418">
        <f t="shared" si="749"/>
        <v>0</v>
      </c>
      <c r="HM236" s="418">
        <f t="shared" si="749"/>
        <v>0</v>
      </c>
      <c r="HN236" s="418">
        <f t="shared" si="749"/>
        <v>0</v>
      </c>
      <c r="HO236" s="418">
        <f t="shared" si="749"/>
        <v>0</v>
      </c>
      <c r="HP236" s="418">
        <f t="shared" si="749"/>
        <v>0</v>
      </c>
      <c r="HQ236" s="418">
        <f t="shared" si="749"/>
        <v>0</v>
      </c>
      <c r="HR236" s="418">
        <f t="shared" si="749"/>
        <v>0</v>
      </c>
      <c r="HS236" s="418">
        <f t="shared" si="749"/>
        <v>0</v>
      </c>
      <c r="HT236" s="418">
        <f t="shared" si="749"/>
        <v>0</v>
      </c>
      <c r="HU236" s="418">
        <f t="shared" si="749"/>
        <v>0</v>
      </c>
      <c r="HV236" s="418">
        <f t="shared" si="749"/>
        <v>0</v>
      </c>
      <c r="HW236" s="418">
        <f t="shared" si="749"/>
        <v>0</v>
      </c>
      <c r="HX236" s="418">
        <f t="shared" si="749"/>
        <v>0</v>
      </c>
      <c r="HY236" s="418">
        <f t="shared" si="749"/>
        <v>0</v>
      </c>
      <c r="HZ236" s="418">
        <f t="shared" si="749"/>
        <v>0</v>
      </c>
      <c r="IA236" s="418">
        <f t="shared" si="749"/>
        <v>0</v>
      </c>
      <c r="IB236" s="418">
        <f t="shared" si="749"/>
        <v>0</v>
      </c>
      <c r="IC236" s="418">
        <f t="shared" si="749"/>
        <v>0</v>
      </c>
      <c r="ID236" s="418">
        <f t="shared" si="749"/>
        <v>0</v>
      </c>
      <c r="IE236" s="418">
        <f t="shared" si="749"/>
        <v>0</v>
      </c>
      <c r="IF236" s="418">
        <f t="shared" si="749"/>
        <v>0</v>
      </c>
      <c r="IG236" s="418">
        <f t="shared" si="749"/>
        <v>0</v>
      </c>
      <c r="IH236" s="418">
        <f t="shared" si="749"/>
        <v>0</v>
      </c>
      <c r="II236" s="418">
        <f t="shared" si="749"/>
        <v>0</v>
      </c>
      <c r="IJ236" s="418">
        <f t="shared" si="749"/>
        <v>0</v>
      </c>
      <c r="IK236" s="418">
        <f t="shared" si="749"/>
        <v>0</v>
      </c>
      <c r="IL236" s="418">
        <f t="shared" si="749"/>
        <v>0</v>
      </c>
      <c r="IM236" s="418">
        <f t="shared" si="749"/>
        <v>0</v>
      </c>
      <c r="IN236" s="418">
        <f t="shared" ref="IN236:JS236" si="750">IF(DD244="",0,DD244-IN210)</f>
        <v>0</v>
      </c>
      <c r="IO236" s="418">
        <f t="shared" si="750"/>
        <v>0</v>
      </c>
      <c r="IP236" s="418">
        <f t="shared" si="750"/>
        <v>0</v>
      </c>
      <c r="IQ236" s="418">
        <f t="shared" si="750"/>
        <v>0</v>
      </c>
      <c r="IR236" s="418">
        <f t="shared" si="750"/>
        <v>0</v>
      </c>
      <c r="IS236" s="418">
        <f t="shared" si="750"/>
        <v>0</v>
      </c>
      <c r="IT236" s="418">
        <f t="shared" si="750"/>
        <v>0</v>
      </c>
      <c r="IU236" s="418">
        <f t="shared" si="750"/>
        <v>0</v>
      </c>
      <c r="IV236" s="418">
        <f t="shared" si="750"/>
        <v>0</v>
      </c>
      <c r="IW236" s="418">
        <f t="shared" si="750"/>
        <v>0</v>
      </c>
      <c r="IX236" s="418">
        <f t="shared" si="750"/>
        <v>0</v>
      </c>
      <c r="IY236" s="418">
        <f t="shared" si="750"/>
        <v>0</v>
      </c>
      <c r="IZ236" s="418">
        <f t="shared" si="750"/>
        <v>0</v>
      </c>
      <c r="JA236" s="418">
        <f t="shared" si="750"/>
        <v>0</v>
      </c>
      <c r="JB236" s="418">
        <f t="shared" si="750"/>
        <v>0</v>
      </c>
      <c r="JC236" s="418">
        <f t="shared" si="750"/>
        <v>0</v>
      </c>
      <c r="JD236" s="418">
        <f t="shared" si="750"/>
        <v>0</v>
      </c>
      <c r="JE236" s="418">
        <f t="shared" si="750"/>
        <v>0</v>
      </c>
      <c r="JF236" s="418">
        <f t="shared" si="750"/>
        <v>0</v>
      </c>
      <c r="JG236" s="418">
        <f t="shared" si="750"/>
        <v>0</v>
      </c>
      <c r="JH236" s="418">
        <f t="shared" si="750"/>
        <v>0</v>
      </c>
      <c r="JI236" s="418">
        <f t="shared" si="750"/>
        <v>0</v>
      </c>
      <c r="JJ236" s="418">
        <f t="shared" si="750"/>
        <v>0</v>
      </c>
      <c r="JK236" s="418">
        <f t="shared" si="750"/>
        <v>0</v>
      </c>
      <c r="JL236" s="418">
        <f t="shared" si="750"/>
        <v>0</v>
      </c>
      <c r="JM236" s="418">
        <f t="shared" si="750"/>
        <v>0</v>
      </c>
      <c r="JN236" s="418">
        <f t="shared" si="750"/>
        <v>0</v>
      </c>
      <c r="JO236" s="418">
        <f t="shared" si="750"/>
        <v>0</v>
      </c>
      <c r="JP236" s="418">
        <f t="shared" si="750"/>
        <v>0</v>
      </c>
      <c r="JQ236" s="418">
        <f t="shared" si="750"/>
        <v>0</v>
      </c>
      <c r="JR236" s="418">
        <f t="shared" si="750"/>
        <v>0</v>
      </c>
      <c r="JS236" s="418">
        <f t="shared" si="750"/>
        <v>0</v>
      </c>
      <c r="JT236" s="418">
        <f>IF(EJ244="",0,EJ244-JT210)</f>
        <v>0</v>
      </c>
      <c r="JU236" s="418">
        <f>IF(EK244="",0,EK244-JU210)</f>
        <v>0</v>
      </c>
      <c r="JV236" s="418">
        <f>IF(EL244="",0,EL244-JV210)</f>
        <v>0</v>
      </c>
      <c r="JW236" s="418">
        <f>IF(EM244="",0,EM244-JW210)</f>
        <v>0</v>
      </c>
      <c r="JX236" s="418">
        <f>IF(EN244="",0,EN244-JX210)</f>
        <v>0</v>
      </c>
      <c r="JY236"/>
      <c r="JZ236" s="262"/>
      <c r="KA236" s="262"/>
      <c r="KB236" s="262"/>
      <c r="KC236" s="262"/>
      <c r="KD236" s="262"/>
      <c r="KE236" s="262"/>
      <c r="KF236" s="262"/>
      <c r="KG236" s="262"/>
      <c r="KH236" s="262"/>
      <c r="KI236" s="262"/>
      <c r="KJ236" s="262"/>
      <c r="KK236" s="262"/>
      <c r="KL236" s="262"/>
      <c r="KM236" s="262"/>
      <c r="KN236" s="262"/>
      <c r="KO236" s="262"/>
      <c r="KP236" s="262"/>
      <c r="KQ236" s="262"/>
      <c r="KR236" s="262"/>
      <c r="KS236" s="262"/>
      <c r="KT236" s="262"/>
      <c r="KU236" s="262"/>
      <c r="KV236" s="262"/>
      <c r="KW236" s="262"/>
      <c r="KX236" s="262"/>
      <c r="KY236" s="262"/>
      <c r="KZ236" s="262"/>
      <c r="LA236" s="262"/>
      <c r="LB236" s="262"/>
      <c r="LC236" s="262"/>
      <c r="LD236" s="262"/>
      <c r="LE236" s="262"/>
      <c r="LF236" s="262"/>
      <c r="LG236" s="262"/>
      <c r="LH236" s="262"/>
      <c r="LI236" s="262"/>
      <c r="LJ236" s="262"/>
      <c r="LK236" s="262"/>
      <c r="LL236" s="262"/>
      <c r="LM236" s="262"/>
      <c r="LN236" s="262"/>
      <c r="LO236" s="262"/>
      <c r="LP236" s="262"/>
      <c r="LQ236" s="262"/>
      <c r="LR236" s="262"/>
      <c r="LS236" s="262"/>
      <c r="LT236" s="262"/>
      <c r="LU236" s="262"/>
      <c r="LV236" s="262"/>
      <c r="LW236" s="262"/>
      <c r="LX236" s="262"/>
      <c r="LY236" s="262"/>
      <c r="LZ236" s="262"/>
      <c r="MA236" s="262"/>
      <c r="MB236" s="262"/>
      <c r="MC236" s="262"/>
      <c r="MD236" s="262"/>
      <c r="ME236" s="262"/>
      <c r="MF236" s="262"/>
      <c r="MG236" s="262"/>
      <c r="MH236" s="262"/>
      <c r="MI236" s="262"/>
      <c r="MJ236" s="262"/>
      <c r="MK236" s="262"/>
      <c r="ML236" s="262"/>
      <c r="MM236" s="262"/>
      <c r="MN236" s="262"/>
      <c r="MO236" s="262"/>
      <c r="MP236" s="262"/>
      <c r="MQ236" s="262"/>
      <c r="MR236" s="262"/>
      <c r="MS236" s="262"/>
      <c r="MT236" s="262"/>
      <c r="MU236" s="262"/>
      <c r="MV236" s="262"/>
      <c r="MW236" s="262"/>
      <c r="MX236" s="262"/>
      <c r="MY236" s="262"/>
      <c r="MZ236" s="262"/>
      <c r="NA236" s="262"/>
      <c r="NB236" s="262"/>
      <c r="NC236" s="262"/>
      <c r="ND236" s="262"/>
      <c r="NE236" s="262"/>
      <c r="NF236" s="262"/>
      <c r="NG236" s="262"/>
      <c r="NH236" s="262"/>
      <c r="NI236" s="262"/>
      <c r="NJ236" s="262"/>
      <c r="NK236" s="262"/>
      <c r="NL236" s="262"/>
      <c r="NM236" s="262"/>
      <c r="NN236" s="262"/>
      <c r="NO236" s="262"/>
      <c r="NP236" s="262"/>
      <c r="NQ236" s="262"/>
      <c r="NR236" s="262"/>
      <c r="NS236" s="262"/>
      <c r="NT236" s="262"/>
      <c r="NU236" s="262"/>
      <c r="NV236" s="262"/>
      <c r="NW236" s="262"/>
      <c r="NX236" s="262"/>
      <c r="NY236" s="262"/>
      <c r="NZ236" s="262"/>
      <c r="OA236" s="262"/>
      <c r="OB236" s="262"/>
      <c r="OC236" s="262"/>
      <c r="OD236" s="262"/>
      <c r="OE236" s="262"/>
      <c r="OF236" s="262"/>
      <c r="OG236" s="262"/>
      <c r="OH236" s="262"/>
      <c r="OI236" s="262"/>
      <c r="OJ236" s="262"/>
      <c r="OK236" s="262"/>
      <c r="OL236" s="262"/>
      <c r="OM236" s="262"/>
      <c r="ON236" s="262"/>
      <c r="OO236" s="262"/>
      <c r="OP236" s="262"/>
      <c r="OQ236" s="262"/>
      <c r="OR236" s="262"/>
      <c r="OS236" s="262"/>
      <c r="OT236" s="262"/>
      <c r="OU236" s="262"/>
      <c r="OV236" s="262"/>
      <c r="OW236" s="262"/>
      <c r="OX236" s="262"/>
      <c r="OY236" s="262"/>
      <c r="OZ236" s="262"/>
      <c r="PA236" s="262"/>
      <c r="PB236" s="262"/>
      <c r="PC236" s="262"/>
      <c r="PD236" s="262"/>
      <c r="PE236" s="262"/>
      <c r="PF236" s="262"/>
      <c r="PG236" s="262"/>
      <c r="PH236" s="262"/>
    </row>
    <row r="237" spans="1:424" x14ac:dyDescent="0.35">
      <c r="A237"/>
      <c r="B237" s="34"/>
      <c r="C237" s="397"/>
      <c r="D237" s="397"/>
      <c r="E237" s="397"/>
      <c r="F237" s="397"/>
      <c r="G237" s="397"/>
      <c r="H237" s="397"/>
      <c r="I237" s="39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s="527" t="s">
        <v>449</v>
      </c>
      <c r="EQ237" s="524"/>
      <c r="ER237" s="524"/>
      <c r="ES237" s="524"/>
      <c r="ET237" s="524"/>
      <c r="EU237" s="18"/>
      <c r="EV237" s="524"/>
      <c r="EW237" s="524"/>
      <c r="EX237" s="524"/>
      <c r="EY237" s="524"/>
      <c r="EZ237" s="524"/>
      <c r="FA237" s="524"/>
      <c r="FB237" s="524"/>
      <c r="FC237" s="524"/>
      <c r="FD237" s="524"/>
      <c r="FE237" s="524"/>
      <c r="FF237" s="524"/>
      <c r="FG237" s="524"/>
      <c r="FH237" s="524"/>
      <c r="FI237" s="524"/>
      <c r="FJ237" s="524"/>
      <c r="FK237" s="524"/>
      <c r="FL237" s="524"/>
      <c r="FM237" s="524"/>
      <c r="FN237" s="524"/>
      <c r="FO237" s="524"/>
      <c r="FP237" s="524"/>
      <c r="FQ237" s="524"/>
      <c r="FR237" s="524"/>
      <c r="FS237" s="524"/>
      <c r="FT237" s="524"/>
      <c r="FU237" s="524"/>
      <c r="FV237" s="524"/>
      <c r="FW237" s="524"/>
      <c r="FX237" s="524"/>
      <c r="FY237" s="524"/>
      <c r="FZ237" s="524"/>
      <c r="GA237" s="524"/>
      <c r="GB237" s="524"/>
      <c r="GC237" s="524"/>
      <c r="GD237" s="524"/>
      <c r="GE237" s="524"/>
      <c r="GF237" s="524"/>
      <c r="GG237" s="524"/>
      <c r="GH237" s="524"/>
      <c r="GI237" s="524"/>
      <c r="GJ237" s="524"/>
      <c r="GK237" s="524"/>
      <c r="GL237" s="524"/>
      <c r="GM237" s="524"/>
      <c r="GN237" s="524"/>
      <c r="GO237" s="524"/>
      <c r="GP237" s="524"/>
      <c r="GQ237" s="524"/>
      <c r="GR237" s="524"/>
      <c r="GS237" s="524"/>
      <c r="GT237" s="524"/>
      <c r="GU237" s="524"/>
      <c r="GV237" s="524"/>
      <c r="GW237" s="524"/>
      <c r="GX237" s="524"/>
      <c r="GY237" s="524"/>
      <c r="GZ237" s="524"/>
      <c r="HA237" s="524"/>
      <c r="HB237" s="524"/>
      <c r="HC237" s="524"/>
      <c r="HD237" s="524"/>
      <c r="HE237" s="524"/>
      <c r="HF237" s="524"/>
      <c r="HG237" s="524"/>
      <c r="HH237" s="524"/>
      <c r="HI237" s="524"/>
      <c r="HJ237" s="524"/>
      <c r="HK237" s="524"/>
      <c r="HL237" s="524"/>
      <c r="HM237" s="524"/>
      <c r="HN237" s="524"/>
      <c r="HO237" s="524"/>
      <c r="HP237" s="524"/>
      <c r="HQ237" s="524"/>
      <c r="HR237" s="524"/>
      <c r="HS237" s="524"/>
      <c r="HT237" s="524"/>
      <c r="HU237" s="524"/>
      <c r="HV237" s="524"/>
      <c r="HW237" s="524"/>
      <c r="HX237" s="524"/>
      <c r="HY237" s="524"/>
      <c r="HZ237" s="524"/>
      <c r="IA237" s="524"/>
      <c r="IB237" s="524"/>
      <c r="IC237" s="524"/>
      <c r="ID237" s="524"/>
      <c r="IE237" s="524"/>
      <c r="IF237" s="524"/>
      <c r="IG237" s="524"/>
      <c r="IH237" s="524"/>
      <c r="II237" s="524"/>
      <c r="IJ237" s="524"/>
      <c r="IK237" s="524"/>
      <c r="IL237" s="524"/>
      <c r="IM237" s="524"/>
      <c r="IN237" s="524"/>
      <c r="IO237" s="524"/>
      <c r="IP237" s="524"/>
      <c r="IQ237" s="524"/>
      <c r="IR237" s="524"/>
      <c r="IS237" s="524"/>
      <c r="IT237" s="524"/>
      <c r="IU237" s="524"/>
      <c r="IV237" s="524"/>
      <c r="IW237" s="524"/>
      <c r="IX237" s="524"/>
      <c r="IY237" s="524"/>
      <c r="IZ237" s="524"/>
      <c r="JA237" s="524"/>
      <c r="JB237" s="524"/>
      <c r="JC237" s="524"/>
      <c r="JD237" s="524"/>
      <c r="JE237" s="524"/>
      <c r="JF237" s="524"/>
      <c r="JG237" s="524"/>
      <c r="JH237" s="524"/>
      <c r="JI237" s="524"/>
      <c r="JJ237" s="524"/>
      <c r="JK237" s="524"/>
      <c r="JL237" s="524"/>
      <c r="JM237" s="524"/>
      <c r="JN237" s="524"/>
      <c r="JO237" s="524"/>
      <c r="JP237" s="524"/>
      <c r="JQ237" s="524"/>
      <c r="JR237" s="524"/>
      <c r="JS237" s="524"/>
      <c r="JT237" s="524"/>
      <c r="JU237" s="524"/>
      <c r="JV237" s="524"/>
      <c r="JW237" s="524"/>
      <c r="JX237" s="524"/>
      <c r="JY237"/>
      <c r="JZ237" s="262"/>
      <c r="KA237" s="262"/>
      <c r="KB237" s="262"/>
      <c r="KC237" s="262"/>
      <c r="KD237" s="262"/>
      <c r="KE237" s="262"/>
      <c r="KF237" s="262"/>
      <c r="KG237" s="262"/>
      <c r="KH237" s="262"/>
      <c r="KI237" s="262"/>
      <c r="KJ237" s="262"/>
      <c r="KK237" s="262"/>
      <c r="KL237" s="262"/>
      <c r="KM237" s="262"/>
      <c r="KN237" s="262"/>
      <c r="KO237" s="262"/>
      <c r="KP237" s="262"/>
      <c r="KQ237" s="262"/>
      <c r="KR237" s="262"/>
      <c r="KS237" s="262"/>
      <c r="KT237" s="262"/>
      <c r="KU237" s="262"/>
      <c r="KV237" s="262"/>
      <c r="KW237" s="262"/>
      <c r="KX237" s="262"/>
      <c r="KY237" s="262"/>
      <c r="KZ237" s="262"/>
      <c r="LA237" s="262"/>
      <c r="LB237" s="262"/>
      <c r="LC237" s="262"/>
      <c r="LD237" s="262"/>
      <c r="LE237" s="262"/>
      <c r="LF237" s="262"/>
      <c r="LG237" s="262"/>
      <c r="LH237" s="262"/>
      <c r="LI237" s="262"/>
      <c r="LJ237" s="262"/>
      <c r="LK237" s="262"/>
      <c r="LL237" s="262"/>
      <c r="LM237" s="262"/>
      <c r="LN237" s="262"/>
      <c r="LO237" s="262"/>
      <c r="LP237" s="262"/>
      <c r="LQ237" s="262"/>
      <c r="LR237" s="262"/>
      <c r="LS237" s="262"/>
      <c r="LT237" s="262"/>
      <c r="LU237" s="262"/>
      <c r="LV237" s="262"/>
      <c r="LW237" s="262"/>
      <c r="LX237" s="262"/>
      <c r="LY237" s="262"/>
      <c r="LZ237" s="262"/>
      <c r="MA237" s="262"/>
      <c r="MB237" s="262"/>
      <c r="MC237" s="262"/>
      <c r="MD237" s="262"/>
      <c r="ME237" s="262"/>
      <c r="MF237" s="262"/>
      <c r="MG237" s="262"/>
      <c r="MH237" s="262"/>
      <c r="MI237" s="262"/>
      <c r="MJ237" s="262"/>
      <c r="MK237" s="262"/>
      <c r="ML237" s="262"/>
      <c r="MM237" s="262"/>
      <c r="MN237" s="262"/>
      <c r="MO237" s="262"/>
      <c r="MP237" s="262"/>
      <c r="MQ237" s="262"/>
      <c r="MR237" s="262"/>
      <c r="MS237" s="262"/>
      <c r="MT237" s="262"/>
      <c r="MU237" s="262"/>
      <c r="MV237" s="262"/>
      <c r="MW237" s="262"/>
      <c r="MX237" s="262"/>
      <c r="MY237" s="262"/>
      <c r="MZ237" s="262"/>
      <c r="NA237" s="262"/>
      <c r="NB237" s="262"/>
      <c r="NC237" s="262"/>
      <c r="ND237" s="262"/>
      <c r="NE237" s="262"/>
      <c r="NF237" s="262"/>
      <c r="NG237" s="262"/>
      <c r="NH237" s="262"/>
      <c r="NI237" s="262"/>
      <c r="NJ237" s="262"/>
      <c r="NK237" s="262"/>
      <c r="NL237" s="262"/>
      <c r="NM237" s="262"/>
      <c r="NN237" s="262"/>
      <c r="NO237" s="262"/>
      <c r="NP237" s="262"/>
      <c r="NQ237" s="262"/>
      <c r="NR237" s="262"/>
      <c r="NS237" s="262"/>
      <c r="NT237" s="262"/>
      <c r="NU237" s="262"/>
      <c r="NV237" s="262"/>
      <c r="NW237" s="262"/>
      <c r="NX237" s="262"/>
      <c r="NY237" s="262"/>
      <c r="NZ237" s="262"/>
      <c r="OA237" s="262"/>
      <c r="OB237" s="262"/>
      <c r="OC237" s="262"/>
      <c r="OD237" s="262"/>
      <c r="OE237" s="262"/>
      <c r="OF237" s="262"/>
      <c r="OG237" s="262"/>
      <c r="OH237" s="262"/>
      <c r="OI237" s="262"/>
      <c r="OJ237" s="262"/>
      <c r="OK237" s="262"/>
      <c r="OL237" s="262"/>
      <c r="OM237" s="262"/>
      <c r="ON237" s="262"/>
      <c r="OO237" s="262"/>
      <c r="OP237" s="262"/>
      <c r="OQ237" s="262"/>
      <c r="OR237" s="262"/>
      <c r="OS237" s="262"/>
      <c r="OT237" s="262"/>
      <c r="OU237" s="262"/>
      <c r="OV237" s="262"/>
      <c r="OW237" s="262"/>
      <c r="OX237" s="262"/>
      <c r="OY237" s="262"/>
      <c r="OZ237" s="262"/>
      <c r="PA237" s="262"/>
      <c r="PB237" s="262"/>
      <c r="PC237" s="262"/>
      <c r="PD237" s="262"/>
      <c r="PE237" s="262"/>
      <c r="PF237" s="262"/>
      <c r="PG237" s="262"/>
      <c r="PH237" s="262"/>
    </row>
    <row r="238" spans="1:424" x14ac:dyDescent="0.35">
      <c r="A238"/>
      <c r="B238" s="411" t="s">
        <v>450</v>
      </c>
      <c r="C238" s="397"/>
      <c r="D238" s="397"/>
      <c r="E238" s="397"/>
      <c r="F238" s="397"/>
      <c r="G238" s="397"/>
      <c r="H238" s="412" t="s">
        <v>217</v>
      </c>
      <c r="I238" s="412" t="s">
        <v>85</v>
      </c>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s="405" t="s">
        <v>378</v>
      </c>
      <c r="EQ238" s="18"/>
      <c r="ER238" s="18"/>
      <c r="ES238" s="18"/>
      <c r="ET238" s="18" t="s">
        <v>451</v>
      </c>
      <c r="EU238" s="18"/>
      <c r="EV238" s="418">
        <f>(EV$197&lt;=Timing_Reversion_Month)*EU242</f>
        <v>0</v>
      </c>
      <c r="EW238" s="418">
        <f t="shared" ref="EW238:GA238" si="751">(EW$197&lt;=Timing_Reversion_Month)*EV242</f>
        <v>0</v>
      </c>
      <c r="EX238" s="418">
        <f t="shared" si="751"/>
        <v>0</v>
      </c>
      <c r="EY238" s="418">
        <f t="shared" si="751"/>
        <v>0</v>
      </c>
      <c r="EZ238" s="418">
        <f t="shared" si="751"/>
        <v>0</v>
      </c>
      <c r="FA238" s="418">
        <f t="shared" si="751"/>
        <v>0</v>
      </c>
      <c r="FB238" s="418">
        <f t="shared" si="751"/>
        <v>0</v>
      </c>
      <c r="FC238" s="418">
        <f t="shared" si="751"/>
        <v>0</v>
      </c>
      <c r="FD238" s="418">
        <f t="shared" si="751"/>
        <v>0</v>
      </c>
      <c r="FE238" s="418">
        <f t="shared" si="751"/>
        <v>0</v>
      </c>
      <c r="FF238" s="418">
        <f t="shared" si="751"/>
        <v>0</v>
      </c>
      <c r="FG238" s="418">
        <f t="shared" si="751"/>
        <v>0</v>
      </c>
      <c r="FH238" s="418">
        <f t="shared" si="751"/>
        <v>0</v>
      </c>
      <c r="FI238" s="418">
        <f t="shared" si="751"/>
        <v>0</v>
      </c>
      <c r="FJ238" s="418">
        <f t="shared" si="751"/>
        <v>0</v>
      </c>
      <c r="FK238" s="418">
        <f t="shared" si="751"/>
        <v>0</v>
      </c>
      <c r="FL238" s="418">
        <f t="shared" si="751"/>
        <v>0</v>
      </c>
      <c r="FM238" s="418">
        <f t="shared" si="751"/>
        <v>0</v>
      </c>
      <c r="FN238" s="418">
        <f t="shared" si="751"/>
        <v>0</v>
      </c>
      <c r="FO238" s="418">
        <f t="shared" si="751"/>
        <v>0</v>
      </c>
      <c r="FP238" s="418">
        <f t="shared" si="751"/>
        <v>0</v>
      </c>
      <c r="FQ238" s="418">
        <f t="shared" si="751"/>
        <v>0</v>
      </c>
      <c r="FR238" s="418">
        <f t="shared" si="751"/>
        <v>0</v>
      </c>
      <c r="FS238" s="418">
        <f t="shared" si="751"/>
        <v>0</v>
      </c>
      <c r="FT238" s="418">
        <f t="shared" si="751"/>
        <v>0</v>
      </c>
      <c r="FU238" s="418">
        <f t="shared" si="751"/>
        <v>0</v>
      </c>
      <c r="FV238" s="418">
        <f t="shared" si="751"/>
        <v>0</v>
      </c>
      <c r="FW238" s="418">
        <f t="shared" si="751"/>
        <v>0</v>
      </c>
      <c r="FX238" s="418">
        <f t="shared" si="751"/>
        <v>0</v>
      </c>
      <c r="FY238" s="418">
        <f t="shared" si="751"/>
        <v>0</v>
      </c>
      <c r="FZ238" s="418">
        <f t="shared" si="751"/>
        <v>0</v>
      </c>
      <c r="GA238" s="418">
        <f t="shared" si="751"/>
        <v>0</v>
      </c>
      <c r="GB238" s="418">
        <f t="shared" ref="GB238:HG238" si="752">(GB$197&lt;=Timing_Reversion_Month)*GA242</f>
        <v>0</v>
      </c>
      <c r="GC238" s="418">
        <f t="shared" si="752"/>
        <v>0</v>
      </c>
      <c r="GD238" s="418">
        <f t="shared" si="752"/>
        <v>0</v>
      </c>
      <c r="GE238" s="418">
        <f t="shared" si="752"/>
        <v>0</v>
      </c>
      <c r="GF238" s="418">
        <f t="shared" si="752"/>
        <v>0</v>
      </c>
      <c r="GG238" s="418">
        <f t="shared" si="752"/>
        <v>0</v>
      </c>
      <c r="GH238" s="418">
        <f t="shared" si="752"/>
        <v>0</v>
      </c>
      <c r="GI238" s="418">
        <f t="shared" si="752"/>
        <v>0</v>
      </c>
      <c r="GJ238" s="418">
        <f t="shared" si="752"/>
        <v>0</v>
      </c>
      <c r="GK238" s="418">
        <f t="shared" si="752"/>
        <v>0</v>
      </c>
      <c r="GL238" s="418">
        <f t="shared" si="752"/>
        <v>0</v>
      </c>
      <c r="GM238" s="418">
        <f t="shared" si="752"/>
        <v>0</v>
      </c>
      <c r="GN238" s="418">
        <f t="shared" si="752"/>
        <v>0</v>
      </c>
      <c r="GO238" s="418">
        <f t="shared" si="752"/>
        <v>0</v>
      </c>
      <c r="GP238" s="418">
        <f t="shared" si="752"/>
        <v>0</v>
      </c>
      <c r="GQ238" s="418">
        <f t="shared" si="752"/>
        <v>0</v>
      </c>
      <c r="GR238" s="418">
        <f t="shared" si="752"/>
        <v>0</v>
      </c>
      <c r="GS238" s="418">
        <f t="shared" si="752"/>
        <v>0</v>
      </c>
      <c r="GT238" s="418">
        <f t="shared" si="752"/>
        <v>0</v>
      </c>
      <c r="GU238" s="418">
        <f t="shared" si="752"/>
        <v>0</v>
      </c>
      <c r="GV238" s="418">
        <f t="shared" si="752"/>
        <v>0</v>
      </c>
      <c r="GW238" s="418">
        <f t="shared" si="752"/>
        <v>0</v>
      </c>
      <c r="GX238" s="418">
        <f t="shared" si="752"/>
        <v>0</v>
      </c>
      <c r="GY238" s="418">
        <f t="shared" si="752"/>
        <v>0</v>
      </c>
      <c r="GZ238" s="418">
        <f t="shared" si="752"/>
        <v>0</v>
      </c>
      <c r="HA238" s="418">
        <f t="shared" si="752"/>
        <v>0</v>
      </c>
      <c r="HB238" s="418">
        <f t="shared" si="752"/>
        <v>0</v>
      </c>
      <c r="HC238" s="418">
        <f t="shared" si="752"/>
        <v>0</v>
      </c>
      <c r="HD238" s="418">
        <f t="shared" si="752"/>
        <v>0</v>
      </c>
      <c r="HE238" s="418">
        <f t="shared" si="752"/>
        <v>0</v>
      </c>
      <c r="HF238" s="418">
        <f t="shared" si="752"/>
        <v>0</v>
      </c>
      <c r="HG238" s="418">
        <f t="shared" si="752"/>
        <v>0</v>
      </c>
      <c r="HH238" s="418">
        <f t="shared" ref="HH238:IM238" si="753">(HH$197&lt;=Timing_Reversion_Month)*HG242</f>
        <v>0</v>
      </c>
      <c r="HI238" s="418">
        <f t="shared" si="753"/>
        <v>0</v>
      </c>
      <c r="HJ238" s="418">
        <f t="shared" si="753"/>
        <v>0</v>
      </c>
      <c r="HK238" s="418">
        <f t="shared" si="753"/>
        <v>0</v>
      </c>
      <c r="HL238" s="418">
        <f t="shared" si="753"/>
        <v>0</v>
      </c>
      <c r="HM238" s="418">
        <f t="shared" si="753"/>
        <v>0</v>
      </c>
      <c r="HN238" s="418">
        <f t="shared" si="753"/>
        <v>0</v>
      </c>
      <c r="HO238" s="418">
        <f t="shared" si="753"/>
        <v>0</v>
      </c>
      <c r="HP238" s="418">
        <f t="shared" si="753"/>
        <v>0</v>
      </c>
      <c r="HQ238" s="418">
        <f t="shared" si="753"/>
        <v>0</v>
      </c>
      <c r="HR238" s="418">
        <f t="shared" si="753"/>
        <v>0</v>
      </c>
      <c r="HS238" s="418">
        <f t="shared" si="753"/>
        <v>0</v>
      </c>
      <c r="HT238" s="418">
        <f t="shared" si="753"/>
        <v>0</v>
      </c>
      <c r="HU238" s="418">
        <f t="shared" si="753"/>
        <v>0</v>
      </c>
      <c r="HV238" s="418">
        <f t="shared" si="753"/>
        <v>0</v>
      </c>
      <c r="HW238" s="418">
        <f t="shared" si="753"/>
        <v>0</v>
      </c>
      <c r="HX238" s="418">
        <f t="shared" si="753"/>
        <v>0</v>
      </c>
      <c r="HY238" s="418">
        <f t="shared" si="753"/>
        <v>0</v>
      </c>
      <c r="HZ238" s="418">
        <f t="shared" si="753"/>
        <v>0</v>
      </c>
      <c r="IA238" s="418">
        <f t="shared" si="753"/>
        <v>0</v>
      </c>
      <c r="IB238" s="418">
        <f t="shared" si="753"/>
        <v>0</v>
      </c>
      <c r="IC238" s="418">
        <f t="shared" si="753"/>
        <v>0</v>
      </c>
      <c r="ID238" s="418">
        <f t="shared" si="753"/>
        <v>0</v>
      </c>
      <c r="IE238" s="418">
        <f t="shared" si="753"/>
        <v>0</v>
      </c>
      <c r="IF238" s="418">
        <f t="shared" si="753"/>
        <v>0</v>
      </c>
      <c r="IG238" s="418">
        <f t="shared" si="753"/>
        <v>0</v>
      </c>
      <c r="IH238" s="418">
        <f t="shared" si="753"/>
        <v>0</v>
      </c>
      <c r="II238" s="418">
        <f t="shared" si="753"/>
        <v>0</v>
      </c>
      <c r="IJ238" s="418">
        <f t="shared" si="753"/>
        <v>0</v>
      </c>
      <c r="IK238" s="418">
        <f t="shared" si="753"/>
        <v>0</v>
      </c>
      <c r="IL238" s="418">
        <f t="shared" si="753"/>
        <v>0</v>
      </c>
      <c r="IM238" s="418">
        <f t="shared" si="753"/>
        <v>0</v>
      </c>
      <c r="IN238" s="418">
        <f t="shared" ref="IN238:JX238" si="754">(IN$197&lt;=Timing_Reversion_Month)*IM242</f>
        <v>0</v>
      </c>
      <c r="IO238" s="418">
        <f t="shared" si="754"/>
        <v>0</v>
      </c>
      <c r="IP238" s="418">
        <f t="shared" si="754"/>
        <v>0</v>
      </c>
      <c r="IQ238" s="418">
        <f t="shared" si="754"/>
        <v>0</v>
      </c>
      <c r="IR238" s="418">
        <f t="shared" si="754"/>
        <v>0</v>
      </c>
      <c r="IS238" s="418">
        <f t="shared" si="754"/>
        <v>0</v>
      </c>
      <c r="IT238" s="418">
        <f t="shared" si="754"/>
        <v>0</v>
      </c>
      <c r="IU238" s="418">
        <f t="shared" si="754"/>
        <v>0</v>
      </c>
      <c r="IV238" s="418">
        <f t="shared" si="754"/>
        <v>0</v>
      </c>
      <c r="IW238" s="418">
        <f t="shared" si="754"/>
        <v>0</v>
      </c>
      <c r="IX238" s="418">
        <f t="shared" si="754"/>
        <v>0</v>
      </c>
      <c r="IY238" s="418">
        <f t="shared" si="754"/>
        <v>0</v>
      </c>
      <c r="IZ238" s="418">
        <f t="shared" si="754"/>
        <v>0</v>
      </c>
      <c r="JA238" s="418">
        <f t="shared" si="754"/>
        <v>0</v>
      </c>
      <c r="JB238" s="418">
        <f t="shared" si="754"/>
        <v>0</v>
      </c>
      <c r="JC238" s="418">
        <f t="shared" si="754"/>
        <v>0</v>
      </c>
      <c r="JD238" s="418">
        <f t="shared" si="754"/>
        <v>0</v>
      </c>
      <c r="JE238" s="418">
        <f t="shared" si="754"/>
        <v>0</v>
      </c>
      <c r="JF238" s="418">
        <f t="shared" si="754"/>
        <v>0</v>
      </c>
      <c r="JG238" s="418">
        <f t="shared" si="754"/>
        <v>0</v>
      </c>
      <c r="JH238" s="418">
        <f t="shared" si="754"/>
        <v>0</v>
      </c>
      <c r="JI238" s="418">
        <f t="shared" si="754"/>
        <v>0</v>
      </c>
      <c r="JJ238" s="418">
        <f t="shared" si="754"/>
        <v>0</v>
      </c>
      <c r="JK238" s="418">
        <f t="shared" si="754"/>
        <v>0</v>
      </c>
      <c r="JL238" s="418">
        <f t="shared" si="754"/>
        <v>0</v>
      </c>
      <c r="JM238" s="418">
        <f t="shared" si="754"/>
        <v>0</v>
      </c>
      <c r="JN238" s="418">
        <f t="shared" si="754"/>
        <v>0</v>
      </c>
      <c r="JO238" s="418">
        <f t="shared" si="754"/>
        <v>0</v>
      </c>
      <c r="JP238" s="418">
        <f t="shared" si="754"/>
        <v>0</v>
      </c>
      <c r="JQ238" s="418">
        <f t="shared" si="754"/>
        <v>0</v>
      </c>
      <c r="JR238" s="418">
        <f t="shared" si="754"/>
        <v>0</v>
      </c>
      <c r="JS238" s="418">
        <f t="shared" si="754"/>
        <v>0</v>
      </c>
      <c r="JT238" s="418">
        <f t="shared" si="754"/>
        <v>0</v>
      </c>
      <c r="JU238" s="418">
        <f t="shared" si="754"/>
        <v>0</v>
      </c>
      <c r="JV238" s="418">
        <f t="shared" si="754"/>
        <v>0</v>
      </c>
      <c r="JW238" s="418">
        <f t="shared" si="754"/>
        <v>0</v>
      </c>
      <c r="JX238" s="418">
        <f t="shared" si="754"/>
        <v>0</v>
      </c>
      <c r="JY238"/>
      <c r="JZ238" s="262"/>
      <c r="KA238" s="262"/>
      <c r="KB238" s="262"/>
      <c r="KC238" s="262"/>
      <c r="KD238" s="262"/>
      <c r="KE238" s="262"/>
      <c r="KF238" s="262"/>
      <c r="KG238" s="262"/>
      <c r="KH238" s="262"/>
      <c r="KI238" s="262"/>
      <c r="KJ238" s="262"/>
      <c r="KK238" s="262"/>
      <c r="KL238" s="262"/>
      <c r="KM238" s="262"/>
      <c r="KN238" s="262"/>
      <c r="KO238" s="262"/>
      <c r="KP238" s="262"/>
      <c r="KQ238" s="262"/>
      <c r="KR238" s="262"/>
      <c r="KS238" s="262"/>
      <c r="KT238" s="262"/>
      <c r="KU238" s="262"/>
      <c r="KV238" s="262"/>
      <c r="KW238" s="262"/>
      <c r="KX238" s="262"/>
      <c r="KY238" s="262"/>
      <c r="KZ238" s="262"/>
      <c r="LA238" s="262"/>
      <c r="LB238" s="262"/>
      <c r="LC238" s="262"/>
      <c r="LD238" s="262"/>
      <c r="LE238" s="262"/>
      <c r="LF238" s="262"/>
      <c r="LG238" s="262"/>
      <c r="LH238" s="262"/>
      <c r="LI238" s="262"/>
      <c r="LJ238" s="262"/>
      <c r="LK238" s="262"/>
      <c r="LL238" s="262"/>
      <c r="LM238" s="262"/>
      <c r="LN238" s="262"/>
      <c r="LO238" s="262"/>
      <c r="LP238" s="262"/>
      <c r="LQ238" s="262"/>
      <c r="LR238" s="262"/>
      <c r="LS238" s="262"/>
      <c r="LT238" s="262"/>
      <c r="LU238" s="262"/>
      <c r="LV238" s="262"/>
      <c r="LW238" s="262"/>
      <c r="LX238" s="262"/>
      <c r="LY238" s="262"/>
      <c r="LZ238" s="262"/>
      <c r="MA238" s="262"/>
      <c r="MB238" s="262"/>
      <c r="MC238" s="262"/>
      <c r="MD238" s="262"/>
      <c r="ME238" s="262"/>
      <c r="MF238" s="262"/>
      <c r="MG238" s="262"/>
      <c r="MH238" s="262"/>
      <c r="MI238" s="262"/>
      <c r="MJ238" s="262"/>
      <c r="MK238" s="262"/>
      <c r="ML238" s="262"/>
      <c r="MM238" s="262"/>
      <c r="MN238" s="262"/>
      <c r="MO238" s="262"/>
      <c r="MP238" s="262"/>
      <c r="MQ238" s="262"/>
      <c r="MR238" s="262"/>
      <c r="MS238" s="262"/>
      <c r="MT238" s="262"/>
      <c r="MU238" s="262"/>
      <c r="MV238" s="262"/>
      <c r="MW238" s="262"/>
      <c r="MX238" s="262"/>
      <c r="MY238" s="262"/>
      <c r="MZ238" s="262"/>
      <c r="NA238" s="262"/>
      <c r="NB238" s="262"/>
      <c r="NC238" s="262"/>
      <c r="ND238" s="262"/>
      <c r="NE238" s="262"/>
      <c r="NF238" s="262"/>
      <c r="NG238" s="262"/>
      <c r="NH238" s="262"/>
      <c r="NI238" s="262"/>
      <c r="NJ238" s="262"/>
      <c r="NK238" s="262"/>
      <c r="NL238" s="262"/>
      <c r="NM238" s="262"/>
      <c r="NN238" s="262"/>
      <c r="NO238" s="262"/>
      <c r="NP238" s="262"/>
      <c r="NQ238" s="262"/>
      <c r="NR238" s="262"/>
      <c r="NS238" s="262"/>
      <c r="NT238" s="262"/>
      <c r="NU238" s="262"/>
      <c r="NV238" s="262"/>
      <c r="NW238" s="262"/>
      <c r="NX238" s="262"/>
      <c r="NY238" s="262"/>
      <c r="NZ238" s="262"/>
      <c r="OA238" s="262"/>
      <c r="OB238" s="262"/>
      <c r="OC238" s="262"/>
      <c r="OD238" s="262"/>
      <c r="OE238" s="262"/>
      <c r="OF238" s="262"/>
      <c r="OG238" s="262"/>
      <c r="OH238" s="262"/>
      <c r="OI238" s="262"/>
      <c r="OJ238" s="262"/>
      <c r="OK238" s="262"/>
      <c r="OL238" s="262"/>
      <c r="OM238" s="262"/>
      <c r="ON238" s="262"/>
      <c r="OO238" s="262"/>
      <c r="OP238" s="262"/>
      <c r="OQ238" s="262"/>
      <c r="OR238" s="262"/>
      <c r="OS238" s="262"/>
      <c r="OT238" s="262"/>
      <c r="OU238" s="262"/>
      <c r="OV238" s="262"/>
      <c r="OW238" s="262"/>
      <c r="OX238" s="262"/>
      <c r="OY238" s="262"/>
      <c r="OZ238" s="262"/>
      <c r="PA238" s="262"/>
      <c r="PB238" s="262"/>
      <c r="PC238" s="262"/>
      <c r="PD238" s="262"/>
      <c r="PE238" s="262"/>
      <c r="PF238" s="262"/>
      <c r="PG238" s="262"/>
      <c r="PH238" s="262"/>
    </row>
    <row r="239" spans="1:424" x14ac:dyDescent="0.35">
      <c r="A239"/>
      <c r="B239" s="34" t="s">
        <v>429</v>
      </c>
      <c r="C239" s="542">
        <f>C228</f>
        <v>0</v>
      </c>
      <c r="D239" s="397"/>
      <c r="E239" s="397"/>
      <c r="F239" s="397"/>
      <c r="G239" s="85"/>
      <c r="H239" s="52">
        <f>IF($I$241=0,0,I239/$I$241)</f>
        <v>0</v>
      </c>
      <c r="I239" s="445">
        <f>SUM(L239:EN239)</f>
        <v>0</v>
      </c>
      <c r="J239"/>
      <c r="K239"/>
      <c r="L239" s="417">
        <f>IF(L$227="","",EV207+EV210+EV220+EV230+EV234)</f>
        <v>0</v>
      </c>
      <c r="M239" s="417">
        <f t="shared" ref="M239:BX239" si="755">IF(M$227="","",EW207+EW210+EW220+EW230+EW234)</f>
        <v>0</v>
      </c>
      <c r="N239" s="417">
        <f t="shared" si="755"/>
        <v>0</v>
      </c>
      <c r="O239" s="417">
        <f t="shared" si="755"/>
        <v>0</v>
      </c>
      <c r="P239" s="417">
        <f t="shared" si="755"/>
        <v>0</v>
      </c>
      <c r="Q239" s="417">
        <f t="shared" si="755"/>
        <v>0</v>
      </c>
      <c r="R239" s="417">
        <f t="shared" si="755"/>
        <v>0</v>
      </c>
      <c r="S239" s="417">
        <f t="shared" si="755"/>
        <v>0</v>
      </c>
      <c r="T239" s="417">
        <f t="shared" si="755"/>
        <v>0</v>
      </c>
      <c r="U239" s="417">
        <f t="shared" si="755"/>
        <v>0</v>
      </c>
      <c r="V239" s="417">
        <f t="shared" si="755"/>
        <v>0</v>
      </c>
      <c r="W239" s="417">
        <f t="shared" si="755"/>
        <v>0</v>
      </c>
      <c r="X239" s="417">
        <f t="shared" si="755"/>
        <v>0</v>
      </c>
      <c r="Y239" s="417">
        <f t="shared" si="755"/>
        <v>0</v>
      </c>
      <c r="Z239" s="417">
        <f t="shared" si="755"/>
        <v>0</v>
      </c>
      <c r="AA239" s="417">
        <f t="shared" si="755"/>
        <v>0</v>
      </c>
      <c r="AB239" s="417">
        <f t="shared" si="755"/>
        <v>0</v>
      </c>
      <c r="AC239" s="417">
        <f t="shared" si="755"/>
        <v>0</v>
      </c>
      <c r="AD239" s="417">
        <f t="shared" si="755"/>
        <v>0</v>
      </c>
      <c r="AE239" s="417">
        <f t="shared" si="755"/>
        <v>0</v>
      </c>
      <c r="AF239" s="417">
        <f t="shared" si="755"/>
        <v>0</v>
      </c>
      <c r="AG239" s="417">
        <f t="shared" si="755"/>
        <v>0</v>
      </c>
      <c r="AH239" s="417">
        <f t="shared" si="755"/>
        <v>0</v>
      </c>
      <c r="AI239" s="417">
        <f t="shared" si="755"/>
        <v>0</v>
      </c>
      <c r="AJ239" s="417">
        <f t="shared" si="755"/>
        <v>0</v>
      </c>
      <c r="AK239" s="417">
        <f t="shared" si="755"/>
        <v>0</v>
      </c>
      <c r="AL239" s="417">
        <f t="shared" si="755"/>
        <v>0</v>
      </c>
      <c r="AM239" s="417">
        <f t="shared" si="755"/>
        <v>0</v>
      </c>
      <c r="AN239" s="417">
        <f t="shared" si="755"/>
        <v>0</v>
      </c>
      <c r="AO239" s="417">
        <f t="shared" si="755"/>
        <v>0</v>
      </c>
      <c r="AP239" s="417">
        <f t="shared" si="755"/>
        <v>0</v>
      </c>
      <c r="AQ239" s="417">
        <f t="shared" si="755"/>
        <v>0</v>
      </c>
      <c r="AR239" s="417">
        <f t="shared" si="755"/>
        <v>0</v>
      </c>
      <c r="AS239" s="417">
        <f t="shared" si="755"/>
        <v>0</v>
      </c>
      <c r="AT239" s="417">
        <f t="shared" si="755"/>
        <v>0</v>
      </c>
      <c r="AU239" s="417">
        <f t="shared" si="755"/>
        <v>0</v>
      </c>
      <c r="AV239" s="417">
        <f t="shared" si="755"/>
        <v>0</v>
      </c>
      <c r="AW239" s="417">
        <f t="shared" si="755"/>
        <v>0</v>
      </c>
      <c r="AX239" s="417">
        <f t="shared" si="755"/>
        <v>0</v>
      </c>
      <c r="AY239" s="417">
        <f t="shared" si="755"/>
        <v>0</v>
      </c>
      <c r="AZ239" s="417">
        <f t="shared" si="755"/>
        <v>0</v>
      </c>
      <c r="BA239" s="417">
        <f t="shared" si="755"/>
        <v>0</v>
      </c>
      <c r="BB239" s="417">
        <f t="shared" si="755"/>
        <v>0</v>
      </c>
      <c r="BC239" s="417">
        <f t="shared" si="755"/>
        <v>0</v>
      </c>
      <c r="BD239" s="75">
        <f t="shared" si="755"/>
        <v>0</v>
      </c>
      <c r="BE239" s="75">
        <f t="shared" si="755"/>
        <v>0</v>
      </c>
      <c r="BF239" s="75">
        <f t="shared" si="755"/>
        <v>0</v>
      </c>
      <c r="BG239" s="75">
        <f t="shared" si="755"/>
        <v>0</v>
      </c>
      <c r="BH239" s="75">
        <f t="shared" si="755"/>
        <v>0</v>
      </c>
      <c r="BI239" s="75">
        <f t="shared" si="755"/>
        <v>0</v>
      </c>
      <c r="BJ239" s="75">
        <f t="shared" si="755"/>
        <v>0</v>
      </c>
      <c r="BK239" s="75">
        <f t="shared" si="755"/>
        <v>0</v>
      </c>
      <c r="BL239" s="75">
        <f t="shared" si="755"/>
        <v>0</v>
      </c>
      <c r="BM239" s="75">
        <f t="shared" si="755"/>
        <v>0</v>
      </c>
      <c r="BN239" s="75">
        <f t="shared" si="755"/>
        <v>0</v>
      </c>
      <c r="BO239" s="75">
        <f t="shared" si="755"/>
        <v>0</v>
      </c>
      <c r="BP239" s="75">
        <f t="shared" si="755"/>
        <v>0</v>
      </c>
      <c r="BQ239" s="75">
        <f t="shared" si="755"/>
        <v>0</v>
      </c>
      <c r="BR239" s="75">
        <f t="shared" si="755"/>
        <v>0</v>
      </c>
      <c r="BS239" s="75">
        <f t="shared" si="755"/>
        <v>0</v>
      </c>
      <c r="BT239" s="75">
        <f t="shared" si="755"/>
        <v>0</v>
      </c>
      <c r="BU239" s="75">
        <f t="shared" si="755"/>
        <v>0</v>
      </c>
      <c r="BV239" s="75" t="str">
        <f t="shared" si="755"/>
        <v/>
      </c>
      <c r="BW239" s="75" t="str">
        <f t="shared" si="755"/>
        <v/>
      </c>
      <c r="BX239" s="75" t="str">
        <f t="shared" si="755"/>
        <v/>
      </c>
      <c r="BY239" s="75" t="str">
        <f t="shared" ref="BY239:EJ239" si="756">IF(BY$227="","",HI207+HI210+HI220+HI230+HI234)</f>
        <v/>
      </c>
      <c r="BZ239" s="75" t="str">
        <f t="shared" si="756"/>
        <v/>
      </c>
      <c r="CA239" s="75" t="str">
        <f t="shared" si="756"/>
        <v/>
      </c>
      <c r="CB239" s="75" t="str">
        <f t="shared" si="756"/>
        <v/>
      </c>
      <c r="CC239" s="75" t="str">
        <f t="shared" si="756"/>
        <v/>
      </c>
      <c r="CD239" s="75" t="str">
        <f t="shared" si="756"/>
        <v/>
      </c>
      <c r="CE239" s="75" t="str">
        <f t="shared" si="756"/>
        <v/>
      </c>
      <c r="CF239" s="75" t="str">
        <f t="shared" si="756"/>
        <v/>
      </c>
      <c r="CG239" s="75" t="str">
        <f t="shared" si="756"/>
        <v/>
      </c>
      <c r="CH239" s="75" t="str">
        <f t="shared" si="756"/>
        <v/>
      </c>
      <c r="CI239" s="75" t="str">
        <f t="shared" si="756"/>
        <v/>
      </c>
      <c r="CJ239" s="75" t="str">
        <f t="shared" si="756"/>
        <v/>
      </c>
      <c r="CK239" s="75" t="str">
        <f t="shared" si="756"/>
        <v/>
      </c>
      <c r="CL239" s="75" t="str">
        <f t="shared" si="756"/>
        <v/>
      </c>
      <c r="CM239" s="75" t="str">
        <f t="shared" si="756"/>
        <v/>
      </c>
      <c r="CN239" s="75" t="str">
        <f t="shared" si="756"/>
        <v/>
      </c>
      <c r="CO239" s="75" t="str">
        <f t="shared" si="756"/>
        <v/>
      </c>
      <c r="CP239" s="75" t="str">
        <f t="shared" si="756"/>
        <v/>
      </c>
      <c r="CQ239" s="75" t="str">
        <f t="shared" si="756"/>
        <v/>
      </c>
      <c r="CR239" s="75" t="str">
        <f t="shared" si="756"/>
        <v/>
      </c>
      <c r="CS239" s="75" t="str">
        <f t="shared" si="756"/>
        <v/>
      </c>
      <c r="CT239" s="75" t="str">
        <f t="shared" si="756"/>
        <v/>
      </c>
      <c r="CU239" s="75" t="str">
        <f t="shared" si="756"/>
        <v/>
      </c>
      <c r="CV239" s="75" t="str">
        <f t="shared" si="756"/>
        <v/>
      </c>
      <c r="CW239" s="75" t="str">
        <f t="shared" si="756"/>
        <v/>
      </c>
      <c r="CX239" s="75" t="str">
        <f t="shared" si="756"/>
        <v/>
      </c>
      <c r="CY239" s="75" t="str">
        <f t="shared" si="756"/>
        <v/>
      </c>
      <c r="CZ239" s="75" t="str">
        <f t="shared" si="756"/>
        <v/>
      </c>
      <c r="DA239" s="75" t="str">
        <f t="shared" si="756"/>
        <v/>
      </c>
      <c r="DB239" s="75" t="str">
        <f t="shared" si="756"/>
        <v/>
      </c>
      <c r="DC239" s="75" t="str">
        <f t="shared" si="756"/>
        <v/>
      </c>
      <c r="DD239" s="75" t="str">
        <f t="shared" si="756"/>
        <v/>
      </c>
      <c r="DE239" s="75" t="str">
        <f t="shared" si="756"/>
        <v/>
      </c>
      <c r="DF239" s="75" t="str">
        <f t="shared" si="756"/>
        <v/>
      </c>
      <c r="DG239" s="75" t="str">
        <f t="shared" si="756"/>
        <v/>
      </c>
      <c r="DH239" s="75" t="str">
        <f t="shared" si="756"/>
        <v/>
      </c>
      <c r="DI239" s="75" t="str">
        <f t="shared" si="756"/>
        <v/>
      </c>
      <c r="DJ239" s="75" t="str">
        <f t="shared" si="756"/>
        <v/>
      </c>
      <c r="DK239" s="75" t="str">
        <f t="shared" si="756"/>
        <v/>
      </c>
      <c r="DL239" s="75" t="str">
        <f t="shared" si="756"/>
        <v/>
      </c>
      <c r="DM239" s="75" t="str">
        <f t="shared" si="756"/>
        <v/>
      </c>
      <c r="DN239" s="75" t="str">
        <f t="shared" si="756"/>
        <v/>
      </c>
      <c r="DO239" s="75" t="str">
        <f t="shared" si="756"/>
        <v/>
      </c>
      <c r="DP239" s="75" t="str">
        <f t="shared" si="756"/>
        <v/>
      </c>
      <c r="DQ239" s="75" t="str">
        <f t="shared" si="756"/>
        <v/>
      </c>
      <c r="DR239" s="75" t="str">
        <f t="shared" si="756"/>
        <v/>
      </c>
      <c r="DS239" s="75" t="str">
        <f t="shared" si="756"/>
        <v/>
      </c>
      <c r="DT239" s="75" t="str">
        <f t="shared" si="756"/>
        <v/>
      </c>
      <c r="DU239" s="75" t="str">
        <f t="shared" si="756"/>
        <v/>
      </c>
      <c r="DV239" s="75" t="str">
        <f t="shared" si="756"/>
        <v/>
      </c>
      <c r="DW239" s="75" t="str">
        <f t="shared" si="756"/>
        <v/>
      </c>
      <c r="DX239" s="75" t="str">
        <f t="shared" si="756"/>
        <v/>
      </c>
      <c r="DY239" s="75" t="str">
        <f t="shared" si="756"/>
        <v/>
      </c>
      <c r="DZ239" s="75" t="str">
        <f t="shared" si="756"/>
        <v/>
      </c>
      <c r="EA239" s="75" t="str">
        <f t="shared" si="756"/>
        <v/>
      </c>
      <c r="EB239" s="75" t="str">
        <f t="shared" si="756"/>
        <v/>
      </c>
      <c r="EC239" s="75" t="str">
        <f t="shared" si="756"/>
        <v/>
      </c>
      <c r="ED239" s="75" t="str">
        <f t="shared" si="756"/>
        <v/>
      </c>
      <c r="EE239" s="75" t="str">
        <f t="shared" si="756"/>
        <v/>
      </c>
      <c r="EF239" s="75" t="str">
        <f t="shared" si="756"/>
        <v/>
      </c>
      <c r="EG239" s="75" t="str">
        <f t="shared" si="756"/>
        <v/>
      </c>
      <c r="EH239" s="75" t="str">
        <f t="shared" si="756"/>
        <v/>
      </c>
      <c r="EI239" s="75" t="str">
        <f t="shared" si="756"/>
        <v/>
      </c>
      <c r="EJ239" s="75" t="str">
        <f t="shared" si="756"/>
        <v/>
      </c>
      <c r="EK239" s="75" t="str">
        <f>IF(EK$227="","",JU207+JU210+JU220+JU230+JU234)</f>
        <v/>
      </c>
      <c r="EL239" s="75" t="str">
        <f>IF(EL$227="","",JV207+JV210+JV220+JV230+JV234)</f>
        <v/>
      </c>
      <c r="EM239" s="75" t="str">
        <f>IF(EM$227="","",JW207+JW210+JW220+JW230+JW234)</f>
        <v/>
      </c>
      <c r="EN239" s="75" t="str">
        <f>IF(EN$227="","",JX207+JX210+JX220+JX230+JX234)</f>
        <v/>
      </c>
      <c r="EO239"/>
      <c r="EP239" s="405" t="s">
        <v>381</v>
      </c>
      <c r="EQ239" s="18"/>
      <c r="ER239" s="18"/>
      <c r="ES239" s="18"/>
      <c r="ET239" s="18" t="s">
        <v>452</v>
      </c>
      <c r="EU239" s="18"/>
      <c r="EV239" s="418">
        <f>(EV$197&lt;=Timing_Reversion_Month)*(EV238*((1+$EP240)^(1/12)-1))</f>
        <v>0</v>
      </c>
      <c r="EW239" s="418">
        <f t="shared" ref="EW239:GA239" si="757">(EW$197&lt;=Timing_Reversion_Month)*(EW238*((1+$EP240)^(1/12)-1))</f>
        <v>0</v>
      </c>
      <c r="EX239" s="418">
        <f t="shared" si="757"/>
        <v>0</v>
      </c>
      <c r="EY239" s="418">
        <f t="shared" si="757"/>
        <v>0</v>
      </c>
      <c r="EZ239" s="418">
        <f t="shared" si="757"/>
        <v>0</v>
      </c>
      <c r="FA239" s="418">
        <f t="shared" si="757"/>
        <v>0</v>
      </c>
      <c r="FB239" s="418">
        <f t="shared" si="757"/>
        <v>0</v>
      </c>
      <c r="FC239" s="418">
        <f t="shared" si="757"/>
        <v>0</v>
      </c>
      <c r="FD239" s="418">
        <f t="shared" si="757"/>
        <v>0</v>
      </c>
      <c r="FE239" s="418">
        <f t="shared" si="757"/>
        <v>0</v>
      </c>
      <c r="FF239" s="418">
        <f t="shared" si="757"/>
        <v>0</v>
      </c>
      <c r="FG239" s="418">
        <f t="shared" si="757"/>
        <v>0</v>
      </c>
      <c r="FH239" s="418">
        <f t="shared" si="757"/>
        <v>0</v>
      </c>
      <c r="FI239" s="418">
        <f t="shared" si="757"/>
        <v>0</v>
      </c>
      <c r="FJ239" s="418">
        <f t="shared" si="757"/>
        <v>0</v>
      </c>
      <c r="FK239" s="418">
        <f t="shared" si="757"/>
        <v>0</v>
      </c>
      <c r="FL239" s="418">
        <f t="shared" si="757"/>
        <v>0</v>
      </c>
      <c r="FM239" s="418">
        <f t="shared" si="757"/>
        <v>0</v>
      </c>
      <c r="FN239" s="418">
        <f t="shared" si="757"/>
        <v>0</v>
      </c>
      <c r="FO239" s="418">
        <f t="shared" si="757"/>
        <v>0</v>
      </c>
      <c r="FP239" s="418">
        <f t="shared" si="757"/>
        <v>0</v>
      </c>
      <c r="FQ239" s="418">
        <f t="shared" si="757"/>
        <v>0</v>
      </c>
      <c r="FR239" s="418">
        <f t="shared" si="757"/>
        <v>0</v>
      </c>
      <c r="FS239" s="418">
        <f t="shared" si="757"/>
        <v>0</v>
      </c>
      <c r="FT239" s="418">
        <f t="shared" si="757"/>
        <v>0</v>
      </c>
      <c r="FU239" s="418">
        <f t="shared" si="757"/>
        <v>0</v>
      </c>
      <c r="FV239" s="418">
        <f t="shared" si="757"/>
        <v>0</v>
      </c>
      <c r="FW239" s="418">
        <f t="shared" si="757"/>
        <v>0</v>
      </c>
      <c r="FX239" s="418">
        <f t="shared" si="757"/>
        <v>0</v>
      </c>
      <c r="FY239" s="418">
        <f t="shared" si="757"/>
        <v>0</v>
      </c>
      <c r="FZ239" s="418">
        <f t="shared" si="757"/>
        <v>0</v>
      </c>
      <c r="GA239" s="418">
        <f t="shared" si="757"/>
        <v>0</v>
      </c>
      <c r="GB239" s="418">
        <f t="shared" ref="GB239:HG239" si="758">(GB$197&lt;=Timing_Reversion_Month)*(GB238*((1+$EP240)^(1/12)-1))</f>
        <v>0</v>
      </c>
      <c r="GC239" s="418">
        <f t="shared" si="758"/>
        <v>0</v>
      </c>
      <c r="GD239" s="418">
        <f t="shared" si="758"/>
        <v>0</v>
      </c>
      <c r="GE239" s="418">
        <f t="shared" si="758"/>
        <v>0</v>
      </c>
      <c r="GF239" s="418">
        <f t="shared" si="758"/>
        <v>0</v>
      </c>
      <c r="GG239" s="418">
        <f t="shared" si="758"/>
        <v>0</v>
      </c>
      <c r="GH239" s="418">
        <f t="shared" si="758"/>
        <v>0</v>
      </c>
      <c r="GI239" s="418">
        <f t="shared" si="758"/>
        <v>0</v>
      </c>
      <c r="GJ239" s="418">
        <f t="shared" si="758"/>
        <v>0</v>
      </c>
      <c r="GK239" s="418">
        <f t="shared" si="758"/>
        <v>0</v>
      </c>
      <c r="GL239" s="418">
        <f t="shared" si="758"/>
        <v>0</v>
      </c>
      <c r="GM239" s="418">
        <f t="shared" si="758"/>
        <v>0</v>
      </c>
      <c r="GN239" s="418">
        <f t="shared" si="758"/>
        <v>0</v>
      </c>
      <c r="GO239" s="418">
        <f t="shared" si="758"/>
        <v>0</v>
      </c>
      <c r="GP239" s="418">
        <f t="shared" si="758"/>
        <v>0</v>
      </c>
      <c r="GQ239" s="418">
        <f t="shared" si="758"/>
        <v>0</v>
      </c>
      <c r="GR239" s="418">
        <f t="shared" si="758"/>
        <v>0</v>
      </c>
      <c r="GS239" s="418">
        <f t="shared" si="758"/>
        <v>0</v>
      </c>
      <c r="GT239" s="418">
        <f t="shared" si="758"/>
        <v>0</v>
      </c>
      <c r="GU239" s="418">
        <f t="shared" si="758"/>
        <v>0</v>
      </c>
      <c r="GV239" s="418">
        <f t="shared" si="758"/>
        <v>0</v>
      </c>
      <c r="GW239" s="418">
        <f t="shared" si="758"/>
        <v>0</v>
      </c>
      <c r="GX239" s="418">
        <f t="shared" si="758"/>
        <v>0</v>
      </c>
      <c r="GY239" s="418">
        <f t="shared" si="758"/>
        <v>0</v>
      </c>
      <c r="GZ239" s="418">
        <f t="shared" si="758"/>
        <v>0</v>
      </c>
      <c r="HA239" s="418">
        <f t="shared" si="758"/>
        <v>0</v>
      </c>
      <c r="HB239" s="418">
        <f t="shared" si="758"/>
        <v>0</v>
      </c>
      <c r="HC239" s="418">
        <f t="shared" si="758"/>
        <v>0</v>
      </c>
      <c r="HD239" s="418">
        <f t="shared" si="758"/>
        <v>0</v>
      </c>
      <c r="HE239" s="418">
        <f t="shared" si="758"/>
        <v>0</v>
      </c>
      <c r="HF239" s="418">
        <f t="shared" si="758"/>
        <v>0</v>
      </c>
      <c r="HG239" s="418">
        <f t="shared" si="758"/>
        <v>0</v>
      </c>
      <c r="HH239" s="418">
        <f t="shared" ref="HH239:IM239" si="759">(HH$197&lt;=Timing_Reversion_Month)*(HH238*((1+$EP240)^(1/12)-1))</f>
        <v>0</v>
      </c>
      <c r="HI239" s="418">
        <f t="shared" si="759"/>
        <v>0</v>
      </c>
      <c r="HJ239" s="418">
        <f t="shared" si="759"/>
        <v>0</v>
      </c>
      <c r="HK239" s="418">
        <f t="shared" si="759"/>
        <v>0</v>
      </c>
      <c r="HL239" s="418">
        <f t="shared" si="759"/>
        <v>0</v>
      </c>
      <c r="HM239" s="418">
        <f t="shared" si="759"/>
        <v>0</v>
      </c>
      <c r="HN239" s="418">
        <f t="shared" si="759"/>
        <v>0</v>
      </c>
      <c r="HO239" s="418">
        <f t="shared" si="759"/>
        <v>0</v>
      </c>
      <c r="HP239" s="418">
        <f t="shared" si="759"/>
        <v>0</v>
      </c>
      <c r="HQ239" s="418">
        <f t="shared" si="759"/>
        <v>0</v>
      </c>
      <c r="HR239" s="418">
        <f t="shared" si="759"/>
        <v>0</v>
      </c>
      <c r="HS239" s="418">
        <f t="shared" si="759"/>
        <v>0</v>
      </c>
      <c r="HT239" s="418">
        <f t="shared" si="759"/>
        <v>0</v>
      </c>
      <c r="HU239" s="418">
        <f t="shared" si="759"/>
        <v>0</v>
      </c>
      <c r="HV239" s="418">
        <f t="shared" si="759"/>
        <v>0</v>
      </c>
      <c r="HW239" s="418">
        <f t="shared" si="759"/>
        <v>0</v>
      </c>
      <c r="HX239" s="418">
        <f t="shared" si="759"/>
        <v>0</v>
      </c>
      <c r="HY239" s="418">
        <f t="shared" si="759"/>
        <v>0</v>
      </c>
      <c r="HZ239" s="418">
        <f t="shared" si="759"/>
        <v>0</v>
      </c>
      <c r="IA239" s="418">
        <f t="shared" si="759"/>
        <v>0</v>
      </c>
      <c r="IB239" s="418">
        <f t="shared" si="759"/>
        <v>0</v>
      </c>
      <c r="IC239" s="418">
        <f t="shared" si="759"/>
        <v>0</v>
      </c>
      <c r="ID239" s="418">
        <f t="shared" si="759"/>
        <v>0</v>
      </c>
      <c r="IE239" s="418">
        <f t="shared" si="759"/>
        <v>0</v>
      </c>
      <c r="IF239" s="418">
        <f t="shared" si="759"/>
        <v>0</v>
      </c>
      <c r="IG239" s="418">
        <f t="shared" si="759"/>
        <v>0</v>
      </c>
      <c r="IH239" s="418">
        <f t="shared" si="759"/>
        <v>0</v>
      </c>
      <c r="II239" s="418">
        <f t="shared" si="759"/>
        <v>0</v>
      </c>
      <c r="IJ239" s="418">
        <f t="shared" si="759"/>
        <v>0</v>
      </c>
      <c r="IK239" s="418">
        <f t="shared" si="759"/>
        <v>0</v>
      </c>
      <c r="IL239" s="418">
        <f t="shared" si="759"/>
        <v>0</v>
      </c>
      <c r="IM239" s="418">
        <f t="shared" si="759"/>
        <v>0</v>
      </c>
      <c r="IN239" s="418">
        <f t="shared" ref="IN239:JS239" si="760">(IN$197&lt;=Timing_Reversion_Month)*(IN238*((1+$EP240)^(1/12)-1))</f>
        <v>0</v>
      </c>
      <c r="IO239" s="418">
        <f t="shared" si="760"/>
        <v>0</v>
      </c>
      <c r="IP239" s="418">
        <f t="shared" si="760"/>
        <v>0</v>
      </c>
      <c r="IQ239" s="418">
        <f t="shared" si="760"/>
        <v>0</v>
      </c>
      <c r="IR239" s="418">
        <f t="shared" si="760"/>
        <v>0</v>
      </c>
      <c r="IS239" s="418">
        <f t="shared" si="760"/>
        <v>0</v>
      </c>
      <c r="IT239" s="418">
        <f t="shared" si="760"/>
        <v>0</v>
      </c>
      <c r="IU239" s="418">
        <f t="shared" si="760"/>
        <v>0</v>
      </c>
      <c r="IV239" s="418">
        <f t="shared" si="760"/>
        <v>0</v>
      </c>
      <c r="IW239" s="418">
        <f t="shared" si="760"/>
        <v>0</v>
      </c>
      <c r="IX239" s="418">
        <f t="shared" si="760"/>
        <v>0</v>
      </c>
      <c r="IY239" s="418">
        <f t="shared" si="760"/>
        <v>0</v>
      </c>
      <c r="IZ239" s="418">
        <f t="shared" si="760"/>
        <v>0</v>
      </c>
      <c r="JA239" s="418">
        <f t="shared" si="760"/>
        <v>0</v>
      </c>
      <c r="JB239" s="418">
        <f t="shared" si="760"/>
        <v>0</v>
      </c>
      <c r="JC239" s="418">
        <f t="shared" si="760"/>
        <v>0</v>
      </c>
      <c r="JD239" s="418">
        <f t="shared" si="760"/>
        <v>0</v>
      </c>
      <c r="JE239" s="418">
        <f t="shared" si="760"/>
        <v>0</v>
      </c>
      <c r="JF239" s="418">
        <f t="shared" si="760"/>
        <v>0</v>
      </c>
      <c r="JG239" s="418">
        <f t="shared" si="760"/>
        <v>0</v>
      </c>
      <c r="JH239" s="418">
        <f t="shared" si="760"/>
        <v>0</v>
      </c>
      <c r="JI239" s="418">
        <f t="shared" si="760"/>
        <v>0</v>
      </c>
      <c r="JJ239" s="418">
        <f t="shared" si="760"/>
        <v>0</v>
      </c>
      <c r="JK239" s="418">
        <f t="shared" si="760"/>
        <v>0</v>
      </c>
      <c r="JL239" s="418">
        <f t="shared" si="760"/>
        <v>0</v>
      </c>
      <c r="JM239" s="418">
        <f t="shared" si="760"/>
        <v>0</v>
      </c>
      <c r="JN239" s="418">
        <f t="shared" si="760"/>
        <v>0</v>
      </c>
      <c r="JO239" s="418">
        <f t="shared" si="760"/>
        <v>0</v>
      </c>
      <c r="JP239" s="418">
        <f t="shared" si="760"/>
        <v>0</v>
      </c>
      <c r="JQ239" s="418">
        <f t="shared" si="760"/>
        <v>0</v>
      </c>
      <c r="JR239" s="418">
        <f t="shared" si="760"/>
        <v>0</v>
      </c>
      <c r="JS239" s="418">
        <f t="shared" si="760"/>
        <v>0</v>
      </c>
      <c r="JT239" s="418">
        <f>(JT$197&lt;=Timing_Reversion_Month)*(JT238*((1+$EP240)^(1/12)-1))</f>
        <v>0</v>
      </c>
      <c r="JU239" s="418">
        <f>(JU$197&lt;=Timing_Reversion_Month)*(JU238*((1+$EP240)^(1/12)-1))</f>
        <v>0</v>
      </c>
      <c r="JV239" s="418">
        <f>(JV$197&lt;=Timing_Reversion_Month)*(JV238*((1+$EP240)^(1/12)-1))</f>
        <v>0</v>
      </c>
      <c r="JW239" s="418">
        <f>(JW$197&lt;=Timing_Reversion_Month)*(JW238*((1+$EP240)^(1/12)-1))</f>
        <v>0</v>
      </c>
      <c r="JX239" s="418">
        <f>(JX$197&lt;=Timing_Reversion_Month)*(JX238*((1+$EP240)^(1/12)-1))</f>
        <v>0</v>
      </c>
      <c r="JY239"/>
      <c r="JZ239" s="262"/>
      <c r="KA239" s="262"/>
      <c r="KB239" s="262"/>
      <c r="KC239" s="262"/>
      <c r="KD239" s="262"/>
      <c r="KE239" s="262"/>
      <c r="KF239" s="262"/>
      <c r="KG239" s="262"/>
      <c r="KH239" s="262"/>
      <c r="KI239" s="262"/>
      <c r="KJ239" s="262"/>
      <c r="KK239" s="262"/>
      <c r="KL239" s="262"/>
      <c r="KM239" s="262"/>
      <c r="KN239" s="262"/>
      <c r="KO239" s="262"/>
      <c r="KP239" s="262"/>
      <c r="KQ239" s="262"/>
      <c r="KR239" s="262"/>
      <c r="KS239" s="262"/>
      <c r="KT239" s="262"/>
      <c r="KU239" s="262"/>
      <c r="KV239" s="262"/>
      <c r="KW239" s="262"/>
      <c r="KX239" s="262"/>
      <c r="KY239" s="262"/>
      <c r="KZ239" s="262"/>
      <c r="LA239" s="262"/>
      <c r="LB239" s="262"/>
      <c r="LC239" s="262"/>
      <c r="LD239" s="262"/>
      <c r="LE239" s="262"/>
      <c r="LF239" s="262"/>
      <c r="LG239" s="262"/>
      <c r="LH239" s="262"/>
      <c r="LI239" s="262"/>
      <c r="LJ239" s="262"/>
      <c r="LK239" s="262"/>
      <c r="LL239" s="262"/>
      <c r="LM239" s="262"/>
      <c r="LN239" s="262"/>
      <c r="LO239" s="262"/>
      <c r="LP239" s="262"/>
      <c r="LQ239" s="262"/>
      <c r="LR239" s="262"/>
      <c r="LS239" s="262"/>
      <c r="LT239" s="262"/>
      <c r="LU239" s="262"/>
      <c r="LV239" s="262"/>
      <c r="LW239" s="262"/>
      <c r="LX239" s="262"/>
      <c r="LY239" s="262"/>
      <c r="LZ239" s="262"/>
      <c r="MA239" s="262"/>
      <c r="MB239" s="262"/>
      <c r="MC239" s="262"/>
      <c r="MD239" s="262"/>
      <c r="ME239" s="262"/>
      <c r="MF239" s="262"/>
      <c r="MG239" s="262"/>
      <c r="MH239" s="262"/>
      <c r="MI239" s="262"/>
      <c r="MJ239" s="262"/>
      <c r="MK239" s="262"/>
      <c r="ML239" s="262"/>
      <c r="MM239" s="262"/>
      <c r="MN239" s="262"/>
      <c r="MO239" s="262"/>
      <c r="MP239" s="262"/>
      <c r="MQ239" s="262"/>
      <c r="MR239" s="262"/>
      <c r="MS239" s="262"/>
      <c r="MT239" s="262"/>
      <c r="MU239" s="262"/>
      <c r="MV239" s="262"/>
      <c r="MW239" s="262"/>
      <c r="MX239" s="262"/>
      <c r="MY239" s="262"/>
      <c r="MZ239" s="262"/>
      <c r="NA239" s="262"/>
      <c r="NB239" s="262"/>
      <c r="NC239" s="262"/>
      <c r="ND239" s="262"/>
      <c r="NE239" s="262"/>
      <c r="NF239" s="262"/>
      <c r="NG239" s="262"/>
      <c r="NH239" s="262"/>
      <c r="NI239" s="262"/>
      <c r="NJ239" s="262"/>
      <c r="NK239" s="262"/>
      <c r="NL239" s="262"/>
      <c r="NM239" s="262"/>
      <c r="NN239" s="262"/>
      <c r="NO239" s="262"/>
      <c r="NP239" s="262"/>
      <c r="NQ239" s="262"/>
      <c r="NR239" s="262"/>
      <c r="NS239" s="262"/>
      <c r="NT239" s="262"/>
      <c r="NU239" s="262"/>
      <c r="NV239" s="262"/>
      <c r="NW239" s="262"/>
      <c r="NX239" s="262"/>
      <c r="NY239" s="262"/>
      <c r="NZ239" s="262"/>
      <c r="OA239" s="262"/>
      <c r="OB239" s="262"/>
      <c r="OC239" s="262"/>
      <c r="OD239" s="262"/>
      <c r="OE239" s="262"/>
      <c r="OF239" s="262"/>
      <c r="OG239" s="262"/>
      <c r="OH239" s="262"/>
      <c r="OI239" s="262"/>
      <c r="OJ239" s="262"/>
      <c r="OK239" s="262"/>
      <c r="OL239" s="262"/>
      <c r="OM239" s="262"/>
      <c r="ON239" s="262"/>
      <c r="OO239" s="262"/>
      <c r="OP239" s="262"/>
      <c r="OQ239" s="262"/>
      <c r="OR239" s="262"/>
      <c r="OS239" s="262"/>
      <c r="OT239" s="262"/>
      <c r="OU239" s="262"/>
      <c r="OV239" s="262"/>
      <c r="OW239" s="262"/>
      <c r="OX239" s="262"/>
      <c r="OY239" s="262"/>
      <c r="OZ239" s="262"/>
      <c r="PA239" s="262"/>
      <c r="PB239" s="262"/>
      <c r="PC239" s="262"/>
      <c r="PD239" s="262"/>
      <c r="PE239" s="262"/>
      <c r="PF239" s="262"/>
      <c r="PG239" s="262"/>
      <c r="PH239" s="262"/>
    </row>
    <row r="240" spans="1:424" x14ac:dyDescent="0.35">
      <c r="A240"/>
      <c r="B240" s="411" t="s">
        <v>430</v>
      </c>
      <c r="C240" s="542">
        <f>C229</f>
        <v>1</v>
      </c>
      <c r="D240" s="397"/>
      <c r="E240" s="397"/>
      <c r="F240" s="397"/>
      <c r="G240" s="85"/>
      <c r="H240" s="54">
        <f>IF($I$241=0,0,I240/$I$241)</f>
        <v>1</v>
      </c>
      <c r="I240" s="420">
        <f>SUM(L240:EN240)</f>
        <v>519639693.36399013</v>
      </c>
      <c r="J240"/>
      <c r="K240"/>
      <c r="L240" s="422">
        <f>IF(L$227="","",EV201+EV217+EV227+EV233)</f>
        <v>0</v>
      </c>
      <c r="M240" s="422">
        <f t="shared" ref="M240:AQ240" si="761">IF(M$227="","",EW201+EW217+EW227+EW233)</f>
        <v>70562.268970067496</v>
      </c>
      <c r="N240" s="422">
        <f t="shared" si="761"/>
        <v>0</v>
      </c>
      <c r="O240" s="422">
        <f t="shared" si="761"/>
        <v>52683.47823085892</v>
      </c>
      <c r="P240" s="422">
        <f t="shared" si="761"/>
        <v>73917.592887241393</v>
      </c>
      <c r="Q240" s="422">
        <f t="shared" si="761"/>
        <v>100597.62539995834</v>
      </c>
      <c r="R240" s="422">
        <f t="shared" si="761"/>
        <v>132711.21484693745</v>
      </c>
      <c r="S240" s="422">
        <f t="shared" si="761"/>
        <v>169571.13126643002</v>
      </c>
      <c r="T240" s="422">
        <f t="shared" si="761"/>
        <v>209638.92700129561</v>
      </c>
      <c r="U240" s="422">
        <f t="shared" si="761"/>
        <v>250432.28312832303</v>
      </c>
      <c r="V240" s="422">
        <f t="shared" si="761"/>
        <v>288567.01646289043</v>
      </c>
      <c r="W240" s="422">
        <f t="shared" si="761"/>
        <v>319971.35631248169</v>
      </c>
      <c r="X240" s="422">
        <f t="shared" si="761"/>
        <v>340282.33397308737</v>
      </c>
      <c r="Y240" s="422">
        <f t="shared" si="761"/>
        <v>0</v>
      </c>
      <c r="Z240" s="422">
        <f t="shared" si="761"/>
        <v>0</v>
      </c>
      <c r="AA240" s="422">
        <f t="shared" si="761"/>
        <v>0</v>
      </c>
      <c r="AB240" s="422">
        <f t="shared" si="761"/>
        <v>0</v>
      </c>
      <c r="AC240" s="422">
        <f t="shared" si="761"/>
        <v>0</v>
      </c>
      <c r="AD240" s="422">
        <f t="shared" si="761"/>
        <v>0</v>
      </c>
      <c r="AE240" s="422">
        <f t="shared" si="761"/>
        <v>0</v>
      </c>
      <c r="AF240" s="422">
        <f t="shared" si="761"/>
        <v>0</v>
      </c>
      <c r="AG240" s="422">
        <f t="shared" si="761"/>
        <v>0</v>
      </c>
      <c r="AH240" s="422">
        <f t="shared" si="761"/>
        <v>0</v>
      </c>
      <c r="AI240" s="422">
        <f t="shared" si="761"/>
        <v>0</v>
      </c>
      <c r="AJ240" s="422">
        <f t="shared" si="761"/>
        <v>0</v>
      </c>
      <c r="AK240" s="422">
        <f t="shared" si="761"/>
        <v>0</v>
      </c>
      <c r="AL240" s="422">
        <f t="shared" si="761"/>
        <v>0</v>
      </c>
      <c r="AM240" s="422">
        <f t="shared" si="761"/>
        <v>0</v>
      </c>
      <c r="AN240" s="422">
        <f t="shared" si="761"/>
        <v>0</v>
      </c>
      <c r="AO240" s="422">
        <f t="shared" si="761"/>
        <v>0</v>
      </c>
      <c r="AP240" s="422">
        <f t="shared" si="761"/>
        <v>0</v>
      </c>
      <c r="AQ240" s="422">
        <f t="shared" si="761"/>
        <v>0</v>
      </c>
      <c r="AR240" s="422">
        <f t="shared" ref="AR240:BW240" si="762">IF(AR$227="","",GB201+GB217+GB227+GB233)</f>
        <v>0</v>
      </c>
      <c r="AS240" s="422">
        <f t="shared" si="762"/>
        <v>0</v>
      </c>
      <c r="AT240" s="422">
        <f t="shared" si="762"/>
        <v>0</v>
      </c>
      <c r="AU240" s="422">
        <f t="shared" si="762"/>
        <v>0</v>
      </c>
      <c r="AV240" s="422">
        <f t="shared" si="762"/>
        <v>0</v>
      </c>
      <c r="AW240" s="422">
        <f t="shared" si="762"/>
        <v>0</v>
      </c>
      <c r="AX240" s="422">
        <f t="shared" si="762"/>
        <v>164230.6805146893</v>
      </c>
      <c r="AY240" s="422">
        <f t="shared" si="762"/>
        <v>364286.76529399911</v>
      </c>
      <c r="AZ240" s="422">
        <f t="shared" si="762"/>
        <v>572380.13607966923</v>
      </c>
      <c r="BA240" s="422">
        <f t="shared" si="762"/>
        <v>773016.00189663284</v>
      </c>
      <c r="BB240" s="422">
        <f t="shared" si="762"/>
        <v>973611.13907960732</v>
      </c>
      <c r="BC240" s="422">
        <f t="shared" si="762"/>
        <v>1179706.9936818241</v>
      </c>
      <c r="BD240" s="202">
        <f t="shared" si="762"/>
        <v>1380220.010561527</v>
      </c>
      <c r="BE240" s="202">
        <f t="shared" si="762"/>
        <v>1580691.6333754973</v>
      </c>
      <c r="BF240" s="202">
        <f t="shared" si="762"/>
        <v>1807345.3879058782</v>
      </c>
      <c r="BG240" s="202">
        <f t="shared" si="762"/>
        <v>2007733.5487203011</v>
      </c>
      <c r="BH240" s="202">
        <f t="shared" si="762"/>
        <v>2208079.6391653027</v>
      </c>
      <c r="BI240" s="202">
        <f t="shared" si="762"/>
        <v>2479277.8516667918</v>
      </c>
      <c r="BJ240" s="202">
        <f t="shared" si="762"/>
        <v>2471384.1182492906</v>
      </c>
      <c r="BK240" s="202">
        <f t="shared" si="762"/>
        <v>2463447.6271091113</v>
      </c>
      <c r="BL240" s="202">
        <f t="shared" si="762"/>
        <v>2461777.3341419231</v>
      </c>
      <c r="BM240" s="202">
        <f t="shared" si="762"/>
        <v>2453754.6314888708</v>
      </c>
      <c r="BN240" s="202">
        <f t="shared" si="762"/>
        <v>2445688.4725297811</v>
      </c>
      <c r="BO240" s="202">
        <f t="shared" si="762"/>
        <v>2443314.2468763296</v>
      </c>
      <c r="BP240" s="202">
        <f t="shared" si="762"/>
        <v>2435160.4678651718</v>
      </c>
      <c r="BQ240" s="202">
        <f t="shared" si="762"/>
        <v>2426962.5225510374</v>
      </c>
      <c r="BR240" s="202">
        <f t="shared" si="762"/>
        <v>2445861.752949785</v>
      </c>
      <c r="BS240" s="202">
        <f t="shared" si="762"/>
        <v>2437574.756031421</v>
      </c>
      <c r="BT240" s="202">
        <f t="shared" si="762"/>
        <v>2429242.8712130822</v>
      </c>
      <c r="BU240" s="202">
        <f t="shared" si="762"/>
        <v>475226009.54656303</v>
      </c>
      <c r="BV240" s="202" t="str">
        <f t="shared" si="762"/>
        <v/>
      </c>
      <c r="BW240" s="202" t="str">
        <f t="shared" si="762"/>
        <v/>
      </c>
      <c r="BX240" s="202" t="str">
        <f t="shared" ref="BX240:DC240" si="763">IF(BX$227="","",HH201+HH217+HH227+HH233)</f>
        <v/>
      </c>
      <c r="BY240" s="202" t="str">
        <f t="shared" si="763"/>
        <v/>
      </c>
      <c r="BZ240" s="202" t="str">
        <f t="shared" si="763"/>
        <v/>
      </c>
      <c r="CA240" s="202" t="str">
        <f t="shared" si="763"/>
        <v/>
      </c>
      <c r="CB240" s="202" t="str">
        <f t="shared" si="763"/>
        <v/>
      </c>
      <c r="CC240" s="202" t="str">
        <f t="shared" si="763"/>
        <v/>
      </c>
      <c r="CD240" s="202" t="str">
        <f t="shared" si="763"/>
        <v/>
      </c>
      <c r="CE240" s="202" t="str">
        <f t="shared" si="763"/>
        <v/>
      </c>
      <c r="CF240" s="202" t="str">
        <f t="shared" si="763"/>
        <v/>
      </c>
      <c r="CG240" s="202" t="str">
        <f t="shared" si="763"/>
        <v/>
      </c>
      <c r="CH240" s="202" t="str">
        <f t="shared" si="763"/>
        <v/>
      </c>
      <c r="CI240" s="202" t="str">
        <f t="shared" si="763"/>
        <v/>
      </c>
      <c r="CJ240" s="202" t="str">
        <f t="shared" si="763"/>
        <v/>
      </c>
      <c r="CK240" s="202" t="str">
        <f t="shared" si="763"/>
        <v/>
      </c>
      <c r="CL240" s="202" t="str">
        <f t="shared" si="763"/>
        <v/>
      </c>
      <c r="CM240" s="202" t="str">
        <f t="shared" si="763"/>
        <v/>
      </c>
      <c r="CN240" s="202" t="str">
        <f t="shared" si="763"/>
        <v/>
      </c>
      <c r="CO240" s="202" t="str">
        <f t="shared" si="763"/>
        <v/>
      </c>
      <c r="CP240" s="202" t="str">
        <f t="shared" si="763"/>
        <v/>
      </c>
      <c r="CQ240" s="202" t="str">
        <f t="shared" si="763"/>
        <v/>
      </c>
      <c r="CR240" s="202" t="str">
        <f t="shared" si="763"/>
        <v/>
      </c>
      <c r="CS240" s="202" t="str">
        <f t="shared" si="763"/>
        <v/>
      </c>
      <c r="CT240" s="202" t="str">
        <f t="shared" si="763"/>
        <v/>
      </c>
      <c r="CU240" s="202" t="str">
        <f t="shared" si="763"/>
        <v/>
      </c>
      <c r="CV240" s="202" t="str">
        <f t="shared" si="763"/>
        <v/>
      </c>
      <c r="CW240" s="202" t="str">
        <f t="shared" si="763"/>
        <v/>
      </c>
      <c r="CX240" s="202" t="str">
        <f t="shared" si="763"/>
        <v/>
      </c>
      <c r="CY240" s="202" t="str">
        <f t="shared" si="763"/>
        <v/>
      </c>
      <c r="CZ240" s="202" t="str">
        <f t="shared" si="763"/>
        <v/>
      </c>
      <c r="DA240" s="202" t="str">
        <f t="shared" si="763"/>
        <v/>
      </c>
      <c r="DB240" s="202" t="str">
        <f t="shared" si="763"/>
        <v/>
      </c>
      <c r="DC240" s="202" t="str">
        <f t="shared" si="763"/>
        <v/>
      </c>
      <c r="DD240" s="202" t="str">
        <f t="shared" ref="DD240:EI240" si="764">IF(DD$227="","",IN201+IN217+IN227+IN233)</f>
        <v/>
      </c>
      <c r="DE240" s="202" t="str">
        <f t="shared" si="764"/>
        <v/>
      </c>
      <c r="DF240" s="202" t="str">
        <f t="shared" si="764"/>
        <v/>
      </c>
      <c r="DG240" s="202" t="str">
        <f t="shared" si="764"/>
        <v/>
      </c>
      <c r="DH240" s="202" t="str">
        <f t="shared" si="764"/>
        <v/>
      </c>
      <c r="DI240" s="202" t="str">
        <f t="shared" si="764"/>
        <v/>
      </c>
      <c r="DJ240" s="202" t="str">
        <f t="shared" si="764"/>
        <v/>
      </c>
      <c r="DK240" s="202" t="str">
        <f t="shared" si="764"/>
        <v/>
      </c>
      <c r="DL240" s="202" t="str">
        <f t="shared" si="764"/>
        <v/>
      </c>
      <c r="DM240" s="202" t="str">
        <f t="shared" si="764"/>
        <v/>
      </c>
      <c r="DN240" s="202" t="str">
        <f t="shared" si="764"/>
        <v/>
      </c>
      <c r="DO240" s="202" t="str">
        <f t="shared" si="764"/>
        <v/>
      </c>
      <c r="DP240" s="202" t="str">
        <f t="shared" si="764"/>
        <v/>
      </c>
      <c r="DQ240" s="202" t="str">
        <f t="shared" si="764"/>
        <v/>
      </c>
      <c r="DR240" s="202" t="str">
        <f t="shared" si="764"/>
        <v/>
      </c>
      <c r="DS240" s="202" t="str">
        <f t="shared" si="764"/>
        <v/>
      </c>
      <c r="DT240" s="202" t="str">
        <f t="shared" si="764"/>
        <v/>
      </c>
      <c r="DU240" s="202" t="str">
        <f t="shared" si="764"/>
        <v/>
      </c>
      <c r="DV240" s="202" t="str">
        <f t="shared" si="764"/>
        <v/>
      </c>
      <c r="DW240" s="202" t="str">
        <f t="shared" si="764"/>
        <v/>
      </c>
      <c r="DX240" s="202" t="str">
        <f t="shared" si="764"/>
        <v/>
      </c>
      <c r="DY240" s="202" t="str">
        <f t="shared" si="764"/>
        <v/>
      </c>
      <c r="DZ240" s="202" t="str">
        <f t="shared" si="764"/>
        <v/>
      </c>
      <c r="EA240" s="202" t="str">
        <f t="shared" si="764"/>
        <v/>
      </c>
      <c r="EB240" s="202" t="str">
        <f t="shared" si="764"/>
        <v/>
      </c>
      <c r="EC240" s="202" t="str">
        <f t="shared" si="764"/>
        <v/>
      </c>
      <c r="ED240" s="202" t="str">
        <f t="shared" si="764"/>
        <v/>
      </c>
      <c r="EE240" s="202" t="str">
        <f t="shared" si="764"/>
        <v/>
      </c>
      <c r="EF240" s="202" t="str">
        <f t="shared" si="764"/>
        <v/>
      </c>
      <c r="EG240" s="202" t="str">
        <f t="shared" si="764"/>
        <v/>
      </c>
      <c r="EH240" s="202" t="str">
        <f t="shared" si="764"/>
        <v/>
      </c>
      <c r="EI240" s="202" t="str">
        <f t="shared" si="764"/>
        <v/>
      </c>
      <c r="EJ240" s="202" t="str">
        <f>IF(EJ$227="","",JT201+JT217+JT227+JT233)</f>
        <v/>
      </c>
      <c r="EK240" s="202" t="str">
        <f>IF(EK$227="","",JU201+JU217+JU227+JU233)</f>
        <v/>
      </c>
      <c r="EL240" s="202" t="str">
        <f>IF(EL$227="","",JV201+JV217+JV227+JV233)</f>
        <v/>
      </c>
      <c r="EM240" s="202" t="str">
        <f>IF(EM$227="","",JW201+JW217+JW227+JW233)</f>
        <v/>
      </c>
      <c r="EN240" s="202" t="str">
        <f>IF(EN$227="","",JX201+JX217+JX227+JX233)</f>
        <v/>
      </c>
      <c r="EO240"/>
      <c r="EP240" s="222">
        <f>F254</f>
        <v>0.09</v>
      </c>
      <c r="EQ240" s="18" t="s">
        <v>384</v>
      </c>
      <c r="ER240" s="18"/>
      <c r="ES240" s="18"/>
      <c r="ET240" s="18" t="s">
        <v>453</v>
      </c>
      <c r="EU240" s="18"/>
      <c r="EV240" s="418">
        <f>IF(L250="",0,L250)</f>
        <v>0</v>
      </c>
      <c r="EW240" s="418">
        <f t="shared" ref="EW240:GA240" si="765">IF(M250="",0,M250)</f>
        <v>0</v>
      </c>
      <c r="EX240" s="418">
        <f t="shared" si="765"/>
        <v>0</v>
      </c>
      <c r="EY240" s="418">
        <f t="shared" si="765"/>
        <v>0</v>
      </c>
      <c r="EZ240" s="418">
        <f t="shared" si="765"/>
        <v>0</v>
      </c>
      <c r="FA240" s="418">
        <f t="shared" si="765"/>
        <v>0</v>
      </c>
      <c r="FB240" s="418">
        <f t="shared" si="765"/>
        <v>0</v>
      </c>
      <c r="FC240" s="418">
        <f t="shared" si="765"/>
        <v>0</v>
      </c>
      <c r="FD240" s="418">
        <f t="shared" si="765"/>
        <v>0</v>
      </c>
      <c r="FE240" s="418">
        <f t="shared" si="765"/>
        <v>0</v>
      </c>
      <c r="FF240" s="418">
        <f t="shared" si="765"/>
        <v>0</v>
      </c>
      <c r="FG240" s="418">
        <f t="shared" si="765"/>
        <v>0</v>
      </c>
      <c r="FH240" s="418">
        <f t="shared" si="765"/>
        <v>0</v>
      </c>
      <c r="FI240" s="418">
        <f t="shared" si="765"/>
        <v>0</v>
      </c>
      <c r="FJ240" s="418">
        <f t="shared" si="765"/>
        <v>0</v>
      </c>
      <c r="FK240" s="418">
        <f t="shared" si="765"/>
        <v>0</v>
      </c>
      <c r="FL240" s="418">
        <f t="shared" si="765"/>
        <v>0</v>
      </c>
      <c r="FM240" s="418">
        <f t="shared" si="765"/>
        <v>0</v>
      </c>
      <c r="FN240" s="418">
        <f t="shared" si="765"/>
        <v>0</v>
      </c>
      <c r="FO240" s="418">
        <f t="shared" si="765"/>
        <v>0</v>
      </c>
      <c r="FP240" s="418">
        <f t="shared" si="765"/>
        <v>0</v>
      </c>
      <c r="FQ240" s="418">
        <f t="shared" si="765"/>
        <v>0</v>
      </c>
      <c r="FR240" s="418">
        <f t="shared" si="765"/>
        <v>0</v>
      </c>
      <c r="FS240" s="418">
        <f t="shared" si="765"/>
        <v>0</v>
      </c>
      <c r="FT240" s="418">
        <f t="shared" si="765"/>
        <v>0</v>
      </c>
      <c r="FU240" s="418">
        <f t="shared" si="765"/>
        <v>0</v>
      </c>
      <c r="FV240" s="418">
        <f t="shared" si="765"/>
        <v>0</v>
      </c>
      <c r="FW240" s="418">
        <f t="shared" si="765"/>
        <v>0</v>
      </c>
      <c r="FX240" s="418">
        <f t="shared" si="765"/>
        <v>0</v>
      </c>
      <c r="FY240" s="418">
        <f t="shared" si="765"/>
        <v>0</v>
      </c>
      <c r="FZ240" s="418">
        <f t="shared" si="765"/>
        <v>0</v>
      </c>
      <c r="GA240" s="418">
        <f t="shared" si="765"/>
        <v>0</v>
      </c>
      <c r="GB240" s="418">
        <f t="shared" ref="GB240:HG240" si="766">IF(AR250="",0,AR250)</f>
        <v>0</v>
      </c>
      <c r="GC240" s="418">
        <f t="shared" si="766"/>
        <v>0</v>
      </c>
      <c r="GD240" s="418">
        <f t="shared" si="766"/>
        <v>0</v>
      </c>
      <c r="GE240" s="418">
        <f t="shared" si="766"/>
        <v>0</v>
      </c>
      <c r="GF240" s="418">
        <f t="shared" si="766"/>
        <v>0</v>
      </c>
      <c r="GG240" s="418">
        <f t="shared" si="766"/>
        <v>0</v>
      </c>
      <c r="GH240" s="418">
        <f t="shared" si="766"/>
        <v>0</v>
      </c>
      <c r="GI240" s="418">
        <f t="shared" si="766"/>
        <v>0</v>
      </c>
      <c r="GJ240" s="418">
        <f t="shared" si="766"/>
        <v>0</v>
      </c>
      <c r="GK240" s="418">
        <f t="shared" si="766"/>
        <v>0</v>
      </c>
      <c r="GL240" s="418">
        <f t="shared" si="766"/>
        <v>0</v>
      </c>
      <c r="GM240" s="418">
        <f t="shared" si="766"/>
        <v>0</v>
      </c>
      <c r="GN240" s="418">
        <f t="shared" si="766"/>
        <v>0</v>
      </c>
      <c r="GO240" s="418">
        <f t="shared" si="766"/>
        <v>0</v>
      </c>
      <c r="GP240" s="418">
        <f t="shared" si="766"/>
        <v>0</v>
      </c>
      <c r="GQ240" s="418">
        <f t="shared" si="766"/>
        <v>0</v>
      </c>
      <c r="GR240" s="418">
        <f t="shared" si="766"/>
        <v>0</v>
      </c>
      <c r="GS240" s="418">
        <f t="shared" si="766"/>
        <v>0</v>
      </c>
      <c r="GT240" s="418">
        <f t="shared" si="766"/>
        <v>0</v>
      </c>
      <c r="GU240" s="418">
        <f t="shared" si="766"/>
        <v>0</v>
      </c>
      <c r="GV240" s="418">
        <f t="shared" si="766"/>
        <v>0</v>
      </c>
      <c r="GW240" s="418">
        <f t="shared" si="766"/>
        <v>0</v>
      </c>
      <c r="GX240" s="418">
        <f t="shared" si="766"/>
        <v>0</v>
      </c>
      <c r="GY240" s="418">
        <f t="shared" si="766"/>
        <v>0</v>
      </c>
      <c r="GZ240" s="418">
        <f t="shared" si="766"/>
        <v>0</v>
      </c>
      <c r="HA240" s="418">
        <f t="shared" si="766"/>
        <v>0</v>
      </c>
      <c r="HB240" s="418">
        <f t="shared" si="766"/>
        <v>0</v>
      </c>
      <c r="HC240" s="418">
        <f t="shared" si="766"/>
        <v>0</v>
      </c>
      <c r="HD240" s="418">
        <f t="shared" si="766"/>
        <v>0</v>
      </c>
      <c r="HE240" s="418">
        <f t="shared" si="766"/>
        <v>0</v>
      </c>
      <c r="HF240" s="418">
        <f t="shared" si="766"/>
        <v>0</v>
      </c>
      <c r="HG240" s="418">
        <f t="shared" si="766"/>
        <v>0</v>
      </c>
      <c r="HH240" s="418">
        <f t="shared" ref="HH240:IM240" si="767">IF(BX250="",0,BX250)</f>
        <v>0</v>
      </c>
      <c r="HI240" s="418">
        <f t="shared" si="767"/>
        <v>0</v>
      </c>
      <c r="HJ240" s="418">
        <f t="shared" si="767"/>
        <v>0</v>
      </c>
      <c r="HK240" s="418">
        <f t="shared" si="767"/>
        <v>0</v>
      </c>
      <c r="HL240" s="418">
        <f t="shared" si="767"/>
        <v>0</v>
      </c>
      <c r="HM240" s="418">
        <f t="shared" si="767"/>
        <v>0</v>
      </c>
      <c r="HN240" s="418">
        <f t="shared" si="767"/>
        <v>0</v>
      </c>
      <c r="HO240" s="418">
        <f t="shared" si="767"/>
        <v>0</v>
      </c>
      <c r="HP240" s="418">
        <f t="shared" si="767"/>
        <v>0</v>
      </c>
      <c r="HQ240" s="418">
        <f t="shared" si="767"/>
        <v>0</v>
      </c>
      <c r="HR240" s="418">
        <f t="shared" si="767"/>
        <v>0</v>
      </c>
      <c r="HS240" s="418">
        <f t="shared" si="767"/>
        <v>0</v>
      </c>
      <c r="HT240" s="418">
        <f t="shared" si="767"/>
        <v>0</v>
      </c>
      <c r="HU240" s="418">
        <f t="shared" si="767"/>
        <v>0</v>
      </c>
      <c r="HV240" s="418">
        <f t="shared" si="767"/>
        <v>0</v>
      </c>
      <c r="HW240" s="418">
        <f t="shared" si="767"/>
        <v>0</v>
      </c>
      <c r="HX240" s="418">
        <f t="shared" si="767"/>
        <v>0</v>
      </c>
      <c r="HY240" s="418">
        <f t="shared" si="767"/>
        <v>0</v>
      </c>
      <c r="HZ240" s="418">
        <f t="shared" si="767"/>
        <v>0</v>
      </c>
      <c r="IA240" s="418">
        <f t="shared" si="767"/>
        <v>0</v>
      </c>
      <c r="IB240" s="418">
        <f t="shared" si="767"/>
        <v>0</v>
      </c>
      <c r="IC240" s="418">
        <f t="shared" si="767"/>
        <v>0</v>
      </c>
      <c r="ID240" s="418">
        <f t="shared" si="767"/>
        <v>0</v>
      </c>
      <c r="IE240" s="418">
        <f t="shared" si="767"/>
        <v>0</v>
      </c>
      <c r="IF240" s="418">
        <f t="shared" si="767"/>
        <v>0</v>
      </c>
      <c r="IG240" s="418">
        <f t="shared" si="767"/>
        <v>0</v>
      </c>
      <c r="IH240" s="418">
        <f t="shared" si="767"/>
        <v>0</v>
      </c>
      <c r="II240" s="418">
        <f t="shared" si="767"/>
        <v>0</v>
      </c>
      <c r="IJ240" s="418">
        <f t="shared" si="767"/>
        <v>0</v>
      </c>
      <c r="IK240" s="418">
        <f t="shared" si="767"/>
        <v>0</v>
      </c>
      <c r="IL240" s="418">
        <f t="shared" si="767"/>
        <v>0</v>
      </c>
      <c r="IM240" s="418">
        <f t="shared" si="767"/>
        <v>0</v>
      </c>
      <c r="IN240" s="418">
        <f t="shared" ref="IN240:JS240" si="768">IF(DD250="",0,DD250)</f>
        <v>0</v>
      </c>
      <c r="IO240" s="418">
        <f t="shared" si="768"/>
        <v>0</v>
      </c>
      <c r="IP240" s="418">
        <f t="shared" si="768"/>
        <v>0</v>
      </c>
      <c r="IQ240" s="418">
        <f t="shared" si="768"/>
        <v>0</v>
      </c>
      <c r="IR240" s="418">
        <f t="shared" si="768"/>
        <v>0</v>
      </c>
      <c r="IS240" s="418">
        <f t="shared" si="768"/>
        <v>0</v>
      </c>
      <c r="IT240" s="418">
        <f t="shared" si="768"/>
        <v>0</v>
      </c>
      <c r="IU240" s="418">
        <f t="shared" si="768"/>
        <v>0</v>
      </c>
      <c r="IV240" s="418">
        <f t="shared" si="768"/>
        <v>0</v>
      </c>
      <c r="IW240" s="418">
        <f t="shared" si="768"/>
        <v>0</v>
      </c>
      <c r="IX240" s="418">
        <f t="shared" si="768"/>
        <v>0</v>
      </c>
      <c r="IY240" s="418">
        <f t="shared" si="768"/>
        <v>0</v>
      </c>
      <c r="IZ240" s="418">
        <f t="shared" si="768"/>
        <v>0</v>
      </c>
      <c r="JA240" s="418">
        <f t="shared" si="768"/>
        <v>0</v>
      </c>
      <c r="JB240" s="418">
        <f t="shared" si="768"/>
        <v>0</v>
      </c>
      <c r="JC240" s="418">
        <f t="shared" si="768"/>
        <v>0</v>
      </c>
      <c r="JD240" s="418">
        <f t="shared" si="768"/>
        <v>0</v>
      </c>
      <c r="JE240" s="418">
        <f t="shared" si="768"/>
        <v>0</v>
      </c>
      <c r="JF240" s="418">
        <f t="shared" si="768"/>
        <v>0</v>
      </c>
      <c r="JG240" s="418">
        <f t="shared" si="768"/>
        <v>0</v>
      </c>
      <c r="JH240" s="418">
        <f t="shared" si="768"/>
        <v>0</v>
      </c>
      <c r="JI240" s="418">
        <f t="shared" si="768"/>
        <v>0</v>
      </c>
      <c r="JJ240" s="418">
        <f t="shared" si="768"/>
        <v>0</v>
      </c>
      <c r="JK240" s="418">
        <f t="shared" si="768"/>
        <v>0</v>
      </c>
      <c r="JL240" s="418">
        <f t="shared" si="768"/>
        <v>0</v>
      </c>
      <c r="JM240" s="418">
        <f t="shared" si="768"/>
        <v>0</v>
      </c>
      <c r="JN240" s="418">
        <f t="shared" si="768"/>
        <v>0</v>
      </c>
      <c r="JO240" s="418">
        <f t="shared" si="768"/>
        <v>0</v>
      </c>
      <c r="JP240" s="418">
        <f t="shared" si="768"/>
        <v>0</v>
      </c>
      <c r="JQ240" s="418">
        <f t="shared" si="768"/>
        <v>0</v>
      </c>
      <c r="JR240" s="418">
        <f t="shared" si="768"/>
        <v>0</v>
      </c>
      <c r="JS240" s="418">
        <f t="shared" si="768"/>
        <v>0</v>
      </c>
      <c r="JT240" s="418">
        <f>IF(EJ250="",0,EJ250)</f>
        <v>0</v>
      </c>
      <c r="JU240" s="418">
        <f>IF(EK250="",0,EK250)</f>
        <v>0</v>
      </c>
      <c r="JV240" s="418">
        <f>IF(EL250="",0,EL250)</f>
        <v>0</v>
      </c>
      <c r="JW240" s="418">
        <f>IF(EM250="",0,EM250)</f>
        <v>0</v>
      </c>
      <c r="JX240" s="418">
        <f>IF(EN250="",0,EN250)</f>
        <v>0</v>
      </c>
      <c r="JY240"/>
      <c r="JZ240" s="262"/>
      <c r="KA240" s="262"/>
      <c r="KB240" s="262"/>
      <c r="KC240" s="262"/>
      <c r="KD240" s="262"/>
      <c r="KE240" s="262"/>
      <c r="KF240" s="262"/>
      <c r="KG240" s="262"/>
      <c r="KH240" s="262"/>
      <c r="KI240" s="262"/>
      <c r="KJ240" s="262"/>
      <c r="KK240" s="262"/>
      <c r="KL240" s="262"/>
      <c r="KM240" s="262"/>
      <c r="KN240" s="262"/>
      <c r="KO240" s="262"/>
      <c r="KP240" s="262"/>
      <c r="KQ240" s="262"/>
      <c r="KR240" s="262"/>
      <c r="KS240" s="262"/>
      <c r="KT240" s="262"/>
      <c r="KU240" s="262"/>
      <c r="KV240" s="262"/>
      <c r="KW240" s="262"/>
      <c r="KX240" s="262"/>
      <c r="KY240" s="262"/>
      <c r="KZ240" s="262"/>
      <c r="LA240" s="262"/>
      <c r="LB240" s="262"/>
      <c r="LC240" s="262"/>
      <c r="LD240" s="262"/>
      <c r="LE240" s="262"/>
      <c r="LF240" s="262"/>
      <c r="LG240" s="262"/>
      <c r="LH240" s="262"/>
      <c r="LI240" s="262"/>
      <c r="LJ240" s="262"/>
      <c r="LK240" s="262"/>
      <c r="LL240" s="262"/>
      <c r="LM240" s="262"/>
      <c r="LN240" s="262"/>
      <c r="LO240" s="262"/>
      <c r="LP240" s="262"/>
      <c r="LQ240" s="262"/>
      <c r="LR240" s="262"/>
      <c r="LS240" s="262"/>
      <c r="LT240" s="262"/>
      <c r="LU240" s="262"/>
      <c r="LV240" s="262"/>
      <c r="LW240" s="262"/>
      <c r="LX240" s="262"/>
      <c r="LY240" s="262"/>
      <c r="LZ240" s="262"/>
      <c r="MA240" s="262"/>
      <c r="MB240" s="262"/>
      <c r="MC240" s="262"/>
      <c r="MD240" s="262"/>
      <c r="ME240" s="262"/>
      <c r="MF240" s="262"/>
      <c r="MG240" s="262"/>
      <c r="MH240" s="262"/>
      <c r="MI240" s="262"/>
      <c r="MJ240" s="262"/>
      <c r="MK240" s="262"/>
      <c r="ML240" s="262"/>
      <c r="MM240" s="262"/>
      <c r="MN240" s="262"/>
      <c r="MO240" s="262"/>
      <c r="MP240" s="262"/>
      <c r="MQ240" s="262"/>
      <c r="MR240" s="262"/>
      <c r="MS240" s="262"/>
      <c r="MT240" s="262"/>
      <c r="MU240" s="262"/>
      <c r="MV240" s="262"/>
      <c r="MW240" s="262"/>
      <c r="MX240" s="262"/>
      <c r="MY240" s="262"/>
      <c r="MZ240" s="262"/>
      <c r="NA240" s="262"/>
      <c r="NB240" s="262"/>
      <c r="NC240" s="262"/>
      <c r="ND240" s="262"/>
      <c r="NE240" s="262"/>
      <c r="NF240" s="262"/>
      <c r="NG240" s="262"/>
      <c r="NH240" s="262"/>
      <c r="NI240" s="262"/>
      <c r="NJ240" s="262"/>
      <c r="NK240" s="262"/>
      <c r="NL240" s="262"/>
      <c r="NM240" s="262"/>
      <c r="NN240" s="262"/>
      <c r="NO240" s="262"/>
      <c r="NP240" s="262"/>
      <c r="NQ240" s="262"/>
      <c r="NR240" s="262"/>
      <c r="NS240" s="262"/>
      <c r="NT240" s="262"/>
      <c r="NU240" s="262"/>
      <c r="NV240" s="262"/>
      <c r="NW240" s="262"/>
      <c r="NX240" s="262"/>
      <c r="NY240" s="262"/>
      <c r="NZ240" s="262"/>
      <c r="OA240" s="262"/>
      <c r="OB240" s="262"/>
      <c r="OC240" s="262"/>
      <c r="OD240" s="262"/>
      <c r="OE240" s="262"/>
      <c r="OF240" s="262"/>
      <c r="OG240" s="262"/>
      <c r="OH240" s="262"/>
      <c r="OI240" s="262"/>
      <c r="OJ240" s="262"/>
      <c r="OK240" s="262"/>
      <c r="OL240" s="262"/>
      <c r="OM240" s="262"/>
      <c r="ON240" s="262"/>
      <c r="OO240" s="262"/>
      <c r="OP240" s="262"/>
      <c r="OQ240" s="262"/>
      <c r="OR240" s="262"/>
      <c r="OS240" s="262"/>
      <c r="OT240" s="262"/>
      <c r="OU240" s="262"/>
      <c r="OV240" s="262"/>
      <c r="OW240" s="262"/>
      <c r="OX240" s="262"/>
      <c r="OY240" s="262"/>
      <c r="OZ240" s="262"/>
      <c r="PA240" s="262"/>
      <c r="PB240" s="262"/>
      <c r="PC240" s="262"/>
      <c r="PD240" s="262"/>
      <c r="PE240" s="262"/>
      <c r="PF240" s="262"/>
      <c r="PG240" s="262"/>
      <c r="PH240" s="262"/>
    </row>
    <row r="241" spans="1:424" x14ac:dyDescent="0.35">
      <c r="A241"/>
      <c r="B241" s="34" t="s">
        <v>158</v>
      </c>
      <c r="C241" s="397"/>
      <c r="D241" s="397"/>
      <c r="E241" s="397"/>
      <c r="F241" s="397"/>
      <c r="G241" s="85"/>
      <c r="H241" s="57">
        <f>IF($I$241=0,0,I241/$I$241)</f>
        <v>1</v>
      </c>
      <c r="I241" s="545">
        <f>SUM(I239:I240)</f>
        <v>519639693.36399013</v>
      </c>
      <c r="J241"/>
      <c r="K241"/>
      <c r="L241" s="417">
        <f t="shared" ref="L241:AQ241" si="769">IF(L$227="","",SUM(L239:L240))</f>
        <v>0</v>
      </c>
      <c r="M241" s="417">
        <f t="shared" si="769"/>
        <v>70562.268970067496</v>
      </c>
      <c r="N241" s="417">
        <f t="shared" si="769"/>
        <v>0</v>
      </c>
      <c r="O241" s="417">
        <f t="shared" si="769"/>
        <v>52683.47823085892</v>
      </c>
      <c r="P241" s="417">
        <f t="shared" si="769"/>
        <v>73917.592887241393</v>
      </c>
      <c r="Q241" s="417">
        <f t="shared" si="769"/>
        <v>100597.62539995834</v>
      </c>
      <c r="R241" s="417">
        <f t="shared" si="769"/>
        <v>132711.21484693745</v>
      </c>
      <c r="S241" s="417">
        <f t="shared" si="769"/>
        <v>169571.13126643002</v>
      </c>
      <c r="T241" s="417">
        <f t="shared" si="769"/>
        <v>209638.92700129561</v>
      </c>
      <c r="U241" s="417">
        <f t="shared" si="769"/>
        <v>250432.28312832303</v>
      </c>
      <c r="V241" s="417">
        <f t="shared" si="769"/>
        <v>288567.01646289043</v>
      </c>
      <c r="W241" s="417">
        <f t="shared" si="769"/>
        <v>319971.35631248169</v>
      </c>
      <c r="X241" s="417">
        <f t="shared" si="769"/>
        <v>340282.33397308737</v>
      </c>
      <c r="Y241" s="417">
        <f t="shared" si="769"/>
        <v>0</v>
      </c>
      <c r="Z241" s="417">
        <f t="shared" si="769"/>
        <v>0</v>
      </c>
      <c r="AA241" s="417">
        <f t="shared" si="769"/>
        <v>0</v>
      </c>
      <c r="AB241" s="417">
        <f t="shared" si="769"/>
        <v>0</v>
      </c>
      <c r="AC241" s="417">
        <f t="shared" si="769"/>
        <v>0</v>
      </c>
      <c r="AD241" s="417">
        <f t="shared" si="769"/>
        <v>0</v>
      </c>
      <c r="AE241" s="417">
        <f t="shared" si="769"/>
        <v>0</v>
      </c>
      <c r="AF241" s="417">
        <f t="shared" si="769"/>
        <v>0</v>
      </c>
      <c r="AG241" s="417">
        <f t="shared" si="769"/>
        <v>0</v>
      </c>
      <c r="AH241" s="417">
        <f t="shared" si="769"/>
        <v>0</v>
      </c>
      <c r="AI241" s="417">
        <f t="shared" si="769"/>
        <v>0</v>
      </c>
      <c r="AJ241" s="417">
        <f t="shared" si="769"/>
        <v>0</v>
      </c>
      <c r="AK241" s="417">
        <f t="shared" si="769"/>
        <v>0</v>
      </c>
      <c r="AL241" s="417">
        <f t="shared" si="769"/>
        <v>0</v>
      </c>
      <c r="AM241" s="417">
        <f t="shared" si="769"/>
        <v>0</v>
      </c>
      <c r="AN241" s="417">
        <f t="shared" si="769"/>
        <v>0</v>
      </c>
      <c r="AO241" s="417">
        <f t="shared" si="769"/>
        <v>0</v>
      </c>
      <c r="AP241" s="417">
        <f t="shared" si="769"/>
        <v>0</v>
      </c>
      <c r="AQ241" s="417">
        <f t="shared" si="769"/>
        <v>0</v>
      </c>
      <c r="AR241" s="417">
        <f t="shared" ref="AR241:BW241" si="770">IF(AR$227="","",SUM(AR239:AR240))</f>
        <v>0</v>
      </c>
      <c r="AS241" s="417">
        <f t="shared" si="770"/>
        <v>0</v>
      </c>
      <c r="AT241" s="417">
        <f t="shared" si="770"/>
        <v>0</v>
      </c>
      <c r="AU241" s="417">
        <f t="shared" si="770"/>
        <v>0</v>
      </c>
      <c r="AV241" s="417">
        <f t="shared" si="770"/>
        <v>0</v>
      </c>
      <c r="AW241" s="417">
        <f t="shared" si="770"/>
        <v>0</v>
      </c>
      <c r="AX241" s="417">
        <f t="shared" si="770"/>
        <v>164230.6805146893</v>
      </c>
      <c r="AY241" s="417">
        <f t="shared" si="770"/>
        <v>364286.76529399911</v>
      </c>
      <c r="AZ241" s="417">
        <f t="shared" si="770"/>
        <v>572380.13607966923</v>
      </c>
      <c r="BA241" s="417">
        <f t="shared" si="770"/>
        <v>773016.00189663284</v>
      </c>
      <c r="BB241" s="417">
        <f t="shared" si="770"/>
        <v>973611.13907960732</v>
      </c>
      <c r="BC241" s="417">
        <f t="shared" si="770"/>
        <v>1179706.9936818241</v>
      </c>
      <c r="BD241" s="75">
        <f t="shared" si="770"/>
        <v>1380220.010561527</v>
      </c>
      <c r="BE241" s="75">
        <f t="shared" si="770"/>
        <v>1580691.6333754973</v>
      </c>
      <c r="BF241" s="75">
        <f t="shared" si="770"/>
        <v>1807345.3879058782</v>
      </c>
      <c r="BG241" s="75">
        <f t="shared" si="770"/>
        <v>2007733.5487203011</v>
      </c>
      <c r="BH241" s="75">
        <f t="shared" si="770"/>
        <v>2208079.6391653027</v>
      </c>
      <c r="BI241" s="75">
        <f t="shared" si="770"/>
        <v>2479277.8516667918</v>
      </c>
      <c r="BJ241" s="75">
        <f t="shared" si="770"/>
        <v>2471384.1182492906</v>
      </c>
      <c r="BK241" s="75">
        <f t="shared" si="770"/>
        <v>2463447.6271091113</v>
      </c>
      <c r="BL241" s="75">
        <f t="shared" si="770"/>
        <v>2461777.3341419231</v>
      </c>
      <c r="BM241" s="75">
        <f t="shared" si="770"/>
        <v>2453754.6314888708</v>
      </c>
      <c r="BN241" s="75">
        <f t="shared" si="770"/>
        <v>2445688.4725297811</v>
      </c>
      <c r="BO241" s="75">
        <f t="shared" si="770"/>
        <v>2443314.2468763296</v>
      </c>
      <c r="BP241" s="75">
        <f t="shared" si="770"/>
        <v>2435160.4678651718</v>
      </c>
      <c r="BQ241" s="75">
        <f t="shared" si="770"/>
        <v>2426962.5225510374</v>
      </c>
      <c r="BR241" s="75">
        <f t="shared" si="770"/>
        <v>2445861.752949785</v>
      </c>
      <c r="BS241" s="75">
        <f t="shared" si="770"/>
        <v>2437574.756031421</v>
      </c>
      <c r="BT241" s="75">
        <f t="shared" si="770"/>
        <v>2429242.8712130822</v>
      </c>
      <c r="BU241" s="75">
        <f t="shared" si="770"/>
        <v>475226009.54656303</v>
      </c>
      <c r="BV241" s="75" t="str">
        <f t="shared" si="770"/>
        <v/>
      </c>
      <c r="BW241" s="75" t="str">
        <f t="shared" si="770"/>
        <v/>
      </c>
      <c r="BX241" s="75" t="str">
        <f t="shared" ref="BX241:DC241" si="771">IF(BX$227="","",SUM(BX239:BX240))</f>
        <v/>
      </c>
      <c r="BY241" s="75" t="str">
        <f t="shared" si="771"/>
        <v/>
      </c>
      <c r="BZ241" s="75" t="str">
        <f t="shared" si="771"/>
        <v/>
      </c>
      <c r="CA241" s="75" t="str">
        <f t="shared" si="771"/>
        <v/>
      </c>
      <c r="CB241" s="75" t="str">
        <f t="shared" si="771"/>
        <v/>
      </c>
      <c r="CC241" s="75" t="str">
        <f t="shared" si="771"/>
        <v/>
      </c>
      <c r="CD241" s="75" t="str">
        <f t="shared" si="771"/>
        <v/>
      </c>
      <c r="CE241" s="75" t="str">
        <f t="shared" si="771"/>
        <v/>
      </c>
      <c r="CF241" s="75" t="str">
        <f t="shared" si="771"/>
        <v/>
      </c>
      <c r="CG241" s="75" t="str">
        <f t="shared" si="771"/>
        <v/>
      </c>
      <c r="CH241" s="75" t="str">
        <f t="shared" si="771"/>
        <v/>
      </c>
      <c r="CI241" s="75" t="str">
        <f t="shared" si="771"/>
        <v/>
      </c>
      <c r="CJ241" s="75" t="str">
        <f t="shared" si="771"/>
        <v/>
      </c>
      <c r="CK241" s="75" t="str">
        <f t="shared" si="771"/>
        <v/>
      </c>
      <c r="CL241" s="75" t="str">
        <f t="shared" si="771"/>
        <v/>
      </c>
      <c r="CM241" s="75" t="str">
        <f t="shared" si="771"/>
        <v/>
      </c>
      <c r="CN241" s="75" t="str">
        <f t="shared" si="771"/>
        <v/>
      </c>
      <c r="CO241" s="75" t="str">
        <f t="shared" si="771"/>
        <v/>
      </c>
      <c r="CP241" s="75" t="str">
        <f t="shared" si="771"/>
        <v/>
      </c>
      <c r="CQ241" s="75" t="str">
        <f t="shared" si="771"/>
        <v/>
      </c>
      <c r="CR241" s="75" t="str">
        <f t="shared" si="771"/>
        <v/>
      </c>
      <c r="CS241" s="75" t="str">
        <f t="shared" si="771"/>
        <v/>
      </c>
      <c r="CT241" s="75" t="str">
        <f t="shared" si="771"/>
        <v/>
      </c>
      <c r="CU241" s="75" t="str">
        <f t="shared" si="771"/>
        <v/>
      </c>
      <c r="CV241" s="75" t="str">
        <f t="shared" si="771"/>
        <v/>
      </c>
      <c r="CW241" s="75" t="str">
        <f t="shared" si="771"/>
        <v/>
      </c>
      <c r="CX241" s="75" t="str">
        <f t="shared" si="771"/>
        <v/>
      </c>
      <c r="CY241" s="75" t="str">
        <f t="shared" si="771"/>
        <v/>
      </c>
      <c r="CZ241" s="75" t="str">
        <f t="shared" si="771"/>
        <v/>
      </c>
      <c r="DA241" s="75" t="str">
        <f t="shared" si="771"/>
        <v/>
      </c>
      <c r="DB241" s="75" t="str">
        <f t="shared" si="771"/>
        <v/>
      </c>
      <c r="DC241" s="75" t="str">
        <f t="shared" si="771"/>
        <v/>
      </c>
      <c r="DD241" s="75" t="str">
        <f t="shared" ref="DD241:EI241" si="772">IF(DD$227="","",SUM(DD239:DD240))</f>
        <v/>
      </c>
      <c r="DE241" s="75" t="str">
        <f t="shared" si="772"/>
        <v/>
      </c>
      <c r="DF241" s="75" t="str">
        <f t="shared" si="772"/>
        <v/>
      </c>
      <c r="DG241" s="75" t="str">
        <f t="shared" si="772"/>
        <v/>
      </c>
      <c r="DH241" s="75" t="str">
        <f t="shared" si="772"/>
        <v/>
      </c>
      <c r="DI241" s="75" t="str">
        <f t="shared" si="772"/>
        <v/>
      </c>
      <c r="DJ241" s="75" t="str">
        <f t="shared" si="772"/>
        <v/>
      </c>
      <c r="DK241" s="75" t="str">
        <f t="shared" si="772"/>
        <v/>
      </c>
      <c r="DL241" s="75" t="str">
        <f t="shared" si="772"/>
        <v/>
      </c>
      <c r="DM241" s="75" t="str">
        <f t="shared" si="772"/>
        <v/>
      </c>
      <c r="DN241" s="75" t="str">
        <f t="shared" si="772"/>
        <v/>
      </c>
      <c r="DO241" s="75" t="str">
        <f t="shared" si="772"/>
        <v/>
      </c>
      <c r="DP241" s="75" t="str">
        <f t="shared" si="772"/>
        <v/>
      </c>
      <c r="DQ241" s="75" t="str">
        <f t="shared" si="772"/>
        <v/>
      </c>
      <c r="DR241" s="75" t="str">
        <f t="shared" si="772"/>
        <v/>
      </c>
      <c r="DS241" s="75" t="str">
        <f t="shared" si="772"/>
        <v/>
      </c>
      <c r="DT241" s="75" t="str">
        <f t="shared" si="772"/>
        <v/>
      </c>
      <c r="DU241" s="75" t="str">
        <f t="shared" si="772"/>
        <v/>
      </c>
      <c r="DV241" s="75" t="str">
        <f t="shared" si="772"/>
        <v/>
      </c>
      <c r="DW241" s="75" t="str">
        <f t="shared" si="772"/>
        <v/>
      </c>
      <c r="DX241" s="75" t="str">
        <f t="shared" si="772"/>
        <v/>
      </c>
      <c r="DY241" s="75" t="str">
        <f t="shared" si="772"/>
        <v/>
      </c>
      <c r="DZ241" s="75" t="str">
        <f t="shared" si="772"/>
        <v/>
      </c>
      <c r="EA241" s="75" t="str">
        <f t="shared" si="772"/>
        <v/>
      </c>
      <c r="EB241" s="75" t="str">
        <f t="shared" si="772"/>
        <v/>
      </c>
      <c r="EC241" s="75" t="str">
        <f t="shared" si="772"/>
        <v/>
      </c>
      <c r="ED241" s="75" t="str">
        <f t="shared" si="772"/>
        <v/>
      </c>
      <c r="EE241" s="75" t="str">
        <f t="shared" si="772"/>
        <v/>
      </c>
      <c r="EF241" s="75" t="str">
        <f t="shared" si="772"/>
        <v/>
      </c>
      <c r="EG241" s="75" t="str">
        <f t="shared" si="772"/>
        <v/>
      </c>
      <c r="EH241" s="75" t="str">
        <f t="shared" si="772"/>
        <v/>
      </c>
      <c r="EI241" s="75" t="str">
        <f t="shared" si="772"/>
        <v/>
      </c>
      <c r="EJ241" s="75" t="str">
        <f>IF(EJ$227="","",SUM(EJ239:EJ240))</f>
        <v/>
      </c>
      <c r="EK241" s="75" t="str">
        <f>IF(EK$227="","",SUM(EK239:EK240))</f>
        <v/>
      </c>
      <c r="EL241" s="75" t="str">
        <f>IF(EL$227="","",SUM(EL239:EL240))</f>
        <v/>
      </c>
      <c r="EM241" s="75" t="str">
        <f>IF(EM$227="","",SUM(EM239:EM240))</f>
        <v/>
      </c>
      <c r="EN241" s="75" t="str">
        <f>IF(EN$227="","",SUM(EN239:EN240))</f>
        <v/>
      </c>
      <c r="EO241"/>
      <c r="EP241" s="405"/>
      <c r="EQ241" s="18"/>
      <c r="ER241" s="18"/>
      <c r="ES241" s="18"/>
      <c r="ET241" s="18" t="s">
        <v>454</v>
      </c>
      <c r="EU241" s="18"/>
      <c r="EV241" s="418">
        <f>(EV$197&lt;=Timing_Reversion_Month)*(MIN(EV238+EV239,MAX(EV236,0)*$I$254))</f>
        <v>0</v>
      </c>
      <c r="EW241" s="418">
        <f t="shared" ref="EW241:GA241" si="773">(EW$197&lt;=Timing_Reversion_Month)*(MIN(EW238+EW239,MAX(EW236,0)*$I$254))</f>
        <v>0</v>
      </c>
      <c r="EX241" s="418">
        <f t="shared" si="773"/>
        <v>0</v>
      </c>
      <c r="EY241" s="418">
        <f t="shared" si="773"/>
        <v>0</v>
      </c>
      <c r="EZ241" s="418">
        <f t="shared" si="773"/>
        <v>0</v>
      </c>
      <c r="FA241" s="418">
        <f t="shared" si="773"/>
        <v>0</v>
      </c>
      <c r="FB241" s="418">
        <f t="shared" si="773"/>
        <v>0</v>
      </c>
      <c r="FC241" s="418">
        <f t="shared" si="773"/>
        <v>0</v>
      </c>
      <c r="FD241" s="418">
        <f t="shared" si="773"/>
        <v>0</v>
      </c>
      <c r="FE241" s="418">
        <f t="shared" si="773"/>
        <v>0</v>
      </c>
      <c r="FF241" s="418">
        <f t="shared" si="773"/>
        <v>0</v>
      </c>
      <c r="FG241" s="418">
        <f t="shared" si="773"/>
        <v>0</v>
      </c>
      <c r="FH241" s="418">
        <f t="shared" si="773"/>
        <v>0</v>
      </c>
      <c r="FI241" s="418">
        <f t="shared" si="773"/>
        <v>0</v>
      </c>
      <c r="FJ241" s="418">
        <f t="shared" si="773"/>
        <v>0</v>
      </c>
      <c r="FK241" s="418">
        <f t="shared" si="773"/>
        <v>0</v>
      </c>
      <c r="FL241" s="418">
        <f t="shared" si="773"/>
        <v>0</v>
      </c>
      <c r="FM241" s="418">
        <f t="shared" si="773"/>
        <v>0</v>
      </c>
      <c r="FN241" s="418">
        <f t="shared" si="773"/>
        <v>0</v>
      </c>
      <c r="FO241" s="418">
        <f t="shared" si="773"/>
        <v>0</v>
      </c>
      <c r="FP241" s="418">
        <f t="shared" si="773"/>
        <v>0</v>
      </c>
      <c r="FQ241" s="418">
        <f t="shared" si="773"/>
        <v>0</v>
      </c>
      <c r="FR241" s="418">
        <f t="shared" si="773"/>
        <v>0</v>
      </c>
      <c r="FS241" s="418">
        <f t="shared" si="773"/>
        <v>0</v>
      </c>
      <c r="FT241" s="418">
        <f t="shared" si="773"/>
        <v>0</v>
      </c>
      <c r="FU241" s="418">
        <f t="shared" si="773"/>
        <v>0</v>
      </c>
      <c r="FV241" s="418">
        <f t="shared" si="773"/>
        <v>0</v>
      </c>
      <c r="FW241" s="418">
        <f t="shared" si="773"/>
        <v>0</v>
      </c>
      <c r="FX241" s="418">
        <f t="shared" si="773"/>
        <v>0</v>
      </c>
      <c r="FY241" s="418">
        <f t="shared" si="773"/>
        <v>0</v>
      </c>
      <c r="FZ241" s="418">
        <f t="shared" si="773"/>
        <v>0</v>
      </c>
      <c r="GA241" s="418">
        <f t="shared" si="773"/>
        <v>0</v>
      </c>
      <c r="GB241" s="418">
        <f t="shared" ref="GB241:HG241" si="774">(GB$197&lt;=Timing_Reversion_Month)*(MIN(GB238+GB239,MAX(GB236,0)*$I$254))</f>
        <v>0</v>
      </c>
      <c r="GC241" s="418">
        <f t="shared" si="774"/>
        <v>0</v>
      </c>
      <c r="GD241" s="418">
        <f t="shared" si="774"/>
        <v>0</v>
      </c>
      <c r="GE241" s="418">
        <f t="shared" si="774"/>
        <v>0</v>
      </c>
      <c r="GF241" s="418">
        <f t="shared" si="774"/>
        <v>0</v>
      </c>
      <c r="GG241" s="418">
        <f t="shared" si="774"/>
        <v>0</v>
      </c>
      <c r="GH241" s="418">
        <f t="shared" si="774"/>
        <v>0</v>
      </c>
      <c r="GI241" s="418">
        <f t="shared" si="774"/>
        <v>0</v>
      </c>
      <c r="GJ241" s="418">
        <f t="shared" si="774"/>
        <v>0</v>
      </c>
      <c r="GK241" s="418">
        <f t="shared" si="774"/>
        <v>0</v>
      </c>
      <c r="GL241" s="418">
        <f t="shared" si="774"/>
        <v>0</v>
      </c>
      <c r="GM241" s="418">
        <f t="shared" si="774"/>
        <v>0</v>
      </c>
      <c r="GN241" s="418">
        <f t="shared" si="774"/>
        <v>0</v>
      </c>
      <c r="GO241" s="418">
        <f t="shared" si="774"/>
        <v>0</v>
      </c>
      <c r="GP241" s="418">
        <f t="shared" si="774"/>
        <v>0</v>
      </c>
      <c r="GQ241" s="418">
        <f t="shared" si="774"/>
        <v>0</v>
      </c>
      <c r="GR241" s="418">
        <f t="shared" si="774"/>
        <v>0</v>
      </c>
      <c r="GS241" s="418">
        <f t="shared" si="774"/>
        <v>0</v>
      </c>
      <c r="GT241" s="418">
        <f t="shared" si="774"/>
        <v>0</v>
      </c>
      <c r="GU241" s="418">
        <f t="shared" si="774"/>
        <v>0</v>
      </c>
      <c r="GV241" s="418">
        <f t="shared" si="774"/>
        <v>0</v>
      </c>
      <c r="GW241" s="418">
        <f t="shared" si="774"/>
        <v>0</v>
      </c>
      <c r="GX241" s="418">
        <f t="shared" si="774"/>
        <v>0</v>
      </c>
      <c r="GY241" s="418">
        <f t="shared" si="774"/>
        <v>0</v>
      </c>
      <c r="GZ241" s="418">
        <f t="shared" si="774"/>
        <v>0</v>
      </c>
      <c r="HA241" s="418">
        <f t="shared" si="774"/>
        <v>0</v>
      </c>
      <c r="HB241" s="418">
        <f t="shared" si="774"/>
        <v>0</v>
      </c>
      <c r="HC241" s="418">
        <f t="shared" si="774"/>
        <v>0</v>
      </c>
      <c r="HD241" s="418">
        <f t="shared" si="774"/>
        <v>0</v>
      </c>
      <c r="HE241" s="418">
        <f t="shared" si="774"/>
        <v>0</v>
      </c>
      <c r="HF241" s="418">
        <f t="shared" si="774"/>
        <v>0</v>
      </c>
      <c r="HG241" s="418">
        <f t="shared" si="774"/>
        <v>0</v>
      </c>
      <c r="HH241" s="418">
        <f t="shared" ref="HH241:IM241" si="775">(HH$197&lt;=Timing_Reversion_Month)*(MIN(HH238+HH239,MAX(HH236,0)*$I$254))</f>
        <v>0</v>
      </c>
      <c r="HI241" s="418">
        <f t="shared" si="775"/>
        <v>0</v>
      </c>
      <c r="HJ241" s="418">
        <f t="shared" si="775"/>
        <v>0</v>
      </c>
      <c r="HK241" s="418">
        <f t="shared" si="775"/>
        <v>0</v>
      </c>
      <c r="HL241" s="418">
        <f t="shared" si="775"/>
        <v>0</v>
      </c>
      <c r="HM241" s="418">
        <f t="shared" si="775"/>
        <v>0</v>
      </c>
      <c r="HN241" s="418">
        <f t="shared" si="775"/>
        <v>0</v>
      </c>
      <c r="HO241" s="418">
        <f t="shared" si="775"/>
        <v>0</v>
      </c>
      <c r="HP241" s="418">
        <f t="shared" si="775"/>
        <v>0</v>
      </c>
      <c r="HQ241" s="418">
        <f t="shared" si="775"/>
        <v>0</v>
      </c>
      <c r="HR241" s="418">
        <f t="shared" si="775"/>
        <v>0</v>
      </c>
      <c r="HS241" s="418">
        <f t="shared" si="775"/>
        <v>0</v>
      </c>
      <c r="HT241" s="418">
        <f t="shared" si="775"/>
        <v>0</v>
      </c>
      <c r="HU241" s="418">
        <f t="shared" si="775"/>
        <v>0</v>
      </c>
      <c r="HV241" s="418">
        <f t="shared" si="775"/>
        <v>0</v>
      </c>
      <c r="HW241" s="418">
        <f t="shared" si="775"/>
        <v>0</v>
      </c>
      <c r="HX241" s="418">
        <f t="shared" si="775"/>
        <v>0</v>
      </c>
      <c r="HY241" s="418">
        <f t="shared" si="775"/>
        <v>0</v>
      </c>
      <c r="HZ241" s="418">
        <f t="shared" si="775"/>
        <v>0</v>
      </c>
      <c r="IA241" s="418">
        <f t="shared" si="775"/>
        <v>0</v>
      </c>
      <c r="IB241" s="418">
        <f t="shared" si="775"/>
        <v>0</v>
      </c>
      <c r="IC241" s="418">
        <f t="shared" si="775"/>
        <v>0</v>
      </c>
      <c r="ID241" s="418">
        <f t="shared" si="775"/>
        <v>0</v>
      </c>
      <c r="IE241" s="418">
        <f t="shared" si="775"/>
        <v>0</v>
      </c>
      <c r="IF241" s="418">
        <f t="shared" si="775"/>
        <v>0</v>
      </c>
      <c r="IG241" s="418">
        <f t="shared" si="775"/>
        <v>0</v>
      </c>
      <c r="IH241" s="418">
        <f t="shared" si="775"/>
        <v>0</v>
      </c>
      <c r="II241" s="418">
        <f t="shared" si="775"/>
        <v>0</v>
      </c>
      <c r="IJ241" s="418">
        <f t="shared" si="775"/>
        <v>0</v>
      </c>
      <c r="IK241" s="418">
        <f t="shared" si="775"/>
        <v>0</v>
      </c>
      <c r="IL241" s="418">
        <f t="shared" si="775"/>
        <v>0</v>
      </c>
      <c r="IM241" s="418">
        <f t="shared" si="775"/>
        <v>0</v>
      </c>
      <c r="IN241" s="418">
        <f t="shared" ref="IN241:JX241" si="776">(IN$197&lt;=Timing_Reversion_Month)*(MIN(IN238+IN239,MAX(IN236,0)*$I$254))</f>
        <v>0</v>
      </c>
      <c r="IO241" s="418">
        <f t="shared" si="776"/>
        <v>0</v>
      </c>
      <c r="IP241" s="418">
        <f t="shared" si="776"/>
        <v>0</v>
      </c>
      <c r="IQ241" s="418">
        <f t="shared" si="776"/>
        <v>0</v>
      </c>
      <c r="IR241" s="418">
        <f t="shared" si="776"/>
        <v>0</v>
      </c>
      <c r="IS241" s="418">
        <f t="shared" si="776"/>
        <v>0</v>
      </c>
      <c r="IT241" s="418">
        <f t="shared" si="776"/>
        <v>0</v>
      </c>
      <c r="IU241" s="418">
        <f t="shared" si="776"/>
        <v>0</v>
      </c>
      <c r="IV241" s="418">
        <f t="shared" si="776"/>
        <v>0</v>
      </c>
      <c r="IW241" s="418">
        <f t="shared" si="776"/>
        <v>0</v>
      </c>
      <c r="IX241" s="418">
        <f t="shared" si="776"/>
        <v>0</v>
      </c>
      <c r="IY241" s="418">
        <f t="shared" si="776"/>
        <v>0</v>
      </c>
      <c r="IZ241" s="418">
        <f t="shared" si="776"/>
        <v>0</v>
      </c>
      <c r="JA241" s="418">
        <f t="shared" si="776"/>
        <v>0</v>
      </c>
      <c r="JB241" s="418">
        <f t="shared" si="776"/>
        <v>0</v>
      </c>
      <c r="JC241" s="418">
        <f t="shared" si="776"/>
        <v>0</v>
      </c>
      <c r="JD241" s="418">
        <f t="shared" si="776"/>
        <v>0</v>
      </c>
      <c r="JE241" s="418">
        <f t="shared" si="776"/>
        <v>0</v>
      </c>
      <c r="JF241" s="418">
        <f t="shared" si="776"/>
        <v>0</v>
      </c>
      <c r="JG241" s="418">
        <f t="shared" si="776"/>
        <v>0</v>
      </c>
      <c r="JH241" s="418">
        <f t="shared" si="776"/>
        <v>0</v>
      </c>
      <c r="JI241" s="418">
        <f t="shared" si="776"/>
        <v>0</v>
      </c>
      <c r="JJ241" s="418">
        <f t="shared" si="776"/>
        <v>0</v>
      </c>
      <c r="JK241" s="418">
        <f t="shared" si="776"/>
        <v>0</v>
      </c>
      <c r="JL241" s="418">
        <f t="shared" si="776"/>
        <v>0</v>
      </c>
      <c r="JM241" s="418">
        <f t="shared" si="776"/>
        <v>0</v>
      </c>
      <c r="JN241" s="418">
        <f t="shared" si="776"/>
        <v>0</v>
      </c>
      <c r="JO241" s="418">
        <f t="shared" si="776"/>
        <v>0</v>
      </c>
      <c r="JP241" s="418">
        <f t="shared" si="776"/>
        <v>0</v>
      </c>
      <c r="JQ241" s="418">
        <f t="shared" si="776"/>
        <v>0</v>
      </c>
      <c r="JR241" s="418">
        <f t="shared" si="776"/>
        <v>0</v>
      </c>
      <c r="JS241" s="418">
        <f t="shared" si="776"/>
        <v>0</v>
      </c>
      <c r="JT241" s="418">
        <f t="shared" si="776"/>
        <v>0</v>
      </c>
      <c r="JU241" s="418">
        <f t="shared" si="776"/>
        <v>0</v>
      </c>
      <c r="JV241" s="418">
        <f t="shared" si="776"/>
        <v>0</v>
      </c>
      <c r="JW241" s="418">
        <f t="shared" si="776"/>
        <v>0</v>
      </c>
      <c r="JX241" s="418">
        <f t="shared" si="776"/>
        <v>0</v>
      </c>
      <c r="JY241"/>
      <c r="JZ241" s="262"/>
      <c r="KA241" s="262"/>
      <c r="KB241" s="262"/>
      <c r="KC241" s="262"/>
      <c r="KD241" s="262"/>
      <c r="KE241" s="262"/>
      <c r="KF241" s="262"/>
      <c r="KG241" s="262"/>
      <c r="KH241" s="262"/>
      <c r="KI241" s="262"/>
      <c r="KJ241" s="262"/>
      <c r="KK241" s="262"/>
      <c r="KL241" s="262"/>
      <c r="KM241" s="262"/>
      <c r="KN241" s="262"/>
      <c r="KO241" s="262"/>
      <c r="KP241" s="262"/>
      <c r="KQ241" s="262"/>
      <c r="KR241" s="262"/>
      <c r="KS241" s="262"/>
      <c r="KT241" s="262"/>
      <c r="KU241" s="262"/>
      <c r="KV241" s="262"/>
      <c r="KW241" s="262"/>
      <c r="KX241" s="262"/>
      <c r="KY241" s="262"/>
      <c r="KZ241" s="262"/>
      <c r="LA241" s="262"/>
      <c r="LB241" s="262"/>
      <c r="LC241" s="262"/>
      <c r="LD241" s="262"/>
      <c r="LE241" s="262"/>
      <c r="LF241" s="262"/>
      <c r="LG241" s="262"/>
      <c r="LH241" s="262"/>
      <c r="LI241" s="262"/>
      <c r="LJ241" s="262"/>
      <c r="LK241" s="262"/>
      <c r="LL241" s="262"/>
      <c r="LM241" s="262"/>
      <c r="LN241" s="262"/>
      <c r="LO241" s="262"/>
      <c r="LP241" s="262"/>
      <c r="LQ241" s="262"/>
      <c r="LR241" s="262"/>
      <c r="LS241" s="262"/>
      <c r="LT241" s="262"/>
      <c r="LU241" s="262"/>
      <c r="LV241" s="262"/>
      <c r="LW241" s="262"/>
      <c r="LX241" s="262"/>
      <c r="LY241" s="262"/>
      <c r="LZ241" s="262"/>
      <c r="MA241" s="262"/>
      <c r="MB241" s="262"/>
      <c r="MC241" s="262"/>
      <c r="MD241" s="262"/>
      <c r="ME241" s="262"/>
      <c r="MF241" s="262"/>
      <c r="MG241" s="262"/>
      <c r="MH241" s="262"/>
      <c r="MI241" s="262"/>
      <c r="MJ241" s="262"/>
      <c r="MK241" s="262"/>
      <c r="ML241" s="262"/>
      <c r="MM241" s="262"/>
      <c r="MN241" s="262"/>
      <c r="MO241" s="262"/>
      <c r="MP241" s="262"/>
      <c r="MQ241" s="262"/>
      <c r="MR241" s="262"/>
      <c r="MS241" s="262"/>
      <c r="MT241" s="262"/>
      <c r="MU241" s="262"/>
      <c r="MV241" s="262"/>
      <c r="MW241" s="262"/>
      <c r="MX241" s="262"/>
      <c r="MY241" s="262"/>
      <c r="MZ241" s="262"/>
      <c r="NA241" s="262"/>
      <c r="NB241" s="262"/>
      <c r="NC241" s="262"/>
      <c r="ND241" s="262"/>
      <c r="NE241" s="262"/>
      <c r="NF241" s="262"/>
      <c r="NG241" s="262"/>
      <c r="NH241" s="262"/>
      <c r="NI241" s="262"/>
      <c r="NJ241" s="262"/>
      <c r="NK241" s="262"/>
      <c r="NL241" s="262"/>
      <c r="NM241" s="262"/>
      <c r="NN241" s="262"/>
      <c r="NO241" s="262"/>
      <c r="NP241" s="262"/>
      <c r="NQ241" s="262"/>
      <c r="NR241" s="262"/>
      <c r="NS241" s="262"/>
      <c r="NT241" s="262"/>
      <c r="NU241" s="262"/>
      <c r="NV241" s="262"/>
      <c r="NW241" s="262"/>
      <c r="NX241" s="262"/>
      <c r="NY241" s="262"/>
      <c r="NZ241" s="262"/>
      <c r="OA241" s="262"/>
      <c r="OB241" s="262"/>
      <c r="OC241" s="262"/>
      <c r="OD241" s="262"/>
      <c r="OE241" s="262"/>
      <c r="OF241" s="262"/>
      <c r="OG241" s="262"/>
      <c r="OH241" s="262"/>
      <c r="OI241" s="262"/>
      <c r="OJ241" s="262"/>
      <c r="OK241" s="262"/>
      <c r="OL241" s="262"/>
      <c r="OM241" s="262"/>
      <c r="ON241" s="262"/>
      <c r="OO241" s="262"/>
      <c r="OP241" s="262"/>
      <c r="OQ241" s="262"/>
      <c r="OR241" s="262"/>
      <c r="OS241" s="262"/>
      <c r="OT241" s="262"/>
      <c r="OU241" s="262"/>
      <c r="OV241" s="262"/>
      <c r="OW241" s="262"/>
      <c r="OX241" s="262"/>
      <c r="OY241" s="262"/>
      <c r="OZ241" s="262"/>
      <c r="PA241" s="262"/>
      <c r="PB241" s="262"/>
      <c r="PC241" s="262"/>
      <c r="PD241" s="262"/>
      <c r="PE241" s="262"/>
      <c r="PF241" s="262"/>
      <c r="PG241" s="262"/>
      <c r="PH241" s="262"/>
    </row>
    <row r="242" spans="1:424" x14ac:dyDescent="0.35">
      <c r="A242"/>
      <c r="B242" s="34"/>
      <c r="C242" s="397"/>
      <c r="D242" s="397"/>
      <c r="E242" s="397"/>
      <c r="F242" s="397"/>
      <c r="G242" s="397"/>
      <c r="H242" s="397"/>
      <c r="I242" s="397"/>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s="405"/>
      <c r="EQ242" s="18"/>
      <c r="ER242" s="18"/>
      <c r="ES242" s="18"/>
      <c r="ET242" s="18" t="s">
        <v>455</v>
      </c>
      <c r="EU242" s="18"/>
      <c r="EV242" s="418">
        <f>(EV$197&lt;=Timing_Reversion_Month)*(EV238+EV239+EV240-EV241)</f>
        <v>0</v>
      </c>
      <c r="EW242" s="418">
        <f t="shared" ref="EW242:GA242" si="777">(EW$197&lt;=Timing_Reversion_Month)*(EW238+EW239+EW240-EW241)</f>
        <v>0</v>
      </c>
      <c r="EX242" s="418">
        <f t="shared" si="777"/>
        <v>0</v>
      </c>
      <c r="EY242" s="418">
        <f t="shared" si="777"/>
        <v>0</v>
      </c>
      <c r="EZ242" s="418">
        <f t="shared" si="777"/>
        <v>0</v>
      </c>
      <c r="FA242" s="418">
        <f t="shared" si="777"/>
        <v>0</v>
      </c>
      <c r="FB242" s="418">
        <f t="shared" si="777"/>
        <v>0</v>
      </c>
      <c r="FC242" s="418">
        <f t="shared" si="777"/>
        <v>0</v>
      </c>
      <c r="FD242" s="418">
        <f t="shared" si="777"/>
        <v>0</v>
      </c>
      <c r="FE242" s="418">
        <f t="shared" si="777"/>
        <v>0</v>
      </c>
      <c r="FF242" s="418">
        <f t="shared" si="777"/>
        <v>0</v>
      </c>
      <c r="FG242" s="418">
        <f t="shared" si="777"/>
        <v>0</v>
      </c>
      <c r="FH242" s="418">
        <f t="shared" si="777"/>
        <v>0</v>
      </c>
      <c r="FI242" s="418">
        <f t="shared" si="777"/>
        <v>0</v>
      </c>
      <c r="FJ242" s="418">
        <f t="shared" si="777"/>
        <v>0</v>
      </c>
      <c r="FK242" s="418">
        <f t="shared" si="777"/>
        <v>0</v>
      </c>
      <c r="FL242" s="418">
        <f t="shared" si="777"/>
        <v>0</v>
      </c>
      <c r="FM242" s="418">
        <f t="shared" si="777"/>
        <v>0</v>
      </c>
      <c r="FN242" s="418">
        <f t="shared" si="777"/>
        <v>0</v>
      </c>
      <c r="FO242" s="418">
        <f t="shared" si="777"/>
        <v>0</v>
      </c>
      <c r="FP242" s="418">
        <f t="shared" si="777"/>
        <v>0</v>
      </c>
      <c r="FQ242" s="418">
        <f t="shared" si="777"/>
        <v>0</v>
      </c>
      <c r="FR242" s="418">
        <f t="shared" si="777"/>
        <v>0</v>
      </c>
      <c r="FS242" s="418">
        <f t="shared" si="777"/>
        <v>0</v>
      </c>
      <c r="FT242" s="418">
        <f t="shared" si="777"/>
        <v>0</v>
      </c>
      <c r="FU242" s="418">
        <f t="shared" si="777"/>
        <v>0</v>
      </c>
      <c r="FV242" s="418">
        <f t="shared" si="777"/>
        <v>0</v>
      </c>
      <c r="FW242" s="418">
        <f t="shared" si="777"/>
        <v>0</v>
      </c>
      <c r="FX242" s="418">
        <f t="shared" si="777"/>
        <v>0</v>
      </c>
      <c r="FY242" s="418">
        <f t="shared" si="777"/>
        <v>0</v>
      </c>
      <c r="FZ242" s="418">
        <f t="shared" si="777"/>
        <v>0</v>
      </c>
      <c r="GA242" s="418">
        <f t="shared" si="777"/>
        <v>0</v>
      </c>
      <c r="GB242" s="418">
        <f t="shared" ref="GB242:HG242" si="778">(GB$197&lt;=Timing_Reversion_Month)*(GB238+GB239+GB240-GB241)</f>
        <v>0</v>
      </c>
      <c r="GC242" s="418">
        <f t="shared" si="778"/>
        <v>0</v>
      </c>
      <c r="GD242" s="418">
        <f t="shared" si="778"/>
        <v>0</v>
      </c>
      <c r="GE242" s="418">
        <f t="shared" si="778"/>
        <v>0</v>
      </c>
      <c r="GF242" s="418">
        <f t="shared" si="778"/>
        <v>0</v>
      </c>
      <c r="GG242" s="418">
        <f t="shared" si="778"/>
        <v>0</v>
      </c>
      <c r="GH242" s="418">
        <f t="shared" si="778"/>
        <v>0</v>
      </c>
      <c r="GI242" s="418">
        <f t="shared" si="778"/>
        <v>0</v>
      </c>
      <c r="GJ242" s="418">
        <f t="shared" si="778"/>
        <v>0</v>
      </c>
      <c r="GK242" s="418">
        <f t="shared" si="778"/>
        <v>0</v>
      </c>
      <c r="GL242" s="418">
        <f t="shared" si="778"/>
        <v>0</v>
      </c>
      <c r="GM242" s="418">
        <f t="shared" si="778"/>
        <v>0</v>
      </c>
      <c r="GN242" s="418">
        <f t="shared" si="778"/>
        <v>0</v>
      </c>
      <c r="GO242" s="418">
        <f t="shared" si="778"/>
        <v>0</v>
      </c>
      <c r="GP242" s="418">
        <f t="shared" si="778"/>
        <v>0</v>
      </c>
      <c r="GQ242" s="418">
        <f t="shared" si="778"/>
        <v>0</v>
      </c>
      <c r="GR242" s="418">
        <f t="shared" si="778"/>
        <v>0</v>
      </c>
      <c r="GS242" s="418">
        <f t="shared" si="778"/>
        <v>0</v>
      </c>
      <c r="GT242" s="418">
        <f t="shared" si="778"/>
        <v>0</v>
      </c>
      <c r="GU242" s="418">
        <f t="shared" si="778"/>
        <v>0</v>
      </c>
      <c r="GV242" s="418">
        <f t="shared" si="778"/>
        <v>0</v>
      </c>
      <c r="GW242" s="418">
        <f t="shared" si="778"/>
        <v>0</v>
      </c>
      <c r="GX242" s="418">
        <f t="shared" si="778"/>
        <v>0</v>
      </c>
      <c r="GY242" s="418">
        <f t="shared" si="778"/>
        <v>0</v>
      </c>
      <c r="GZ242" s="418">
        <f t="shared" si="778"/>
        <v>0</v>
      </c>
      <c r="HA242" s="418">
        <f t="shared" si="778"/>
        <v>0</v>
      </c>
      <c r="HB242" s="418">
        <f t="shared" si="778"/>
        <v>0</v>
      </c>
      <c r="HC242" s="418">
        <f t="shared" si="778"/>
        <v>0</v>
      </c>
      <c r="HD242" s="418">
        <f t="shared" si="778"/>
        <v>0</v>
      </c>
      <c r="HE242" s="418">
        <f t="shared" si="778"/>
        <v>0</v>
      </c>
      <c r="HF242" s="418">
        <f t="shared" si="778"/>
        <v>0</v>
      </c>
      <c r="HG242" s="418">
        <f t="shared" si="778"/>
        <v>0</v>
      </c>
      <c r="HH242" s="418">
        <f t="shared" ref="HH242:IM242" si="779">(HH$197&lt;=Timing_Reversion_Month)*(HH238+HH239+HH240-HH241)</f>
        <v>0</v>
      </c>
      <c r="HI242" s="418">
        <f t="shared" si="779"/>
        <v>0</v>
      </c>
      <c r="HJ242" s="418">
        <f t="shared" si="779"/>
        <v>0</v>
      </c>
      <c r="HK242" s="418">
        <f t="shared" si="779"/>
        <v>0</v>
      </c>
      <c r="HL242" s="418">
        <f t="shared" si="779"/>
        <v>0</v>
      </c>
      <c r="HM242" s="418">
        <f t="shared" si="779"/>
        <v>0</v>
      </c>
      <c r="HN242" s="418">
        <f t="shared" si="779"/>
        <v>0</v>
      </c>
      <c r="HO242" s="418">
        <f t="shared" si="779"/>
        <v>0</v>
      </c>
      <c r="HP242" s="418">
        <f t="shared" si="779"/>
        <v>0</v>
      </c>
      <c r="HQ242" s="418">
        <f t="shared" si="779"/>
        <v>0</v>
      </c>
      <c r="HR242" s="418">
        <f t="shared" si="779"/>
        <v>0</v>
      </c>
      <c r="HS242" s="418">
        <f t="shared" si="779"/>
        <v>0</v>
      </c>
      <c r="HT242" s="418">
        <f t="shared" si="779"/>
        <v>0</v>
      </c>
      <c r="HU242" s="418">
        <f t="shared" si="779"/>
        <v>0</v>
      </c>
      <c r="HV242" s="418">
        <f t="shared" si="779"/>
        <v>0</v>
      </c>
      <c r="HW242" s="418">
        <f t="shared" si="779"/>
        <v>0</v>
      </c>
      <c r="HX242" s="418">
        <f t="shared" si="779"/>
        <v>0</v>
      </c>
      <c r="HY242" s="418">
        <f t="shared" si="779"/>
        <v>0</v>
      </c>
      <c r="HZ242" s="418">
        <f t="shared" si="779"/>
        <v>0</v>
      </c>
      <c r="IA242" s="418">
        <f t="shared" si="779"/>
        <v>0</v>
      </c>
      <c r="IB242" s="418">
        <f t="shared" si="779"/>
        <v>0</v>
      </c>
      <c r="IC242" s="418">
        <f t="shared" si="779"/>
        <v>0</v>
      </c>
      <c r="ID242" s="418">
        <f t="shared" si="779"/>
        <v>0</v>
      </c>
      <c r="IE242" s="418">
        <f t="shared" si="779"/>
        <v>0</v>
      </c>
      <c r="IF242" s="418">
        <f t="shared" si="779"/>
        <v>0</v>
      </c>
      <c r="IG242" s="418">
        <f t="shared" si="779"/>
        <v>0</v>
      </c>
      <c r="IH242" s="418">
        <f t="shared" si="779"/>
        <v>0</v>
      </c>
      <c r="II242" s="418">
        <f t="shared" si="779"/>
        <v>0</v>
      </c>
      <c r="IJ242" s="418">
        <f t="shared" si="779"/>
        <v>0</v>
      </c>
      <c r="IK242" s="418">
        <f t="shared" si="779"/>
        <v>0</v>
      </c>
      <c r="IL242" s="418">
        <f t="shared" si="779"/>
        <v>0</v>
      </c>
      <c r="IM242" s="418">
        <f t="shared" si="779"/>
        <v>0</v>
      </c>
      <c r="IN242" s="418">
        <f t="shared" ref="IN242:JS242" si="780">(IN$197&lt;=Timing_Reversion_Month)*(IN238+IN239+IN240-IN241)</f>
        <v>0</v>
      </c>
      <c r="IO242" s="418">
        <f t="shared" si="780"/>
        <v>0</v>
      </c>
      <c r="IP242" s="418">
        <f t="shared" si="780"/>
        <v>0</v>
      </c>
      <c r="IQ242" s="418">
        <f t="shared" si="780"/>
        <v>0</v>
      </c>
      <c r="IR242" s="418">
        <f t="shared" si="780"/>
        <v>0</v>
      </c>
      <c r="IS242" s="418">
        <f t="shared" si="780"/>
        <v>0</v>
      </c>
      <c r="IT242" s="418">
        <f t="shared" si="780"/>
        <v>0</v>
      </c>
      <c r="IU242" s="418">
        <f t="shared" si="780"/>
        <v>0</v>
      </c>
      <c r="IV242" s="418">
        <f t="shared" si="780"/>
        <v>0</v>
      </c>
      <c r="IW242" s="418">
        <f t="shared" si="780"/>
        <v>0</v>
      </c>
      <c r="IX242" s="418">
        <f t="shared" si="780"/>
        <v>0</v>
      </c>
      <c r="IY242" s="418">
        <f t="shared" si="780"/>
        <v>0</v>
      </c>
      <c r="IZ242" s="418">
        <f t="shared" si="780"/>
        <v>0</v>
      </c>
      <c r="JA242" s="418">
        <f t="shared" si="780"/>
        <v>0</v>
      </c>
      <c r="JB242" s="418">
        <f t="shared" si="780"/>
        <v>0</v>
      </c>
      <c r="JC242" s="418">
        <f t="shared" si="780"/>
        <v>0</v>
      </c>
      <c r="JD242" s="418">
        <f t="shared" si="780"/>
        <v>0</v>
      </c>
      <c r="JE242" s="418">
        <f t="shared" si="780"/>
        <v>0</v>
      </c>
      <c r="JF242" s="418">
        <f t="shared" si="780"/>
        <v>0</v>
      </c>
      <c r="JG242" s="418">
        <f t="shared" si="780"/>
        <v>0</v>
      </c>
      <c r="JH242" s="418">
        <f t="shared" si="780"/>
        <v>0</v>
      </c>
      <c r="JI242" s="418">
        <f t="shared" si="780"/>
        <v>0</v>
      </c>
      <c r="JJ242" s="418">
        <f t="shared" si="780"/>
        <v>0</v>
      </c>
      <c r="JK242" s="418">
        <f t="shared" si="780"/>
        <v>0</v>
      </c>
      <c r="JL242" s="418">
        <f t="shared" si="780"/>
        <v>0</v>
      </c>
      <c r="JM242" s="418">
        <f t="shared" si="780"/>
        <v>0</v>
      </c>
      <c r="JN242" s="418">
        <f t="shared" si="780"/>
        <v>0</v>
      </c>
      <c r="JO242" s="418">
        <f t="shared" si="780"/>
        <v>0</v>
      </c>
      <c r="JP242" s="418">
        <f t="shared" si="780"/>
        <v>0</v>
      </c>
      <c r="JQ242" s="418">
        <f t="shared" si="780"/>
        <v>0</v>
      </c>
      <c r="JR242" s="418">
        <f t="shared" si="780"/>
        <v>0</v>
      </c>
      <c r="JS242" s="418">
        <f t="shared" si="780"/>
        <v>0</v>
      </c>
      <c r="JT242" s="418">
        <f>(JT$197&lt;=Timing_Reversion_Month)*(JT238+JT239+JT240-JT241)</f>
        <v>0</v>
      </c>
      <c r="JU242" s="418">
        <f>(JU$197&lt;=Timing_Reversion_Month)*(JU238+JU239+JU240-JU241)</f>
        <v>0</v>
      </c>
      <c r="JV242" s="418">
        <f>(JV$197&lt;=Timing_Reversion_Month)*(JV238+JV239+JV240-JV241)</f>
        <v>0</v>
      </c>
      <c r="JW242" s="418">
        <f>(JW$197&lt;=Timing_Reversion_Month)*(JW238+JW239+JW240-JW241)</f>
        <v>0</v>
      </c>
      <c r="JX242" s="418">
        <f>(JX$197&lt;=Timing_Reversion_Month)*(JX238+JX239+JX240-JX241)</f>
        <v>0</v>
      </c>
      <c r="JY242"/>
      <c r="JZ242" s="262"/>
      <c r="KA242" s="262"/>
      <c r="KB242" s="262"/>
      <c r="KC242" s="262"/>
      <c r="KD242" s="262"/>
      <c r="KE242" s="262"/>
      <c r="KF242" s="262"/>
      <c r="KG242" s="262"/>
      <c r="KH242" s="262"/>
      <c r="KI242" s="262"/>
      <c r="KJ242" s="262"/>
      <c r="KK242" s="262"/>
      <c r="KL242" s="262"/>
      <c r="KM242" s="262"/>
      <c r="KN242" s="262"/>
      <c r="KO242" s="262"/>
      <c r="KP242" s="262"/>
      <c r="KQ242" s="262"/>
      <c r="KR242" s="262"/>
      <c r="KS242" s="262"/>
      <c r="KT242" s="262"/>
      <c r="KU242" s="262"/>
      <c r="KV242" s="262"/>
      <c r="KW242" s="262"/>
      <c r="KX242" s="262"/>
      <c r="KY242" s="262"/>
      <c r="KZ242" s="262"/>
      <c r="LA242" s="262"/>
      <c r="LB242" s="262"/>
      <c r="LC242" s="262"/>
      <c r="LD242" s="262"/>
      <c r="LE242" s="262"/>
      <c r="LF242" s="262"/>
      <c r="LG242" s="262"/>
      <c r="LH242" s="262"/>
      <c r="LI242" s="262"/>
      <c r="LJ242" s="262"/>
      <c r="LK242" s="262"/>
      <c r="LL242" s="262"/>
      <c r="LM242" s="262"/>
      <c r="LN242" s="262"/>
      <c r="LO242" s="262"/>
      <c r="LP242" s="262"/>
      <c r="LQ242" s="262"/>
      <c r="LR242" s="262"/>
      <c r="LS242" s="262"/>
      <c r="LT242" s="262"/>
      <c r="LU242" s="262"/>
      <c r="LV242" s="262"/>
      <c r="LW242" s="262"/>
      <c r="LX242" s="262"/>
      <c r="LY242" s="262"/>
      <c r="LZ242" s="262"/>
      <c r="MA242" s="262"/>
      <c r="MB242" s="262"/>
      <c r="MC242" s="262"/>
      <c r="MD242" s="262"/>
      <c r="ME242" s="262"/>
      <c r="MF242" s="262"/>
      <c r="MG242" s="262"/>
      <c r="MH242" s="262"/>
      <c r="MI242" s="262"/>
      <c r="MJ242" s="262"/>
      <c r="MK242" s="262"/>
      <c r="ML242" s="262"/>
      <c r="MM242" s="262"/>
      <c r="MN242" s="262"/>
      <c r="MO242" s="262"/>
      <c r="MP242" s="262"/>
      <c r="MQ242" s="262"/>
      <c r="MR242" s="262"/>
      <c r="MS242" s="262"/>
      <c r="MT242" s="262"/>
      <c r="MU242" s="262"/>
      <c r="MV242" s="262"/>
      <c r="MW242" s="262"/>
      <c r="MX242" s="262"/>
      <c r="MY242" s="262"/>
      <c r="MZ242" s="262"/>
      <c r="NA242" s="262"/>
      <c r="NB242" s="262"/>
      <c r="NC242" s="262"/>
      <c r="ND242" s="262"/>
      <c r="NE242" s="262"/>
      <c r="NF242" s="262"/>
      <c r="NG242" s="262"/>
      <c r="NH242" s="262"/>
      <c r="NI242" s="262"/>
      <c r="NJ242" s="262"/>
      <c r="NK242" s="262"/>
      <c r="NL242" s="262"/>
      <c r="NM242" s="262"/>
      <c r="NN242" s="262"/>
      <c r="NO242" s="262"/>
      <c r="NP242" s="262"/>
      <c r="NQ242" s="262"/>
      <c r="NR242" s="262"/>
      <c r="NS242" s="262"/>
      <c r="NT242" s="262"/>
      <c r="NU242" s="262"/>
      <c r="NV242" s="262"/>
      <c r="NW242" s="262"/>
      <c r="NX242" s="262"/>
      <c r="NY242" s="262"/>
      <c r="NZ242" s="262"/>
      <c r="OA242" s="262"/>
      <c r="OB242" s="262"/>
      <c r="OC242" s="262"/>
      <c r="OD242" s="262"/>
      <c r="OE242" s="262"/>
      <c r="OF242" s="262"/>
      <c r="OG242" s="262"/>
      <c r="OH242" s="262"/>
      <c r="OI242" s="262"/>
      <c r="OJ242" s="262"/>
      <c r="OK242" s="262"/>
      <c r="OL242" s="262"/>
      <c r="OM242" s="262"/>
      <c r="ON242" s="262"/>
      <c r="OO242" s="262"/>
      <c r="OP242" s="262"/>
      <c r="OQ242" s="262"/>
      <c r="OR242" s="262"/>
      <c r="OS242" s="262"/>
      <c r="OT242" s="262"/>
      <c r="OU242" s="262"/>
      <c r="OV242" s="262"/>
      <c r="OW242" s="262"/>
      <c r="OX242" s="262"/>
      <c r="OY242" s="262"/>
      <c r="OZ242" s="262"/>
      <c r="PA242" s="262"/>
      <c r="PB242" s="262"/>
      <c r="PC242" s="262"/>
      <c r="PD242" s="262"/>
      <c r="PE242" s="262"/>
      <c r="PF242" s="262"/>
      <c r="PG242" s="262"/>
      <c r="PH242" s="262"/>
    </row>
    <row r="243" spans="1:424" x14ac:dyDescent="0.35">
      <c r="A243"/>
      <c r="B243" s="411" t="s">
        <v>456</v>
      </c>
      <c r="C243" s="397"/>
      <c r="D243" s="397"/>
      <c r="E243" s="397"/>
      <c r="F243" s="400" t="s">
        <v>61</v>
      </c>
      <c r="G243" s="400" t="s">
        <v>62</v>
      </c>
      <c r="H243" s="412" t="s">
        <v>217</v>
      </c>
      <c r="I243" s="412" t="s">
        <v>85</v>
      </c>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s="405"/>
      <c r="EQ243" s="18"/>
      <c r="ER243" s="18"/>
      <c r="ES243" s="18" t="s">
        <v>389</v>
      </c>
      <c r="ET243" s="304" t="str">
        <f>IFERROR(XIRR($EV243:INDEX($EV243:$PH243,1,Timing_Reversion_Month+1),$EV$24:INDEX($EV$24:$PH$24,1,Timing_Reversion_Month+1)),"")</f>
        <v/>
      </c>
      <c r="EU243" s="18"/>
      <c r="EV243" s="418">
        <f>+-EV240+EV241</f>
        <v>0</v>
      </c>
      <c r="EW243" s="418">
        <f t="shared" ref="EW243:HH243" si="781">+-EW240+EW241</f>
        <v>0</v>
      </c>
      <c r="EX243" s="418">
        <f t="shared" si="781"/>
        <v>0</v>
      </c>
      <c r="EY243" s="418">
        <f t="shared" si="781"/>
        <v>0</v>
      </c>
      <c r="EZ243" s="418">
        <f t="shared" si="781"/>
        <v>0</v>
      </c>
      <c r="FA243" s="418">
        <f t="shared" si="781"/>
        <v>0</v>
      </c>
      <c r="FB243" s="418">
        <f t="shared" si="781"/>
        <v>0</v>
      </c>
      <c r="FC243" s="418">
        <f t="shared" si="781"/>
        <v>0</v>
      </c>
      <c r="FD243" s="418">
        <f t="shared" si="781"/>
        <v>0</v>
      </c>
      <c r="FE243" s="418">
        <f t="shared" si="781"/>
        <v>0</v>
      </c>
      <c r="FF243" s="418">
        <f t="shared" si="781"/>
        <v>0</v>
      </c>
      <c r="FG243" s="418">
        <f t="shared" si="781"/>
        <v>0</v>
      </c>
      <c r="FH243" s="418">
        <f t="shared" si="781"/>
        <v>0</v>
      </c>
      <c r="FI243" s="418">
        <f t="shared" si="781"/>
        <v>0</v>
      </c>
      <c r="FJ243" s="418">
        <f t="shared" si="781"/>
        <v>0</v>
      </c>
      <c r="FK243" s="418">
        <f t="shared" si="781"/>
        <v>0</v>
      </c>
      <c r="FL243" s="418">
        <f t="shared" si="781"/>
        <v>0</v>
      </c>
      <c r="FM243" s="418">
        <f t="shared" si="781"/>
        <v>0</v>
      </c>
      <c r="FN243" s="418">
        <f t="shared" si="781"/>
        <v>0</v>
      </c>
      <c r="FO243" s="418">
        <f t="shared" si="781"/>
        <v>0</v>
      </c>
      <c r="FP243" s="418">
        <f t="shared" si="781"/>
        <v>0</v>
      </c>
      <c r="FQ243" s="418">
        <f t="shared" si="781"/>
        <v>0</v>
      </c>
      <c r="FR243" s="418">
        <f t="shared" si="781"/>
        <v>0</v>
      </c>
      <c r="FS243" s="418">
        <f t="shared" si="781"/>
        <v>0</v>
      </c>
      <c r="FT243" s="418">
        <f t="shared" si="781"/>
        <v>0</v>
      </c>
      <c r="FU243" s="418">
        <f t="shared" si="781"/>
        <v>0</v>
      </c>
      <c r="FV243" s="418">
        <f t="shared" si="781"/>
        <v>0</v>
      </c>
      <c r="FW243" s="418">
        <f t="shared" si="781"/>
        <v>0</v>
      </c>
      <c r="FX243" s="418">
        <f t="shared" si="781"/>
        <v>0</v>
      </c>
      <c r="FY243" s="418">
        <f t="shared" si="781"/>
        <v>0</v>
      </c>
      <c r="FZ243" s="418">
        <f t="shared" si="781"/>
        <v>0</v>
      </c>
      <c r="GA243" s="418">
        <f t="shared" si="781"/>
        <v>0</v>
      </c>
      <c r="GB243" s="418">
        <f t="shared" si="781"/>
        <v>0</v>
      </c>
      <c r="GC243" s="418">
        <f t="shared" si="781"/>
        <v>0</v>
      </c>
      <c r="GD243" s="418">
        <f t="shared" si="781"/>
        <v>0</v>
      </c>
      <c r="GE243" s="418">
        <f t="shared" si="781"/>
        <v>0</v>
      </c>
      <c r="GF243" s="418">
        <f t="shared" si="781"/>
        <v>0</v>
      </c>
      <c r="GG243" s="418">
        <f t="shared" si="781"/>
        <v>0</v>
      </c>
      <c r="GH243" s="418">
        <f t="shared" si="781"/>
        <v>0</v>
      </c>
      <c r="GI243" s="418">
        <f t="shared" si="781"/>
        <v>0</v>
      </c>
      <c r="GJ243" s="418">
        <f t="shared" si="781"/>
        <v>0</v>
      </c>
      <c r="GK243" s="418">
        <f t="shared" si="781"/>
        <v>0</v>
      </c>
      <c r="GL243" s="418">
        <f t="shared" si="781"/>
        <v>0</v>
      </c>
      <c r="GM243" s="418">
        <f t="shared" si="781"/>
        <v>0</v>
      </c>
      <c r="GN243" s="418">
        <f t="shared" si="781"/>
        <v>0</v>
      </c>
      <c r="GO243" s="418">
        <f t="shared" si="781"/>
        <v>0</v>
      </c>
      <c r="GP243" s="418">
        <f t="shared" si="781"/>
        <v>0</v>
      </c>
      <c r="GQ243" s="418">
        <f t="shared" si="781"/>
        <v>0</v>
      </c>
      <c r="GR243" s="418">
        <f t="shared" si="781"/>
        <v>0</v>
      </c>
      <c r="GS243" s="418">
        <f t="shared" si="781"/>
        <v>0</v>
      </c>
      <c r="GT243" s="418">
        <f t="shared" si="781"/>
        <v>0</v>
      </c>
      <c r="GU243" s="418">
        <f t="shared" si="781"/>
        <v>0</v>
      </c>
      <c r="GV243" s="418">
        <f t="shared" si="781"/>
        <v>0</v>
      </c>
      <c r="GW243" s="418">
        <f t="shared" si="781"/>
        <v>0</v>
      </c>
      <c r="GX243" s="418">
        <f t="shared" si="781"/>
        <v>0</v>
      </c>
      <c r="GY243" s="418">
        <f t="shared" si="781"/>
        <v>0</v>
      </c>
      <c r="GZ243" s="418">
        <f t="shared" si="781"/>
        <v>0</v>
      </c>
      <c r="HA243" s="418">
        <f t="shared" si="781"/>
        <v>0</v>
      </c>
      <c r="HB243" s="418">
        <f t="shared" si="781"/>
        <v>0</v>
      </c>
      <c r="HC243" s="418">
        <f t="shared" si="781"/>
        <v>0</v>
      </c>
      <c r="HD243" s="418">
        <f t="shared" si="781"/>
        <v>0</v>
      </c>
      <c r="HE243" s="418">
        <f t="shared" si="781"/>
        <v>0</v>
      </c>
      <c r="HF243" s="418">
        <f t="shared" si="781"/>
        <v>0</v>
      </c>
      <c r="HG243" s="418">
        <f t="shared" si="781"/>
        <v>0</v>
      </c>
      <c r="HH243" s="418">
        <f t="shared" si="781"/>
        <v>0</v>
      </c>
      <c r="HI243" s="418">
        <f t="shared" ref="HI243:JT243" si="782">+-HI240+HI241</f>
        <v>0</v>
      </c>
      <c r="HJ243" s="418">
        <f t="shared" si="782"/>
        <v>0</v>
      </c>
      <c r="HK243" s="418">
        <f t="shared" si="782"/>
        <v>0</v>
      </c>
      <c r="HL243" s="418">
        <f t="shared" si="782"/>
        <v>0</v>
      </c>
      <c r="HM243" s="418">
        <f t="shared" si="782"/>
        <v>0</v>
      </c>
      <c r="HN243" s="418">
        <f t="shared" si="782"/>
        <v>0</v>
      </c>
      <c r="HO243" s="418">
        <f t="shared" si="782"/>
        <v>0</v>
      </c>
      <c r="HP243" s="418">
        <f t="shared" si="782"/>
        <v>0</v>
      </c>
      <c r="HQ243" s="418">
        <f t="shared" si="782"/>
        <v>0</v>
      </c>
      <c r="HR243" s="418">
        <f t="shared" si="782"/>
        <v>0</v>
      </c>
      <c r="HS243" s="418">
        <f t="shared" si="782"/>
        <v>0</v>
      </c>
      <c r="HT243" s="418">
        <f t="shared" si="782"/>
        <v>0</v>
      </c>
      <c r="HU243" s="418">
        <f t="shared" si="782"/>
        <v>0</v>
      </c>
      <c r="HV243" s="418">
        <f t="shared" si="782"/>
        <v>0</v>
      </c>
      <c r="HW243" s="418">
        <f t="shared" si="782"/>
        <v>0</v>
      </c>
      <c r="HX243" s="418">
        <f t="shared" si="782"/>
        <v>0</v>
      </c>
      <c r="HY243" s="418">
        <f t="shared" si="782"/>
        <v>0</v>
      </c>
      <c r="HZ243" s="418">
        <f t="shared" si="782"/>
        <v>0</v>
      </c>
      <c r="IA243" s="418">
        <f t="shared" si="782"/>
        <v>0</v>
      </c>
      <c r="IB243" s="418">
        <f t="shared" si="782"/>
        <v>0</v>
      </c>
      <c r="IC243" s="418">
        <f t="shared" si="782"/>
        <v>0</v>
      </c>
      <c r="ID243" s="418">
        <f t="shared" si="782"/>
        <v>0</v>
      </c>
      <c r="IE243" s="418">
        <f t="shared" si="782"/>
        <v>0</v>
      </c>
      <c r="IF243" s="418">
        <f t="shared" si="782"/>
        <v>0</v>
      </c>
      <c r="IG243" s="418">
        <f t="shared" si="782"/>
        <v>0</v>
      </c>
      <c r="IH243" s="418">
        <f t="shared" si="782"/>
        <v>0</v>
      </c>
      <c r="II243" s="418">
        <f t="shared" si="782"/>
        <v>0</v>
      </c>
      <c r="IJ243" s="418">
        <f t="shared" si="782"/>
        <v>0</v>
      </c>
      <c r="IK243" s="418">
        <f t="shared" si="782"/>
        <v>0</v>
      </c>
      <c r="IL243" s="418">
        <f t="shared" si="782"/>
        <v>0</v>
      </c>
      <c r="IM243" s="418">
        <f t="shared" si="782"/>
        <v>0</v>
      </c>
      <c r="IN243" s="418">
        <f t="shared" si="782"/>
        <v>0</v>
      </c>
      <c r="IO243" s="418">
        <f t="shared" si="782"/>
        <v>0</v>
      </c>
      <c r="IP243" s="418">
        <f t="shared" si="782"/>
        <v>0</v>
      </c>
      <c r="IQ243" s="418">
        <f t="shared" si="782"/>
        <v>0</v>
      </c>
      <c r="IR243" s="418">
        <f t="shared" si="782"/>
        <v>0</v>
      </c>
      <c r="IS243" s="418">
        <f t="shared" si="782"/>
        <v>0</v>
      </c>
      <c r="IT243" s="418">
        <f t="shared" si="782"/>
        <v>0</v>
      </c>
      <c r="IU243" s="418">
        <f t="shared" si="782"/>
        <v>0</v>
      </c>
      <c r="IV243" s="418">
        <f t="shared" si="782"/>
        <v>0</v>
      </c>
      <c r="IW243" s="418">
        <f t="shared" si="782"/>
        <v>0</v>
      </c>
      <c r="IX243" s="418">
        <f t="shared" si="782"/>
        <v>0</v>
      </c>
      <c r="IY243" s="418">
        <f t="shared" si="782"/>
        <v>0</v>
      </c>
      <c r="IZ243" s="418">
        <f t="shared" si="782"/>
        <v>0</v>
      </c>
      <c r="JA243" s="418">
        <f t="shared" si="782"/>
        <v>0</v>
      </c>
      <c r="JB243" s="418">
        <f t="shared" si="782"/>
        <v>0</v>
      </c>
      <c r="JC243" s="418">
        <f t="shared" si="782"/>
        <v>0</v>
      </c>
      <c r="JD243" s="418">
        <f t="shared" si="782"/>
        <v>0</v>
      </c>
      <c r="JE243" s="418">
        <f t="shared" si="782"/>
        <v>0</v>
      </c>
      <c r="JF243" s="418">
        <f t="shared" si="782"/>
        <v>0</v>
      </c>
      <c r="JG243" s="418">
        <f t="shared" si="782"/>
        <v>0</v>
      </c>
      <c r="JH243" s="418">
        <f t="shared" si="782"/>
        <v>0</v>
      </c>
      <c r="JI243" s="418">
        <f t="shared" si="782"/>
        <v>0</v>
      </c>
      <c r="JJ243" s="418">
        <f t="shared" si="782"/>
        <v>0</v>
      </c>
      <c r="JK243" s="418">
        <f t="shared" si="782"/>
        <v>0</v>
      </c>
      <c r="JL243" s="418">
        <f t="shared" si="782"/>
        <v>0</v>
      </c>
      <c r="JM243" s="418">
        <f t="shared" si="782"/>
        <v>0</v>
      </c>
      <c r="JN243" s="418">
        <f t="shared" si="782"/>
        <v>0</v>
      </c>
      <c r="JO243" s="418">
        <f t="shared" si="782"/>
        <v>0</v>
      </c>
      <c r="JP243" s="418">
        <f t="shared" si="782"/>
        <v>0</v>
      </c>
      <c r="JQ243" s="418">
        <f t="shared" si="782"/>
        <v>0</v>
      </c>
      <c r="JR243" s="418">
        <f t="shared" si="782"/>
        <v>0</v>
      </c>
      <c r="JS243" s="418">
        <f t="shared" si="782"/>
        <v>0</v>
      </c>
      <c r="JT243" s="418">
        <f t="shared" si="782"/>
        <v>0</v>
      </c>
      <c r="JU243" s="418">
        <f>+-JU240+JU241</f>
        <v>0</v>
      </c>
      <c r="JV243" s="418">
        <f>+-JV240+JV241</f>
        <v>0</v>
      </c>
      <c r="JW243" s="418">
        <f>+-JW240+JW241</f>
        <v>0</v>
      </c>
      <c r="JX243" s="418">
        <f>+-JX240+JX241</f>
        <v>0</v>
      </c>
      <c r="JY243"/>
      <c r="JZ243" s="262"/>
      <c r="KA243" s="262"/>
      <c r="KB243" s="262"/>
      <c r="KC243" s="262"/>
      <c r="KD243" s="262"/>
      <c r="KE243" s="262"/>
      <c r="KF243" s="262"/>
      <c r="KG243" s="262"/>
      <c r="KH243" s="262"/>
      <c r="KI243" s="262"/>
      <c r="KJ243" s="262"/>
      <c r="KK243" s="262"/>
      <c r="KL243" s="262"/>
      <c r="KM243" s="262"/>
      <c r="KN243" s="262"/>
      <c r="KO243" s="262"/>
      <c r="KP243" s="262"/>
      <c r="KQ243" s="262"/>
      <c r="KR243" s="262"/>
      <c r="KS243" s="262"/>
      <c r="KT243" s="262"/>
      <c r="KU243" s="262"/>
      <c r="KV243" s="262"/>
      <c r="KW243" s="262"/>
      <c r="KX243" s="262"/>
      <c r="KY243" s="262"/>
      <c r="KZ243" s="262"/>
      <c r="LA243" s="262"/>
      <c r="LB243" s="262"/>
      <c r="LC243" s="262"/>
      <c r="LD243" s="262"/>
      <c r="LE243" s="262"/>
      <c r="LF243" s="262"/>
      <c r="LG243" s="262"/>
      <c r="LH243" s="262"/>
      <c r="LI243" s="262"/>
      <c r="LJ243" s="262"/>
      <c r="LK243" s="262"/>
      <c r="LL243" s="262"/>
      <c r="LM243" s="262"/>
      <c r="LN243" s="262"/>
      <c r="LO243" s="262"/>
      <c r="LP243" s="262"/>
      <c r="LQ243" s="262"/>
      <c r="LR243" s="262"/>
      <c r="LS243" s="262"/>
      <c r="LT243" s="262"/>
      <c r="LU243" s="262"/>
      <c r="LV243" s="262"/>
      <c r="LW243" s="262"/>
      <c r="LX243" s="262"/>
      <c r="LY243" s="262"/>
      <c r="LZ243" s="262"/>
      <c r="MA243" s="262"/>
      <c r="MB243" s="262"/>
      <c r="MC243" s="262"/>
      <c r="MD243" s="262"/>
      <c r="ME243" s="262"/>
      <c r="MF243" s="262"/>
      <c r="MG243" s="262"/>
      <c r="MH243" s="262"/>
      <c r="MI243" s="262"/>
      <c r="MJ243" s="262"/>
      <c r="MK243" s="262"/>
      <c r="ML243" s="262"/>
      <c r="MM243" s="262"/>
      <c r="MN243" s="262"/>
      <c r="MO243" s="262"/>
      <c r="MP243" s="262"/>
      <c r="MQ243" s="262"/>
      <c r="MR243" s="262"/>
      <c r="MS243" s="262"/>
      <c r="MT243" s="262"/>
      <c r="MU243" s="262"/>
      <c r="MV243" s="262"/>
      <c r="MW243" s="262"/>
      <c r="MX243" s="262"/>
      <c r="MY243" s="262"/>
      <c r="MZ243" s="262"/>
      <c r="NA243" s="262"/>
      <c r="NB243" s="262"/>
      <c r="NC243" s="262"/>
      <c r="ND243" s="262"/>
      <c r="NE243" s="262"/>
      <c r="NF243" s="262"/>
      <c r="NG243" s="262"/>
      <c r="NH243" s="262"/>
      <c r="NI243" s="262"/>
      <c r="NJ243" s="262"/>
      <c r="NK243" s="262"/>
      <c r="NL243" s="262"/>
      <c r="NM243" s="262"/>
      <c r="NN243" s="262"/>
      <c r="NO243" s="262"/>
      <c r="NP243" s="262"/>
      <c r="NQ243" s="262"/>
      <c r="NR243" s="262"/>
      <c r="NS243" s="262"/>
      <c r="NT243" s="262"/>
      <c r="NU243" s="262"/>
      <c r="NV243" s="262"/>
      <c r="NW243" s="262"/>
      <c r="NX243" s="262"/>
      <c r="NY243" s="262"/>
      <c r="NZ243" s="262"/>
      <c r="OA243" s="262"/>
      <c r="OB243" s="262"/>
      <c r="OC243" s="262"/>
      <c r="OD243" s="262"/>
      <c r="OE243" s="262"/>
      <c r="OF243" s="262"/>
      <c r="OG243" s="262"/>
      <c r="OH243" s="262"/>
      <c r="OI243" s="262"/>
      <c r="OJ243" s="262"/>
      <c r="OK243" s="262"/>
      <c r="OL243" s="262"/>
      <c r="OM243" s="262"/>
      <c r="ON243" s="262"/>
      <c r="OO243" s="262"/>
      <c r="OP243" s="262"/>
      <c r="OQ243" s="262"/>
      <c r="OR243" s="262"/>
      <c r="OS243" s="262"/>
      <c r="OT243" s="262"/>
      <c r="OU243" s="262"/>
      <c r="OV243" s="262"/>
      <c r="OW243" s="262"/>
      <c r="OX243" s="262"/>
      <c r="OY243" s="262"/>
      <c r="OZ243" s="262"/>
      <c r="PA243" s="262"/>
      <c r="PB243" s="262"/>
      <c r="PC243" s="262"/>
      <c r="PD243" s="262"/>
      <c r="PE243" s="262"/>
      <c r="PF243" s="262"/>
      <c r="PG243" s="262"/>
      <c r="PH243" s="262"/>
    </row>
    <row r="244" spans="1:424" x14ac:dyDescent="0.35">
      <c r="A244"/>
      <c r="B244" s="34" t="s">
        <v>429</v>
      </c>
      <c r="C244" s="542">
        <f>C239</f>
        <v>0</v>
      </c>
      <c r="D244" s="397"/>
      <c r="E244" s="397"/>
      <c r="F244" s="538" t="str">
        <f>IFERROR(I239/I228,"NA")</f>
        <v>NA</v>
      </c>
      <c r="G244" s="39" t="str">
        <f>IFERROR(IF($L$57=0,XIRR($M$244:INDEX($M$244:$EN$244,1,Timing_Analysis_End_Month),$M$195:INDEX($M$195:$EN$195,1,Timing_Analysis_End_Month)),XIRR($L$244:INDEX($L$244:$EN$244,1,Timing_Analysis_End_Month+1),$L$195:INDEX($L$195:$EN$195,1,Timing_Analysis_End_Month+1))),"NA")</f>
        <v>NA</v>
      </c>
      <c r="H244" s="52">
        <f>IF($I$246=0,0,I244/$I$246)</f>
        <v>0</v>
      </c>
      <c r="I244" s="445">
        <f>SUM(L244:EN244)</f>
        <v>0</v>
      </c>
      <c r="J244"/>
      <c r="K244"/>
      <c r="L244" s="417">
        <f>IF(L$227="","",-L228+L239)</f>
        <v>0</v>
      </c>
      <c r="M244" s="417">
        <f t="shared" ref="M244:AQ244" si="783">IF(M$227="","",-M228+M239)</f>
        <v>0</v>
      </c>
      <c r="N244" s="417">
        <f t="shared" si="783"/>
        <v>0</v>
      </c>
      <c r="O244" s="417">
        <f t="shared" si="783"/>
        <v>0</v>
      </c>
      <c r="P244" s="417">
        <f t="shared" si="783"/>
        <v>0</v>
      </c>
      <c r="Q244" s="417">
        <f t="shared" si="783"/>
        <v>0</v>
      </c>
      <c r="R244" s="417">
        <f t="shared" si="783"/>
        <v>0</v>
      </c>
      <c r="S244" s="417">
        <f t="shared" si="783"/>
        <v>0</v>
      </c>
      <c r="T244" s="417">
        <f t="shared" si="783"/>
        <v>0</v>
      </c>
      <c r="U244" s="417">
        <f t="shared" si="783"/>
        <v>0</v>
      </c>
      <c r="V244" s="417">
        <f t="shared" si="783"/>
        <v>0</v>
      </c>
      <c r="W244" s="417">
        <f t="shared" si="783"/>
        <v>0</v>
      </c>
      <c r="X244" s="417">
        <f t="shared" si="783"/>
        <v>0</v>
      </c>
      <c r="Y244" s="417">
        <f t="shared" si="783"/>
        <v>0</v>
      </c>
      <c r="Z244" s="417">
        <f t="shared" si="783"/>
        <v>0</v>
      </c>
      <c r="AA244" s="417">
        <f t="shared" si="783"/>
        <v>0</v>
      </c>
      <c r="AB244" s="417">
        <f t="shared" si="783"/>
        <v>0</v>
      </c>
      <c r="AC244" s="417">
        <f t="shared" si="783"/>
        <v>0</v>
      </c>
      <c r="AD244" s="417">
        <f t="shared" si="783"/>
        <v>0</v>
      </c>
      <c r="AE244" s="417">
        <f t="shared" si="783"/>
        <v>0</v>
      </c>
      <c r="AF244" s="417">
        <f t="shared" si="783"/>
        <v>0</v>
      </c>
      <c r="AG244" s="417">
        <f t="shared" si="783"/>
        <v>0</v>
      </c>
      <c r="AH244" s="417">
        <f t="shared" si="783"/>
        <v>0</v>
      </c>
      <c r="AI244" s="417">
        <f t="shared" si="783"/>
        <v>0</v>
      </c>
      <c r="AJ244" s="417">
        <f t="shared" si="783"/>
        <v>0</v>
      </c>
      <c r="AK244" s="417">
        <f t="shared" si="783"/>
        <v>0</v>
      </c>
      <c r="AL244" s="417">
        <f t="shared" si="783"/>
        <v>0</v>
      </c>
      <c r="AM244" s="417">
        <f t="shared" si="783"/>
        <v>0</v>
      </c>
      <c r="AN244" s="417">
        <f t="shared" si="783"/>
        <v>0</v>
      </c>
      <c r="AO244" s="417">
        <f t="shared" si="783"/>
        <v>0</v>
      </c>
      <c r="AP244" s="417">
        <f t="shared" si="783"/>
        <v>0</v>
      </c>
      <c r="AQ244" s="417">
        <f t="shared" si="783"/>
        <v>0</v>
      </c>
      <c r="AR244" s="417">
        <f t="shared" ref="AR244:BW244" si="784">IF(AR$227="","",-AR228+AR239)</f>
        <v>0</v>
      </c>
      <c r="AS244" s="417">
        <f t="shared" si="784"/>
        <v>0</v>
      </c>
      <c r="AT244" s="417">
        <f t="shared" si="784"/>
        <v>0</v>
      </c>
      <c r="AU244" s="417">
        <f t="shared" si="784"/>
        <v>0</v>
      </c>
      <c r="AV244" s="417">
        <f t="shared" si="784"/>
        <v>0</v>
      </c>
      <c r="AW244" s="417">
        <f t="shared" si="784"/>
        <v>0</v>
      </c>
      <c r="AX244" s="417">
        <f t="shared" si="784"/>
        <v>0</v>
      </c>
      <c r="AY244" s="417">
        <f t="shared" si="784"/>
        <v>0</v>
      </c>
      <c r="AZ244" s="417">
        <f t="shared" si="784"/>
        <v>0</v>
      </c>
      <c r="BA244" s="417">
        <f t="shared" si="784"/>
        <v>0</v>
      </c>
      <c r="BB244" s="417">
        <f t="shared" si="784"/>
        <v>0</v>
      </c>
      <c r="BC244" s="417">
        <f t="shared" si="784"/>
        <v>0</v>
      </c>
      <c r="BD244" s="75">
        <f t="shared" si="784"/>
        <v>0</v>
      </c>
      <c r="BE244" s="75">
        <f t="shared" si="784"/>
        <v>0</v>
      </c>
      <c r="BF244" s="75">
        <f t="shared" si="784"/>
        <v>0</v>
      </c>
      <c r="BG244" s="75">
        <f t="shared" si="784"/>
        <v>0</v>
      </c>
      <c r="BH244" s="75">
        <f t="shared" si="784"/>
        <v>0</v>
      </c>
      <c r="BI244" s="75">
        <f t="shared" si="784"/>
        <v>0</v>
      </c>
      <c r="BJ244" s="75">
        <f t="shared" si="784"/>
        <v>0</v>
      </c>
      <c r="BK244" s="75">
        <f t="shared" si="784"/>
        <v>0</v>
      </c>
      <c r="BL244" s="75">
        <f t="shared" si="784"/>
        <v>0</v>
      </c>
      <c r="BM244" s="75">
        <f t="shared" si="784"/>
        <v>0</v>
      </c>
      <c r="BN244" s="75">
        <f t="shared" si="784"/>
        <v>0</v>
      </c>
      <c r="BO244" s="75">
        <f t="shared" si="784"/>
        <v>0</v>
      </c>
      <c r="BP244" s="75">
        <f t="shared" si="784"/>
        <v>0</v>
      </c>
      <c r="BQ244" s="75">
        <f t="shared" si="784"/>
        <v>0</v>
      </c>
      <c r="BR244" s="75">
        <f t="shared" si="784"/>
        <v>0</v>
      </c>
      <c r="BS244" s="75">
        <f t="shared" si="784"/>
        <v>0</v>
      </c>
      <c r="BT244" s="75">
        <f t="shared" si="784"/>
        <v>0</v>
      </c>
      <c r="BU244" s="75">
        <f t="shared" si="784"/>
        <v>0</v>
      </c>
      <c r="BV244" s="75" t="str">
        <f t="shared" si="784"/>
        <v/>
      </c>
      <c r="BW244" s="75" t="str">
        <f t="shared" si="784"/>
        <v/>
      </c>
      <c r="BX244" s="75" t="str">
        <f t="shared" ref="BX244:DC244" si="785">IF(BX$227="","",-BX228+BX239)</f>
        <v/>
      </c>
      <c r="BY244" s="75" t="str">
        <f t="shared" si="785"/>
        <v/>
      </c>
      <c r="BZ244" s="75" t="str">
        <f t="shared" si="785"/>
        <v/>
      </c>
      <c r="CA244" s="75" t="str">
        <f t="shared" si="785"/>
        <v/>
      </c>
      <c r="CB244" s="75" t="str">
        <f t="shared" si="785"/>
        <v/>
      </c>
      <c r="CC244" s="75" t="str">
        <f t="shared" si="785"/>
        <v/>
      </c>
      <c r="CD244" s="75" t="str">
        <f t="shared" si="785"/>
        <v/>
      </c>
      <c r="CE244" s="75" t="str">
        <f t="shared" si="785"/>
        <v/>
      </c>
      <c r="CF244" s="75" t="str">
        <f t="shared" si="785"/>
        <v/>
      </c>
      <c r="CG244" s="75" t="str">
        <f t="shared" si="785"/>
        <v/>
      </c>
      <c r="CH244" s="75" t="str">
        <f t="shared" si="785"/>
        <v/>
      </c>
      <c r="CI244" s="75" t="str">
        <f t="shared" si="785"/>
        <v/>
      </c>
      <c r="CJ244" s="75" t="str">
        <f t="shared" si="785"/>
        <v/>
      </c>
      <c r="CK244" s="75" t="str">
        <f t="shared" si="785"/>
        <v/>
      </c>
      <c r="CL244" s="75" t="str">
        <f t="shared" si="785"/>
        <v/>
      </c>
      <c r="CM244" s="75" t="str">
        <f t="shared" si="785"/>
        <v/>
      </c>
      <c r="CN244" s="75" t="str">
        <f t="shared" si="785"/>
        <v/>
      </c>
      <c r="CO244" s="75" t="str">
        <f t="shared" si="785"/>
        <v/>
      </c>
      <c r="CP244" s="75" t="str">
        <f t="shared" si="785"/>
        <v/>
      </c>
      <c r="CQ244" s="75" t="str">
        <f t="shared" si="785"/>
        <v/>
      </c>
      <c r="CR244" s="75" t="str">
        <f t="shared" si="785"/>
        <v/>
      </c>
      <c r="CS244" s="75" t="str">
        <f t="shared" si="785"/>
        <v/>
      </c>
      <c r="CT244" s="75" t="str">
        <f t="shared" si="785"/>
        <v/>
      </c>
      <c r="CU244" s="75" t="str">
        <f t="shared" si="785"/>
        <v/>
      </c>
      <c r="CV244" s="75" t="str">
        <f t="shared" si="785"/>
        <v/>
      </c>
      <c r="CW244" s="75" t="str">
        <f t="shared" si="785"/>
        <v/>
      </c>
      <c r="CX244" s="75" t="str">
        <f t="shared" si="785"/>
        <v/>
      </c>
      <c r="CY244" s="75" t="str">
        <f t="shared" si="785"/>
        <v/>
      </c>
      <c r="CZ244" s="75" t="str">
        <f t="shared" si="785"/>
        <v/>
      </c>
      <c r="DA244" s="75" t="str">
        <f t="shared" si="785"/>
        <v/>
      </c>
      <c r="DB244" s="75" t="str">
        <f t="shared" si="785"/>
        <v/>
      </c>
      <c r="DC244" s="75" t="str">
        <f t="shared" si="785"/>
        <v/>
      </c>
      <c r="DD244" s="75" t="str">
        <f t="shared" ref="DD244:EN244" si="786">IF(DD$227="","",-DD228+DD239)</f>
        <v/>
      </c>
      <c r="DE244" s="75" t="str">
        <f t="shared" si="786"/>
        <v/>
      </c>
      <c r="DF244" s="75" t="str">
        <f t="shared" si="786"/>
        <v/>
      </c>
      <c r="DG244" s="75" t="str">
        <f t="shared" si="786"/>
        <v/>
      </c>
      <c r="DH244" s="75" t="str">
        <f t="shared" si="786"/>
        <v/>
      </c>
      <c r="DI244" s="75" t="str">
        <f t="shared" si="786"/>
        <v/>
      </c>
      <c r="DJ244" s="75" t="str">
        <f t="shared" si="786"/>
        <v/>
      </c>
      <c r="DK244" s="75" t="str">
        <f t="shared" si="786"/>
        <v/>
      </c>
      <c r="DL244" s="75" t="str">
        <f t="shared" si="786"/>
        <v/>
      </c>
      <c r="DM244" s="75" t="str">
        <f t="shared" si="786"/>
        <v/>
      </c>
      <c r="DN244" s="75" t="str">
        <f t="shared" si="786"/>
        <v/>
      </c>
      <c r="DO244" s="75" t="str">
        <f t="shared" si="786"/>
        <v/>
      </c>
      <c r="DP244" s="75" t="str">
        <f t="shared" si="786"/>
        <v/>
      </c>
      <c r="DQ244" s="75" t="str">
        <f t="shared" si="786"/>
        <v/>
      </c>
      <c r="DR244" s="75" t="str">
        <f t="shared" si="786"/>
        <v/>
      </c>
      <c r="DS244" s="75" t="str">
        <f t="shared" si="786"/>
        <v/>
      </c>
      <c r="DT244" s="75" t="str">
        <f t="shared" si="786"/>
        <v/>
      </c>
      <c r="DU244" s="75" t="str">
        <f t="shared" si="786"/>
        <v/>
      </c>
      <c r="DV244" s="75" t="str">
        <f t="shared" si="786"/>
        <v/>
      </c>
      <c r="DW244" s="75" t="str">
        <f t="shared" si="786"/>
        <v/>
      </c>
      <c r="DX244" s="75" t="str">
        <f t="shared" si="786"/>
        <v/>
      </c>
      <c r="DY244" s="75" t="str">
        <f t="shared" si="786"/>
        <v/>
      </c>
      <c r="DZ244" s="75" t="str">
        <f t="shared" si="786"/>
        <v/>
      </c>
      <c r="EA244" s="75" t="str">
        <f t="shared" si="786"/>
        <v/>
      </c>
      <c r="EB244" s="75" t="str">
        <f t="shared" si="786"/>
        <v/>
      </c>
      <c r="EC244" s="75" t="str">
        <f t="shared" si="786"/>
        <v/>
      </c>
      <c r="ED244" s="75" t="str">
        <f t="shared" si="786"/>
        <v/>
      </c>
      <c r="EE244" s="75" t="str">
        <f t="shared" si="786"/>
        <v/>
      </c>
      <c r="EF244" s="75" t="str">
        <f t="shared" si="786"/>
        <v/>
      </c>
      <c r="EG244" s="75" t="str">
        <f t="shared" si="786"/>
        <v/>
      </c>
      <c r="EH244" s="75" t="str">
        <f t="shared" si="786"/>
        <v/>
      </c>
      <c r="EI244" s="75" t="str">
        <f t="shared" si="786"/>
        <v/>
      </c>
      <c r="EJ244" s="75" t="str">
        <f t="shared" si="786"/>
        <v/>
      </c>
      <c r="EK244" s="75" t="str">
        <f t="shared" si="786"/>
        <v/>
      </c>
      <c r="EL244" s="75" t="str">
        <f t="shared" si="786"/>
        <v/>
      </c>
      <c r="EM244" s="75" t="str">
        <f t="shared" si="786"/>
        <v/>
      </c>
      <c r="EN244" s="75" t="str">
        <f t="shared" si="786"/>
        <v/>
      </c>
      <c r="EO244"/>
      <c r="EP244" s="405"/>
      <c r="EQ244" s="18"/>
      <c r="ER244" s="18"/>
      <c r="ES244" s="18"/>
      <c r="ET244" s="18" t="s">
        <v>457</v>
      </c>
      <c r="EU244" s="18"/>
      <c r="EV244" s="418">
        <f>(EV$197&lt;=Timing_Reversion_Month)*(EV241/$I$254*$H$254)</f>
        <v>0</v>
      </c>
      <c r="EW244" s="418">
        <f t="shared" ref="EW244:GA244" si="787">(EW$197&lt;=Timing_Reversion_Month)*(EW241/$I$254*$H$254)</f>
        <v>0</v>
      </c>
      <c r="EX244" s="418">
        <f t="shared" si="787"/>
        <v>0</v>
      </c>
      <c r="EY244" s="418">
        <f t="shared" si="787"/>
        <v>0</v>
      </c>
      <c r="EZ244" s="418">
        <f t="shared" si="787"/>
        <v>0</v>
      </c>
      <c r="FA244" s="418">
        <f t="shared" si="787"/>
        <v>0</v>
      </c>
      <c r="FB244" s="418">
        <f t="shared" si="787"/>
        <v>0</v>
      </c>
      <c r="FC244" s="418">
        <f t="shared" si="787"/>
        <v>0</v>
      </c>
      <c r="FD244" s="418">
        <f t="shared" si="787"/>
        <v>0</v>
      </c>
      <c r="FE244" s="418">
        <f t="shared" si="787"/>
        <v>0</v>
      </c>
      <c r="FF244" s="418">
        <f t="shared" si="787"/>
        <v>0</v>
      </c>
      <c r="FG244" s="418">
        <f t="shared" si="787"/>
        <v>0</v>
      </c>
      <c r="FH244" s="418">
        <f t="shared" si="787"/>
        <v>0</v>
      </c>
      <c r="FI244" s="418">
        <f t="shared" si="787"/>
        <v>0</v>
      </c>
      <c r="FJ244" s="418">
        <f t="shared" si="787"/>
        <v>0</v>
      </c>
      <c r="FK244" s="418">
        <f t="shared" si="787"/>
        <v>0</v>
      </c>
      <c r="FL244" s="418">
        <f t="shared" si="787"/>
        <v>0</v>
      </c>
      <c r="FM244" s="418">
        <f t="shared" si="787"/>
        <v>0</v>
      </c>
      <c r="FN244" s="418">
        <f t="shared" si="787"/>
        <v>0</v>
      </c>
      <c r="FO244" s="418">
        <f t="shared" si="787"/>
        <v>0</v>
      </c>
      <c r="FP244" s="418">
        <f t="shared" si="787"/>
        <v>0</v>
      </c>
      <c r="FQ244" s="418">
        <f t="shared" si="787"/>
        <v>0</v>
      </c>
      <c r="FR244" s="418">
        <f t="shared" si="787"/>
        <v>0</v>
      </c>
      <c r="FS244" s="418">
        <f t="shared" si="787"/>
        <v>0</v>
      </c>
      <c r="FT244" s="418">
        <f t="shared" si="787"/>
        <v>0</v>
      </c>
      <c r="FU244" s="418">
        <f t="shared" si="787"/>
        <v>0</v>
      </c>
      <c r="FV244" s="418">
        <f t="shared" si="787"/>
        <v>0</v>
      </c>
      <c r="FW244" s="418">
        <f t="shared" si="787"/>
        <v>0</v>
      </c>
      <c r="FX244" s="418">
        <f t="shared" si="787"/>
        <v>0</v>
      </c>
      <c r="FY244" s="418">
        <f t="shared" si="787"/>
        <v>0</v>
      </c>
      <c r="FZ244" s="418">
        <f t="shared" si="787"/>
        <v>0</v>
      </c>
      <c r="GA244" s="418">
        <f t="shared" si="787"/>
        <v>0</v>
      </c>
      <c r="GB244" s="418">
        <f t="shared" ref="GB244:HG244" si="788">(GB$197&lt;=Timing_Reversion_Month)*(GB241/$I$254*$H$254)</f>
        <v>0</v>
      </c>
      <c r="GC244" s="418">
        <f t="shared" si="788"/>
        <v>0</v>
      </c>
      <c r="GD244" s="418">
        <f t="shared" si="788"/>
        <v>0</v>
      </c>
      <c r="GE244" s="418">
        <f t="shared" si="788"/>
        <v>0</v>
      </c>
      <c r="GF244" s="418">
        <f t="shared" si="788"/>
        <v>0</v>
      </c>
      <c r="GG244" s="418">
        <f t="shared" si="788"/>
        <v>0</v>
      </c>
      <c r="GH244" s="418">
        <f t="shared" si="788"/>
        <v>0</v>
      </c>
      <c r="GI244" s="418">
        <f t="shared" si="788"/>
        <v>0</v>
      </c>
      <c r="GJ244" s="418">
        <f t="shared" si="788"/>
        <v>0</v>
      </c>
      <c r="GK244" s="418">
        <f t="shared" si="788"/>
        <v>0</v>
      </c>
      <c r="GL244" s="418">
        <f t="shared" si="788"/>
        <v>0</v>
      </c>
      <c r="GM244" s="418">
        <f t="shared" si="788"/>
        <v>0</v>
      </c>
      <c r="GN244" s="418">
        <f t="shared" si="788"/>
        <v>0</v>
      </c>
      <c r="GO244" s="418">
        <f t="shared" si="788"/>
        <v>0</v>
      </c>
      <c r="GP244" s="418">
        <f t="shared" si="788"/>
        <v>0</v>
      </c>
      <c r="GQ244" s="418">
        <f t="shared" si="788"/>
        <v>0</v>
      </c>
      <c r="GR244" s="418">
        <f t="shared" si="788"/>
        <v>0</v>
      </c>
      <c r="GS244" s="418">
        <f t="shared" si="788"/>
        <v>0</v>
      </c>
      <c r="GT244" s="418">
        <f t="shared" si="788"/>
        <v>0</v>
      </c>
      <c r="GU244" s="418">
        <f t="shared" si="788"/>
        <v>0</v>
      </c>
      <c r="GV244" s="418">
        <f t="shared" si="788"/>
        <v>0</v>
      </c>
      <c r="GW244" s="418">
        <f t="shared" si="788"/>
        <v>0</v>
      </c>
      <c r="GX244" s="418">
        <f t="shared" si="788"/>
        <v>0</v>
      </c>
      <c r="GY244" s="418">
        <f t="shared" si="788"/>
        <v>0</v>
      </c>
      <c r="GZ244" s="418">
        <f t="shared" si="788"/>
        <v>0</v>
      </c>
      <c r="HA244" s="418">
        <f t="shared" si="788"/>
        <v>0</v>
      </c>
      <c r="HB244" s="418">
        <f t="shared" si="788"/>
        <v>0</v>
      </c>
      <c r="HC244" s="418">
        <f t="shared" si="788"/>
        <v>0</v>
      </c>
      <c r="HD244" s="418">
        <f t="shared" si="788"/>
        <v>0</v>
      </c>
      <c r="HE244" s="418">
        <f t="shared" si="788"/>
        <v>0</v>
      </c>
      <c r="HF244" s="418">
        <f t="shared" si="788"/>
        <v>0</v>
      </c>
      <c r="HG244" s="418">
        <f t="shared" si="788"/>
        <v>0</v>
      </c>
      <c r="HH244" s="418">
        <f t="shared" ref="HH244:IM244" si="789">(HH$197&lt;=Timing_Reversion_Month)*(HH241/$I$254*$H$254)</f>
        <v>0</v>
      </c>
      <c r="HI244" s="418">
        <f t="shared" si="789"/>
        <v>0</v>
      </c>
      <c r="HJ244" s="418">
        <f t="shared" si="789"/>
        <v>0</v>
      </c>
      <c r="HK244" s="418">
        <f t="shared" si="789"/>
        <v>0</v>
      </c>
      <c r="HL244" s="418">
        <f t="shared" si="789"/>
        <v>0</v>
      </c>
      <c r="HM244" s="418">
        <f t="shared" si="789"/>
        <v>0</v>
      </c>
      <c r="HN244" s="418">
        <f t="shared" si="789"/>
        <v>0</v>
      </c>
      <c r="HO244" s="418">
        <f t="shared" si="789"/>
        <v>0</v>
      </c>
      <c r="HP244" s="418">
        <f t="shared" si="789"/>
        <v>0</v>
      </c>
      <c r="HQ244" s="418">
        <f t="shared" si="789"/>
        <v>0</v>
      </c>
      <c r="HR244" s="418">
        <f t="shared" si="789"/>
        <v>0</v>
      </c>
      <c r="HS244" s="418">
        <f t="shared" si="789"/>
        <v>0</v>
      </c>
      <c r="HT244" s="418">
        <f t="shared" si="789"/>
        <v>0</v>
      </c>
      <c r="HU244" s="418">
        <f t="shared" si="789"/>
        <v>0</v>
      </c>
      <c r="HV244" s="418">
        <f t="shared" si="789"/>
        <v>0</v>
      </c>
      <c r="HW244" s="418">
        <f t="shared" si="789"/>
        <v>0</v>
      </c>
      <c r="HX244" s="418">
        <f t="shared" si="789"/>
        <v>0</v>
      </c>
      <c r="HY244" s="418">
        <f t="shared" si="789"/>
        <v>0</v>
      </c>
      <c r="HZ244" s="418">
        <f t="shared" si="789"/>
        <v>0</v>
      </c>
      <c r="IA244" s="418">
        <f t="shared" si="789"/>
        <v>0</v>
      </c>
      <c r="IB244" s="418">
        <f t="shared" si="789"/>
        <v>0</v>
      </c>
      <c r="IC244" s="418">
        <f t="shared" si="789"/>
        <v>0</v>
      </c>
      <c r="ID244" s="418">
        <f t="shared" si="789"/>
        <v>0</v>
      </c>
      <c r="IE244" s="418">
        <f t="shared" si="789"/>
        <v>0</v>
      </c>
      <c r="IF244" s="418">
        <f t="shared" si="789"/>
        <v>0</v>
      </c>
      <c r="IG244" s="418">
        <f t="shared" si="789"/>
        <v>0</v>
      </c>
      <c r="IH244" s="418">
        <f t="shared" si="789"/>
        <v>0</v>
      </c>
      <c r="II244" s="418">
        <f t="shared" si="789"/>
        <v>0</v>
      </c>
      <c r="IJ244" s="418">
        <f t="shared" si="789"/>
        <v>0</v>
      </c>
      <c r="IK244" s="418">
        <f t="shared" si="789"/>
        <v>0</v>
      </c>
      <c r="IL244" s="418">
        <f t="shared" si="789"/>
        <v>0</v>
      </c>
      <c r="IM244" s="418">
        <f t="shared" si="789"/>
        <v>0</v>
      </c>
      <c r="IN244" s="418">
        <f t="shared" ref="IN244:JX244" si="790">(IN$197&lt;=Timing_Reversion_Month)*(IN241/$I$254*$H$254)</f>
        <v>0</v>
      </c>
      <c r="IO244" s="418">
        <f t="shared" si="790"/>
        <v>0</v>
      </c>
      <c r="IP244" s="418">
        <f t="shared" si="790"/>
        <v>0</v>
      </c>
      <c r="IQ244" s="418">
        <f t="shared" si="790"/>
        <v>0</v>
      </c>
      <c r="IR244" s="418">
        <f t="shared" si="790"/>
        <v>0</v>
      </c>
      <c r="IS244" s="418">
        <f t="shared" si="790"/>
        <v>0</v>
      </c>
      <c r="IT244" s="418">
        <f t="shared" si="790"/>
        <v>0</v>
      </c>
      <c r="IU244" s="418">
        <f t="shared" si="790"/>
        <v>0</v>
      </c>
      <c r="IV244" s="418">
        <f t="shared" si="790"/>
        <v>0</v>
      </c>
      <c r="IW244" s="418">
        <f t="shared" si="790"/>
        <v>0</v>
      </c>
      <c r="IX244" s="418">
        <f t="shared" si="790"/>
        <v>0</v>
      </c>
      <c r="IY244" s="418">
        <f t="shared" si="790"/>
        <v>0</v>
      </c>
      <c r="IZ244" s="418">
        <f t="shared" si="790"/>
        <v>0</v>
      </c>
      <c r="JA244" s="418">
        <f t="shared" si="790"/>
        <v>0</v>
      </c>
      <c r="JB244" s="418">
        <f t="shared" si="790"/>
        <v>0</v>
      </c>
      <c r="JC244" s="418">
        <f t="shared" si="790"/>
        <v>0</v>
      </c>
      <c r="JD244" s="418">
        <f t="shared" si="790"/>
        <v>0</v>
      </c>
      <c r="JE244" s="418">
        <f t="shared" si="790"/>
        <v>0</v>
      </c>
      <c r="JF244" s="418">
        <f t="shared" si="790"/>
        <v>0</v>
      </c>
      <c r="JG244" s="418">
        <f t="shared" si="790"/>
        <v>0</v>
      </c>
      <c r="JH244" s="418">
        <f t="shared" si="790"/>
        <v>0</v>
      </c>
      <c r="JI244" s="418">
        <f t="shared" si="790"/>
        <v>0</v>
      </c>
      <c r="JJ244" s="418">
        <f t="shared" si="790"/>
        <v>0</v>
      </c>
      <c r="JK244" s="418">
        <f t="shared" si="790"/>
        <v>0</v>
      </c>
      <c r="JL244" s="418">
        <f t="shared" si="790"/>
        <v>0</v>
      </c>
      <c r="JM244" s="418">
        <f t="shared" si="790"/>
        <v>0</v>
      </c>
      <c r="JN244" s="418">
        <f t="shared" si="790"/>
        <v>0</v>
      </c>
      <c r="JO244" s="418">
        <f t="shared" si="790"/>
        <v>0</v>
      </c>
      <c r="JP244" s="418">
        <f t="shared" si="790"/>
        <v>0</v>
      </c>
      <c r="JQ244" s="418">
        <f t="shared" si="790"/>
        <v>0</v>
      </c>
      <c r="JR244" s="418">
        <f t="shared" si="790"/>
        <v>0</v>
      </c>
      <c r="JS244" s="418">
        <f t="shared" si="790"/>
        <v>0</v>
      </c>
      <c r="JT244" s="418">
        <f t="shared" si="790"/>
        <v>0</v>
      </c>
      <c r="JU244" s="418">
        <f t="shared" si="790"/>
        <v>0</v>
      </c>
      <c r="JV244" s="418">
        <f t="shared" si="790"/>
        <v>0</v>
      </c>
      <c r="JW244" s="418">
        <f t="shared" si="790"/>
        <v>0</v>
      </c>
      <c r="JX244" s="418">
        <f t="shared" si="790"/>
        <v>0</v>
      </c>
      <c r="JY244"/>
      <c r="JZ244" s="262"/>
      <c r="KA244" s="262"/>
      <c r="KB244" s="262"/>
      <c r="KC244" s="262"/>
      <c r="KD244" s="262"/>
      <c r="KE244" s="262"/>
      <c r="KF244" s="262"/>
      <c r="KG244" s="262"/>
      <c r="KH244" s="262"/>
      <c r="KI244" s="262"/>
      <c r="KJ244" s="262"/>
      <c r="KK244" s="262"/>
      <c r="KL244" s="262"/>
      <c r="KM244" s="262"/>
      <c r="KN244" s="262"/>
      <c r="KO244" s="262"/>
      <c r="KP244" s="262"/>
      <c r="KQ244" s="262"/>
      <c r="KR244" s="262"/>
      <c r="KS244" s="262"/>
      <c r="KT244" s="262"/>
      <c r="KU244" s="262"/>
      <c r="KV244" s="262"/>
      <c r="KW244" s="262"/>
      <c r="KX244" s="262"/>
      <c r="KY244" s="262"/>
      <c r="KZ244" s="262"/>
      <c r="LA244" s="262"/>
      <c r="LB244" s="262"/>
      <c r="LC244" s="262"/>
      <c r="LD244" s="262"/>
      <c r="LE244" s="262"/>
      <c r="LF244" s="262"/>
      <c r="LG244" s="262"/>
      <c r="LH244" s="262"/>
      <c r="LI244" s="262"/>
      <c r="LJ244" s="262"/>
      <c r="LK244" s="262"/>
      <c r="LL244" s="262"/>
      <c r="LM244" s="262"/>
      <c r="LN244" s="262"/>
      <c r="LO244" s="262"/>
      <c r="LP244" s="262"/>
      <c r="LQ244" s="262"/>
      <c r="LR244" s="262"/>
      <c r="LS244" s="262"/>
      <c r="LT244" s="262"/>
      <c r="LU244" s="262"/>
      <c r="LV244" s="262"/>
      <c r="LW244" s="262"/>
      <c r="LX244" s="262"/>
      <c r="LY244" s="262"/>
      <c r="LZ244" s="262"/>
      <c r="MA244" s="262"/>
      <c r="MB244" s="262"/>
      <c r="MC244" s="262"/>
      <c r="MD244" s="262"/>
      <c r="ME244" s="262"/>
      <c r="MF244" s="262"/>
      <c r="MG244" s="262"/>
      <c r="MH244" s="262"/>
      <c r="MI244" s="262"/>
      <c r="MJ244" s="262"/>
      <c r="MK244" s="262"/>
      <c r="ML244" s="262"/>
      <c r="MM244" s="262"/>
      <c r="MN244" s="262"/>
      <c r="MO244" s="262"/>
      <c r="MP244" s="262"/>
      <c r="MQ244" s="262"/>
      <c r="MR244" s="262"/>
      <c r="MS244" s="262"/>
      <c r="MT244" s="262"/>
      <c r="MU244" s="262"/>
      <c r="MV244" s="262"/>
      <c r="MW244" s="262"/>
      <c r="MX244" s="262"/>
      <c r="MY244" s="262"/>
      <c r="MZ244" s="262"/>
      <c r="NA244" s="262"/>
      <c r="NB244" s="262"/>
      <c r="NC244" s="262"/>
      <c r="ND244" s="262"/>
      <c r="NE244" s="262"/>
      <c r="NF244" s="262"/>
      <c r="NG244" s="262"/>
      <c r="NH244" s="262"/>
      <c r="NI244" s="262"/>
      <c r="NJ244" s="262"/>
      <c r="NK244" s="262"/>
      <c r="NL244" s="262"/>
      <c r="NM244" s="262"/>
      <c r="NN244" s="262"/>
      <c r="NO244" s="262"/>
      <c r="NP244" s="262"/>
      <c r="NQ244" s="262"/>
      <c r="NR244" s="262"/>
      <c r="NS244" s="262"/>
      <c r="NT244" s="262"/>
      <c r="NU244" s="262"/>
      <c r="NV244" s="262"/>
      <c r="NW244" s="262"/>
      <c r="NX244" s="262"/>
      <c r="NY244" s="262"/>
      <c r="NZ244" s="262"/>
      <c r="OA244" s="262"/>
      <c r="OB244" s="262"/>
      <c r="OC244" s="262"/>
      <c r="OD244" s="262"/>
      <c r="OE244" s="262"/>
      <c r="OF244" s="262"/>
      <c r="OG244" s="262"/>
      <c r="OH244" s="262"/>
      <c r="OI244" s="262"/>
      <c r="OJ244" s="262"/>
      <c r="OK244" s="262"/>
      <c r="OL244" s="262"/>
      <c r="OM244" s="262"/>
      <c r="ON244" s="262"/>
      <c r="OO244" s="262"/>
      <c r="OP244" s="262"/>
      <c r="OQ244" s="262"/>
      <c r="OR244" s="262"/>
      <c r="OS244" s="262"/>
      <c r="OT244" s="262"/>
      <c r="OU244" s="262"/>
      <c r="OV244" s="262"/>
      <c r="OW244" s="262"/>
      <c r="OX244" s="262"/>
      <c r="OY244" s="262"/>
      <c r="OZ244" s="262"/>
      <c r="PA244" s="262"/>
      <c r="PB244" s="262"/>
      <c r="PC244" s="262"/>
      <c r="PD244" s="262"/>
      <c r="PE244" s="262"/>
      <c r="PF244" s="262"/>
      <c r="PG244" s="262"/>
      <c r="PH244" s="262"/>
    </row>
    <row r="245" spans="1:424" x14ac:dyDescent="0.35">
      <c r="A245"/>
      <c r="B245" s="411" t="s">
        <v>430</v>
      </c>
      <c r="C245" s="542">
        <f>C240</f>
        <v>1</v>
      </c>
      <c r="D245" s="397"/>
      <c r="E245" s="397"/>
      <c r="F245" s="550">
        <f>IFERROR(SUMIF($M245:$BU245,"&gt;0",$M245:$BU245)/-SUMIF($M245:$BU245,"&lt;0",$M245:$BU245),0)</f>
        <v>3.6516197698477049</v>
      </c>
      <c r="G245" s="301">
        <f>IFERROR(XIRR($M245:$BU245,$M$195:$BU$195,2%),0)</f>
        <v>4.7683715820312501E-9</v>
      </c>
      <c r="H245" s="54">
        <f>IF($I$246=0,0,I245/$I$246)</f>
        <v>1</v>
      </c>
      <c r="I245" s="420">
        <f>SUM(L245:EN245)</f>
        <v>300946221.77460557</v>
      </c>
      <c r="J245"/>
      <c r="K245"/>
      <c r="L245" s="422">
        <f t="shared" ref="L245:AQ245" si="791">IF(L$227="","",-L229+L240)</f>
        <v>-76389582.872717112</v>
      </c>
      <c r="M245" s="422">
        <f t="shared" si="791"/>
        <v>70562.268970067496</v>
      </c>
      <c r="N245" s="422">
        <f t="shared" si="791"/>
        <v>0</v>
      </c>
      <c r="O245" s="422">
        <f t="shared" si="791"/>
        <v>52683.47823085892</v>
      </c>
      <c r="P245" s="422">
        <f t="shared" si="791"/>
        <v>73917.592887241393</v>
      </c>
      <c r="Q245" s="422">
        <f t="shared" si="791"/>
        <v>100597.62539995834</v>
      </c>
      <c r="R245" s="422">
        <f t="shared" si="791"/>
        <v>132711.21484693745</v>
      </c>
      <c r="S245" s="422">
        <f t="shared" si="791"/>
        <v>169571.13126643002</v>
      </c>
      <c r="T245" s="422">
        <f t="shared" si="791"/>
        <v>209638.92700129561</v>
      </c>
      <c r="U245" s="422">
        <f t="shared" si="791"/>
        <v>250432.28312832303</v>
      </c>
      <c r="V245" s="422">
        <f t="shared" si="791"/>
        <v>288567.01646289043</v>
      </c>
      <c r="W245" s="422">
        <f t="shared" si="791"/>
        <v>319971.35631248169</v>
      </c>
      <c r="X245" s="422">
        <f t="shared" si="791"/>
        <v>340282.33397308737</v>
      </c>
      <c r="Y245" s="422">
        <f t="shared" si="791"/>
        <v>-1932832.6541841328</v>
      </c>
      <c r="Z245" s="422">
        <f t="shared" si="791"/>
        <v>-9018148.7201975472</v>
      </c>
      <c r="AA245" s="422">
        <f t="shared" si="791"/>
        <v>-9899906.2401258312</v>
      </c>
      <c r="AB245" s="422">
        <f t="shared" si="791"/>
        <v>-10594941.16352598</v>
      </c>
      <c r="AC245" s="422">
        <f t="shared" si="791"/>
        <v>-11168623.014029484</v>
      </c>
      <c r="AD245" s="422">
        <f t="shared" si="791"/>
        <v>-11476435.484353572</v>
      </c>
      <c r="AE245" s="422">
        <f t="shared" si="791"/>
        <v>-11500747.807484064</v>
      </c>
      <c r="AF245" s="422">
        <f t="shared" si="791"/>
        <v>-11200802.193184778</v>
      </c>
      <c r="AG245" s="422">
        <f t="shared" si="791"/>
        <v>-10560401.808855567</v>
      </c>
      <c r="AH245" s="422">
        <f t="shared" si="791"/>
        <v>-9007015.4887131397</v>
      </c>
      <c r="AI245" s="422">
        <f t="shared" si="791"/>
        <v>-8037972.8637852902</v>
      </c>
      <c r="AJ245" s="422">
        <f t="shared" si="791"/>
        <v>-7003744.5955059687</v>
      </c>
      <c r="AK245" s="422">
        <f t="shared" si="791"/>
        <v>-5750851.2834514072</v>
      </c>
      <c r="AL245" s="422">
        <f t="shared" si="791"/>
        <v>-4766158.5265351916</v>
      </c>
      <c r="AM245" s="422">
        <f t="shared" si="791"/>
        <v>-3873205.3960134638</v>
      </c>
      <c r="AN245" s="422">
        <f t="shared" si="791"/>
        <v>-2923275.520515983</v>
      </c>
      <c r="AO245" s="422">
        <f t="shared" si="791"/>
        <v>-2276010.0856580529</v>
      </c>
      <c r="AP245" s="422">
        <f t="shared" si="791"/>
        <v>-2650739.4435757259</v>
      </c>
      <c r="AQ245" s="422">
        <f t="shared" si="791"/>
        <v>-2596004.2703655614</v>
      </c>
      <c r="AR245" s="422">
        <f t="shared" ref="AR245:BW245" si="792">IF(AR$227="","",-AR229+AR240)</f>
        <v>-1937292.4101016719</v>
      </c>
      <c r="AS245" s="422">
        <f t="shared" si="792"/>
        <v>-1455784.2709663643</v>
      </c>
      <c r="AT245" s="422">
        <f t="shared" si="792"/>
        <v>-1083442.3940526801</v>
      </c>
      <c r="AU245" s="422">
        <f t="shared" si="792"/>
        <v>-852358.66986050736</v>
      </c>
      <c r="AV245" s="422">
        <f t="shared" si="792"/>
        <v>-701328.93346127542</v>
      </c>
      <c r="AW245" s="422">
        <f t="shared" si="792"/>
        <v>-35865.47816403769</v>
      </c>
      <c r="AX245" s="422">
        <f t="shared" si="792"/>
        <v>164230.6805146893</v>
      </c>
      <c r="AY245" s="422">
        <f t="shared" si="792"/>
        <v>364286.76529399911</v>
      </c>
      <c r="AZ245" s="422">
        <f t="shared" si="792"/>
        <v>572380.13607966923</v>
      </c>
      <c r="BA245" s="422">
        <f t="shared" si="792"/>
        <v>773016.00189663284</v>
      </c>
      <c r="BB245" s="422">
        <f t="shared" si="792"/>
        <v>973611.13907960732</v>
      </c>
      <c r="BC245" s="422">
        <f t="shared" si="792"/>
        <v>1179706.9936818241</v>
      </c>
      <c r="BD245" s="202">
        <f t="shared" si="792"/>
        <v>1380220.010561527</v>
      </c>
      <c r="BE245" s="202">
        <f t="shared" si="792"/>
        <v>1580691.6333754973</v>
      </c>
      <c r="BF245" s="202">
        <f t="shared" si="792"/>
        <v>1807345.3879058782</v>
      </c>
      <c r="BG245" s="202">
        <f t="shared" si="792"/>
        <v>2007733.5487203011</v>
      </c>
      <c r="BH245" s="202">
        <f t="shared" si="792"/>
        <v>2208079.6391653027</v>
      </c>
      <c r="BI245" s="202">
        <f t="shared" si="792"/>
        <v>2479277.8516667918</v>
      </c>
      <c r="BJ245" s="202">
        <f t="shared" si="792"/>
        <v>2471384.1182492906</v>
      </c>
      <c r="BK245" s="202">
        <f t="shared" si="792"/>
        <v>2463447.6271091113</v>
      </c>
      <c r="BL245" s="202">
        <f t="shared" si="792"/>
        <v>2461777.3341419231</v>
      </c>
      <c r="BM245" s="202">
        <f t="shared" si="792"/>
        <v>2453754.6314888708</v>
      </c>
      <c r="BN245" s="202">
        <f t="shared" si="792"/>
        <v>2445688.4725297811</v>
      </c>
      <c r="BO245" s="202">
        <f t="shared" si="792"/>
        <v>2443314.2468763296</v>
      </c>
      <c r="BP245" s="202">
        <f t="shared" si="792"/>
        <v>2435160.4678651718</v>
      </c>
      <c r="BQ245" s="202">
        <f t="shared" si="792"/>
        <v>2426962.5225510374</v>
      </c>
      <c r="BR245" s="202">
        <f t="shared" si="792"/>
        <v>2445861.752949785</v>
      </c>
      <c r="BS245" s="202">
        <f t="shared" si="792"/>
        <v>2437574.756031421</v>
      </c>
      <c r="BT245" s="202">
        <f t="shared" si="792"/>
        <v>2429242.8712130822</v>
      </c>
      <c r="BU245" s="202">
        <f t="shared" si="792"/>
        <v>475226009.54656303</v>
      </c>
      <c r="BV245" s="202" t="str">
        <f t="shared" si="792"/>
        <v/>
      </c>
      <c r="BW245" s="202" t="str">
        <f t="shared" si="792"/>
        <v/>
      </c>
      <c r="BX245" s="202" t="str">
        <f t="shared" ref="BX245:DC245" si="793">IF(BX$227="","",-BX229+BX240)</f>
        <v/>
      </c>
      <c r="BY245" s="202" t="str">
        <f t="shared" si="793"/>
        <v/>
      </c>
      <c r="BZ245" s="202" t="str">
        <f t="shared" si="793"/>
        <v/>
      </c>
      <c r="CA245" s="202" t="str">
        <f t="shared" si="793"/>
        <v/>
      </c>
      <c r="CB245" s="202" t="str">
        <f t="shared" si="793"/>
        <v/>
      </c>
      <c r="CC245" s="202" t="str">
        <f t="shared" si="793"/>
        <v/>
      </c>
      <c r="CD245" s="202" t="str">
        <f t="shared" si="793"/>
        <v/>
      </c>
      <c r="CE245" s="202" t="str">
        <f t="shared" si="793"/>
        <v/>
      </c>
      <c r="CF245" s="202" t="str">
        <f t="shared" si="793"/>
        <v/>
      </c>
      <c r="CG245" s="202" t="str">
        <f t="shared" si="793"/>
        <v/>
      </c>
      <c r="CH245" s="202" t="str">
        <f t="shared" si="793"/>
        <v/>
      </c>
      <c r="CI245" s="202" t="str">
        <f t="shared" si="793"/>
        <v/>
      </c>
      <c r="CJ245" s="202" t="str">
        <f t="shared" si="793"/>
        <v/>
      </c>
      <c r="CK245" s="202" t="str">
        <f t="shared" si="793"/>
        <v/>
      </c>
      <c r="CL245" s="202" t="str">
        <f t="shared" si="793"/>
        <v/>
      </c>
      <c r="CM245" s="202" t="str">
        <f t="shared" si="793"/>
        <v/>
      </c>
      <c r="CN245" s="202" t="str">
        <f t="shared" si="793"/>
        <v/>
      </c>
      <c r="CO245" s="202" t="str">
        <f t="shared" si="793"/>
        <v/>
      </c>
      <c r="CP245" s="202" t="str">
        <f t="shared" si="793"/>
        <v/>
      </c>
      <c r="CQ245" s="202" t="str">
        <f t="shared" si="793"/>
        <v/>
      </c>
      <c r="CR245" s="202" t="str">
        <f t="shared" si="793"/>
        <v/>
      </c>
      <c r="CS245" s="202" t="str">
        <f t="shared" si="793"/>
        <v/>
      </c>
      <c r="CT245" s="202" t="str">
        <f t="shared" si="793"/>
        <v/>
      </c>
      <c r="CU245" s="202" t="str">
        <f t="shared" si="793"/>
        <v/>
      </c>
      <c r="CV245" s="202" t="str">
        <f t="shared" si="793"/>
        <v/>
      </c>
      <c r="CW245" s="202" t="str">
        <f t="shared" si="793"/>
        <v/>
      </c>
      <c r="CX245" s="202" t="str">
        <f t="shared" si="793"/>
        <v/>
      </c>
      <c r="CY245" s="202" t="str">
        <f t="shared" si="793"/>
        <v/>
      </c>
      <c r="CZ245" s="202" t="str">
        <f t="shared" si="793"/>
        <v/>
      </c>
      <c r="DA245" s="202" t="str">
        <f t="shared" si="793"/>
        <v/>
      </c>
      <c r="DB245" s="202" t="str">
        <f t="shared" si="793"/>
        <v/>
      </c>
      <c r="DC245" s="202" t="str">
        <f t="shared" si="793"/>
        <v/>
      </c>
      <c r="DD245" s="202" t="str">
        <f t="shared" ref="DD245:EN245" si="794">IF(DD$227="","",-DD229+DD240)</f>
        <v/>
      </c>
      <c r="DE245" s="202" t="str">
        <f t="shared" si="794"/>
        <v/>
      </c>
      <c r="DF245" s="202" t="str">
        <f t="shared" si="794"/>
        <v/>
      </c>
      <c r="DG245" s="202" t="str">
        <f t="shared" si="794"/>
        <v/>
      </c>
      <c r="DH245" s="202" t="str">
        <f t="shared" si="794"/>
        <v/>
      </c>
      <c r="DI245" s="202" t="str">
        <f t="shared" si="794"/>
        <v/>
      </c>
      <c r="DJ245" s="202" t="str">
        <f t="shared" si="794"/>
        <v/>
      </c>
      <c r="DK245" s="202" t="str">
        <f t="shared" si="794"/>
        <v/>
      </c>
      <c r="DL245" s="202" t="str">
        <f t="shared" si="794"/>
        <v/>
      </c>
      <c r="DM245" s="202" t="str">
        <f t="shared" si="794"/>
        <v/>
      </c>
      <c r="DN245" s="202" t="str">
        <f t="shared" si="794"/>
        <v/>
      </c>
      <c r="DO245" s="202" t="str">
        <f t="shared" si="794"/>
        <v/>
      </c>
      <c r="DP245" s="202" t="str">
        <f t="shared" si="794"/>
        <v/>
      </c>
      <c r="DQ245" s="202" t="str">
        <f t="shared" si="794"/>
        <v/>
      </c>
      <c r="DR245" s="202" t="str">
        <f t="shared" si="794"/>
        <v/>
      </c>
      <c r="DS245" s="202" t="str">
        <f t="shared" si="794"/>
        <v/>
      </c>
      <c r="DT245" s="202" t="str">
        <f t="shared" si="794"/>
        <v/>
      </c>
      <c r="DU245" s="202" t="str">
        <f t="shared" si="794"/>
        <v/>
      </c>
      <c r="DV245" s="202" t="str">
        <f t="shared" si="794"/>
        <v/>
      </c>
      <c r="DW245" s="202" t="str">
        <f t="shared" si="794"/>
        <v/>
      </c>
      <c r="DX245" s="202" t="str">
        <f t="shared" si="794"/>
        <v/>
      </c>
      <c r="DY245" s="202" t="str">
        <f t="shared" si="794"/>
        <v/>
      </c>
      <c r="DZ245" s="202" t="str">
        <f t="shared" si="794"/>
        <v/>
      </c>
      <c r="EA245" s="202" t="str">
        <f t="shared" si="794"/>
        <v/>
      </c>
      <c r="EB245" s="202" t="str">
        <f t="shared" si="794"/>
        <v/>
      </c>
      <c r="EC245" s="202" t="str">
        <f t="shared" si="794"/>
        <v/>
      </c>
      <c r="ED245" s="202" t="str">
        <f t="shared" si="794"/>
        <v/>
      </c>
      <c r="EE245" s="202" t="str">
        <f t="shared" si="794"/>
        <v/>
      </c>
      <c r="EF245" s="202" t="str">
        <f t="shared" si="794"/>
        <v/>
      </c>
      <c r="EG245" s="202" t="str">
        <f t="shared" si="794"/>
        <v/>
      </c>
      <c r="EH245" s="202" t="str">
        <f t="shared" si="794"/>
        <v/>
      </c>
      <c r="EI245" s="202" t="str">
        <f t="shared" si="794"/>
        <v/>
      </c>
      <c r="EJ245" s="202" t="str">
        <f t="shared" si="794"/>
        <v/>
      </c>
      <c r="EK245" s="202" t="str">
        <f t="shared" si="794"/>
        <v/>
      </c>
      <c r="EL245" s="202" t="str">
        <f t="shared" si="794"/>
        <v/>
      </c>
      <c r="EM245" s="202" t="str">
        <f t="shared" si="794"/>
        <v/>
      </c>
      <c r="EN245" s="202" t="str">
        <f t="shared" si="794"/>
        <v/>
      </c>
      <c r="EO245"/>
      <c r="EP245" s="405"/>
      <c r="EQ245" s="18"/>
      <c r="ER245" s="18"/>
      <c r="ES245" s="18"/>
      <c r="ET245" s="18" t="s">
        <v>403</v>
      </c>
      <c r="EU245" s="18"/>
      <c r="EV245" s="418">
        <f>+EV244+EV241</f>
        <v>0</v>
      </c>
      <c r="EW245" s="418">
        <f t="shared" ref="EW245:HH245" si="795">+EW244+EW241</f>
        <v>0</v>
      </c>
      <c r="EX245" s="418">
        <f t="shared" si="795"/>
        <v>0</v>
      </c>
      <c r="EY245" s="418">
        <f t="shared" si="795"/>
        <v>0</v>
      </c>
      <c r="EZ245" s="418">
        <f t="shared" si="795"/>
        <v>0</v>
      </c>
      <c r="FA245" s="418">
        <f t="shared" si="795"/>
        <v>0</v>
      </c>
      <c r="FB245" s="418">
        <f t="shared" si="795"/>
        <v>0</v>
      </c>
      <c r="FC245" s="418">
        <f t="shared" si="795"/>
        <v>0</v>
      </c>
      <c r="FD245" s="418">
        <f t="shared" si="795"/>
        <v>0</v>
      </c>
      <c r="FE245" s="418">
        <f t="shared" si="795"/>
        <v>0</v>
      </c>
      <c r="FF245" s="418">
        <f t="shared" si="795"/>
        <v>0</v>
      </c>
      <c r="FG245" s="418">
        <f t="shared" si="795"/>
        <v>0</v>
      </c>
      <c r="FH245" s="418">
        <f t="shared" si="795"/>
        <v>0</v>
      </c>
      <c r="FI245" s="418">
        <f t="shared" si="795"/>
        <v>0</v>
      </c>
      <c r="FJ245" s="418">
        <f t="shared" si="795"/>
        <v>0</v>
      </c>
      <c r="FK245" s="418">
        <f t="shared" si="795"/>
        <v>0</v>
      </c>
      <c r="FL245" s="418">
        <f t="shared" si="795"/>
        <v>0</v>
      </c>
      <c r="FM245" s="418">
        <f t="shared" si="795"/>
        <v>0</v>
      </c>
      <c r="FN245" s="418">
        <f t="shared" si="795"/>
        <v>0</v>
      </c>
      <c r="FO245" s="418">
        <f t="shared" si="795"/>
        <v>0</v>
      </c>
      <c r="FP245" s="418">
        <f t="shared" si="795"/>
        <v>0</v>
      </c>
      <c r="FQ245" s="418">
        <f t="shared" si="795"/>
        <v>0</v>
      </c>
      <c r="FR245" s="418">
        <f t="shared" si="795"/>
        <v>0</v>
      </c>
      <c r="FS245" s="418">
        <f t="shared" si="795"/>
        <v>0</v>
      </c>
      <c r="FT245" s="418">
        <f t="shared" si="795"/>
        <v>0</v>
      </c>
      <c r="FU245" s="418">
        <f t="shared" si="795"/>
        <v>0</v>
      </c>
      <c r="FV245" s="418">
        <f t="shared" si="795"/>
        <v>0</v>
      </c>
      <c r="FW245" s="418">
        <f t="shared" si="795"/>
        <v>0</v>
      </c>
      <c r="FX245" s="418">
        <f t="shared" si="795"/>
        <v>0</v>
      </c>
      <c r="FY245" s="418">
        <f t="shared" si="795"/>
        <v>0</v>
      </c>
      <c r="FZ245" s="418">
        <f t="shared" si="795"/>
        <v>0</v>
      </c>
      <c r="GA245" s="418">
        <f t="shared" si="795"/>
        <v>0</v>
      </c>
      <c r="GB245" s="418">
        <f t="shared" si="795"/>
        <v>0</v>
      </c>
      <c r="GC245" s="418">
        <f t="shared" si="795"/>
        <v>0</v>
      </c>
      <c r="GD245" s="418">
        <f t="shared" si="795"/>
        <v>0</v>
      </c>
      <c r="GE245" s="418">
        <f t="shared" si="795"/>
        <v>0</v>
      </c>
      <c r="GF245" s="418">
        <f t="shared" si="795"/>
        <v>0</v>
      </c>
      <c r="GG245" s="418">
        <f t="shared" si="795"/>
        <v>0</v>
      </c>
      <c r="GH245" s="418">
        <f t="shared" si="795"/>
        <v>0</v>
      </c>
      <c r="GI245" s="418">
        <f t="shared" si="795"/>
        <v>0</v>
      </c>
      <c r="GJ245" s="418">
        <f t="shared" si="795"/>
        <v>0</v>
      </c>
      <c r="GK245" s="418">
        <f t="shared" si="795"/>
        <v>0</v>
      </c>
      <c r="GL245" s="418">
        <f t="shared" si="795"/>
        <v>0</v>
      </c>
      <c r="GM245" s="418">
        <f t="shared" si="795"/>
        <v>0</v>
      </c>
      <c r="GN245" s="418">
        <f t="shared" si="795"/>
        <v>0</v>
      </c>
      <c r="GO245" s="418">
        <f t="shared" si="795"/>
        <v>0</v>
      </c>
      <c r="GP245" s="418">
        <f t="shared" si="795"/>
        <v>0</v>
      </c>
      <c r="GQ245" s="418">
        <f t="shared" si="795"/>
        <v>0</v>
      </c>
      <c r="GR245" s="418">
        <f t="shared" si="795"/>
        <v>0</v>
      </c>
      <c r="GS245" s="418">
        <f t="shared" si="795"/>
        <v>0</v>
      </c>
      <c r="GT245" s="418">
        <f t="shared" si="795"/>
        <v>0</v>
      </c>
      <c r="GU245" s="418">
        <f t="shared" si="795"/>
        <v>0</v>
      </c>
      <c r="GV245" s="418">
        <f t="shared" si="795"/>
        <v>0</v>
      </c>
      <c r="GW245" s="418">
        <f t="shared" si="795"/>
        <v>0</v>
      </c>
      <c r="GX245" s="418">
        <f t="shared" si="795"/>
        <v>0</v>
      </c>
      <c r="GY245" s="418">
        <f t="shared" si="795"/>
        <v>0</v>
      </c>
      <c r="GZ245" s="418">
        <f t="shared" si="795"/>
        <v>0</v>
      </c>
      <c r="HA245" s="418">
        <f t="shared" si="795"/>
        <v>0</v>
      </c>
      <c r="HB245" s="418">
        <f t="shared" si="795"/>
        <v>0</v>
      </c>
      <c r="HC245" s="418">
        <f t="shared" si="795"/>
        <v>0</v>
      </c>
      <c r="HD245" s="418">
        <f t="shared" si="795"/>
        <v>0</v>
      </c>
      <c r="HE245" s="418">
        <f t="shared" si="795"/>
        <v>0</v>
      </c>
      <c r="HF245" s="418">
        <f t="shared" si="795"/>
        <v>0</v>
      </c>
      <c r="HG245" s="418">
        <f t="shared" si="795"/>
        <v>0</v>
      </c>
      <c r="HH245" s="418">
        <f t="shared" si="795"/>
        <v>0</v>
      </c>
      <c r="HI245" s="418">
        <f t="shared" ref="HI245:JT245" si="796">+HI244+HI241</f>
        <v>0</v>
      </c>
      <c r="HJ245" s="418">
        <f t="shared" si="796"/>
        <v>0</v>
      </c>
      <c r="HK245" s="418">
        <f t="shared" si="796"/>
        <v>0</v>
      </c>
      <c r="HL245" s="418">
        <f t="shared" si="796"/>
        <v>0</v>
      </c>
      <c r="HM245" s="418">
        <f t="shared" si="796"/>
        <v>0</v>
      </c>
      <c r="HN245" s="418">
        <f t="shared" si="796"/>
        <v>0</v>
      </c>
      <c r="HO245" s="418">
        <f t="shared" si="796"/>
        <v>0</v>
      </c>
      <c r="HP245" s="418">
        <f t="shared" si="796"/>
        <v>0</v>
      </c>
      <c r="HQ245" s="418">
        <f t="shared" si="796"/>
        <v>0</v>
      </c>
      <c r="HR245" s="418">
        <f t="shared" si="796"/>
        <v>0</v>
      </c>
      <c r="HS245" s="418">
        <f t="shared" si="796"/>
        <v>0</v>
      </c>
      <c r="HT245" s="418">
        <f t="shared" si="796"/>
        <v>0</v>
      </c>
      <c r="HU245" s="418">
        <f t="shared" si="796"/>
        <v>0</v>
      </c>
      <c r="HV245" s="418">
        <f t="shared" si="796"/>
        <v>0</v>
      </c>
      <c r="HW245" s="418">
        <f t="shared" si="796"/>
        <v>0</v>
      </c>
      <c r="HX245" s="418">
        <f t="shared" si="796"/>
        <v>0</v>
      </c>
      <c r="HY245" s="418">
        <f t="shared" si="796"/>
        <v>0</v>
      </c>
      <c r="HZ245" s="418">
        <f t="shared" si="796"/>
        <v>0</v>
      </c>
      <c r="IA245" s="418">
        <f t="shared" si="796"/>
        <v>0</v>
      </c>
      <c r="IB245" s="418">
        <f t="shared" si="796"/>
        <v>0</v>
      </c>
      <c r="IC245" s="418">
        <f t="shared" si="796"/>
        <v>0</v>
      </c>
      <c r="ID245" s="418">
        <f t="shared" si="796"/>
        <v>0</v>
      </c>
      <c r="IE245" s="418">
        <f t="shared" si="796"/>
        <v>0</v>
      </c>
      <c r="IF245" s="418">
        <f t="shared" si="796"/>
        <v>0</v>
      </c>
      <c r="IG245" s="418">
        <f t="shared" si="796"/>
        <v>0</v>
      </c>
      <c r="IH245" s="418">
        <f t="shared" si="796"/>
        <v>0</v>
      </c>
      <c r="II245" s="418">
        <f t="shared" si="796"/>
        <v>0</v>
      </c>
      <c r="IJ245" s="418">
        <f t="shared" si="796"/>
        <v>0</v>
      </c>
      <c r="IK245" s="418">
        <f t="shared" si="796"/>
        <v>0</v>
      </c>
      <c r="IL245" s="418">
        <f t="shared" si="796"/>
        <v>0</v>
      </c>
      <c r="IM245" s="418">
        <f t="shared" si="796"/>
        <v>0</v>
      </c>
      <c r="IN245" s="418">
        <f t="shared" si="796"/>
        <v>0</v>
      </c>
      <c r="IO245" s="418">
        <f t="shared" si="796"/>
        <v>0</v>
      </c>
      <c r="IP245" s="418">
        <f t="shared" si="796"/>
        <v>0</v>
      </c>
      <c r="IQ245" s="418">
        <f t="shared" si="796"/>
        <v>0</v>
      </c>
      <c r="IR245" s="418">
        <f t="shared" si="796"/>
        <v>0</v>
      </c>
      <c r="IS245" s="418">
        <f t="shared" si="796"/>
        <v>0</v>
      </c>
      <c r="IT245" s="418">
        <f t="shared" si="796"/>
        <v>0</v>
      </c>
      <c r="IU245" s="418">
        <f t="shared" si="796"/>
        <v>0</v>
      </c>
      <c r="IV245" s="418">
        <f t="shared" si="796"/>
        <v>0</v>
      </c>
      <c r="IW245" s="418">
        <f t="shared" si="796"/>
        <v>0</v>
      </c>
      <c r="IX245" s="418">
        <f t="shared" si="796"/>
        <v>0</v>
      </c>
      <c r="IY245" s="418">
        <f t="shared" si="796"/>
        <v>0</v>
      </c>
      <c r="IZ245" s="418">
        <f t="shared" si="796"/>
        <v>0</v>
      </c>
      <c r="JA245" s="418">
        <f t="shared" si="796"/>
        <v>0</v>
      </c>
      <c r="JB245" s="418">
        <f t="shared" si="796"/>
        <v>0</v>
      </c>
      <c r="JC245" s="418">
        <f t="shared" si="796"/>
        <v>0</v>
      </c>
      <c r="JD245" s="418">
        <f t="shared" si="796"/>
        <v>0</v>
      </c>
      <c r="JE245" s="418">
        <f t="shared" si="796"/>
        <v>0</v>
      </c>
      <c r="JF245" s="418">
        <f t="shared" si="796"/>
        <v>0</v>
      </c>
      <c r="JG245" s="418">
        <f t="shared" si="796"/>
        <v>0</v>
      </c>
      <c r="JH245" s="418">
        <f t="shared" si="796"/>
        <v>0</v>
      </c>
      <c r="JI245" s="418">
        <f t="shared" si="796"/>
        <v>0</v>
      </c>
      <c r="JJ245" s="418">
        <f t="shared" si="796"/>
        <v>0</v>
      </c>
      <c r="JK245" s="418">
        <f t="shared" si="796"/>
        <v>0</v>
      </c>
      <c r="JL245" s="418">
        <f t="shared" si="796"/>
        <v>0</v>
      </c>
      <c r="JM245" s="418">
        <f t="shared" si="796"/>
        <v>0</v>
      </c>
      <c r="JN245" s="418">
        <f t="shared" si="796"/>
        <v>0</v>
      </c>
      <c r="JO245" s="418">
        <f t="shared" si="796"/>
        <v>0</v>
      </c>
      <c r="JP245" s="418">
        <f t="shared" si="796"/>
        <v>0</v>
      </c>
      <c r="JQ245" s="418">
        <f t="shared" si="796"/>
        <v>0</v>
      </c>
      <c r="JR245" s="418">
        <f t="shared" si="796"/>
        <v>0</v>
      </c>
      <c r="JS245" s="418">
        <f t="shared" si="796"/>
        <v>0</v>
      </c>
      <c r="JT245" s="418">
        <f t="shared" si="796"/>
        <v>0</v>
      </c>
      <c r="JU245" s="418">
        <f>+JU244+JU241</f>
        <v>0</v>
      </c>
      <c r="JV245" s="418">
        <f>+JV244+JV241</f>
        <v>0</v>
      </c>
      <c r="JW245" s="418">
        <f>+JW244+JW241</f>
        <v>0</v>
      </c>
      <c r="JX245" s="418">
        <f>+JX244+JX241</f>
        <v>0</v>
      </c>
      <c r="JY245"/>
      <c r="JZ245" s="262"/>
      <c r="KA245" s="262"/>
      <c r="KB245" s="262"/>
      <c r="KC245" s="262"/>
      <c r="KD245" s="262"/>
      <c r="KE245" s="262"/>
      <c r="KF245" s="262"/>
      <c r="KG245" s="262"/>
      <c r="KH245" s="262"/>
      <c r="KI245" s="262"/>
      <c r="KJ245" s="262"/>
      <c r="KK245" s="262"/>
      <c r="KL245" s="262"/>
      <c r="KM245" s="262"/>
      <c r="KN245" s="262"/>
      <c r="KO245" s="262"/>
      <c r="KP245" s="262"/>
      <c r="KQ245" s="262"/>
      <c r="KR245" s="262"/>
      <c r="KS245" s="262"/>
      <c r="KT245" s="262"/>
      <c r="KU245" s="262"/>
      <c r="KV245" s="262"/>
      <c r="KW245" s="262"/>
      <c r="KX245" s="262"/>
      <c r="KY245" s="262"/>
      <c r="KZ245" s="262"/>
      <c r="LA245" s="262"/>
      <c r="LB245" s="262"/>
      <c r="LC245" s="262"/>
      <c r="LD245" s="262"/>
      <c r="LE245" s="262"/>
      <c r="LF245" s="262"/>
      <c r="LG245" s="262"/>
      <c r="LH245" s="262"/>
      <c r="LI245" s="262"/>
      <c r="LJ245" s="262"/>
      <c r="LK245" s="262"/>
      <c r="LL245" s="262"/>
      <c r="LM245" s="262"/>
      <c r="LN245" s="262"/>
      <c r="LO245" s="262"/>
      <c r="LP245" s="262"/>
      <c r="LQ245" s="262"/>
      <c r="LR245" s="262"/>
      <c r="LS245" s="262"/>
      <c r="LT245" s="262"/>
      <c r="LU245" s="262"/>
      <c r="LV245" s="262"/>
      <c r="LW245" s="262"/>
      <c r="LX245" s="262"/>
      <c r="LY245" s="262"/>
      <c r="LZ245" s="262"/>
      <c r="MA245" s="262"/>
      <c r="MB245" s="262"/>
      <c r="MC245" s="262"/>
      <c r="MD245" s="262"/>
      <c r="ME245" s="262"/>
      <c r="MF245" s="262"/>
      <c r="MG245" s="262"/>
      <c r="MH245" s="262"/>
      <c r="MI245" s="262"/>
      <c r="MJ245" s="262"/>
      <c r="MK245" s="262"/>
      <c r="ML245" s="262"/>
      <c r="MM245" s="262"/>
      <c r="MN245" s="262"/>
      <c r="MO245" s="262"/>
      <c r="MP245" s="262"/>
      <c r="MQ245" s="262"/>
      <c r="MR245" s="262"/>
      <c r="MS245" s="262"/>
      <c r="MT245" s="262"/>
      <c r="MU245" s="262"/>
      <c r="MV245" s="262"/>
      <c r="MW245" s="262"/>
      <c r="MX245" s="262"/>
      <c r="MY245" s="262"/>
      <c r="MZ245" s="262"/>
      <c r="NA245" s="262"/>
      <c r="NB245" s="262"/>
      <c r="NC245" s="262"/>
      <c r="ND245" s="262"/>
      <c r="NE245" s="262"/>
      <c r="NF245" s="262"/>
      <c r="NG245" s="262"/>
      <c r="NH245" s="262"/>
      <c r="NI245" s="262"/>
      <c r="NJ245" s="262"/>
      <c r="NK245" s="262"/>
      <c r="NL245" s="262"/>
      <c r="NM245" s="262"/>
      <c r="NN245" s="262"/>
      <c r="NO245" s="262"/>
      <c r="NP245" s="262"/>
      <c r="NQ245" s="262"/>
      <c r="NR245" s="262"/>
      <c r="NS245" s="262"/>
      <c r="NT245" s="262"/>
      <c r="NU245" s="262"/>
      <c r="NV245" s="262"/>
      <c r="NW245" s="262"/>
      <c r="NX245" s="262"/>
      <c r="NY245" s="262"/>
      <c r="NZ245" s="262"/>
      <c r="OA245" s="262"/>
      <c r="OB245" s="262"/>
      <c r="OC245" s="262"/>
      <c r="OD245" s="262"/>
      <c r="OE245" s="262"/>
      <c r="OF245" s="262"/>
      <c r="OG245" s="262"/>
      <c r="OH245" s="262"/>
      <c r="OI245" s="262"/>
      <c r="OJ245" s="262"/>
      <c r="OK245" s="262"/>
      <c r="OL245" s="262"/>
      <c r="OM245" s="262"/>
      <c r="ON245" s="262"/>
      <c r="OO245" s="262"/>
      <c r="OP245" s="262"/>
      <c r="OQ245" s="262"/>
      <c r="OR245" s="262"/>
      <c r="OS245" s="262"/>
      <c r="OT245" s="262"/>
      <c r="OU245" s="262"/>
      <c r="OV245" s="262"/>
      <c r="OW245" s="262"/>
      <c r="OX245" s="262"/>
      <c r="OY245" s="262"/>
      <c r="OZ245" s="262"/>
      <c r="PA245" s="262"/>
      <c r="PB245" s="262"/>
      <c r="PC245" s="262"/>
      <c r="PD245" s="262"/>
      <c r="PE245" s="262"/>
      <c r="PF245" s="262"/>
      <c r="PG245" s="262"/>
      <c r="PH245" s="262"/>
    </row>
    <row r="246" spans="1:424" x14ac:dyDescent="0.35">
      <c r="A246"/>
      <c r="B246" s="551" t="s">
        <v>158</v>
      </c>
      <c r="C246" s="552"/>
      <c r="D246" s="552"/>
      <c r="E246" s="552"/>
      <c r="F246" s="553">
        <f>IFERROR(SUMIF($M246:$BU246,"&gt;0",$M246:$BU246)/-SUMIF($M246:$BU246,"&lt;0",$M246:$BU246),0)</f>
        <v>3.6516197698477049</v>
      </c>
      <c r="G246" s="89">
        <f>IFERROR(XIRR($M246:$BU246,$M$195:$BU$195,2%),0)</f>
        <v>4.7683715820312501E-9</v>
      </c>
      <c r="H246" s="554">
        <f>IF($I$246=0,0,I246/$I$246)</f>
        <v>1</v>
      </c>
      <c r="I246" s="555">
        <f>SUM(I244:I245)</f>
        <v>300946221.77460557</v>
      </c>
      <c r="J246" s="539"/>
      <c r="K246" s="540"/>
      <c r="L246" s="556">
        <f t="shared" ref="L246:AQ246" si="797">IF(L$227="","",SUM(L244:L245))</f>
        <v>-76389582.872717112</v>
      </c>
      <c r="M246" s="556">
        <f t="shared" si="797"/>
        <v>70562.268970067496</v>
      </c>
      <c r="N246" s="556">
        <f t="shared" si="797"/>
        <v>0</v>
      </c>
      <c r="O246" s="556">
        <f t="shared" si="797"/>
        <v>52683.47823085892</v>
      </c>
      <c r="P246" s="556">
        <f t="shared" si="797"/>
        <v>73917.592887241393</v>
      </c>
      <c r="Q246" s="556">
        <f t="shared" si="797"/>
        <v>100597.62539995834</v>
      </c>
      <c r="R246" s="556">
        <f t="shared" si="797"/>
        <v>132711.21484693745</v>
      </c>
      <c r="S246" s="556">
        <f t="shared" si="797"/>
        <v>169571.13126643002</v>
      </c>
      <c r="T246" s="556">
        <f t="shared" si="797"/>
        <v>209638.92700129561</v>
      </c>
      <c r="U246" s="556">
        <f t="shared" si="797"/>
        <v>250432.28312832303</v>
      </c>
      <c r="V246" s="556">
        <f t="shared" si="797"/>
        <v>288567.01646289043</v>
      </c>
      <c r="W246" s="556">
        <f t="shared" si="797"/>
        <v>319971.35631248169</v>
      </c>
      <c r="X246" s="556">
        <f t="shared" si="797"/>
        <v>340282.33397308737</v>
      </c>
      <c r="Y246" s="556">
        <f t="shared" si="797"/>
        <v>-1932832.6541841328</v>
      </c>
      <c r="Z246" s="556">
        <f t="shared" si="797"/>
        <v>-9018148.7201975472</v>
      </c>
      <c r="AA246" s="556">
        <f t="shared" si="797"/>
        <v>-9899906.2401258312</v>
      </c>
      <c r="AB246" s="556">
        <f t="shared" si="797"/>
        <v>-10594941.16352598</v>
      </c>
      <c r="AC246" s="556">
        <f t="shared" si="797"/>
        <v>-11168623.014029484</v>
      </c>
      <c r="AD246" s="556">
        <f t="shared" si="797"/>
        <v>-11476435.484353572</v>
      </c>
      <c r="AE246" s="556">
        <f t="shared" si="797"/>
        <v>-11500747.807484064</v>
      </c>
      <c r="AF246" s="556">
        <f t="shared" si="797"/>
        <v>-11200802.193184778</v>
      </c>
      <c r="AG246" s="556">
        <f t="shared" si="797"/>
        <v>-10560401.808855567</v>
      </c>
      <c r="AH246" s="556">
        <f t="shared" si="797"/>
        <v>-9007015.4887131397</v>
      </c>
      <c r="AI246" s="556">
        <f t="shared" si="797"/>
        <v>-8037972.8637852902</v>
      </c>
      <c r="AJ246" s="556">
        <f t="shared" si="797"/>
        <v>-7003744.5955059687</v>
      </c>
      <c r="AK246" s="556">
        <f t="shared" si="797"/>
        <v>-5750851.2834514072</v>
      </c>
      <c r="AL246" s="556">
        <f t="shared" si="797"/>
        <v>-4766158.5265351916</v>
      </c>
      <c r="AM246" s="556">
        <f t="shared" si="797"/>
        <v>-3873205.3960134638</v>
      </c>
      <c r="AN246" s="556">
        <f t="shared" si="797"/>
        <v>-2923275.520515983</v>
      </c>
      <c r="AO246" s="556">
        <f t="shared" si="797"/>
        <v>-2276010.0856580529</v>
      </c>
      <c r="AP246" s="556">
        <f t="shared" si="797"/>
        <v>-2650739.4435757259</v>
      </c>
      <c r="AQ246" s="556">
        <f t="shared" si="797"/>
        <v>-2596004.2703655614</v>
      </c>
      <c r="AR246" s="556">
        <f t="shared" ref="AR246:BW246" si="798">IF(AR$227="","",SUM(AR244:AR245))</f>
        <v>-1937292.4101016719</v>
      </c>
      <c r="AS246" s="556">
        <f t="shared" si="798"/>
        <v>-1455784.2709663643</v>
      </c>
      <c r="AT246" s="556">
        <f t="shared" si="798"/>
        <v>-1083442.3940526801</v>
      </c>
      <c r="AU246" s="556">
        <f t="shared" si="798"/>
        <v>-852358.66986050736</v>
      </c>
      <c r="AV246" s="556">
        <f t="shared" si="798"/>
        <v>-701328.93346127542</v>
      </c>
      <c r="AW246" s="556">
        <f t="shared" si="798"/>
        <v>-35865.47816403769</v>
      </c>
      <c r="AX246" s="556">
        <f t="shared" si="798"/>
        <v>164230.6805146893</v>
      </c>
      <c r="AY246" s="556">
        <f t="shared" si="798"/>
        <v>364286.76529399911</v>
      </c>
      <c r="AZ246" s="556">
        <f t="shared" si="798"/>
        <v>572380.13607966923</v>
      </c>
      <c r="BA246" s="556">
        <f t="shared" si="798"/>
        <v>773016.00189663284</v>
      </c>
      <c r="BB246" s="556">
        <f t="shared" si="798"/>
        <v>973611.13907960732</v>
      </c>
      <c r="BC246" s="556">
        <f t="shared" si="798"/>
        <v>1179706.9936818241</v>
      </c>
      <c r="BD246" s="212">
        <f t="shared" si="798"/>
        <v>1380220.010561527</v>
      </c>
      <c r="BE246" s="212">
        <f t="shared" si="798"/>
        <v>1580691.6333754973</v>
      </c>
      <c r="BF246" s="212">
        <f t="shared" si="798"/>
        <v>1807345.3879058782</v>
      </c>
      <c r="BG246" s="212">
        <f t="shared" si="798"/>
        <v>2007733.5487203011</v>
      </c>
      <c r="BH246" s="212">
        <f t="shared" si="798"/>
        <v>2208079.6391653027</v>
      </c>
      <c r="BI246" s="212">
        <f t="shared" si="798"/>
        <v>2479277.8516667918</v>
      </c>
      <c r="BJ246" s="212">
        <f t="shared" si="798"/>
        <v>2471384.1182492906</v>
      </c>
      <c r="BK246" s="212">
        <f t="shared" si="798"/>
        <v>2463447.6271091113</v>
      </c>
      <c r="BL246" s="212">
        <f t="shared" si="798"/>
        <v>2461777.3341419231</v>
      </c>
      <c r="BM246" s="212">
        <f t="shared" si="798"/>
        <v>2453754.6314888708</v>
      </c>
      <c r="BN246" s="212">
        <f t="shared" si="798"/>
        <v>2445688.4725297811</v>
      </c>
      <c r="BO246" s="212">
        <f t="shared" si="798"/>
        <v>2443314.2468763296</v>
      </c>
      <c r="BP246" s="212">
        <f t="shared" si="798"/>
        <v>2435160.4678651718</v>
      </c>
      <c r="BQ246" s="212">
        <f t="shared" si="798"/>
        <v>2426962.5225510374</v>
      </c>
      <c r="BR246" s="212">
        <f t="shared" si="798"/>
        <v>2445861.752949785</v>
      </c>
      <c r="BS246" s="212">
        <f t="shared" si="798"/>
        <v>2437574.756031421</v>
      </c>
      <c r="BT246" s="212">
        <f t="shared" si="798"/>
        <v>2429242.8712130822</v>
      </c>
      <c r="BU246" s="212">
        <f t="shared" si="798"/>
        <v>475226009.54656303</v>
      </c>
      <c r="BV246" s="212" t="str">
        <f t="shared" si="798"/>
        <v/>
      </c>
      <c r="BW246" s="212" t="str">
        <f t="shared" si="798"/>
        <v/>
      </c>
      <c r="BX246" s="212" t="str">
        <f t="shared" ref="BX246:DC246" si="799">IF(BX$227="","",SUM(BX244:BX245))</f>
        <v/>
      </c>
      <c r="BY246" s="212" t="str">
        <f t="shared" si="799"/>
        <v/>
      </c>
      <c r="BZ246" s="212" t="str">
        <f t="shared" si="799"/>
        <v/>
      </c>
      <c r="CA246" s="212" t="str">
        <f t="shared" si="799"/>
        <v/>
      </c>
      <c r="CB246" s="212" t="str">
        <f t="shared" si="799"/>
        <v/>
      </c>
      <c r="CC246" s="212" t="str">
        <f t="shared" si="799"/>
        <v/>
      </c>
      <c r="CD246" s="212" t="str">
        <f t="shared" si="799"/>
        <v/>
      </c>
      <c r="CE246" s="212" t="str">
        <f t="shared" si="799"/>
        <v/>
      </c>
      <c r="CF246" s="212" t="str">
        <f t="shared" si="799"/>
        <v/>
      </c>
      <c r="CG246" s="212" t="str">
        <f t="shared" si="799"/>
        <v/>
      </c>
      <c r="CH246" s="212" t="str">
        <f t="shared" si="799"/>
        <v/>
      </c>
      <c r="CI246" s="212" t="str">
        <f t="shared" si="799"/>
        <v/>
      </c>
      <c r="CJ246" s="212" t="str">
        <f t="shared" si="799"/>
        <v/>
      </c>
      <c r="CK246" s="212" t="str">
        <f t="shared" si="799"/>
        <v/>
      </c>
      <c r="CL246" s="212" t="str">
        <f t="shared" si="799"/>
        <v/>
      </c>
      <c r="CM246" s="212" t="str">
        <f t="shared" si="799"/>
        <v/>
      </c>
      <c r="CN246" s="212" t="str">
        <f t="shared" si="799"/>
        <v/>
      </c>
      <c r="CO246" s="212" t="str">
        <f t="shared" si="799"/>
        <v/>
      </c>
      <c r="CP246" s="212" t="str">
        <f t="shared" si="799"/>
        <v/>
      </c>
      <c r="CQ246" s="212" t="str">
        <f t="shared" si="799"/>
        <v/>
      </c>
      <c r="CR246" s="212" t="str">
        <f t="shared" si="799"/>
        <v/>
      </c>
      <c r="CS246" s="212" t="str">
        <f t="shared" si="799"/>
        <v/>
      </c>
      <c r="CT246" s="212" t="str">
        <f t="shared" si="799"/>
        <v/>
      </c>
      <c r="CU246" s="212" t="str">
        <f t="shared" si="799"/>
        <v/>
      </c>
      <c r="CV246" s="212" t="str">
        <f t="shared" si="799"/>
        <v/>
      </c>
      <c r="CW246" s="212" t="str">
        <f t="shared" si="799"/>
        <v/>
      </c>
      <c r="CX246" s="212" t="str">
        <f t="shared" si="799"/>
        <v/>
      </c>
      <c r="CY246" s="212" t="str">
        <f t="shared" si="799"/>
        <v/>
      </c>
      <c r="CZ246" s="212" t="str">
        <f t="shared" si="799"/>
        <v/>
      </c>
      <c r="DA246" s="212" t="str">
        <f t="shared" si="799"/>
        <v/>
      </c>
      <c r="DB246" s="212" t="str">
        <f t="shared" si="799"/>
        <v/>
      </c>
      <c r="DC246" s="212" t="str">
        <f t="shared" si="799"/>
        <v/>
      </c>
      <c r="DD246" s="212" t="str">
        <f t="shared" ref="DD246:EI246" si="800">IF(DD$227="","",SUM(DD244:DD245))</f>
        <v/>
      </c>
      <c r="DE246" s="212" t="str">
        <f t="shared" si="800"/>
        <v/>
      </c>
      <c r="DF246" s="212" t="str">
        <f t="shared" si="800"/>
        <v/>
      </c>
      <c r="DG246" s="212" t="str">
        <f t="shared" si="800"/>
        <v/>
      </c>
      <c r="DH246" s="212" t="str">
        <f t="shared" si="800"/>
        <v/>
      </c>
      <c r="DI246" s="212" t="str">
        <f t="shared" si="800"/>
        <v/>
      </c>
      <c r="DJ246" s="212" t="str">
        <f t="shared" si="800"/>
        <v/>
      </c>
      <c r="DK246" s="212" t="str">
        <f t="shared" si="800"/>
        <v/>
      </c>
      <c r="DL246" s="212" t="str">
        <f t="shared" si="800"/>
        <v/>
      </c>
      <c r="DM246" s="212" t="str">
        <f t="shared" si="800"/>
        <v/>
      </c>
      <c r="DN246" s="212" t="str">
        <f t="shared" si="800"/>
        <v/>
      </c>
      <c r="DO246" s="212" t="str">
        <f t="shared" si="800"/>
        <v/>
      </c>
      <c r="DP246" s="212" t="str">
        <f t="shared" si="800"/>
        <v/>
      </c>
      <c r="DQ246" s="212" t="str">
        <f t="shared" si="800"/>
        <v/>
      </c>
      <c r="DR246" s="212" t="str">
        <f t="shared" si="800"/>
        <v/>
      </c>
      <c r="DS246" s="212" t="str">
        <f t="shared" si="800"/>
        <v/>
      </c>
      <c r="DT246" s="212" t="str">
        <f t="shared" si="800"/>
        <v/>
      </c>
      <c r="DU246" s="212" t="str">
        <f t="shared" si="800"/>
        <v/>
      </c>
      <c r="DV246" s="212" t="str">
        <f t="shared" si="800"/>
        <v/>
      </c>
      <c r="DW246" s="212" t="str">
        <f t="shared" si="800"/>
        <v/>
      </c>
      <c r="DX246" s="212" t="str">
        <f t="shared" si="800"/>
        <v/>
      </c>
      <c r="DY246" s="212" t="str">
        <f t="shared" si="800"/>
        <v/>
      </c>
      <c r="DZ246" s="212" t="str">
        <f t="shared" si="800"/>
        <v/>
      </c>
      <c r="EA246" s="212" t="str">
        <f t="shared" si="800"/>
        <v/>
      </c>
      <c r="EB246" s="212" t="str">
        <f t="shared" si="800"/>
        <v/>
      </c>
      <c r="EC246" s="212" t="str">
        <f t="shared" si="800"/>
        <v/>
      </c>
      <c r="ED246" s="212" t="str">
        <f t="shared" si="800"/>
        <v/>
      </c>
      <c r="EE246" s="212" t="str">
        <f t="shared" si="800"/>
        <v/>
      </c>
      <c r="EF246" s="212" t="str">
        <f t="shared" si="800"/>
        <v/>
      </c>
      <c r="EG246" s="212" t="str">
        <f t="shared" si="800"/>
        <v/>
      </c>
      <c r="EH246" s="212" t="str">
        <f t="shared" si="800"/>
        <v/>
      </c>
      <c r="EI246" s="212" t="str">
        <f t="shared" si="800"/>
        <v/>
      </c>
      <c r="EJ246" s="212" t="str">
        <f>IF(EJ$227="","",SUM(EJ244:EJ245))</f>
        <v/>
      </c>
      <c r="EK246" s="212" t="str">
        <f>IF(EK$227="","",SUM(EK244:EK245))</f>
        <v/>
      </c>
      <c r="EL246" s="212" t="str">
        <f>IF(EL$227="","",SUM(EL244:EL245))</f>
        <v/>
      </c>
      <c r="EM246" s="212" t="str">
        <f>IF(EM$227="","",SUM(EM244:EM245))</f>
        <v/>
      </c>
      <c r="EN246" s="212" t="str">
        <f>IF(EN$227="","",SUM(EN244:EN245))</f>
        <v/>
      </c>
      <c r="EO246" s="540"/>
      <c r="EP246" s="532"/>
      <c r="EQ246" s="533"/>
      <c r="ER246" s="533"/>
      <c r="ES246" s="533"/>
      <c r="ET246" s="533" t="s">
        <v>405</v>
      </c>
      <c r="EU246" s="533"/>
      <c r="EV246" s="534">
        <f>IF(L244="",0,MAX(EV236-EV245,0))</f>
        <v>0</v>
      </c>
      <c r="EW246" s="534">
        <f t="shared" ref="EW246:GA246" si="801">IF(M244="",0,MAX(EW236-EW245,0))</f>
        <v>0</v>
      </c>
      <c r="EX246" s="534">
        <f t="shared" si="801"/>
        <v>0</v>
      </c>
      <c r="EY246" s="534">
        <f t="shared" si="801"/>
        <v>0</v>
      </c>
      <c r="EZ246" s="534">
        <f t="shared" si="801"/>
        <v>0</v>
      </c>
      <c r="FA246" s="534">
        <f t="shared" si="801"/>
        <v>0</v>
      </c>
      <c r="FB246" s="534">
        <f t="shared" si="801"/>
        <v>0</v>
      </c>
      <c r="FC246" s="534">
        <f t="shared" si="801"/>
        <v>0</v>
      </c>
      <c r="FD246" s="534">
        <f t="shared" si="801"/>
        <v>0</v>
      </c>
      <c r="FE246" s="534">
        <f t="shared" si="801"/>
        <v>0</v>
      </c>
      <c r="FF246" s="534">
        <f t="shared" si="801"/>
        <v>0</v>
      </c>
      <c r="FG246" s="534">
        <f t="shared" si="801"/>
        <v>0</v>
      </c>
      <c r="FH246" s="534">
        <f t="shared" si="801"/>
        <v>0</v>
      </c>
      <c r="FI246" s="534">
        <f t="shared" si="801"/>
        <v>0</v>
      </c>
      <c r="FJ246" s="534">
        <f t="shared" si="801"/>
        <v>0</v>
      </c>
      <c r="FK246" s="534">
        <f t="shared" si="801"/>
        <v>0</v>
      </c>
      <c r="FL246" s="534">
        <f t="shared" si="801"/>
        <v>0</v>
      </c>
      <c r="FM246" s="534">
        <f t="shared" si="801"/>
        <v>0</v>
      </c>
      <c r="FN246" s="534">
        <f t="shared" si="801"/>
        <v>0</v>
      </c>
      <c r="FO246" s="534">
        <f t="shared" si="801"/>
        <v>0</v>
      </c>
      <c r="FP246" s="534">
        <f t="shared" si="801"/>
        <v>0</v>
      </c>
      <c r="FQ246" s="534">
        <f t="shared" si="801"/>
        <v>0</v>
      </c>
      <c r="FR246" s="534">
        <f t="shared" si="801"/>
        <v>0</v>
      </c>
      <c r="FS246" s="534">
        <f t="shared" si="801"/>
        <v>0</v>
      </c>
      <c r="FT246" s="534">
        <f t="shared" si="801"/>
        <v>0</v>
      </c>
      <c r="FU246" s="534">
        <f t="shared" si="801"/>
        <v>0</v>
      </c>
      <c r="FV246" s="534">
        <f t="shared" si="801"/>
        <v>0</v>
      </c>
      <c r="FW246" s="534">
        <f t="shared" si="801"/>
        <v>0</v>
      </c>
      <c r="FX246" s="534">
        <f t="shared" si="801"/>
        <v>0</v>
      </c>
      <c r="FY246" s="534">
        <f t="shared" si="801"/>
        <v>0</v>
      </c>
      <c r="FZ246" s="534">
        <f t="shared" si="801"/>
        <v>0</v>
      </c>
      <c r="GA246" s="534">
        <f t="shared" si="801"/>
        <v>0</v>
      </c>
      <c r="GB246" s="534">
        <f t="shared" ref="GB246:HG246" si="802">IF(AR244="",0,MAX(GB236-GB245,0))</f>
        <v>0</v>
      </c>
      <c r="GC246" s="534">
        <f t="shared" si="802"/>
        <v>0</v>
      </c>
      <c r="GD246" s="534">
        <f t="shared" si="802"/>
        <v>0</v>
      </c>
      <c r="GE246" s="534">
        <f t="shared" si="802"/>
        <v>0</v>
      </c>
      <c r="GF246" s="534">
        <f t="shared" si="802"/>
        <v>0</v>
      </c>
      <c r="GG246" s="534">
        <f t="shared" si="802"/>
        <v>0</v>
      </c>
      <c r="GH246" s="534">
        <f t="shared" si="802"/>
        <v>0</v>
      </c>
      <c r="GI246" s="534">
        <f t="shared" si="802"/>
        <v>0</v>
      </c>
      <c r="GJ246" s="534">
        <f t="shared" si="802"/>
        <v>0</v>
      </c>
      <c r="GK246" s="534">
        <f t="shared" si="802"/>
        <v>0</v>
      </c>
      <c r="GL246" s="534">
        <f t="shared" si="802"/>
        <v>0</v>
      </c>
      <c r="GM246" s="534">
        <f t="shared" si="802"/>
        <v>0</v>
      </c>
      <c r="GN246" s="534">
        <f t="shared" si="802"/>
        <v>0</v>
      </c>
      <c r="GO246" s="534">
        <f t="shared" si="802"/>
        <v>0</v>
      </c>
      <c r="GP246" s="534">
        <f t="shared" si="802"/>
        <v>0</v>
      </c>
      <c r="GQ246" s="534">
        <f t="shared" si="802"/>
        <v>0</v>
      </c>
      <c r="GR246" s="534">
        <f t="shared" si="802"/>
        <v>0</v>
      </c>
      <c r="GS246" s="534">
        <f t="shared" si="802"/>
        <v>0</v>
      </c>
      <c r="GT246" s="534">
        <f t="shared" si="802"/>
        <v>0</v>
      </c>
      <c r="GU246" s="534">
        <f t="shared" si="802"/>
        <v>0</v>
      </c>
      <c r="GV246" s="534">
        <f t="shared" si="802"/>
        <v>0</v>
      </c>
      <c r="GW246" s="534">
        <f t="shared" si="802"/>
        <v>0</v>
      </c>
      <c r="GX246" s="534">
        <f t="shared" si="802"/>
        <v>0</v>
      </c>
      <c r="GY246" s="534">
        <f t="shared" si="802"/>
        <v>0</v>
      </c>
      <c r="GZ246" s="534">
        <f t="shared" si="802"/>
        <v>0</v>
      </c>
      <c r="HA246" s="534">
        <f t="shared" si="802"/>
        <v>0</v>
      </c>
      <c r="HB246" s="534">
        <f t="shared" si="802"/>
        <v>0</v>
      </c>
      <c r="HC246" s="534">
        <f t="shared" si="802"/>
        <v>0</v>
      </c>
      <c r="HD246" s="534">
        <f t="shared" si="802"/>
        <v>0</v>
      </c>
      <c r="HE246" s="534">
        <f t="shared" si="802"/>
        <v>0</v>
      </c>
      <c r="HF246" s="534">
        <f t="shared" si="802"/>
        <v>0</v>
      </c>
      <c r="HG246" s="534">
        <f t="shared" si="802"/>
        <v>0</v>
      </c>
      <c r="HH246" s="534">
        <f t="shared" ref="HH246:IM246" si="803">IF(BX244="",0,MAX(HH236-HH245,0))</f>
        <v>0</v>
      </c>
      <c r="HI246" s="534">
        <f t="shared" si="803"/>
        <v>0</v>
      </c>
      <c r="HJ246" s="534">
        <f t="shared" si="803"/>
        <v>0</v>
      </c>
      <c r="HK246" s="534">
        <f t="shared" si="803"/>
        <v>0</v>
      </c>
      <c r="HL246" s="534">
        <f t="shared" si="803"/>
        <v>0</v>
      </c>
      <c r="HM246" s="534">
        <f t="shared" si="803"/>
        <v>0</v>
      </c>
      <c r="HN246" s="534">
        <f t="shared" si="803"/>
        <v>0</v>
      </c>
      <c r="HO246" s="534">
        <f t="shared" si="803"/>
        <v>0</v>
      </c>
      <c r="HP246" s="534">
        <f t="shared" si="803"/>
        <v>0</v>
      </c>
      <c r="HQ246" s="534">
        <f t="shared" si="803"/>
        <v>0</v>
      </c>
      <c r="HR246" s="534">
        <f t="shared" si="803"/>
        <v>0</v>
      </c>
      <c r="HS246" s="534">
        <f t="shared" si="803"/>
        <v>0</v>
      </c>
      <c r="HT246" s="534">
        <f t="shared" si="803"/>
        <v>0</v>
      </c>
      <c r="HU246" s="534">
        <f t="shared" si="803"/>
        <v>0</v>
      </c>
      <c r="HV246" s="534">
        <f t="shared" si="803"/>
        <v>0</v>
      </c>
      <c r="HW246" s="534">
        <f t="shared" si="803"/>
        <v>0</v>
      </c>
      <c r="HX246" s="534">
        <f t="shared" si="803"/>
        <v>0</v>
      </c>
      <c r="HY246" s="534">
        <f t="shared" si="803"/>
        <v>0</v>
      </c>
      <c r="HZ246" s="534">
        <f t="shared" si="803"/>
        <v>0</v>
      </c>
      <c r="IA246" s="534">
        <f t="shared" si="803"/>
        <v>0</v>
      </c>
      <c r="IB246" s="534">
        <f t="shared" si="803"/>
        <v>0</v>
      </c>
      <c r="IC246" s="534">
        <f t="shared" si="803"/>
        <v>0</v>
      </c>
      <c r="ID246" s="534">
        <f t="shared" si="803"/>
        <v>0</v>
      </c>
      <c r="IE246" s="534">
        <f t="shared" si="803"/>
        <v>0</v>
      </c>
      <c r="IF246" s="534">
        <f t="shared" si="803"/>
        <v>0</v>
      </c>
      <c r="IG246" s="534">
        <f t="shared" si="803"/>
        <v>0</v>
      </c>
      <c r="IH246" s="534">
        <f t="shared" si="803"/>
        <v>0</v>
      </c>
      <c r="II246" s="534">
        <f t="shared" si="803"/>
        <v>0</v>
      </c>
      <c r="IJ246" s="534">
        <f t="shared" si="803"/>
        <v>0</v>
      </c>
      <c r="IK246" s="534">
        <f t="shared" si="803"/>
        <v>0</v>
      </c>
      <c r="IL246" s="534">
        <f t="shared" si="803"/>
        <v>0</v>
      </c>
      <c r="IM246" s="534">
        <f t="shared" si="803"/>
        <v>0</v>
      </c>
      <c r="IN246" s="534">
        <f t="shared" ref="IN246:JS246" si="804">IF(DD244="",0,MAX(IN236-IN245,0))</f>
        <v>0</v>
      </c>
      <c r="IO246" s="534">
        <f t="shared" si="804"/>
        <v>0</v>
      </c>
      <c r="IP246" s="534">
        <f t="shared" si="804"/>
        <v>0</v>
      </c>
      <c r="IQ246" s="534">
        <f t="shared" si="804"/>
        <v>0</v>
      </c>
      <c r="IR246" s="534">
        <f t="shared" si="804"/>
        <v>0</v>
      </c>
      <c r="IS246" s="534">
        <f t="shared" si="804"/>
        <v>0</v>
      </c>
      <c r="IT246" s="534">
        <f t="shared" si="804"/>
        <v>0</v>
      </c>
      <c r="IU246" s="534">
        <f t="shared" si="804"/>
        <v>0</v>
      </c>
      <c r="IV246" s="534">
        <f t="shared" si="804"/>
        <v>0</v>
      </c>
      <c r="IW246" s="534">
        <f t="shared" si="804"/>
        <v>0</v>
      </c>
      <c r="IX246" s="534">
        <f t="shared" si="804"/>
        <v>0</v>
      </c>
      <c r="IY246" s="534">
        <f t="shared" si="804"/>
        <v>0</v>
      </c>
      <c r="IZ246" s="534">
        <f t="shared" si="804"/>
        <v>0</v>
      </c>
      <c r="JA246" s="534">
        <f t="shared" si="804"/>
        <v>0</v>
      </c>
      <c r="JB246" s="534">
        <f t="shared" si="804"/>
        <v>0</v>
      </c>
      <c r="JC246" s="534">
        <f t="shared" si="804"/>
        <v>0</v>
      </c>
      <c r="JD246" s="534">
        <f t="shared" si="804"/>
        <v>0</v>
      </c>
      <c r="JE246" s="534">
        <f t="shared" si="804"/>
        <v>0</v>
      </c>
      <c r="JF246" s="534">
        <f t="shared" si="804"/>
        <v>0</v>
      </c>
      <c r="JG246" s="534">
        <f t="shared" si="804"/>
        <v>0</v>
      </c>
      <c r="JH246" s="534">
        <f t="shared" si="804"/>
        <v>0</v>
      </c>
      <c r="JI246" s="534">
        <f t="shared" si="804"/>
        <v>0</v>
      </c>
      <c r="JJ246" s="534">
        <f t="shared" si="804"/>
        <v>0</v>
      </c>
      <c r="JK246" s="534">
        <f t="shared" si="804"/>
        <v>0</v>
      </c>
      <c r="JL246" s="534">
        <f t="shared" si="804"/>
        <v>0</v>
      </c>
      <c r="JM246" s="534">
        <f t="shared" si="804"/>
        <v>0</v>
      </c>
      <c r="JN246" s="534">
        <f t="shared" si="804"/>
        <v>0</v>
      </c>
      <c r="JO246" s="534">
        <f t="shared" si="804"/>
        <v>0</v>
      </c>
      <c r="JP246" s="534">
        <f t="shared" si="804"/>
        <v>0</v>
      </c>
      <c r="JQ246" s="534">
        <f t="shared" si="804"/>
        <v>0</v>
      </c>
      <c r="JR246" s="534">
        <f t="shared" si="804"/>
        <v>0</v>
      </c>
      <c r="JS246" s="534">
        <f t="shared" si="804"/>
        <v>0</v>
      </c>
      <c r="JT246" s="534">
        <f>IF(EJ244="",0,MAX(JT236-JT245,0))</f>
        <v>0</v>
      </c>
      <c r="JU246" s="534">
        <f>IF(EK244="",0,MAX(JU236-JU245,0))</f>
        <v>0</v>
      </c>
      <c r="JV246" s="534">
        <f>IF(EL244="",0,MAX(JV236-JV245,0))</f>
        <v>0</v>
      </c>
      <c r="JW246" s="534">
        <f>IF(EM244="",0,MAX(JW236-JW245,0))</f>
        <v>0</v>
      </c>
      <c r="JX246" s="534">
        <f>IF(EN244="",0,MAX(JX236-JX245,0))</f>
        <v>0</v>
      </c>
      <c r="JY246"/>
      <c r="JZ246" s="262"/>
      <c r="KA246" s="262"/>
      <c r="KB246" s="262"/>
      <c r="KC246" s="262"/>
      <c r="KD246" s="262"/>
      <c r="KE246" s="262"/>
      <c r="KF246" s="262"/>
      <c r="KG246" s="262"/>
      <c r="KH246" s="262"/>
      <c r="KI246" s="262"/>
      <c r="KJ246" s="262"/>
      <c r="KK246" s="262"/>
      <c r="KL246" s="262"/>
      <c r="KM246" s="262"/>
      <c r="KN246" s="262"/>
      <c r="KO246" s="262"/>
      <c r="KP246" s="262"/>
      <c r="KQ246" s="262"/>
      <c r="KR246" s="262"/>
      <c r="KS246" s="262"/>
      <c r="KT246" s="262"/>
      <c r="KU246" s="262"/>
      <c r="KV246" s="262"/>
      <c r="KW246" s="262"/>
      <c r="KX246" s="262"/>
      <c r="KY246" s="262"/>
      <c r="KZ246" s="262"/>
      <c r="LA246" s="262"/>
      <c r="LB246" s="262"/>
      <c r="LC246" s="262"/>
      <c r="LD246" s="262"/>
      <c r="LE246" s="262"/>
      <c r="LF246" s="262"/>
      <c r="LG246" s="262"/>
      <c r="LH246" s="262"/>
      <c r="LI246" s="262"/>
      <c r="LJ246" s="262"/>
      <c r="LK246" s="262"/>
      <c r="LL246" s="262"/>
      <c r="LM246" s="262"/>
      <c r="LN246" s="262"/>
      <c r="LO246" s="262"/>
      <c r="LP246" s="262"/>
      <c r="LQ246" s="262"/>
      <c r="LR246" s="262"/>
      <c r="LS246" s="262"/>
      <c r="LT246" s="262"/>
      <c r="LU246" s="262"/>
      <c r="LV246" s="262"/>
      <c r="LW246" s="262"/>
      <c r="LX246" s="262"/>
      <c r="LY246" s="262"/>
      <c r="LZ246" s="262"/>
      <c r="MA246" s="262"/>
      <c r="MB246" s="262"/>
      <c r="MC246" s="262"/>
      <c r="MD246" s="262"/>
      <c r="ME246" s="262"/>
      <c r="MF246" s="262"/>
      <c r="MG246" s="262"/>
      <c r="MH246" s="262"/>
      <c r="MI246" s="262"/>
      <c r="MJ246" s="262"/>
      <c r="MK246" s="262"/>
      <c r="ML246" s="262"/>
      <c r="MM246" s="262"/>
      <c r="MN246" s="262"/>
      <c r="MO246" s="262"/>
      <c r="MP246" s="262"/>
      <c r="MQ246" s="262"/>
      <c r="MR246" s="262"/>
      <c r="MS246" s="262"/>
      <c r="MT246" s="262"/>
      <c r="MU246" s="262"/>
      <c r="MV246" s="262"/>
      <c r="MW246" s="262"/>
      <c r="MX246" s="262"/>
      <c r="MY246" s="262"/>
      <c r="MZ246" s="262"/>
      <c r="NA246" s="262"/>
      <c r="NB246" s="262"/>
      <c r="NC246" s="262"/>
      <c r="ND246" s="262"/>
      <c r="NE246" s="262"/>
      <c r="NF246" s="262"/>
      <c r="NG246" s="262"/>
      <c r="NH246" s="262"/>
      <c r="NI246" s="262"/>
      <c r="NJ246" s="262"/>
      <c r="NK246" s="262"/>
      <c r="NL246" s="262"/>
      <c r="NM246" s="262"/>
      <c r="NN246" s="262"/>
      <c r="NO246" s="262"/>
      <c r="NP246" s="262"/>
      <c r="NQ246" s="262"/>
      <c r="NR246" s="262"/>
      <c r="NS246" s="262"/>
      <c r="NT246" s="262"/>
      <c r="NU246" s="262"/>
      <c r="NV246" s="262"/>
      <c r="NW246" s="262"/>
      <c r="NX246" s="262"/>
      <c r="NY246" s="262"/>
      <c r="NZ246" s="262"/>
      <c r="OA246" s="262"/>
      <c r="OB246" s="262"/>
      <c r="OC246" s="262"/>
      <c r="OD246" s="262"/>
      <c r="OE246" s="262"/>
      <c r="OF246" s="262"/>
      <c r="OG246" s="262"/>
      <c r="OH246" s="262"/>
      <c r="OI246" s="262"/>
      <c r="OJ246" s="262"/>
      <c r="OK246" s="262"/>
      <c r="OL246" s="262"/>
      <c r="OM246" s="262"/>
      <c r="ON246" s="262"/>
      <c r="OO246" s="262"/>
      <c r="OP246" s="262"/>
      <c r="OQ246" s="262"/>
      <c r="OR246" s="262"/>
      <c r="OS246" s="262"/>
      <c r="OT246" s="262"/>
      <c r="OU246" s="262"/>
      <c r="OV246" s="262"/>
      <c r="OW246" s="262"/>
      <c r="OX246" s="262"/>
      <c r="OY246" s="262"/>
      <c r="OZ246" s="262"/>
      <c r="PA246" s="262"/>
      <c r="PB246" s="262"/>
      <c r="PC246" s="262"/>
      <c r="PD246" s="262"/>
      <c r="PE246" s="262"/>
      <c r="PF246" s="262"/>
      <c r="PG246" s="262"/>
      <c r="PH246" s="262"/>
    </row>
    <row r="247" spans="1:424" x14ac:dyDescent="0.35">
      <c r="A247"/>
      <c r="B247" s="541" t="s">
        <v>458</v>
      </c>
      <c r="C247" s="541"/>
      <c r="D247" s="541"/>
      <c r="E247" s="541"/>
      <c r="F247" s="541">
        <f>$G$212</f>
        <v>3.6516197698477049</v>
      </c>
      <c r="G247" s="541">
        <f>$H$212</f>
        <v>2.9802322387695314E-9</v>
      </c>
      <c r="H247" s="541"/>
      <c r="I247" s="541"/>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s="405" t="s">
        <v>406</v>
      </c>
      <c r="EQ247" s="18"/>
      <c r="ER247" s="18"/>
      <c r="ES247" s="18"/>
      <c r="ET247" s="18" t="s">
        <v>451</v>
      </c>
      <c r="EU247" s="18"/>
      <c r="EV247" s="418">
        <f t="shared" ref="EV247:GA247" si="805">(EV$197&lt;=Timing_Reversion_Month)*EU251</f>
        <v>0</v>
      </c>
      <c r="EW247" s="418">
        <f t="shared" si="805"/>
        <v>0</v>
      </c>
      <c r="EX247" s="418">
        <f t="shared" si="805"/>
        <v>0</v>
      </c>
      <c r="EY247" s="418">
        <f t="shared" si="805"/>
        <v>0</v>
      </c>
      <c r="EZ247" s="418">
        <f t="shared" si="805"/>
        <v>0</v>
      </c>
      <c r="FA247" s="418">
        <f t="shared" si="805"/>
        <v>0</v>
      </c>
      <c r="FB247" s="418">
        <f t="shared" si="805"/>
        <v>0</v>
      </c>
      <c r="FC247" s="418">
        <f t="shared" si="805"/>
        <v>0</v>
      </c>
      <c r="FD247" s="418">
        <f t="shared" si="805"/>
        <v>0</v>
      </c>
      <c r="FE247" s="418">
        <f t="shared" si="805"/>
        <v>0</v>
      </c>
      <c r="FF247" s="418">
        <f t="shared" si="805"/>
        <v>0</v>
      </c>
      <c r="FG247" s="418">
        <f t="shared" si="805"/>
        <v>0</v>
      </c>
      <c r="FH247" s="418">
        <f t="shared" si="805"/>
        <v>0</v>
      </c>
      <c r="FI247" s="418">
        <f t="shared" si="805"/>
        <v>0</v>
      </c>
      <c r="FJ247" s="418">
        <f t="shared" si="805"/>
        <v>0</v>
      </c>
      <c r="FK247" s="418">
        <f t="shared" si="805"/>
        <v>0</v>
      </c>
      <c r="FL247" s="418">
        <f t="shared" si="805"/>
        <v>0</v>
      </c>
      <c r="FM247" s="418">
        <f t="shared" si="805"/>
        <v>0</v>
      </c>
      <c r="FN247" s="418">
        <f t="shared" si="805"/>
        <v>0</v>
      </c>
      <c r="FO247" s="418">
        <f t="shared" si="805"/>
        <v>0</v>
      </c>
      <c r="FP247" s="418">
        <f t="shared" si="805"/>
        <v>0</v>
      </c>
      <c r="FQ247" s="418">
        <f t="shared" si="805"/>
        <v>0</v>
      </c>
      <c r="FR247" s="418">
        <f t="shared" si="805"/>
        <v>0</v>
      </c>
      <c r="FS247" s="418">
        <f t="shared" si="805"/>
        <v>0</v>
      </c>
      <c r="FT247" s="418">
        <f t="shared" si="805"/>
        <v>0</v>
      </c>
      <c r="FU247" s="418">
        <f t="shared" si="805"/>
        <v>0</v>
      </c>
      <c r="FV247" s="418">
        <f t="shared" si="805"/>
        <v>0</v>
      </c>
      <c r="FW247" s="418">
        <f t="shared" si="805"/>
        <v>0</v>
      </c>
      <c r="FX247" s="418">
        <f t="shared" si="805"/>
        <v>0</v>
      </c>
      <c r="FY247" s="418">
        <f t="shared" si="805"/>
        <v>0</v>
      </c>
      <c r="FZ247" s="418">
        <f t="shared" si="805"/>
        <v>0</v>
      </c>
      <c r="GA247" s="418">
        <f t="shared" si="805"/>
        <v>0</v>
      </c>
      <c r="GB247" s="418">
        <f t="shared" ref="GB247:HG247" si="806">(GB$197&lt;=Timing_Reversion_Month)*GA251</f>
        <v>0</v>
      </c>
      <c r="GC247" s="418">
        <f t="shared" si="806"/>
        <v>0</v>
      </c>
      <c r="GD247" s="418">
        <f t="shared" si="806"/>
        <v>0</v>
      </c>
      <c r="GE247" s="418">
        <f t="shared" si="806"/>
        <v>0</v>
      </c>
      <c r="GF247" s="418">
        <f t="shared" si="806"/>
        <v>0</v>
      </c>
      <c r="GG247" s="418">
        <f t="shared" si="806"/>
        <v>0</v>
      </c>
      <c r="GH247" s="418">
        <f t="shared" si="806"/>
        <v>0</v>
      </c>
      <c r="GI247" s="418">
        <f t="shared" si="806"/>
        <v>0</v>
      </c>
      <c r="GJ247" s="418">
        <f t="shared" si="806"/>
        <v>0</v>
      </c>
      <c r="GK247" s="418">
        <f t="shared" si="806"/>
        <v>0</v>
      </c>
      <c r="GL247" s="418">
        <f t="shared" si="806"/>
        <v>0</v>
      </c>
      <c r="GM247" s="418">
        <f t="shared" si="806"/>
        <v>0</v>
      </c>
      <c r="GN247" s="418">
        <f t="shared" si="806"/>
        <v>0</v>
      </c>
      <c r="GO247" s="418">
        <f t="shared" si="806"/>
        <v>0</v>
      </c>
      <c r="GP247" s="418">
        <f t="shared" si="806"/>
        <v>0</v>
      </c>
      <c r="GQ247" s="418">
        <f t="shared" si="806"/>
        <v>0</v>
      </c>
      <c r="GR247" s="418">
        <f t="shared" si="806"/>
        <v>0</v>
      </c>
      <c r="GS247" s="418">
        <f t="shared" si="806"/>
        <v>0</v>
      </c>
      <c r="GT247" s="418">
        <f t="shared" si="806"/>
        <v>0</v>
      </c>
      <c r="GU247" s="418">
        <f t="shared" si="806"/>
        <v>0</v>
      </c>
      <c r="GV247" s="418">
        <f t="shared" si="806"/>
        <v>0</v>
      </c>
      <c r="GW247" s="418">
        <f t="shared" si="806"/>
        <v>0</v>
      </c>
      <c r="GX247" s="418">
        <f t="shared" si="806"/>
        <v>0</v>
      </c>
      <c r="GY247" s="418">
        <f t="shared" si="806"/>
        <v>0</v>
      </c>
      <c r="GZ247" s="418">
        <f t="shared" si="806"/>
        <v>0</v>
      </c>
      <c r="HA247" s="418">
        <f t="shared" si="806"/>
        <v>0</v>
      </c>
      <c r="HB247" s="418">
        <f t="shared" si="806"/>
        <v>0</v>
      </c>
      <c r="HC247" s="418">
        <f t="shared" si="806"/>
        <v>0</v>
      </c>
      <c r="HD247" s="418">
        <f t="shared" si="806"/>
        <v>0</v>
      </c>
      <c r="HE247" s="418">
        <f t="shared" si="806"/>
        <v>0</v>
      </c>
      <c r="HF247" s="418">
        <f t="shared" si="806"/>
        <v>0</v>
      </c>
      <c r="HG247" s="418">
        <f t="shared" si="806"/>
        <v>0</v>
      </c>
      <c r="HH247" s="418">
        <f t="shared" ref="HH247:IM247" si="807">(HH$197&lt;=Timing_Reversion_Month)*HG251</f>
        <v>0</v>
      </c>
      <c r="HI247" s="418">
        <f t="shared" si="807"/>
        <v>0</v>
      </c>
      <c r="HJ247" s="418">
        <f t="shared" si="807"/>
        <v>0</v>
      </c>
      <c r="HK247" s="418">
        <f t="shared" si="807"/>
        <v>0</v>
      </c>
      <c r="HL247" s="418">
        <f t="shared" si="807"/>
        <v>0</v>
      </c>
      <c r="HM247" s="418">
        <f t="shared" si="807"/>
        <v>0</v>
      </c>
      <c r="HN247" s="418">
        <f t="shared" si="807"/>
        <v>0</v>
      </c>
      <c r="HO247" s="418">
        <f t="shared" si="807"/>
        <v>0</v>
      </c>
      <c r="HP247" s="418">
        <f t="shared" si="807"/>
        <v>0</v>
      </c>
      <c r="HQ247" s="418">
        <f t="shared" si="807"/>
        <v>0</v>
      </c>
      <c r="HR247" s="418">
        <f t="shared" si="807"/>
        <v>0</v>
      </c>
      <c r="HS247" s="418">
        <f t="shared" si="807"/>
        <v>0</v>
      </c>
      <c r="HT247" s="418">
        <f t="shared" si="807"/>
        <v>0</v>
      </c>
      <c r="HU247" s="418">
        <f t="shared" si="807"/>
        <v>0</v>
      </c>
      <c r="HV247" s="418">
        <f t="shared" si="807"/>
        <v>0</v>
      </c>
      <c r="HW247" s="418">
        <f t="shared" si="807"/>
        <v>0</v>
      </c>
      <c r="HX247" s="418">
        <f t="shared" si="807"/>
        <v>0</v>
      </c>
      <c r="HY247" s="418">
        <f t="shared" si="807"/>
        <v>0</v>
      </c>
      <c r="HZ247" s="418">
        <f t="shared" si="807"/>
        <v>0</v>
      </c>
      <c r="IA247" s="418">
        <f t="shared" si="807"/>
        <v>0</v>
      </c>
      <c r="IB247" s="418">
        <f t="shared" si="807"/>
        <v>0</v>
      </c>
      <c r="IC247" s="418">
        <f t="shared" si="807"/>
        <v>0</v>
      </c>
      <c r="ID247" s="418">
        <f t="shared" si="807"/>
        <v>0</v>
      </c>
      <c r="IE247" s="418">
        <f t="shared" si="807"/>
        <v>0</v>
      </c>
      <c r="IF247" s="418">
        <f t="shared" si="807"/>
        <v>0</v>
      </c>
      <c r="IG247" s="418">
        <f t="shared" si="807"/>
        <v>0</v>
      </c>
      <c r="IH247" s="418">
        <f t="shared" si="807"/>
        <v>0</v>
      </c>
      <c r="II247" s="418">
        <f t="shared" si="807"/>
        <v>0</v>
      </c>
      <c r="IJ247" s="418">
        <f t="shared" si="807"/>
        <v>0</v>
      </c>
      <c r="IK247" s="418">
        <f t="shared" si="807"/>
        <v>0</v>
      </c>
      <c r="IL247" s="418">
        <f t="shared" si="807"/>
        <v>0</v>
      </c>
      <c r="IM247" s="418">
        <f t="shared" si="807"/>
        <v>0</v>
      </c>
      <c r="IN247" s="418">
        <f t="shared" ref="IN247:JX247" si="808">(IN$197&lt;=Timing_Reversion_Month)*IM251</f>
        <v>0</v>
      </c>
      <c r="IO247" s="418">
        <f t="shared" si="808"/>
        <v>0</v>
      </c>
      <c r="IP247" s="418">
        <f t="shared" si="808"/>
        <v>0</v>
      </c>
      <c r="IQ247" s="418">
        <f t="shared" si="808"/>
        <v>0</v>
      </c>
      <c r="IR247" s="418">
        <f t="shared" si="808"/>
        <v>0</v>
      </c>
      <c r="IS247" s="418">
        <f t="shared" si="808"/>
        <v>0</v>
      </c>
      <c r="IT247" s="418">
        <f t="shared" si="808"/>
        <v>0</v>
      </c>
      <c r="IU247" s="418">
        <f t="shared" si="808"/>
        <v>0</v>
      </c>
      <c r="IV247" s="418">
        <f t="shared" si="808"/>
        <v>0</v>
      </c>
      <c r="IW247" s="418">
        <f t="shared" si="808"/>
        <v>0</v>
      </c>
      <c r="IX247" s="418">
        <f t="shared" si="808"/>
        <v>0</v>
      </c>
      <c r="IY247" s="418">
        <f t="shared" si="808"/>
        <v>0</v>
      </c>
      <c r="IZ247" s="418">
        <f t="shared" si="808"/>
        <v>0</v>
      </c>
      <c r="JA247" s="418">
        <f t="shared" si="808"/>
        <v>0</v>
      </c>
      <c r="JB247" s="418">
        <f t="shared" si="808"/>
        <v>0</v>
      </c>
      <c r="JC247" s="418">
        <f t="shared" si="808"/>
        <v>0</v>
      </c>
      <c r="JD247" s="418">
        <f t="shared" si="808"/>
        <v>0</v>
      </c>
      <c r="JE247" s="418">
        <f t="shared" si="808"/>
        <v>0</v>
      </c>
      <c r="JF247" s="418">
        <f t="shared" si="808"/>
        <v>0</v>
      </c>
      <c r="JG247" s="418">
        <f t="shared" si="808"/>
        <v>0</v>
      </c>
      <c r="JH247" s="418">
        <f t="shared" si="808"/>
        <v>0</v>
      </c>
      <c r="JI247" s="418">
        <f t="shared" si="808"/>
        <v>0</v>
      </c>
      <c r="JJ247" s="418">
        <f t="shared" si="808"/>
        <v>0</v>
      </c>
      <c r="JK247" s="418">
        <f t="shared" si="808"/>
        <v>0</v>
      </c>
      <c r="JL247" s="418">
        <f t="shared" si="808"/>
        <v>0</v>
      </c>
      <c r="JM247" s="418">
        <f t="shared" si="808"/>
        <v>0</v>
      </c>
      <c r="JN247" s="418">
        <f t="shared" si="808"/>
        <v>0</v>
      </c>
      <c r="JO247" s="418">
        <f t="shared" si="808"/>
        <v>0</v>
      </c>
      <c r="JP247" s="418">
        <f t="shared" si="808"/>
        <v>0</v>
      </c>
      <c r="JQ247" s="418">
        <f t="shared" si="808"/>
        <v>0</v>
      </c>
      <c r="JR247" s="418">
        <f t="shared" si="808"/>
        <v>0</v>
      </c>
      <c r="JS247" s="418">
        <f t="shared" si="808"/>
        <v>0</v>
      </c>
      <c r="JT247" s="418">
        <f t="shared" si="808"/>
        <v>0</v>
      </c>
      <c r="JU247" s="418">
        <f t="shared" si="808"/>
        <v>0</v>
      </c>
      <c r="JV247" s="418">
        <f t="shared" si="808"/>
        <v>0</v>
      </c>
      <c r="JW247" s="418">
        <f t="shared" si="808"/>
        <v>0</v>
      </c>
      <c r="JX247" s="418">
        <f t="shared" si="808"/>
        <v>0</v>
      </c>
      <c r="JY247"/>
      <c r="JZ247" s="262"/>
      <c r="KA247" s="262"/>
      <c r="KB247" s="262"/>
      <c r="KC247" s="262"/>
      <c r="KD247" s="262"/>
      <c r="KE247" s="262"/>
      <c r="KF247" s="262"/>
      <c r="KG247" s="262"/>
      <c r="KH247" s="262"/>
      <c r="KI247" s="262"/>
      <c r="KJ247" s="262"/>
      <c r="KK247" s="262"/>
      <c r="KL247" s="262"/>
      <c r="KM247" s="262"/>
      <c r="KN247" s="262"/>
      <c r="KO247" s="262"/>
      <c r="KP247" s="262"/>
      <c r="KQ247" s="262"/>
      <c r="KR247" s="262"/>
      <c r="KS247" s="262"/>
      <c r="KT247" s="262"/>
      <c r="KU247" s="262"/>
      <c r="KV247" s="262"/>
      <c r="KW247" s="262"/>
      <c r="KX247" s="262"/>
      <c r="KY247" s="262"/>
      <c r="KZ247" s="262"/>
      <c r="LA247" s="262"/>
      <c r="LB247" s="262"/>
      <c r="LC247" s="262"/>
      <c r="LD247" s="262"/>
      <c r="LE247" s="262"/>
      <c r="LF247" s="262"/>
      <c r="LG247" s="262"/>
      <c r="LH247" s="262"/>
      <c r="LI247" s="262"/>
      <c r="LJ247" s="262"/>
      <c r="LK247" s="262"/>
      <c r="LL247" s="262"/>
      <c r="LM247" s="262"/>
      <c r="LN247" s="262"/>
      <c r="LO247" s="262"/>
      <c r="LP247" s="262"/>
      <c r="LQ247" s="262"/>
      <c r="LR247" s="262"/>
      <c r="LS247" s="262"/>
      <c r="LT247" s="262"/>
      <c r="LU247" s="262"/>
      <c r="LV247" s="262"/>
      <c r="LW247" s="262"/>
      <c r="LX247" s="262"/>
      <c r="LY247" s="262"/>
      <c r="LZ247" s="262"/>
      <c r="MA247" s="262"/>
      <c r="MB247" s="262"/>
      <c r="MC247" s="262"/>
      <c r="MD247" s="262"/>
      <c r="ME247" s="262"/>
      <c r="MF247" s="262"/>
      <c r="MG247" s="262"/>
      <c r="MH247" s="262"/>
      <c r="MI247" s="262"/>
      <c r="MJ247" s="262"/>
      <c r="MK247" s="262"/>
      <c r="ML247" s="262"/>
      <c r="MM247" s="262"/>
      <c r="MN247" s="262"/>
      <c r="MO247" s="262"/>
      <c r="MP247" s="262"/>
      <c r="MQ247" s="262"/>
      <c r="MR247" s="262"/>
      <c r="MS247" s="262"/>
      <c r="MT247" s="262"/>
      <c r="MU247" s="262"/>
      <c r="MV247" s="262"/>
      <c r="MW247" s="262"/>
      <c r="MX247" s="262"/>
      <c r="MY247" s="262"/>
      <c r="MZ247" s="262"/>
      <c r="NA247" s="262"/>
      <c r="NB247" s="262"/>
      <c r="NC247" s="262"/>
      <c r="ND247" s="262"/>
      <c r="NE247" s="262"/>
      <c r="NF247" s="262"/>
      <c r="NG247" s="262"/>
      <c r="NH247" s="262"/>
      <c r="NI247" s="262"/>
      <c r="NJ247" s="262"/>
      <c r="NK247" s="262"/>
      <c r="NL247" s="262"/>
      <c r="NM247" s="262"/>
      <c r="NN247" s="262"/>
      <c r="NO247" s="262"/>
      <c r="NP247" s="262"/>
      <c r="NQ247" s="262"/>
      <c r="NR247" s="262"/>
      <c r="NS247" s="262"/>
      <c r="NT247" s="262"/>
      <c r="NU247" s="262"/>
      <c r="NV247" s="262"/>
      <c r="NW247" s="262"/>
      <c r="NX247" s="262"/>
      <c r="NY247" s="262"/>
      <c r="NZ247" s="262"/>
      <c r="OA247" s="262"/>
      <c r="OB247" s="262"/>
      <c r="OC247" s="262"/>
      <c r="OD247" s="262"/>
      <c r="OE247" s="262"/>
      <c r="OF247" s="262"/>
      <c r="OG247" s="262"/>
      <c r="OH247" s="262"/>
      <c r="OI247" s="262"/>
      <c r="OJ247" s="262"/>
      <c r="OK247" s="262"/>
      <c r="OL247" s="262"/>
      <c r="OM247" s="262"/>
      <c r="ON247" s="262"/>
      <c r="OO247" s="262"/>
      <c r="OP247" s="262"/>
      <c r="OQ247" s="262"/>
      <c r="OR247" s="262"/>
      <c r="OS247" s="262"/>
      <c r="OT247" s="262"/>
      <c r="OU247" s="262"/>
      <c r="OV247" s="262"/>
      <c r="OW247" s="262"/>
      <c r="OX247" s="262"/>
      <c r="OY247" s="262"/>
      <c r="OZ247" s="262"/>
      <c r="PA247" s="262"/>
      <c r="PB247" s="262"/>
      <c r="PC247" s="262"/>
      <c r="PD247" s="262"/>
      <c r="PE247" s="262"/>
      <c r="PF247" s="262"/>
      <c r="PG247" s="262"/>
      <c r="PH247" s="262"/>
    </row>
    <row r="248" spans="1:424" x14ac:dyDescent="0.35">
      <c r="A248"/>
      <c r="B248" s="411" t="s">
        <v>459</v>
      </c>
      <c r="C248" s="397"/>
      <c r="D248" s="397"/>
      <c r="E248" s="468" t="s">
        <v>460</v>
      </c>
      <c r="F248" s="468"/>
      <c r="G248" s="397"/>
      <c r="H248" s="412" t="s">
        <v>461</v>
      </c>
      <c r="I248" s="412" t="s">
        <v>462</v>
      </c>
      <c r="J248"/>
      <c r="K248"/>
      <c r="L248" s="196">
        <f>L227</f>
        <v>0</v>
      </c>
      <c r="M248" s="196">
        <f t="shared" ref="M248:BX248" si="809">M227</f>
        <v>1</v>
      </c>
      <c r="N248" s="196">
        <f t="shared" si="809"/>
        <v>2</v>
      </c>
      <c r="O248" s="196">
        <f t="shared" si="809"/>
        <v>3</v>
      </c>
      <c r="P248" s="196">
        <f t="shared" si="809"/>
        <v>4</v>
      </c>
      <c r="Q248" s="196">
        <f t="shared" si="809"/>
        <v>5</v>
      </c>
      <c r="R248" s="196">
        <f t="shared" si="809"/>
        <v>6</v>
      </c>
      <c r="S248" s="196">
        <f t="shared" si="809"/>
        <v>7</v>
      </c>
      <c r="T248" s="196">
        <f t="shared" si="809"/>
        <v>8</v>
      </c>
      <c r="U248" s="196">
        <f t="shared" si="809"/>
        <v>9</v>
      </c>
      <c r="V248" s="196">
        <f t="shared" si="809"/>
        <v>10</v>
      </c>
      <c r="W248" s="196">
        <f t="shared" si="809"/>
        <v>11</v>
      </c>
      <c r="X248" s="196">
        <f t="shared" si="809"/>
        <v>12</v>
      </c>
      <c r="Y248" s="196">
        <f t="shared" si="809"/>
        <v>13</v>
      </c>
      <c r="Z248" s="196">
        <f t="shared" si="809"/>
        <v>14</v>
      </c>
      <c r="AA248" s="196">
        <f t="shared" si="809"/>
        <v>15</v>
      </c>
      <c r="AB248" s="196">
        <f t="shared" si="809"/>
        <v>16</v>
      </c>
      <c r="AC248" s="196">
        <f t="shared" si="809"/>
        <v>17</v>
      </c>
      <c r="AD248" s="196">
        <f t="shared" si="809"/>
        <v>18</v>
      </c>
      <c r="AE248" s="196">
        <f t="shared" si="809"/>
        <v>19</v>
      </c>
      <c r="AF248" s="196">
        <f t="shared" si="809"/>
        <v>20</v>
      </c>
      <c r="AG248" s="196">
        <f t="shared" si="809"/>
        <v>21</v>
      </c>
      <c r="AH248" s="196">
        <f t="shared" si="809"/>
        <v>22</v>
      </c>
      <c r="AI248" s="196">
        <f t="shared" si="809"/>
        <v>23</v>
      </c>
      <c r="AJ248" s="196">
        <f t="shared" si="809"/>
        <v>24</v>
      </c>
      <c r="AK248" s="196">
        <f t="shared" si="809"/>
        <v>25</v>
      </c>
      <c r="AL248" s="196">
        <f t="shared" si="809"/>
        <v>26</v>
      </c>
      <c r="AM248" s="196">
        <f t="shared" si="809"/>
        <v>27</v>
      </c>
      <c r="AN248" s="196">
        <f t="shared" si="809"/>
        <v>28</v>
      </c>
      <c r="AO248" s="196">
        <f t="shared" si="809"/>
        <v>29</v>
      </c>
      <c r="AP248" s="196">
        <f t="shared" si="809"/>
        <v>30</v>
      </c>
      <c r="AQ248" s="196">
        <f t="shared" si="809"/>
        <v>31</v>
      </c>
      <c r="AR248" s="196">
        <f t="shared" si="809"/>
        <v>32</v>
      </c>
      <c r="AS248" s="196">
        <f t="shared" si="809"/>
        <v>33</v>
      </c>
      <c r="AT248" s="196">
        <f t="shared" si="809"/>
        <v>34</v>
      </c>
      <c r="AU248" s="196">
        <f t="shared" si="809"/>
        <v>35</v>
      </c>
      <c r="AV248" s="196">
        <f t="shared" si="809"/>
        <v>36</v>
      </c>
      <c r="AW248" s="196">
        <f t="shared" si="809"/>
        <v>37</v>
      </c>
      <c r="AX248" s="196">
        <f t="shared" si="809"/>
        <v>38</v>
      </c>
      <c r="AY248" s="196">
        <f t="shared" si="809"/>
        <v>39</v>
      </c>
      <c r="AZ248" s="196">
        <f t="shared" si="809"/>
        <v>40</v>
      </c>
      <c r="BA248" s="196">
        <f t="shared" si="809"/>
        <v>41</v>
      </c>
      <c r="BB248" s="196">
        <f t="shared" si="809"/>
        <v>42</v>
      </c>
      <c r="BC248" s="196">
        <f t="shared" si="809"/>
        <v>43</v>
      </c>
      <c r="BD248" s="196">
        <f t="shared" si="809"/>
        <v>44</v>
      </c>
      <c r="BE248" s="196">
        <f t="shared" si="809"/>
        <v>45</v>
      </c>
      <c r="BF248" s="196">
        <f t="shared" si="809"/>
        <v>46</v>
      </c>
      <c r="BG248" s="196">
        <f t="shared" si="809"/>
        <v>47</v>
      </c>
      <c r="BH248" s="196">
        <f t="shared" si="809"/>
        <v>48</v>
      </c>
      <c r="BI248" s="196">
        <f t="shared" si="809"/>
        <v>49</v>
      </c>
      <c r="BJ248" s="196">
        <f t="shared" si="809"/>
        <v>50</v>
      </c>
      <c r="BK248" s="196">
        <f t="shared" si="809"/>
        <v>51</v>
      </c>
      <c r="BL248" s="196">
        <f t="shared" si="809"/>
        <v>52</v>
      </c>
      <c r="BM248" s="196">
        <f t="shared" si="809"/>
        <v>53</v>
      </c>
      <c r="BN248" s="196">
        <f t="shared" si="809"/>
        <v>54</v>
      </c>
      <c r="BO248" s="196">
        <f t="shared" si="809"/>
        <v>55</v>
      </c>
      <c r="BP248" s="196">
        <f t="shared" si="809"/>
        <v>56</v>
      </c>
      <c r="BQ248" s="196">
        <f t="shared" si="809"/>
        <v>57</v>
      </c>
      <c r="BR248" s="196">
        <f t="shared" si="809"/>
        <v>58</v>
      </c>
      <c r="BS248" s="196">
        <f t="shared" si="809"/>
        <v>59</v>
      </c>
      <c r="BT248" s="196">
        <f t="shared" si="809"/>
        <v>60</v>
      </c>
      <c r="BU248" s="196">
        <f t="shared" si="809"/>
        <v>61</v>
      </c>
      <c r="BV248" s="196" t="str">
        <f t="shared" si="809"/>
        <v/>
      </c>
      <c r="BW248" s="196" t="str">
        <f t="shared" si="809"/>
        <v/>
      </c>
      <c r="BX248" s="196" t="str">
        <f t="shared" si="809"/>
        <v/>
      </c>
      <c r="BY248" s="196" t="str">
        <f t="shared" ref="BY248:EJ248" si="810">BY227</f>
        <v/>
      </c>
      <c r="BZ248" s="196" t="str">
        <f t="shared" si="810"/>
        <v/>
      </c>
      <c r="CA248" s="196" t="str">
        <f t="shared" si="810"/>
        <v/>
      </c>
      <c r="CB248" s="196" t="str">
        <f t="shared" si="810"/>
        <v/>
      </c>
      <c r="CC248" s="196" t="str">
        <f t="shared" si="810"/>
        <v/>
      </c>
      <c r="CD248" s="196" t="str">
        <f t="shared" si="810"/>
        <v/>
      </c>
      <c r="CE248" s="196" t="str">
        <f t="shared" si="810"/>
        <v/>
      </c>
      <c r="CF248" s="196" t="str">
        <f t="shared" si="810"/>
        <v/>
      </c>
      <c r="CG248" s="196" t="str">
        <f t="shared" si="810"/>
        <v/>
      </c>
      <c r="CH248" s="196" t="str">
        <f t="shared" si="810"/>
        <v/>
      </c>
      <c r="CI248" s="196" t="str">
        <f t="shared" si="810"/>
        <v/>
      </c>
      <c r="CJ248" s="196" t="str">
        <f t="shared" si="810"/>
        <v/>
      </c>
      <c r="CK248" s="196" t="str">
        <f t="shared" si="810"/>
        <v/>
      </c>
      <c r="CL248" s="196" t="str">
        <f t="shared" si="810"/>
        <v/>
      </c>
      <c r="CM248" s="196" t="str">
        <f t="shared" si="810"/>
        <v/>
      </c>
      <c r="CN248" s="196" t="str">
        <f t="shared" si="810"/>
        <v/>
      </c>
      <c r="CO248" s="196" t="str">
        <f t="shared" si="810"/>
        <v/>
      </c>
      <c r="CP248" s="196" t="str">
        <f t="shared" si="810"/>
        <v/>
      </c>
      <c r="CQ248" s="196" t="str">
        <f t="shared" si="810"/>
        <v/>
      </c>
      <c r="CR248" s="196" t="str">
        <f t="shared" si="810"/>
        <v/>
      </c>
      <c r="CS248" s="196" t="str">
        <f t="shared" si="810"/>
        <v/>
      </c>
      <c r="CT248" s="196" t="str">
        <f t="shared" si="810"/>
        <v/>
      </c>
      <c r="CU248" s="196" t="str">
        <f t="shared" si="810"/>
        <v/>
      </c>
      <c r="CV248" s="196" t="str">
        <f t="shared" si="810"/>
        <v/>
      </c>
      <c r="CW248" s="196" t="str">
        <f t="shared" si="810"/>
        <v/>
      </c>
      <c r="CX248" s="196" t="str">
        <f t="shared" si="810"/>
        <v/>
      </c>
      <c r="CY248" s="196" t="str">
        <f t="shared" si="810"/>
        <v/>
      </c>
      <c r="CZ248" s="196" t="str">
        <f t="shared" si="810"/>
        <v/>
      </c>
      <c r="DA248" s="196" t="str">
        <f t="shared" si="810"/>
        <v/>
      </c>
      <c r="DB248" s="196" t="str">
        <f t="shared" si="810"/>
        <v/>
      </c>
      <c r="DC248" s="196" t="str">
        <f t="shared" si="810"/>
        <v/>
      </c>
      <c r="DD248" s="196" t="str">
        <f t="shared" si="810"/>
        <v/>
      </c>
      <c r="DE248" s="196" t="str">
        <f t="shared" si="810"/>
        <v/>
      </c>
      <c r="DF248" s="196" t="str">
        <f t="shared" si="810"/>
        <v/>
      </c>
      <c r="DG248" s="196" t="str">
        <f t="shared" si="810"/>
        <v/>
      </c>
      <c r="DH248" s="196" t="str">
        <f t="shared" si="810"/>
        <v/>
      </c>
      <c r="DI248" s="196" t="str">
        <f t="shared" si="810"/>
        <v/>
      </c>
      <c r="DJ248" s="196" t="str">
        <f t="shared" si="810"/>
        <v/>
      </c>
      <c r="DK248" s="196" t="str">
        <f t="shared" si="810"/>
        <v/>
      </c>
      <c r="DL248" s="196" t="str">
        <f t="shared" si="810"/>
        <v/>
      </c>
      <c r="DM248" s="196" t="str">
        <f t="shared" si="810"/>
        <v/>
      </c>
      <c r="DN248" s="196" t="str">
        <f t="shared" si="810"/>
        <v/>
      </c>
      <c r="DO248" s="196" t="str">
        <f t="shared" si="810"/>
        <v/>
      </c>
      <c r="DP248" s="196" t="str">
        <f t="shared" si="810"/>
        <v/>
      </c>
      <c r="DQ248" s="196" t="str">
        <f t="shared" si="810"/>
        <v/>
      </c>
      <c r="DR248" s="196" t="str">
        <f t="shared" si="810"/>
        <v/>
      </c>
      <c r="DS248" s="196" t="str">
        <f t="shared" si="810"/>
        <v/>
      </c>
      <c r="DT248" s="196" t="str">
        <f t="shared" si="810"/>
        <v/>
      </c>
      <c r="DU248" s="196" t="str">
        <f t="shared" si="810"/>
        <v/>
      </c>
      <c r="DV248" s="196" t="str">
        <f t="shared" si="810"/>
        <v/>
      </c>
      <c r="DW248" s="196" t="str">
        <f t="shared" si="810"/>
        <v/>
      </c>
      <c r="DX248" s="196" t="str">
        <f t="shared" si="810"/>
        <v/>
      </c>
      <c r="DY248" s="196" t="str">
        <f t="shared" si="810"/>
        <v/>
      </c>
      <c r="DZ248" s="196" t="str">
        <f t="shared" si="810"/>
        <v/>
      </c>
      <c r="EA248" s="196" t="str">
        <f t="shared" si="810"/>
        <v/>
      </c>
      <c r="EB248" s="196" t="str">
        <f t="shared" si="810"/>
        <v/>
      </c>
      <c r="EC248" s="196" t="str">
        <f t="shared" si="810"/>
        <v/>
      </c>
      <c r="ED248" s="196" t="str">
        <f t="shared" si="810"/>
        <v/>
      </c>
      <c r="EE248" s="196" t="str">
        <f t="shared" si="810"/>
        <v/>
      </c>
      <c r="EF248" s="196" t="str">
        <f t="shared" si="810"/>
        <v/>
      </c>
      <c r="EG248" s="196" t="str">
        <f t="shared" si="810"/>
        <v/>
      </c>
      <c r="EH248" s="196" t="str">
        <f t="shared" si="810"/>
        <v/>
      </c>
      <c r="EI248" s="196" t="str">
        <f t="shared" si="810"/>
        <v/>
      </c>
      <c r="EJ248" s="196" t="str">
        <f t="shared" si="810"/>
        <v/>
      </c>
      <c r="EK248" s="196" t="str">
        <f>EK227</f>
        <v/>
      </c>
      <c r="EL248" s="196" t="str">
        <f>EL227</f>
        <v/>
      </c>
      <c r="EM248" s="196" t="str">
        <f>EM227</f>
        <v/>
      </c>
      <c r="EN248" s="196" t="str">
        <f>EN227</f>
        <v/>
      </c>
      <c r="EO248"/>
      <c r="EP248" s="405"/>
      <c r="EQ248" s="18"/>
      <c r="ER248" s="18"/>
      <c r="ES248" s="18"/>
      <c r="ET248" s="18" t="s">
        <v>452</v>
      </c>
      <c r="EU248" s="18"/>
      <c r="EV248" s="418">
        <f t="shared" ref="EV248:GA248" si="811">(EV$197&lt;=Timing_Reversion_Month)*(EV247*((1+$EP249)^(1/12)-1))</f>
        <v>0</v>
      </c>
      <c r="EW248" s="418">
        <f t="shared" si="811"/>
        <v>0</v>
      </c>
      <c r="EX248" s="418">
        <f t="shared" si="811"/>
        <v>0</v>
      </c>
      <c r="EY248" s="418">
        <f t="shared" si="811"/>
        <v>0</v>
      </c>
      <c r="EZ248" s="418">
        <f t="shared" si="811"/>
        <v>0</v>
      </c>
      <c r="FA248" s="418">
        <f t="shared" si="811"/>
        <v>0</v>
      </c>
      <c r="FB248" s="418">
        <f t="shared" si="811"/>
        <v>0</v>
      </c>
      <c r="FC248" s="418">
        <f t="shared" si="811"/>
        <v>0</v>
      </c>
      <c r="FD248" s="418">
        <f t="shared" si="811"/>
        <v>0</v>
      </c>
      <c r="FE248" s="418">
        <f t="shared" si="811"/>
        <v>0</v>
      </c>
      <c r="FF248" s="418">
        <f t="shared" si="811"/>
        <v>0</v>
      </c>
      <c r="FG248" s="418">
        <f t="shared" si="811"/>
        <v>0</v>
      </c>
      <c r="FH248" s="418">
        <f t="shared" si="811"/>
        <v>0</v>
      </c>
      <c r="FI248" s="418">
        <f t="shared" si="811"/>
        <v>0</v>
      </c>
      <c r="FJ248" s="418">
        <f t="shared" si="811"/>
        <v>0</v>
      </c>
      <c r="FK248" s="418">
        <f t="shared" si="811"/>
        <v>0</v>
      </c>
      <c r="FL248" s="418">
        <f t="shared" si="811"/>
        <v>0</v>
      </c>
      <c r="FM248" s="418">
        <f t="shared" si="811"/>
        <v>0</v>
      </c>
      <c r="FN248" s="418">
        <f t="shared" si="811"/>
        <v>0</v>
      </c>
      <c r="FO248" s="418">
        <f t="shared" si="811"/>
        <v>0</v>
      </c>
      <c r="FP248" s="418">
        <f t="shared" si="811"/>
        <v>0</v>
      </c>
      <c r="FQ248" s="418">
        <f t="shared" si="811"/>
        <v>0</v>
      </c>
      <c r="FR248" s="418">
        <f t="shared" si="811"/>
        <v>0</v>
      </c>
      <c r="FS248" s="418">
        <f t="shared" si="811"/>
        <v>0</v>
      </c>
      <c r="FT248" s="418">
        <f t="shared" si="811"/>
        <v>0</v>
      </c>
      <c r="FU248" s="418">
        <f t="shared" si="811"/>
        <v>0</v>
      </c>
      <c r="FV248" s="418">
        <f t="shared" si="811"/>
        <v>0</v>
      </c>
      <c r="FW248" s="418">
        <f t="shared" si="811"/>
        <v>0</v>
      </c>
      <c r="FX248" s="418">
        <f t="shared" si="811"/>
        <v>0</v>
      </c>
      <c r="FY248" s="418">
        <f t="shared" si="811"/>
        <v>0</v>
      </c>
      <c r="FZ248" s="418">
        <f t="shared" si="811"/>
        <v>0</v>
      </c>
      <c r="GA248" s="418">
        <f t="shared" si="811"/>
        <v>0</v>
      </c>
      <c r="GB248" s="418">
        <f t="shared" ref="GB248:HG248" si="812">(GB$197&lt;=Timing_Reversion_Month)*(GB247*((1+$EP249)^(1/12)-1))</f>
        <v>0</v>
      </c>
      <c r="GC248" s="418">
        <f t="shared" si="812"/>
        <v>0</v>
      </c>
      <c r="GD248" s="418">
        <f t="shared" si="812"/>
        <v>0</v>
      </c>
      <c r="GE248" s="418">
        <f t="shared" si="812"/>
        <v>0</v>
      </c>
      <c r="GF248" s="418">
        <f t="shared" si="812"/>
        <v>0</v>
      </c>
      <c r="GG248" s="418">
        <f t="shared" si="812"/>
        <v>0</v>
      </c>
      <c r="GH248" s="418">
        <f t="shared" si="812"/>
        <v>0</v>
      </c>
      <c r="GI248" s="418">
        <f t="shared" si="812"/>
        <v>0</v>
      </c>
      <c r="GJ248" s="418">
        <f t="shared" si="812"/>
        <v>0</v>
      </c>
      <c r="GK248" s="418">
        <f t="shared" si="812"/>
        <v>0</v>
      </c>
      <c r="GL248" s="418">
        <f t="shared" si="812"/>
        <v>0</v>
      </c>
      <c r="GM248" s="418">
        <f t="shared" si="812"/>
        <v>0</v>
      </c>
      <c r="GN248" s="418">
        <f t="shared" si="812"/>
        <v>0</v>
      </c>
      <c r="GO248" s="418">
        <f t="shared" si="812"/>
        <v>0</v>
      </c>
      <c r="GP248" s="418">
        <f t="shared" si="812"/>
        <v>0</v>
      </c>
      <c r="GQ248" s="418">
        <f t="shared" si="812"/>
        <v>0</v>
      </c>
      <c r="GR248" s="418">
        <f t="shared" si="812"/>
        <v>0</v>
      </c>
      <c r="GS248" s="418">
        <f t="shared" si="812"/>
        <v>0</v>
      </c>
      <c r="GT248" s="418">
        <f t="shared" si="812"/>
        <v>0</v>
      </c>
      <c r="GU248" s="418">
        <f t="shared" si="812"/>
        <v>0</v>
      </c>
      <c r="GV248" s="418">
        <f t="shared" si="812"/>
        <v>0</v>
      </c>
      <c r="GW248" s="418">
        <f t="shared" si="812"/>
        <v>0</v>
      </c>
      <c r="GX248" s="418">
        <f t="shared" si="812"/>
        <v>0</v>
      </c>
      <c r="GY248" s="418">
        <f t="shared" si="812"/>
        <v>0</v>
      </c>
      <c r="GZ248" s="418">
        <f t="shared" si="812"/>
        <v>0</v>
      </c>
      <c r="HA248" s="418">
        <f t="shared" si="812"/>
        <v>0</v>
      </c>
      <c r="HB248" s="418">
        <f t="shared" si="812"/>
        <v>0</v>
      </c>
      <c r="HC248" s="418">
        <f t="shared" si="812"/>
        <v>0</v>
      </c>
      <c r="HD248" s="418">
        <f t="shared" si="812"/>
        <v>0</v>
      </c>
      <c r="HE248" s="418">
        <f t="shared" si="812"/>
        <v>0</v>
      </c>
      <c r="HF248" s="418">
        <f t="shared" si="812"/>
        <v>0</v>
      </c>
      <c r="HG248" s="418">
        <f t="shared" si="812"/>
        <v>0</v>
      </c>
      <c r="HH248" s="418">
        <f t="shared" ref="HH248:IM248" si="813">(HH$197&lt;=Timing_Reversion_Month)*(HH247*((1+$EP249)^(1/12)-1))</f>
        <v>0</v>
      </c>
      <c r="HI248" s="418">
        <f t="shared" si="813"/>
        <v>0</v>
      </c>
      <c r="HJ248" s="418">
        <f t="shared" si="813"/>
        <v>0</v>
      </c>
      <c r="HK248" s="418">
        <f t="shared" si="813"/>
        <v>0</v>
      </c>
      <c r="HL248" s="418">
        <f t="shared" si="813"/>
        <v>0</v>
      </c>
      <c r="HM248" s="418">
        <f t="shared" si="813"/>
        <v>0</v>
      </c>
      <c r="HN248" s="418">
        <f t="shared" si="813"/>
        <v>0</v>
      </c>
      <c r="HO248" s="418">
        <f t="shared" si="813"/>
        <v>0</v>
      </c>
      <c r="HP248" s="418">
        <f t="shared" si="813"/>
        <v>0</v>
      </c>
      <c r="HQ248" s="418">
        <f t="shared" si="813"/>
        <v>0</v>
      </c>
      <c r="HR248" s="418">
        <f t="shared" si="813"/>
        <v>0</v>
      </c>
      <c r="HS248" s="418">
        <f t="shared" si="813"/>
        <v>0</v>
      </c>
      <c r="HT248" s="418">
        <f t="shared" si="813"/>
        <v>0</v>
      </c>
      <c r="HU248" s="418">
        <f t="shared" si="813"/>
        <v>0</v>
      </c>
      <c r="HV248" s="418">
        <f t="shared" si="813"/>
        <v>0</v>
      </c>
      <c r="HW248" s="418">
        <f t="shared" si="813"/>
        <v>0</v>
      </c>
      <c r="HX248" s="418">
        <f t="shared" si="813"/>
        <v>0</v>
      </c>
      <c r="HY248" s="418">
        <f t="shared" si="813"/>
        <v>0</v>
      </c>
      <c r="HZ248" s="418">
        <f t="shared" si="813"/>
        <v>0</v>
      </c>
      <c r="IA248" s="418">
        <f t="shared" si="813"/>
        <v>0</v>
      </c>
      <c r="IB248" s="418">
        <f t="shared" si="813"/>
        <v>0</v>
      </c>
      <c r="IC248" s="418">
        <f t="shared" si="813"/>
        <v>0</v>
      </c>
      <c r="ID248" s="418">
        <f t="shared" si="813"/>
        <v>0</v>
      </c>
      <c r="IE248" s="418">
        <f t="shared" si="813"/>
        <v>0</v>
      </c>
      <c r="IF248" s="418">
        <f t="shared" si="813"/>
        <v>0</v>
      </c>
      <c r="IG248" s="418">
        <f t="shared" si="813"/>
        <v>0</v>
      </c>
      <c r="IH248" s="418">
        <f t="shared" si="813"/>
        <v>0</v>
      </c>
      <c r="II248" s="418">
        <f t="shared" si="813"/>
        <v>0</v>
      </c>
      <c r="IJ248" s="418">
        <f t="shared" si="813"/>
        <v>0</v>
      </c>
      <c r="IK248" s="418">
        <f t="shared" si="813"/>
        <v>0</v>
      </c>
      <c r="IL248" s="418">
        <f t="shared" si="813"/>
        <v>0</v>
      </c>
      <c r="IM248" s="418">
        <f t="shared" si="813"/>
        <v>0</v>
      </c>
      <c r="IN248" s="418">
        <f t="shared" ref="IN248:JS248" si="814">(IN$197&lt;=Timing_Reversion_Month)*(IN247*((1+$EP249)^(1/12)-1))</f>
        <v>0</v>
      </c>
      <c r="IO248" s="418">
        <f t="shared" si="814"/>
        <v>0</v>
      </c>
      <c r="IP248" s="418">
        <f t="shared" si="814"/>
        <v>0</v>
      </c>
      <c r="IQ248" s="418">
        <f t="shared" si="814"/>
        <v>0</v>
      </c>
      <c r="IR248" s="418">
        <f t="shared" si="814"/>
        <v>0</v>
      </c>
      <c r="IS248" s="418">
        <f t="shared" si="814"/>
        <v>0</v>
      </c>
      <c r="IT248" s="418">
        <f t="shared" si="814"/>
        <v>0</v>
      </c>
      <c r="IU248" s="418">
        <f t="shared" si="814"/>
        <v>0</v>
      </c>
      <c r="IV248" s="418">
        <f t="shared" si="814"/>
        <v>0</v>
      </c>
      <c r="IW248" s="418">
        <f t="shared" si="814"/>
        <v>0</v>
      </c>
      <c r="IX248" s="418">
        <f t="shared" si="814"/>
        <v>0</v>
      </c>
      <c r="IY248" s="418">
        <f t="shared" si="814"/>
        <v>0</v>
      </c>
      <c r="IZ248" s="418">
        <f t="shared" si="814"/>
        <v>0</v>
      </c>
      <c r="JA248" s="418">
        <f t="shared" si="814"/>
        <v>0</v>
      </c>
      <c r="JB248" s="418">
        <f t="shared" si="814"/>
        <v>0</v>
      </c>
      <c r="JC248" s="418">
        <f t="shared" si="814"/>
        <v>0</v>
      </c>
      <c r="JD248" s="418">
        <f t="shared" si="814"/>
        <v>0</v>
      </c>
      <c r="JE248" s="418">
        <f t="shared" si="814"/>
        <v>0</v>
      </c>
      <c r="JF248" s="418">
        <f t="shared" si="814"/>
        <v>0</v>
      </c>
      <c r="JG248" s="418">
        <f t="shared" si="814"/>
        <v>0</v>
      </c>
      <c r="JH248" s="418">
        <f t="shared" si="814"/>
        <v>0</v>
      </c>
      <c r="JI248" s="418">
        <f t="shared" si="814"/>
        <v>0</v>
      </c>
      <c r="JJ248" s="418">
        <f t="shared" si="814"/>
        <v>0</v>
      </c>
      <c r="JK248" s="418">
        <f t="shared" si="814"/>
        <v>0</v>
      </c>
      <c r="JL248" s="418">
        <f t="shared" si="814"/>
        <v>0</v>
      </c>
      <c r="JM248" s="418">
        <f t="shared" si="814"/>
        <v>0</v>
      </c>
      <c r="JN248" s="418">
        <f t="shared" si="814"/>
        <v>0</v>
      </c>
      <c r="JO248" s="418">
        <f t="shared" si="814"/>
        <v>0</v>
      </c>
      <c r="JP248" s="418">
        <f t="shared" si="814"/>
        <v>0</v>
      </c>
      <c r="JQ248" s="418">
        <f t="shared" si="814"/>
        <v>0</v>
      </c>
      <c r="JR248" s="418">
        <f t="shared" si="814"/>
        <v>0</v>
      </c>
      <c r="JS248" s="418">
        <f t="shared" si="814"/>
        <v>0</v>
      </c>
      <c r="JT248" s="418">
        <f>(JT$197&lt;=Timing_Reversion_Month)*(JT247*((1+$EP249)^(1/12)-1))</f>
        <v>0</v>
      </c>
      <c r="JU248" s="418">
        <f>(JU$197&lt;=Timing_Reversion_Month)*(JU247*((1+$EP249)^(1/12)-1))</f>
        <v>0</v>
      </c>
      <c r="JV248" s="418">
        <f>(JV$197&lt;=Timing_Reversion_Month)*(JV247*((1+$EP249)^(1/12)-1))</f>
        <v>0</v>
      </c>
      <c r="JW248" s="418">
        <f>(JW$197&lt;=Timing_Reversion_Month)*(JW247*((1+$EP249)^(1/12)-1))</f>
        <v>0</v>
      </c>
      <c r="JX248" s="418">
        <f>(JX$197&lt;=Timing_Reversion_Month)*(JX247*((1+$EP249)^(1/12)-1))</f>
        <v>0</v>
      </c>
      <c r="JY248"/>
      <c r="JZ248" s="262"/>
      <c r="KA248" s="262"/>
      <c r="KB248" s="262"/>
      <c r="KC248" s="262"/>
      <c r="KD248" s="262"/>
      <c r="KE248" s="262"/>
      <c r="KF248" s="262"/>
      <c r="KG248" s="262"/>
      <c r="KH248" s="262"/>
      <c r="KI248" s="262"/>
      <c r="KJ248" s="262"/>
      <c r="KK248" s="262"/>
      <c r="KL248" s="262"/>
      <c r="KM248" s="262"/>
      <c r="KN248" s="262"/>
      <c r="KO248" s="262"/>
      <c r="KP248" s="262"/>
      <c r="KQ248" s="262"/>
      <c r="KR248" s="262"/>
      <c r="KS248" s="262"/>
      <c r="KT248" s="262"/>
      <c r="KU248" s="262"/>
      <c r="KV248" s="262"/>
      <c r="KW248" s="262"/>
      <c r="KX248" s="262"/>
      <c r="KY248" s="262"/>
      <c r="KZ248" s="262"/>
      <c r="LA248" s="262"/>
      <c r="LB248" s="262"/>
      <c r="LC248" s="262"/>
      <c r="LD248" s="262"/>
      <c r="LE248" s="262"/>
      <c r="LF248" s="262"/>
      <c r="LG248" s="262"/>
      <c r="LH248" s="262"/>
      <c r="LI248" s="262"/>
      <c r="LJ248" s="262"/>
      <c r="LK248" s="262"/>
      <c r="LL248" s="262"/>
      <c r="LM248" s="262"/>
      <c r="LN248" s="262"/>
      <c r="LO248" s="262"/>
      <c r="LP248" s="262"/>
      <c r="LQ248" s="262"/>
      <c r="LR248" s="262"/>
      <c r="LS248" s="262"/>
      <c r="LT248" s="262"/>
      <c r="LU248" s="262"/>
      <c r="LV248" s="262"/>
      <c r="LW248" s="262"/>
      <c r="LX248" s="262"/>
      <c r="LY248" s="262"/>
      <c r="LZ248" s="262"/>
      <c r="MA248" s="262"/>
      <c r="MB248" s="262"/>
      <c r="MC248" s="262"/>
      <c r="MD248" s="262"/>
      <c r="ME248" s="262"/>
      <c r="MF248" s="262"/>
      <c r="MG248" s="262"/>
      <c r="MH248" s="262"/>
      <c r="MI248" s="262"/>
      <c r="MJ248" s="262"/>
      <c r="MK248" s="262"/>
      <c r="ML248" s="262"/>
      <c r="MM248" s="262"/>
      <c r="MN248" s="262"/>
      <c r="MO248" s="262"/>
      <c r="MP248" s="262"/>
      <c r="MQ248" s="262"/>
      <c r="MR248" s="262"/>
      <c r="MS248" s="262"/>
      <c r="MT248" s="262"/>
      <c r="MU248" s="262"/>
      <c r="MV248" s="262"/>
      <c r="MW248" s="262"/>
      <c r="MX248" s="262"/>
      <c r="MY248" s="262"/>
      <c r="MZ248" s="262"/>
      <c r="NA248" s="262"/>
      <c r="NB248" s="262"/>
      <c r="NC248" s="262"/>
      <c r="ND248" s="262"/>
      <c r="NE248" s="262"/>
      <c r="NF248" s="262"/>
      <c r="NG248" s="262"/>
      <c r="NH248" s="262"/>
      <c r="NI248" s="262"/>
      <c r="NJ248" s="262"/>
      <c r="NK248" s="262"/>
      <c r="NL248" s="262"/>
      <c r="NM248" s="262"/>
      <c r="NN248" s="262"/>
      <c r="NO248" s="262"/>
      <c r="NP248" s="262"/>
      <c r="NQ248" s="262"/>
      <c r="NR248" s="262"/>
      <c r="NS248" s="262"/>
      <c r="NT248" s="262"/>
      <c r="NU248" s="262"/>
      <c r="NV248" s="262"/>
      <c r="NW248" s="262"/>
      <c r="NX248" s="262"/>
      <c r="NY248" s="262"/>
      <c r="NZ248" s="262"/>
      <c r="OA248" s="262"/>
      <c r="OB248" s="262"/>
      <c r="OC248" s="262"/>
      <c r="OD248" s="262"/>
      <c r="OE248" s="262"/>
      <c r="OF248" s="262"/>
      <c r="OG248" s="262"/>
      <c r="OH248" s="262"/>
      <c r="OI248" s="262"/>
      <c r="OJ248" s="262"/>
      <c r="OK248" s="262"/>
      <c r="OL248" s="262"/>
      <c r="OM248" s="262"/>
      <c r="ON248" s="262"/>
      <c r="OO248" s="262"/>
      <c r="OP248" s="262"/>
      <c r="OQ248" s="262"/>
      <c r="OR248" s="262"/>
      <c r="OS248" s="262"/>
      <c r="OT248" s="262"/>
      <c r="OU248" s="262"/>
      <c r="OV248" s="262"/>
      <c r="OW248" s="262"/>
      <c r="OX248" s="262"/>
      <c r="OY248" s="262"/>
      <c r="OZ248" s="262"/>
      <c r="PA248" s="262"/>
      <c r="PB248" s="262"/>
      <c r="PC248" s="262"/>
      <c r="PD248" s="262"/>
      <c r="PE248" s="262"/>
      <c r="PF248" s="262"/>
      <c r="PG248" s="262"/>
      <c r="PH248" s="262"/>
    </row>
    <row r="249" spans="1:424" x14ac:dyDescent="0.35">
      <c r="A249"/>
      <c r="B249" s="34" t="s">
        <v>463</v>
      </c>
      <c r="C249" s="543" t="s">
        <v>464</v>
      </c>
      <c r="D249" s="397"/>
      <c r="E249" s="52">
        <f>H249</f>
        <v>0.05</v>
      </c>
      <c r="F249" s="88"/>
      <c r="G249" s="397"/>
      <c r="H249" s="53">
        <v>0.05</v>
      </c>
      <c r="I249" s="445">
        <f>SUM(L249:EN249)</f>
        <v>0</v>
      </c>
      <c r="J249"/>
      <c r="K249"/>
      <c r="L249" s="417">
        <f t="shared" ref="L249:U250" si="815">IF(L$227="","",L$228*$H249)</f>
        <v>0</v>
      </c>
      <c r="M249" s="417">
        <f t="shared" si="815"/>
        <v>0</v>
      </c>
      <c r="N249" s="417">
        <f t="shared" si="815"/>
        <v>0</v>
      </c>
      <c r="O249" s="417">
        <f t="shared" si="815"/>
        <v>0</v>
      </c>
      <c r="P249" s="417">
        <f t="shared" si="815"/>
        <v>0</v>
      </c>
      <c r="Q249" s="417">
        <f t="shared" si="815"/>
        <v>0</v>
      </c>
      <c r="R249" s="417">
        <f t="shared" si="815"/>
        <v>0</v>
      </c>
      <c r="S249" s="417">
        <f t="shared" si="815"/>
        <v>0</v>
      </c>
      <c r="T249" s="417">
        <f t="shared" si="815"/>
        <v>0</v>
      </c>
      <c r="U249" s="417">
        <f t="shared" si="815"/>
        <v>0</v>
      </c>
      <c r="V249" s="417">
        <f t="shared" ref="V249:AE250" si="816">IF(V$227="","",V$228*$H249)</f>
        <v>0</v>
      </c>
      <c r="W249" s="417">
        <f t="shared" si="816"/>
        <v>0</v>
      </c>
      <c r="X249" s="417">
        <f t="shared" si="816"/>
        <v>0</v>
      </c>
      <c r="Y249" s="417">
        <f t="shared" si="816"/>
        <v>0</v>
      </c>
      <c r="Z249" s="417">
        <f t="shared" si="816"/>
        <v>0</v>
      </c>
      <c r="AA249" s="417">
        <f t="shared" si="816"/>
        <v>0</v>
      </c>
      <c r="AB249" s="417">
        <f t="shared" si="816"/>
        <v>0</v>
      </c>
      <c r="AC249" s="417">
        <f t="shared" si="816"/>
        <v>0</v>
      </c>
      <c r="AD249" s="417">
        <f t="shared" si="816"/>
        <v>0</v>
      </c>
      <c r="AE249" s="417">
        <f t="shared" si="816"/>
        <v>0</v>
      </c>
      <c r="AF249" s="417">
        <f t="shared" ref="AF249:AO250" si="817">IF(AF$227="","",AF$228*$H249)</f>
        <v>0</v>
      </c>
      <c r="AG249" s="417">
        <f t="shared" si="817"/>
        <v>0</v>
      </c>
      <c r="AH249" s="417">
        <f t="shared" si="817"/>
        <v>0</v>
      </c>
      <c r="AI249" s="417">
        <f t="shared" si="817"/>
        <v>0</v>
      </c>
      <c r="AJ249" s="417">
        <f t="shared" si="817"/>
        <v>0</v>
      </c>
      <c r="AK249" s="417">
        <f t="shared" si="817"/>
        <v>0</v>
      </c>
      <c r="AL249" s="417">
        <f t="shared" si="817"/>
        <v>0</v>
      </c>
      <c r="AM249" s="417">
        <f t="shared" si="817"/>
        <v>0</v>
      </c>
      <c r="AN249" s="417">
        <f t="shared" si="817"/>
        <v>0</v>
      </c>
      <c r="AO249" s="417">
        <f t="shared" si="817"/>
        <v>0</v>
      </c>
      <c r="AP249" s="417">
        <f t="shared" ref="AP249:AY250" si="818">IF(AP$227="","",AP$228*$H249)</f>
        <v>0</v>
      </c>
      <c r="AQ249" s="417">
        <f t="shared" si="818"/>
        <v>0</v>
      </c>
      <c r="AR249" s="417">
        <f t="shared" si="818"/>
        <v>0</v>
      </c>
      <c r="AS249" s="417">
        <f t="shared" si="818"/>
        <v>0</v>
      </c>
      <c r="AT249" s="417">
        <f t="shared" si="818"/>
        <v>0</v>
      </c>
      <c r="AU249" s="417">
        <f t="shared" si="818"/>
        <v>0</v>
      </c>
      <c r="AV249" s="417">
        <f t="shared" si="818"/>
        <v>0</v>
      </c>
      <c r="AW249" s="417">
        <f t="shared" si="818"/>
        <v>0</v>
      </c>
      <c r="AX249" s="417">
        <f t="shared" si="818"/>
        <v>0</v>
      </c>
      <c r="AY249" s="417">
        <f t="shared" si="818"/>
        <v>0</v>
      </c>
      <c r="AZ249" s="417">
        <f t="shared" ref="AZ249:BI250" si="819">IF(AZ$227="","",AZ$228*$H249)</f>
        <v>0</v>
      </c>
      <c r="BA249" s="417">
        <f t="shared" si="819"/>
        <v>0</v>
      </c>
      <c r="BB249" s="417">
        <f t="shared" si="819"/>
        <v>0</v>
      </c>
      <c r="BC249" s="417">
        <f t="shared" si="819"/>
        <v>0</v>
      </c>
      <c r="BD249" s="75">
        <f t="shared" si="819"/>
        <v>0</v>
      </c>
      <c r="BE249" s="75">
        <f t="shared" si="819"/>
        <v>0</v>
      </c>
      <c r="BF249" s="75">
        <f t="shared" si="819"/>
        <v>0</v>
      </c>
      <c r="BG249" s="75">
        <f t="shared" si="819"/>
        <v>0</v>
      </c>
      <c r="BH249" s="75">
        <f t="shared" si="819"/>
        <v>0</v>
      </c>
      <c r="BI249" s="75">
        <f t="shared" si="819"/>
        <v>0</v>
      </c>
      <c r="BJ249" s="75">
        <f t="shared" ref="BJ249:BS250" si="820">IF(BJ$227="","",BJ$228*$H249)</f>
        <v>0</v>
      </c>
      <c r="BK249" s="75">
        <f t="shared" si="820"/>
        <v>0</v>
      </c>
      <c r="BL249" s="75">
        <f t="shared" si="820"/>
        <v>0</v>
      </c>
      <c r="BM249" s="75">
        <f t="shared" si="820"/>
        <v>0</v>
      </c>
      <c r="BN249" s="75">
        <f t="shared" si="820"/>
        <v>0</v>
      </c>
      <c r="BO249" s="75">
        <f t="shared" si="820"/>
        <v>0</v>
      </c>
      <c r="BP249" s="75">
        <f t="shared" si="820"/>
        <v>0</v>
      </c>
      <c r="BQ249" s="75">
        <f t="shared" si="820"/>
        <v>0</v>
      </c>
      <c r="BR249" s="75">
        <f t="shared" si="820"/>
        <v>0</v>
      </c>
      <c r="BS249" s="75">
        <f t="shared" si="820"/>
        <v>0</v>
      </c>
      <c r="BT249" s="75">
        <f t="shared" ref="BT249:CC250" si="821">IF(BT$227="","",BT$228*$H249)</f>
        <v>0</v>
      </c>
      <c r="BU249" s="75">
        <f t="shared" si="821"/>
        <v>0</v>
      </c>
      <c r="BV249" s="75" t="str">
        <f t="shared" si="821"/>
        <v/>
      </c>
      <c r="BW249" s="75" t="str">
        <f t="shared" si="821"/>
        <v/>
      </c>
      <c r="BX249" s="75" t="str">
        <f t="shared" si="821"/>
        <v/>
      </c>
      <c r="BY249" s="75" t="str">
        <f t="shared" si="821"/>
        <v/>
      </c>
      <c r="BZ249" s="75" t="str">
        <f t="shared" si="821"/>
        <v/>
      </c>
      <c r="CA249" s="75" t="str">
        <f t="shared" si="821"/>
        <v/>
      </c>
      <c r="CB249" s="75" t="str">
        <f t="shared" si="821"/>
        <v/>
      </c>
      <c r="CC249" s="75" t="str">
        <f t="shared" si="821"/>
        <v/>
      </c>
      <c r="CD249" s="75" t="str">
        <f t="shared" ref="CD249:CM250" si="822">IF(CD$227="","",CD$228*$H249)</f>
        <v/>
      </c>
      <c r="CE249" s="75" t="str">
        <f t="shared" si="822"/>
        <v/>
      </c>
      <c r="CF249" s="75" t="str">
        <f t="shared" si="822"/>
        <v/>
      </c>
      <c r="CG249" s="75" t="str">
        <f t="shared" si="822"/>
        <v/>
      </c>
      <c r="CH249" s="75" t="str">
        <f t="shared" si="822"/>
        <v/>
      </c>
      <c r="CI249" s="75" t="str">
        <f t="shared" si="822"/>
        <v/>
      </c>
      <c r="CJ249" s="75" t="str">
        <f t="shared" si="822"/>
        <v/>
      </c>
      <c r="CK249" s="75" t="str">
        <f t="shared" si="822"/>
        <v/>
      </c>
      <c r="CL249" s="75" t="str">
        <f t="shared" si="822"/>
        <v/>
      </c>
      <c r="CM249" s="75" t="str">
        <f t="shared" si="822"/>
        <v/>
      </c>
      <c r="CN249" s="75" t="str">
        <f t="shared" ref="CN249:CW250" si="823">IF(CN$227="","",CN$228*$H249)</f>
        <v/>
      </c>
      <c r="CO249" s="75" t="str">
        <f t="shared" si="823"/>
        <v/>
      </c>
      <c r="CP249" s="75" t="str">
        <f t="shared" si="823"/>
        <v/>
      </c>
      <c r="CQ249" s="75" t="str">
        <f t="shared" si="823"/>
        <v/>
      </c>
      <c r="CR249" s="75" t="str">
        <f t="shared" si="823"/>
        <v/>
      </c>
      <c r="CS249" s="75" t="str">
        <f t="shared" si="823"/>
        <v/>
      </c>
      <c r="CT249" s="75" t="str">
        <f t="shared" si="823"/>
        <v/>
      </c>
      <c r="CU249" s="75" t="str">
        <f t="shared" si="823"/>
        <v/>
      </c>
      <c r="CV249" s="75" t="str">
        <f t="shared" si="823"/>
        <v/>
      </c>
      <c r="CW249" s="75" t="str">
        <f t="shared" si="823"/>
        <v/>
      </c>
      <c r="CX249" s="75" t="str">
        <f t="shared" ref="CX249:DG250" si="824">IF(CX$227="","",CX$228*$H249)</f>
        <v/>
      </c>
      <c r="CY249" s="75" t="str">
        <f t="shared" si="824"/>
        <v/>
      </c>
      <c r="CZ249" s="75" t="str">
        <f t="shared" si="824"/>
        <v/>
      </c>
      <c r="DA249" s="75" t="str">
        <f t="shared" si="824"/>
        <v/>
      </c>
      <c r="DB249" s="75" t="str">
        <f t="shared" si="824"/>
        <v/>
      </c>
      <c r="DC249" s="75" t="str">
        <f t="shared" si="824"/>
        <v/>
      </c>
      <c r="DD249" s="75" t="str">
        <f t="shared" si="824"/>
        <v/>
      </c>
      <c r="DE249" s="75" t="str">
        <f t="shared" si="824"/>
        <v/>
      </c>
      <c r="DF249" s="75" t="str">
        <f t="shared" si="824"/>
        <v/>
      </c>
      <c r="DG249" s="75" t="str">
        <f t="shared" si="824"/>
        <v/>
      </c>
      <c r="DH249" s="75" t="str">
        <f t="shared" ref="DH249:DQ250" si="825">IF(DH$227="","",DH$228*$H249)</f>
        <v/>
      </c>
      <c r="DI249" s="75" t="str">
        <f t="shared" si="825"/>
        <v/>
      </c>
      <c r="DJ249" s="75" t="str">
        <f t="shared" si="825"/>
        <v/>
      </c>
      <c r="DK249" s="75" t="str">
        <f t="shared" si="825"/>
        <v/>
      </c>
      <c r="DL249" s="75" t="str">
        <f t="shared" si="825"/>
        <v/>
      </c>
      <c r="DM249" s="75" t="str">
        <f t="shared" si="825"/>
        <v/>
      </c>
      <c r="DN249" s="75" t="str">
        <f t="shared" si="825"/>
        <v/>
      </c>
      <c r="DO249" s="75" t="str">
        <f t="shared" si="825"/>
        <v/>
      </c>
      <c r="DP249" s="75" t="str">
        <f t="shared" si="825"/>
        <v/>
      </c>
      <c r="DQ249" s="75" t="str">
        <f t="shared" si="825"/>
        <v/>
      </c>
      <c r="DR249" s="75" t="str">
        <f t="shared" ref="DR249:EA250" si="826">IF(DR$227="","",DR$228*$H249)</f>
        <v/>
      </c>
      <c r="DS249" s="75" t="str">
        <f t="shared" si="826"/>
        <v/>
      </c>
      <c r="DT249" s="75" t="str">
        <f t="shared" si="826"/>
        <v/>
      </c>
      <c r="DU249" s="75" t="str">
        <f t="shared" si="826"/>
        <v/>
      </c>
      <c r="DV249" s="75" t="str">
        <f t="shared" si="826"/>
        <v/>
      </c>
      <c r="DW249" s="75" t="str">
        <f t="shared" si="826"/>
        <v/>
      </c>
      <c r="DX249" s="75" t="str">
        <f t="shared" si="826"/>
        <v/>
      </c>
      <c r="DY249" s="75" t="str">
        <f t="shared" si="826"/>
        <v/>
      </c>
      <c r="DZ249" s="75" t="str">
        <f t="shared" si="826"/>
        <v/>
      </c>
      <c r="EA249" s="75" t="str">
        <f t="shared" si="826"/>
        <v/>
      </c>
      <c r="EB249" s="75" t="str">
        <f t="shared" ref="EB249:EN250" si="827">IF(EB$227="","",EB$228*$H249)</f>
        <v/>
      </c>
      <c r="EC249" s="75" t="str">
        <f t="shared" si="827"/>
        <v/>
      </c>
      <c r="ED249" s="75" t="str">
        <f t="shared" si="827"/>
        <v/>
      </c>
      <c r="EE249" s="75" t="str">
        <f t="shared" si="827"/>
        <v/>
      </c>
      <c r="EF249" s="75" t="str">
        <f t="shared" si="827"/>
        <v/>
      </c>
      <c r="EG249" s="75" t="str">
        <f t="shared" si="827"/>
        <v/>
      </c>
      <c r="EH249" s="75" t="str">
        <f t="shared" si="827"/>
        <v/>
      </c>
      <c r="EI249" s="75" t="str">
        <f t="shared" si="827"/>
        <v/>
      </c>
      <c r="EJ249" s="75" t="str">
        <f t="shared" si="827"/>
        <v/>
      </c>
      <c r="EK249" s="75" t="str">
        <f t="shared" si="827"/>
        <v/>
      </c>
      <c r="EL249" s="75" t="str">
        <f t="shared" si="827"/>
        <v/>
      </c>
      <c r="EM249" s="75" t="str">
        <f t="shared" si="827"/>
        <v/>
      </c>
      <c r="EN249" s="75" t="str">
        <f t="shared" si="827"/>
        <v/>
      </c>
      <c r="EO249"/>
      <c r="EP249" s="222">
        <f>F255</f>
        <v>0.12</v>
      </c>
      <c r="EQ249" s="18" t="s">
        <v>384</v>
      </c>
      <c r="ER249" s="18"/>
      <c r="ES249" s="18"/>
      <c r="ET249" s="18" t="s">
        <v>409</v>
      </c>
      <c r="EU249" s="18"/>
      <c r="EV249" s="418">
        <f t="shared" ref="EV249:GA249" si="828">EV241</f>
        <v>0</v>
      </c>
      <c r="EW249" s="418">
        <f t="shared" si="828"/>
        <v>0</v>
      </c>
      <c r="EX249" s="418">
        <f t="shared" si="828"/>
        <v>0</v>
      </c>
      <c r="EY249" s="418">
        <f t="shared" si="828"/>
        <v>0</v>
      </c>
      <c r="EZ249" s="418">
        <f t="shared" si="828"/>
        <v>0</v>
      </c>
      <c r="FA249" s="418">
        <f t="shared" si="828"/>
        <v>0</v>
      </c>
      <c r="FB249" s="418">
        <f t="shared" si="828"/>
        <v>0</v>
      </c>
      <c r="FC249" s="418">
        <f t="shared" si="828"/>
        <v>0</v>
      </c>
      <c r="FD249" s="418">
        <f t="shared" si="828"/>
        <v>0</v>
      </c>
      <c r="FE249" s="418">
        <f t="shared" si="828"/>
        <v>0</v>
      </c>
      <c r="FF249" s="418">
        <f t="shared" si="828"/>
        <v>0</v>
      </c>
      <c r="FG249" s="418">
        <f t="shared" si="828"/>
        <v>0</v>
      </c>
      <c r="FH249" s="418">
        <f t="shared" si="828"/>
        <v>0</v>
      </c>
      <c r="FI249" s="418">
        <f t="shared" si="828"/>
        <v>0</v>
      </c>
      <c r="FJ249" s="418">
        <f t="shared" si="828"/>
        <v>0</v>
      </c>
      <c r="FK249" s="418">
        <f t="shared" si="828"/>
        <v>0</v>
      </c>
      <c r="FL249" s="418">
        <f t="shared" si="828"/>
        <v>0</v>
      </c>
      <c r="FM249" s="418">
        <f t="shared" si="828"/>
        <v>0</v>
      </c>
      <c r="FN249" s="418">
        <f t="shared" si="828"/>
        <v>0</v>
      </c>
      <c r="FO249" s="418">
        <f t="shared" si="828"/>
        <v>0</v>
      </c>
      <c r="FP249" s="418">
        <f t="shared" si="828"/>
        <v>0</v>
      </c>
      <c r="FQ249" s="418">
        <f t="shared" si="828"/>
        <v>0</v>
      </c>
      <c r="FR249" s="418">
        <f t="shared" si="828"/>
        <v>0</v>
      </c>
      <c r="FS249" s="418">
        <f t="shared" si="828"/>
        <v>0</v>
      </c>
      <c r="FT249" s="418">
        <f t="shared" si="828"/>
        <v>0</v>
      </c>
      <c r="FU249" s="418">
        <f t="shared" si="828"/>
        <v>0</v>
      </c>
      <c r="FV249" s="418">
        <f t="shared" si="828"/>
        <v>0</v>
      </c>
      <c r="FW249" s="418">
        <f t="shared" si="828"/>
        <v>0</v>
      </c>
      <c r="FX249" s="418">
        <f t="shared" si="828"/>
        <v>0</v>
      </c>
      <c r="FY249" s="418">
        <f t="shared" si="828"/>
        <v>0</v>
      </c>
      <c r="FZ249" s="418">
        <f t="shared" si="828"/>
        <v>0</v>
      </c>
      <c r="GA249" s="418">
        <f t="shared" si="828"/>
        <v>0</v>
      </c>
      <c r="GB249" s="418">
        <f t="shared" ref="GB249:HG249" si="829">GB241</f>
        <v>0</v>
      </c>
      <c r="GC249" s="418">
        <f t="shared" si="829"/>
        <v>0</v>
      </c>
      <c r="GD249" s="418">
        <f t="shared" si="829"/>
        <v>0</v>
      </c>
      <c r="GE249" s="418">
        <f t="shared" si="829"/>
        <v>0</v>
      </c>
      <c r="GF249" s="418">
        <f t="shared" si="829"/>
        <v>0</v>
      </c>
      <c r="GG249" s="418">
        <f t="shared" si="829"/>
        <v>0</v>
      </c>
      <c r="GH249" s="418">
        <f t="shared" si="829"/>
        <v>0</v>
      </c>
      <c r="GI249" s="418">
        <f t="shared" si="829"/>
        <v>0</v>
      </c>
      <c r="GJ249" s="418">
        <f t="shared" si="829"/>
        <v>0</v>
      </c>
      <c r="GK249" s="418">
        <f t="shared" si="829"/>
        <v>0</v>
      </c>
      <c r="GL249" s="418">
        <f t="shared" si="829"/>
        <v>0</v>
      </c>
      <c r="GM249" s="418">
        <f t="shared" si="829"/>
        <v>0</v>
      </c>
      <c r="GN249" s="418">
        <f t="shared" si="829"/>
        <v>0</v>
      </c>
      <c r="GO249" s="418">
        <f t="shared" si="829"/>
        <v>0</v>
      </c>
      <c r="GP249" s="418">
        <f t="shared" si="829"/>
        <v>0</v>
      </c>
      <c r="GQ249" s="418">
        <f t="shared" si="829"/>
        <v>0</v>
      </c>
      <c r="GR249" s="418">
        <f t="shared" si="829"/>
        <v>0</v>
      </c>
      <c r="GS249" s="418">
        <f t="shared" si="829"/>
        <v>0</v>
      </c>
      <c r="GT249" s="418">
        <f t="shared" si="829"/>
        <v>0</v>
      </c>
      <c r="GU249" s="418">
        <f t="shared" si="829"/>
        <v>0</v>
      </c>
      <c r="GV249" s="418">
        <f t="shared" si="829"/>
        <v>0</v>
      </c>
      <c r="GW249" s="418">
        <f t="shared" si="829"/>
        <v>0</v>
      </c>
      <c r="GX249" s="418">
        <f t="shared" si="829"/>
        <v>0</v>
      </c>
      <c r="GY249" s="418">
        <f t="shared" si="829"/>
        <v>0</v>
      </c>
      <c r="GZ249" s="418">
        <f t="shared" si="829"/>
        <v>0</v>
      </c>
      <c r="HA249" s="418">
        <f t="shared" si="829"/>
        <v>0</v>
      </c>
      <c r="HB249" s="418">
        <f t="shared" si="829"/>
        <v>0</v>
      </c>
      <c r="HC249" s="418">
        <f t="shared" si="829"/>
        <v>0</v>
      </c>
      <c r="HD249" s="418">
        <f t="shared" si="829"/>
        <v>0</v>
      </c>
      <c r="HE249" s="418">
        <f t="shared" si="829"/>
        <v>0</v>
      </c>
      <c r="HF249" s="418">
        <f t="shared" si="829"/>
        <v>0</v>
      </c>
      <c r="HG249" s="418">
        <f t="shared" si="829"/>
        <v>0</v>
      </c>
      <c r="HH249" s="418">
        <f t="shared" ref="HH249:IM249" si="830">HH241</f>
        <v>0</v>
      </c>
      <c r="HI249" s="418">
        <f t="shared" si="830"/>
        <v>0</v>
      </c>
      <c r="HJ249" s="418">
        <f t="shared" si="830"/>
        <v>0</v>
      </c>
      <c r="HK249" s="418">
        <f t="shared" si="830"/>
        <v>0</v>
      </c>
      <c r="HL249" s="418">
        <f t="shared" si="830"/>
        <v>0</v>
      </c>
      <c r="HM249" s="418">
        <f t="shared" si="830"/>
        <v>0</v>
      </c>
      <c r="HN249" s="418">
        <f t="shared" si="830"/>
        <v>0</v>
      </c>
      <c r="HO249" s="418">
        <f t="shared" si="830"/>
        <v>0</v>
      </c>
      <c r="HP249" s="418">
        <f t="shared" si="830"/>
        <v>0</v>
      </c>
      <c r="HQ249" s="418">
        <f t="shared" si="830"/>
        <v>0</v>
      </c>
      <c r="HR249" s="418">
        <f t="shared" si="830"/>
        <v>0</v>
      </c>
      <c r="HS249" s="418">
        <f t="shared" si="830"/>
        <v>0</v>
      </c>
      <c r="HT249" s="418">
        <f t="shared" si="830"/>
        <v>0</v>
      </c>
      <c r="HU249" s="418">
        <f t="shared" si="830"/>
        <v>0</v>
      </c>
      <c r="HV249" s="418">
        <f t="shared" si="830"/>
        <v>0</v>
      </c>
      <c r="HW249" s="418">
        <f t="shared" si="830"/>
        <v>0</v>
      </c>
      <c r="HX249" s="418">
        <f t="shared" si="830"/>
        <v>0</v>
      </c>
      <c r="HY249" s="418">
        <f t="shared" si="830"/>
        <v>0</v>
      </c>
      <c r="HZ249" s="418">
        <f t="shared" si="830"/>
        <v>0</v>
      </c>
      <c r="IA249" s="418">
        <f t="shared" si="830"/>
        <v>0</v>
      </c>
      <c r="IB249" s="418">
        <f t="shared" si="830"/>
        <v>0</v>
      </c>
      <c r="IC249" s="418">
        <f t="shared" si="830"/>
        <v>0</v>
      </c>
      <c r="ID249" s="418">
        <f t="shared" si="830"/>
        <v>0</v>
      </c>
      <c r="IE249" s="418">
        <f t="shared" si="830"/>
        <v>0</v>
      </c>
      <c r="IF249" s="418">
        <f t="shared" si="830"/>
        <v>0</v>
      </c>
      <c r="IG249" s="418">
        <f t="shared" si="830"/>
        <v>0</v>
      </c>
      <c r="IH249" s="418">
        <f t="shared" si="830"/>
        <v>0</v>
      </c>
      <c r="II249" s="418">
        <f t="shared" si="830"/>
        <v>0</v>
      </c>
      <c r="IJ249" s="418">
        <f t="shared" si="830"/>
        <v>0</v>
      </c>
      <c r="IK249" s="418">
        <f t="shared" si="830"/>
        <v>0</v>
      </c>
      <c r="IL249" s="418">
        <f t="shared" si="830"/>
        <v>0</v>
      </c>
      <c r="IM249" s="418">
        <f t="shared" si="830"/>
        <v>0</v>
      </c>
      <c r="IN249" s="418">
        <f t="shared" ref="IN249:JX249" si="831">IN241</f>
        <v>0</v>
      </c>
      <c r="IO249" s="418">
        <f t="shared" si="831"/>
        <v>0</v>
      </c>
      <c r="IP249" s="418">
        <f t="shared" si="831"/>
        <v>0</v>
      </c>
      <c r="IQ249" s="418">
        <f t="shared" si="831"/>
        <v>0</v>
      </c>
      <c r="IR249" s="418">
        <f t="shared" si="831"/>
        <v>0</v>
      </c>
      <c r="IS249" s="418">
        <f t="shared" si="831"/>
        <v>0</v>
      </c>
      <c r="IT249" s="418">
        <f t="shared" si="831"/>
        <v>0</v>
      </c>
      <c r="IU249" s="418">
        <f t="shared" si="831"/>
        <v>0</v>
      </c>
      <c r="IV249" s="418">
        <f t="shared" si="831"/>
        <v>0</v>
      </c>
      <c r="IW249" s="418">
        <f t="shared" si="831"/>
        <v>0</v>
      </c>
      <c r="IX249" s="418">
        <f t="shared" si="831"/>
        <v>0</v>
      </c>
      <c r="IY249" s="418">
        <f t="shared" si="831"/>
        <v>0</v>
      </c>
      <c r="IZ249" s="418">
        <f t="shared" si="831"/>
        <v>0</v>
      </c>
      <c r="JA249" s="418">
        <f t="shared" si="831"/>
        <v>0</v>
      </c>
      <c r="JB249" s="418">
        <f t="shared" si="831"/>
        <v>0</v>
      </c>
      <c r="JC249" s="418">
        <f t="shared" si="831"/>
        <v>0</v>
      </c>
      <c r="JD249" s="418">
        <f t="shared" si="831"/>
        <v>0</v>
      </c>
      <c r="JE249" s="418">
        <f t="shared" si="831"/>
        <v>0</v>
      </c>
      <c r="JF249" s="418">
        <f t="shared" si="831"/>
        <v>0</v>
      </c>
      <c r="JG249" s="418">
        <f t="shared" si="831"/>
        <v>0</v>
      </c>
      <c r="JH249" s="418">
        <f t="shared" si="831"/>
        <v>0</v>
      </c>
      <c r="JI249" s="418">
        <f t="shared" si="831"/>
        <v>0</v>
      </c>
      <c r="JJ249" s="418">
        <f t="shared" si="831"/>
        <v>0</v>
      </c>
      <c r="JK249" s="418">
        <f t="shared" si="831"/>
        <v>0</v>
      </c>
      <c r="JL249" s="418">
        <f t="shared" si="831"/>
        <v>0</v>
      </c>
      <c r="JM249" s="418">
        <f t="shared" si="831"/>
        <v>0</v>
      </c>
      <c r="JN249" s="418">
        <f t="shared" si="831"/>
        <v>0</v>
      </c>
      <c r="JO249" s="418">
        <f t="shared" si="831"/>
        <v>0</v>
      </c>
      <c r="JP249" s="418">
        <f t="shared" si="831"/>
        <v>0</v>
      </c>
      <c r="JQ249" s="418">
        <f t="shared" si="831"/>
        <v>0</v>
      </c>
      <c r="JR249" s="418">
        <f t="shared" si="831"/>
        <v>0</v>
      </c>
      <c r="JS249" s="418">
        <f t="shared" si="831"/>
        <v>0</v>
      </c>
      <c r="JT249" s="418">
        <f t="shared" si="831"/>
        <v>0</v>
      </c>
      <c r="JU249" s="418">
        <f t="shared" si="831"/>
        <v>0</v>
      </c>
      <c r="JV249" s="418">
        <f t="shared" si="831"/>
        <v>0</v>
      </c>
      <c r="JW249" s="418">
        <f t="shared" si="831"/>
        <v>0</v>
      </c>
      <c r="JX249" s="418">
        <f t="shared" si="831"/>
        <v>0</v>
      </c>
      <c r="JY249"/>
      <c r="JZ249" s="262"/>
      <c r="KA249" s="262"/>
      <c r="KB249" s="262"/>
      <c r="KC249" s="262"/>
      <c r="KD249" s="262"/>
      <c r="KE249" s="262"/>
      <c r="KF249" s="262"/>
      <c r="KG249" s="262"/>
      <c r="KH249" s="262"/>
      <c r="KI249" s="262"/>
      <c r="KJ249" s="262"/>
      <c r="KK249" s="262"/>
      <c r="KL249" s="262"/>
      <c r="KM249" s="262"/>
      <c r="KN249" s="262"/>
      <c r="KO249" s="262"/>
      <c r="KP249" s="262"/>
      <c r="KQ249" s="262"/>
      <c r="KR249" s="262"/>
      <c r="KS249" s="262"/>
      <c r="KT249" s="262"/>
      <c r="KU249" s="262"/>
      <c r="KV249" s="262"/>
      <c r="KW249" s="262"/>
      <c r="KX249" s="262"/>
      <c r="KY249" s="262"/>
      <c r="KZ249" s="262"/>
      <c r="LA249" s="262"/>
      <c r="LB249" s="262"/>
      <c r="LC249" s="262"/>
      <c r="LD249" s="262"/>
      <c r="LE249" s="262"/>
      <c r="LF249" s="262"/>
      <c r="LG249" s="262"/>
      <c r="LH249" s="262"/>
      <c r="LI249" s="262"/>
      <c r="LJ249" s="262"/>
      <c r="LK249" s="262"/>
      <c r="LL249" s="262"/>
      <c r="LM249" s="262"/>
      <c r="LN249" s="262"/>
      <c r="LO249" s="262"/>
      <c r="LP249" s="262"/>
      <c r="LQ249" s="262"/>
      <c r="LR249" s="262"/>
      <c r="LS249" s="262"/>
      <c r="LT249" s="262"/>
      <c r="LU249" s="262"/>
      <c r="LV249" s="262"/>
      <c r="LW249" s="262"/>
      <c r="LX249" s="262"/>
      <c r="LY249" s="262"/>
      <c r="LZ249" s="262"/>
      <c r="MA249" s="262"/>
      <c r="MB249" s="262"/>
      <c r="MC249" s="262"/>
      <c r="MD249" s="262"/>
      <c r="ME249" s="262"/>
      <c r="MF249" s="262"/>
      <c r="MG249" s="262"/>
      <c r="MH249" s="262"/>
      <c r="MI249" s="262"/>
      <c r="MJ249" s="262"/>
      <c r="MK249" s="262"/>
      <c r="ML249" s="262"/>
      <c r="MM249" s="262"/>
      <c r="MN249" s="262"/>
      <c r="MO249" s="262"/>
      <c r="MP249" s="262"/>
      <c r="MQ249" s="262"/>
      <c r="MR249" s="262"/>
      <c r="MS249" s="262"/>
      <c r="MT249" s="262"/>
      <c r="MU249" s="262"/>
      <c r="MV249" s="262"/>
      <c r="MW249" s="262"/>
      <c r="MX249" s="262"/>
      <c r="MY249" s="262"/>
      <c r="MZ249" s="262"/>
      <c r="NA249" s="262"/>
      <c r="NB249" s="262"/>
      <c r="NC249" s="262"/>
      <c r="ND249" s="262"/>
      <c r="NE249" s="262"/>
      <c r="NF249" s="262"/>
      <c r="NG249" s="262"/>
      <c r="NH249" s="262"/>
      <c r="NI249" s="262"/>
      <c r="NJ249" s="262"/>
      <c r="NK249" s="262"/>
      <c r="NL249" s="262"/>
      <c r="NM249" s="262"/>
      <c r="NN249" s="262"/>
      <c r="NO249" s="262"/>
      <c r="NP249" s="262"/>
      <c r="NQ249" s="262"/>
      <c r="NR249" s="262"/>
      <c r="NS249" s="262"/>
      <c r="NT249" s="262"/>
      <c r="NU249" s="262"/>
      <c r="NV249" s="262"/>
      <c r="NW249" s="262"/>
      <c r="NX249" s="262"/>
      <c r="NY249" s="262"/>
      <c r="NZ249" s="262"/>
      <c r="OA249" s="262"/>
      <c r="OB249" s="262"/>
      <c r="OC249" s="262"/>
      <c r="OD249" s="262"/>
      <c r="OE249" s="262"/>
      <c r="OF249" s="262"/>
      <c r="OG249" s="262"/>
      <c r="OH249" s="262"/>
      <c r="OI249" s="262"/>
      <c r="OJ249" s="262"/>
      <c r="OK249" s="262"/>
      <c r="OL249" s="262"/>
      <c r="OM249" s="262"/>
      <c r="ON249" s="262"/>
      <c r="OO249" s="262"/>
      <c r="OP249" s="262"/>
      <c r="OQ249" s="262"/>
      <c r="OR249" s="262"/>
      <c r="OS249" s="262"/>
      <c r="OT249" s="262"/>
      <c r="OU249" s="262"/>
      <c r="OV249" s="262"/>
      <c r="OW249" s="262"/>
      <c r="OX249" s="262"/>
      <c r="OY249" s="262"/>
      <c r="OZ249" s="262"/>
      <c r="PA249" s="262"/>
      <c r="PB249" s="262"/>
      <c r="PC249" s="262"/>
      <c r="PD249" s="262"/>
      <c r="PE249" s="262"/>
      <c r="PF249" s="262"/>
      <c r="PG249" s="262"/>
      <c r="PH249" s="262"/>
    </row>
    <row r="250" spans="1:424" x14ac:dyDescent="0.35">
      <c r="A250"/>
      <c r="B250" s="411" t="s">
        <v>465</v>
      </c>
      <c r="C250" s="543" t="s">
        <v>466</v>
      </c>
      <c r="D250" s="397"/>
      <c r="E250" s="54">
        <f>1-E249</f>
        <v>0.95</v>
      </c>
      <c r="F250" s="83"/>
      <c r="G250" s="397"/>
      <c r="H250" s="54">
        <f>1-H249</f>
        <v>0.95</v>
      </c>
      <c r="I250" s="420">
        <f>SUM(L250:EN250)</f>
        <v>0</v>
      </c>
      <c r="J250"/>
      <c r="K250"/>
      <c r="L250" s="422">
        <f t="shared" si="815"/>
        <v>0</v>
      </c>
      <c r="M250" s="422">
        <f t="shared" si="815"/>
        <v>0</v>
      </c>
      <c r="N250" s="422">
        <f t="shared" si="815"/>
        <v>0</v>
      </c>
      <c r="O250" s="422">
        <f t="shared" si="815"/>
        <v>0</v>
      </c>
      <c r="P250" s="422">
        <f t="shared" si="815"/>
        <v>0</v>
      </c>
      <c r="Q250" s="422">
        <f t="shared" si="815"/>
        <v>0</v>
      </c>
      <c r="R250" s="422">
        <f t="shared" si="815"/>
        <v>0</v>
      </c>
      <c r="S250" s="422">
        <f t="shared" si="815"/>
        <v>0</v>
      </c>
      <c r="T250" s="422">
        <f t="shared" si="815"/>
        <v>0</v>
      </c>
      <c r="U250" s="422">
        <f t="shared" si="815"/>
        <v>0</v>
      </c>
      <c r="V250" s="422">
        <f t="shared" si="816"/>
        <v>0</v>
      </c>
      <c r="W250" s="422">
        <f t="shared" si="816"/>
        <v>0</v>
      </c>
      <c r="X250" s="422">
        <f t="shared" si="816"/>
        <v>0</v>
      </c>
      <c r="Y250" s="422">
        <f t="shared" si="816"/>
        <v>0</v>
      </c>
      <c r="Z250" s="422">
        <f t="shared" si="816"/>
        <v>0</v>
      </c>
      <c r="AA250" s="422">
        <f t="shared" si="816"/>
        <v>0</v>
      </c>
      <c r="AB250" s="422">
        <f t="shared" si="816"/>
        <v>0</v>
      </c>
      <c r="AC250" s="422">
        <f t="shared" si="816"/>
        <v>0</v>
      </c>
      <c r="AD250" s="422">
        <f t="shared" si="816"/>
        <v>0</v>
      </c>
      <c r="AE250" s="422">
        <f t="shared" si="816"/>
        <v>0</v>
      </c>
      <c r="AF250" s="422">
        <f t="shared" si="817"/>
        <v>0</v>
      </c>
      <c r="AG250" s="422">
        <f t="shared" si="817"/>
        <v>0</v>
      </c>
      <c r="AH250" s="422">
        <f t="shared" si="817"/>
        <v>0</v>
      </c>
      <c r="AI250" s="422">
        <f t="shared" si="817"/>
        <v>0</v>
      </c>
      <c r="AJ250" s="422">
        <f t="shared" si="817"/>
        <v>0</v>
      </c>
      <c r="AK250" s="422">
        <f t="shared" si="817"/>
        <v>0</v>
      </c>
      <c r="AL250" s="422">
        <f t="shared" si="817"/>
        <v>0</v>
      </c>
      <c r="AM250" s="422">
        <f t="shared" si="817"/>
        <v>0</v>
      </c>
      <c r="AN250" s="422">
        <f t="shared" si="817"/>
        <v>0</v>
      </c>
      <c r="AO250" s="422">
        <f t="shared" si="817"/>
        <v>0</v>
      </c>
      <c r="AP250" s="422">
        <f t="shared" si="818"/>
        <v>0</v>
      </c>
      <c r="AQ250" s="422">
        <f t="shared" si="818"/>
        <v>0</v>
      </c>
      <c r="AR250" s="422">
        <f t="shared" si="818"/>
        <v>0</v>
      </c>
      <c r="AS250" s="422">
        <f t="shared" si="818"/>
        <v>0</v>
      </c>
      <c r="AT250" s="422">
        <f t="shared" si="818"/>
        <v>0</v>
      </c>
      <c r="AU250" s="422">
        <f t="shared" si="818"/>
        <v>0</v>
      </c>
      <c r="AV250" s="422">
        <f t="shared" si="818"/>
        <v>0</v>
      </c>
      <c r="AW250" s="422">
        <f t="shared" si="818"/>
        <v>0</v>
      </c>
      <c r="AX250" s="422">
        <f t="shared" si="818"/>
        <v>0</v>
      </c>
      <c r="AY250" s="422">
        <f t="shared" si="818"/>
        <v>0</v>
      </c>
      <c r="AZ250" s="422">
        <f t="shared" si="819"/>
        <v>0</v>
      </c>
      <c r="BA250" s="422">
        <f t="shared" si="819"/>
        <v>0</v>
      </c>
      <c r="BB250" s="422">
        <f t="shared" si="819"/>
        <v>0</v>
      </c>
      <c r="BC250" s="422">
        <f t="shared" si="819"/>
        <v>0</v>
      </c>
      <c r="BD250" s="202">
        <f t="shared" si="819"/>
        <v>0</v>
      </c>
      <c r="BE250" s="202">
        <f t="shared" si="819"/>
        <v>0</v>
      </c>
      <c r="BF250" s="202">
        <f t="shared" si="819"/>
        <v>0</v>
      </c>
      <c r="BG250" s="202">
        <f t="shared" si="819"/>
        <v>0</v>
      </c>
      <c r="BH250" s="202">
        <f t="shared" si="819"/>
        <v>0</v>
      </c>
      <c r="BI250" s="202">
        <f t="shared" si="819"/>
        <v>0</v>
      </c>
      <c r="BJ250" s="202">
        <f t="shared" si="820"/>
        <v>0</v>
      </c>
      <c r="BK250" s="202">
        <f t="shared" si="820"/>
        <v>0</v>
      </c>
      <c r="BL250" s="202">
        <f t="shared" si="820"/>
        <v>0</v>
      </c>
      <c r="BM250" s="202">
        <f t="shared" si="820"/>
        <v>0</v>
      </c>
      <c r="BN250" s="202">
        <f t="shared" si="820"/>
        <v>0</v>
      </c>
      <c r="BO250" s="202">
        <f t="shared" si="820"/>
        <v>0</v>
      </c>
      <c r="BP250" s="202">
        <f t="shared" si="820"/>
        <v>0</v>
      </c>
      <c r="BQ250" s="202">
        <f t="shared" si="820"/>
        <v>0</v>
      </c>
      <c r="BR250" s="202">
        <f t="shared" si="820"/>
        <v>0</v>
      </c>
      <c r="BS250" s="202">
        <f t="shared" si="820"/>
        <v>0</v>
      </c>
      <c r="BT250" s="202">
        <f t="shared" si="821"/>
        <v>0</v>
      </c>
      <c r="BU250" s="202">
        <f t="shared" si="821"/>
        <v>0</v>
      </c>
      <c r="BV250" s="202" t="str">
        <f t="shared" si="821"/>
        <v/>
      </c>
      <c r="BW250" s="202" t="str">
        <f t="shared" si="821"/>
        <v/>
      </c>
      <c r="BX250" s="202" t="str">
        <f t="shared" si="821"/>
        <v/>
      </c>
      <c r="BY250" s="202" t="str">
        <f t="shared" si="821"/>
        <v/>
      </c>
      <c r="BZ250" s="202" t="str">
        <f t="shared" si="821"/>
        <v/>
      </c>
      <c r="CA250" s="202" t="str">
        <f t="shared" si="821"/>
        <v/>
      </c>
      <c r="CB250" s="202" t="str">
        <f t="shared" si="821"/>
        <v/>
      </c>
      <c r="CC250" s="202" t="str">
        <f t="shared" si="821"/>
        <v/>
      </c>
      <c r="CD250" s="202" t="str">
        <f t="shared" si="822"/>
        <v/>
      </c>
      <c r="CE250" s="202" t="str">
        <f t="shared" si="822"/>
        <v/>
      </c>
      <c r="CF250" s="202" t="str">
        <f t="shared" si="822"/>
        <v/>
      </c>
      <c r="CG250" s="202" t="str">
        <f t="shared" si="822"/>
        <v/>
      </c>
      <c r="CH250" s="202" t="str">
        <f t="shared" si="822"/>
        <v/>
      </c>
      <c r="CI250" s="202" t="str">
        <f t="shared" si="822"/>
        <v/>
      </c>
      <c r="CJ250" s="202" t="str">
        <f t="shared" si="822"/>
        <v/>
      </c>
      <c r="CK250" s="202" t="str">
        <f t="shared" si="822"/>
        <v/>
      </c>
      <c r="CL250" s="202" t="str">
        <f t="shared" si="822"/>
        <v/>
      </c>
      <c r="CM250" s="202" t="str">
        <f t="shared" si="822"/>
        <v/>
      </c>
      <c r="CN250" s="202" t="str">
        <f t="shared" si="823"/>
        <v/>
      </c>
      <c r="CO250" s="202" t="str">
        <f t="shared" si="823"/>
        <v/>
      </c>
      <c r="CP250" s="202" t="str">
        <f t="shared" si="823"/>
        <v/>
      </c>
      <c r="CQ250" s="202" t="str">
        <f t="shared" si="823"/>
        <v/>
      </c>
      <c r="CR250" s="202" t="str">
        <f t="shared" si="823"/>
        <v/>
      </c>
      <c r="CS250" s="202" t="str">
        <f t="shared" si="823"/>
        <v/>
      </c>
      <c r="CT250" s="202" t="str">
        <f t="shared" si="823"/>
        <v/>
      </c>
      <c r="CU250" s="202" t="str">
        <f t="shared" si="823"/>
        <v/>
      </c>
      <c r="CV250" s="202" t="str">
        <f t="shared" si="823"/>
        <v/>
      </c>
      <c r="CW250" s="202" t="str">
        <f t="shared" si="823"/>
        <v/>
      </c>
      <c r="CX250" s="202" t="str">
        <f t="shared" si="824"/>
        <v/>
      </c>
      <c r="CY250" s="202" t="str">
        <f t="shared" si="824"/>
        <v/>
      </c>
      <c r="CZ250" s="202" t="str">
        <f t="shared" si="824"/>
        <v/>
      </c>
      <c r="DA250" s="202" t="str">
        <f t="shared" si="824"/>
        <v/>
      </c>
      <c r="DB250" s="202" t="str">
        <f t="shared" si="824"/>
        <v/>
      </c>
      <c r="DC250" s="202" t="str">
        <f t="shared" si="824"/>
        <v/>
      </c>
      <c r="DD250" s="202" t="str">
        <f t="shared" si="824"/>
        <v/>
      </c>
      <c r="DE250" s="202" t="str">
        <f t="shared" si="824"/>
        <v/>
      </c>
      <c r="DF250" s="202" t="str">
        <f t="shared" si="824"/>
        <v/>
      </c>
      <c r="DG250" s="202" t="str">
        <f t="shared" si="824"/>
        <v/>
      </c>
      <c r="DH250" s="202" t="str">
        <f t="shared" si="825"/>
        <v/>
      </c>
      <c r="DI250" s="202" t="str">
        <f t="shared" si="825"/>
        <v/>
      </c>
      <c r="DJ250" s="202" t="str">
        <f t="shared" si="825"/>
        <v/>
      </c>
      <c r="DK250" s="202" t="str">
        <f t="shared" si="825"/>
        <v/>
      </c>
      <c r="DL250" s="202" t="str">
        <f t="shared" si="825"/>
        <v/>
      </c>
      <c r="DM250" s="202" t="str">
        <f t="shared" si="825"/>
        <v/>
      </c>
      <c r="DN250" s="202" t="str">
        <f t="shared" si="825"/>
        <v/>
      </c>
      <c r="DO250" s="202" t="str">
        <f t="shared" si="825"/>
        <v/>
      </c>
      <c r="DP250" s="202" t="str">
        <f t="shared" si="825"/>
        <v/>
      </c>
      <c r="DQ250" s="202" t="str">
        <f t="shared" si="825"/>
        <v/>
      </c>
      <c r="DR250" s="202" t="str">
        <f t="shared" si="826"/>
        <v/>
      </c>
      <c r="DS250" s="202" t="str">
        <f t="shared" si="826"/>
        <v/>
      </c>
      <c r="DT250" s="202" t="str">
        <f t="shared" si="826"/>
        <v/>
      </c>
      <c r="DU250" s="202" t="str">
        <f t="shared" si="826"/>
        <v/>
      </c>
      <c r="DV250" s="202" t="str">
        <f t="shared" si="826"/>
        <v/>
      </c>
      <c r="DW250" s="202" t="str">
        <f t="shared" si="826"/>
        <v/>
      </c>
      <c r="DX250" s="202" t="str">
        <f t="shared" si="826"/>
        <v/>
      </c>
      <c r="DY250" s="202" t="str">
        <f t="shared" si="826"/>
        <v/>
      </c>
      <c r="DZ250" s="202" t="str">
        <f t="shared" si="826"/>
        <v/>
      </c>
      <c r="EA250" s="202" t="str">
        <f t="shared" si="826"/>
        <v/>
      </c>
      <c r="EB250" s="202" t="str">
        <f t="shared" si="827"/>
        <v/>
      </c>
      <c r="EC250" s="202" t="str">
        <f t="shared" si="827"/>
        <v/>
      </c>
      <c r="ED250" s="202" t="str">
        <f t="shared" si="827"/>
        <v/>
      </c>
      <c r="EE250" s="202" t="str">
        <f t="shared" si="827"/>
        <v/>
      </c>
      <c r="EF250" s="202" t="str">
        <f t="shared" si="827"/>
        <v/>
      </c>
      <c r="EG250" s="202" t="str">
        <f t="shared" si="827"/>
        <v/>
      </c>
      <c r="EH250" s="202" t="str">
        <f t="shared" si="827"/>
        <v/>
      </c>
      <c r="EI250" s="202" t="str">
        <f t="shared" si="827"/>
        <v/>
      </c>
      <c r="EJ250" s="202" t="str">
        <f t="shared" si="827"/>
        <v/>
      </c>
      <c r="EK250" s="202" t="str">
        <f t="shared" si="827"/>
        <v/>
      </c>
      <c r="EL250" s="202" t="str">
        <f t="shared" si="827"/>
        <v/>
      </c>
      <c r="EM250" s="202" t="str">
        <f t="shared" si="827"/>
        <v/>
      </c>
      <c r="EN250" s="202" t="str">
        <f t="shared" si="827"/>
        <v/>
      </c>
      <c r="EO250"/>
      <c r="EP250" s="405"/>
      <c r="EQ250" s="18"/>
      <c r="ER250" s="18"/>
      <c r="ES250" s="18"/>
      <c r="ET250" s="18" t="s">
        <v>467</v>
      </c>
      <c r="EU250" s="18"/>
      <c r="EV250" s="418">
        <f t="shared" ref="EV250:GA250" si="832">(EV$197&lt;=Timing_Reversion_Month)*(MIN(EV247+EV248-EV249,MAX(EV246,0)*$I$255))</f>
        <v>0</v>
      </c>
      <c r="EW250" s="418">
        <f t="shared" si="832"/>
        <v>0</v>
      </c>
      <c r="EX250" s="418">
        <f t="shared" si="832"/>
        <v>0</v>
      </c>
      <c r="EY250" s="418">
        <f t="shared" si="832"/>
        <v>0</v>
      </c>
      <c r="EZ250" s="418">
        <f t="shared" si="832"/>
        <v>0</v>
      </c>
      <c r="FA250" s="418">
        <f t="shared" si="832"/>
        <v>0</v>
      </c>
      <c r="FB250" s="418">
        <f t="shared" si="832"/>
        <v>0</v>
      </c>
      <c r="FC250" s="418">
        <f t="shared" si="832"/>
        <v>0</v>
      </c>
      <c r="FD250" s="418">
        <f t="shared" si="832"/>
        <v>0</v>
      </c>
      <c r="FE250" s="418">
        <f t="shared" si="832"/>
        <v>0</v>
      </c>
      <c r="FF250" s="418">
        <f t="shared" si="832"/>
        <v>0</v>
      </c>
      <c r="FG250" s="418">
        <f t="shared" si="832"/>
        <v>0</v>
      </c>
      <c r="FH250" s="418">
        <f t="shared" si="832"/>
        <v>0</v>
      </c>
      <c r="FI250" s="418">
        <f t="shared" si="832"/>
        <v>0</v>
      </c>
      <c r="FJ250" s="418">
        <f t="shared" si="832"/>
        <v>0</v>
      </c>
      <c r="FK250" s="418">
        <f t="shared" si="832"/>
        <v>0</v>
      </c>
      <c r="FL250" s="418">
        <f t="shared" si="832"/>
        <v>0</v>
      </c>
      <c r="FM250" s="418">
        <f t="shared" si="832"/>
        <v>0</v>
      </c>
      <c r="FN250" s="418">
        <f t="shared" si="832"/>
        <v>0</v>
      </c>
      <c r="FO250" s="418">
        <f t="shared" si="832"/>
        <v>0</v>
      </c>
      <c r="FP250" s="418">
        <f t="shared" si="832"/>
        <v>0</v>
      </c>
      <c r="FQ250" s="418">
        <f t="shared" si="832"/>
        <v>0</v>
      </c>
      <c r="FR250" s="418">
        <f t="shared" si="832"/>
        <v>0</v>
      </c>
      <c r="FS250" s="418">
        <f t="shared" si="832"/>
        <v>0</v>
      </c>
      <c r="FT250" s="418">
        <f t="shared" si="832"/>
        <v>0</v>
      </c>
      <c r="FU250" s="418">
        <f t="shared" si="832"/>
        <v>0</v>
      </c>
      <c r="FV250" s="418">
        <f t="shared" si="832"/>
        <v>0</v>
      </c>
      <c r="FW250" s="418">
        <f t="shared" si="832"/>
        <v>0</v>
      </c>
      <c r="FX250" s="418">
        <f t="shared" si="832"/>
        <v>0</v>
      </c>
      <c r="FY250" s="418">
        <f t="shared" si="832"/>
        <v>0</v>
      </c>
      <c r="FZ250" s="418">
        <f t="shared" si="832"/>
        <v>0</v>
      </c>
      <c r="GA250" s="418">
        <f t="shared" si="832"/>
        <v>0</v>
      </c>
      <c r="GB250" s="418">
        <f t="shared" ref="GB250:HG250" si="833">(GB$197&lt;=Timing_Reversion_Month)*(MIN(GB247+GB248-GB249,MAX(GB246,0)*$I$255))</f>
        <v>0</v>
      </c>
      <c r="GC250" s="418">
        <f t="shared" si="833"/>
        <v>0</v>
      </c>
      <c r="GD250" s="418">
        <f t="shared" si="833"/>
        <v>0</v>
      </c>
      <c r="GE250" s="418">
        <f t="shared" si="833"/>
        <v>0</v>
      </c>
      <c r="GF250" s="418">
        <f t="shared" si="833"/>
        <v>0</v>
      </c>
      <c r="GG250" s="418">
        <f t="shared" si="833"/>
        <v>0</v>
      </c>
      <c r="GH250" s="418">
        <f t="shared" si="833"/>
        <v>0</v>
      </c>
      <c r="GI250" s="418">
        <f t="shared" si="833"/>
        <v>0</v>
      </c>
      <c r="GJ250" s="418">
        <f t="shared" si="833"/>
        <v>0</v>
      </c>
      <c r="GK250" s="418">
        <f t="shared" si="833"/>
        <v>0</v>
      </c>
      <c r="GL250" s="418">
        <f t="shared" si="833"/>
        <v>0</v>
      </c>
      <c r="GM250" s="418">
        <f t="shared" si="833"/>
        <v>0</v>
      </c>
      <c r="GN250" s="418">
        <f t="shared" si="833"/>
        <v>0</v>
      </c>
      <c r="GO250" s="418">
        <f t="shared" si="833"/>
        <v>0</v>
      </c>
      <c r="GP250" s="418">
        <f t="shared" si="833"/>
        <v>0</v>
      </c>
      <c r="GQ250" s="418">
        <f t="shared" si="833"/>
        <v>0</v>
      </c>
      <c r="GR250" s="418">
        <f t="shared" si="833"/>
        <v>0</v>
      </c>
      <c r="GS250" s="418">
        <f t="shared" si="833"/>
        <v>0</v>
      </c>
      <c r="GT250" s="418">
        <f t="shared" si="833"/>
        <v>0</v>
      </c>
      <c r="GU250" s="418">
        <f t="shared" si="833"/>
        <v>0</v>
      </c>
      <c r="GV250" s="418">
        <f t="shared" si="833"/>
        <v>0</v>
      </c>
      <c r="GW250" s="418">
        <f t="shared" si="833"/>
        <v>0</v>
      </c>
      <c r="GX250" s="418">
        <f t="shared" si="833"/>
        <v>0</v>
      </c>
      <c r="GY250" s="418">
        <f t="shared" si="833"/>
        <v>0</v>
      </c>
      <c r="GZ250" s="418">
        <f t="shared" si="833"/>
        <v>0</v>
      </c>
      <c r="HA250" s="418">
        <f t="shared" si="833"/>
        <v>0</v>
      </c>
      <c r="HB250" s="418">
        <f t="shared" si="833"/>
        <v>0</v>
      </c>
      <c r="HC250" s="418">
        <f t="shared" si="833"/>
        <v>0</v>
      </c>
      <c r="HD250" s="418">
        <f t="shared" si="833"/>
        <v>0</v>
      </c>
      <c r="HE250" s="418">
        <f t="shared" si="833"/>
        <v>0</v>
      </c>
      <c r="HF250" s="418">
        <f t="shared" si="833"/>
        <v>0</v>
      </c>
      <c r="HG250" s="418">
        <f t="shared" si="833"/>
        <v>0</v>
      </c>
      <c r="HH250" s="418">
        <f t="shared" ref="HH250:IM250" si="834">(HH$197&lt;=Timing_Reversion_Month)*(MIN(HH247+HH248-HH249,MAX(HH246,0)*$I$255))</f>
        <v>0</v>
      </c>
      <c r="HI250" s="418">
        <f t="shared" si="834"/>
        <v>0</v>
      </c>
      <c r="HJ250" s="418">
        <f t="shared" si="834"/>
        <v>0</v>
      </c>
      <c r="HK250" s="418">
        <f t="shared" si="834"/>
        <v>0</v>
      </c>
      <c r="HL250" s="418">
        <f t="shared" si="834"/>
        <v>0</v>
      </c>
      <c r="HM250" s="418">
        <f t="shared" si="834"/>
        <v>0</v>
      </c>
      <c r="HN250" s="418">
        <f t="shared" si="834"/>
        <v>0</v>
      </c>
      <c r="HO250" s="418">
        <f t="shared" si="834"/>
        <v>0</v>
      </c>
      <c r="HP250" s="418">
        <f t="shared" si="834"/>
        <v>0</v>
      </c>
      <c r="HQ250" s="418">
        <f t="shared" si="834"/>
        <v>0</v>
      </c>
      <c r="HR250" s="418">
        <f t="shared" si="834"/>
        <v>0</v>
      </c>
      <c r="HS250" s="418">
        <f t="shared" si="834"/>
        <v>0</v>
      </c>
      <c r="HT250" s="418">
        <f t="shared" si="834"/>
        <v>0</v>
      </c>
      <c r="HU250" s="418">
        <f t="shared" si="834"/>
        <v>0</v>
      </c>
      <c r="HV250" s="418">
        <f t="shared" si="834"/>
        <v>0</v>
      </c>
      <c r="HW250" s="418">
        <f t="shared" si="834"/>
        <v>0</v>
      </c>
      <c r="HX250" s="418">
        <f t="shared" si="834"/>
        <v>0</v>
      </c>
      <c r="HY250" s="418">
        <f t="shared" si="834"/>
        <v>0</v>
      </c>
      <c r="HZ250" s="418">
        <f t="shared" si="834"/>
        <v>0</v>
      </c>
      <c r="IA250" s="418">
        <f t="shared" si="834"/>
        <v>0</v>
      </c>
      <c r="IB250" s="418">
        <f t="shared" si="834"/>
        <v>0</v>
      </c>
      <c r="IC250" s="418">
        <f t="shared" si="834"/>
        <v>0</v>
      </c>
      <c r="ID250" s="418">
        <f t="shared" si="834"/>
        <v>0</v>
      </c>
      <c r="IE250" s="418">
        <f t="shared" si="834"/>
        <v>0</v>
      </c>
      <c r="IF250" s="418">
        <f t="shared" si="834"/>
        <v>0</v>
      </c>
      <c r="IG250" s="418">
        <f t="shared" si="834"/>
        <v>0</v>
      </c>
      <c r="IH250" s="418">
        <f t="shared" si="834"/>
        <v>0</v>
      </c>
      <c r="II250" s="418">
        <f t="shared" si="834"/>
        <v>0</v>
      </c>
      <c r="IJ250" s="418">
        <f t="shared" si="834"/>
        <v>0</v>
      </c>
      <c r="IK250" s="418">
        <f t="shared" si="834"/>
        <v>0</v>
      </c>
      <c r="IL250" s="418">
        <f t="shared" si="834"/>
        <v>0</v>
      </c>
      <c r="IM250" s="418">
        <f t="shared" si="834"/>
        <v>0</v>
      </c>
      <c r="IN250" s="418">
        <f t="shared" ref="IN250:JS250" si="835">(IN$197&lt;=Timing_Reversion_Month)*(MIN(IN247+IN248-IN249,MAX(IN246,0)*$I$255))</f>
        <v>0</v>
      </c>
      <c r="IO250" s="418">
        <f t="shared" si="835"/>
        <v>0</v>
      </c>
      <c r="IP250" s="418">
        <f t="shared" si="835"/>
        <v>0</v>
      </c>
      <c r="IQ250" s="418">
        <f t="shared" si="835"/>
        <v>0</v>
      </c>
      <c r="IR250" s="418">
        <f t="shared" si="835"/>
        <v>0</v>
      </c>
      <c r="IS250" s="418">
        <f t="shared" si="835"/>
        <v>0</v>
      </c>
      <c r="IT250" s="418">
        <f t="shared" si="835"/>
        <v>0</v>
      </c>
      <c r="IU250" s="418">
        <f t="shared" si="835"/>
        <v>0</v>
      </c>
      <c r="IV250" s="418">
        <f t="shared" si="835"/>
        <v>0</v>
      </c>
      <c r="IW250" s="418">
        <f t="shared" si="835"/>
        <v>0</v>
      </c>
      <c r="IX250" s="418">
        <f t="shared" si="835"/>
        <v>0</v>
      </c>
      <c r="IY250" s="418">
        <f t="shared" si="835"/>
        <v>0</v>
      </c>
      <c r="IZ250" s="418">
        <f t="shared" si="835"/>
        <v>0</v>
      </c>
      <c r="JA250" s="418">
        <f t="shared" si="835"/>
        <v>0</v>
      </c>
      <c r="JB250" s="418">
        <f t="shared" si="835"/>
        <v>0</v>
      </c>
      <c r="JC250" s="418">
        <f t="shared" si="835"/>
        <v>0</v>
      </c>
      <c r="JD250" s="418">
        <f t="shared" si="835"/>
        <v>0</v>
      </c>
      <c r="JE250" s="418">
        <f t="shared" si="835"/>
        <v>0</v>
      </c>
      <c r="JF250" s="418">
        <f t="shared" si="835"/>
        <v>0</v>
      </c>
      <c r="JG250" s="418">
        <f t="shared" si="835"/>
        <v>0</v>
      </c>
      <c r="JH250" s="418">
        <f t="shared" si="835"/>
        <v>0</v>
      </c>
      <c r="JI250" s="418">
        <f t="shared" si="835"/>
        <v>0</v>
      </c>
      <c r="JJ250" s="418">
        <f t="shared" si="835"/>
        <v>0</v>
      </c>
      <c r="JK250" s="418">
        <f t="shared" si="835"/>
        <v>0</v>
      </c>
      <c r="JL250" s="418">
        <f t="shared" si="835"/>
        <v>0</v>
      </c>
      <c r="JM250" s="418">
        <f t="shared" si="835"/>
        <v>0</v>
      </c>
      <c r="JN250" s="418">
        <f t="shared" si="835"/>
        <v>0</v>
      </c>
      <c r="JO250" s="418">
        <f t="shared" si="835"/>
        <v>0</v>
      </c>
      <c r="JP250" s="418">
        <f t="shared" si="835"/>
        <v>0</v>
      </c>
      <c r="JQ250" s="418">
        <f t="shared" si="835"/>
        <v>0</v>
      </c>
      <c r="JR250" s="418">
        <f t="shared" si="835"/>
        <v>0</v>
      </c>
      <c r="JS250" s="418">
        <f t="shared" si="835"/>
        <v>0</v>
      </c>
      <c r="JT250" s="418">
        <f>(JT$197&lt;=Timing_Reversion_Month)*(MIN(JT247+JT248-JT249,MAX(JT246,0)*$I$255))</f>
        <v>0</v>
      </c>
      <c r="JU250" s="418">
        <f>(JU$197&lt;=Timing_Reversion_Month)*(MIN(JU247+JU248-JU249,MAX(JU246,0)*$I$255))</f>
        <v>0</v>
      </c>
      <c r="JV250" s="418">
        <f>(JV$197&lt;=Timing_Reversion_Month)*(MIN(JV247+JV248-JV249,MAX(JV246,0)*$I$255))</f>
        <v>0</v>
      </c>
      <c r="JW250" s="418">
        <f>(JW$197&lt;=Timing_Reversion_Month)*(MIN(JW247+JW248-JW249,MAX(JW246,0)*$I$255))</f>
        <v>0</v>
      </c>
      <c r="JX250" s="418">
        <f>(JX$197&lt;=Timing_Reversion_Month)*(MIN(JX247+JX248-JX249,MAX(JX246,0)*$I$255))</f>
        <v>0</v>
      </c>
      <c r="JY250"/>
      <c r="JZ250" s="262"/>
      <c r="KA250" s="262"/>
      <c r="KB250" s="262"/>
      <c r="KC250" s="262"/>
      <c r="KD250" s="262"/>
      <c r="KE250" s="262"/>
      <c r="KF250" s="262"/>
      <c r="KG250" s="262"/>
      <c r="KH250" s="262"/>
      <c r="KI250" s="262"/>
      <c r="KJ250" s="262"/>
      <c r="KK250" s="262"/>
      <c r="KL250" s="262"/>
      <c r="KM250" s="262"/>
      <c r="KN250" s="262"/>
      <c r="KO250" s="262"/>
      <c r="KP250" s="262"/>
      <c r="KQ250" s="262"/>
      <c r="KR250" s="262"/>
      <c r="KS250" s="262"/>
      <c r="KT250" s="262"/>
      <c r="KU250" s="262"/>
      <c r="KV250" s="262"/>
      <c r="KW250" s="262"/>
      <c r="KX250" s="262"/>
      <c r="KY250" s="262"/>
      <c r="KZ250" s="262"/>
      <c r="LA250" s="262"/>
      <c r="LB250" s="262"/>
      <c r="LC250" s="262"/>
      <c r="LD250" s="262"/>
      <c r="LE250" s="262"/>
      <c r="LF250" s="262"/>
      <c r="LG250" s="262"/>
      <c r="LH250" s="262"/>
      <c r="LI250" s="262"/>
      <c r="LJ250" s="262"/>
      <c r="LK250" s="262"/>
      <c r="LL250" s="262"/>
      <c r="LM250" s="262"/>
      <c r="LN250" s="262"/>
      <c r="LO250" s="262"/>
      <c r="LP250" s="262"/>
      <c r="LQ250" s="262"/>
      <c r="LR250" s="262"/>
      <c r="LS250" s="262"/>
      <c r="LT250" s="262"/>
      <c r="LU250" s="262"/>
      <c r="LV250" s="262"/>
      <c r="LW250" s="262"/>
      <c r="LX250" s="262"/>
      <c r="LY250" s="262"/>
      <c r="LZ250" s="262"/>
      <c r="MA250" s="262"/>
      <c r="MB250" s="262"/>
      <c r="MC250" s="262"/>
      <c r="MD250" s="262"/>
      <c r="ME250" s="262"/>
      <c r="MF250" s="262"/>
      <c r="MG250" s="262"/>
      <c r="MH250" s="262"/>
      <c r="MI250" s="262"/>
      <c r="MJ250" s="262"/>
      <c r="MK250" s="262"/>
      <c r="ML250" s="262"/>
      <c r="MM250" s="262"/>
      <c r="MN250" s="262"/>
      <c r="MO250" s="262"/>
      <c r="MP250" s="262"/>
      <c r="MQ250" s="262"/>
      <c r="MR250" s="262"/>
      <c r="MS250" s="262"/>
      <c r="MT250" s="262"/>
      <c r="MU250" s="262"/>
      <c r="MV250" s="262"/>
      <c r="MW250" s="262"/>
      <c r="MX250" s="262"/>
      <c r="MY250" s="262"/>
      <c r="MZ250" s="262"/>
      <c r="NA250" s="262"/>
      <c r="NB250" s="262"/>
      <c r="NC250" s="262"/>
      <c r="ND250" s="262"/>
      <c r="NE250" s="262"/>
      <c r="NF250" s="262"/>
      <c r="NG250" s="262"/>
      <c r="NH250" s="262"/>
      <c r="NI250" s="262"/>
      <c r="NJ250" s="262"/>
      <c r="NK250" s="262"/>
      <c r="NL250" s="262"/>
      <c r="NM250" s="262"/>
      <c r="NN250" s="262"/>
      <c r="NO250" s="262"/>
      <c r="NP250" s="262"/>
      <c r="NQ250" s="262"/>
      <c r="NR250" s="262"/>
      <c r="NS250" s="262"/>
      <c r="NT250" s="262"/>
      <c r="NU250" s="262"/>
      <c r="NV250" s="262"/>
      <c r="NW250" s="262"/>
      <c r="NX250" s="262"/>
      <c r="NY250" s="262"/>
      <c r="NZ250" s="262"/>
      <c r="OA250" s="262"/>
      <c r="OB250" s="262"/>
      <c r="OC250" s="262"/>
      <c r="OD250" s="262"/>
      <c r="OE250" s="262"/>
      <c r="OF250" s="262"/>
      <c r="OG250" s="262"/>
      <c r="OH250" s="262"/>
      <c r="OI250" s="262"/>
      <c r="OJ250" s="262"/>
      <c r="OK250" s="262"/>
      <c r="OL250" s="262"/>
      <c r="OM250" s="262"/>
      <c r="ON250" s="262"/>
      <c r="OO250" s="262"/>
      <c r="OP250" s="262"/>
      <c r="OQ250" s="262"/>
      <c r="OR250" s="262"/>
      <c r="OS250" s="262"/>
      <c r="OT250" s="262"/>
      <c r="OU250" s="262"/>
      <c r="OV250" s="262"/>
      <c r="OW250" s="262"/>
      <c r="OX250" s="262"/>
      <c r="OY250" s="262"/>
      <c r="OZ250" s="262"/>
      <c r="PA250" s="262"/>
      <c r="PB250" s="262"/>
      <c r="PC250" s="262"/>
      <c r="PD250" s="262"/>
      <c r="PE250" s="262"/>
      <c r="PF250" s="262"/>
      <c r="PG250" s="262"/>
      <c r="PH250" s="262"/>
    </row>
    <row r="251" spans="1:424" x14ac:dyDescent="0.35">
      <c r="A251"/>
      <c r="B251" s="34" t="s">
        <v>158</v>
      </c>
      <c r="C251" s="397"/>
      <c r="D251" s="397"/>
      <c r="E251" s="544">
        <f>SUM(E249:E250)</f>
        <v>1</v>
      </c>
      <c r="F251" s="84"/>
      <c r="G251" s="397"/>
      <c r="H251" s="544">
        <f>SUM(H249:H250)</f>
        <v>1</v>
      </c>
      <c r="I251" s="545">
        <f>SUM(I249:I250)</f>
        <v>0</v>
      </c>
      <c r="J251"/>
      <c r="K251"/>
      <c r="L251" s="417">
        <f t="shared" ref="L251:AQ251" si="836">IF(L227="","",SUM(L249:L250))</f>
        <v>0</v>
      </c>
      <c r="M251" s="417">
        <f t="shared" si="836"/>
        <v>0</v>
      </c>
      <c r="N251" s="417">
        <f t="shared" si="836"/>
        <v>0</v>
      </c>
      <c r="O251" s="417">
        <f t="shared" si="836"/>
        <v>0</v>
      </c>
      <c r="P251" s="417">
        <f t="shared" si="836"/>
        <v>0</v>
      </c>
      <c r="Q251" s="417">
        <f t="shared" si="836"/>
        <v>0</v>
      </c>
      <c r="R251" s="417">
        <f t="shared" si="836"/>
        <v>0</v>
      </c>
      <c r="S251" s="417">
        <f t="shared" si="836"/>
        <v>0</v>
      </c>
      <c r="T251" s="417">
        <f t="shared" si="836"/>
        <v>0</v>
      </c>
      <c r="U251" s="417">
        <f t="shared" si="836"/>
        <v>0</v>
      </c>
      <c r="V251" s="417">
        <f t="shared" si="836"/>
        <v>0</v>
      </c>
      <c r="W251" s="417">
        <f t="shared" si="836"/>
        <v>0</v>
      </c>
      <c r="X251" s="417">
        <f t="shared" si="836"/>
        <v>0</v>
      </c>
      <c r="Y251" s="417">
        <f t="shared" si="836"/>
        <v>0</v>
      </c>
      <c r="Z251" s="417">
        <f t="shared" si="836"/>
        <v>0</v>
      </c>
      <c r="AA251" s="417">
        <f t="shared" si="836"/>
        <v>0</v>
      </c>
      <c r="AB251" s="417">
        <f t="shared" si="836"/>
        <v>0</v>
      </c>
      <c r="AC251" s="417">
        <f t="shared" si="836"/>
        <v>0</v>
      </c>
      <c r="AD251" s="417">
        <f t="shared" si="836"/>
        <v>0</v>
      </c>
      <c r="AE251" s="417">
        <f t="shared" si="836"/>
        <v>0</v>
      </c>
      <c r="AF251" s="417">
        <f t="shared" si="836"/>
        <v>0</v>
      </c>
      <c r="AG251" s="417">
        <f t="shared" si="836"/>
        <v>0</v>
      </c>
      <c r="AH251" s="417">
        <f t="shared" si="836"/>
        <v>0</v>
      </c>
      <c r="AI251" s="417">
        <f t="shared" si="836"/>
        <v>0</v>
      </c>
      <c r="AJ251" s="417">
        <f t="shared" si="836"/>
        <v>0</v>
      </c>
      <c r="AK251" s="417">
        <f t="shared" si="836"/>
        <v>0</v>
      </c>
      <c r="AL251" s="417">
        <f t="shared" si="836"/>
        <v>0</v>
      </c>
      <c r="AM251" s="417">
        <f t="shared" si="836"/>
        <v>0</v>
      </c>
      <c r="AN251" s="417">
        <f t="shared" si="836"/>
        <v>0</v>
      </c>
      <c r="AO251" s="417">
        <f t="shared" si="836"/>
        <v>0</v>
      </c>
      <c r="AP251" s="417">
        <f t="shared" si="836"/>
        <v>0</v>
      </c>
      <c r="AQ251" s="417">
        <f t="shared" si="836"/>
        <v>0</v>
      </c>
      <c r="AR251" s="417">
        <f t="shared" ref="AR251:BW251" si="837">IF(AR227="","",SUM(AR249:AR250))</f>
        <v>0</v>
      </c>
      <c r="AS251" s="417">
        <f t="shared" si="837"/>
        <v>0</v>
      </c>
      <c r="AT251" s="417">
        <f t="shared" si="837"/>
        <v>0</v>
      </c>
      <c r="AU251" s="417">
        <f t="shared" si="837"/>
        <v>0</v>
      </c>
      <c r="AV251" s="417">
        <f t="shared" si="837"/>
        <v>0</v>
      </c>
      <c r="AW251" s="417">
        <f t="shared" si="837"/>
        <v>0</v>
      </c>
      <c r="AX251" s="417">
        <f t="shared" si="837"/>
        <v>0</v>
      </c>
      <c r="AY251" s="417">
        <f t="shared" si="837"/>
        <v>0</v>
      </c>
      <c r="AZ251" s="417">
        <f t="shared" si="837"/>
        <v>0</v>
      </c>
      <c r="BA251" s="417">
        <f t="shared" si="837"/>
        <v>0</v>
      </c>
      <c r="BB251" s="417">
        <f t="shared" si="837"/>
        <v>0</v>
      </c>
      <c r="BC251" s="417">
        <f t="shared" si="837"/>
        <v>0</v>
      </c>
      <c r="BD251" s="75">
        <f t="shared" si="837"/>
        <v>0</v>
      </c>
      <c r="BE251" s="75">
        <f t="shared" si="837"/>
        <v>0</v>
      </c>
      <c r="BF251" s="75">
        <f t="shared" si="837"/>
        <v>0</v>
      </c>
      <c r="BG251" s="75">
        <f t="shared" si="837"/>
        <v>0</v>
      </c>
      <c r="BH251" s="75">
        <f t="shared" si="837"/>
        <v>0</v>
      </c>
      <c r="BI251" s="75">
        <f t="shared" si="837"/>
        <v>0</v>
      </c>
      <c r="BJ251" s="75">
        <f t="shared" si="837"/>
        <v>0</v>
      </c>
      <c r="BK251" s="75">
        <f t="shared" si="837"/>
        <v>0</v>
      </c>
      <c r="BL251" s="75">
        <f t="shared" si="837"/>
        <v>0</v>
      </c>
      <c r="BM251" s="75">
        <f t="shared" si="837"/>
        <v>0</v>
      </c>
      <c r="BN251" s="75">
        <f t="shared" si="837"/>
        <v>0</v>
      </c>
      <c r="BO251" s="75">
        <f t="shared" si="837"/>
        <v>0</v>
      </c>
      <c r="BP251" s="75">
        <f t="shared" si="837"/>
        <v>0</v>
      </c>
      <c r="BQ251" s="75">
        <f t="shared" si="837"/>
        <v>0</v>
      </c>
      <c r="BR251" s="75">
        <f t="shared" si="837"/>
        <v>0</v>
      </c>
      <c r="BS251" s="75">
        <f t="shared" si="837"/>
        <v>0</v>
      </c>
      <c r="BT251" s="75">
        <f t="shared" si="837"/>
        <v>0</v>
      </c>
      <c r="BU251" s="75">
        <f t="shared" si="837"/>
        <v>0</v>
      </c>
      <c r="BV251" s="75" t="str">
        <f t="shared" si="837"/>
        <v/>
      </c>
      <c r="BW251" s="75" t="str">
        <f t="shared" si="837"/>
        <v/>
      </c>
      <c r="BX251" s="75" t="str">
        <f t="shared" ref="BX251:DC251" si="838">IF(BX227="","",SUM(BX249:BX250))</f>
        <v/>
      </c>
      <c r="BY251" s="75" t="str">
        <f t="shared" si="838"/>
        <v/>
      </c>
      <c r="BZ251" s="75" t="str">
        <f t="shared" si="838"/>
        <v/>
      </c>
      <c r="CA251" s="75" t="str">
        <f t="shared" si="838"/>
        <v/>
      </c>
      <c r="CB251" s="75" t="str">
        <f t="shared" si="838"/>
        <v/>
      </c>
      <c r="CC251" s="75" t="str">
        <f t="shared" si="838"/>
        <v/>
      </c>
      <c r="CD251" s="75" t="str">
        <f t="shared" si="838"/>
        <v/>
      </c>
      <c r="CE251" s="75" t="str">
        <f t="shared" si="838"/>
        <v/>
      </c>
      <c r="CF251" s="75" t="str">
        <f t="shared" si="838"/>
        <v/>
      </c>
      <c r="CG251" s="75" t="str">
        <f t="shared" si="838"/>
        <v/>
      </c>
      <c r="CH251" s="75" t="str">
        <f t="shared" si="838"/>
        <v/>
      </c>
      <c r="CI251" s="75" t="str">
        <f t="shared" si="838"/>
        <v/>
      </c>
      <c r="CJ251" s="75" t="str">
        <f t="shared" si="838"/>
        <v/>
      </c>
      <c r="CK251" s="75" t="str">
        <f t="shared" si="838"/>
        <v/>
      </c>
      <c r="CL251" s="75" t="str">
        <f t="shared" si="838"/>
        <v/>
      </c>
      <c r="CM251" s="75" t="str">
        <f t="shared" si="838"/>
        <v/>
      </c>
      <c r="CN251" s="75" t="str">
        <f t="shared" si="838"/>
        <v/>
      </c>
      <c r="CO251" s="75" t="str">
        <f t="shared" si="838"/>
        <v/>
      </c>
      <c r="CP251" s="75" t="str">
        <f t="shared" si="838"/>
        <v/>
      </c>
      <c r="CQ251" s="75" t="str">
        <f t="shared" si="838"/>
        <v/>
      </c>
      <c r="CR251" s="75" t="str">
        <f t="shared" si="838"/>
        <v/>
      </c>
      <c r="CS251" s="75" t="str">
        <f t="shared" si="838"/>
        <v/>
      </c>
      <c r="CT251" s="75" t="str">
        <f t="shared" si="838"/>
        <v/>
      </c>
      <c r="CU251" s="75" t="str">
        <f t="shared" si="838"/>
        <v/>
      </c>
      <c r="CV251" s="75" t="str">
        <f t="shared" si="838"/>
        <v/>
      </c>
      <c r="CW251" s="75" t="str">
        <f t="shared" si="838"/>
        <v/>
      </c>
      <c r="CX251" s="75" t="str">
        <f t="shared" si="838"/>
        <v/>
      </c>
      <c r="CY251" s="75" t="str">
        <f t="shared" si="838"/>
        <v/>
      </c>
      <c r="CZ251" s="75" t="str">
        <f t="shared" si="838"/>
        <v/>
      </c>
      <c r="DA251" s="75" t="str">
        <f t="shared" si="838"/>
        <v/>
      </c>
      <c r="DB251" s="75" t="str">
        <f t="shared" si="838"/>
        <v/>
      </c>
      <c r="DC251" s="75" t="str">
        <f t="shared" si="838"/>
        <v/>
      </c>
      <c r="DD251" s="75" t="str">
        <f t="shared" ref="DD251:EI251" si="839">IF(DD227="","",SUM(DD249:DD250))</f>
        <v/>
      </c>
      <c r="DE251" s="75" t="str">
        <f t="shared" si="839"/>
        <v/>
      </c>
      <c r="DF251" s="75" t="str">
        <f t="shared" si="839"/>
        <v/>
      </c>
      <c r="DG251" s="75" t="str">
        <f t="shared" si="839"/>
        <v/>
      </c>
      <c r="DH251" s="75" t="str">
        <f t="shared" si="839"/>
        <v/>
      </c>
      <c r="DI251" s="75" t="str">
        <f t="shared" si="839"/>
        <v/>
      </c>
      <c r="DJ251" s="75" t="str">
        <f t="shared" si="839"/>
        <v/>
      </c>
      <c r="DK251" s="75" t="str">
        <f t="shared" si="839"/>
        <v/>
      </c>
      <c r="DL251" s="75" t="str">
        <f t="shared" si="839"/>
        <v/>
      </c>
      <c r="DM251" s="75" t="str">
        <f t="shared" si="839"/>
        <v/>
      </c>
      <c r="DN251" s="75" t="str">
        <f t="shared" si="839"/>
        <v/>
      </c>
      <c r="DO251" s="75" t="str">
        <f t="shared" si="839"/>
        <v/>
      </c>
      <c r="DP251" s="75" t="str">
        <f t="shared" si="839"/>
        <v/>
      </c>
      <c r="DQ251" s="75" t="str">
        <f t="shared" si="839"/>
        <v/>
      </c>
      <c r="DR251" s="75" t="str">
        <f t="shared" si="839"/>
        <v/>
      </c>
      <c r="DS251" s="75" t="str">
        <f t="shared" si="839"/>
        <v/>
      </c>
      <c r="DT251" s="75" t="str">
        <f t="shared" si="839"/>
        <v/>
      </c>
      <c r="DU251" s="75" t="str">
        <f t="shared" si="839"/>
        <v/>
      </c>
      <c r="DV251" s="75" t="str">
        <f t="shared" si="839"/>
        <v/>
      </c>
      <c r="DW251" s="75" t="str">
        <f t="shared" si="839"/>
        <v/>
      </c>
      <c r="DX251" s="75" t="str">
        <f t="shared" si="839"/>
        <v/>
      </c>
      <c r="DY251" s="75" t="str">
        <f t="shared" si="839"/>
        <v/>
      </c>
      <c r="DZ251" s="75" t="str">
        <f t="shared" si="839"/>
        <v/>
      </c>
      <c r="EA251" s="75" t="str">
        <f t="shared" si="839"/>
        <v/>
      </c>
      <c r="EB251" s="75" t="str">
        <f t="shared" si="839"/>
        <v/>
      </c>
      <c r="EC251" s="75" t="str">
        <f t="shared" si="839"/>
        <v/>
      </c>
      <c r="ED251" s="75" t="str">
        <f t="shared" si="839"/>
        <v/>
      </c>
      <c r="EE251" s="75" t="str">
        <f t="shared" si="839"/>
        <v/>
      </c>
      <c r="EF251" s="75" t="str">
        <f t="shared" si="839"/>
        <v/>
      </c>
      <c r="EG251" s="75" t="str">
        <f t="shared" si="839"/>
        <v/>
      </c>
      <c r="EH251" s="75" t="str">
        <f t="shared" si="839"/>
        <v/>
      </c>
      <c r="EI251" s="75" t="str">
        <f t="shared" si="839"/>
        <v/>
      </c>
      <c r="EJ251" s="75" t="str">
        <f>IF(EJ227="","",SUM(EJ249:EJ250))</f>
        <v/>
      </c>
      <c r="EK251" s="75" t="str">
        <f>IF(EK227="","",SUM(EK249:EK250))</f>
        <v/>
      </c>
      <c r="EL251" s="75" t="str">
        <f>IF(EL227="","",SUM(EL249:EL250))</f>
        <v/>
      </c>
      <c r="EM251" s="75" t="str">
        <f>IF(EM227="","",SUM(EM249:EM250))</f>
        <v/>
      </c>
      <c r="EN251" s="75" t="str">
        <f>IF(EN227="","",SUM(EN249:EN250))</f>
        <v/>
      </c>
      <c r="EO251"/>
      <c r="EP251" s="405"/>
      <c r="EQ251" s="18"/>
      <c r="ER251" s="18"/>
      <c r="ES251" s="18"/>
      <c r="ET251" s="18" t="s">
        <v>455</v>
      </c>
      <c r="EU251" s="18"/>
      <c r="EV251" s="418">
        <f t="shared" ref="EV251:GA251" si="840">(EV$197&lt;=Timing_Reversion_Month)*(EV247+EV248+EV240-EV249-EV250)</f>
        <v>0</v>
      </c>
      <c r="EW251" s="418">
        <f t="shared" si="840"/>
        <v>0</v>
      </c>
      <c r="EX251" s="418">
        <f t="shared" si="840"/>
        <v>0</v>
      </c>
      <c r="EY251" s="418">
        <f t="shared" si="840"/>
        <v>0</v>
      </c>
      <c r="EZ251" s="418">
        <f t="shared" si="840"/>
        <v>0</v>
      </c>
      <c r="FA251" s="418">
        <f t="shared" si="840"/>
        <v>0</v>
      </c>
      <c r="FB251" s="418">
        <f t="shared" si="840"/>
        <v>0</v>
      </c>
      <c r="FC251" s="418">
        <f t="shared" si="840"/>
        <v>0</v>
      </c>
      <c r="FD251" s="418">
        <f t="shared" si="840"/>
        <v>0</v>
      </c>
      <c r="FE251" s="418">
        <f t="shared" si="840"/>
        <v>0</v>
      </c>
      <c r="FF251" s="418">
        <f t="shared" si="840"/>
        <v>0</v>
      </c>
      <c r="FG251" s="418">
        <f t="shared" si="840"/>
        <v>0</v>
      </c>
      <c r="FH251" s="418">
        <f t="shared" si="840"/>
        <v>0</v>
      </c>
      <c r="FI251" s="418">
        <f t="shared" si="840"/>
        <v>0</v>
      </c>
      <c r="FJ251" s="418">
        <f t="shared" si="840"/>
        <v>0</v>
      </c>
      <c r="FK251" s="418">
        <f t="shared" si="840"/>
        <v>0</v>
      </c>
      <c r="FL251" s="418">
        <f t="shared" si="840"/>
        <v>0</v>
      </c>
      <c r="FM251" s="418">
        <f t="shared" si="840"/>
        <v>0</v>
      </c>
      <c r="FN251" s="418">
        <f t="shared" si="840"/>
        <v>0</v>
      </c>
      <c r="FO251" s="418">
        <f t="shared" si="840"/>
        <v>0</v>
      </c>
      <c r="FP251" s="418">
        <f t="shared" si="840"/>
        <v>0</v>
      </c>
      <c r="FQ251" s="418">
        <f t="shared" si="840"/>
        <v>0</v>
      </c>
      <c r="FR251" s="418">
        <f t="shared" si="840"/>
        <v>0</v>
      </c>
      <c r="FS251" s="418">
        <f t="shared" si="840"/>
        <v>0</v>
      </c>
      <c r="FT251" s="418">
        <f t="shared" si="840"/>
        <v>0</v>
      </c>
      <c r="FU251" s="418">
        <f t="shared" si="840"/>
        <v>0</v>
      </c>
      <c r="FV251" s="418">
        <f t="shared" si="840"/>
        <v>0</v>
      </c>
      <c r="FW251" s="418">
        <f t="shared" si="840"/>
        <v>0</v>
      </c>
      <c r="FX251" s="418">
        <f t="shared" si="840"/>
        <v>0</v>
      </c>
      <c r="FY251" s="418">
        <f t="shared" si="840"/>
        <v>0</v>
      </c>
      <c r="FZ251" s="418">
        <f t="shared" si="840"/>
        <v>0</v>
      </c>
      <c r="GA251" s="418">
        <f t="shared" si="840"/>
        <v>0</v>
      </c>
      <c r="GB251" s="418">
        <f t="shared" ref="GB251:HG251" si="841">(GB$197&lt;=Timing_Reversion_Month)*(GB247+GB248+GB240-GB249-GB250)</f>
        <v>0</v>
      </c>
      <c r="GC251" s="418">
        <f t="shared" si="841"/>
        <v>0</v>
      </c>
      <c r="GD251" s="418">
        <f t="shared" si="841"/>
        <v>0</v>
      </c>
      <c r="GE251" s="418">
        <f t="shared" si="841"/>
        <v>0</v>
      </c>
      <c r="GF251" s="418">
        <f t="shared" si="841"/>
        <v>0</v>
      </c>
      <c r="GG251" s="418">
        <f t="shared" si="841"/>
        <v>0</v>
      </c>
      <c r="GH251" s="418">
        <f t="shared" si="841"/>
        <v>0</v>
      </c>
      <c r="GI251" s="418">
        <f t="shared" si="841"/>
        <v>0</v>
      </c>
      <c r="GJ251" s="418">
        <f t="shared" si="841"/>
        <v>0</v>
      </c>
      <c r="GK251" s="418">
        <f t="shared" si="841"/>
        <v>0</v>
      </c>
      <c r="GL251" s="418">
        <f t="shared" si="841"/>
        <v>0</v>
      </c>
      <c r="GM251" s="418">
        <f t="shared" si="841"/>
        <v>0</v>
      </c>
      <c r="GN251" s="418">
        <f t="shared" si="841"/>
        <v>0</v>
      </c>
      <c r="GO251" s="418">
        <f t="shared" si="841"/>
        <v>0</v>
      </c>
      <c r="GP251" s="418">
        <f t="shared" si="841"/>
        <v>0</v>
      </c>
      <c r="GQ251" s="418">
        <f t="shared" si="841"/>
        <v>0</v>
      </c>
      <c r="GR251" s="418">
        <f t="shared" si="841"/>
        <v>0</v>
      </c>
      <c r="GS251" s="418">
        <f t="shared" si="841"/>
        <v>0</v>
      </c>
      <c r="GT251" s="418">
        <f t="shared" si="841"/>
        <v>0</v>
      </c>
      <c r="GU251" s="418">
        <f t="shared" si="841"/>
        <v>0</v>
      </c>
      <c r="GV251" s="418">
        <f t="shared" si="841"/>
        <v>0</v>
      </c>
      <c r="GW251" s="418">
        <f t="shared" si="841"/>
        <v>0</v>
      </c>
      <c r="GX251" s="418">
        <f t="shared" si="841"/>
        <v>0</v>
      </c>
      <c r="GY251" s="418">
        <f t="shared" si="841"/>
        <v>0</v>
      </c>
      <c r="GZ251" s="418">
        <f t="shared" si="841"/>
        <v>0</v>
      </c>
      <c r="HA251" s="418">
        <f t="shared" si="841"/>
        <v>0</v>
      </c>
      <c r="HB251" s="418">
        <f t="shared" si="841"/>
        <v>0</v>
      </c>
      <c r="HC251" s="418">
        <f t="shared" si="841"/>
        <v>0</v>
      </c>
      <c r="HD251" s="418">
        <f t="shared" si="841"/>
        <v>0</v>
      </c>
      <c r="HE251" s="418">
        <f t="shared" si="841"/>
        <v>0</v>
      </c>
      <c r="HF251" s="418">
        <f t="shared" si="841"/>
        <v>0</v>
      </c>
      <c r="HG251" s="418">
        <f t="shared" si="841"/>
        <v>0</v>
      </c>
      <c r="HH251" s="418">
        <f t="shared" ref="HH251:IM251" si="842">(HH$197&lt;=Timing_Reversion_Month)*(HH247+HH248+HH240-HH249-HH250)</f>
        <v>0</v>
      </c>
      <c r="HI251" s="418">
        <f t="shared" si="842"/>
        <v>0</v>
      </c>
      <c r="HJ251" s="418">
        <f t="shared" si="842"/>
        <v>0</v>
      </c>
      <c r="HK251" s="418">
        <f t="shared" si="842"/>
        <v>0</v>
      </c>
      <c r="HL251" s="418">
        <f t="shared" si="842"/>
        <v>0</v>
      </c>
      <c r="HM251" s="418">
        <f t="shared" si="842"/>
        <v>0</v>
      </c>
      <c r="HN251" s="418">
        <f t="shared" si="842"/>
        <v>0</v>
      </c>
      <c r="HO251" s="418">
        <f t="shared" si="842"/>
        <v>0</v>
      </c>
      <c r="HP251" s="418">
        <f t="shared" si="842"/>
        <v>0</v>
      </c>
      <c r="HQ251" s="418">
        <f t="shared" si="842"/>
        <v>0</v>
      </c>
      <c r="HR251" s="418">
        <f t="shared" si="842"/>
        <v>0</v>
      </c>
      <c r="HS251" s="418">
        <f t="shared" si="842"/>
        <v>0</v>
      </c>
      <c r="HT251" s="418">
        <f t="shared" si="842"/>
        <v>0</v>
      </c>
      <c r="HU251" s="418">
        <f t="shared" si="842"/>
        <v>0</v>
      </c>
      <c r="HV251" s="418">
        <f t="shared" si="842"/>
        <v>0</v>
      </c>
      <c r="HW251" s="418">
        <f t="shared" si="842"/>
        <v>0</v>
      </c>
      <c r="HX251" s="418">
        <f t="shared" si="842"/>
        <v>0</v>
      </c>
      <c r="HY251" s="418">
        <f t="shared" si="842"/>
        <v>0</v>
      </c>
      <c r="HZ251" s="418">
        <f t="shared" si="842"/>
        <v>0</v>
      </c>
      <c r="IA251" s="418">
        <f t="shared" si="842"/>
        <v>0</v>
      </c>
      <c r="IB251" s="418">
        <f t="shared" si="842"/>
        <v>0</v>
      </c>
      <c r="IC251" s="418">
        <f t="shared" si="842"/>
        <v>0</v>
      </c>
      <c r="ID251" s="418">
        <f t="shared" si="842"/>
        <v>0</v>
      </c>
      <c r="IE251" s="418">
        <f t="shared" si="842"/>
        <v>0</v>
      </c>
      <c r="IF251" s="418">
        <f t="shared" si="842"/>
        <v>0</v>
      </c>
      <c r="IG251" s="418">
        <f t="shared" si="842"/>
        <v>0</v>
      </c>
      <c r="IH251" s="418">
        <f t="shared" si="842"/>
        <v>0</v>
      </c>
      <c r="II251" s="418">
        <f t="shared" si="842"/>
        <v>0</v>
      </c>
      <c r="IJ251" s="418">
        <f t="shared" si="842"/>
        <v>0</v>
      </c>
      <c r="IK251" s="418">
        <f t="shared" si="842"/>
        <v>0</v>
      </c>
      <c r="IL251" s="418">
        <f t="shared" si="842"/>
        <v>0</v>
      </c>
      <c r="IM251" s="418">
        <f t="shared" si="842"/>
        <v>0</v>
      </c>
      <c r="IN251" s="418">
        <f t="shared" ref="IN251:JS251" si="843">(IN$197&lt;=Timing_Reversion_Month)*(IN247+IN248+IN240-IN249-IN250)</f>
        <v>0</v>
      </c>
      <c r="IO251" s="418">
        <f t="shared" si="843"/>
        <v>0</v>
      </c>
      <c r="IP251" s="418">
        <f t="shared" si="843"/>
        <v>0</v>
      </c>
      <c r="IQ251" s="418">
        <f t="shared" si="843"/>
        <v>0</v>
      </c>
      <c r="IR251" s="418">
        <f t="shared" si="843"/>
        <v>0</v>
      </c>
      <c r="IS251" s="418">
        <f t="shared" si="843"/>
        <v>0</v>
      </c>
      <c r="IT251" s="418">
        <f t="shared" si="843"/>
        <v>0</v>
      </c>
      <c r="IU251" s="418">
        <f t="shared" si="843"/>
        <v>0</v>
      </c>
      <c r="IV251" s="418">
        <f t="shared" si="843"/>
        <v>0</v>
      </c>
      <c r="IW251" s="418">
        <f t="shared" si="843"/>
        <v>0</v>
      </c>
      <c r="IX251" s="418">
        <f t="shared" si="843"/>
        <v>0</v>
      </c>
      <c r="IY251" s="418">
        <f t="shared" si="843"/>
        <v>0</v>
      </c>
      <c r="IZ251" s="418">
        <f t="shared" si="843"/>
        <v>0</v>
      </c>
      <c r="JA251" s="418">
        <f t="shared" si="843"/>
        <v>0</v>
      </c>
      <c r="JB251" s="418">
        <f t="shared" si="843"/>
        <v>0</v>
      </c>
      <c r="JC251" s="418">
        <f t="shared" si="843"/>
        <v>0</v>
      </c>
      <c r="JD251" s="418">
        <f t="shared" si="843"/>
        <v>0</v>
      </c>
      <c r="JE251" s="418">
        <f t="shared" si="843"/>
        <v>0</v>
      </c>
      <c r="JF251" s="418">
        <f t="shared" si="843"/>
        <v>0</v>
      </c>
      <c r="JG251" s="418">
        <f t="shared" si="843"/>
        <v>0</v>
      </c>
      <c r="JH251" s="418">
        <f t="shared" si="843"/>
        <v>0</v>
      </c>
      <c r="JI251" s="418">
        <f t="shared" si="843"/>
        <v>0</v>
      </c>
      <c r="JJ251" s="418">
        <f t="shared" si="843"/>
        <v>0</v>
      </c>
      <c r="JK251" s="418">
        <f t="shared" si="843"/>
        <v>0</v>
      </c>
      <c r="JL251" s="418">
        <f t="shared" si="843"/>
        <v>0</v>
      </c>
      <c r="JM251" s="418">
        <f t="shared" si="843"/>
        <v>0</v>
      </c>
      <c r="JN251" s="418">
        <f t="shared" si="843"/>
        <v>0</v>
      </c>
      <c r="JO251" s="418">
        <f t="shared" si="843"/>
        <v>0</v>
      </c>
      <c r="JP251" s="418">
        <f t="shared" si="843"/>
        <v>0</v>
      </c>
      <c r="JQ251" s="418">
        <f t="shared" si="843"/>
        <v>0</v>
      </c>
      <c r="JR251" s="418">
        <f t="shared" si="843"/>
        <v>0</v>
      </c>
      <c r="JS251" s="418">
        <f t="shared" si="843"/>
        <v>0</v>
      </c>
      <c r="JT251" s="418">
        <f>(JT$197&lt;=Timing_Reversion_Month)*(JT247+JT248+JT240-JT249-JT250)</f>
        <v>0</v>
      </c>
      <c r="JU251" s="418">
        <f>(JU$197&lt;=Timing_Reversion_Month)*(JU247+JU248+JU240-JU249-JU250)</f>
        <v>0</v>
      </c>
      <c r="JV251" s="418">
        <f>(JV$197&lt;=Timing_Reversion_Month)*(JV247+JV248+JV240-JV249-JV250)</f>
        <v>0</v>
      </c>
      <c r="JW251" s="418">
        <f>(JW$197&lt;=Timing_Reversion_Month)*(JW247+JW248+JW240-JW249-JW250)</f>
        <v>0</v>
      </c>
      <c r="JX251" s="418">
        <f>(JX$197&lt;=Timing_Reversion_Month)*(JX247+JX248+JX240-JX249-JX250)</f>
        <v>0</v>
      </c>
      <c r="JY251"/>
      <c r="JZ251" s="262"/>
      <c r="KA251" s="262"/>
      <c r="KB251" s="262"/>
      <c r="KC251" s="262"/>
      <c r="KD251" s="262"/>
      <c r="KE251" s="262"/>
      <c r="KF251" s="262"/>
      <c r="KG251" s="262"/>
      <c r="KH251" s="262"/>
      <c r="KI251" s="262"/>
      <c r="KJ251" s="262"/>
      <c r="KK251" s="262"/>
      <c r="KL251" s="262"/>
      <c r="KM251" s="262"/>
      <c r="KN251" s="262"/>
      <c r="KO251" s="262"/>
      <c r="KP251" s="262"/>
      <c r="KQ251" s="262"/>
      <c r="KR251" s="262"/>
      <c r="KS251" s="262"/>
      <c r="KT251" s="262"/>
      <c r="KU251" s="262"/>
      <c r="KV251" s="262"/>
      <c r="KW251" s="262"/>
      <c r="KX251" s="262"/>
      <c r="KY251" s="262"/>
      <c r="KZ251" s="262"/>
      <c r="LA251" s="262"/>
      <c r="LB251" s="262"/>
      <c r="LC251" s="262"/>
      <c r="LD251" s="262"/>
      <c r="LE251" s="262"/>
      <c r="LF251" s="262"/>
      <c r="LG251" s="262"/>
      <c r="LH251" s="262"/>
      <c r="LI251" s="262"/>
      <c r="LJ251" s="262"/>
      <c r="LK251" s="262"/>
      <c r="LL251" s="262"/>
      <c r="LM251" s="262"/>
      <c r="LN251" s="262"/>
      <c r="LO251" s="262"/>
      <c r="LP251" s="262"/>
      <c r="LQ251" s="262"/>
      <c r="LR251" s="262"/>
      <c r="LS251" s="262"/>
      <c r="LT251" s="262"/>
      <c r="LU251" s="262"/>
      <c r="LV251" s="262"/>
      <c r="LW251" s="262"/>
      <c r="LX251" s="262"/>
      <c r="LY251" s="262"/>
      <c r="LZ251" s="262"/>
      <c r="MA251" s="262"/>
      <c r="MB251" s="262"/>
      <c r="MC251" s="262"/>
      <c r="MD251" s="262"/>
      <c r="ME251" s="262"/>
      <c r="MF251" s="262"/>
      <c r="MG251" s="262"/>
      <c r="MH251" s="262"/>
      <c r="MI251" s="262"/>
      <c r="MJ251" s="262"/>
      <c r="MK251" s="262"/>
      <c r="ML251" s="262"/>
      <c r="MM251" s="262"/>
      <c r="MN251" s="262"/>
      <c r="MO251" s="262"/>
      <c r="MP251" s="262"/>
      <c r="MQ251" s="262"/>
      <c r="MR251" s="262"/>
      <c r="MS251" s="262"/>
      <c r="MT251" s="262"/>
      <c r="MU251" s="262"/>
      <c r="MV251" s="262"/>
      <c r="MW251" s="262"/>
      <c r="MX251" s="262"/>
      <c r="MY251" s="262"/>
      <c r="MZ251" s="262"/>
      <c r="NA251" s="262"/>
      <c r="NB251" s="262"/>
      <c r="NC251" s="262"/>
      <c r="ND251" s="262"/>
      <c r="NE251" s="262"/>
      <c r="NF251" s="262"/>
      <c r="NG251" s="262"/>
      <c r="NH251" s="262"/>
      <c r="NI251" s="262"/>
      <c r="NJ251" s="262"/>
      <c r="NK251" s="262"/>
      <c r="NL251" s="262"/>
      <c r="NM251" s="262"/>
      <c r="NN251" s="262"/>
      <c r="NO251" s="262"/>
      <c r="NP251" s="262"/>
      <c r="NQ251" s="262"/>
      <c r="NR251" s="262"/>
      <c r="NS251" s="262"/>
      <c r="NT251" s="262"/>
      <c r="NU251" s="262"/>
      <c r="NV251" s="262"/>
      <c r="NW251" s="262"/>
      <c r="NX251" s="262"/>
      <c r="NY251" s="262"/>
      <c r="NZ251" s="262"/>
      <c r="OA251" s="262"/>
      <c r="OB251" s="262"/>
      <c r="OC251" s="262"/>
      <c r="OD251" s="262"/>
      <c r="OE251" s="262"/>
      <c r="OF251" s="262"/>
      <c r="OG251" s="262"/>
      <c r="OH251" s="262"/>
      <c r="OI251" s="262"/>
      <c r="OJ251" s="262"/>
      <c r="OK251" s="262"/>
      <c r="OL251" s="262"/>
      <c r="OM251" s="262"/>
      <c r="ON251" s="262"/>
      <c r="OO251" s="262"/>
      <c r="OP251" s="262"/>
      <c r="OQ251" s="262"/>
      <c r="OR251" s="262"/>
      <c r="OS251" s="262"/>
      <c r="OT251" s="262"/>
      <c r="OU251" s="262"/>
      <c r="OV251" s="262"/>
      <c r="OW251" s="262"/>
      <c r="OX251" s="262"/>
      <c r="OY251" s="262"/>
      <c r="OZ251" s="262"/>
      <c r="PA251" s="262"/>
      <c r="PB251" s="262"/>
      <c r="PC251" s="262"/>
      <c r="PD251" s="262"/>
      <c r="PE251" s="262"/>
      <c r="PF251" s="262"/>
      <c r="PG251" s="262"/>
      <c r="PH251" s="262"/>
    </row>
    <row r="252" spans="1:424" x14ac:dyDescent="0.35">
      <c r="A252"/>
      <c r="B252" s="34"/>
      <c r="C252" s="397"/>
      <c r="D252" s="397"/>
      <c r="E252" s="542"/>
      <c r="F252" s="542"/>
      <c r="G252" s="542"/>
      <c r="H252" s="84"/>
      <c r="I252" s="85"/>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s="405"/>
      <c r="EQ252" s="18"/>
      <c r="ER252" s="18"/>
      <c r="ES252" s="18" t="s">
        <v>389</v>
      </c>
      <c r="ET252" s="915" t="str">
        <f>IFERROR(XIRR($EV252:INDEX($EV252:$PH252,1,Timing_Reversion_Month+1),$EV$24:INDEX($EV$24:$PH$24,1,Timing_Reversion_Month+1)),"")</f>
        <v/>
      </c>
      <c r="EU252" s="18"/>
      <c r="EV252" s="418">
        <f t="shared" ref="EV252:GA252" si="844">+-EV240+EV249+EV250</f>
        <v>0</v>
      </c>
      <c r="EW252" s="418">
        <f t="shared" si="844"/>
        <v>0</v>
      </c>
      <c r="EX252" s="418">
        <f t="shared" si="844"/>
        <v>0</v>
      </c>
      <c r="EY252" s="418">
        <f t="shared" si="844"/>
        <v>0</v>
      </c>
      <c r="EZ252" s="418">
        <f t="shared" si="844"/>
        <v>0</v>
      </c>
      <c r="FA252" s="418">
        <f t="shared" si="844"/>
        <v>0</v>
      </c>
      <c r="FB252" s="418">
        <f t="shared" si="844"/>
        <v>0</v>
      </c>
      <c r="FC252" s="418">
        <f t="shared" si="844"/>
        <v>0</v>
      </c>
      <c r="FD252" s="418">
        <f t="shared" si="844"/>
        <v>0</v>
      </c>
      <c r="FE252" s="418">
        <f t="shared" si="844"/>
        <v>0</v>
      </c>
      <c r="FF252" s="418">
        <f t="shared" si="844"/>
        <v>0</v>
      </c>
      <c r="FG252" s="418">
        <f t="shared" si="844"/>
        <v>0</v>
      </c>
      <c r="FH252" s="418">
        <f t="shared" si="844"/>
        <v>0</v>
      </c>
      <c r="FI252" s="418">
        <f t="shared" si="844"/>
        <v>0</v>
      </c>
      <c r="FJ252" s="418">
        <f t="shared" si="844"/>
        <v>0</v>
      </c>
      <c r="FK252" s="418">
        <f t="shared" si="844"/>
        <v>0</v>
      </c>
      <c r="FL252" s="418">
        <f t="shared" si="844"/>
        <v>0</v>
      </c>
      <c r="FM252" s="418">
        <f t="shared" si="844"/>
        <v>0</v>
      </c>
      <c r="FN252" s="418">
        <f t="shared" si="844"/>
        <v>0</v>
      </c>
      <c r="FO252" s="418">
        <f t="shared" si="844"/>
        <v>0</v>
      </c>
      <c r="FP252" s="418">
        <f t="shared" si="844"/>
        <v>0</v>
      </c>
      <c r="FQ252" s="418">
        <f t="shared" si="844"/>
        <v>0</v>
      </c>
      <c r="FR252" s="418">
        <f t="shared" si="844"/>
        <v>0</v>
      </c>
      <c r="FS252" s="418">
        <f t="shared" si="844"/>
        <v>0</v>
      </c>
      <c r="FT252" s="418">
        <f t="shared" si="844"/>
        <v>0</v>
      </c>
      <c r="FU252" s="418">
        <f t="shared" si="844"/>
        <v>0</v>
      </c>
      <c r="FV252" s="418">
        <f t="shared" si="844"/>
        <v>0</v>
      </c>
      <c r="FW252" s="418">
        <f t="shared" si="844"/>
        <v>0</v>
      </c>
      <c r="FX252" s="418">
        <f t="shared" si="844"/>
        <v>0</v>
      </c>
      <c r="FY252" s="418">
        <f t="shared" si="844"/>
        <v>0</v>
      </c>
      <c r="FZ252" s="418">
        <f t="shared" si="844"/>
        <v>0</v>
      </c>
      <c r="GA252" s="418">
        <f t="shared" si="844"/>
        <v>0</v>
      </c>
      <c r="GB252" s="418">
        <f t="shared" ref="GB252:HG252" si="845">+-GB240+GB249+GB250</f>
        <v>0</v>
      </c>
      <c r="GC252" s="418">
        <f t="shared" si="845"/>
        <v>0</v>
      </c>
      <c r="GD252" s="418">
        <f t="shared" si="845"/>
        <v>0</v>
      </c>
      <c r="GE252" s="418">
        <f t="shared" si="845"/>
        <v>0</v>
      </c>
      <c r="GF252" s="418">
        <f t="shared" si="845"/>
        <v>0</v>
      </c>
      <c r="GG252" s="418">
        <f t="shared" si="845"/>
        <v>0</v>
      </c>
      <c r="GH252" s="418">
        <f t="shared" si="845"/>
        <v>0</v>
      </c>
      <c r="GI252" s="418">
        <f t="shared" si="845"/>
        <v>0</v>
      </c>
      <c r="GJ252" s="418">
        <f t="shared" si="845"/>
        <v>0</v>
      </c>
      <c r="GK252" s="418">
        <f t="shared" si="845"/>
        <v>0</v>
      </c>
      <c r="GL252" s="418">
        <f t="shared" si="845"/>
        <v>0</v>
      </c>
      <c r="GM252" s="418">
        <f t="shared" si="845"/>
        <v>0</v>
      </c>
      <c r="GN252" s="418">
        <f t="shared" si="845"/>
        <v>0</v>
      </c>
      <c r="GO252" s="418">
        <f t="shared" si="845"/>
        <v>0</v>
      </c>
      <c r="GP252" s="418">
        <f t="shared" si="845"/>
        <v>0</v>
      </c>
      <c r="GQ252" s="418">
        <f t="shared" si="845"/>
        <v>0</v>
      </c>
      <c r="GR252" s="418">
        <f t="shared" si="845"/>
        <v>0</v>
      </c>
      <c r="GS252" s="418">
        <f t="shared" si="845"/>
        <v>0</v>
      </c>
      <c r="GT252" s="418">
        <f t="shared" si="845"/>
        <v>0</v>
      </c>
      <c r="GU252" s="418">
        <f t="shared" si="845"/>
        <v>0</v>
      </c>
      <c r="GV252" s="418">
        <f t="shared" si="845"/>
        <v>0</v>
      </c>
      <c r="GW252" s="418">
        <f t="shared" si="845"/>
        <v>0</v>
      </c>
      <c r="GX252" s="418">
        <f t="shared" si="845"/>
        <v>0</v>
      </c>
      <c r="GY252" s="418">
        <f t="shared" si="845"/>
        <v>0</v>
      </c>
      <c r="GZ252" s="418">
        <f t="shared" si="845"/>
        <v>0</v>
      </c>
      <c r="HA252" s="418">
        <f t="shared" si="845"/>
        <v>0</v>
      </c>
      <c r="HB252" s="418">
        <f t="shared" si="845"/>
        <v>0</v>
      </c>
      <c r="HC252" s="418">
        <f t="shared" si="845"/>
        <v>0</v>
      </c>
      <c r="HD252" s="418">
        <f t="shared" si="845"/>
        <v>0</v>
      </c>
      <c r="HE252" s="418">
        <f t="shared" si="845"/>
        <v>0</v>
      </c>
      <c r="HF252" s="418">
        <f t="shared" si="845"/>
        <v>0</v>
      </c>
      <c r="HG252" s="418">
        <f t="shared" si="845"/>
        <v>0</v>
      </c>
      <c r="HH252" s="418">
        <f t="shared" ref="HH252:IM252" si="846">+-HH240+HH249+HH250</f>
        <v>0</v>
      </c>
      <c r="HI252" s="418">
        <f t="shared" si="846"/>
        <v>0</v>
      </c>
      <c r="HJ252" s="418">
        <f t="shared" si="846"/>
        <v>0</v>
      </c>
      <c r="HK252" s="418">
        <f t="shared" si="846"/>
        <v>0</v>
      </c>
      <c r="HL252" s="418">
        <f t="shared" si="846"/>
        <v>0</v>
      </c>
      <c r="HM252" s="418">
        <f t="shared" si="846"/>
        <v>0</v>
      </c>
      <c r="HN252" s="418">
        <f t="shared" si="846"/>
        <v>0</v>
      </c>
      <c r="HO252" s="418">
        <f t="shared" si="846"/>
        <v>0</v>
      </c>
      <c r="HP252" s="418">
        <f t="shared" si="846"/>
        <v>0</v>
      </c>
      <c r="HQ252" s="418">
        <f t="shared" si="846"/>
        <v>0</v>
      </c>
      <c r="HR252" s="418">
        <f t="shared" si="846"/>
        <v>0</v>
      </c>
      <c r="HS252" s="418">
        <f t="shared" si="846"/>
        <v>0</v>
      </c>
      <c r="HT252" s="418">
        <f t="shared" si="846"/>
        <v>0</v>
      </c>
      <c r="HU252" s="418">
        <f t="shared" si="846"/>
        <v>0</v>
      </c>
      <c r="HV252" s="418">
        <f t="shared" si="846"/>
        <v>0</v>
      </c>
      <c r="HW252" s="418">
        <f t="shared" si="846"/>
        <v>0</v>
      </c>
      <c r="HX252" s="418">
        <f t="shared" si="846"/>
        <v>0</v>
      </c>
      <c r="HY252" s="418">
        <f t="shared" si="846"/>
        <v>0</v>
      </c>
      <c r="HZ252" s="418">
        <f t="shared" si="846"/>
        <v>0</v>
      </c>
      <c r="IA252" s="418">
        <f t="shared" si="846"/>
        <v>0</v>
      </c>
      <c r="IB252" s="418">
        <f t="shared" si="846"/>
        <v>0</v>
      </c>
      <c r="IC252" s="418">
        <f t="shared" si="846"/>
        <v>0</v>
      </c>
      <c r="ID252" s="418">
        <f t="shared" si="846"/>
        <v>0</v>
      </c>
      <c r="IE252" s="418">
        <f t="shared" si="846"/>
        <v>0</v>
      </c>
      <c r="IF252" s="418">
        <f t="shared" si="846"/>
        <v>0</v>
      </c>
      <c r="IG252" s="418">
        <f t="shared" si="846"/>
        <v>0</v>
      </c>
      <c r="IH252" s="418">
        <f t="shared" si="846"/>
        <v>0</v>
      </c>
      <c r="II252" s="418">
        <f t="shared" si="846"/>
        <v>0</v>
      </c>
      <c r="IJ252" s="418">
        <f t="shared" si="846"/>
        <v>0</v>
      </c>
      <c r="IK252" s="418">
        <f t="shared" si="846"/>
        <v>0</v>
      </c>
      <c r="IL252" s="418">
        <f t="shared" si="846"/>
        <v>0</v>
      </c>
      <c r="IM252" s="418">
        <f t="shared" si="846"/>
        <v>0</v>
      </c>
      <c r="IN252" s="418">
        <f t="shared" ref="IN252:JX252" si="847">+-IN240+IN249+IN250</f>
        <v>0</v>
      </c>
      <c r="IO252" s="418">
        <f t="shared" si="847"/>
        <v>0</v>
      </c>
      <c r="IP252" s="418">
        <f t="shared" si="847"/>
        <v>0</v>
      </c>
      <c r="IQ252" s="418">
        <f t="shared" si="847"/>
        <v>0</v>
      </c>
      <c r="IR252" s="418">
        <f t="shared" si="847"/>
        <v>0</v>
      </c>
      <c r="IS252" s="418">
        <f t="shared" si="847"/>
        <v>0</v>
      </c>
      <c r="IT252" s="418">
        <f t="shared" si="847"/>
        <v>0</v>
      </c>
      <c r="IU252" s="418">
        <f t="shared" si="847"/>
        <v>0</v>
      </c>
      <c r="IV252" s="418">
        <f t="shared" si="847"/>
        <v>0</v>
      </c>
      <c r="IW252" s="418">
        <f t="shared" si="847"/>
        <v>0</v>
      </c>
      <c r="IX252" s="418">
        <f t="shared" si="847"/>
        <v>0</v>
      </c>
      <c r="IY252" s="418">
        <f t="shared" si="847"/>
        <v>0</v>
      </c>
      <c r="IZ252" s="418">
        <f t="shared" si="847"/>
        <v>0</v>
      </c>
      <c r="JA252" s="418">
        <f t="shared" si="847"/>
        <v>0</v>
      </c>
      <c r="JB252" s="418">
        <f t="shared" si="847"/>
        <v>0</v>
      </c>
      <c r="JC252" s="418">
        <f t="shared" si="847"/>
        <v>0</v>
      </c>
      <c r="JD252" s="418">
        <f t="shared" si="847"/>
        <v>0</v>
      </c>
      <c r="JE252" s="418">
        <f t="shared" si="847"/>
        <v>0</v>
      </c>
      <c r="JF252" s="418">
        <f t="shared" si="847"/>
        <v>0</v>
      </c>
      <c r="JG252" s="418">
        <f t="shared" si="847"/>
        <v>0</v>
      </c>
      <c r="JH252" s="418">
        <f t="shared" si="847"/>
        <v>0</v>
      </c>
      <c r="JI252" s="418">
        <f t="shared" si="847"/>
        <v>0</v>
      </c>
      <c r="JJ252" s="418">
        <f t="shared" si="847"/>
        <v>0</v>
      </c>
      <c r="JK252" s="418">
        <f t="shared" si="847"/>
        <v>0</v>
      </c>
      <c r="JL252" s="418">
        <f t="shared" si="847"/>
        <v>0</v>
      </c>
      <c r="JM252" s="418">
        <f t="shared" si="847"/>
        <v>0</v>
      </c>
      <c r="JN252" s="418">
        <f t="shared" si="847"/>
        <v>0</v>
      </c>
      <c r="JO252" s="418">
        <f t="shared" si="847"/>
        <v>0</v>
      </c>
      <c r="JP252" s="418">
        <f t="shared" si="847"/>
        <v>0</v>
      </c>
      <c r="JQ252" s="418">
        <f t="shared" si="847"/>
        <v>0</v>
      </c>
      <c r="JR252" s="418">
        <f t="shared" si="847"/>
        <v>0</v>
      </c>
      <c r="JS252" s="418">
        <f t="shared" si="847"/>
        <v>0</v>
      </c>
      <c r="JT252" s="418">
        <f t="shared" si="847"/>
        <v>0</v>
      </c>
      <c r="JU252" s="418">
        <f t="shared" si="847"/>
        <v>0</v>
      </c>
      <c r="JV252" s="418">
        <f t="shared" si="847"/>
        <v>0</v>
      </c>
      <c r="JW252" s="418">
        <f t="shared" si="847"/>
        <v>0</v>
      </c>
      <c r="JX252" s="418">
        <f t="shared" si="847"/>
        <v>0</v>
      </c>
      <c r="JY252"/>
      <c r="JZ252" s="262"/>
      <c r="KA252" s="262"/>
      <c r="KB252" s="262"/>
      <c r="KC252" s="262"/>
      <c r="KD252" s="262"/>
      <c r="KE252" s="262"/>
      <c r="KF252" s="262"/>
      <c r="KG252" s="262"/>
      <c r="KH252" s="262"/>
      <c r="KI252" s="262"/>
      <c r="KJ252" s="262"/>
      <c r="KK252" s="262"/>
      <c r="KL252" s="262"/>
      <c r="KM252" s="262"/>
      <c r="KN252" s="262"/>
      <c r="KO252" s="262"/>
      <c r="KP252" s="262"/>
      <c r="KQ252" s="262"/>
      <c r="KR252" s="262"/>
      <c r="KS252" s="262"/>
      <c r="KT252" s="262"/>
      <c r="KU252" s="262"/>
      <c r="KV252" s="262"/>
      <c r="KW252" s="262"/>
      <c r="KX252" s="262"/>
      <c r="KY252" s="262"/>
      <c r="KZ252" s="262"/>
      <c r="LA252" s="262"/>
      <c r="LB252" s="262"/>
      <c r="LC252" s="262"/>
      <c r="LD252" s="262"/>
      <c r="LE252" s="262"/>
      <c r="LF252" s="262"/>
      <c r="LG252" s="262"/>
      <c r="LH252" s="262"/>
      <c r="LI252" s="262"/>
      <c r="LJ252" s="262"/>
      <c r="LK252" s="262"/>
      <c r="LL252" s="262"/>
      <c r="LM252" s="262"/>
      <c r="LN252" s="262"/>
      <c r="LO252" s="262"/>
      <c r="LP252" s="262"/>
      <c r="LQ252" s="262"/>
      <c r="LR252" s="262"/>
      <c r="LS252" s="262"/>
      <c r="LT252" s="262"/>
      <c r="LU252" s="262"/>
      <c r="LV252" s="262"/>
      <c r="LW252" s="262"/>
      <c r="LX252" s="262"/>
      <c r="LY252" s="262"/>
      <c r="LZ252" s="262"/>
      <c r="MA252" s="262"/>
      <c r="MB252" s="262"/>
      <c r="MC252" s="262"/>
      <c r="MD252" s="262"/>
      <c r="ME252" s="262"/>
      <c r="MF252" s="262"/>
      <c r="MG252" s="262"/>
      <c r="MH252" s="262"/>
      <c r="MI252" s="262"/>
      <c r="MJ252" s="262"/>
      <c r="MK252" s="262"/>
      <c r="ML252" s="262"/>
      <c r="MM252" s="262"/>
      <c r="MN252" s="262"/>
      <c r="MO252" s="262"/>
      <c r="MP252" s="262"/>
      <c r="MQ252" s="262"/>
      <c r="MR252" s="262"/>
      <c r="MS252" s="262"/>
      <c r="MT252" s="262"/>
      <c r="MU252" s="262"/>
      <c r="MV252" s="262"/>
      <c r="MW252" s="262"/>
      <c r="MX252" s="262"/>
      <c r="MY252" s="262"/>
      <c r="MZ252" s="262"/>
      <c r="NA252" s="262"/>
      <c r="NB252" s="262"/>
      <c r="NC252" s="262"/>
      <c r="ND252" s="262"/>
      <c r="NE252" s="262"/>
      <c r="NF252" s="262"/>
      <c r="NG252" s="262"/>
      <c r="NH252" s="262"/>
      <c r="NI252" s="262"/>
      <c r="NJ252" s="262"/>
      <c r="NK252" s="262"/>
      <c r="NL252" s="262"/>
      <c r="NM252" s="262"/>
      <c r="NN252" s="262"/>
      <c r="NO252" s="262"/>
      <c r="NP252" s="262"/>
      <c r="NQ252" s="262"/>
      <c r="NR252" s="262"/>
      <c r="NS252" s="262"/>
      <c r="NT252" s="262"/>
      <c r="NU252" s="262"/>
      <c r="NV252" s="262"/>
      <c r="NW252" s="262"/>
      <c r="NX252" s="262"/>
      <c r="NY252" s="262"/>
      <c r="NZ252" s="262"/>
      <c r="OA252" s="262"/>
      <c r="OB252" s="262"/>
      <c r="OC252" s="262"/>
      <c r="OD252" s="262"/>
      <c r="OE252" s="262"/>
      <c r="OF252" s="262"/>
      <c r="OG252" s="262"/>
      <c r="OH252" s="262"/>
      <c r="OI252" s="262"/>
      <c r="OJ252" s="262"/>
      <c r="OK252" s="262"/>
      <c r="OL252" s="262"/>
      <c r="OM252" s="262"/>
      <c r="ON252" s="262"/>
      <c r="OO252" s="262"/>
      <c r="OP252" s="262"/>
      <c r="OQ252" s="262"/>
      <c r="OR252" s="262"/>
      <c r="OS252" s="262"/>
      <c r="OT252" s="262"/>
      <c r="OU252" s="262"/>
      <c r="OV252" s="262"/>
      <c r="OW252" s="262"/>
      <c r="OX252" s="262"/>
      <c r="OY252" s="262"/>
      <c r="OZ252" s="262"/>
      <c r="PA252" s="262"/>
      <c r="PB252" s="262"/>
      <c r="PC252" s="262"/>
      <c r="PD252" s="262"/>
      <c r="PE252" s="262"/>
      <c r="PF252" s="262"/>
      <c r="PG252" s="262"/>
      <c r="PH252" s="262"/>
    </row>
    <row r="253" spans="1:424" x14ac:dyDescent="0.35">
      <c r="A253"/>
      <c r="B253" s="411" t="s">
        <v>432</v>
      </c>
      <c r="C253" s="397"/>
      <c r="D253" s="397"/>
      <c r="E253" s="397"/>
      <c r="F253" s="546" t="s">
        <v>433</v>
      </c>
      <c r="G253" s="412" t="str">
        <f>B249&amp;" Promote"</f>
        <v>GP 1 Promote</v>
      </c>
      <c r="H253" s="412" t="str">
        <f>"Dist. % to "&amp;$B$249</f>
        <v>Dist. % to GP 1</v>
      </c>
      <c r="I253" s="412" t="str">
        <f>"Dist. % to "&amp;$B$250</f>
        <v>Dist. % to GP 2</v>
      </c>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s="405"/>
      <c r="EQ253" s="18"/>
      <c r="ER253" s="18"/>
      <c r="ES253" s="18"/>
      <c r="ET253" s="18" t="s">
        <v>457</v>
      </c>
      <c r="EU253" s="18"/>
      <c r="EV253" s="418">
        <f t="shared" ref="EV253:GA253" si="848">(EV$197&lt;=Timing_Reversion_Month)*(EV250/$I$255*$H$255)</f>
        <v>0</v>
      </c>
      <c r="EW253" s="418">
        <f t="shared" si="848"/>
        <v>0</v>
      </c>
      <c r="EX253" s="418">
        <f t="shared" si="848"/>
        <v>0</v>
      </c>
      <c r="EY253" s="418">
        <f t="shared" si="848"/>
        <v>0</v>
      </c>
      <c r="EZ253" s="418">
        <f t="shared" si="848"/>
        <v>0</v>
      </c>
      <c r="FA253" s="418">
        <f t="shared" si="848"/>
        <v>0</v>
      </c>
      <c r="FB253" s="418">
        <f t="shared" si="848"/>
        <v>0</v>
      </c>
      <c r="FC253" s="418">
        <f t="shared" si="848"/>
        <v>0</v>
      </c>
      <c r="FD253" s="418">
        <f t="shared" si="848"/>
        <v>0</v>
      </c>
      <c r="FE253" s="418">
        <f t="shared" si="848"/>
        <v>0</v>
      </c>
      <c r="FF253" s="418">
        <f t="shared" si="848"/>
        <v>0</v>
      </c>
      <c r="FG253" s="418">
        <f t="shared" si="848"/>
        <v>0</v>
      </c>
      <c r="FH253" s="418">
        <f t="shared" si="848"/>
        <v>0</v>
      </c>
      <c r="FI253" s="418">
        <f t="shared" si="848"/>
        <v>0</v>
      </c>
      <c r="FJ253" s="418">
        <f t="shared" si="848"/>
        <v>0</v>
      </c>
      <c r="FK253" s="418">
        <f t="shared" si="848"/>
        <v>0</v>
      </c>
      <c r="FL253" s="418">
        <f t="shared" si="848"/>
        <v>0</v>
      </c>
      <c r="FM253" s="418">
        <f t="shared" si="848"/>
        <v>0</v>
      </c>
      <c r="FN253" s="418">
        <f t="shared" si="848"/>
        <v>0</v>
      </c>
      <c r="FO253" s="418">
        <f t="shared" si="848"/>
        <v>0</v>
      </c>
      <c r="FP253" s="418">
        <f t="shared" si="848"/>
        <v>0</v>
      </c>
      <c r="FQ253" s="418">
        <f t="shared" si="848"/>
        <v>0</v>
      </c>
      <c r="FR253" s="418">
        <f t="shared" si="848"/>
        <v>0</v>
      </c>
      <c r="FS253" s="418">
        <f t="shared" si="848"/>
        <v>0</v>
      </c>
      <c r="FT253" s="418">
        <f t="shared" si="848"/>
        <v>0</v>
      </c>
      <c r="FU253" s="418">
        <f t="shared" si="848"/>
        <v>0</v>
      </c>
      <c r="FV253" s="418">
        <f t="shared" si="848"/>
        <v>0</v>
      </c>
      <c r="FW253" s="418">
        <f t="shared" si="848"/>
        <v>0</v>
      </c>
      <c r="FX253" s="418">
        <f t="shared" si="848"/>
        <v>0</v>
      </c>
      <c r="FY253" s="418">
        <f t="shared" si="848"/>
        <v>0</v>
      </c>
      <c r="FZ253" s="418">
        <f t="shared" si="848"/>
        <v>0</v>
      </c>
      <c r="GA253" s="418">
        <f t="shared" si="848"/>
        <v>0</v>
      </c>
      <c r="GB253" s="418">
        <f t="shared" ref="GB253:HG253" si="849">(GB$197&lt;=Timing_Reversion_Month)*(GB250/$I$255*$H$255)</f>
        <v>0</v>
      </c>
      <c r="GC253" s="418">
        <f t="shared" si="849"/>
        <v>0</v>
      </c>
      <c r="GD253" s="418">
        <f t="shared" si="849"/>
        <v>0</v>
      </c>
      <c r="GE253" s="418">
        <f t="shared" si="849"/>
        <v>0</v>
      </c>
      <c r="GF253" s="418">
        <f t="shared" si="849"/>
        <v>0</v>
      </c>
      <c r="GG253" s="418">
        <f t="shared" si="849"/>
        <v>0</v>
      </c>
      <c r="GH253" s="418">
        <f t="shared" si="849"/>
        <v>0</v>
      </c>
      <c r="GI253" s="418">
        <f t="shared" si="849"/>
        <v>0</v>
      </c>
      <c r="GJ253" s="418">
        <f t="shared" si="849"/>
        <v>0</v>
      </c>
      <c r="GK253" s="418">
        <f t="shared" si="849"/>
        <v>0</v>
      </c>
      <c r="GL253" s="418">
        <f t="shared" si="849"/>
        <v>0</v>
      </c>
      <c r="GM253" s="418">
        <f t="shared" si="849"/>
        <v>0</v>
      </c>
      <c r="GN253" s="418">
        <f t="shared" si="849"/>
        <v>0</v>
      </c>
      <c r="GO253" s="418">
        <f t="shared" si="849"/>
        <v>0</v>
      </c>
      <c r="GP253" s="418">
        <f t="shared" si="849"/>
        <v>0</v>
      </c>
      <c r="GQ253" s="418">
        <f t="shared" si="849"/>
        <v>0</v>
      </c>
      <c r="GR253" s="418">
        <f t="shared" si="849"/>
        <v>0</v>
      </c>
      <c r="GS253" s="418">
        <f t="shared" si="849"/>
        <v>0</v>
      </c>
      <c r="GT253" s="418">
        <f t="shared" si="849"/>
        <v>0</v>
      </c>
      <c r="GU253" s="418">
        <f t="shared" si="849"/>
        <v>0</v>
      </c>
      <c r="GV253" s="418">
        <f t="shared" si="849"/>
        <v>0</v>
      </c>
      <c r="GW253" s="418">
        <f t="shared" si="849"/>
        <v>0</v>
      </c>
      <c r="GX253" s="418">
        <f t="shared" si="849"/>
        <v>0</v>
      </c>
      <c r="GY253" s="418">
        <f t="shared" si="849"/>
        <v>0</v>
      </c>
      <c r="GZ253" s="418">
        <f t="shared" si="849"/>
        <v>0</v>
      </c>
      <c r="HA253" s="418">
        <f t="shared" si="849"/>
        <v>0</v>
      </c>
      <c r="HB253" s="418">
        <f t="shared" si="849"/>
        <v>0</v>
      </c>
      <c r="HC253" s="418">
        <f t="shared" si="849"/>
        <v>0</v>
      </c>
      <c r="HD253" s="418">
        <f t="shared" si="849"/>
        <v>0</v>
      </c>
      <c r="HE253" s="418">
        <f t="shared" si="849"/>
        <v>0</v>
      </c>
      <c r="HF253" s="418">
        <f t="shared" si="849"/>
        <v>0</v>
      </c>
      <c r="HG253" s="418">
        <f t="shared" si="849"/>
        <v>0</v>
      </c>
      <c r="HH253" s="418">
        <f t="shared" ref="HH253:IM253" si="850">(HH$197&lt;=Timing_Reversion_Month)*(HH250/$I$255*$H$255)</f>
        <v>0</v>
      </c>
      <c r="HI253" s="418">
        <f t="shared" si="850"/>
        <v>0</v>
      </c>
      <c r="HJ253" s="418">
        <f t="shared" si="850"/>
        <v>0</v>
      </c>
      <c r="HK253" s="418">
        <f t="shared" si="850"/>
        <v>0</v>
      </c>
      <c r="HL253" s="418">
        <f t="shared" si="850"/>
        <v>0</v>
      </c>
      <c r="HM253" s="418">
        <f t="shared" si="850"/>
        <v>0</v>
      </c>
      <c r="HN253" s="418">
        <f t="shared" si="850"/>
        <v>0</v>
      </c>
      <c r="HO253" s="418">
        <f t="shared" si="850"/>
        <v>0</v>
      </c>
      <c r="HP253" s="418">
        <f t="shared" si="850"/>
        <v>0</v>
      </c>
      <c r="HQ253" s="418">
        <f t="shared" si="850"/>
        <v>0</v>
      </c>
      <c r="HR253" s="418">
        <f t="shared" si="850"/>
        <v>0</v>
      </c>
      <c r="HS253" s="418">
        <f t="shared" si="850"/>
        <v>0</v>
      </c>
      <c r="HT253" s="418">
        <f t="shared" si="850"/>
        <v>0</v>
      </c>
      <c r="HU253" s="418">
        <f t="shared" si="850"/>
        <v>0</v>
      </c>
      <c r="HV253" s="418">
        <f t="shared" si="850"/>
        <v>0</v>
      </c>
      <c r="HW253" s="418">
        <f t="shared" si="850"/>
        <v>0</v>
      </c>
      <c r="HX253" s="418">
        <f t="shared" si="850"/>
        <v>0</v>
      </c>
      <c r="HY253" s="418">
        <f t="shared" si="850"/>
        <v>0</v>
      </c>
      <c r="HZ253" s="418">
        <f t="shared" si="850"/>
        <v>0</v>
      </c>
      <c r="IA253" s="418">
        <f t="shared" si="850"/>
        <v>0</v>
      </c>
      <c r="IB253" s="418">
        <f t="shared" si="850"/>
        <v>0</v>
      </c>
      <c r="IC253" s="418">
        <f t="shared" si="850"/>
        <v>0</v>
      </c>
      <c r="ID253" s="418">
        <f t="shared" si="850"/>
        <v>0</v>
      </c>
      <c r="IE253" s="418">
        <f t="shared" si="850"/>
        <v>0</v>
      </c>
      <c r="IF253" s="418">
        <f t="shared" si="850"/>
        <v>0</v>
      </c>
      <c r="IG253" s="418">
        <f t="shared" si="850"/>
        <v>0</v>
      </c>
      <c r="IH253" s="418">
        <f t="shared" si="850"/>
        <v>0</v>
      </c>
      <c r="II253" s="418">
        <f t="shared" si="850"/>
        <v>0</v>
      </c>
      <c r="IJ253" s="418">
        <f t="shared" si="850"/>
        <v>0</v>
      </c>
      <c r="IK253" s="418">
        <f t="shared" si="850"/>
        <v>0</v>
      </c>
      <c r="IL253" s="418">
        <f t="shared" si="850"/>
        <v>0</v>
      </c>
      <c r="IM253" s="418">
        <f t="shared" si="850"/>
        <v>0</v>
      </c>
      <c r="IN253" s="418">
        <f t="shared" ref="IN253:JX253" si="851">(IN$197&lt;=Timing_Reversion_Month)*(IN250/$I$255*$H$255)</f>
        <v>0</v>
      </c>
      <c r="IO253" s="418">
        <f t="shared" si="851"/>
        <v>0</v>
      </c>
      <c r="IP253" s="418">
        <f t="shared" si="851"/>
        <v>0</v>
      </c>
      <c r="IQ253" s="418">
        <f t="shared" si="851"/>
        <v>0</v>
      </c>
      <c r="IR253" s="418">
        <f t="shared" si="851"/>
        <v>0</v>
      </c>
      <c r="IS253" s="418">
        <f t="shared" si="851"/>
        <v>0</v>
      </c>
      <c r="IT253" s="418">
        <f t="shared" si="851"/>
        <v>0</v>
      </c>
      <c r="IU253" s="418">
        <f t="shared" si="851"/>
        <v>0</v>
      </c>
      <c r="IV253" s="418">
        <f t="shared" si="851"/>
        <v>0</v>
      </c>
      <c r="IW253" s="418">
        <f t="shared" si="851"/>
        <v>0</v>
      </c>
      <c r="IX253" s="418">
        <f t="shared" si="851"/>
        <v>0</v>
      </c>
      <c r="IY253" s="418">
        <f t="shared" si="851"/>
        <v>0</v>
      </c>
      <c r="IZ253" s="418">
        <f t="shared" si="851"/>
        <v>0</v>
      </c>
      <c r="JA253" s="418">
        <f t="shared" si="851"/>
        <v>0</v>
      </c>
      <c r="JB253" s="418">
        <f t="shared" si="851"/>
        <v>0</v>
      </c>
      <c r="JC253" s="418">
        <f t="shared" si="851"/>
        <v>0</v>
      </c>
      <c r="JD253" s="418">
        <f t="shared" si="851"/>
        <v>0</v>
      </c>
      <c r="JE253" s="418">
        <f t="shared" si="851"/>
        <v>0</v>
      </c>
      <c r="JF253" s="418">
        <f t="shared" si="851"/>
        <v>0</v>
      </c>
      <c r="JG253" s="418">
        <f t="shared" si="851"/>
        <v>0</v>
      </c>
      <c r="JH253" s="418">
        <f t="shared" si="851"/>
        <v>0</v>
      </c>
      <c r="JI253" s="418">
        <f t="shared" si="851"/>
        <v>0</v>
      </c>
      <c r="JJ253" s="418">
        <f t="shared" si="851"/>
        <v>0</v>
      </c>
      <c r="JK253" s="418">
        <f t="shared" si="851"/>
        <v>0</v>
      </c>
      <c r="JL253" s="418">
        <f t="shared" si="851"/>
        <v>0</v>
      </c>
      <c r="JM253" s="418">
        <f t="shared" si="851"/>
        <v>0</v>
      </c>
      <c r="JN253" s="418">
        <f t="shared" si="851"/>
        <v>0</v>
      </c>
      <c r="JO253" s="418">
        <f t="shared" si="851"/>
        <v>0</v>
      </c>
      <c r="JP253" s="418">
        <f t="shared" si="851"/>
        <v>0</v>
      </c>
      <c r="JQ253" s="418">
        <f t="shared" si="851"/>
        <v>0</v>
      </c>
      <c r="JR253" s="418">
        <f t="shared" si="851"/>
        <v>0</v>
      </c>
      <c r="JS253" s="418">
        <f t="shared" si="851"/>
        <v>0</v>
      </c>
      <c r="JT253" s="418">
        <f t="shared" si="851"/>
        <v>0</v>
      </c>
      <c r="JU253" s="418">
        <f t="shared" si="851"/>
        <v>0</v>
      </c>
      <c r="JV253" s="418">
        <f t="shared" si="851"/>
        <v>0</v>
      </c>
      <c r="JW253" s="418">
        <f t="shared" si="851"/>
        <v>0</v>
      </c>
      <c r="JX253" s="418">
        <f t="shared" si="851"/>
        <v>0</v>
      </c>
      <c r="JY253"/>
      <c r="JZ253" s="262"/>
      <c r="KA253" s="262"/>
      <c r="KB253" s="262"/>
      <c r="KC253" s="262"/>
      <c r="KD253" s="262"/>
      <c r="KE253" s="262"/>
      <c r="KF253" s="262"/>
      <c r="KG253" s="262"/>
      <c r="KH253" s="262"/>
      <c r="KI253" s="262"/>
      <c r="KJ253" s="262"/>
      <c r="KK253" s="262"/>
      <c r="KL253" s="262"/>
      <c r="KM253" s="262"/>
      <c r="KN253" s="262"/>
      <c r="KO253" s="262"/>
      <c r="KP253" s="262"/>
      <c r="KQ253" s="262"/>
      <c r="KR253" s="262"/>
      <c r="KS253" s="262"/>
      <c r="KT253" s="262"/>
      <c r="KU253" s="262"/>
      <c r="KV253" s="262"/>
      <c r="KW253" s="262"/>
      <c r="KX253" s="262"/>
      <c r="KY253" s="262"/>
      <c r="KZ253" s="262"/>
      <c r="LA253" s="262"/>
      <c r="LB253" s="262"/>
      <c r="LC253" s="262"/>
      <c r="LD253" s="262"/>
      <c r="LE253" s="262"/>
      <c r="LF253" s="262"/>
      <c r="LG253" s="262"/>
      <c r="LH253" s="262"/>
      <c r="LI253" s="262"/>
      <c r="LJ253" s="262"/>
      <c r="LK253" s="262"/>
      <c r="LL253" s="262"/>
      <c r="LM253" s="262"/>
      <c r="LN253" s="262"/>
      <c r="LO253" s="262"/>
      <c r="LP253" s="262"/>
      <c r="LQ253" s="262"/>
      <c r="LR253" s="262"/>
      <c r="LS253" s="262"/>
      <c r="LT253" s="262"/>
      <c r="LU253" s="262"/>
      <c r="LV253" s="262"/>
      <c r="LW253" s="262"/>
      <c r="LX253" s="262"/>
      <c r="LY253" s="262"/>
      <c r="LZ253" s="262"/>
      <c r="MA253" s="262"/>
      <c r="MB253" s="262"/>
      <c r="MC253" s="262"/>
      <c r="MD253" s="262"/>
      <c r="ME253" s="262"/>
      <c r="MF253" s="262"/>
      <c r="MG253" s="262"/>
      <c r="MH253" s="262"/>
      <c r="MI253" s="262"/>
      <c r="MJ253" s="262"/>
      <c r="MK253" s="262"/>
      <c r="ML253" s="262"/>
      <c r="MM253" s="262"/>
      <c r="MN253" s="262"/>
      <c r="MO253" s="262"/>
      <c r="MP253" s="262"/>
      <c r="MQ253" s="262"/>
      <c r="MR253" s="262"/>
      <c r="MS253" s="262"/>
      <c r="MT253" s="262"/>
      <c r="MU253" s="262"/>
      <c r="MV253" s="262"/>
      <c r="MW253" s="262"/>
      <c r="MX253" s="262"/>
      <c r="MY253" s="262"/>
      <c r="MZ253" s="262"/>
      <c r="NA253" s="262"/>
      <c r="NB253" s="262"/>
      <c r="NC253" s="262"/>
      <c r="ND253" s="262"/>
      <c r="NE253" s="262"/>
      <c r="NF253" s="262"/>
      <c r="NG253" s="262"/>
      <c r="NH253" s="262"/>
      <c r="NI253" s="262"/>
      <c r="NJ253" s="262"/>
      <c r="NK253" s="262"/>
      <c r="NL253" s="262"/>
      <c r="NM253" s="262"/>
      <c r="NN253" s="262"/>
      <c r="NO253" s="262"/>
      <c r="NP253" s="262"/>
      <c r="NQ253" s="262"/>
      <c r="NR253" s="262"/>
      <c r="NS253" s="262"/>
      <c r="NT253" s="262"/>
      <c r="NU253" s="262"/>
      <c r="NV253" s="262"/>
      <c r="NW253" s="262"/>
      <c r="NX253" s="262"/>
      <c r="NY253" s="262"/>
      <c r="NZ253" s="262"/>
      <c r="OA253" s="262"/>
      <c r="OB253" s="262"/>
      <c r="OC253" s="262"/>
      <c r="OD253" s="262"/>
      <c r="OE253" s="262"/>
      <c r="OF253" s="262"/>
      <c r="OG253" s="262"/>
      <c r="OH253" s="262"/>
      <c r="OI253" s="262"/>
      <c r="OJ253" s="262"/>
      <c r="OK253" s="262"/>
      <c r="OL253" s="262"/>
      <c r="OM253" s="262"/>
      <c r="ON253" s="262"/>
      <c r="OO253" s="262"/>
      <c r="OP253" s="262"/>
      <c r="OQ253" s="262"/>
      <c r="OR253" s="262"/>
      <c r="OS253" s="262"/>
      <c r="OT253" s="262"/>
      <c r="OU253" s="262"/>
      <c r="OV253" s="262"/>
      <c r="OW253" s="262"/>
      <c r="OX253" s="262"/>
      <c r="OY253" s="262"/>
      <c r="OZ253" s="262"/>
      <c r="PA253" s="262"/>
      <c r="PB253" s="262"/>
      <c r="PC253" s="262"/>
      <c r="PD253" s="262"/>
      <c r="PE253" s="262"/>
      <c r="PF253" s="262"/>
      <c r="PG253" s="262"/>
      <c r="PH253" s="262"/>
    </row>
    <row r="254" spans="1:424" x14ac:dyDescent="0.35">
      <c r="A254"/>
      <c r="B254" s="34" t="s">
        <v>437</v>
      </c>
      <c r="C254" s="397"/>
      <c r="D254" s="400"/>
      <c r="E254" s="400" t="s">
        <v>440</v>
      </c>
      <c r="F254" s="86">
        <v>0.09</v>
      </c>
      <c r="G254" s="52">
        <v>0</v>
      </c>
      <c r="H254" s="52">
        <f>G254+(1-G254)*$H$249</f>
        <v>0.05</v>
      </c>
      <c r="I254" s="57">
        <f>1-H254</f>
        <v>0.95</v>
      </c>
      <c r="J254"/>
      <c r="K254"/>
      <c r="L254" s="417">
        <f t="shared" ref="L254:AQ254" si="852">IF(L$227="","",EV245)</f>
        <v>0</v>
      </c>
      <c r="M254" s="417">
        <f t="shared" si="852"/>
        <v>0</v>
      </c>
      <c r="N254" s="417">
        <f t="shared" si="852"/>
        <v>0</v>
      </c>
      <c r="O254" s="417">
        <f t="shared" si="852"/>
        <v>0</v>
      </c>
      <c r="P254" s="417">
        <f t="shared" si="852"/>
        <v>0</v>
      </c>
      <c r="Q254" s="417">
        <f t="shared" si="852"/>
        <v>0</v>
      </c>
      <c r="R254" s="417">
        <f t="shared" si="852"/>
        <v>0</v>
      </c>
      <c r="S254" s="417">
        <f t="shared" si="852"/>
        <v>0</v>
      </c>
      <c r="T254" s="417">
        <f t="shared" si="852"/>
        <v>0</v>
      </c>
      <c r="U254" s="417">
        <f t="shared" si="852"/>
        <v>0</v>
      </c>
      <c r="V254" s="417">
        <f t="shared" si="852"/>
        <v>0</v>
      </c>
      <c r="W254" s="417">
        <f t="shared" si="852"/>
        <v>0</v>
      </c>
      <c r="X254" s="417">
        <f t="shared" si="852"/>
        <v>0</v>
      </c>
      <c r="Y254" s="417">
        <f t="shared" si="852"/>
        <v>0</v>
      </c>
      <c r="Z254" s="417">
        <f t="shared" si="852"/>
        <v>0</v>
      </c>
      <c r="AA254" s="417">
        <f t="shared" si="852"/>
        <v>0</v>
      </c>
      <c r="AB254" s="417">
        <f t="shared" si="852"/>
        <v>0</v>
      </c>
      <c r="AC254" s="417">
        <f t="shared" si="852"/>
        <v>0</v>
      </c>
      <c r="AD254" s="417">
        <f t="shared" si="852"/>
        <v>0</v>
      </c>
      <c r="AE254" s="417">
        <f t="shared" si="852"/>
        <v>0</v>
      </c>
      <c r="AF254" s="417">
        <f t="shared" si="852"/>
        <v>0</v>
      </c>
      <c r="AG254" s="417">
        <f t="shared" si="852"/>
        <v>0</v>
      </c>
      <c r="AH254" s="417">
        <f t="shared" si="852"/>
        <v>0</v>
      </c>
      <c r="AI254" s="417">
        <f t="shared" si="852"/>
        <v>0</v>
      </c>
      <c r="AJ254" s="417">
        <f t="shared" si="852"/>
        <v>0</v>
      </c>
      <c r="AK254" s="417">
        <f t="shared" si="852"/>
        <v>0</v>
      </c>
      <c r="AL254" s="417">
        <f t="shared" si="852"/>
        <v>0</v>
      </c>
      <c r="AM254" s="417">
        <f t="shared" si="852"/>
        <v>0</v>
      </c>
      <c r="AN254" s="417">
        <f t="shared" si="852"/>
        <v>0</v>
      </c>
      <c r="AO254" s="417">
        <f t="shared" si="852"/>
        <v>0</v>
      </c>
      <c r="AP254" s="417">
        <f t="shared" si="852"/>
        <v>0</v>
      </c>
      <c r="AQ254" s="417">
        <f t="shared" si="852"/>
        <v>0</v>
      </c>
      <c r="AR254" s="417">
        <f t="shared" ref="AR254:BW254" si="853">IF(AR$227="","",GB245)</f>
        <v>0</v>
      </c>
      <c r="AS254" s="417">
        <f t="shared" si="853"/>
        <v>0</v>
      </c>
      <c r="AT254" s="417">
        <f t="shared" si="853"/>
        <v>0</v>
      </c>
      <c r="AU254" s="417">
        <f t="shared" si="853"/>
        <v>0</v>
      </c>
      <c r="AV254" s="417">
        <f t="shared" si="853"/>
        <v>0</v>
      </c>
      <c r="AW254" s="417">
        <f t="shared" si="853"/>
        <v>0</v>
      </c>
      <c r="AX254" s="417">
        <f t="shared" si="853"/>
        <v>0</v>
      </c>
      <c r="AY254" s="417">
        <f t="shared" si="853"/>
        <v>0</v>
      </c>
      <c r="AZ254" s="417">
        <f t="shared" si="853"/>
        <v>0</v>
      </c>
      <c r="BA254" s="417">
        <f t="shared" si="853"/>
        <v>0</v>
      </c>
      <c r="BB254" s="417">
        <f t="shared" si="853"/>
        <v>0</v>
      </c>
      <c r="BC254" s="417">
        <f t="shared" si="853"/>
        <v>0</v>
      </c>
      <c r="BD254" s="75">
        <f t="shared" si="853"/>
        <v>0</v>
      </c>
      <c r="BE254" s="75">
        <f t="shared" si="853"/>
        <v>0</v>
      </c>
      <c r="BF254" s="75">
        <f t="shared" si="853"/>
        <v>0</v>
      </c>
      <c r="BG254" s="75">
        <f t="shared" si="853"/>
        <v>0</v>
      </c>
      <c r="BH254" s="75">
        <f t="shared" si="853"/>
        <v>0</v>
      </c>
      <c r="BI254" s="75">
        <f t="shared" si="853"/>
        <v>0</v>
      </c>
      <c r="BJ254" s="75">
        <f t="shared" si="853"/>
        <v>0</v>
      </c>
      <c r="BK254" s="75">
        <f t="shared" si="853"/>
        <v>0</v>
      </c>
      <c r="BL254" s="75">
        <f t="shared" si="853"/>
        <v>0</v>
      </c>
      <c r="BM254" s="75">
        <f t="shared" si="853"/>
        <v>0</v>
      </c>
      <c r="BN254" s="75">
        <f t="shared" si="853"/>
        <v>0</v>
      </c>
      <c r="BO254" s="75">
        <f t="shared" si="853"/>
        <v>0</v>
      </c>
      <c r="BP254" s="75">
        <f t="shared" si="853"/>
        <v>0</v>
      </c>
      <c r="BQ254" s="75">
        <f t="shared" si="853"/>
        <v>0</v>
      </c>
      <c r="BR254" s="75">
        <f t="shared" si="853"/>
        <v>0</v>
      </c>
      <c r="BS254" s="75">
        <f t="shared" si="853"/>
        <v>0</v>
      </c>
      <c r="BT254" s="75">
        <f t="shared" si="853"/>
        <v>0</v>
      </c>
      <c r="BU254" s="75">
        <f t="shared" si="853"/>
        <v>0</v>
      </c>
      <c r="BV254" s="75" t="str">
        <f t="shared" si="853"/>
        <v/>
      </c>
      <c r="BW254" s="75" t="str">
        <f t="shared" si="853"/>
        <v/>
      </c>
      <c r="BX254" s="75" t="str">
        <f t="shared" ref="BX254:DC254" si="854">IF(BX$227="","",HH245)</f>
        <v/>
      </c>
      <c r="BY254" s="75" t="str">
        <f t="shared" si="854"/>
        <v/>
      </c>
      <c r="BZ254" s="75" t="str">
        <f t="shared" si="854"/>
        <v/>
      </c>
      <c r="CA254" s="75" t="str">
        <f t="shared" si="854"/>
        <v/>
      </c>
      <c r="CB254" s="75" t="str">
        <f t="shared" si="854"/>
        <v/>
      </c>
      <c r="CC254" s="75" t="str">
        <f t="shared" si="854"/>
        <v/>
      </c>
      <c r="CD254" s="75" t="str">
        <f t="shared" si="854"/>
        <v/>
      </c>
      <c r="CE254" s="75" t="str">
        <f t="shared" si="854"/>
        <v/>
      </c>
      <c r="CF254" s="75" t="str">
        <f t="shared" si="854"/>
        <v/>
      </c>
      <c r="CG254" s="75" t="str">
        <f t="shared" si="854"/>
        <v/>
      </c>
      <c r="CH254" s="75" t="str">
        <f t="shared" si="854"/>
        <v/>
      </c>
      <c r="CI254" s="75" t="str">
        <f t="shared" si="854"/>
        <v/>
      </c>
      <c r="CJ254" s="75" t="str">
        <f t="shared" si="854"/>
        <v/>
      </c>
      <c r="CK254" s="75" t="str">
        <f t="shared" si="854"/>
        <v/>
      </c>
      <c r="CL254" s="75" t="str">
        <f t="shared" si="854"/>
        <v/>
      </c>
      <c r="CM254" s="75" t="str">
        <f t="shared" si="854"/>
        <v/>
      </c>
      <c r="CN254" s="75" t="str">
        <f t="shared" si="854"/>
        <v/>
      </c>
      <c r="CO254" s="75" t="str">
        <f t="shared" si="854"/>
        <v/>
      </c>
      <c r="CP254" s="75" t="str">
        <f t="shared" si="854"/>
        <v/>
      </c>
      <c r="CQ254" s="75" t="str">
        <f t="shared" si="854"/>
        <v/>
      </c>
      <c r="CR254" s="75" t="str">
        <f t="shared" si="854"/>
        <v/>
      </c>
      <c r="CS254" s="75" t="str">
        <f t="shared" si="854"/>
        <v/>
      </c>
      <c r="CT254" s="75" t="str">
        <f t="shared" si="854"/>
        <v/>
      </c>
      <c r="CU254" s="75" t="str">
        <f t="shared" si="854"/>
        <v/>
      </c>
      <c r="CV254" s="75" t="str">
        <f t="shared" si="854"/>
        <v/>
      </c>
      <c r="CW254" s="75" t="str">
        <f t="shared" si="854"/>
        <v/>
      </c>
      <c r="CX254" s="75" t="str">
        <f t="shared" si="854"/>
        <v/>
      </c>
      <c r="CY254" s="75" t="str">
        <f t="shared" si="854"/>
        <v/>
      </c>
      <c r="CZ254" s="75" t="str">
        <f t="shared" si="854"/>
        <v/>
      </c>
      <c r="DA254" s="75" t="str">
        <f t="shared" si="854"/>
        <v/>
      </c>
      <c r="DB254" s="75" t="str">
        <f t="shared" si="854"/>
        <v/>
      </c>
      <c r="DC254" s="75" t="str">
        <f t="shared" si="854"/>
        <v/>
      </c>
      <c r="DD254" s="75" t="str">
        <f t="shared" ref="DD254:EI254" si="855">IF(DD$227="","",IN245)</f>
        <v/>
      </c>
      <c r="DE254" s="75" t="str">
        <f t="shared" si="855"/>
        <v/>
      </c>
      <c r="DF254" s="75" t="str">
        <f t="shared" si="855"/>
        <v/>
      </c>
      <c r="DG254" s="75" t="str">
        <f t="shared" si="855"/>
        <v/>
      </c>
      <c r="DH254" s="75" t="str">
        <f t="shared" si="855"/>
        <v/>
      </c>
      <c r="DI254" s="75" t="str">
        <f t="shared" si="855"/>
        <v/>
      </c>
      <c r="DJ254" s="75" t="str">
        <f t="shared" si="855"/>
        <v/>
      </c>
      <c r="DK254" s="75" t="str">
        <f t="shared" si="855"/>
        <v/>
      </c>
      <c r="DL254" s="75" t="str">
        <f t="shared" si="855"/>
        <v/>
      </c>
      <c r="DM254" s="75" t="str">
        <f t="shared" si="855"/>
        <v/>
      </c>
      <c r="DN254" s="75" t="str">
        <f t="shared" si="855"/>
        <v/>
      </c>
      <c r="DO254" s="75" t="str">
        <f t="shared" si="855"/>
        <v/>
      </c>
      <c r="DP254" s="75" t="str">
        <f t="shared" si="855"/>
        <v/>
      </c>
      <c r="DQ254" s="75" t="str">
        <f t="shared" si="855"/>
        <v/>
      </c>
      <c r="DR254" s="75" t="str">
        <f t="shared" si="855"/>
        <v/>
      </c>
      <c r="DS254" s="75" t="str">
        <f t="shared" si="855"/>
        <v/>
      </c>
      <c r="DT254" s="75" t="str">
        <f t="shared" si="855"/>
        <v/>
      </c>
      <c r="DU254" s="75" t="str">
        <f t="shared" si="855"/>
        <v/>
      </c>
      <c r="DV254" s="75" t="str">
        <f t="shared" si="855"/>
        <v/>
      </c>
      <c r="DW254" s="75" t="str">
        <f t="shared" si="855"/>
        <v/>
      </c>
      <c r="DX254" s="75" t="str">
        <f t="shared" si="855"/>
        <v/>
      </c>
      <c r="DY254" s="75" t="str">
        <f t="shared" si="855"/>
        <v/>
      </c>
      <c r="DZ254" s="75" t="str">
        <f t="shared" si="855"/>
        <v/>
      </c>
      <c r="EA254" s="75" t="str">
        <f t="shared" si="855"/>
        <v/>
      </c>
      <c r="EB254" s="75" t="str">
        <f t="shared" si="855"/>
        <v/>
      </c>
      <c r="EC254" s="75" t="str">
        <f t="shared" si="855"/>
        <v/>
      </c>
      <c r="ED254" s="75" t="str">
        <f t="shared" si="855"/>
        <v/>
      </c>
      <c r="EE254" s="75" t="str">
        <f t="shared" si="855"/>
        <v/>
      </c>
      <c r="EF254" s="75" t="str">
        <f t="shared" si="855"/>
        <v/>
      </c>
      <c r="EG254" s="75" t="str">
        <f t="shared" si="855"/>
        <v/>
      </c>
      <c r="EH254" s="75" t="str">
        <f t="shared" si="855"/>
        <v/>
      </c>
      <c r="EI254" s="75" t="str">
        <f t="shared" si="855"/>
        <v/>
      </c>
      <c r="EJ254" s="75" t="str">
        <f>IF(EJ$227="","",JT245)</f>
        <v/>
      </c>
      <c r="EK254" s="75" t="str">
        <f>IF(EK$227="","",JU245)</f>
        <v/>
      </c>
      <c r="EL254" s="75" t="str">
        <f>IF(EL$227="","",JV245)</f>
        <v/>
      </c>
      <c r="EM254" s="75" t="str">
        <f>IF(EM$227="","",JW245)</f>
        <v/>
      </c>
      <c r="EN254" s="75" t="str">
        <f>IF(EN$227="","",JX245)</f>
        <v/>
      </c>
      <c r="EO254"/>
      <c r="EP254" s="405"/>
      <c r="EQ254" s="18"/>
      <c r="ER254" s="18"/>
      <c r="ES254" s="18"/>
      <c r="ET254" s="18" t="s">
        <v>425</v>
      </c>
      <c r="EU254" s="18"/>
      <c r="EV254" s="418">
        <f>+EV253+EV250</f>
        <v>0</v>
      </c>
      <c r="EW254" s="418">
        <f t="shared" ref="EW254:HH254" si="856">+EW253+EW250</f>
        <v>0</v>
      </c>
      <c r="EX254" s="418">
        <f t="shared" si="856"/>
        <v>0</v>
      </c>
      <c r="EY254" s="418">
        <f t="shared" si="856"/>
        <v>0</v>
      </c>
      <c r="EZ254" s="418">
        <f t="shared" si="856"/>
        <v>0</v>
      </c>
      <c r="FA254" s="418">
        <f t="shared" si="856"/>
        <v>0</v>
      </c>
      <c r="FB254" s="418">
        <f t="shared" si="856"/>
        <v>0</v>
      </c>
      <c r="FC254" s="418">
        <f t="shared" si="856"/>
        <v>0</v>
      </c>
      <c r="FD254" s="418">
        <f t="shared" si="856"/>
        <v>0</v>
      </c>
      <c r="FE254" s="418">
        <f t="shared" si="856"/>
        <v>0</v>
      </c>
      <c r="FF254" s="418">
        <f t="shared" si="856"/>
        <v>0</v>
      </c>
      <c r="FG254" s="418">
        <f t="shared" si="856"/>
        <v>0</v>
      </c>
      <c r="FH254" s="418">
        <f t="shared" si="856"/>
        <v>0</v>
      </c>
      <c r="FI254" s="418">
        <f t="shared" si="856"/>
        <v>0</v>
      </c>
      <c r="FJ254" s="418">
        <f t="shared" si="856"/>
        <v>0</v>
      </c>
      <c r="FK254" s="418">
        <f t="shared" si="856"/>
        <v>0</v>
      </c>
      <c r="FL254" s="418">
        <f t="shared" si="856"/>
        <v>0</v>
      </c>
      <c r="FM254" s="418">
        <f t="shared" si="856"/>
        <v>0</v>
      </c>
      <c r="FN254" s="418">
        <f t="shared" si="856"/>
        <v>0</v>
      </c>
      <c r="FO254" s="418">
        <f t="shared" si="856"/>
        <v>0</v>
      </c>
      <c r="FP254" s="418">
        <f t="shared" si="856"/>
        <v>0</v>
      </c>
      <c r="FQ254" s="418">
        <f t="shared" si="856"/>
        <v>0</v>
      </c>
      <c r="FR254" s="418">
        <f t="shared" si="856"/>
        <v>0</v>
      </c>
      <c r="FS254" s="418">
        <f t="shared" si="856"/>
        <v>0</v>
      </c>
      <c r="FT254" s="418">
        <f t="shared" si="856"/>
        <v>0</v>
      </c>
      <c r="FU254" s="418">
        <f t="shared" si="856"/>
        <v>0</v>
      </c>
      <c r="FV254" s="418">
        <f t="shared" si="856"/>
        <v>0</v>
      </c>
      <c r="FW254" s="418">
        <f t="shared" si="856"/>
        <v>0</v>
      </c>
      <c r="FX254" s="418">
        <f t="shared" si="856"/>
        <v>0</v>
      </c>
      <c r="FY254" s="418">
        <f t="shared" si="856"/>
        <v>0</v>
      </c>
      <c r="FZ254" s="418">
        <f t="shared" si="856"/>
        <v>0</v>
      </c>
      <c r="GA254" s="418">
        <f t="shared" si="856"/>
        <v>0</v>
      </c>
      <c r="GB254" s="418">
        <f t="shared" si="856"/>
        <v>0</v>
      </c>
      <c r="GC254" s="418">
        <f t="shared" si="856"/>
        <v>0</v>
      </c>
      <c r="GD254" s="418">
        <f t="shared" si="856"/>
        <v>0</v>
      </c>
      <c r="GE254" s="418">
        <f t="shared" si="856"/>
        <v>0</v>
      </c>
      <c r="GF254" s="418">
        <f t="shared" si="856"/>
        <v>0</v>
      </c>
      <c r="GG254" s="418">
        <f t="shared" si="856"/>
        <v>0</v>
      </c>
      <c r="GH254" s="418">
        <f t="shared" si="856"/>
        <v>0</v>
      </c>
      <c r="GI254" s="418">
        <f t="shared" si="856"/>
        <v>0</v>
      </c>
      <c r="GJ254" s="418">
        <f t="shared" si="856"/>
        <v>0</v>
      </c>
      <c r="GK254" s="418">
        <f t="shared" si="856"/>
        <v>0</v>
      </c>
      <c r="GL254" s="418">
        <f t="shared" si="856"/>
        <v>0</v>
      </c>
      <c r="GM254" s="418">
        <f t="shared" si="856"/>
        <v>0</v>
      </c>
      <c r="GN254" s="418">
        <f t="shared" si="856"/>
        <v>0</v>
      </c>
      <c r="GO254" s="418">
        <f t="shared" si="856"/>
        <v>0</v>
      </c>
      <c r="GP254" s="418">
        <f t="shared" si="856"/>
        <v>0</v>
      </c>
      <c r="GQ254" s="418">
        <f t="shared" si="856"/>
        <v>0</v>
      </c>
      <c r="GR254" s="418">
        <f t="shared" si="856"/>
        <v>0</v>
      </c>
      <c r="GS254" s="418">
        <f t="shared" si="856"/>
        <v>0</v>
      </c>
      <c r="GT254" s="418">
        <f t="shared" si="856"/>
        <v>0</v>
      </c>
      <c r="GU254" s="418">
        <f t="shared" si="856"/>
        <v>0</v>
      </c>
      <c r="GV254" s="418">
        <f t="shared" si="856"/>
        <v>0</v>
      </c>
      <c r="GW254" s="418">
        <f t="shared" si="856"/>
        <v>0</v>
      </c>
      <c r="GX254" s="418">
        <f t="shared" si="856"/>
        <v>0</v>
      </c>
      <c r="GY254" s="418">
        <f t="shared" si="856"/>
        <v>0</v>
      </c>
      <c r="GZ254" s="418">
        <f t="shared" si="856"/>
        <v>0</v>
      </c>
      <c r="HA254" s="418">
        <f t="shared" si="856"/>
        <v>0</v>
      </c>
      <c r="HB254" s="418">
        <f t="shared" si="856"/>
        <v>0</v>
      </c>
      <c r="HC254" s="418">
        <f t="shared" si="856"/>
        <v>0</v>
      </c>
      <c r="HD254" s="418">
        <f t="shared" si="856"/>
        <v>0</v>
      </c>
      <c r="HE254" s="418">
        <f t="shared" si="856"/>
        <v>0</v>
      </c>
      <c r="HF254" s="418">
        <f t="shared" si="856"/>
        <v>0</v>
      </c>
      <c r="HG254" s="418">
        <f t="shared" si="856"/>
        <v>0</v>
      </c>
      <c r="HH254" s="418">
        <f t="shared" si="856"/>
        <v>0</v>
      </c>
      <c r="HI254" s="418">
        <f t="shared" ref="HI254:JT254" si="857">+HI253+HI250</f>
        <v>0</v>
      </c>
      <c r="HJ254" s="418">
        <f t="shared" si="857"/>
        <v>0</v>
      </c>
      <c r="HK254" s="418">
        <f t="shared" si="857"/>
        <v>0</v>
      </c>
      <c r="HL254" s="418">
        <f t="shared" si="857"/>
        <v>0</v>
      </c>
      <c r="HM254" s="418">
        <f t="shared" si="857"/>
        <v>0</v>
      </c>
      <c r="HN254" s="418">
        <f t="shared" si="857"/>
        <v>0</v>
      </c>
      <c r="HO254" s="418">
        <f t="shared" si="857"/>
        <v>0</v>
      </c>
      <c r="HP254" s="418">
        <f t="shared" si="857"/>
        <v>0</v>
      </c>
      <c r="HQ254" s="418">
        <f t="shared" si="857"/>
        <v>0</v>
      </c>
      <c r="HR254" s="418">
        <f t="shared" si="857"/>
        <v>0</v>
      </c>
      <c r="HS254" s="418">
        <f t="shared" si="857"/>
        <v>0</v>
      </c>
      <c r="HT254" s="418">
        <f t="shared" si="857"/>
        <v>0</v>
      </c>
      <c r="HU254" s="418">
        <f t="shared" si="857"/>
        <v>0</v>
      </c>
      <c r="HV254" s="418">
        <f t="shared" si="857"/>
        <v>0</v>
      </c>
      <c r="HW254" s="418">
        <f t="shared" si="857"/>
        <v>0</v>
      </c>
      <c r="HX254" s="418">
        <f t="shared" si="857"/>
        <v>0</v>
      </c>
      <c r="HY254" s="418">
        <f t="shared" si="857"/>
        <v>0</v>
      </c>
      <c r="HZ254" s="418">
        <f t="shared" si="857"/>
        <v>0</v>
      </c>
      <c r="IA254" s="418">
        <f t="shared" si="857"/>
        <v>0</v>
      </c>
      <c r="IB254" s="418">
        <f t="shared" si="857"/>
        <v>0</v>
      </c>
      <c r="IC254" s="418">
        <f t="shared" si="857"/>
        <v>0</v>
      </c>
      <c r="ID254" s="418">
        <f t="shared" si="857"/>
        <v>0</v>
      </c>
      <c r="IE254" s="418">
        <f t="shared" si="857"/>
        <v>0</v>
      </c>
      <c r="IF254" s="418">
        <f t="shared" si="857"/>
        <v>0</v>
      </c>
      <c r="IG254" s="418">
        <f t="shared" si="857"/>
        <v>0</v>
      </c>
      <c r="IH254" s="418">
        <f t="shared" si="857"/>
        <v>0</v>
      </c>
      <c r="II254" s="418">
        <f t="shared" si="857"/>
        <v>0</v>
      </c>
      <c r="IJ254" s="418">
        <f t="shared" si="857"/>
        <v>0</v>
      </c>
      <c r="IK254" s="418">
        <f t="shared" si="857"/>
        <v>0</v>
      </c>
      <c r="IL254" s="418">
        <f t="shared" si="857"/>
        <v>0</v>
      </c>
      <c r="IM254" s="418">
        <f t="shared" si="857"/>
        <v>0</v>
      </c>
      <c r="IN254" s="418">
        <f t="shared" si="857"/>
        <v>0</v>
      </c>
      <c r="IO254" s="418">
        <f t="shared" si="857"/>
        <v>0</v>
      </c>
      <c r="IP254" s="418">
        <f t="shared" si="857"/>
        <v>0</v>
      </c>
      <c r="IQ254" s="418">
        <f t="shared" si="857"/>
        <v>0</v>
      </c>
      <c r="IR254" s="418">
        <f t="shared" si="857"/>
        <v>0</v>
      </c>
      <c r="IS254" s="418">
        <f t="shared" si="857"/>
        <v>0</v>
      </c>
      <c r="IT254" s="418">
        <f t="shared" si="857"/>
        <v>0</v>
      </c>
      <c r="IU254" s="418">
        <f t="shared" si="857"/>
        <v>0</v>
      </c>
      <c r="IV254" s="418">
        <f t="shared" si="857"/>
        <v>0</v>
      </c>
      <c r="IW254" s="418">
        <f t="shared" si="857"/>
        <v>0</v>
      </c>
      <c r="IX254" s="418">
        <f t="shared" si="857"/>
        <v>0</v>
      </c>
      <c r="IY254" s="418">
        <f t="shared" si="857"/>
        <v>0</v>
      </c>
      <c r="IZ254" s="418">
        <f t="shared" si="857"/>
        <v>0</v>
      </c>
      <c r="JA254" s="418">
        <f t="shared" si="857"/>
        <v>0</v>
      </c>
      <c r="JB254" s="418">
        <f t="shared" si="857"/>
        <v>0</v>
      </c>
      <c r="JC254" s="418">
        <f t="shared" si="857"/>
        <v>0</v>
      </c>
      <c r="JD254" s="418">
        <f t="shared" si="857"/>
        <v>0</v>
      </c>
      <c r="JE254" s="418">
        <f t="shared" si="857"/>
        <v>0</v>
      </c>
      <c r="JF254" s="418">
        <f t="shared" si="857"/>
        <v>0</v>
      </c>
      <c r="JG254" s="418">
        <f t="shared" si="857"/>
        <v>0</v>
      </c>
      <c r="JH254" s="418">
        <f t="shared" si="857"/>
        <v>0</v>
      </c>
      <c r="JI254" s="418">
        <f t="shared" si="857"/>
        <v>0</v>
      </c>
      <c r="JJ254" s="418">
        <f t="shared" si="857"/>
        <v>0</v>
      </c>
      <c r="JK254" s="418">
        <f t="shared" si="857"/>
        <v>0</v>
      </c>
      <c r="JL254" s="418">
        <f t="shared" si="857"/>
        <v>0</v>
      </c>
      <c r="JM254" s="418">
        <f t="shared" si="857"/>
        <v>0</v>
      </c>
      <c r="JN254" s="418">
        <f t="shared" si="857"/>
        <v>0</v>
      </c>
      <c r="JO254" s="418">
        <f t="shared" si="857"/>
        <v>0</v>
      </c>
      <c r="JP254" s="418">
        <f t="shared" si="857"/>
        <v>0</v>
      </c>
      <c r="JQ254" s="418">
        <f t="shared" si="857"/>
        <v>0</v>
      </c>
      <c r="JR254" s="418">
        <f t="shared" si="857"/>
        <v>0</v>
      </c>
      <c r="JS254" s="418">
        <f t="shared" si="857"/>
        <v>0</v>
      </c>
      <c r="JT254" s="418">
        <f t="shared" si="857"/>
        <v>0</v>
      </c>
      <c r="JU254" s="418">
        <f>+JU253+JU250</f>
        <v>0</v>
      </c>
      <c r="JV254" s="418">
        <f>+JV253+JV250</f>
        <v>0</v>
      </c>
      <c r="JW254" s="418">
        <f>+JW253+JW250</f>
        <v>0</v>
      </c>
      <c r="JX254" s="418">
        <f>+JX253+JX250</f>
        <v>0</v>
      </c>
      <c r="JY254"/>
      <c r="JZ254" s="262"/>
      <c r="KA254" s="262"/>
      <c r="KB254" s="262"/>
      <c r="KC254" s="262"/>
      <c r="KD254" s="262"/>
      <c r="KE254" s="262"/>
      <c r="KF254" s="262"/>
      <c r="KG254" s="262"/>
      <c r="KH254" s="262"/>
      <c r="KI254" s="262"/>
      <c r="KJ254" s="262"/>
      <c r="KK254" s="262"/>
      <c r="KL254" s="262"/>
      <c r="KM254" s="262"/>
      <c r="KN254" s="262"/>
      <c r="KO254" s="262"/>
      <c r="KP254" s="262"/>
      <c r="KQ254" s="262"/>
      <c r="KR254" s="262"/>
      <c r="KS254" s="262"/>
      <c r="KT254" s="262"/>
      <c r="KU254" s="262"/>
      <c r="KV254" s="262"/>
      <c r="KW254" s="262"/>
      <c r="KX254" s="262"/>
      <c r="KY254" s="262"/>
      <c r="KZ254" s="262"/>
      <c r="LA254" s="262"/>
      <c r="LB254" s="262"/>
      <c r="LC254" s="262"/>
      <c r="LD254" s="262"/>
      <c r="LE254" s="262"/>
      <c r="LF254" s="262"/>
      <c r="LG254" s="262"/>
      <c r="LH254" s="262"/>
      <c r="LI254" s="262"/>
      <c r="LJ254" s="262"/>
      <c r="LK254" s="262"/>
      <c r="LL254" s="262"/>
      <c r="LM254" s="262"/>
      <c r="LN254" s="262"/>
      <c r="LO254" s="262"/>
      <c r="LP254" s="262"/>
      <c r="LQ254" s="262"/>
      <c r="LR254" s="262"/>
      <c r="LS254" s="262"/>
      <c r="LT254" s="262"/>
      <c r="LU254" s="262"/>
      <c r="LV254" s="262"/>
      <c r="LW254" s="262"/>
      <c r="LX254" s="262"/>
      <c r="LY254" s="262"/>
      <c r="LZ254" s="262"/>
      <c r="MA254" s="262"/>
      <c r="MB254" s="262"/>
      <c r="MC254" s="262"/>
      <c r="MD254" s="262"/>
      <c r="ME254" s="262"/>
      <c r="MF254" s="262"/>
      <c r="MG254" s="262"/>
      <c r="MH254" s="262"/>
      <c r="MI254" s="262"/>
      <c r="MJ254" s="262"/>
      <c r="MK254" s="262"/>
      <c r="ML254" s="262"/>
      <c r="MM254" s="262"/>
      <c r="MN254" s="262"/>
      <c r="MO254" s="262"/>
      <c r="MP254" s="262"/>
      <c r="MQ254" s="262"/>
      <c r="MR254" s="262"/>
      <c r="MS254" s="262"/>
      <c r="MT254" s="262"/>
      <c r="MU254" s="262"/>
      <c r="MV254" s="262"/>
      <c r="MW254" s="262"/>
      <c r="MX254" s="262"/>
      <c r="MY254" s="262"/>
      <c r="MZ254" s="262"/>
      <c r="NA254" s="262"/>
      <c r="NB254" s="262"/>
      <c r="NC254" s="262"/>
      <c r="ND254" s="262"/>
      <c r="NE254" s="262"/>
      <c r="NF254" s="262"/>
      <c r="NG254" s="262"/>
      <c r="NH254" s="262"/>
      <c r="NI254" s="262"/>
      <c r="NJ254" s="262"/>
      <c r="NK254" s="262"/>
      <c r="NL254" s="262"/>
      <c r="NM254" s="262"/>
      <c r="NN254" s="262"/>
      <c r="NO254" s="262"/>
      <c r="NP254" s="262"/>
      <c r="NQ254" s="262"/>
      <c r="NR254" s="262"/>
      <c r="NS254" s="262"/>
      <c r="NT254" s="262"/>
      <c r="NU254" s="262"/>
      <c r="NV254" s="262"/>
      <c r="NW254" s="262"/>
      <c r="NX254" s="262"/>
      <c r="NY254" s="262"/>
      <c r="NZ254" s="262"/>
      <c r="OA254" s="262"/>
      <c r="OB254" s="262"/>
      <c r="OC254" s="262"/>
      <c r="OD254" s="262"/>
      <c r="OE254" s="262"/>
      <c r="OF254" s="262"/>
      <c r="OG254" s="262"/>
      <c r="OH254" s="262"/>
      <c r="OI254" s="262"/>
      <c r="OJ254" s="262"/>
      <c r="OK254" s="262"/>
      <c r="OL254" s="262"/>
      <c r="OM254" s="262"/>
      <c r="ON254" s="262"/>
      <c r="OO254" s="262"/>
      <c r="OP254" s="262"/>
      <c r="OQ254" s="262"/>
      <c r="OR254" s="262"/>
      <c r="OS254" s="262"/>
      <c r="OT254" s="262"/>
      <c r="OU254" s="262"/>
      <c r="OV254" s="262"/>
      <c r="OW254" s="262"/>
      <c r="OX254" s="262"/>
      <c r="OY254" s="262"/>
      <c r="OZ254" s="262"/>
      <c r="PA254" s="262"/>
      <c r="PB254" s="262"/>
      <c r="PC254" s="262"/>
      <c r="PD254" s="262"/>
      <c r="PE254" s="262"/>
      <c r="PF254" s="262"/>
      <c r="PG254" s="262"/>
      <c r="PH254" s="262"/>
    </row>
    <row r="255" spans="1:424" x14ac:dyDescent="0.35">
      <c r="A255"/>
      <c r="B255" s="34" t="s">
        <v>443</v>
      </c>
      <c r="C255" s="397"/>
      <c r="D255" s="400"/>
      <c r="E255" s="400" t="s">
        <v>440</v>
      </c>
      <c r="F255" s="86">
        <v>0.12</v>
      </c>
      <c r="G255" s="53">
        <v>0.15</v>
      </c>
      <c r="H255" s="52">
        <f>G255+(1-G255)*$H$249</f>
        <v>0.1925</v>
      </c>
      <c r="I255" s="57">
        <f>1-H255</f>
        <v>0.8075</v>
      </c>
      <c r="J255"/>
      <c r="K255"/>
      <c r="L255" s="417">
        <f t="shared" ref="L255:AQ255" si="858">IF(L$227="","",EV254)</f>
        <v>0</v>
      </c>
      <c r="M255" s="417">
        <f t="shared" si="858"/>
        <v>0</v>
      </c>
      <c r="N255" s="417">
        <f t="shared" si="858"/>
        <v>0</v>
      </c>
      <c r="O255" s="417">
        <f t="shared" si="858"/>
        <v>0</v>
      </c>
      <c r="P255" s="417">
        <f t="shared" si="858"/>
        <v>0</v>
      </c>
      <c r="Q255" s="417">
        <f t="shared" si="858"/>
        <v>0</v>
      </c>
      <c r="R255" s="417">
        <f t="shared" si="858"/>
        <v>0</v>
      </c>
      <c r="S255" s="417">
        <f t="shared" si="858"/>
        <v>0</v>
      </c>
      <c r="T255" s="417">
        <f t="shared" si="858"/>
        <v>0</v>
      </c>
      <c r="U255" s="417">
        <f t="shared" si="858"/>
        <v>0</v>
      </c>
      <c r="V255" s="417">
        <f t="shared" si="858"/>
        <v>0</v>
      </c>
      <c r="W255" s="417">
        <f t="shared" si="858"/>
        <v>0</v>
      </c>
      <c r="X255" s="417">
        <f t="shared" si="858"/>
        <v>0</v>
      </c>
      <c r="Y255" s="417">
        <f t="shared" si="858"/>
        <v>0</v>
      </c>
      <c r="Z255" s="417">
        <f t="shared" si="858"/>
        <v>0</v>
      </c>
      <c r="AA255" s="417">
        <f t="shared" si="858"/>
        <v>0</v>
      </c>
      <c r="AB255" s="417">
        <f t="shared" si="858"/>
        <v>0</v>
      </c>
      <c r="AC255" s="417">
        <f t="shared" si="858"/>
        <v>0</v>
      </c>
      <c r="AD255" s="417">
        <f t="shared" si="858"/>
        <v>0</v>
      </c>
      <c r="AE255" s="417">
        <f t="shared" si="858"/>
        <v>0</v>
      </c>
      <c r="AF255" s="417">
        <f t="shared" si="858"/>
        <v>0</v>
      </c>
      <c r="AG255" s="417">
        <f t="shared" si="858"/>
        <v>0</v>
      </c>
      <c r="AH255" s="417">
        <f t="shared" si="858"/>
        <v>0</v>
      </c>
      <c r="AI255" s="417">
        <f t="shared" si="858"/>
        <v>0</v>
      </c>
      <c r="AJ255" s="417">
        <f t="shared" si="858"/>
        <v>0</v>
      </c>
      <c r="AK255" s="417">
        <f t="shared" si="858"/>
        <v>0</v>
      </c>
      <c r="AL255" s="417">
        <f t="shared" si="858"/>
        <v>0</v>
      </c>
      <c r="AM255" s="417">
        <f t="shared" si="858"/>
        <v>0</v>
      </c>
      <c r="AN255" s="417">
        <f t="shared" si="858"/>
        <v>0</v>
      </c>
      <c r="AO255" s="417">
        <f t="shared" si="858"/>
        <v>0</v>
      </c>
      <c r="AP255" s="417">
        <f t="shared" si="858"/>
        <v>0</v>
      </c>
      <c r="AQ255" s="417">
        <f t="shared" si="858"/>
        <v>0</v>
      </c>
      <c r="AR255" s="417">
        <f t="shared" ref="AR255:BW255" si="859">IF(AR$227="","",GB254)</f>
        <v>0</v>
      </c>
      <c r="AS255" s="417">
        <f t="shared" si="859"/>
        <v>0</v>
      </c>
      <c r="AT255" s="417">
        <f t="shared" si="859"/>
        <v>0</v>
      </c>
      <c r="AU255" s="417">
        <f t="shared" si="859"/>
        <v>0</v>
      </c>
      <c r="AV255" s="417">
        <f t="shared" si="859"/>
        <v>0</v>
      </c>
      <c r="AW255" s="417">
        <f t="shared" si="859"/>
        <v>0</v>
      </c>
      <c r="AX255" s="417">
        <f t="shared" si="859"/>
        <v>0</v>
      </c>
      <c r="AY255" s="417">
        <f t="shared" si="859"/>
        <v>0</v>
      </c>
      <c r="AZ255" s="417">
        <f t="shared" si="859"/>
        <v>0</v>
      </c>
      <c r="BA255" s="417">
        <f t="shared" si="859"/>
        <v>0</v>
      </c>
      <c r="BB255" s="417">
        <f t="shared" si="859"/>
        <v>0</v>
      </c>
      <c r="BC255" s="417">
        <f t="shared" si="859"/>
        <v>0</v>
      </c>
      <c r="BD255" s="75">
        <f t="shared" si="859"/>
        <v>0</v>
      </c>
      <c r="BE255" s="75">
        <f t="shared" si="859"/>
        <v>0</v>
      </c>
      <c r="BF255" s="75">
        <f t="shared" si="859"/>
        <v>0</v>
      </c>
      <c r="BG255" s="75">
        <f t="shared" si="859"/>
        <v>0</v>
      </c>
      <c r="BH255" s="75">
        <f t="shared" si="859"/>
        <v>0</v>
      </c>
      <c r="BI255" s="75">
        <f t="shared" si="859"/>
        <v>0</v>
      </c>
      <c r="BJ255" s="75">
        <f t="shared" si="859"/>
        <v>0</v>
      </c>
      <c r="BK255" s="75">
        <f t="shared" si="859"/>
        <v>0</v>
      </c>
      <c r="BL255" s="75">
        <f t="shared" si="859"/>
        <v>0</v>
      </c>
      <c r="BM255" s="75">
        <f t="shared" si="859"/>
        <v>0</v>
      </c>
      <c r="BN255" s="75">
        <f t="shared" si="859"/>
        <v>0</v>
      </c>
      <c r="BO255" s="75">
        <f t="shared" si="859"/>
        <v>0</v>
      </c>
      <c r="BP255" s="75">
        <f t="shared" si="859"/>
        <v>0</v>
      </c>
      <c r="BQ255" s="75">
        <f t="shared" si="859"/>
        <v>0</v>
      </c>
      <c r="BR255" s="75">
        <f t="shared" si="859"/>
        <v>0</v>
      </c>
      <c r="BS255" s="75">
        <f t="shared" si="859"/>
        <v>0</v>
      </c>
      <c r="BT255" s="75">
        <f t="shared" si="859"/>
        <v>0</v>
      </c>
      <c r="BU255" s="75">
        <f t="shared" si="859"/>
        <v>0</v>
      </c>
      <c r="BV255" s="75" t="str">
        <f t="shared" si="859"/>
        <v/>
      </c>
      <c r="BW255" s="75" t="str">
        <f t="shared" si="859"/>
        <v/>
      </c>
      <c r="BX255" s="75" t="str">
        <f t="shared" ref="BX255:DC255" si="860">IF(BX$227="","",HH254)</f>
        <v/>
      </c>
      <c r="BY255" s="75" t="str">
        <f t="shared" si="860"/>
        <v/>
      </c>
      <c r="BZ255" s="75" t="str">
        <f t="shared" si="860"/>
        <v/>
      </c>
      <c r="CA255" s="75" t="str">
        <f t="shared" si="860"/>
        <v/>
      </c>
      <c r="CB255" s="75" t="str">
        <f t="shared" si="860"/>
        <v/>
      </c>
      <c r="CC255" s="75" t="str">
        <f t="shared" si="860"/>
        <v/>
      </c>
      <c r="CD255" s="75" t="str">
        <f t="shared" si="860"/>
        <v/>
      </c>
      <c r="CE255" s="75" t="str">
        <f t="shared" si="860"/>
        <v/>
      </c>
      <c r="CF255" s="75" t="str">
        <f t="shared" si="860"/>
        <v/>
      </c>
      <c r="CG255" s="75" t="str">
        <f t="shared" si="860"/>
        <v/>
      </c>
      <c r="CH255" s="75" t="str">
        <f t="shared" si="860"/>
        <v/>
      </c>
      <c r="CI255" s="75" t="str">
        <f t="shared" si="860"/>
        <v/>
      </c>
      <c r="CJ255" s="75" t="str">
        <f t="shared" si="860"/>
        <v/>
      </c>
      <c r="CK255" s="75" t="str">
        <f t="shared" si="860"/>
        <v/>
      </c>
      <c r="CL255" s="75" t="str">
        <f t="shared" si="860"/>
        <v/>
      </c>
      <c r="CM255" s="75" t="str">
        <f t="shared" si="860"/>
        <v/>
      </c>
      <c r="CN255" s="75" t="str">
        <f t="shared" si="860"/>
        <v/>
      </c>
      <c r="CO255" s="75" t="str">
        <f t="shared" si="860"/>
        <v/>
      </c>
      <c r="CP255" s="75" t="str">
        <f t="shared" si="860"/>
        <v/>
      </c>
      <c r="CQ255" s="75" t="str">
        <f t="shared" si="860"/>
        <v/>
      </c>
      <c r="CR255" s="75" t="str">
        <f t="shared" si="860"/>
        <v/>
      </c>
      <c r="CS255" s="75" t="str">
        <f t="shared" si="860"/>
        <v/>
      </c>
      <c r="CT255" s="75" t="str">
        <f t="shared" si="860"/>
        <v/>
      </c>
      <c r="CU255" s="75" t="str">
        <f t="shared" si="860"/>
        <v/>
      </c>
      <c r="CV255" s="75" t="str">
        <f t="shared" si="860"/>
        <v/>
      </c>
      <c r="CW255" s="75" t="str">
        <f t="shared" si="860"/>
        <v/>
      </c>
      <c r="CX255" s="75" t="str">
        <f t="shared" si="860"/>
        <v/>
      </c>
      <c r="CY255" s="75" t="str">
        <f t="shared" si="860"/>
        <v/>
      </c>
      <c r="CZ255" s="75" t="str">
        <f t="shared" si="860"/>
        <v/>
      </c>
      <c r="DA255" s="75" t="str">
        <f t="shared" si="860"/>
        <v/>
      </c>
      <c r="DB255" s="75" t="str">
        <f t="shared" si="860"/>
        <v/>
      </c>
      <c r="DC255" s="75" t="str">
        <f t="shared" si="860"/>
        <v/>
      </c>
      <c r="DD255" s="75" t="str">
        <f t="shared" ref="DD255:EI255" si="861">IF(DD$227="","",IN254)</f>
        <v/>
      </c>
      <c r="DE255" s="75" t="str">
        <f t="shared" si="861"/>
        <v/>
      </c>
      <c r="DF255" s="75" t="str">
        <f t="shared" si="861"/>
        <v/>
      </c>
      <c r="DG255" s="75" t="str">
        <f t="shared" si="861"/>
        <v/>
      </c>
      <c r="DH255" s="75" t="str">
        <f t="shared" si="861"/>
        <v/>
      </c>
      <c r="DI255" s="75" t="str">
        <f t="shared" si="861"/>
        <v/>
      </c>
      <c r="DJ255" s="75" t="str">
        <f t="shared" si="861"/>
        <v/>
      </c>
      <c r="DK255" s="75" t="str">
        <f t="shared" si="861"/>
        <v/>
      </c>
      <c r="DL255" s="75" t="str">
        <f t="shared" si="861"/>
        <v/>
      </c>
      <c r="DM255" s="75" t="str">
        <f t="shared" si="861"/>
        <v/>
      </c>
      <c r="DN255" s="75" t="str">
        <f t="shared" si="861"/>
        <v/>
      </c>
      <c r="DO255" s="75" t="str">
        <f t="shared" si="861"/>
        <v/>
      </c>
      <c r="DP255" s="75" t="str">
        <f t="shared" si="861"/>
        <v/>
      </c>
      <c r="DQ255" s="75" t="str">
        <f t="shared" si="861"/>
        <v/>
      </c>
      <c r="DR255" s="75" t="str">
        <f t="shared" si="861"/>
        <v/>
      </c>
      <c r="DS255" s="75" t="str">
        <f t="shared" si="861"/>
        <v/>
      </c>
      <c r="DT255" s="75" t="str">
        <f t="shared" si="861"/>
        <v/>
      </c>
      <c r="DU255" s="75" t="str">
        <f t="shared" si="861"/>
        <v/>
      </c>
      <c r="DV255" s="75" t="str">
        <f t="shared" si="861"/>
        <v/>
      </c>
      <c r="DW255" s="75" t="str">
        <f t="shared" si="861"/>
        <v/>
      </c>
      <c r="DX255" s="75" t="str">
        <f t="shared" si="861"/>
        <v/>
      </c>
      <c r="DY255" s="75" t="str">
        <f t="shared" si="861"/>
        <v/>
      </c>
      <c r="DZ255" s="75" t="str">
        <f t="shared" si="861"/>
        <v/>
      </c>
      <c r="EA255" s="75" t="str">
        <f t="shared" si="861"/>
        <v/>
      </c>
      <c r="EB255" s="75" t="str">
        <f t="shared" si="861"/>
        <v/>
      </c>
      <c r="EC255" s="75" t="str">
        <f t="shared" si="861"/>
        <v/>
      </c>
      <c r="ED255" s="75" t="str">
        <f t="shared" si="861"/>
        <v/>
      </c>
      <c r="EE255" s="75" t="str">
        <f t="shared" si="861"/>
        <v/>
      </c>
      <c r="EF255" s="75" t="str">
        <f t="shared" si="861"/>
        <v/>
      </c>
      <c r="EG255" s="75" t="str">
        <f t="shared" si="861"/>
        <v/>
      </c>
      <c r="EH255" s="75" t="str">
        <f t="shared" si="861"/>
        <v/>
      </c>
      <c r="EI255" s="75" t="str">
        <f t="shared" si="861"/>
        <v/>
      </c>
      <c r="EJ255" s="75" t="str">
        <f>IF(EJ$227="","",JT254)</f>
        <v/>
      </c>
      <c r="EK255" s="75" t="str">
        <f>IF(EK$227="","",JU254)</f>
        <v/>
      </c>
      <c r="EL255" s="75" t="str">
        <f>IF(EL$227="","",JV254)</f>
        <v/>
      </c>
      <c r="EM255" s="75" t="str">
        <f>IF(EM$227="","",JW254)</f>
        <v/>
      </c>
      <c r="EN255" s="75" t="str">
        <f>IF(EN$227="","",JX254)</f>
        <v/>
      </c>
      <c r="EO255"/>
      <c r="EP255" s="537"/>
      <c r="EQ255" s="533"/>
      <c r="ER255" s="533"/>
      <c r="ES255" s="533"/>
      <c r="ET255" s="533" t="s">
        <v>405</v>
      </c>
      <c r="EU255" s="533"/>
      <c r="EV255" s="534">
        <f t="shared" ref="EV255:GA255" si="862">MAX(EV236-EV245-EV254,0)</f>
        <v>0</v>
      </c>
      <c r="EW255" s="534">
        <f t="shared" si="862"/>
        <v>0</v>
      </c>
      <c r="EX255" s="534">
        <f t="shared" si="862"/>
        <v>0</v>
      </c>
      <c r="EY255" s="534">
        <f t="shared" si="862"/>
        <v>0</v>
      </c>
      <c r="EZ255" s="534">
        <f t="shared" si="862"/>
        <v>0</v>
      </c>
      <c r="FA255" s="534">
        <f t="shared" si="862"/>
        <v>0</v>
      </c>
      <c r="FB255" s="534">
        <f t="shared" si="862"/>
        <v>0</v>
      </c>
      <c r="FC255" s="534">
        <f t="shared" si="862"/>
        <v>0</v>
      </c>
      <c r="FD255" s="534">
        <f t="shared" si="862"/>
        <v>0</v>
      </c>
      <c r="FE255" s="534">
        <f t="shared" si="862"/>
        <v>0</v>
      </c>
      <c r="FF255" s="534">
        <f t="shared" si="862"/>
        <v>0</v>
      </c>
      <c r="FG255" s="534">
        <f t="shared" si="862"/>
        <v>0</v>
      </c>
      <c r="FH255" s="534">
        <f t="shared" si="862"/>
        <v>0</v>
      </c>
      <c r="FI255" s="534">
        <f t="shared" si="862"/>
        <v>0</v>
      </c>
      <c r="FJ255" s="534">
        <f t="shared" si="862"/>
        <v>0</v>
      </c>
      <c r="FK255" s="534">
        <f t="shared" si="862"/>
        <v>0</v>
      </c>
      <c r="FL255" s="534">
        <f t="shared" si="862"/>
        <v>0</v>
      </c>
      <c r="FM255" s="534">
        <f t="shared" si="862"/>
        <v>0</v>
      </c>
      <c r="FN255" s="534">
        <f t="shared" si="862"/>
        <v>0</v>
      </c>
      <c r="FO255" s="534">
        <f t="shared" si="862"/>
        <v>0</v>
      </c>
      <c r="FP255" s="534">
        <f t="shared" si="862"/>
        <v>0</v>
      </c>
      <c r="FQ255" s="534">
        <f t="shared" si="862"/>
        <v>0</v>
      </c>
      <c r="FR255" s="534">
        <f t="shared" si="862"/>
        <v>0</v>
      </c>
      <c r="FS255" s="534">
        <f t="shared" si="862"/>
        <v>0</v>
      </c>
      <c r="FT255" s="534">
        <f t="shared" si="862"/>
        <v>0</v>
      </c>
      <c r="FU255" s="534">
        <f t="shared" si="862"/>
        <v>0</v>
      </c>
      <c r="FV255" s="534">
        <f t="shared" si="862"/>
        <v>0</v>
      </c>
      <c r="FW255" s="534">
        <f t="shared" si="862"/>
        <v>0</v>
      </c>
      <c r="FX255" s="534">
        <f t="shared" si="862"/>
        <v>0</v>
      </c>
      <c r="FY255" s="534">
        <f t="shared" si="862"/>
        <v>0</v>
      </c>
      <c r="FZ255" s="534">
        <f t="shared" si="862"/>
        <v>0</v>
      </c>
      <c r="GA255" s="534">
        <f t="shared" si="862"/>
        <v>0</v>
      </c>
      <c r="GB255" s="534">
        <f t="shared" ref="GB255:HG255" si="863">MAX(GB236-GB245-GB254,0)</f>
        <v>0</v>
      </c>
      <c r="GC255" s="534">
        <f t="shared" si="863"/>
        <v>0</v>
      </c>
      <c r="GD255" s="534">
        <f t="shared" si="863"/>
        <v>0</v>
      </c>
      <c r="GE255" s="534">
        <f t="shared" si="863"/>
        <v>0</v>
      </c>
      <c r="GF255" s="534">
        <f t="shared" si="863"/>
        <v>0</v>
      </c>
      <c r="GG255" s="534">
        <f t="shared" si="863"/>
        <v>0</v>
      </c>
      <c r="GH255" s="534">
        <f t="shared" si="863"/>
        <v>0</v>
      </c>
      <c r="GI255" s="534">
        <f t="shared" si="863"/>
        <v>0</v>
      </c>
      <c r="GJ255" s="534">
        <f t="shared" si="863"/>
        <v>0</v>
      </c>
      <c r="GK255" s="534">
        <f t="shared" si="863"/>
        <v>0</v>
      </c>
      <c r="GL255" s="534">
        <f t="shared" si="863"/>
        <v>0</v>
      </c>
      <c r="GM255" s="534">
        <f t="shared" si="863"/>
        <v>0</v>
      </c>
      <c r="GN255" s="534">
        <f t="shared" si="863"/>
        <v>0</v>
      </c>
      <c r="GO255" s="534">
        <f t="shared" si="863"/>
        <v>0</v>
      </c>
      <c r="GP255" s="534">
        <f t="shared" si="863"/>
        <v>0</v>
      </c>
      <c r="GQ255" s="534">
        <f t="shared" si="863"/>
        <v>0</v>
      </c>
      <c r="GR255" s="534">
        <f t="shared" si="863"/>
        <v>0</v>
      </c>
      <c r="GS255" s="534">
        <f t="shared" si="863"/>
        <v>0</v>
      </c>
      <c r="GT255" s="534">
        <f t="shared" si="863"/>
        <v>0</v>
      </c>
      <c r="GU255" s="534">
        <f t="shared" si="863"/>
        <v>0</v>
      </c>
      <c r="GV255" s="534">
        <f t="shared" si="863"/>
        <v>0</v>
      </c>
      <c r="GW255" s="534">
        <f t="shared" si="863"/>
        <v>0</v>
      </c>
      <c r="GX255" s="534">
        <f t="shared" si="863"/>
        <v>0</v>
      </c>
      <c r="GY255" s="534">
        <f t="shared" si="863"/>
        <v>0</v>
      </c>
      <c r="GZ255" s="534">
        <f t="shared" si="863"/>
        <v>0</v>
      </c>
      <c r="HA255" s="534">
        <f t="shared" si="863"/>
        <v>0</v>
      </c>
      <c r="HB255" s="534">
        <f t="shared" si="863"/>
        <v>0</v>
      </c>
      <c r="HC255" s="534">
        <f t="shared" si="863"/>
        <v>0</v>
      </c>
      <c r="HD255" s="534">
        <f t="shared" si="863"/>
        <v>0</v>
      </c>
      <c r="HE255" s="534">
        <f t="shared" si="863"/>
        <v>0</v>
      </c>
      <c r="HF255" s="534">
        <f t="shared" si="863"/>
        <v>0</v>
      </c>
      <c r="HG255" s="534">
        <f t="shared" si="863"/>
        <v>0</v>
      </c>
      <c r="HH255" s="534">
        <f t="shared" ref="HH255:IM255" si="864">MAX(HH236-HH245-HH254,0)</f>
        <v>0</v>
      </c>
      <c r="HI255" s="534">
        <f t="shared" si="864"/>
        <v>0</v>
      </c>
      <c r="HJ255" s="534">
        <f t="shared" si="864"/>
        <v>0</v>
      </c>
      <c r="HK255" s="534">
        <f t="shared" si="864"/>
        <v>0</v>
      </c>
      <c r="HL255" s="534">
        <f t="shared" si="864"/>
        <v>0</v>
      </c>
      <c r="HM255" s="534">
        <f t="shared" si="864"/>
        <v>0</v>
      </c>
      <c r="HN255" s="534">
        <f t="shared" si="864"/>
        <v>0</v>
      </c>
      <c r="HO255" s="534">
        <f t="shared" si="864"/>
        <v>0</v>
      </c>
      <c r="HP255" s="534">
        <f t="shared" si="864"/>
        <v>0</v>
      </c>
      <c r="HQ255" s="534">
        <f t="shared" si="864"/>
        <v>0</v>
      </c>
      <c r="HR255" s="534">
        <f t="shared" si="864"/>
        <v>0</v>
      </c>
      <c r="HS255" s="534">
        <f t="shared" si="864"/>
        <v>0</v>
      </c>
      <c r="HT255" s="534">
        <f t="shared" si="864"/>
        <v>0</v>
      </c>
      <c r="HU255" s="534">
        <f t="shared" si="864"/>
        <v>0</v>
      </c>
      <c r="HV255" s="534">
        <f t="shared" si="864"/>
        <v>0</v>
      </c>
      <c r="HW255" s="534">
        <f t="shared" si="864"/>
        <v>0</v>
      </c>
      <c r="HX255" s="534">
        <f t="shared" si="864"/>
        <v>0</v>
      </c>
      <c r="HY255" s="534">
        <f t="shared" si="864"/>
        <v>0</v>
      </c>
      <c r="HZ255" s="534">
        <f t="shared" si="864"/>
        <v>0</v>
      </c>
      <c r="IA255" s="534">
        <f t="shared" si="864"/>
        <v>0</v>
      </c>
      <c r="IB255" s="534">
        <f t="shared" si="864"/>
        <v>0</v>
      </c>
      <c r="IC255" s="534">
        <f t="shared" si="864"/>
        <v>0</v>
      </c>
      <c r="ID255" s="534">
        <f t="shared" si="864"/>
        <v>0</v>
      </c>
      <c r="IE255" s="534">
        <f t="shared" si="864"/>
        <v>0</v>
      </c>
      <c r="IF255" s="534">
        <f t="shared" si="864"/>
        <v>0</v>
      </c>
      <c r="IG255" s="534">
        <f t="shared" si="864"/>
        <v>0</v>
      </c>
      <c r="IH255" s="534">
        <f t="shared" si="864"/>
        <v>0</v>
      </c>
      <c r="II255" s="534">
        <f t="shared" si="864"/>
        <v>0</v>
      </c>
      <c r="IJ255" s="534">
        <f t="shared" si="864"/>
        <v>0</v>
      </c>
      <c r="IK255" s="534">
        <f t="shared" si="864"/>
        <v>0</v>
      </c>
      <c r="IL255" s="534">
        <f t="shared" si="864"/>
        <v>0</v>
      </c>
      <c r="IM255" s="534">
        <f t="shared" si="864"/>
        <v>0</v>
      </c>
      <c r="IN255" s="534">
        <f t="shared" ref="IN255:JS255" si="865">MAX(IN236-IN245-IN254,0)</f>
        <v>0</v>
      </c>
      <c r="IO255" s="534">
        <f t="shared" si="865"/>
        <v>0</v>
      </c>
      <c r="IP255" s="534">
        <f t="shared" si="865"/>
        <v>0</v>
      </c>
      <c r="IQ255" s="534">
        <f t="shared" si="865"/>
        <v>0</v>
      </c>
      <c r="IR255" s="534">
        <f t="shared" si="865"/>
        <v>0</v>
      </c>
      <c r="IS255" s="534">
        <f t="shared" si="865"/>
        <v>0</v>
      </c>
      <c r="IT255" s="534">
        <f t="shared" si="865"/>
        <v>0</v>
      </c>
      <c r="IU255" s="534">
        <f t="shared" si="865"/>
        <v>0</v>
      </c>
      <c r="IV255" s="534">
        <f t="shared" si="865"/>
        <v>0</v>
      </c>
      <c r="IW255" s="534">
        <f t="shared" si="865"/>
        <v>0</v>
      </c>
      <c r="IX255" s="534">
        <f t="shared" si="865"/>
        <v>0</v>
      </c>
      <c r="IY255" s="534">
        <f t="shared" si="865"/>
        <v>0</v>
      </c>
      <c r="IZ255" s="534">
        <f t="shared" si="865"/>
        <v>0</v>
      </c>
      <c r="JA255" s="534">
        <f t="shared" si="865"/>
        <v>0</v>
      </c>
      <c r="JB255" s="534">
        <f t="shared" si="865"/>
        <v>0</v>
      </c>
      <c r="JC255" s="534">
        <f t="shared" si="865"/>
        <v>0</v>
      </c>
      <c r="JD255" s="534">
        <f t="shared" si="865"/>
        <v>0</v>
      </c>
      <c r="JE255" s="534">
        <f t="shared" si="865"/>
        <v>0</v>
      </c>
      <c r="JF255" s="534">
        <f t="shared" si="865"/>
        <v>0</v>
      </c>
      <c r="JG255" s="534">
        <f t="shared" si="865"/>
        <v>0</v>
      </c>
      <c r="JH255" s="534">
        <f t="shared" si="865"/>
        <v>0</v>
      </c>
      <c r="JI255" s="534">
        <f t="shared" si="865"/>
        <v>0</v>
      </c>
      <c r="JJ255" s="534">
        <f t="shared" si="865"/>
        <v>0</v>
      </c>
      <c r="JK255" s="534">
        <f t="shared" si="865"/>
        <v>0</v>
      </c>
      <c r="JL255" s="534">
        <f t="shared" si="865"/>
        <v>0</v>
      </c>
      <c r="JM255" s="534">
        <f t="shared" si="865"/>
        <v>0</v>
      </c>
      <c r="JN255" s="534">
        <f t="shared" si="865"/>
        <v>0</v>
      </c>
      <c r="JO255" s="534">
        <f t="shared" si="865"/>
        <v>0</v>
      </c>
      <c r="JP255" s="534">
        <f t="shared" si="865"/>
        <v>0</v>
      </c>
      <c r="JQ255" s="534">
        <f t="shared" si="865"/>
        <v>0</v>
      </c>
      <c r="JR255" s="534">
        <f t="shared" si="865"/>
        <v>0</v>
      </c>
      <c r="JS255" s="534">
        <f t="shared" si="865"/>
        <v>0</v>
      </c>
      <c r="JT255" s="534">
        <f>MAX(JT236-JT245-JT254,0)</f>
        <v>0</v>
      </c>
      <c r="JU255" s="534">
        <f>MAX(JU236-JU245-JU254,0)</f>
        <v>0</v>
      </c>
      <c r="JV255" s="534">
        <f>MAX(JV236-JV245-JV254,0)</f>
        <v>0</v>
      </c>
      <c r="JW255" s="534">
        <f>MAX(JW236-JW245-JW254,0)</f>
        <v>0</v>
      </c>
      <c r="JX255" s="534">
        <f>MAX(JX236-JX245-JX254,0)</f>
        <v>0</v>
      </c>
      <c r="JY255"/>
      <c r="JZ255" s="262"/>
      <c r="KA255" s="262"/>
      <c r="KB255" s="262"/>
      <c r="KC255" s="262"/>
      <c r="KD255" s="262"/>
      <c r="KE255" s="262"/>
      <c r="KF255" s="262"/>
      <c r="KG255" s="262"/>
      <c r="KH255" s="262"/>
      <c r="KI255" s="262"/>
      <c r="KJ255" s="262"/>
      <c r="KK255" s="262"/>
      <c r="KL255" s="262"/>
      <c r="KM255" s="262"/>
      <c r="KN255" s="262"/>
      <c r="KO255" s="262"/>
      <c r="KP255" s="262"/>
      <c r="KQ255" s="262"/>
      <c r="KR255" s="262"/>
      <c r="KS255" s="262"/>
      <c r="KT255" s="262"/>
      <c r="KU255" s="262"/>
      <c r="KV255" s="262"/>
      <c r="KW255" s="262"/>
      <c r="KX255" s="262"/>
      <c r="KY255" s="262"/>
      <c r="KZ255" s="262"/>
      <c r="LA255" s="262"/>
      <c r="LB255" s="262"/>
      <c r="LC255" s="262"/>
      <c r="LD255" s="262"/>
      <c r="LE255" s="262"/>
      <c r="LF255" s="262"/>
      <c r="LG255" s="262"/>
      <c r="LH255" s="262"/>
      <c r="LI255" s="262"/>
      <c r="LJ255" s="262"/>
      <c r="LK255" s="262"/>
      <c r="LL255" s="262"/>
      <c r="LM255" s="262"/>
      <c r="LN255" s="262"/>
      <c r="LO255" s="262"/>
      <c r="LP255" s="262"/>
      <c r="LQ255" s="262"/>
      <c r="LR255" s="262"/>
      <c r="LS255" s="262"/>
      <c r="LT255" s="262"/>
      <c r="LU255" s="262"/>
      <c r="LV255" s="262"/>
      <c r="LW255" s="262"/>
      <c r="LX255" s="262"/>
      <c r="LY255" s="262"/>
      <c r="LZ255" s="262"/>
      <c r="MA255" s="262"/>
      <c r="MB255" s="262"/>
      <c r="MC255" s="262"/>
      <c r="MD255" s="262"/>
      <c r="ME255" s="262"/>
      <c r="MF255" s="262"/>
      <c r="MG255" s="262"/>
      <c r="MH255" s="262"/>
      <c r="MI255" s="262"/>
      <c r="MJ255" s="262"/>
      <c r="MK255" s="262"/>
      <c r="ML255" s="262"/>
      <c r="MM255" s="262"/>
      <c r="MN255" s="262"/>
      <c r="MO255" s="262"/>
      <c r="MP255" s="262"/>
      <c r="MQ255" s="262"/>
      <c r="MR255" s="262"/>
      <c r="MS255" s="262"/>
      <c r="MT255" s="262"/>
      <c r="MU255" s="262"/>
      <c r="MV255" s="262"/>
      <c r="MW255" s="262"/>
      <c r="MX255" s="262"/>
      <c r="MY255" s="262"/>
      <c r="MZ255" s="262"/>
      <c r="NA255" s="262"/>
      <c r="NB255" s="262"/>
      <c r="NC255" s="262"/>
      <c r="ND255" s="262"/>
      <c r="NE255" s="262"/>
      <c r="NF255" s="262"/>
      <c r="NG255" s="262"/>
      <c r="NH255" s="262"/>
      <c r="NI255" s="262"/>
      <c r="NJ255" s="262"/>
      <c r="NK255" s="262"/>
      <c r="NL255" s="262"/>
      <c r="NM255" s="262"/>
      <c r="NN255" s="262"/>
      <c r="NO255" s="262"/>
      <c r="NP255" s="262"/>
      <c r="NQ255" s="262"/>
      <c r="NR255" s="262"/>
      <c r="NS255" s="262"/>
      <c r="NT255" s="262"/>
      <c r="NU255" s="262"/>
      <c r="NV255" s="262"/>
      <c r="NW255" s="262"/>
      <c r="NX255" s="262"/>
      <c r="NY255" s="262"/>
      <c r="NZ255" s="262"/>
      <c r="OA255" s="262"/>
      <c r="OB255" s="262"/>
      <c r="OC255" s="262"/>
      <c r="OD255" s="262"/>
      <c r="OE255" s="262"/>
      <c r="OF255" s="262"/>
      <c r="OG255" s="262"/>
      <c r="OH255" s="262"/>
      <c r="OI255" s="262"/>
      <c r="OJ255" s="262"/>
      <c r="OK255" s="262"/>
      <c r="OL255" s="262"/>
      <c r="OM255" s="262"/>
      <c r="ON255" s="262"/>
      <c r="OO255" s="262"/>
      <c r="OP255" s="262"/>
      <c r="OQ255" s="262"/>
      <c r="OR255" s="262"/>
      <c r="OS255" s="262"/>
      <c r="OT255" s="262"/>
      <c r="OU255" s="262"/>
      <c r="OV255" s="262"/>
      <c r="OW255" s="262"/>
      <c r="OX255" s="262"/>
      <c r="OY255" s="262"/>
      <c r="OZ255" s="262"/>
      <c r="PA255" s="262"/>
      <c r="PB255" s="262"/>
      <c r="PC255" s="262"/>
      <c r="PD255" s="262"/>
      <c r="PE255" s="262"/>
      <c r="PF255" s="262"/>
      <c r="PG255" s="262"/>
      <c r="PH255" s="262"/>
    </row>
    <row r="256" spans="1:424" x14ac:dyDescent="0.35">
      <c r="A256"/>
      <c r="B256" s="34" t="s">
        <v>444</v>
      </c>
      <c r="C256" s="397"/>
      <c r="D256" s="400"/>
      <c r="E256" s="400" t="s">
        <v>440</v>
      </c>
      <c r="F256" s="86">
        <v>0.15</v>
      </c>
      <c r="G256" s="53">
        <v>0.3</v>
      </c>
      <c r="H256" s="52">
        <f>G256+(1-G256)*$H$249</f>
        <v>0.33499999999999996</v>
      </c>
      <c r="I256" s="57">
        <f>1-H256</f>
        <v>0.66500000000000004</v>
      </c>
      <c r="J256"/>
      <c r="K256"/>
      <c r="L256" s="417">
        <f t="shared" ref="L256:AQ256" si="866">IF(L$227="","",EV263)</f>
        <v>0</v>
      </c>
      <c r="M256" s="417">
        <f t="shared" si="866"/>
        <v>0</v>
      </c>
      <c r="N256" s="417">
        <f t="shared" si="866"/>
        <v>0</v>
      </c>
      <c r="O256" s="417">
        <f t="shared" si="866"/>
        <v>0</v>
      </c>
      <c r="P256" s="417">
        <f t="shared" si="866"/>
        <v>0</v>
      </c>
      <c r="Q256" s="417">
        <f t="shared" si="866"/>
        <v>0</v>
      </c>
      <c r="R256" s="417">
        <f t="shared" si="866"/>
        <v>0</v>
      </c>
      <c r="S256" s="417">
        <f t="shared" si="866"/>
        <v>0</v>
      </c>
      <c r="T256" s="417">
        <f t="shared" si="866"/>
        <v>0</v>
      </c>
      <c r="U256" s="417">
        <f t="shared" si="866"/>
        <v>0</v>
      </c>
      <c r="V256" s="417">
        <f t="shared" si="866"/>
        <v>0</v>
      </c>
      <c r="W256" s="417">
        <f t="shared" si="866"/>
        <v>0</v>
      </c>
      <c r="X256" s="417">
        <f t="shared" si="866"/>
        <v>0</v>
      </c>
      <c r="Y256" s="417">
        <f t="shared" si="866"/>
        <v>0</v>
      </c>
      <c r="Z256" s="417">
        <f t="shared" si="866"/>
        <v>0</v>
      </c>
      <c r="AA256" s="417">
        <f t="shared" si="866"/>
        <v>0</v>
      </c>
      <c r="AB256" s="417">
        <f t="shared" si="866"/>
        <v>0</v>
      </c>
      <c r="AC256" s="417">
        <f t="shared" si="866"/>
        <v>0</v>
      </c>
      <c r="AD256" s="417">
        <f t="shared" si="866"/>
        <v>0</v>
      </c>
      <c r="AE256" s="417">
        <f t="shared" si="866"/>
        <v>0</v>
      </c>
      <c r="AF256" s="417">
        <f t="shared" si="866"/>
        <v>0</v>
      </c>
      <c r="AG256" s="417">
        <f t="shared" si="866"/>
        <v>0</v>
      </c>
      <c r="AH256" s="417">
        <f t="shared" si="866"/>
        <v>0</v>
      </c>
      <c r="AI256" s="417">
        <f t="shared" si="866"/>
        <v>0</v>
      </c>
      <c r="AJ256" s="417">
        <f t="shared" si="866"/>
        <v>0</v>
      </c>
      <c r="AK256" s="417">
        <f t="shared" si="866"/>
        <v>0</v>
      </c>
      <c r="AL256" s="417">
        <f t="shared" si="866"/>
        <v>0</v>
      </c>
      <c r="AM256" s="417">
        <f t="shared" si="866"/>
        <v>0</v>
      </c>
      <c r="AN256" s="417">
        <f t="shared" si="866"/>
        <v>0</v>
      </c>
      <c r="AO256" s="417">
        <f t="shared" si="866"/>
        <v>0</v>
      </c>
      <c r="AP256" s="417">
        <f t="shared" si="866"/>
        <v>0</v>
      </c>
      <c r="AQ256" s="417">
        <f t="shared" si="866"/>
        <v>0</v>
      </c>
      <c r="AR256" s="417">
        <f t="shared" ref="AR256:BW256" si="867">IF(AR$227="","",GB263)</f>
        <v>0</v>
      </c>
      <c r="AS256" s="417">
        <f t="shared" si="867"/>
        <v>0</v>
      </c>
      <c r="AT256" s="417">
        <f t="shared" si="867"/>
        <v>0</v>
      </c>
      <c r="AU256" s="417">
        <f t="shared" si="867"/>
        <v>0</v>
      </c>
      <c r="AV256" s="417">
        <f t="shared" si="867"/>
        <v>0</v>
      </c>
      <c r="AW256" s="417">
        <f t="shared" si="867"/>
        <v>0</v>
      </c>
      <c r="AX256" s="417">
        <f t="shared" si="867"/>
        <v>0</v>
      </c>
      <c r="AY256" s="417">
        <f t="shared" si="867"/>
        <v>0</v>
      </c>
      <c r="AZ256" s="417">
        <f t="shared" si="867"/>
        <v>0</v>
      </c>
      <c r="BA256" s="417">
        <f t="shared" si="867"/>
        <v>0</v>
      </c>
      <c r="BB256" s="417">
        <f t="shared" si="867"/>
        <v>0</v>
      </c>
      <c r="BC256" s="417">
        <f t="shared" si="867"/>
        <v>0</v>
      </c>
      <c r="BD256" s="75">
        <f t="shared" si="867"/>
        <v>0</v>
      </c>
      <c r="BE256" s="75">
        <f t="shared" si="867"/>
        <v>0</v>
      </c>
      <c r="BF256" s="75">
        <f t="shared" si="867"/>
        <v>0</v>
      </c>
      <c r="BG256" s="75">
        <f t="shared" si="867"/>
        <v>0</v>
      </c>
      <c r="BH256" s="75">
        <f t="shared" si="867"/>
        <v>0</v>
      </c>
      <c r="BI256" s="75">
        <f t="shared" si="867"/>
        <v>0</v>
      </c>
      <c r="BJ256" s="75">
        <f t="shared" si="867"/>
        <v>0</v>
      </c>
      <c r="BK256" s="75">
        <f t="shared" si="867"/>
        <v>0</v>
      </c>
      <c r="BL256" s="75">
        <f t="shared" si="867"/>
        <v>0</v>
      </c>
      <c r="BM256" s="75">
        <f t="shared" si="867"/>
        <v>0</v>
      </c>
      <c r="BN256" s="75">
        <f t="shared" si="867"/>
        <v>0</v>
      </c>
      <c r="BO256" s="75">
        <f t="shared" si="867"/>
        <v>0</v>
      </c>
      <c r="BP256" s="75">
        <f t="shared" si="867"/>
        <v>0</v>
      </c>
      <c r="BQ256" s="75">
        <f t="shared" si="867"/>
        <v>0</v>
      </c>
      <c r="BR256" s="75">
        <f t="shared" si="867"/>
        <v>0</v>
      </c>
      <c r="BS256" s="75">
        <f t="shared" si="867"/>
        <v>0</v>
      </c>
      <c r="BT256" s="75">
        <f t="shared" si="867"/>
        <v>0</v>
      </c>
      <c r="BU256" s="75">
        <f t="shared" si="867"/>
        <v>0</v>
      </c>
      <c r="BV256" s="75" t="str">
        <f t="shared" si="867"/>
        <v/>
      </c>
      <c r="BW256" s="75" t="str">
        <f t="shared" si="867"/>
        <v/>
      </c>
      <c r="BX256" s="75" t="str">
        <f t="shared" ref="BX256:DC256" si="868">IF(BX$227="","",HH263)</f>
        <v/>
      </c>
      <c r="BY256" s="75" t="str">
        <f t="shared" si="868"/>
        <v/>
      </c>
      <c r="BZ256" s="75" t="str">
        <f t="shared" si="868"/>
        <v/>
      </c>
      <c r="CA256" s="75" t="str">
        <f t="shared" si="868"/>
        <v/>
      </c>
      <c r="CB256" s="75" t="str">
        <f t="shared" si="868"/>
        <v/>
      </c>
      <c r="CC256" s="75" t="str">
        <f t="shared" si="868"/>
        <v/>
      </c>
      <c r="CD256" s="75" t="str">
        <f t="shared" si="868"/>
        <v/>
      </c>
      <c r="CE256" s="75" t="str">
        <f t="shared" si="868"/>
        <v/>
      </c>
      <c r="CF256" s="75" t="str">
        <f t="shared" si="868"/>
        <v/>
      </c>
      <c r="CG256" s="75" t="str">
        <f t="shared" si="868"/>
        <v/>
      </c>
      <c r="CH256" s="75" t="str">
        <f t="shared" si="868"/>
        <v/>
      </c>
      <c r="CI256" s="75" t="str">
        <f t="shared" si="868"/>
        <v/>
      </c>
      <c r="CJ256" s="75" t="str">
        <f t="shared" si="868"/>
        <v/>
      </c>
      <c r="CK256" s="75" t="str">
        <f t="shared" si="868"/>
        <v/>
      </c>
      <c r="CL256" s="75" t="str">
        <f t="shared" si="868"/>
        <v/>
      </c>
      <c r="CM256" s="75" t="str">
        <f t="shared" si="868"/>
        <v/>
      </c>
      <c r="CN256" s="75" t="str">
        <f t="shared" si="868"/>
        <v/>
      </c>
      <c r="CO256" s="75" t="str">
        <f t="shared" si="868"/>
        <v/>
      </c>
      <c r="CP256" s="75" t="str">
        <f t="shared" si="868"/>
        <v/>
      </c>
      <c r="CQ256" s="75" t="str">
        <f t="shared" si="868"/>
        <v/>
      </c>
      <c r="CR256" s="75" t="str">
        <f t="shared" si="868"/>
        <v/>
      </c>
      <c r="CS256" s="75" t="str">
        <f t="shared" si="868"/>
        <v/>
      </c>
      <c r="CT256" s="75" t="str">
        <f t="shared" si="868"/>
        <v/>
      </c>
      <c r="CU256" s="75" t="str">
        <f t="shared" si="868"/>
        <v/>
      </c>
      <c r="CV256" s="75" t="str">
        <f t="shared" si="868"/>
        <v/>
      </c>
      <c r="CW256" s="75" t="str">
        <f t="shared" si="868"/>
        <v/>
      </c>
      <c r="CX256" s="75" t="str">
        <f t="shared" si="868"/>
        <v/>
      </c>
      <c r="CY256" s="75" t="str">
        <f t="shared" si="868"/>
        <v/>
      </c>
      <c r="CZ256" s="75" t="str">
        <f t="shared" si="868"/>
        <v/>
      </c>
      <c r="DA256" s="75" t="str">
        <f t="shared" si="868"/>
        <v/>
      </c>
      <c r="DB256" s="75" t="str">
        <f t="shared" si="868"/>
        <v/>
      </c>
      <c r="DC256" s="75" t="str">
        <f t="shared" si="868"/>
        <v/>
      </c>
      <c r="DD256" s="75" t="str">
        <f t="shared" ref="DD256:EI256" si="869">IF(DD$227="","",IN263)</f>
        <v/>
      </c>
      <c r="DE256" s="75" t="str">
        <f t="shared" si="869"/>
        <v/>
      </c>
      <c r="DF256" s="75" t="str">
        <f t="shared" si="869"/>
        <v/>
      </c>
      <c r="DG256" s="75" t="str">
        <f t="shared" si="869"/>
        <v/>
      </c>
      <c r="DH256" s="75" t="str">
        <f t="shared" si="869"/>
        <v/>
      </c>
      <c r="DI256" s="75" t="str">
        <f t="shared" si="869"/>
        <v/>
      </c>
      <c r="DJ256" s="75" t="str">
        <f t="shared" si="869"/>
        <v/>
      </c>
      <c r="DK256" s="75" t="str">
        <f t="shared" si="869"/>
        <v/>
      </c>
      <c r="DL256" s="75" t="str">
        <f t="shared" si="869"/>
        <v/>
      </c>
      <c r="DM256" s="75" t="str">
        <f t="shared" si="869"/>
        <v/>
      </c>
      <c r="DN256" s="75" t="str">
        <f t="shared" si="869"/>
        <v/>
      </c>
      <c r="DO256" s="75" t="str">
        <f t="shared" si="869"/>
        <v/>
      </c>
      <c r="DP256" s="75" t="str">
        <f t="shared" si="869"/>
        <v/>
      </c>
      <c r="DQ256" s="75" t="str">
        <f t="shared" si="869"/>
        <v/>
      </c>
      <c r="DR256" s="75" t="str">
        <f t="shared" si="869"/>
        <v/>
      </c>
      <c r="DS256" s="75" t="str">
        <f t="shared" si="869"/>
        <v/>
      </c>
      <c r="DT256" s="75" t="str">
        <f t="shared" si="869"/>
        <v/>
      </c>
      <c r="DU256" s="75" t="str">
        <f t="shared" si="869"/>
        <v/>
      </c>
      <c r="DV256" s="75" t="str">
        <f t="shared" si="869"/>
        <v/>
      </c>
      <c r="DW256" s="75" t="str">
        <f t="shared" si="869"/>
        <v/>
      </c>
      <c r="DX256" s="75" t="str">
        <f t="shared" si="869"/>
        <v/>
      </c>
      <c r="DY256" s="75" t="str">
        <f t="shared" si="869"/>
        <v/>
      </c>
      <c r="DZ256" s="75" t="str">
        <f t="shared" si="869"/>
        <v/>
      </c>
      <c r="EA256" s="75" t="str">
        <f t="shared" si="869"/>
        <v/>
      </c>
      <c r="EB256" s="75" t="str">
        <f t="shared" si="869"/>
        <v/>
      </c>
      <c r="EC256" s="75" t="str">
        <f t="shared" si="869"/>
        <v/>
      </c>
      <c r="ED256" s="75" t="str">
        <f t="shared" si="869"/>
        <v/>
      </c>
      <c r="EE256" s="75" t="str">
        <f t="shared" si="869"/>
        <v/>
      </c>
      <c r="EF256" s="75" t="str">
        <f t="shared" si="869"/>
        <v/>
      </c>
      <c r="EG256" s="75" t="str">
        <f t="shared" si="869"/>
        <v/>
      </c>
      <c r="EH256" s="75" t="str">
        <f t="shared" si="869"/>
        <v/>
      </c>
      <c r="EI256" s="75" t="str">
        <f t="shared" si="869"/>
        <v/>
      </c>
      <c r="EJ256" s="75" t="str">
        <f>IF(EJ$227="","",JT263)</f>
        <v/>
      </c>
      <c r="EK256" s="75" t="str">
        <f>IF(EK$227="","",JU263)</f>
        <v/>
      </c>
      <c r="EL256" s="75" t="str">
        <f>IF(EL$227="","",JV263)</f>
        <v/>
      </c>
      <c r="EM256" s="75" t="str">
        <f>IF(EM$227="","",JW263)</f>
        <v/>
      </c>
      <c r="EN256" s="75" t="str">
        <f>IF(EN$227="","",JX263)</f>
        <v/>
      </c>
      <c r="EO256"/>
      <c r="EP256" s="405" t="s">
        <v>426</v>
      </c>
      <c r="EQ256" s="18"/>
      <c r="ER256" s="18"/>
      <c r="ES256" s="18"/>
      <c r="ET256" s="18" t="s">
        <v>451</v>
      </c>
      <c r="EU256" s="18"/>
      <c r="EV256" s="418">
        <f t="shared" ref="EV256:GA256" si="870">(EV$197&lt;=Timing_Reversion_Month)*EU260</f>
        <v>0</v>
      </c>
      <c r="EW256" s="418">
        <f t="shared" si="870"/>
        <v>0</v>
      </c>
      <c r="EX256" s="418">
        <f t="shared" si="870"/>
        <v>0</v>
      </c>
      <c r="EY256" s="418">
        <f t="shared" si="870"/>
        <v>0</v>
      </c>
      <c r="EZ256" s="418">
        <f t="shared" si="870"/>
        <v>0</v>
      </c>
      <c r="FA256" s="418">
        <f t="shared" si="870"/>
        <v>0</v>
      </c>
      <c r="FB256" s="418">
        <f t="shared" si="870"/>
        <v>0</v>
      </c>
      <c r="FC256" s="418">
        <f t="shared" si="870"/>
        <v>0</v>
      </c>
      <c r="FD256" s="418">
        <f t="shared" si="870"/>
        <v>0</v>
      </c>
      <c r="FE256" s="418">
        <f t="shared" si="870"/>
        <v>0</v>
      </c>
      <c r="FF256" s="418">
        <f t="shared" si="870"/>
        <v>0</v>
      </c>
      <c r="FG256" s="418">
        <f t="shared" si="870"/>
        <v>0</v>
      </c>
      <c r="FH256" s="418">
        <f t="shared" si="870"/>
        <v>0</v>
      </c>
      <c r="FI256" s="418">
        <f t="shared" si="870"/>
        <v>0</v>
      </c>
      <c r="FJ256" s="418">
        <f t="shared" si="870"/>
        <v>0</v>
      </c>
      <c r="FK256" s="418">
        <f t="shared" si="870"/>
        <v>0</v>
      </c>
      <c r="FL256" s="418">
        <f t="shared" si="870"/>
        <v>0</v>
      </c>
      <c r="FM256" s="418">
        <f t="shared" si="870"/>
        <v>0</v>
      </c>
      <c r="FN256" s="418">
        <f t="shared" si="870"/>
        <v>0</v>
      </c>
      <c r="FO256" s="418">
        <f t="shared" si="870"/>
        <v>0</v>
      </c>
      <c r="FP256" s="418">
        <f t="shared" si="870"/>
        <v>0</v>
      </c>
      <c r="FQ256" s="418">
        <f t="shared" si="870"/>
        <v>0</v>
      </c>
      <c r="FR256" s="418">
        <f t="shared" si="870"/>
        <v>0</v>
      </c>
      <c r="FS256" s="418">
        <f t="shared" si="870"/>
        <v>0</v>
      </c>
      <c r="FT256" s="418">
        <f t="shared" si="870"/>
        <v>0</v>
      </c>
      <c r="FU256" s="418">
        <f t="shared" si="870"/>
        <v>0</v>
      </c>
      <c r="FV256" s="418">
        <f t="shared" si="870"/>
        <v>0</v>
      </c>
      <c r="FW256" s="418">
        <f t="shared" si="870"/>
        <v>0</v>
      </c>
      <c r="FX256" s="418">
        <f t="shared" si="870"/>
        <v>0</v>
      </c>
      <c r="FY256" s="418">
        <f t="shared" si="870"/>
        <v>0</v>
      </c>
      <c r="FZ256" s="418">
        <f t="shared" si="870"/>
        <v>0</v>
      </c>
      <c r="GA256" s="418">
        <f t="shared" si="870"/>
        <v>0</v>
      </c>
      <c r="GB256" s="418">
        <f t="shared" ref="GB256:HG256" si="871">(GB$197&lt;=Timing_Reversion_Month)*GA260</f>
        <v>0</v>
      </c>
      <c r="GC256" s="418">
        <f t="shared" si="871"/>
        <v>0</v>
      </c>
      <c r="GD256" s="418">
        <f t="shared" si="871"/>
        <v>0</v>
      </c>
      <c r="GE256" s="418">
        <f t="shared" si="871"/>
        <v>0</v>
      </c>
      <c r="GF256" s="418">
        <f t="shared" si="871"/>
        <v>0</v>
      </c>
      <c r="GG256" s="418">
        <f t="shared" si="871"/>
        <v>0</v>
      </c>
      <c r="GH256" s="418">
        <f t="shared" si="871"/>
        <v>0</v>
      </c>
      <c r="GI256" s="418">
        <f t="shared" si="871"/>
        <v>0</v>
      </c>
      <c r="GJ256" s="418">
        <f t="shared" si="871"/>
        <v>0</v>
      </c>
      <c r="GK256" s="418">
        <f t="shared" si="871"/>
        <v>0</v>
      </c>
      <c r="GL256" s="418">
        <f t="shared" si="871"/>
        <v>0</v>
      </c>
      <c r="GM256" s="418">
        <f t="shared" si="871"/>
        <v>0</v>
      </c>
      <c r="GN256" s="418">
        <f t="shared" si="871"/>
        <v>0</v>
      </c>
      <c r="GO256" s="418">
        <f t="shared" si="871"/>
        <v>0</v>
      </c>
      <c r="GP256" s="418">
        <f t="shared" si="871"/>
        <v>0</v>
      </c>
      <c r="GQ256" s="418">
        <f t="shared" si="871"/>
        <v>0</v>
      </c>
      <c r="GR256" s="418">
        <f t="shared" si="871"/>
        <v>0</v>
      </c>
      <c r="GS256" s="418">
        <f t="shared" si="871"/>
        <v>0</v>
      </c>
      <c r="GT256" s="418">
        <f t="shared" si="871"/>
        <v>0</v>
      </c>
      <c r="GU256" s="418">
        <f t="shared" si="871"/>
        <v>0</v>
      </c>
      <c r="GV256" s="418">
        <f t="shared" si="871"/>
        <v>0</v>
      </c>
      <c r="GW256" s="418">
        <f t="shared" si="871"/>
        <v>0</v>
      </c>
      <c r="GX256" s="418">
        <f t="shared" si="871"/>
        <v>0</v>
      </c>
      <c r="GY256" s="418">
        <f t="shared" si="871"/>
        <v>0</v>
      </c>
      <c r="GZ256" s="418">
        <f t="shared" si="871"/>
        <v>0</v>
      </c>
      <c r="HA256" s="418">
        <f t="shared" si="871"/>
        <v>0</v>
      </c>
      <c r="HB256" s="418">
        <f t="shared" si="871"/>
        <v>0</v>
      </c>
      <c r="HC256" s="418">
        <f t="shared" si="871"/>
        <v>0</v>
      </c>
      <c r="HD256" s="418">
        <f t="shared" si="871"/>
        <v>0</v>
      </c>
      <c r="HE256" s="418">
        <f t="shared" si="871"/>
        <v>0</v>
      </c>
      <c r="HF256" s="418">
        <f t="shared" si="871"/>
        <v>0</v>
      </c>
      <c r="HG256" s="418">
        <f t="shared" si="871"/>
        <v>0</v>
      </c>
      <c r="HH256" s="418">
        <f t="shared" ref="HH256:IM256" si="872">(HH$197&lt;=Timing_Reversion_Month)*HG260</f>
        <v>0</v>
      </c>
      <c r="HI256" s="418">
        <f t="shared" si="872"/>
        <v>0</v>
      </c>
      <c r="HJ256" s="418">
        <f t="shared" si="872"/>
        <v>0</v>
      </c>
      <c r="HK256" s="418">
        <f t="shared" si="872"/>
        <v>0</v>
      </c>
      <c r="HL256" s="418">
        <f t="shared" si="872"/>
        <v>0</v>
      </c>
      <c r="HM256" s="418">
        <f t="shared" si="872"/>
        <v>0</v>
      </c>
      <c r="HN256" s="418">
        <f t="shared" si="872"/>
        <v>0</v>
      </c>
      <c r="HO256" s="418">
        <f t="shared" si="872"/>
        <v>0</v>
      </c>
      <c r="HP256" s="418">
        <f t="shared" si="872"/>
        <v>0</v>
      </c>
      <c r="HQ256" s="418">
        <f t="shared" si="872"/>
        <v>0</v>
      </c>
      <c r="HR256" s="418">
        <f t="shared" si="872"/>
        <v>0</v>
      </c>
      <c r="HS256" s="418">
        <f t="shared" si="872"/>
        <v>0</v>
      </c>
      <c r="HT256" s="418">
        <f t="shared" si="872"/>
        <v>0</v>
      </c>
      <c r="HU256" s="418">
        <f t="shared" si="872"/>
        <v>0</v>
      </c>
      <c r="HV256" s="418">
        <f t="shared" si="872"/>
        <v>0</v>
      </c>
      <c r="HW256" s="418">
        <f t="shared" si="872"/>
        <v>0</v>
      </c>
      <c r="HX256" s="418">
        <f t="shared" si="872"/>
        <v>0</v>
      </c>
      <c r="HY256" s="418">
        <f t="shared" si="872"/>
        <v>0</v>
      </c>
      <c r="HZ256" s="418">
        <f t="shared" si="872"/>
        <v>0</v>
      </c>
      <c r="IA256" s="418">
        <f t="shared" si="872"/>
        <v>0</v>
      </c>
      <c r="IB256" s="418">
        <f t="shared" si="872"/>
        <v>0</v>
      </c>
      <c r="IC256" s="418">
        <f t="shared" si="872"/>
        <v>0</v>
      </c>
      <c r="ID256" s="418">
        <f t="shared" si="872"/>
        <v>0</v>
      </c>
      <c r="IE256" s="418">
        <f t="shared" si="872"/>
        <v>0</v>
      </c>
      <c r="IF256" s="418">
        <f t="shared" si="872"/>
        <v>0</v>
      </c>
      <c r="IG256" s="418">
        <f t="shared" si="872"/>
        <v>0</v>
      </c>
      <c r="IH256" s="418">
        <f t="shared" si="872"/>
        <v>0</v>
      </c>
      <c r="II256" s="418">
        <f t="shared" si="872"/>
        <v>0</v>
      </c>
      <c r="IJ256" s="418">
        <f t="shared" si="872"/>
        <v>0</v>
      </c>
      <c r="IK256" s="418">
        <f t="shared" si="872"/>
        <v>0</v>
      </c>
      <c r="IL256" s="418">
        <f t="shared" si="872"/>
        <v>0</v>
      </c>
      <c r="IM256" s="418">
        <f t="shared" si="872"/>
        <v>0</v>
      </c>
      <c r="IN256" s="418">
        <f t="shared" ref="IN256:JX256" si="873">(IN$197&lt;=Timing_Reversion_Month)*IM260</f>
        <v>0</v>
      </c>
      <c r="IO256" s="418">
        <f t="shared" si="873"/>
        <v>0</v>
      </c>
      <c r="IP256" s="418">
        <f t="shared" si="873"/>
        <v>0</v>
      </c>
      <c r="IQ256" s="418">
        <f t="shared" si="873"/>
        <v>0</v>
      </c>
      <c r="IR256" s="418">
        <f t="shared" si="873"/>
        <v>0</v>
      </c>
      <c r="IS256" s="418">
        <f t="shared" si="873"/>
        <v>0</v>
      </c>
      <c r="IT256" s="418">
        <f t="shared" si="873"/>
        <v>0</v>
      </c>
      <c r="IU256" s="418">
        <f t="shared" si="873"/>
        <v>0</v>
      </c>
      <c r="IV256" s="418">
        <f t="shared" si="873"/>
        <v>0</v>
      </c>
      <c r="IW256" s="418">
        <f t="shared" si="873"/>
        <v>0</v>
      </c>
      <c r="IX256" s="418">
        <f t="shared" si="873"/>
        <v>0</v>
      </c>
      <c r="IY256" s="418">
        <f t="shared" si="873"/>
        <v>0</v>
      </c>
      <c r="IZ256" s="418">
        <f t="shared" si="873"/>
        <v>0</v>
      </c>
      <c r="JA256" s="418">
        <f t="shared" si="873"/>
        <v>0</v>
      </c>
      <c r="JB256" s="418">
        <f t="shared" si="873"/>
        <v>0</v>
      </c>
      <c r="JC256" s="418">
        <f t="shared" si="873"/>
        <v>0</v>
      </c>
      <c r="JD256" s="418">
        <f t="shared" si="873"/>
        <v>0</v>
      </c>
      <c r="JE256" s="418">
        <f t="shared" si="873"/>
        <v>0</v>
      </c>
      <c r="JF256" s="418">
        <f t="shared" si="873"/>
        <v>0</v>
      </c>
      <c r="JG256" s="418">
        <f t="shared" si="873"/>
        <v>0</v>
      </c>
      <c r="JH256" s="418">
        <f t="shared" si="873"/>
        <v>0</v>
      </c>
      <c r="JI256" s="418">
        <f t="shared" si="873"/>
        <v>0</v>
      </c>
      <c r="JJ256" s="418">
        <f t="shared" si="873"/>
        <v>0</v>
      </c>
      <c r="JK256" s="418">
        <f t="shared" si="873"/>
        <v>0</v>
      </c>
      <c r="JL256" s="418">
        <f t="shared" si="873"/>
        <v>0</v>
      </c>
      <c r="JM256" s="418">
        <f t="shared" si="873"/>
        <v>0</v>
      </c>
      <c r="JN256" s="418">
        <f t="shared" si="873"/>
        <v>0</v>
      </c>
      <c r="JO256" s="418">
        <f t="shared" si="873"/>
        <v>0</v>
      </c>
      <c r="JP256" s="418">
        <f t="shared" si="873"/>
        <v>0</v>
      </c>
      <c r="JQ256" s="418">
        <f t="shared" si="873"/>
        <v>0</v>
      </c>
      <c r="JR256" s="418">
        <f t="shared" si="873"/>
        <v>0</v>
      </c>
      <c r="JS256" s="418">
        <f t="shared" si="873"/>
        <v>0</v>
      </c>
      <c r="JT256" s="418">
        <f t="shared" si="873"/>
        <v>0</v>
      </c>
      <c r="JU256" s="418">
        <f t="shared" si="873"/>
        <v>0</v>
      </c>
      <c r="JV256" s="418">
        <f t="shared" si="873"/>
        <v>0</v>
      </c>
      <c r="JW256" s="418">
        <f t="shared" si="873"/>
        <v>0</v>
      </c>
      <c r="JX256" s="418">
        <f t="shared" si="873"/>
        <v>0</v>
      </c>
      <c r="JY256"/>
      <c r="JZ256" s="262"/>
      <c r="KA256" s="262"/>
      <c r="KB256" s="262"/>
      <c r="KC256" s="262"/>
      <c r="KD256" s="262"/>
      <c r="KE256" s="262"/>
      <c r="KF256" s="262"/>
      <c r="KG256" s="262"/>
      <c r="KH256" s="262"/>
      <c r="KI256" s="262"/>
      <c r="KJ256" s="262"/>
      <c r="KK256" s="262"/>
      <c r="KL256" s="262"/>
      <c r="KM256" s="262"/>
      <c r="KN256" s="262"/>
      <c r="KO256" s="262"/>
      <c r="KP256" s="262"/>
      <c r="KQ256" s="262"/>
      <c r="KR256" s="262"/>
      <c r="KS256" s="262"/>
      <c r="KT256" s="262"/>
      <c r="KU256" s="262"/>
      <c r="KV256" s="262"/>
      <c r="KW256" s="262"/>
      <c r="KX256" s="262"/>
      <c r="KY256" s="262"/>
      <c r="KZ256" s="262"/>
      <c r="LA256" s="262"/>
      <c r="LB256" s="262"/>
      <c r="LC256" s="262"/>
      <c r="LD256" s="262"/>
      <c r="LE256" s="262"/>
      <c r="LF256" s="262"/>
      <c r="LG256" s="262"/>
      <c r="LH256" s="262"/>
      <c r="LI256" s="262"/>
      <c r="LJ256" s="262"/>
      <c r="LK256" s="262"/>
      <c r="LL256" s="262"/>
      <c r="LM256" s="262"/>
      <c r="LN256" s="262"/>
      <c r="LO256" s="262"/>
      <c r="LP256" s="262"/>
      <c r="LQ256" s="262"/>
      <c r="LR256" s="262"/>
      <c r="LS256" s="262"/>
      <c r="LT256" s="262"/>
      <c r="LU256" s="262"/>
      <c r="LV256" s="262"/>
      <c r="LW256" s="262"/>
      <c r="LX256" s="262"/>
      <c r="LY256" s="262"/>
      <c r="LZ256" s="262"/>
      <c r="MA256" s="262"/>
      <c r="MB256" s="262"/>
      <c r="MC256" s="262"/>
      <c r="MD256" s="262"/>
      <c r="ME256" s="262"/>
      <c r="MF256" s="262"/>
      <c r="MG256" s="262"/>
      <c r="MH256" s="262"/>
      <c r="MI256" s="262"/>
      <c r="MJ256" s="262"/>
      <c r="MK256" s="262"/>
      <c r="ML256" s="262"/>
      <c r="MM256" s="262"/>
      <c r="MN256" s="262"/>
      <c r="MO256" s="262"/>
      <c r="MP256" s="262"/>
      <c r="MQ256" s="262"/>
      <c r="MR256" s="262"/>
      <c r="MS256" s="262"/>
      <c r="MT256" s="262"/>
      <c r="MU256" s="262"/>
      <c r="MV256" s="262"/>
      <c r="MW256" s="262"/>
      <c r="MX256" s="262"/>
      <c r="MY256" s="262"/>
      <c r="MZ256" s="262"/>
      <c r="NA256" s="262"/>
      <c r="NB256" s="262"/>
      <c r="NC256" s="262"/>
      <c r="ND256" s="262"/>
      <c r="NE256" s="262"/>
      <c r="NF256" s="262"/>
      <c r="NG256" s="262"/>
      <c r="NH256" s="262"/>
      <c r="NI256" s="262"/>
      <c r="NJ256" s="262"/>
      <c r="NK256" s="262"/>
      <c r="NL256" s="262"/>
      <c r="NM256" s="262"/>
      <c r="NN256" s="262"/>
      <c r="NO256" s="262"/>
      <c r="NP256" s="262"/>
      <c r="NQ256" s="262"/>
      <c r="NR256" s="262"/>
      <c r="NS256" s="262"/>
      <c r="NT256" s="262"/>
      <c r="NU256" s="262"/>
      <c r="NV256" s="262"/>
      <c r="NW256" s="262"/>
      <c r="NX256" s="262"/>
      <c r="NY256" s="262"/>
      <c r="NZ256" s="262"/>
      <c r="OA256" s="262"/>
      <c r="OB256" s="262"/>
      <c r="OC256" s="262"/>
      <c r="OD256" s="262"/>
      <c r="OE256" s="262"/>
      <c r="OF256" s="262"/>
      <c r="OG256" s="262"/>
      <c r="OH256" s="262"/>
      <c r="OI256" s="262"/>
      <c r="OJ256" s="262"/>
      <c r="OK256" s="262"/>
      <c r="OL256" s="262"/>
      <c r="OM256" s="262"/>
      <c r="ON256" s="262"/>
      <c r="OO256" s="262"/>
      <c r="OP256" s="262"/>
      <c r="OQ256" s="262"/>
      <c r="OR256" s="262"/>
      <c r="OS256" s="262"/>
      <c r="OT256" s="262"/>
      <c r="OU256" s="262"/>
      <c r="OV256" s="262"/>
      <c r="OW256" s="262"/>
      <c r="OX256" s="262"/>
      <c r="OY256" s="262"/>
      <c r="OZ256" s="262"/>
      <c r="PA256" s="262"/>
      <c r="PB256" s="262"/>
      <c r="PC256" s="262"/>
      <c r="PD256" s="262"/>
      <c r="PE256" s="262"/>
      <c r="PF256" s="262"/>
      <c r="PG256" s="262"/>
      <c r="PH256" s="262"/>
    </row>
    <row r="257" spans="1:424" x14ac:dyDescent="0.35">
      <c r="A257"/>
      <c r="B257" s="34" t="s">
        <v>446</v>
      </c>
      <c r="C257" s="397"/>
      <c r="D257" s="400"/>
      <c r="E257" s="400" t="s">
        <v>447</v>
      </c>
      <c r="F257" s="87">
        <f>F256</f>
        <v>0.15</v>
      </c>
      <c r="G257" s="53">
        <v>0.4</v>
      </c>
      <c r="H257" s="52">
        <f>G257+(1-G257)*$H$249</f>
        <v>0.43000000000000005</v>
      </c>
      <c r="I257" s="57">
        <f>1-H257</f>
        <v>0.56999999999999995</v>
      </c>
      <c r="J257"/>
      <c r="K257"/>
      <c r="L257" s="417">
        <f t="shared" ref="L257:AQ257" si="874">IF(L$227="","",EV267)</f>
        <v>0</v>
      </c>
      <c r="M257" s="417">
        <f t="shared" si="874"/>
        <v>0</v>
      </c>
      <c r="N257" s="417">
        <f t="shared" si="874"/>
        <v>0</v>
      </c>
      <c r="O257" s="417">
        <f t="shared" si="874"/>
        <v>0</v>
      </c>
      <c r="P257" s="417">
        <f t="shared" si="874"/>
        <v>0</v>
      </c>
      <c r="Q257" s="417">
        <f t="shared" si="874"/>
        <v>0</v>
      </c>
      <c r="R257" s="417">
        <f t="shared" si="874"/>
        <v>0</v>
      </c>
      <c r="S257" s="417">
        <f t="shared" si="874"/>
        <v>0</v>
      </c>
      <c r="T257" s="417">
        <f t="shared" si="874"/>
        <v>0</v>
      </c>
      <c r="U257" s="417">
        <f t="shared" si="874"/>
        <v>0</v>
      </c>
      <c r="V257" s="417">
        <f t="shared" si="874"/>
        <v>0</v>
      </c>
      <c r="W257" s="417">
        <f t="shared" si="874"/>
        <v>0</v>
      </c>
      <c r="X257" s="417">
        <f t="shared" si="874"/>
        <v>0</v>
      </c>
      <c r="Y257" s="417">
        <f t="shared" si="874"/>
        <v>0</v>
      </c>
      <c r="Z257" s="417">
        <f t="shared" si="874"/>
        <v>0</v>
      </c>
      <c r="AA257" s="417">
        <f t="shared" si="874"/>
        <v>0</v>
      </c>
      <c r="AB257" s="417">
        <f t="shared" si="874"/>
        <v>0</v>
      </c>
      <c r="AC257" s="417">
        <f t="shared" si="874"/>
        <v>0</v>
      </c>
      <c r="AD257" s="417">
        <f t="shared" si="874"/>
        <v>0</v>
      </c>
      <c r="AE257" s="417">
        <f t="shared" si="874"/>
        <v>0</v>
      </c>
      <c r="AF257" s="417">
        <f t="shared" si="874"/>
        <v>0</v>
      </c>
      <c r="AG257" s="417">
        <f t="shared" si="874"/>
        <v>0</v>
      </c>
      <c r="AH257" s="417">
        <f t="shared" si="874"/>
        <v>0</v>
      </c>
      <c r="AI257" s="417">
        <f t="shared" si="874"/>
        <v>0</v>
      </c>
      <c r="AJ257" s="417">
        <f t="shared" si="874"/>
        <v>0</v>
      </c>
      <c r="AK257" s="417">
        <f t="shared" si="874"/>
        <v>0</v>
      </c>
      <c r="AL257" s="417">
        <f t="shared" si="874"/>
        <v>0</v>
      </c>
      <c r="AM257" s="417">
        <f t="shared" si="874"/>
        <v>0</v>
      </c>
      <c r="AN257" s="417">
        <f t="shared" si="874"/>
        <v>0</v>
      </c>
      <c r="AO257" s="417">
        <f t="shared" si="874"/>
        <v>0</v>
      </c>
      <c r="AP257" s="417">
        <f t="shared" si="874"/>
        <v>0</v>
      </c>
      <c r="AQ257" s="417">
        <f t="shared" si="874"/>
        <v>0</v>
      </c>
      <c r="AR257" s="417">
        <f t="shared" ref="AR257:BW257" si="875">IF(AR$227="","",GB267)</f>
        <v>0</v>
      </c>
      <c r="AS257" s="417">
        <f t="shared" si="875"/>
        <v>0</v>
      </c>
      <c r="AT257" s="417">
        <f t="shared" si="875"/>
        <v>0</v>
      </c>
      <c r="AU257" s="417">
        <f t="shared" si="875"/>
        <v>0</v>
      </c>
      <c r="AV257" s="417">
        <f t="shared" si="875"/>
        <v>0</v>
      </c>
      <c r="AW257" s="417">
        <f t="shared" si="875"/>
        <v>0</v>
      </c>
      <c r="AX257" s="417">
        <f t="shared" si="875"/>
        <v>0</v>
      </c>
      <c r="AY257" s="417">
        <f t="shared" si="875"/>
        <v>0</v>
      </c>
      <c r="AZ257" s="417">
        <f t="shared" si="875"/>
        <v>0</v>
      </c>
      <c r="BA257" s="417">
        <f t="shared" si="875"/>
        <v>0</v>
      </c>
      <c r="BB257" s="417">
        <f t="shared" si="875"/>
        <v>0</v>
      </c>
      <c r="BC257" s="417">
        <f t="shared" si="875"/>
        <v>0</v>
      </c>
      <c r="BD257" s="75">
        <f t="shared" si="875"/>
        <v>0</v>
      </c>
      <c r="BE257" s="75">
        <f t="shared" si="875"/>
        <v>0</v>
      </c>
      <c r="BF257" s="75">
        <f t="shared" si="875"/>
        <v>0</v>
      </c>
      <c r="BG257" s="75">
        <f t="shared" si="875"/>
        <v>0</v>
      </c>
      <c r="BH257" s="75">
        <f t="shared" si="875"/>
        <v>0</v>
      </c>
      <c r="BI257" s="75">
        <f t="shared" si="875"/>
        <v>0</v>
      </c>
      <c r="BJ257" s="75">
        <f t="shared" si="875"/>
        <v>0</v>
      </c>
      <c r="BK257" s="75">
        <f t="shared" si="875"/>
        <v>0</v>
      </c>
      <c r="BL257" s="75">
        <f t="shared" si="875"/>
        <v>0</v>
      </c>
      <c r="BM257" s="75">
        <f t="shared" si="875"/>
        <v>0</v>
      </c>
      <c r="BN257" s="75">
        <f t="shared" si="875"/>
        <v>0</v>
      </c>
      <c r="BO257" s="75">
        <f t="shared" si="875"/>
        <v>0</v>
      </c>
      <c r="BP257" s="75">
        <f t="shared" si="875"/>
        <v>0</v>
      </c>
      <c r="BQ257" s="75">
        <f t="shared" si="875"/>
        <v>0</v>
      </c>
      <c r="BR257" s="75">
        <f t="shared" si="875"/>
        <v>0</v>
      </c>
      <c r="BS257" s="75">
        <f t="shared" si="875"/>
        <v>0</v>
      </c>
      <c r="BT257" s="75">
        <f t="shared" si="875"/>
        <v>0</v>
      </c>
      <c r="BU257" s="75">
        <f t="shared" si="875"/>
        <v>0</v>
      </c>
      <c r="BV257" s="75" t="str">
        <f t="shared" si="875"/>
        <v/>
      </c>
      <c r="BW257" s="75" t="str">
        <f t="shared" si="875"/>
        <v/>
      </c>
      <c r="BX257" s="75" t="str">
        <f t="shared" ref="BX257:DC257" si="876">IF(BX$227="","",HH267)</f>
        <v/>
      </c>
      <c r="BY257" s="75" t="str">
        <f t="shared" si="876"/>
        <v/>
      </c>
      <c r="BZ257" s="75" t="str">
        <f t="shared" si="876"/>
        <v/>
      </c>
      <c r="CA257" s="75" t="str">
        <f t="shared" si="876"/>
        <v/>
      </c>
      <c r="CB257" s="75" t="str">
        <f t="shared" si="876"/>
        <v/>
      </c>
      <c r="CC257" s="75" t="str">
        <f t="shared" si="876"/>
        <v/>
      </c>
      <c r="CD257" s="75" t="str">
        <f t="shared" si="876"/>
        <v/>
      </c>
      <c r="CE257" s="75" t="str">
        <f t="shared" si="876"/>
        <v/>
      </c>
      <c r="CF257" s="75" t="str">
        <f t="shared" si="876"/>
        <v/>
      </c>
      <c r="CG257" s="75" t="str">
        <f t="shared" si="876"/>
        <v/>
      </c>
      <c r="CH257" s="75" t="str">
        <f t="shared" si="876"/>
        <v/>
      </c>
      <c r="CI257" s="75" t="str">
        <f t="shared" si="876"/>
        <v/>
      </c>
      <c r="CJ257" s="75" t="str">
        <f t="shared" si="876"/>
        <v/>
      </c>
      <c r="CK257" s="75" t="str">
        <f t="shared" si="876"/>
        <v/>
      </c>
      <c r="CL257" s="75" t="str">
        <f t="shared" si="876"/>
        <v/>
      </c>
      <c r="CM257" s="75" t="str">
        <f t="shared" si="876"/>
        <v/>
      </c>
      <c r="CN257" s="75" t="str">
        <f t="shared" si="876"/>
        <v/>
      </c>
      <c r="CO257" s="75" t="str">
        <f t="shared" si="876"/>
        <v/>
      </c>
      <c r="CP257" s="75" t="str">
        <f t="shared" si="876"/>
        <v/>
      </c>
      <c r="CQ257" s="75" t="str">
        <f t="shared" si="876"/>
        <v/>
      </c>
      <c r="CR257" s="75" t="str">
        <f t="shared" si="876"/>
        <v/>
      </c>
      <c r="CS257" s="75" t="str">
        <f t="shared" si="876"/>
        <v/>
      </c>
      <c r="CT257" s="75" t="str">
        <f t="shared" si="876"/>
        <v/>
      </c>
      <c r="CU257" s="75" t="str">
        <f t="shared" si="876"/>
        <v/>
      </c>
      <c r="CV257" s="75" t="str">
        <f t="shared" si="876"/>
        <v/>
      </c>
      <c r="CW257" s="75" t="str">
        <f t="shared" si="876"/>
        <v/>
      </c>
      <c r="CX257" s="75" t="str">
        <f t="shared" si="876"/>
        <v/>
      </c>
      <c r="CY257" s="75" t="str">
        <f t="shared" si="876"/>
        <v/>
      </c>
      <c r="CZ257" s="75" t="str">
        <f t="shared" si="876"/>
        <v/>
      </c>
      <c r="DA257" s="75" t="str">
        <f t="shared" si="876"/>
        <v/>
      </c>
      <c r="DB257" s="75" t="str">
        <f t="shared" si="876"/>
        <v/>
      </c>
      <c r="DC257" s="75" t="str">
        <f t="shared" si="876"/>
        <v/>
      </c>
      <c r="DD257" s="75" t="str">
        <f t="shared" ref="DD257:EI257" si="877">IF(DD$227="","",IN267)</f>
        <v/>
      </c>
      <c r="DE257" s="75" t="str">
        <f t="shared" si="877"/>
        <v/>
      </c>
      <c r="DF257" s="75" t="str">
        <f t="shared" si="877"/>
        <v/>
      </c>
      <c r="DG257" s="75" t="str">
        <f t="shared" si="877"/>
        <v/>
      </c>
      <c r="DH257" s="75" t="str">
        <f t="shared" si="877"/>
        <v/>
      </c>
      <c r="DI257" s="75" t="str">
        <f t="shared" si="877"/>
        <v/>
      </c>
      <c r="DJ257" s="75" t="str">
        <f t="shared" si="877"/>
        <v/>
      </c>
      <c r="DK257" s="75" t="str">
        <f t="shared" si="877"/>
        <v/>
      </c>
      <c r="DL257" s="75" t="str">
        <f t="shared" si="877"/>
        <v/>
      </c>
      <c r="DM257" s="75" t="str">
        <f t="shared" si="877"/>
        <v/>
      </c>
      <c r="DN257" s="75" t="str">
        <f t="shared" si="877"/>
        <v/>
      </c>
      <c r="DO257" s="75" t="str">
        <f t="shared" si="877"/>
        <v/>
      </c>
      <c r="DP257" s="75" t="str">
        <f t="shared" si="877"/>
        <v/>
      </c>
      <c r="DQ257" s="75" t="str">
        <f t="shared" si="877"/>
        <v/>
      </c>
      <c r="DR257" s="75" t="str">
        <f t="shared" si="877"/>
        <v/>
      </c>
      <c r="DS257" s="75" t="str">
        <f t="shared" si="877"/>
        <v/>
      </c>
      <c r="DT257" s="75" t="str">
        <f t="shared" si="877"/>
        <v/>
      </c>
      <c r="DU257" s="75" t="str">
        <f t="shared" si="877"/>
        <v/>
      </c>
      <c r="DV257" s="75" t="str">
        <f t="shared" si="877"/>
        <v/>
      </c>
      <c r="DW257" s="75" t="str">
        <f t="shared" si="877"/>
        <v/>
      </c>
      <c r="DX257" s="75" t="str">
        <f t="shared" si="877"/>
        <v/>
      </c>
      <c r="DY257" s="75" t="str">
        <f t="shared" si="877"/>
        <v/>
      </c>
      <c r="DZ257" s="75" t="str">
        <f t="shared" si="877"/>
        <v/>
      </c>
      <c r="EA257" s="75" t="str">
        <f t="shared" si="877"/>
        <v/>
      </c>
      <c r="EB257" s="75" t="str">
        <f t="shared" si="877"/>
        <v/>
      </c>
      <c r="EC257" s="75" t="str">
        <f t="shared" si="877"/>
        <v/>
      </c>
      <c r="ED257" s="75" t="str">
        <f t="shared" si="877"/>
        <v/>
      </c>
      <c r="EE257" s="75" t="str">
        <f t="shared" si="877"/>
        <v/>
      </c>
      <c r="EF257" s="75" t="str">
        <f t="shared" si="877"/>
        <v/>
      </c>
      <c r="EG257" s="75" t="str">
        <f t="shared" si="877"/>
        <v/>
      </c>
      <c r="EH257" s="75" t="str">
        <f t="shared" si="877"/>
        <v/>
      </c>
      <c r="EI257" s="75" t="str">
        <f t="shared" si="877"/>
        <v/>
      </c>
      <c r="EJ257" s="75" t="str">
        <f>IF(EJ$227="","",JT267)</f>
        <v/>
      </c>
      <c r="EK257" s="75" t="str">
        <f>IF(EK$227="","",JU267)</f>
        <v/>
      </c>
      <c r="EL257" s="75" t="str">
        <f>IF(EL$227="","",JV267)</f>
        <v/>
      </c>
      <c r="EM257" s="75" t="str">
        <f>IF(EM$227="","",JW267)</f>
        <v/>
      </c>
      <c r="EN257" s="75" t="str">
        <f>IF(EN$227="","",JX267)</f>
        <v/>
      </c>
      <c r="EO257"/>
      <c r="EP257" s="405"/>
      <c r="EQ257" s="18"/>
      <c r="ER257" s="18"/>
      <c r="ES257" s="18"/>
      <c r="ET257" s="18" t="s">
        <v>452</v>
      </c>
      <c r="EU257" s="18"/>
      <c r="EV257" s="418">
        <f t="shared" ref="EV257:GA257" si="878">(EV$197&lt;=Timing_Reversion_Month)*(EV256*((1+$EP258)^(1/12)-1))</f>
        <v>0</v>
      </c>
      <c r="EW257" s="418">
        <f t="shared" si="878"/>
        <v>0</v>
      </c>
      <c r="EX257" s="418">
        <f t="shared" si="878"/>
        <v>0</v>
      </c>
      <c r="EY257" s="418">
        <f t="shared" si="878"/>
        <v>0</v>
      </c>
      <c r="EZ257" s="418">
        <f t="shared" si="878"/>
        <v>0</v>
      </c>
      <c r="FA257" s="418">
        <f t="shared" si="878"/>
        <v>0</v>
      </c>
      <c r="FB257" s="418">
        <f t="shared" si="878"/>
        <v>0</v>
      </c>
      <c r="FC257" s="418">
        <f t="shared" si="878"/>
        <v>0</v>
      </c>
      <c r="FD257" s="418">
        <f t="shared" si="878"/>
        <v>0</v>
      </c>
      <c r="FE257" s="418">
        <f t="shared" si="878"/>
        <v>0</v>
      </c>
      <c r="FF257" s="418">
        <f t="shared" si="878"/>
        <v>0</v>
      </c>
      <c r="FG257" s="418">
        <f t="shared" si="878"/>
        <v>0</v>
      </c>
      <c r="FH257" s="418">
        <f t="shared" si="878"/>
        <v>0</v>
      </c>
      <c r="FI257" s="418">
        <f t="shared" si="878"/>
        <v>0</v>
      </c>
      <c r="FJ257" s="418">
        <f t="shared" si="878"/>
        <v>0</v>
      </c>
      <c r="FK257" s="418">
        <f t="shared" si="878"/>
        <v>0</v>
      </c>
      <c r="FL257" s="418">
        <f t="shared" si="878"/>
        <v>0</v>
      </c>
      <c r="FM257" s="418">
        <f t="shared" si="878"/>
        <v>0</v>
      </c>
      <c r="FN257" s="418">
        <f t="shared" si="878"/>
        <v>0</v>
      </c>
      <c r="FO257" s="418">
        <f t="shared" si="878"/>
        <v>0</v>
      </c>
      <c r="FP257" s="418">
        <f t="shared" si="878"/>
        <v>0</v>
      </c>
      <c r="FQ257" s="418">
        <f t="shared" si="878"/>
        <v>0</v>
      </c>
      <c r="FR257" s="418">
        <f t="shared" si="878"/>
        <v>0</v>
      </c>
      <c r="FS257" s="418">
        <f t="shared" si="878"/>
        <v>0</v>
      </c>
      <c r="FT257" s="418">
        <f t="shared" si="878"/>
        <v>0</v>
      </c>
      <c r="FU257" s="418">
        <f t="shared" si="878"/>
        <v>0</v>
      </c>
      <c r="FV257" s="418">
        <f t="shared" si="878"/>
        <v>0</v>
      </c>
      <c r="FW257" s="418">
        <f t="shared" si="878"/>
        <v>0</v>
      </c>
      <c r="FX257" s="418">
        <f t="shared" si="878"/>
        <v>0</v>
      </c>
      <c r="FY257" s="418">
        <f t="shared" si="878"/>
        <v>0</v>
      </c>
      <c r="FZ257" s="418">
        <f t="shared" si="878"/>
        <v>0</v>
      </c>
      <c r="GA257" s="418">
        <f t="shared" si="878"/>
        <v>0</v>
      </c>
      <c r="GB257" s="418">
        <f t="shared" ref="GB257:HG257" si="879">(GB$197&lt;=Timing_Reversion_Month)*(GB256*((1+$EP258)^(1/12)-1))</f>
        <v>0</v>
      </c>
      <c r="GC257" s="418">
        <f t="shared" si="879"/>
        <v>0</v>
      </c>
      <c r="GD257" s="418">
        <f t="shared" si="879"/>
        <v>0</v>
      </c>
      <c r="GE257" s="418">
        <f t="shared" si="879"/>
        <v>0</v>
      </c>
      <c r="GF257" s="418">
        <f t="shared" si="879"/>
        <v>0</v>
      </c>
      <c r="GG257" s="418">
        <f t="shared" si="879"/>
        <v>0</v>
      </c>
      <c r="GH257" s="418">
        <f t="shared" si="879"/>
        <v>0</v>
      </c>
      <c r="GI257" s="418">
        <f t="shared" si="879"/>
        <v>0</v>
      </c>
      <c r="GJ257" s="418">
        <f t="shared" si="879"/>
        <v>0</v>
      </c>
      <c r="GK257" s="418">
        <f t="shared" si="879"/>
        <v>0</v>
      </c>
      <c r="GL257" s="418">
        <f t="shared" si="879"/>
        <v>0</v>
      </c>
      <c r="GM257" s="418">
        <f t="shared" si="879"/>
        <v>0</v>
      </c>
      <c r="GN257" s="418">
        <f t="shared" si="879"/>
        <v>0</v>
      </c>
      <c r="GO257" s="418">
        <f t="shared" si="879"/>
        <v>0</v>
      </c>
      <c r="GP257" s="418">
        <f t="shared" si="879"/>
        <v>0</v>
      </c>
      <c r="GQ257" s="418">
        <f t="shared" si="879"/>
        <v>0</v>
      </c>
      <c r="GR257" s="418">
        <f t="shared" si="879"/>
        <v>0</v>
      </c>
      <c r="GS257" s="418">
        <f t="shared" si="879"/>
        <v>0</v>
      </c>
      <c r="GT257" s="418">
        <f t="shared" si="879"/>
        <v>0</v>
      </c>
      <c r="GU257" s="418">
        <f t="shared" si="879"/>
        <v>0</v>
      </c>
      <c r="GV257" s="418">
        <f t="shared" si="879"/>
        <v>0</v>
      </c>
      <c r="GW257" s="418">
        <f t="shared" si="879"/>
        <v>0</v>
      </c>
      <c r="GX257" s="418">
        <f t="shared" si="879"/>
        <v>0</v>
      </c>
      <c r="GY257" s="418">
        <f t="shared" si="879"/>
        <v>0</v>
      </c>
      <c r="GZ257" s="418">
        <f t="shared" si="879"/>
        <v>0</v>
      </c>
      <c r="HA257" s="418">
        <f t="shared" si="879"/>
        <v>0</v>
      </c>
      <c r="HB257" s="418">
        <f t="shared" si="879"/>
        <v>0</v>
      </c>
      <c r="HC257" s="418">
        <f t="shared" si="879"/>
        <v>0</v>
      </c>
      <c r="HD257" s="418">
        <f t="shared" si="879"/>
        <v>0</v>
      </c>
      <c r="HE257" s="418">
        <f t="shared" si="879"/>
        <v>0</v>
      </c>
      <c r="HF257" s="418">
        <f t="shared" si="879"/>
        <v>0</v>
      </c>
      <c r="HG257" s="418">
        <f t="shared" si="879"/>
        <v>0</v>
      </c>
      <c r="HH257" s="418">
        <f t="shared" ref="HH257:IM257" si="880">(HH$197&lt;=Timing_Reversion_Month)*(HH256*((1+$EP258)^(1/12)-1))</f>
        <v>0</v>
      </c>
      <c r="HI257" s="418">
        <f t="shared" si="880"/>
        <v>0</v>
      </c>
      <c r="HJ257" s="418">
        <f t="shared" si="880"/>
        <v>0</v>
      </c>
      <c r="HK257" s="418">
        <f t="shared" si="880"/>
        <v>0</v>
      </c>
      <c r="HL257" s="418">
        <f t="shared" si="880"/>
        <v>0</v>
      </c>
      <c r="HM257" s="418">
        <f t="shared" si="880"/>
        <v>0</v>
      </c>
      <c r="HN257" s="418">
        <f t="shared" si="880"/>
        <v>0</v>
      </c>
      <c r="HO257" s="418">
        <f t="shared" si="880"/>
        <v>0</v>
      </c>
      <c r="HP257" s="418">
        <f t="shared" si="880"/>
        <v>0</v>
      </c>
      <c r="HQ257" s="418">
        <f t="shared" si="880"/>
        <v>0</v>
      </c>
      <c r="HR257" s="418">
        <f t="shared" si="880"/>
        <v>0</v>
      </c>
      <c r="HS257" s="418">
        <f t="shared" si="880"/>
        <v>0</v>
      </c>
      <c r="HT257" s="418">
        <f t="shared" si="880"/>
        <v>0</v>
      </c>
      <c r="HU257" s="418">
        <f t="shared" si="880"/>
        <v>0</v>
      </c>
      <c r="HV257" s="418">
        <f t="shared" si="880"/>
        <v>0</v>
      </c>
      <c r="HW257" s="418">
        <f t="shared" si="880"/>
        <v>0</v>
      </c>
      <c r="HX257" s="418">
        <f t="shared" si="880"/>
        <v>0</v>
      </c>
      <c r="HY257" s="418">
        <f t="shared" si="880"/>
        <v>0</v>
      </c>
      <c r="HZ257" s="418">
        <f t="shared" si="880"/>
        <v>0</v>
      </c>
      <c r="IA257" s="418">
        <f t="shared" si="880"/>
        <v>0</v>
      </c>
      <c r="IB257" s="418">
        <f t="shared" si="880"/>
        <v>0</v>
      </c>
      <c r="IC257" s="418">
        <f t="shared" si="880"/>
        <v>0</v>
      </c>
      <c r="ID257" s="418">
        <f t="shared" si="880"/>
        <v>0</v>
      </c>
      <c r="IE257" s="418">
        <f t="shared" si="880"/>
        <v>0</v>
      </c>
      <c r="IF257" s="418">
        <f t="shared" si="880"/>
        <v>0</v>
      </c>
      <c r="IG257" s="418">
        <f t="shared" si="880"/>
        <v>0</v>
      </c>
      <c r="IH257" s="418">
        <f t="shared" si="880"/>
        <v>0</v>
      </c>
      <c r="II257" s="418">
        <f t="shared" si="880"/>
        <v>0</v>
      </c>
      <c r="IJ257" s="418">
        <f t="shared" si="880"/>
        <v>0</v>
      </c>
      <c r="IK257" s="418">
        <f t="shared" si="880"/>
        <v>0</v>
      </c>
      <c r="IL257" s="418">
        <f t="shared" si="880"/>
        <v>0</v>
      </c>
      <c r="IM257" s="418">
        <f t="shared" si="880"/>
        <v>0</v>
      </c>
      <c r="IN257" s="418">
        <f t="shared" ref="IN257:JS257" si="881">(IN$197&lt;=Timing_Reversion_Month)*(IN256*((1+$EP258)^(1/12)-1))</f>
        <v>0</v>
      </c>
      <c r="IO257" s="418">
        <f t="shared" si="881"/>
        <v>0</v>
      </c>
      <c r="IP257" s="418">
        <f t="shared" si="881"/>
        <v>0</v>
      </c>
      <c r="IQ257" s="418">
        <f t="shared" si="881"/>
        <v>0</v>
      </c>
      <c r="IR257" s="418">
        <f t="shared" si="881"/>
        <v>0</v>
      </c>
      <c r="IS257" s="418">
        <f t="shared" si="881"/>
        <v>0</v>
      </c>
      <c r="IT257" s="418">
        <f t="shared" si="881"/>
        <v>0</v>
      </c>
      <c r="IU257" s="418">
        <f t="shared" si="881"/>
        <v>0</v>
      </c>
      <c r="IV257" s="418">
        <f t="shared" si="881"/>
        <v>0</v>
      </c>
      <c r="IW257" s="418">
        <f t="shared" si="881"/>
        <v>0</v>
      </c>
      <c r="IX257" s="418">
        <f t="shared" si="881"/>
        <v>0</v>
      </c>
      <c r="IY257" s="418">
        <f t="shared" si="881"/>
        <v>0</v>
      </c>
      <c r="IZ257" s="418">
        <f t="shared" si="881"/>
        <v>0</v>
      </c>
      <c r="JA257" s="418">
        <f t="shared" si="881"/>
        <v>0</v>
      </c>
      <c r="JB257" s="418">
        <f t="shared" si="881"/>
        <v>0</v>
      </c>
      <c r="JC257" s="418">
        <f t="shared" si="881"/>
        <v>0</v>
      </c>
      <c r="JD257" s="418">
        <f t="shared" si="881"/>
        <v>0</v>
      </c>
      <c r="JE257" s="418">
        <f t="shared" si="881"/>
        <v>0</v>
      </c>
      <c r="JF257" s="418">
        <f t="shared" si="881"/>
        <v>0</v>
      </c>
      <c r="JG257" s="418">
        <f t="shared" si="881"/>
        <v>0</v>
      </c>
      <c r="JH257" s="418">
        <f t="shared" si="881"/>
        <v>0</v>
      </c>
      <c r="JI257" s="418">
        <f t="shared" si="881"/>
        <v>0</v>
      </c>
      <c r="JJ257" s="418">
        <f t="shared" si="881"/>
        <v>0</v>
      </c>
      <c r="JK257" s="418">
        <f t="shared" si="881"/>
        <v>0</v>
      </c>
      <c r="JL257" s="418">
        <f t="shared" si="881"/>
        <v>0</v>
      </c>
      <c r="JM257" s="418">
        <f t="shared" si="881"/>
        <v>0</v>
      </c>
      <c r="JN257" s="418">
        <f t="shared" si="881"/>
        <v>0</v>
      </c>
      <c r="JO257" s="418">
        <f t="shared" si="881"/>
        <v>0</v>
      </c>
      <c r="JP257" s="418">
        <f t="shared" si="881"/>
        <v>0</v>
      </c>
      <c r="JQ257" s="418">
        <f t="shared" si="881"/>
        <v>0</v>
      </c>
      <c r="JR257" s="418">
        <f t="shared" si="881"/>
        <v>0</v>
      </c>
      <c r="JS257" s="418">
        <f t="shared" si="881"/>
        <v>0</v>
      </c>
      <c r="JT257" s="418">
        <f>(JT$197&lt;=Timing_Reversion_Month)*(JT256*((1+$EP258)^(1/12)-1))</f>
        <v>0</v>
      </c>
      <c r="JU257" s="418">
        <f>(JU$197&lt;=Timing_Reversion_Month)*(JU256*((1+$EP258)^(1/12)-1))</f>
        <v>0</v>
      </c>
      <c r="JV257" s="418">
        <f>(JV$197&lt;=Timing_Reversion_Month)*(JV256*((1+$EP258)^(1/12)-1))</f>
        <v>0</v>
      </c>
      <c r="JW257" s="418">
        <f>(JW$197&lt;=Timing_Reversion_Month)*(JW256*((1+$EP258)^(1/12)-1))</f>
        <v>0</v>
      </c>
      <c r="JX257" s="418">
        <f>(JX$197&lt;=Timing_Reversion_Month)*(JX256*((1+$EP258)^(1/12)-1))</f>
        <v>0</v>
      </c>
      <c r="JY257"/>
      <c r="JZ257" s="262"/>
      <c r="KA257" s="262"/>
      <c r="KB257" s="262"/>
      <c r="KC257" s="262"/>
      <c r="KD257" s="262"/>
      <c r="KE257" s="262"/>
      <c r="KF257" s="262"/>
      <c r="KG257" s="262"/>
      <c r="KH257" s="262"/>
      <c r="KI257" s="262"/>
      <c r="KJ257" s="262"/>
      <c r="KK257" s="262"/>
      <c r="KL257" s="262"/>
      <c r="KM257" s="262"/>
      <c r="KN257" s="262"/>
      <c r="KO257" s="262"/>
      <c r="KP257" s="262"/>
      <c r="KQ257" s="262"/>
      <c r="KR257" s="262"/>
      <c r="KS257" s="262"/>
      <c r="KT257" s="262"/>
      <c r="KU257" s="262"/>
      <c r="KV257" s="262"/>
      <c r="KW257" s="262"/>
      <c r="KX257" s="262"/>
      <c r="KY257" s="262"/>
      <c r="KZ257" s="262"/>
      <c r="LA257" s="262"/>
      <c r="LB257" s="262"/>
      <c r="LC257" s="262"/>
      <c r="LD257" s="262"/>
      <c r="LE257" s="262"/>
      <c r="LF257" s="262"/>
      <c r="LG257" s="262"/>
      <c r="LH257" s="262"/>
      <c r="LI257" s="262"/>
      <c r="LJ257" s="262"/>
      <c r="LK257" s="262"/>
      <c r="LL257" s="262"/>
      <c r="LM257" s="262"/>
      <c r="LN257" s="262"/>
      <c r="LO257" s="262"/>
      <c r="LP257" s="262"/>
      <c r="LQ257" s="262"/>
      <c r="LR257" s="262"/>
      <c r="LS257" s="262"/>
      <c r="LT257" s="262"/>
      <c r="LU257" s="262"/>
      <c r="LV257" s="262"/>
      <c r="LW257" s="262"/>
      <c r="LX257" s="262"/>
      <c r="LY257" s="262"/>
      <c r="LZ257" s="262"/>
      <c r="MA257" s="262"/>
      <c r="MB257" s="262"/>
      <c r="MC257" s="262"/>
      <c r="MD257" s="262"/>
      <c r="ME257" s="262"/>
      <c r="MF257" s="262"/>
      <c r="MG257" s="262"/>
      <c r="MH257" s="262"/>
      <c r="MI257" s="262"/>
      <c r="MJ257" s="262"/>
      <c r="MK257" s="262"/>
      <c r="ML257" s="262"/>
      <c r="MM257" s="262"/>
      <c r="MN257" s="262"/>
      <c r="MO257" s="262"/>
      <c r="MP257" s="262"/>
      <c r="MQ257" s="262"/>
      <c r="MR257" s="262"/>
      <c r="MS257" s="262"/>
      <c r="MT257" s="262"/>
      <c r="MU257" s="262"/>
      <c r="MV257" s="262"/>
      <c r="MW257" s="262"/>
      <c r="MX257" s="262"/>
      <c r="MY257" s="262"/>
      <c r="MZ257" s="262"/>
      <c r="NA257" s="262"/>
      <c r="NB257" s="262"/>
      <c r="NC257" s="262"/>
      <c r="ND257" s="262"/>
      <c r="NE257" s="262"/>
      <c r="NF257" s="262"/>
      <c r="NG257" s="262"/>
      <c r="NH257" s="262"/>
      <c r="NI257" s="262"/>
      <c r="NJ257" s="262"/>
      <c r="NK257" s="262"/>
      <c r="NL257" s="262"/>
      <c r="NM257" s="262"/>
      <c r="NN257" s="262"/>
      <c r="NO257" s="262"/>
      <c r="NP257" s="262"/>
      <c r="NQ257" s="262"/>
      <c r="NR257" s="262"/>
      <c r="NS257" s="262"/>
      <c r="NT257" s="262"/>
      <c r="NU257" s="262"/>
      <c r="NV257" s="262"/>
      <c r="NW257" s="262"/>
      <c r="NX257" s="262"/>
      <c r="NY257" s="262"/>
      <c r="NZ257" s="262"/>
      <c r="OA257" s="262"/>
      <c r="OB257" s="262"/>
      <c r="OC257" s="262"/>
      <c r="OD257" s="262"/>
      <c r="OE257" s="262"/>
      <c r="OF257" s="262"/>
      <c r="OG257" s="262"/>
      <c r="OH257" s="262"/>
      <c r="OI257" s="262"/>
      <c r="OJ257" s="262"/>
      <c r="OK257" s="262"/>
      <c r="OL257" s="262"/>
      <c r="OM257" s="262"/>
      <c r="ON257" s="262"/>
      <c r="OO257" s="262"/>
      <c r="OP257" s="262"/>
      <c r="OQ257" s="262"/>
      <c r="OR257" s="262"/>
      <c r="OS257" s="262"/>
      <c r="OT257" s="262"/>
      <c r="OU257" s="262"/>
      <c r="OV257" s="262"/>
      <c r="OW257" s="262"/>
      <c r="OX257" s="262"/>
      <c r="OY257" s="262"/>
      <c r="OZ257" s="262"/>
      <c r="PA257" s="262"/>
      <c r="PB257" s="262"/>
      <c r="PC257" s="262"/>
      <c r="PD257" s="262"/>
      <c r="PE257" s="262"/>
      <c r="PF257" s="262"/>
      <c r="PG257" s="262"/>
      <c r="PH257" s="262"/>
    </row>
    <row r="258" spans="1:424" x14ac:dyDescent="0.35">
      <c r="A258"/>
      <c r="B258" s="34"/>
      <c r="C258" s="397"/>
      <c r="D258" s="397"/>
      <c r="E258" s="397"/>
      <c r="F258" s="397"/>
      <c r="G258" s="397"/>
      <c r="H258" s="397"/>
      <c r="I258" s="397"/>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s="222">
        <f>F256</f>
        <v>0.15</v>
      </c>
      <c r="EQ258" s="18" t="s">
        <v>384</v>
      </c>
      <c r="ER258" s="18"/>
      <c r="ES258" s="18"/>
      <c r="ET258" s="18" t="s">
        <v>409</v>
      </c>
      <c r="EU258" s="18"/>
      <c r="EV258" s="418">
        <f t="shared" ref="EV258:GA258" si="882">EV241+EV250</f>
        <v>0</v>
      </c>
      <c r="EW258" s="418">
        <f t="shared" si="882"/>
        <v>0</v>
      </c>
      <c r="EX258" s="418">
        <f t="shared" si="882"/>
        <v>0</v>
      </c>
      <c r="EY258" s="418">
        <f t="shared" si="882"/>
        <v>0</v>
      </c>
      <c r="EZ258" s="418">
        <f t="shared" si="882"/>
        <v>0</v>
      </c>
      <c r="FA258" s="418">
        <f t="shared" si="882"/>
        <v>0</v>
      </c>
      <c r="FB258" s="418">
        <f t="shared" si="882"/>
        <v>0</v>
      </c>
      <c r="FC258" s="418">
        <f t="shared" si="882"/>
        <v>0</v>
      </c>
      <c r="FD258" s="418">
        <f t="shared" si="882"/>
        <v>0</v>
      </c>
      <c r="FE258" s="418">
        <f t="shared" si="882"/>
        <v>0</v>
      </c>
      <c r="FF258" s="418">
        <f t="shared" si="882"/>
        <v>0</v>
      </c>
      <c r="FG258" s="418">
        <f t="shared" si="882"/>
        <v>0</v>
      </c>
      <c r="FH258" s="418">
        <f t="shared" si="882"/>
        <v>0</v>
      </c>
      <c r="FI258" s="418">
        <f t="shared" si="882"/>
        <v>0</v>
      </c>
      <c r="FJ258" s="418">
        <f t="shared" si="882"/>
        <v>0</v>
      </c>
      <c r="FK258" s="418">
        <f t="shared" si="882"/>
        <v>0</v>
      </c>
      <c r="FL258" s="418">
        <f t="shared" si="882"/>
        <v>0</v>
      </c>
      <c r="FM258" s="418">
        <f t="shared" si="882"/>
        <v>0</v>
      </c>
      <c r="FN258" s="418">
        <f t="shared" si="882"/>
        <v>0</v>
      </c>
      <c r="FO258" s="418">
        <f t="shared" si="882"/>
        <v>0</v>
      </c>
      <c r="FP258" s="418">
        <f t="shared" si="882"/>
        <v>0</v>
      </c>
      <c r="FQ258" s="418">
        <f t="shared" si="882"/>
        <v>0</v>
      </c>
      <c r="FR258" s="418">
        <f t="shared" si="882"/>
        <v>0</v>
      </c>
      <c r="FS258" s="418">
        <f t="shared" si="882"/>
        <v>0</v>
      </c>
      <c r="FT258" s="418">
        <f t="shared" si="882"/>
        <v>0</v>
      </c>
      <c r="FU258" s="418">
        <f t="shared" si="882"/>
        <v>0</v>
      </c>
      <c r="FV258" s="418">
        <f t="shared" si="882"/>
        <v>0</v>
      </c>
      <c r="FW258" s="418">
        <f t="shared" si="882"/>
        <v>0</v>
      </c>
      <c r="FX258" s="418">
        <f t="shared" si="882"/>
        <v>0</v>
      </c>
      <c r="FY258" s="418">
        <f t="shared" si="882"/>
        <v>0</v>
      </c>
      <c r="FZ258" s="418">
        <f t="shared" si="882"/>
        <v>0</v>
      </c>
      <c r="GA258" s="418">
        <f t="shared" si="882"/>
        <v>0</v>
      </c>
      <c r="GB258" s="418">
        <f t="shared" ref="GB258:HG258" si="883">GB241+GB250</f>
        <v>0</v>
      </c>
      <c r="GC258" s="418">
        <f t="shared" si="883"/>
        <v>0</v>
      </c>
      <c r="GD258" s="418">
        <f t="shared" si="883"/>
        <v>0</v>
      </c>
      <c r="GE258" s="418">
        <f t="shared" si="883"/>
        <v>0</v>
      </c>
      <c r="GF258" s="418">
        <f t="shared" si="883"/>
        <v>0</v>
      </c>
      <c r="GG258" s="418">
        <f t="shared" si="883"/>
        <v>0</v>
      </c>
      <c r="GH258" s="418">
        <f t="shared" si="883"/>
        <v>0</v>
      </c>
      <c r="GI258" s="418">
        <f t="shared" si="883"/>
        <v>0</v>
      </c>
      <c r="GJ258" s="418">
        <f t="shared" si="883"/>
        <v>0</v>
      </c>
      <c r="GK258" s="418">
        <f t="shared" si="883"/>
        <v>0</v>
      </c>
      <c r="GL258" s="418">
        <f t="shared" si="883"/>
        <v>0</v>
      </c>
      <c r="GM258" s="418">
        <f t="shared" si="883"/>
        <v>0</v>
      </c>
      <c r="GN258" s="418">
        <f t="shared" si="883"/>
        <v>0</v>
      </c>
      <c r="GO258" s="418">
        <f t="shared" si="883"/>
        <v>0</v>
      </c>
      <c r="GP258" s="418">
        <f t="shared" si="883"/>
        <v>0</v>
      </c>
      <c r="GQ258" s="418">
        <f t="shared" si="883"/>
        <v>0</v>
      </c>
      <c r="GR258" s="418">
        <f t="shared" si="883"/>
        <v>0</v>
      </c>
      <c r="GS258" s="418">
        <f t="shared" si="883"/>
        <v>0</v>
      </c>
      <c r="GT258" s="418">
        <f t="shared" si="883"/>
        <v>0</v>
      </c>
      <c r="GU258" s="418">
        <f t="shared" si="883"/>
        <v>0</v>
      </c>
      <c r="GV258" s="418">
        <f t="shared" si="883"/>
        <v>0</v>
      </c>
      <c r="GW258" s="418">
        <f t="shared" si="883"/>
        <v>0</v>
      </c>
      <c r="GX258" s="418">
        <f t="shared" si="883"/>
        <v>0</v>
      </c>
      <c r="GY258" s="418">
        <f t="shared" si="883"/>
        <v>0</v>
      </c>
      <c r="GZ258" s="418">
        <f t="shared" si="883"/>
        <v>0</v>
      </c>
      <c r="HA258" s="418">
        <f t="shared" si="883"/>
        <v>0</v>
      </c>
      <c r="HB258" s="418">
        <f t="shared" si="883"/>
        <v>0</v>
      </c>
      <c r="HC258" s="418">
        <f t="shared" si="883"/>
        <v>0</v>
      </c>
      <c r="HD258" s="418">
        <f t="shared" si="883"/>
        <v>0</v>
      </c>
      <c r="HE258" s="418">
        <f t="shared" si="883"/>
        <v>0</v>
      </c>
      <c r="HF258" s="418">
        <f t="shared" si="883"/>
        <v>0</v>
      </c>
      <c r="HG258" s="418">
        <f t="shared" si="883"/>
        <v>0</v>
      </c>
      <c r="HH258" s="418">
        <f t="shared" ref="HH258:IM258" si="884">HH241+HH250</f>
        <v>0</v>
      </c>
      <c r="HI258" s="418">
        <f t="shared" si="884"/>
        <v>0</v>
      </c>
      <c r="HJ258" s="418">
        <f t="shared" si="884"/>
        <v>0</v>
      </c>
      <c r="HK258" s="418">
        <f t="shared" si="884"/>
        <v>0</v>
      </c>
      <c r="HL258" s="418">
        <f t="shared" si="884"/>
        <v>0</v>
      </c>
      <c r="HM258" s="418">
        <f t="shared" si="884"/>
        <v>0</v>
      </c>
      <c r="HN258" s="418">
        <f t="shared" si="884"/>
        <v>0</v>
      </c>
      <c r="HO258" s="418">
        <f t="shared" si="884"/>
        <v>0</v>
      </c>
      <c r="HP258" s="418">
        <f t="shared" si="884"/>
        <v>0</v>
      </c>
      <c r="HQ258" s="418">
        <f t="shared" si="884"/>
        <v>0</v>
      </c>
      <c r="HR258" s="418">
        <f t="shared" si="884"/>
        <v>0</v>
      </c>
      <c r="HS258" s="418">
        <f t="shared" si="884"/>
        <v>0</v>
      </c>
      <c r="HT258" s="418">
        <f t="shared" si="884"/>
        <v>0</v>
      </c>
      <c r="HU258" s="418">
        <f t="shared" si="884"/>
        <v>0</v>
      </c>
      <c r="HV258" s="418">
        <f t="shared" si="884"/>
        <v>0</v>
      </c>
      <c r="HW258" s="418">
        <f t="shared" si="884"/>
        <v>0</v>
      </c>
      <c r="HX258" s="418">
        <f t="shared" si="884"/>
        <v>0</v>
      </c>
      <c r="HY258" s="418">
        <f t="shared" si="884"/>
        <v>0</v>
      </c>
      <c r="HZ258" s="418">
        <f t="shared" si="884"/>
        <v>0</v>
      </c>
      <c r="IA258" s="418">
        <f t="shared" si="884"/>
        <v>0</v>
      </c>
      <c r="IB258" s="418">
        <f t="shared" si="884"/>
        <v>0</v>
      </c>
      <c r="IC258" s="418">
        <f t="shared" si="884"/>
        <v>0</v>
      </c>
      <c r="ID258" s="418">
        <f t="shared" si="884"/>
        <v>0</v>
      </c>
      <c r="IE258" s="418">
        <f t="shared" si="884"/>
        <v>0</v>
      </c>
      <c r="IF258" s="418">
        <f t="shared" si="884"/>
        <v>0</v>
      </c>
      <c r="IG258" s="418">
        <f t="shared" si="884"/>
        <v>0</v>
      </c>
      <c r="IH258" s="418">
        <f t="shared" si="884"/>
        <v>0</v>
      </c>
      <c r="II258" s="418">
        <f t="shared" si="884"/>
        <v>0</v>
      </c>
      <c r="IJ258" s="418">
        <f t="shared" si="884"/>
        <v>0</v>
      </c>
      <c r="IK258" s="418">
        <f t="shared" si="884"/>
        <v>0</v>
      </c>
      <c r="IL258" s="418">
        <f t="shared" si="884"/>
        <v>0</v>
      </c>
      <c r="IM258" s="418">
        <f t="shared" si="884"/>
        <v>0</v>
      </c>
      <c r="IN258" s="418">
        <f t="shared" ref="IN258:JX258" si="885">IN241+IN250</f>
        <v>0</v>
      </c>
      <c r="IO258" s="418">
        <f t="shared" si="885"/>
        <v>0</v>
      </c>
      <c r="IP258" s="418">
        <f t="shared" si="885"/>
        <v>0</v>
      </c>
      <c r="IQ258" s="418">
        <f t="shared" si="885"/>
        <v>0</v>
      </c>
      <c r="IR258" s="418">
        <f t="shared" si="885"/>
        <v>0</v>
      </c>
      <c r="IS258" s="418">
        <f t="shared" si="885"/>
        <v>0</v>
      </c>
      <c r="IT258" s="418">
        <f t="shared" si="885"/>
        <v>0</v>
      </c>
      <c r="IU258" s="418">
        <f t="shared" si="885"/>
        <v>0</v>
      </c>
      <c r="IV258" s="418">
        <f t="shared" si="885"/>
        <v>0</v>
      </c>
      <c r="IW258" s="418">
        <f t="shared" si="885"/>
        <v>0</v>
      </c>
      <c r="IX258" s="418">
        <f t="shared" si="885"/>
        <v>0</v>
      </c>
      <c r="IY258" s="418">
        <f t="shared" si="885"/>
        <v>0</v>
      </c>
      <c r="IZ258" s="418">
        <f t="shared" si="885"/>
        <v>0</v>
      </c>
      <c r="JA258" s="418">
        <f t="shared" si="885"/>
        <v>0</v>
      </c>
      <c r="JB258" s="418">
        <f t="shared" si="885"/>
        <v>0</v>
      </c>
      <c r="JC258" s="418">
        <f t="shared" si="885"/>
        <v>0</v>
      </c>
      <c r="JD258" s="418">
        <f t="shared" si="885"/>
        <v>0</v>
      </c>
      <c r="JE258" s="418">
        <f t="shared" si="885"/>
        <v>0</v>
      </c>
      <c r="JF258" s="418">
        <f t="shared" si="885"/>
        <v>0</v>
      </c>
      <c r="JG258" s="418">
        <f t="shared" si="885"/>
        <v>0</v>
      </c>
      <c r="JH258" s="418">
        <f t="shared" si="885"/>
        <v>0</v>
      </c>
      <c r="JI258" s="418">
        <f t="shared" si="885"/>
        <v>0</v>
      </c>
      <c r="JJ258" s="418">
        <f t="shared" si="885"/>
        <v>0</v>
      </c>
      <c r="JK258" s="418">
        <f t="shared" si="885"/>
        <v>0</v>
      </c>
      <c r="JL258" s="418">
        <f t="shared" si="885"/>
        <v>0</v>
      </c>
      <c r="JM258" s="418">
        <f t="shared" si="885"/>
        <v>0</v>
      </c>
      <c r="JN258" s="418">
        <f t="shared" si="885"/>
        <v>0</v>
      </c>
      <c r="JO258" s="418">
        <f t="shared" si="885"/>
        <v>0</v>
      </c>
      <c r="JP258" s="418">
        <f t="shared" si="885"/>
        <v>0</v>
      </c>
      <c r="JQ258" s="418">
        <f t="shared" si="885"/>
        <v>0</v>
      </c>
      <c r="JR258" s="418">
        <f t="shared" si="885"/>
        <v>0</v>
      </c>
      <c r="JS258" s="418">
        <f t="shared" si="885"/>
        <v>0</v>
      </c>
      <c r="JT258" s="418">
        <f t="shared" si="885"/>
        <v>0</v>
      </c>
      <c r="JU258" s="418">
        <f t="shared" si="885"/>
        <v>0</v>
      </c>
      <c r="JV258" s="418">
        <f t="shared" si="885"/>
        <v>0</v>
      </c>
      <c r="JW258" s="418">
        <f t="shared" si="885"/>
        <v>0</v>
      </c>
      <c r="JX258" s="418">
        <f t="shared" si="885"/>
        <v>0</v>
      </c>
      <c r="JY258"/>
      <c r="JZ258" s="262"/>
      <c r="KA258" s="262"/>
      <c r="KB258" s="262"/>
      <c r="KC258" s="262"/>
      <c r="KD258" s="262"/>
      <c r="KE258" s="262"/>
      <c r="KF258" s="262"/>
      <c r="KG258" s="262"/>
      <c r="KH258" s="262"/>
      <c r="KI258" s="262"/>
      <c r="KJ258" s="262"/>
      <c r="KK258" s="262"/>
      <c r="KL258" s="262"/>
      <c r="KM258" s="262"/>
      <c r="KN258" s="262"/>
      <c r="KO258" s="262"/>
      <c r="KP258" s="262"/>
      <c r="KQ258" s="262"/>
      <c r="KR258" s="262"/>
      <c r="KS258" s="262"/>
      <c r="KT258" s="262"/>
      <c r="KU258" s="262"/>
      <c r="KV258" s="262"/>
      <c r="KW258" s="262"/>
      <c r="KX258" s="262"/>
      <c r="KY258" s="262"/>
      <c r="KZ258" s="262"/>
      <c r="LA258" s="262"/>
      <c r="LB258" s="262"/>
      <c r="LC258" s="262"/>
      <c r="LD258" s="262"/>
      <c r="LE258" s="262"/>
      <c r="LF258" s="262"/>
      <c r="LG258" s="262"/>
      <c r="LH258" s="262"/>
      <c r="LI258" s="262"/>
      <c r="LJ258" s="262"/>
      <c r="LK258" s="262"/>
      <c r="LL258" s="262"/>
      <c r="LM258" s="262"/>
      <c r="LN258" s="262"/>
      <c r="LO258" s="262"/>
      <c r="LP258" s="262"/>
      <c r="LQ258" s="262"/>
      <c r="LR258" s="262"/>
      <c r="LS258" s="262"/>
      <c r="LT258" s="262"/>
      <c r="LU258" s="262"/>
      <c r="LV258" s="262"/>
      <c r="LW258" s="262"/>
      <c r="LX258" s="262"/>
      <c r="LY258" s="262"/>
      <c r="LZ258" s="262"/>
      <c r="MA258" s="262"/>
      <c r="MB258" s="262"/>
      <c r="MC258" s="262"/>
      <c r="MD258" s="262"/>
      <c r="ME258" s="262"/>
      <c r="MF258" s="262"/>
      <c r="MG258" s="262"/>
      <c r="MH258" s="262"/>
      <c r="MI258" s="262"/>
      <c r="MJ258" s="262"/>
      <c r="MK258" s="262"/>
      <c r="ML258" s="262"/>
      <c r="MM258" s="262"/>
      <c r="MN258" s="262"/>
      <c r="MO258" s="262"/>
      <c r="MP258" s="262"/>
      <c r="MQ258" s="262"/>
      <c r="MR258" s="262"/>
      <c r="MS258" s="262"/>
      <c r="MT258" s="262"/>
      <c r="MU258" s="262"/>
      <c r="MV258" s="262"/>
      <c r="MW258" s="262"/>
      <c r="MX258" s="262"/>
      <c r="MY258" s="262"/>
      <c r="MZ258" s="262"/>
      <c r="NA258" s="262"/>
      <c r="NB258" s="262"/>
      <c r="NC258" s="262"/>
      <c r="ND258" s="262"/>
      <c r="NE258" s="262"/>
      <c r="NF258" s="262"/>
      <c r="NG258" s="262"/>
      <c r="NH258" s="262"/>
      <c r="NI258" s="262"/>
      <c r="NJ258" s="262"/>
      <c r="NK258" s="262"/>
      <c r="NL258" s="262"/>
      <c r="NM258" s="262"/>
      <c r="NN258" s="262"/>
      <c r="NO258" s="262"/>
      <c r="NP258" s="262"/>
      <c r="NQ258" s="262"/>
      <c r="NR258" s="262"/>
      <c r="NS258" s="262"/>
      <c r="NT258" s="262"/>
      <c r="NU258" s="262"/>
      <c r="NV258" s="262"/>
      <c r="NW258" s="262"/>
      <c r="NX258" s="262"/>
      <c r="NY258" s="262"/>
      <c r="NZ258" s="262"/>
      <c r="OA258" s="262"/>
      <c r="OB258" s="262"/>
      <c r="OC258" s="262"/>
      <c r="OD258" s="262"/>
      <c r="OE258" s="262"/>
      <c r="OF258" s="262"/>
      <c r="OG258" s="262"/>
      <c r="OH258" s="262"/>
      <c r="OI258" s="262"/>
      <c r="OJ258" s="262"/>
      <c r="OK258" s="262"/>
      <c r="OL258" s="262"/>
      <c r="OM258" s="262"/>
      <c r="ON258" s="262"/>
      <c r="OO258" s="262"/>
      <c r="OP258" s="262"/>
      <c r="OQ258" s="262"/>
      <c r="OR258" s="262"/>
      <c r="OS258" s="262"/>
      <c r="OT258" s="262"/>
      <c r="OU258" s="262"/>
      <c r="OV258" s="262"/>
      <c r="OW258" s="262"/>
      <c r="OX258" s="262"/>
      <c r="OY258" s="262"/>
      <c r="OZ258" s="262"/>
      <c r="PA258" s="262"/>
      <c r="PB258" s="262"/>
      <c r="PC258" s="262"/>
      <c r="PD258" s="262"/>
      <c r="PE258" s="262"/>
      <c r="PF258" s="262"/>
      <c r="PG258" s="262"/>
      <c r="PH258" s="262"/>
    </row>
    <row r="259" spans="1:424" x14ac:dyDescent="0.35">
      <c r="A259"/>
      <c r="B259" s="411" t="s">
        <v>450</v>
      </c>
      <c r="C259" s="397"/>
      <c r="D259" s="397"/>
      <c r="E259" s="397"/>
      <c r="F259" s="397"/>
      <c r="G259" s="397"/>
      <c r="H259" s="412" t="s">
        <v>217</v>
      </c>
      <c r="I259" s="412" t="s">
        <v>85</v>
      </c>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s="405"/>
      <c r="EQ259" s="18"/>
      <c r="ER259" s="18"/>
      <c r="ES259" s="18"/>
      <c r="ET259" s="18" t="s">
        <v>468</v>
      </c>
      <c r="EU259" s="18"/>
      <c r="EV259" s="418">
        <f t="shared" ref="EV259:GA259" si="886">(EV$197&lt;=Timing_Reversion_Month)*(MIN(EV256+EV257-EV258,MAX(EV255,0)*$I$256))</f>
        <v>0</v>
      </c>
      <c r="EW259" s="418">
        <f t="shared" si="886"/>
        <v>0</v>
      </c>
      <c r="EX259" s="418">
        <f t="shared" si="886"/>
        <v>0</v>
      </c>
      <c r="EY259" s="418">
        <f t="shared" si="886"/>
        <v>0</v>
      </c>
      <c r="EZ259" s="418">
        <f t="shared" si="886"/>
        <v>0</v>
      </c>
      <c r="FA259" s="418">
        <f t="shared" si="886"/>
        <v>0</v>
      </c>
      <c r="FB259" s="418">
        <f t="shared" si="886"/>
        <v>0</v>
      </c>
      <c r="FC259" s="418">
        <f t="shared" si="886"/>
        <v>0</v>
      </c>
      <c r="FD259" s="418">
        <f t="shared" si="886"/>
        <v>0</v>
      </c>
      <c r="FE259" s="418">
        <f t="shared" si="886"/>
        <v>0</v>
      </c>
      <c r="FF259" s="418">
        <f t="shared" si="886"/>
        <v>0</v>
      </c>
      <c r="FG259" s="418">
        <f t="shared" si="886"/>
        <v>0</v>
      </c>
      <c r="FH259" s="418">
        <f t="shared" si="886"/>
        <v>0</v>
      </c>
      <c r="FI259" s="418">
        <f t="shared" si="886"/>
        <v>0</v>
      </c>
      <c r="FJ259" s="418">
        <f t="shared" si="886"/>
        <v>0</v>
      </c>
      <c r="FK259" s="418">
        <f t="shared" si="886"/>
        <v>0</v>
      </c>
      <c r="FL259" s="418">
        <f t="shared" si="886"/>
        <v>0</v>
      </c>
      <c r="FM259" s="418">
        <f t="shared" si="886"/>
        <v>0</v>
      </c>
      <c r="FN259" s="418">
        <f t="shared" si="886"/>
        <v>0</v>
      </c>
      <c r="FO259" s="418">
        <f t="shared" si="886"/>
        <v>0</v>
      </c>
      <c r="FP259" s="418">
        <f t="shared" si="886"/>
        <v>0</v>
      </c>
      <c r="FQ259" s="418">
        <f t="shared" si="886"/>
        <v>0</v>
      </c>
      <c r="FR259" s="418">
        <f t="shared" si="886"/>
        <v>0</v>
      </c>
      <c r="FS259" s="418">
        <f t="shared" si="886"/>
        <v>0</v>
      </c>
      <c r="FT259" s="418">
        <f t="shared" si="886"/>
        <v>0</v>
      </c>
      <c r="FU259" s="418">
        <f t="shared" si="886"/>
        <v>0</v>
      </c>
      <c r="FV259" s="418">
        <f t="shared" si="886"/>
        <v>0</v>
      </c>
      <c r="FW259" s="418">
        <f t="shared" si="886"/>
        <v>0</v>
      </c>
      <c r="FX259" s="418">
        <f t="shared" si="886"/>
        <v>0</v>
      </c>
      <c r="FY259" s="418">
        <f t="shared" si="886"/>
        <v>0</v>
      </c>
      <c r="FZ259" s="418">
        <f t="shared" si="886"/>
        <v>0</v>
      </c>
      <c r="GA259" s="418">
        <f t="shared" si="886"/>
        <v>0</v>
      </c>
      <c r="GB259" s="418">
        <f t="shared" ref="GB259:HG259" si="887">(GB$197&lt;=Timing_Reversion_Month)*(MIN(GB256+GB257-GB258,MAX(GB255,0)*$I$256))</f>
        <v>0</v>
      </c>
      <c r="GC259" s="418">
        <f t="shared" si="887"/>
        <v>0</v>
      </c>
      <c r="GD259" s="418">
        <f t="shared" si="887"/>
        <v>0</v>
      </c>
      <c r="GE259" s="418">
        <f t="shared" si="887"/>
        <v>0</v>
      </c>
      <c r="GF259" s="418">
        <f t="shared" si="887"/>
        <v>0</v>
      </c>
      <c r="GG259" s="418">
        <f t="shared" si="887"/>
        <v>0</v>
      </c>
      <c r="GH259" s="418">
        <f t="shared" si="887"/>
        <v>0</v>
      </c>
      <c r="GI259" s="418">
        <f t="shared" si="887"/>
        <v>0</v>
      </c>
      <c r="GJ259" s="418">
        <f t="shared" si="887"/>
        <v>0</v>
      </c>
      <c r="GK259" s="418">
        <f t="shared" si="887"/>
        <v>0</v>
      </c>
      <c r="GL259" s="418">
        <f t="shared" si="887"/>
        <v>0</v>
      </c>
      <c r="GM259" s="418">
        <f t="shared" si="887"/>
        <v>0</v>
      </c>
      <c r="GN259" s="418">
        <f t="shared" si="887"/>
        <v>0</v>
      </c>
      <c r="GO259" s="418">
        <f t="shared" si="887"/>
        <v>0</v>
      </c>
      <c r="GP259" s="418">
        <f t="shared" si="887"/>
        <v>0</v>
      </c>
      <c r="GQ259" s="418">
        <f t="shared" si="887"/>
        <v>0</v>
      </c>
      <c r="GR259" s="418">
        <f t="shared" si="887"/>
        <v>0</v>
      </c>
      <c r="GS259" s="418">
        <f t="shared" si="887"/>
        <v>0</v>
      </c>
      <c r="GT259" s="418">
        <f t="shared" si="887"/>
        <v>0</v>
      </c>
      <c r="GU259" s="418">
        <f t="shared" si="887"/>
        <v>0</v>
      </c>
      <c r="GV259" s="418">
        <f t="shared" si="887"/>
        <v>0</v>
      </c>
      <c r="GW259" s="418">
        <f t="shared" si="887"/>
        <v>0</v>
      </c>
      <c r="GX259" s="418">
        <f t="shared" si="887"/>
        <v>0</v>
      </c>
      <c r="GY259" s="418">
        <f t="shared" si="887"/>
        <v>0</v>
      </c>
      <c r="GZ259" s="418">
        <f t="shared" si="887"/>
        <v>0</v>
      </c>
      <c r="HA259" s="418">
        <f t="shared" si="887"/>
        <v>0</v>
      </c>
      <c r="HB259" s="418">
        <f t="shared" si="887"/>
        <v>0</v>
      </c>
      <c r="HC259" s="418">
        <f t="shared" si="887"/>
        <v>0</v>
      </c>
      <c r="HD259" s="418">
        <f t="shared" si="887"/>
        <v>0</v>
      </c>
      <c r="HE259" s="418">
        <f t="shared" si="887"/>
        <v>0</v>
      </c>
      <c r="HF259" s="418">
        <f t="shared" si="887"/>
        <v>0</v>
      </c>
      <c r="HG259" s="418">
        <f t="shared" si="887"/>
        <v>0</v>
      </c>
      <c r="HH259" s="418">
        <f t="shared" ref="HH259:IM259" si="888">(HH$197&lt;=Timing_Reversion_Month)*(MIN(HH256+HH257-HH258,MAX(HH255,0)*$I$256))</f>
        <v>0</v>
      </c>
      <c r="HI259" s="418">
        <f t="shared" si="888"/>
        <v>0</v>
      </c>
      <c r="HJ259" s="418">
        <f t="shared" si="888"/>
        <v>0</v>
      </c>
      <c r="HK259" s="418">
        <f t="shared" si="888"/>
        <v>0</v>
      </c>
      <c r="HL259" s="418">
        <f t="shared" si="888"/>
        <v>0</v>
      </c>
      <c r="HM259" s="418">
        <f t="shared" si="888"/>
        <v>0</v>
      </c>
      <c r="HN259" s="418">
        <f t="shared" si="888"/>
        <v>0</v>
      </c>
      <c r="HO259" s="418">
        <f t="shared" si="888"/>
        <v>0</v>
      </c>
      <c r="HP259" s="418">
        <f t="shared" si="888"/>
        <v>0</v>
      </c>
      <c r="HQ259" s="418">
        <f t="shared" si="888"/>
        <v>0</v>
      </c>
      <c r="HR259" s="418">
        <f t="shared" si="888"/>
        <v>0</v>
      </c>
      <c r="HS259" s="418">
        <f t="shared" si="888"/>
        <v>0</v>
      </c>
      <c r="HT259" s="418">
        <f t="shared" si="888"/>
        <v>0</v>
      </c>
      <c r="HU259" s="418">
        <f t="shared" si="888"/>
        <v>0</v>
      </c>
      <c r="HV259" s="418">
        <f t="shared" si="888"/>
        <v>0</v>
      </c>
      <c r="HW259" s="418">
        <f t="shared" si="888"/>
        <v>0</v>
      </c>
      <c r="HX259" s="418">
        <f t="shared" si="888"/>
        <v>0</v>
      </c>
      <c r="HY259" s="418">
        <f t="shared" si="888"/>
        <v>0</v>
      </c>
      <c r="HZ259" s="418">
        <f t="shared" si="888"/>
        <v>0</v>
      </c>
      <c r="IA259" s="418">
        <f t="shared" si="888"/>
        <v>0</v>
      </c>
      <c r="IB259" s="418">
        <f t="shared" si="888"/>
        <v>0</v>
      </c>
      <c r="IC259" s="418">
        <f t="shared" si="888"/>
        <v>0</v>
      </c>
      <c r="ID259" s="418">
        <f t="shared" si="888"/>
        <v>0</v>
      </c>
      <c r="IE259" s="418">
        <f t="shared" si="888"/>
        <v>0</v>
      </c>
      <c r="IF259" s="418">
        <f t="shared" si="888"/>
        <v>0</v>
      </c>
      <c r="IG259" s="418">
        <f t="shared" si="888"/>
        <v>0</v>
      </c>
      <c r="IH259" s="418">
        <f t="shared" si="888"/>
        <v>0</v>
      </c>
      <c r="II259" s="418">
        <f t="shared" si="888"/>
        <v>0</v>
      </c>
      <c r="IJ259" s="418">
        <f t="shared" si="888"/>
        <v>0</v>
      </c>
      <c r="IK259" s="418">
        <f t="shared" si="888"/>
        <v>0</v>
      </c>
      <c r="IL259" s="418">
        <f t="shared" si="888"/>
        <v>0</v>
      </c>
      <c r="IM259" s="418">
        <f t="shared" si="888"/>
        <v>0</v>
      </c>
      <c r="IN259" s="418">
        <f t="shared" ref="IN259:JS259" si="889">(IN$197&lt;=Timing_Reversion_Month)*(MIN(IN256+IN257-IN258,MAX(IN255,0)*$I$256))</f>
        <v>0</v>
      </c>
      <c r="IO259" s="418">
        <f t="shared" si="889"/>
        <v>0</v>
      </c>
      <c r="IP259" s="418">
        <f t="shared" si="889"/>
        <v>0</v>
      </c>
      <c r="IQ259" s="418">
        <f t="shared" si="889"/>
        <v>0</v>
      </c>
      <c r="IR259" s="418">
        <f t="shared" si="889"/>
        <v>0</v>
      </c>
      <c r="IS259" s="418">
        <f t="shared" si="889"/>
        <v>0</v>
      </c>
      <c r="IT259" s="418">
        <f t="shared" si="889"/>
        <v>0</v>
      </c>
      <c r="IU259" s="418">
        <f t="shared" si="889"/>
        <v>0</v>
      </c>
      <c r="IV259" s="418">
        <f t="shared" si="889"/>
        <v>0</v>
      </c>
      <c r="IW259" s="418">
        <f t="shared" si="889"/>
        <v>0</v>
      </c>
      <c r="IX259" s="418">
        <f t="shared" si="889"/>
        <v>0</v>
      </c>
      <c r="IY259" s="418">
        <f t="shared" si="889"/>
        <v>0</v>
      </c>
      <c r="IZ259" s="418">
        <f t="shared" si="889"/>
        <v>0</v>
      </c>
      <c r="JA259" s="418">
        <f t="shared" si="889"/>
        <v>0</v>
      </c>
      <c r="JB259" s="418">
        <f t="shared" si="889"/>
        <v>0</v>
      </c>
      <c r="JC259" s="418">
        <f t="shared" si="889"/>
        <v>0</v>
      </c>
      <c r="JD259" s="418">
        <f t="shared" si="889"/>
        <v>0</v>
      </c>
      <c r="JE259" s="418">
        <f t="shared" si="889"/>
        <v>0</v>
      </c>
      <c r="JF259" s="418">
        <f t="shared" si="889"/>
        <v>0</v>
      </c>
      <c r="JG259" s="418">
        <f t="shared" si="889"/>
        <v>0</v>
      </c>
      <c r="JH259" s="418">
        <f t="shared" si="889"/>
        <v>0</v>
      </c>
      <c r="JI259" s="418">
        <f t="shared" si="889"/>
        <v>0</v>
      </c>
      <c r="JJ259" s="418">
        <f t="shared" si="889"/>
        <v>0</v>
      </c>
      <c r="JK259" s="418">
        <f t="shared" si="889"/>
        <v>0</v>
      </c>
      <c r="JL259" s="418">
        <f t="shared" si="889"/>
        <v>0</v>
      </c>
      <c r="JM259" s="418">
        <f t="shared" si="889"/>
        <v>0</v>
      </c>
      <c r="JN259" s="418">
        <f t="shared" si="889"/>
        <v>0</v>
      </c>
      <c r="JO259" s="418">
        <f t="shared" si="889"/>
        <v>0</v>
      </c>
      <c r="JP259" s="418">
        <f t="shared" si="889"/>
        <v>0</v>
      </c>
      <c r="JQ259" s="418">
        <f t="shared" si="889"/>
        <v>0</v>
      </c>
      <c r="JR259" s="418">
        <f t="shared" si="889"/>
        <v>0</v>
      </c>
      <c r="JS259" s="418">
        <f t="shared" si="889"/>
        <v>0</v>
      </c>
      <c r="JT259" s="418">
        <f>(JT$197&lt;=Timing_Reversion_Month)*(MIN(JT256+JT257-JT258,MAX(JT255,0)*$I$256))</f>
        <v>0</v>
      </c>
      <c r="JU259" s="418">
        <f>(JU$197&lt;=Timing_Reversion_Month)*(MIN(JU256+JU257-JU258,MAX(JU255,0)*$I$256))</f>
        <v>0</v>
      </c>
      <c r="JV259" s="418">
        <f>(JV$197&lt;=Timing_Reversion_Month)*(MIN(JV256+JV257-JV258,MAX(JV255,0)*$I$256))</f>
        <v>0</v>
      </c>
      <c r="JW259" s="418">
        <f>(JW$197&lt;=Timing_Reversion_Month)*(MIN(JW256+JW257-JW258,MAX(JW255,0)*$I$256))</f>
        <v>0</v>
      </c>
      <c r="JX259" s="418">
        <f>(JX$197&lt;=Timing_Reversion_Month)*(MIN(JX256+JX257-JX258,MAX(JX255,0)*$I$256))</f>
        <v>0</v>
      </c>
      <c r="JY259"/>
      <c r="JZ259" s="262"/>
      <c r="KA259" s="262"/>
      <c r="KB259" s="262"/>
      <c r="KC259" s="262"/>
      <c r="KD259" s="262"/>
      <c r="KE259" s="262"/>
      <c r="KF259" s="262"/>
      <c r="KG259" s="262"/>
      <c r="KH259" s="262"/>
      <c r="KI259" s="262"/>
      <c r="KJ259" s="262"/>
      <c r="KK259" s="262"/>
      <c r="KL259" s="262"/>
      <c r="KM259" s="262"/>
      <c r="KN259" s="262"/>
      <c r="KO259" s="262"/>
      <c r="KP259" s="262"/>
      <c r="KQ259" s="262"/>
      <c r="KR259" s="262"/>
      <c r="KS259" s="262"/>
      <c r="KT259" s="262"/>
      <c r="KU259" s="262"/>
      <c r="KV259" s="262"/>
      <c r="KW259" s="262"/>
      <c r="KX259" s="262"/>
      <c r="KY259" s="262"/>
      <c r="KZ259" s="262"/>
      <c r="LA259" s="262"/>
      <c r="LB259" s="262"/>
      <c r="LC259" s="262"/>
      <c r="LD259" s="262"/>
      <c r="LE259" s="262"/>
      <c r="LF259" s="262"/>
      <c r="LG259" s="262"/>
      <c r="LH259" s="262"/>
      <c r="LI259" s="262"/>
      <c r="LJ259" s="262"/>
      <c r="LK259" s="262"/>
      <c r="LL259" s="262"/>
      <c r="LM259" s="262"/>
      <c r="LN259" s="262"/>
      <c r="LO259" s="262"/>
      <c r="LP259" s="262"/>
      <c r="LQ259" s="262"/>
      <c r="LR259" s="262"/>
      <c r="LS259" s="262"/>
      <c r="LT259" s="262"/>
      <c r="LU259" s="262"/>
      <c r="LV259" s="262"/>
      <c r="LW259" s="262"/>
      <c r="LX259" s="262"/>
      <c r="LY259" s="262"/>
      <c r="LZ259" s="262"/>
      <c r="MA259" s="262"/>
      <c r="MB259" s="262"/>
      <c r="MC259" s="262"/>
      <c r="MD259" s="262"/>
      <c r="ME259" s="262"/>
      <c r="MF259" s="262"/>
      <c r="MG259" s="262"/>
      <c r="MH259" s="262"/>
      <c r="MI259" s="262"/>
      <c r="MJ259" s="262"/>
      <c r="MK259" s="262"/>
      <c r="ML259" s="262"/>
      <c r="MM259" s="262"/>
      <c r="MN259" s="262"/>
      <c r="MO259" s="262"/>
      <c r="MP259" s="262"/>
      <c r="MQ259" s="262"/>
      <c r="MR259" s="262"/>
      <c r="MS259" s="262"/>
      <c r="MT259" s="262"/>
      <c r="MU259" s="262"/>
      <c r="MV259" s="262"/>
      <c r="MW259" s="262"/>
      <c r="MX259" s="262"/>
      <c r="MY259" s="262"/>
      <c r="MZ259" s="262"/>
      <c r="NA259" s="262"/>
      <c r="NB259" s="262"/>
      <c r="NC259" s="262"/>
      <c r="ND259" s="262"/>
      <c r="NE259" s="262"/>
      <c r="NF259" s="262"/>
      <c r="NG259" s="262"/>
      <c r="NH259" s="262"/>
      <c r="NI259" s="262"/>
      <c r="NJ259" s="262"/>
      <c r="NK259" s="262"/>
      <c r="NL259" s="262"/>
      <c r="NM259" s="262"/>
      <c r="NN259" s="262"/>
      <c r="NO259" s="262"/>
      <c r="NP259" s="262"/>
      <c r="NQ259" s="262"/>
      <c r="NR259" s="262"/>
      <c r="NS259" s="262"/>
      <c r="NT259" s="262"/>
      <c r="NU259" s="262"/>
      <c r="NV259" s="262"/>
      <c r="NW259" s="262"/>
      <c r="NX259" s="262"/>
      <c r="NY259" s="262"/>
      <c r="NZ259" s="262"/>
      <c r="OA259" s="262"/>
      <c r="OB259" s="262"/>
      <c r="OC259" s="262"/>
      <c r="OD259" s="262"/>
      <c r="OE259" s="262"/>
      <c r="OF259" s="262"/>
      <c r="OG259" s="262"/>
      <c r="OH259" s="262"/>
      <c r="OI259" s="262"/>
      <c r="OJ259" s="262"/>
      <c r="OK259" s="262"/>
      <c r="OL259" s="262"/>
      <c r="OM259" s="262"/>
      <c r="ON259" s="262"/>
      <c r="OO259" s="262"/>
      <c r="OP259" s="262"/>
      <c r="OQ259" s="262"/>
      <c r="OR259" s="262"/>
      <c r="OS259" s="262"/>
      <c r="OT259" s="262"/>
      <c r="OU259" s="262"/>
      <c r="OV259" s="262"/>
      <c r="OW259" s="262"/>
      <c r="OX259" s="262"/>
      <c r="OY259" s="262"/>
      <c r="OZ259" s="262"/>
      <c r="PA259" s="262"/>
      <c r="PB259" s="262"/>
      <c r="PC259" s="262"/>
      <c r="PD259" s="262"/>
      <c r="PE259" s="262"/>
      <c r="PF259" s="262"/>
      <c r="PG259" s="262"/>
      <c r="PH259" s="262"/>
    </row>
    <row r="260" spans="1:424" x14ac:dyDescent="0.35">
      <c r="A260"/>
      <c r="B260" s="34" t="str">
        <f>B249</f>
        <v>GP 1</v>
      </c>
      <c r="C260" s="542" t="str">
        <f>C249</f>
        <v>[General Partner 1 Name]</v>
      </c>
      <c r="D260" s="397"/>
      <c r="E260" s="397"/>
      <c r="F260" s="397"/>
      <c r="G260" s="85"/>
      <c r="H260" s="52">
        <f>IF($I$241=0,0,I260/$I$241)</f>
        <v>0</v>
      </c>
      <c r="I260" s="445">
        <f>SUM(L260:EN260)</f>
        <v>0</v>
      </c>
      <c r="J260"/>
      <c r="K260"/>
      <c r="L260" s="417">
        <f t="shared" ref="L260:AQ260" si="890">IF(L$227="","",EV244+EV253+EV262+EV266+(EV$210*$E249))</f>
        <v>0</v>
      </c>
      <c r="M260" s="417">
        <f t="shared" si="890"/>
        <v>0</v>
      </c>
      <c r="N260" s="417">
        <f t="shared" si="890"/>
        <v>0</v>
      </c>
      <c r="O260" s="417">
        <f t="shared" si="890"/>
        <v>0</v>
      </c>
      <c r="P260" s="417">
        <f t="shared" si="890"/>
        <v>0</v>
      </c>
      <c r="Q260" s="417">
        <f t="shared" si="890"/>
        <v>0</v>
      </c>
      <c r="R260" s="417">
        <f t="shared" si="890"/>
        <v>0</v>
      </c>
      <c r="S260" s="417">
        <f t="shared" si="890"/>
        <v>0</v>
      </c>
      <c r="T260" s="417">
        <f t="shared" si="890"/>
        <v>0</v>
      </c>
      <c r="U260" s="417">
        <f t="shared" si="890"/>
        <v>0</v>
      </c>
      <c r="V260" s="417">
        <f t="shared" si="890"/>
        <v>0</v>
      </c>
      <c r="W260" s="417">
        <f t="shared" si="890"/>
        <v>0</v>
      </c>
      <c r="X260" s="417">
        <f t="shared" si="890"/>
        <v>0</v>
      </c>
      <c r="Y260" s="417">
        <f t="shared" si="890"/>
        <v>0</v>
      </c>
      <c r="Z260" s="417">
        <f t="shared" si="890"/>
        <v>0</v>
      </c>
      <c r="AA260" s="417">
        <f t="shared" si="890"/>
        <v>0</v>
      </c>
      <c r="AB260" s="417">
        <f t="shared" si="890"/>
        <v>0</v>
      </c>
      <c r="AC260" s="417">
        <f t="shared" si="890"/>
        <v>0</v>
      </c>
      <c r="AD260" s="417">
        <f t="shared" si="890"/>
        <v>0</v>
      </c>
      <c r="AE260" s="417">
        <f t="shared" si="890"/>
        <v>0</v>
      </c>
      <c r="AF260" s="417">
        <f t="shared" si="890"/>
        <v>0</v>
      </c>
      <c r="AG260" s="417">
        <f t="shared" si="890"/>
        <v>0</v>
      </c>
      <c r="AH260" s="417">
        <f t="shared" si="890"/>
        <v>0</v>
      </c>
      <c r="AI260" s="417">
        <f t="shared" si="890"/>
        <v>0</v>
      </c>
      <c r="AJ260" s="417">
        <f t="shared" si="890"/>
        <v>0</v>
      </c>
      <c r="AK260" s="417">
        <f t="shared" si="890"/>
        <v>0</v>
      </c>
      <c r="AL260" s="417">
        <f t="shared" si="890"/>
        <v>0</v>
      </c>
      <c r="AM260" s="417">
        <f t="shared" si="890"/>
        <v>0</v>
      </c>
      <c r="AN260" s="417">
        <f t="shared" si="890"/>
        <v>0</v>
      </c>
      <c r="AO260" s="417">
        <f t="shared" si="890"/>
        <v>0</v>
      </c>
      <c r="AP260" s="417">
        <f t="shared" si="890"/>
        <v>0</v>
      </c>
      <c r="AQ260" s="417">
        <f t="shared" si="890"/>
        <v>0</v>
      </c>
      <c r="AR260" s="417">
        <f t="shared" ref="AR260:BW260" si="891">IF(AR$227="","",GB244+GB253+GB262+GB266+(GB$210*$E249))</f>
        <v>0</v>
      </c>
      <c r="AS260" s="417">
        <f t="shared" si="891"/>
        <v>0</v>
      </c>
      <c r="AT260" s="417">
        <f t="shared" si="891"/>
        <v>0</v>
      </c>
      <c r="AU260" s="417">
        <f t="shared" si="891"/>
        <v>0</v>
      </c>
      <c r="AV260" s="417">
        <f t="shared" si="891"/>
        <v>0</v>
      </c>
      <c r="AW260" s="417">
        <f t="shared" si="891"/>
        <v>0</v>
      </c>
      <c r="AX260" s="417">
        <f t="shared" si="891"/>
        <v>0</v>
      </c>
      <c r="AY260" s="417">
        <f t="shared" si="891"/>
        <v>0</v>
      </c>
      <c r="AZ260" s="417">
        <f t="shared" si="891"/>
        <v>0</v>
      </c>
      <c r="BA260" s="417">
        <f t="shared" si="891"/>
        <v>0</v>
      </c>
      <c r="BB260" s="417">
        <f t="shared" si="891"/>
        <v>0</v>
      </c>
      <c r="BC260" s="417">
        <f t="shared" si="891"/>
        <v>0</v>
      </c>
      <c r="BD260" s="75">
        <f t="shared" si="891"/>
        <v>0</v>
      </c>
      <c r="BE260" s="75">
        <f t="shared" si="891"/>
        <v>0</v>
      </c>
      <c r="BF260" s="75">
        <f t="shared" si="891"/>
        <v>0</v>
      </c>
      <c r="BG260" s="75">
        <f t="shared" si="891"/>
        <v>0</v>
      </c>
      <c r="BH260" s="75">
        <f t="shared" si="891"/>
        <v>0</v>
      </c>
      <c r="BI260" s="75">
        <f t="shared" si="891"/>
        <v>0</v>
      </c>
      <c r="BJ260" s="75">
        <f t="shared" si="891"/>
        <v>0</v>
      </c>
      <c r="BK260" s="75">
        <f t="shared" si="891"/>
        <v>0</v>
      </c>
      <c r="BL260" s="75">
        <f t="shared" si="891"/>
        <v>0</v>
      </c>
      <c r="BM260" s="75">
        <f t="shared" si="891"/>
        <v>0</v>
      </c>
      <c r="BN260" s="75">
        <f t="shared" si="891"/>
        <v>0</v>
      </c>
      <c r="BO260" s="75">
        <f t="shared" si="891"/>
        <v>0</v>
      </c>
      <c r="BP260" s="75">
        <f t="shared" si="891"/>
        <v>0</v>
      </c>
      <c r="BQ260" s="75">
        <f t="shared" si="891"/>
        <v>0</v>
      </c>
      <c r="BR260" s="75">
        <f t="shared" si="891"/>
        <v>0</v>
      </c>
      <c r="BS260" s="75">
        <f t="shared" si="891"/>
        <v>0</v>
      </c>
      <c r="BT260" s="75">
        <f t="shared" si="891"/>
        <v>0</v>
      </c>
      <c r="BU260" s="75">
        <f t="shared" si="891"/>
        <v>0</v>
      </c>
      <c r="BV260" s="75" t="str">
        <f t="shared" si="891"/>
        <v/>
      </c>
      <c r="BW260" s="75" t="str">
        <f t="shared" si="891"/>
        <v/>
      </c>
      <c r="BX260" s="75" t="str">
        <f t="shared" ref="BX260:DC260" si="892">IF(BX$227="","",HH244+HH253+HH262+HH266+(HH$210*$E249))</f>
        <v/>
      </c>
      <c r="BY260" s="75" t="str">
        <f t="shared" si="892"/>
        <v/>
      </c>
      <c r="BZ260" s="75" t="str">
        <f t="shared" si="892"/>
        <v/>
      </c>
      <c r="CA260" s="75" t="str">
        <f t="shared" si="892"/>
        <v/>
      </c>
      <c r="CB260" s="75" t="str">
        <f t="shared" si="892"/>
        <v/>
      </c>
      <c r="CC260" s="75" t="str">
        <f t="shared" si="892"/>
        <v/>
      </c>
      <c r="CD260" s="75" t="str">
        <f t="shared" si="892"/>
        <v/>
      </c>
      <c r="CE260" s="75" t="str">
        <f t="shared" si="892"/>
        <v/>
      </c>
      <c r="CF260" s="75" t="str">
        <f t="shared" si="892"/>
        <v/>
      </c>
      <c r="CG260" s="75" t="str">
        <f t="shared" si="892"/>
        <v/>
      </c>
      <c r="CH260" s="75" t="str">
        <f t="shared" si="892"/>
        <v/>
      </c>
      <c r="CI260" s="75" t="str">
        <f t="shared" si="892"/>
        <v/>
      </c>
      <c r="CJ260" s="75" t="str">
        <f t="shared" si="892"/>
        <v/>
      </c>
      <c r="CK260" s="75" t="str">
        <f t="shared" si="892"/>
        <v/>
      </c>
      <c r="CL260" s="75" t="str">
        <f t="shared" si="892"/>
        <v/>
      </c>
      <c r="CM260" s="75" t="str">
        <f t="shared" si="892"/>
        <v/>
      </c>
      <c r="CN260" s="75" t="str">
        <f t="shared" si="892"/>
        <v/>
      </c>
      <c r="CO260" s="75" t="str">
        <f t="shared" si="892"/>
        <v/>
      </c>
      <c r="CP260" s="75" t="str">
        <f t="shared" si="892"/>
        <v/>
      </c>
      <c r="CQ260" s="75" t="str">
        <f t="shared" si="892"/>
        <v/>
      </c>
      <c r="CR260" s="75" t="str">
        <f t="shared" si="892"/>
        <v/>
      </c>
      <c r="CS260" s="75" t="str">
        <f t="shared" si="892"/>
        <v/>
      </c>
      <c r="CT260" s="75" t="str">
        <f t="shared" si="892"/>
        <v/>
      </c>
      <c r="CU260" s="75" t="str">
        <f t="shared" si="892"/>
        <v/>
      </c>
      <c r="CV260" s="75" t="str">
        <f t="shared" si="892"/>
        <v/>
      </c>
      <c r="CW260" s="75" t="str">
        <f t="shared" si="892"/>
        <v/>
      </c>
      <c r="CX260" s="75" t="str">
        <f t="shared" si="892"/>
        <v/>
      </c>
      <c r="CY260" s="75" t="str">
        <f t="shared" si="892"/>
        <v/>
      </c>
      <c r="CZ260" s="75" t="str">
        <f t="shared" si="892"/>
        <v/>
      </c>
      <c r="DA260" s="75" t="str">
        <f t="shared" si="892"/>
        <v/>
      </c>
      <c r="DB260" s="75" t="str">
        <f t="shared" si="892"/>
        <v/>
      </c>
      <c r="DC260" s="75" t="str">
        <f t="shared" si="892"/>
        <v/>
      </c>
      <c r="DD260" s="75" t="str">
        <f t="shared" ref="DD260:EI260" si="893">IF(DD$227="","",IN244+IN253+IN262+IN266+(IN$210*$E249))</f>
        <v/>
      </c>
      <c r="DE260" s="75" t="str">
        <f t="shared" si="893"/>
        <v/>
      </c>
      <c r="DF260" s="75" t="str">
        <f t="shared" si="893"/>
        <v/>
      </c>
      <c r="DG260" s="75" t="str">
        <f t="shared" si="893"/>
        <v/>
      </c>
      <c r="DH260" s="75" t="str">
        <f t="shared" si="893"/>
        <v/>
      </c>
      <c r="DI260" s="75" t="str">
        <f t="shared" si="893"/>
        <v/>
      </c>
      <c r="DJ260" s="75" t="str">
        <f t="shared" si="893"/>
        <v/>
      </c>
      <c r="DK260" s="75" t="str">
        <f t="shared" si="893"/>
        <v/>
      </c>
      <c r="DL260" s="75" t="str">
        <f t="shared" si="893"/>
        <v/>
      </c>
      <c r="DM260" s="75" t="str">
        <f t="shared" si="893"/>
        <v/>
      </c>
      <c r="DN260" s="75" t="str">
        <f t="shared" si="893"/>
        <v/>
      </c>
      <c r="DO260" s="75" t="str">
        <f t="shared" si="893"/>
        <v/>
      </c>
      <c r="DP260" s="75" t="str">
        <f t="shared" si="893"/>
        <v/>
      </c>
      <c r="DQ260" s="75" t="str">
        <f t="shared" si="893"/>
        <v/>
      </c>
      <c r="DR260" s="75" t="str">
        <f t="shared" si="893"/>
        <v/>
      </c>
      <c r="DS260" s="75" t="str">
        <f t="shared" si="893"/>
        <v/>
      </c>
      <c r="DT260" s="75" t="str">
        <f t="shared" si="893"/>
        <v/>
      </c>
      <c r="DU260" s="75" t="str">
        <f t="shared" si="893"/>
        <v/>
      </c>
      <c r="DV260" s="75" t="str">
        <f t="shared" si="893"/>
        <v/>
      </c>
      <c r="DW260" s="75" t="str">
        <f t="shared" si="893"/>
        <v/>
      </c>
      <c r="DX260" s="75" t="str">
        <f t="shared" si="893"/>
        <v/>
      </c>
      <c r="DY260" s="75" t="str">
        <f t="shared" si="893"/>
        <v/>
      </c>
      <c r="DZ260" s="75" t="str">
        <f t="shared" si="893"/>
        <v/>
      </c>
      <c r="EA260" s="75" t="str">
        <f t="shared" si="893"/>
        <v/>
      </c>
      <c r="EB260" s="75" t="str">
        <f t="shared" si="893"/>
        <v/>
      </c>
      <c r="EC260" s="75" t="str">
        <f t="shared" si="893"/>
        <v/>
      </c>
      <c r="ED260" s="75" t="str">
        <f t="shared" si="893"/>
        <v/>
      </c>
      <c r="EE260" s="75" t="str">
        <f t="shared" si="893"/>
        <v/>
      </c>
      <c r="EF260" s="75" t="str">
        <f t="shared" si="893"/>
        <v/>
      </c>
      <c r="EG260" s="75" t="str">
        <f t="shared" si="893"/>
        <v/>
      </c>
      <c r="EH260" s="75" t="str">
        <f t="shared" si="893"/>
        <v/>
      </c>
      <c r="EI260" s="75" t="str">
        <f t="shared" si="893"/>
        <v/>
      </c>
      <c r="EJ260" s="75" t="str">
        <f>IF(EJ$227="","",JT244+JT253+JT262+JT266+(JT$210*$E249))</f>
        <v/>
      </c>
      <c r="EK260" s="75" t="str">
        <f>IF(EK$227="","",JU244+JU253+JU262+JU266+(JU$210*$E249))</f>
        <v/>
      </c>
      <c r="EL260" s="75" t="str">
        <f>IF(EL$227="","",JV244+JV253+JV262+JV266+(JV$210*$E249))</f>
        <v/>
      </c>
      <c r="EM260" s="75" t="str">
        <f>IF(EM$227="","",JW244+JW253+JW262+JW266+(JW$210*$E249))</f>
        <v/>
      </c>
      <c r="EN260" s="75" t="str">
        <f>IF(EN$227="","",JX244+JX253+JX262+JX266+(JX$210*$E249))</f>
        <v/>
      </c>
      <c r="EO260"/>
      <c r="EP260" s="405"/>
      <c r="EQ260" s="18"/>
      <c r="ER260" s="18"/>
      <c r="ES260" s="18"/>
      <c r="ET260" s="18" t="s">
        <v>455</v>
      </c>
      <c r="EU260" s="18"/>
      <c r="EV260" s="418">
        <f t="shared" ref="EV260:GA260" si="894">(EV$197&lt;=Timing_Reversion_Month)*(EV256+EV257+EV240-EV258-EV259)</f>
        <v>0</v>
      </c>
      <c r="EW260" s="418">
        <f t="shared" si="894"/>
        <v>0</v>
      </c>
      <c r="EX260" s="418">
        <f t="shared" si="894"/>
        <v>0</v>
      </c>
      <c r="EY260" s="418">
        <f t="shared" si="894"/>
        <v>0</v>
      </c>
      <c r="EZ260" s="418">
        <f t="shared" si="894"/>
        <v>0</v>
      </c>
      <c r="FA260" s="418">
        <f t="shared" si="894"/>
        <v>0</v>
      </c>
      <c r="FB260" s="418">
        <f t="shared" si="894"/>
        <v>0</v>
      </c>
      <c r="FC260" s="418">
        <f t="shared" si="894"/>
        <v>0</v>
      </c>
      <c r="FD260" s="418">
        <f t="shared" si="894"/>
        <v>0</v>
      </c>
      <c r="FE260" s="418">
        <f t="shared" si="894"/>
        <v>0</v>
      </c>
      <c r="FF260" s="418">
        <f t="shared" si="894"/>
        <v>0</v>
      </c>
      <c r="FG260" s="418">
        <f t="shared" si="894"/>
        <v>0</v>
      </c>
      <c r="FH260" s="418">
        <f t="shared" si="894"/>
        <v>0</v>
      </c>
      <c r="FI260" s="418">
        <f t="shared" si="894"/>
        <v>0</v>
      </c>
      <c r="FJ260" s="418">
        <f t="shared" si="894"/>
        <v>0</v>
      </c>
      <c r="FK260" s="418">
        <f t="shared" si="894"/>
        <v>0</v>
      </c>
      <c r="FL260" s="418">
        <f t="shared" si="894"/>
        <v>0</v>
      </c>
      <c r="FM260" s="418">
        <f t="shared" si="894"/>
        <v>0</v>
      </c>
      <c r="FN260" s="418">
        <f t="shared" si="894"/>
        <v>0</v>
      </c>
      <c r="FO260" s="418">
        <f t="shared" si="894"/>
        <v>0</v>
      </c>
      <c r="FP260" s="418">
        <f t="shared" si="894"/>
        <v>0</v>
      </c>
      <c r="FQ260" s="418">
        <f t="shared" si="894"/>
        <v>0</v>
      </c>
      <c r="FR260" s="418">
        <f t="shared" si="894"/>
        <v>0</v>
      </c>
      <c r="FS260" s="418">
        <f t="shared" si="894"/>
        <v>0</v>
      </c>
      <c r="FT260" s="418">
        <f t="shared" si="894"/>
        <v>0</v>
      </c>
      <c r="FU260" s="418">
        <f t="shared" si="894"/>
        <v>0</v>
      </c>
      <c r="FV260" s="418">
        <f t="shared" si="894"/>
        <v>0</v>
      </c>
      <c r="FW260" s="418">
        <f t="shared" si="894"/>
        <v>0</v>
      </c>
      <c r="FX260" s="418">
        <f t="shared" si="894"/>
        <v>0</v>
      </c>
      <c r="FY260" s="418">
        <f t="shared" si="894"/>
        <v>0</v>
      </c>
      <c r="FZ260" s="418">
        <f t="shared" si="894"/>
        <v>0</v>
      </c>
      <c r="GA260" s="418">
        <f t="shared" si="894"/>
        <v>0</v>
      </c>
      <c r="GB260" s="418">
        <f t="shared" ref="GB260:HG260" si="895">(GB$197&lt;=Timing_Reversion_Month)*(GB256+GB257+GB240-GB258-GB259)</f>
        <v>0</v>
      </c>
      <c r="GC260" s="418">
        <f t="shared" si="895"/>
        <v>0</v>
      </c>
      <c r="GD260" s="418">
        <f t="shared" si="895"/>
        <v>0</v>
      </c>
      <c r="GE260" s="418">
        <f t="shared" si="895"/>
        <v>0</v>
      </c>
      <c r="GF260" s="418">
        <f t="shared" si="895"/>
        <v>0</v>
      </c>
      <c r="GG260" s="418">
        <f t="shared" si="895"/>
        <v>0</v>
      </c>
      <c r="GH260" s="418">
        <f t="shared" si="895"/>
        <v>0</v>
      </c>
      <c r="GI260" s="418">
        <f t="shared" si="895"/>
        <v>0</v>
      </c>
      <c r="GJ260" s="418">
        <f t="shared" si="895"/>
        <v>0</v>
      </c>
      <c r="GK260" s="418">
        <f t="shared" si="895"/>
        <v>0</v>
      </c>
      <c r="GL260" s="418">
        <f t="shared" si="895"/>
        <v>0</v>
      </c>
      <c r="GM260" s="418">
        <f t="shared" si="895"/>
        <v>0</v>
      </c>
      <c r="GN260" s="418">
        <f t="shared" si="895"/>
        <v>0</v>
      </c>
      <c r="GO260" s="418">
        <f t="shared" si="895"/>
        <v>0</v>
      </c>
      <c r="GP260" s="418">
        <f t="shared" si="895"/>
        <v>0</v>
      </c>
      <c r="GQ260" s="418">
        <f t="shared" si="895"/>
        <v>0</v>
      </c>
      <c r="GR260" s="418">
        <f t="shared" si="895"/>
        <v>0</v>
      </c>
      <c r="GS260" s="418">
        <f t="shared" si="895"/>
        <v>0</v>
      </c>
      <c r="GT260" s="418">
        <f t="shared" si="895"/>
        <v>0</v>
      </c>
      <c r="GU260" s="418">
        <f t="shared" si="895"/>
        <v>0</v>
      </c>
      <c r="GV260" s="418">
        <f t="shared" si="895"/>
        <v>0</v>
      </c>
      <c r="GW260" s="418">
        <f t="shared" si="895"/>
        <v>0</v>
      </c>
      <c r="GX260" s="418">
        <f t="shared" si="895"/>
        <v>0</v>
      </c>
      <c r="GY260" s="418">
        <f t="shared" si="895"/>
        <v>0</v>
      </c>
      <c r="GZ260" s="418">
        <f t="shared" si="895"/>
        <v>0</v>
      </c>
      <c r="HA260" s="418">
        <f t="shared" si="895"/>
        <v>0</v>
      </c>
      <c r="HB260" s="418">
        <f t="shared" si="895"/>
        <v>0</v>
      </c>
      <c r="HC260" s="418">
        <f t="shared" si="895"/>
        <v>0</v>
      </c>
      <c r="HD260" s="418">
        <f t="shared" si="895"/>
        <v>0</v>
      </c>
      <c r="HE260" s="418">
        <f t="shared" si="895"/>
        <v>0</v>
      </c>
      <c r="HF260" s="418">
        <f t="shared" si="895"/>
        <v>0</v>
      </c>
      <c r="HG260" s="418">
        <f t="shared" si="895"/>
        <v>0</v>
      </c>
      <c r="HH260" s="418">
        <f t="shared" ref="HH260:IM260" si="896">(HH$197&lt;=Timing_Reversion_Month)*(HH256+HH257+HH240-HH258-HH259)</f>
        <v>0</v>
      </c>
      <c r="HI260" s="418">
        <f t="shared" si="896"/>
        <v>0</v>
      </c>
      <c r="HJ260" s="418">
        <f t="shared" si="896"/>
        <v>0</v>
      </c>
      <c r="HK260" s="418">
        <f t="shared" si="896"/>
        <v>0</v>
      </c>
      <c r="HL260" s="418">
        <f t="shared" si="896"/>
        <v>0</v>
      </c>
      <c r="HM260" s="418">
        <f t="shared" si="896"/>
        <v>0</v>
      </c>
      <c r="HN260" s="418">
        <f t="shared" si="896"/>
        <v>0</v>
      </c>
      <c r="HO260" s="418">
        <f t="shared" si="896"/>
        <v>0</v>
      </c>
      <c r="HP260" s="418">
        <f t="shared" si="896"/>
        <v>0</v>
      </c>
      <c r="HQ260" s="418">
        <f t="shared" si="896"/>
        <v>0</v>
      </c>
      <c r="HR260" s="418">
        <f t="shared" si="896"/>
        <v>0</v>
      </c>
      <c r="HS260" s="418">
        <f t="shared" si="896"/>
        <v>0</v>
      </c>
      <c r="HT260" s="418">
        <f t="shared" si="896"/>
        <v>0</v>
      </c>
      <c r="HU260" s="418">
        <f t="shared" si="896"/>
        <v>0</v>
      </c>
      <c r="HV260" s="418">
        <f t="shared" si="896"/>
        <v>0</v>
      </c>
      <c r="HW260" s="418">
        <f t="shared" si="896"/>
        <v>0</v>
      </c>
      <c r="HX260" s="418">
        <f t="shared" si="896"/>
        <v>0</v>
      </c>
      <c r="HY260" s="418">
        <f t="shared" si="896"/>
        <v>0</v>
      </c>
      <c r="HZ260" s="418">
        <f t="shared" si="896"/>
        <v>0</v>
      </c>
      <c r="IA260" s="418">
        <f t="shared" si="896"/>
        <v>0</v>
      </c>
      <c r="IB260" s="418">
        <f t="shared" si="896"/>
        <v>0</v>
      </c>
      <c r="IC260" s="418">
        <f t="shared" si="896"/>
        <v>0</v>
      </c>
      <c r="ID260" s="418">
        <f t="shared" si="896"/>
        <v>0</v>
      </c>
      <c r="IE260" s="418">
        <f t="shared" si="896"/>
        <v>0</v>
      </c>
      <c r="IF260" s="418">
        <f t="shared" si="896"/>
        <v>0</v>
      </c>
      <c r="IG260" s="418">
        <f t="shared" si="896"/>
        <v>0</v>
      </c>
      <c r="IH260" s="418">
        <f t="shared" si="896"/>
        <v>0</v>
      </c>
      <c r="II260" s="418">
        <f t="shared" si="896"/>
        <v>0</v>
      </c>
      <c r="IJ260" s="418">
        <f t="shared" si="896"/>
        <v>0</v>
      </c>
      <c r="IK260" s="418">
        <f t="shared" si="896"/>
        <v>0</v>
      </c>
      <c r="IL260" s="418">
        <f t="shared" si="896"/>
        <v>0</v>
      </c>
      <c r="IM260" s="418">
        <f t="shared" si="896"/>
        <v>0</v>
      </c>
      <c r="IN260" s="418">
        <f t="shared" ref="IN260:JS260" si="897">(IN$197&lt;=Timing_Reversion_Month)*(IN256+IN257+IN240-IN258-IN259)</f>
        <v>0</v>
      </c>
      <c r="IO260" s="418">
        <f t="shared" si="897"/>
        <v>0</v>
      </c>
      <c r="IP260" s="418">
        <f t="shared" si="897"/>
        <v>0</v>
      </c>
      <c r="IQ260" s="418">
        <f t="shared" si="897"/>
        <v>0</v>
      </c>
      <c r="IR260" s="418">
        <f t="shared" si="897"/>
        <v>0</v>
      </c>
      <c r="IS260" s="418">
        <f t="shared" si="897"/>
        <v>0</v>
      </c>
      <c r="IT260" s="418">
        <f t="shared" si="897"/>
        <v>0</v>
      </c>
      <c r="IU260" s="418">
        <f t="shared" si="897"/>
        <v>0</v>
      </c>
      <c r="IV260" s="418">
        <f t="shared" si="897"/>
        <v>0</v>
      </c>
      <c r="IW260" s="418">
        <f t="shared" si="897"/>
        <v>0</v>
      </c>
      <c r="IX260" s="418">
        <f t="shared" si="897"/>
        <v>0</v>
      </c>
      <c r="IY260" s="418">
        <f t="shared" si="897"/>
        <v>0</v>
      </c>
      <c r="IZ260" s="418">
        <f t="shared" si="897"/>
        <v>0</v>
      </c>
      <c r="JA260" s="418">
        <f t="shared" si="897"/>
        <v>0</v>
      </c>
      <c r="JB260" s="418">
        <f t="shared" si="897"/>
        <v>0</v>
      </c>
      <c r="JC260" s="418">
        <f t="shared" si="897"/>
        <v>0</v>
      </c>
      <c r="JD260" s="418">
        <f t="shared" si="897"/>
        <v>0</v>
      </c>
      <c r="JE260" s="418">
        <f t="shared" si="897"/>
        <v>0</v>
      </c>
      <c r="JF260" s="418">
        <f t="shared" si="897"/>
        <v>0</v>
      </c>
      <c r="JG260" s="418">
        <f t="shared" si="897"/>
        <v>0</v>
      </c>
      <c r="JH260" s="418">
        <f t="shared" si="897"/>
        <v>0</v>
      </c>
      <c r="JI260" s="418">
        <f t="shared" si="897"/>
        <v>0</v>
      </c>
      <c r="JJ260" s="418">
        <f t="shared" si="897"/>
        <v>0</v>
      </c>
      <c r="JK260" s="418">
        <f t="shared" si="897"/>
        <v>0</v>
      </c>
      <c r="JL260" s="418">
        <f t="shared" si="897"/>
        <v>0</v>
      </c>
      <c r="JM260" s="418">
        <f t="shared" si="897"/>
        <v>0</v>
      </c>
      <c r="JN260" s="418">
        <f t="shared" si="897"/>
        <v>0</v>
      </c>
      <c r="JO260" s="418">
        <f t="shared" si="897"/>
        <v>0</v>
      </c>
      <c r="JP260" s="418">
        <f t="shared" si="897"/>
        <v>0</v>
      </c>
      <c r="JQ260" s="418">
        <f t="shared" si="897"/>
        <v>0</v>
      </c>
      <c r="JR260" s="418">
        <f t="shared" si="897"/>
        <v>0</v>
      </c>
      <c r="JS260" s="418">
        <f t="shared" si="897"/>
        <v>0</v>
      </c>
      <c r="JT260" s="418">
        <f>(JT$197&lt;=Timing_Reversion_Month)*(JT256+JT257+JT240-JT258-JT259)</f>
        <v>0</v>
      </c>
      <c r="JU260" s="418">
        <f>(JU$197&lt;=Timing_Reversion_Month)*(JU256+JU257+JU240-JU258-JU259)</f>
        <v>0</v>
      </c>
      <c r="JV260" s="418">
        <f>(JV$197&lt;=Timing_Reversion_Month)*(JV256+JV257+JV240-JV258-JV259)</f>
        <v>0</v>
      </c>
      <c r="JW260" s="418">
        <f>(JW$197&lt;=Timing_Reversion_Month)*(JW256+JW257+JW240-JW258-JW259)</f>
        <v>0</v>
      </c>
      <c r="JX260" s="418">
        <f>(JX$197&lt;=Timing_Reversion_Month)*(JX256+JX257+JX240-JX258-JX259)</f>
        <v>0</v>
      </c>
      <c r="JY260"/>
      <c r="JZ260" s="262"/>
      <c r="KA260" s="262"/>
      <c r="KB260" s="262"/>
      <c r="KC260" s="262"/>
      <c r="KD260" s="262"/>
      <c r="KE260" s="262"/>
      <c r="KF260" s="262"/>
      <c r="KG260" s="262"/>
      <c r="KH260" s="262"/>
      <c r="KI260" s="262"/>
      <c r="KJ260" s="262"/>
      <c r="KK260" s="262"/>
      <c r="KL260" s="262"/>
      <c r="KM260" s="262"/>
      <c r="KN260" s="262"/>
      <c r="KO260" s="262"/>
      <c r="KP260" s="262"/>
      <c r="KQ260" s="262"/>
      <c r="KR260" s="262"/>
      <c r="KS260" s="262"/>
      <c r="KT260" s="262"/>
      <c r="KU260" s="262"/>
      <c r="KV260" s="262"/>
      <c r="KW260" s="262"/>
      <c r="KX260" s="262"/>
      <c r="KY260" s="262"/>
      <c r="KZ260" s="262"/>
      <c r="LA260" s="262"/>
      <c r="LB260" s="262"/>
      <c r="LC260" s="262"/>
      <c r="LD260" s="262"/>
      <c r="LE260" s="262"/>
      <c r="LF260" s="262"/>
      <c r="LG260" s="262"/>
      <c r="LH260" s="262"/>
      <c r="LI260" s="262"/>
      <c r="LJ260" s="262"/>
      <c r="LK260" s="262"/>
      <c r="LL260" s="262"/>
      <c r="LM260" s="262"/>
      <c r="LN260" s="262"/>
      <c r="LO260" s="262"/>
      <c r="LP260" s="262"/>
      <c r="LQ260" s="262"/>
      <c r="LR260" s="262"/>
      <c r="LS260" s="262"/>
      <c r="LT260" s="262"/>
      <c r="LU260" s="262"/>
      <c r="LV260" s="262"/>
      <c r="LW260" s="262"/>
      <c r="LX260" s="262"/>
      <c r="LY260" s="262"/>
      <c r="LZ260" s="262"/>
      <c r="MA260" s="262"/>
      <c r="MB260" s="262"/>
      <c r="MC260" s="262"/>
      <c r="MD260" s="262"/>
      <c r="ME260" s="262"/>
      <c r="MF260" s="262"/>
      <c r="MG260" s="262"/>
      <c r="MH260" s="262"/>
      <c r="MI260" s="262"/>
      <c r="MJ260" s="262"/>
      <c r="MK260" s="262"/>
      <c r="ML260" s="262"/>
      <c r="MM260" s="262"/>
      <c r="MN260" s="262"/>
      <c r="MO260" s="262"/>
      <c r="MP260" s="262"/>
      <c r="MQ260" s="262"/>
      <c r="MR260" s="262"/>
      <c r="MS260" s="262"/>
      <c r="MT260" s="262"/>
      <c r="MU260" s="262"/>
      <c r="MV260" s="262"/>
      <c r="MW260" s="262"/>
      <c r="MX260" s="262"/>
      <c r="MY260" s="262"/>
      <c r="MZ260" s="262"/>
      <c r="NA260" s="262"/>
      <c r="NB260" s="262"/>
      <c r="NC260" s="262"/>
      <c r="ND260" s="262"/>
      <c r="NE260" s="262"/>
      <c r="NF260" s="262"/>
      <c r="NG260" s="262"/>
      <c r="NH260" s="262"/>
      <c r="NI260" s="262"/>
      <c r="NJ260" s="262"/>
      <c r="NK260" s="262"/>
      <c r="NL260" s="262"/>
      <c r="NM260" s="262"/>
      <c r="NN260" s="262"/>
      <c r="NO260" s="262"/>
      <c r="NP260" s="262"/>
      <c r="NQ260" s="262"/>
      <c r="NR260" s="262"/>
      <c r="NS260" s="262"/>
      <c r="NT260" s="262"/>
      <c r="NU260" s="262"/>
      <c r="NV260" s="262"/>
      <c r="NW260" s="262"/>
      <c r="NX260" s="262"/>
      <c r="NY260" s="262"/>
      <c r="NZ260" s="262"/>
      <c r="OA260" s="262"/>
      <c r="OB260" s="262"/>
      <c r="OC260" s="262"/>
      <c r="OD260" s="262"/>
      <c r="OE260" s="262"/>
      <c r="OF260" s="262"/>
      <c r="OG260" s="262"/>
      <c r="OH260" s="262"/>
      <c r="OI260" s="262"/>
      <c r="OJ260" s="262"/>
      <c r="OK260" s="262"/>
      <c r="OL260" s="262"/>
      <c r="OM260" s="262"/>
      <c r="ON260" s="262"/>
      <c r="OO260" s="262"/>
      <c r="OP260" s="262"/>
      <c r="OQ260" s="262"/>
      <c r="OR260" s="262"/>
      <c r="OS260" s="262"/>
      <c r="OT260" s="262"/>
      <c r="OU260" s="262"/>
      <c r="OV260" s="262"/>
      <c r="OW260" s="262"/>
      <c r="OX260" s="262"/>
      <c r="OY260" s="262"/>
      <c r="OZ260" s="262"/>
      <c r="PA260" s="262"/>
      <c r="PB260" s="262"/>
      <c r="PC260" s="262"/>
      <c r="PD260" s="262"/>
      <c r="PE260" s="262"/>
      <c r="PF260" s="262"/>
      <c r="PG260" s="262"/>
      <c r="PH260" s="262"/>
    </row>
    <row r="261" spans="1:424" x14ac:dyDescent="0.35">
      <c r="A261"/>
      <c r="B261" s="411" t="str">
        <f>B250</f>
        <v>GP 2</v>
      </c>
      <c r="C261" s="542" t="str">
        <f>C250</f>
        <v>[General Partner 2 Name]</v>
      </c>
      <c r="D261" s="397"/>
      <c r="E261" s="397"/>
      <c r="F261" s="397"/>
      <c r="G261" s="397"/>
      <c r="H261" s="54">
        <f>IF($I$241=0,0,I261/$I$241)</f>
        <v>0</v>
      </c>
      <c r="I261" s="420">
        <f>SUM(L261:EN261)</f>
        <v>0</v>
      </c>
      <c r="J261"/>
      <c r="K261"/>
      <c r="L261" s="422">
        <f t="shared" ref="L261:AQ261" si="898">IF(L$227="","",EV241+EV250+EV259+EV265+(EV$210*$E250))</f>
        <v>0</v>
      </c>
      <c r="M261" s="422">
        <f t="shared" si="898"/>
        <v>0</v>
      </c>
      <c r="N261" s="422">
        <f t="shared" si="898"/>
        <v>0</v>
      </c>
      <c r="O261" s="422">
        <f t="shared" si="898"/>
        <v>0</v>
      </c>
      <c r="P261" s="422">
        <f t="shared" si="898"/>
        <v>0</v>
      </c>
      <c r="Q261" s="422">
        <f t="shared" si="898"/>
        <v>0</v>
      </c>
      <c r="R261" s="422">
        <f t="shared" si="898"/>
        <v>0</v>
      </c>
      <c r="S261" s="422">
        <f t="shared" si="898"/>
        <v>0</v>
      </c>
      <c r="T261" s="422">
        <f t="shared" si="898"/>
        <v>0</v>
      </c>
      <c r="U261" s="422">
        <f t="shared" si="898"/>
        <v>0</v>
      </c>
      <c r="V261" s="422">
        <f t="shared" si="898"/>
        <v>0</v>
      </c>
      <c r="W261" s="422">
        <f t="shared" si="898"/>
        <v>0</v>
      </c>
      <c r="X261" s="422">
        <f t="shared" si="898"/>
        <v>0</v>
      </c>
      <c r="Y261" s="422">
        <f t="shared" si="898"/>
        <v>0</v>
      </c>
      <c r="Z261" s="422">
        <f t="shared" si="898"/>
        <v>0</v>
      </c>
      <c r="AA261" s="422">
        <f t="shared" si="898"/>
        <v>0</v>
      </c>
      <c r="AB261" s="422">
        <f t="shared" si="898"/>
        <v>0</v>
      </c>
      <c r="AC261" s="422">
        <f t="shared" si="898"/>
        <v>0</v>
      </c>
      <c r="AD261" s="422">
        <f t="shared" si="898"/>
        <v>0</v>
      </c>
      <c r="AE261" s="422">
        <f t="shared" si="898"/>
        <v>0</v>
      </c>
      <c r="AF261" s="422">
        <f t="shared" si="898"/>
        <v>0</v>
      </c>
      <c r="AG261" s="422">
        <f t="shared" si="898"/>
        <v>0</v>
      </c>
      <c r="AH261" s="422">
        <f t="shared" si="898"/>
        <v>0</v>
      </c>
      <c r="AI261" s="422">
        <f t="shared" si="898"/>
        <v>0</v>
      </c>
      <c r="AJ261" s="422">
        <f t="shared" si="898"/>
        <v>0</v>
      </c>
      <c r="AK261" s="422">
        <f t="shared" si="898"/>
        <v>0</v>
      </c>
      <c r="AL261" s="422">
        <f t="shared" si="898"/>
        <v>0</v>
      </c>
      <c r="AM261" s="422">
        <f t="shared" si="898"/>
        <v>0</v>
      </c>
      <c r="AN261" s="422">
        <f t="shared" si="898"/>
        <v>0</v>
      </c>
      <c r="AO261" s="422">
        <f t="shared" si="898"/>
        <v>0</v>
      </c>
      <c r="AP261" s="422">
        <f t="shared" si="898"/>
        <v>0</v>
      </c>
      <c r="AQ261" s="422">
        <f t="shared" si="898"/>
        <v>0</v>
      </c>
      <c r="AR261" s="422">
        <f t="shared" ref="AR261:BW261" si="899">IF(AR$227="","",GB241+GB250+GB259+GB265+(GB$210*$E250))</f>
        <v>0</v>
      </c>
      <c r="AS261" s="422">
        <f t="shared" si="899"/>
        <v>0</v>
      </c>
      <c r="AT261" s="422">
        <f t="shared" si="899"/>
        <v>0</v>
      </c>
      <c r="AU261" s="422">
        <f t="shared" si="899"/>
        <v>0</v>
      </c>
      <c r="AV261" s="422">
        <f t="shared" si="899"/>
        <v>0</v>
      </c>
      <c r="AW261" s="422">
        <f t="shared" si="899"/>
        <v>0</v>
      </c>
      <c r="AX261" s="422">
        <f t="shared" si="899"/>
        <v>0</v>
      </c>
      <c r="AY261" s="422">
        <f t="shared" si="899"/>
        <v>0</v>
      </c>
      <c r="AZ261" s="422">
        <f t="shared" si="899"/>
        <v>0</v>
      </c>
      <c r="BA261" s="422">
        <f t="shared" si="899"/>
        <v>0</v>
      </c>
      <c r="BB261" s="422">
        <f t="shared" si="899"/>
        <v>0</v>
      </c>
      <c r="BC261" s="422">
        <f t="shared" si="899"/>
        <v>0</v>
      </c>
      <c r="BD261" s="202">
        <f t="shared" si="899"/>
        <v>0</v>
      </c>
      <c r="BE261" s="202">
        <f t="shared" si="899"/>
        <v>0</v>
      </c>
      <c r="BF261" s="202">
        <f t="shared" si="899"/>
        <v>0</v>
      </c>
      <c r="BG261" s="202">
        <f t="shared" si="899"/>
        <v>0</v>
      </c>
      <c r="BH261" s="202">
        <f t="shared" si="899"/>
        <v>0</v>
      </c>
      <c r="BI261" s="202">
        <f t="shared" si="899"/>
        <v>0</v>
      </c>
      <c r="BJ261" s="202">
        <f t="shared" si="899"/>
        <v>0</v>
      </c>
      <c r="BK261" s="202">
        <f t="shared" si="899"/>
        <v>0</v>
      </c>
      <c r="BL261" s="202">
        <f t="shared" si="899"/>
        <v>0</v>
      </c>
      <c r="BM261" s="202">
        <f t="shared" si="899"/>
        <v>0</v>
      </c>
      <c r="BN261" s="202">
        <f t="shared" si="899"/>
        <v>0</v>
      </c>
      <c r="BO261" s="202">
        <f t="shared" si="899"/>
        <v>0</v>
      </c>
      <c r="BP261" s="202">
        <f t="shared" si="899"/>
        <v>0</v>
      </c>
      <c r="BQ261" s="202">
        <f t="shared" si="899"/>
        <v>0</v>
      </c>
      <c r="BR261" s="202">
        <f t="shared" si="899"/>
        <v>0</v>
      </c>
      <c r="BS261" s="202">
        <f t="shared" si="899"/>
        <v>0</v>
      </c>
      <c r="BT261" s="202">
        <f t="shared" si="899"/>
        <v>0</v>
      </c>
      <c r="BU261" s="202">
        <f t="shared" si="899"/>
        <v>0</v>
      </c>
      <c r="BV261" s="202" t="str">
        <f t="shared" si="899"/>
        <v/>
      </c>
      <c r="BW261" s="202" t="str">
        <f t="shared" si="899"/>
        <v/>
      </c>
      <c r="BX261" s="202" t="str">
        <f t="shared" ref="BX261:DC261" si="900">IF(BX$227="","",HH241+HH250+HH259+HH265+(HH$210*$E250))</f>
        <v/>
      </c>
      <c r="BY261" s="202" t="str">
        <f t="shared" si="900"/>
        <v/>
      </c>
      <c r="BZ261" s="202" t="str">
        <f t="shared" si="900"/>
        <v/>
      </c>
      <c r="CA261" s="202" t="str">
        <f t="shared" si="900"/>
        <v/>
      </c>
      <c r="CB261" s="202" t="str">
        <f t="shared" si="900"/>
        <v/>
      </c>
      <c r="CC261" s="202" t="str">
        <f t="shared" si="900"/>
        <v/>
      </c>
      <c r="CD261" s="202" t="str">
        <f t="shared" si="900"/>
        <v/>
      </c>
      <c r="CE261" s="202" t="str">
        <f t="shared" si="900"/>
        <v/>
      </c>
      <c r="CF261" s="202" t="str">
        <f t="shared" si="900"/>
        <v/>
      </c>
      <c r="CG261" s="202" t="str">
        <f t="shared" si="900"/>
        <v/>
      </c>
      <c r="CH261" s="202" t="str">
        <f t="shared" si="900"/>
        <v/>
      </c>
      <c r="CI261" s="202" t="str">
        <f t="shared" si="900"/>
        <v/>
      </c>
      <c r="CJ261" s="202" t="str">
        <f t="shared" si="900"/>
        <v/>
      </c>
      <c r="CK261" s="202" t="str">
        <f t="shared" si="900"/>
        <v/>
      </c>
      <c r="CL261" s="202" t="str">
        <f t="shared" si="900"/>
        <v/>
      </c>
      <c r="CM261" s="202" t="str">
        <f t="shared" si="900"/>
        <v/>
      </c>
      <c r="CN261" s="202" t="str">
        <f t="shared" si="900"/>
        <v/>
      </c>
      <c r="CO261" s="202" t="str">
        <f t="shared" si="900"/>
        <v/>
      </c>
      <c r="CP261" s="202" t="str">
        <f t="shared" si="900"/>
        <v/>
      </c>
      <c r="CQ261" s="202" t="str">
        <f t="shared" si="900"/>
        <v/>
      </c>
      <c r="CR261" s="202" t="str">
        <f t="shared" si="900"/>
        <v/>
      </c>
      <c r="CS261" s="202" t="str">
        <f t="shared" si="900"/>
        <v/>
      </c>
      <c r="CT261" s="202" t="str">
        <f t="shared" si="900"/>
        <v/>
      </c>
      <c r="CU261" s="202" t="str">
        <f t="shared" si="900"/>
        <v/>
      </c>
      <c r="CV261" s="202" t="str">
        <f t="shared" si="900"/>
        <v/>
      </c>
      <c r="CW261" s="202" t="str">
        <f t="shared" si="900"/>
        <v/>
      </c>
      <c r="CX261" s="202" t="str">
        <f t="shared" si="900"/>
        <v/>
      </c>
      <c r="CY261" s="202" t="str">
        <f t="shared" si="900"/>
        <v/>
      </c>
      <c r="CZ261" s="202" t="str">
        <f t="shared" si="900"/>
        <v/>
      </c>
      <c r="DA261" s="202" t="str">
        <f t="shared" si="900"/>
        <v/>
      </c>
      <c r="DB261" s="202" t="str">
        <f t="shared" si="900"/>
        <v/>
      </c>
      <c r="DC261" s="202" t="str">
        <f t="shared" si="900"/>
        <v/>
      </c>
      <c r="DD261" s="202" t="str">
        <f t="shared" ref="DD261:EI261" si="901">IF(DD$227="","",IN241+IN250+IN259+IN265+(IN$210*$E250))</f>
        <v/>
      </c>
      <c r="DE261" s="202" t="str">
        <f t="shared" si="901"/>
        <v/>
      </c>
      <c r="DF261" s="202" t="str">
        <f t="shared" si="901"/>
        <v/>
      </c>
      <c r="DG261" s="202" t="str">
        <f t="shared" si="901"/>
        <v/>
      </c>
      <c r="DH261" s="202" t="str">
        <f t="shared" si="901"/>
        <v/>
      </c>
      <c r="DI261" s="202" t="str">
        <f t="shared" si="901"/>
        <v/>
      </c>
      <c r="DJ261" s="202" t="str">
        <f t="shared" si="901"/>
        <v/>
      </c>
      <c r="DK261" s="202" t="str">
        <f t="shared" si="901"/>
        <v/>
      </c>
      <c r="DL261" s="202" t="str">
        <f t="shared" si="901"/>
        <v/>
      </c>
      <c r="DM261" s="202" t="str">
        <f t="shared" si="901"/>
        <v/>
      </c>
      <c r="DN261" s="202" t="str">
        <f t="shared" si="901"/>
        <v/>
      </c>
      <c r="DO261" s="202" t="str">
        <f t="shared" si="901"/>
        <v/>
      </c>
      <c r="DP261" s="202" t="str">
        <f t="shared" si="901"/>
        <v/>
      </c>
      <c r="DQ261" s="202" t="str">
        <f t="shared" si="901"/>
        <v/>
      </c>
      <c r="DR261" s="202" t="str">
        <f t="shared" si="901"/>
        <v/>
      </c>
      <c r="DS261" s="202" t="str">
        <f t="shared" si="901"/>
        <v/>
      </c>
      <c r="DT261" s="202" t="str">
        <f t="shared" si="901"/>
        <v/>
      </c>
      <c r="DU261" s="202" t="str">
        <f t="shared" si="901"/>
        <v/>
      </c>
      <c r="DV261" s="202" t="str">
        <f t="shared" si="901"/>
        <v/>
      </c>
      <c r="DW261" s="202" t="str">
        <f t="shared" si="901"/>
        <v/>
      </c>
      <c r="DX261" s="202" t="str">
        <f t="shared" si="901"/>
        <v/>
      </c>
      <c r="DY261" s="202" t="str">
        <f t="shared" si="901"/>
        <v/>
      </c>
      <c r="DZ261" s="202" t="str">
        <f t="shared" si="901"/>
        <v/>
      </c>
      <c r="EA261" s="202" t="str">
        <f t="shared" si="901"/>
        <v/>
      </c>
      <c r="EB261" s="202" t="str">
        <f t="shared" si="901"/>
        <v/>
      </c>
      <c r="EC261" s="202" t="str">
        <f t="shared" si="901"/>
        <v/>
      </c>
      <c r="ED261" s="202" t="str">
        <f t="shared" si="901"/>
        <v/>
      </c>
      <c r="EE261" s="202" t="str">
        <f t="shared" si="901"/>
        <v/>
      </c>
      <c r="EF261" s="202" t="str">
        <f t="shared" si="901"/>
        <v/>
      </c>
      <c r="EG261" s="202" t="str">
        <f t="shared" si="901"/>
        <v/>
      </c>
      <c r="EH261" s="202" t="str">
        <f t="shared" si="901"/>
        <v/>
      </c>
      <c r="EI261" s="202" t="str">
        <f t="shared" si="901"/>
        <v/>
      </c>
      <c r="EJ261" s="202" t="str">
        <f>IF(EJ$227="","",JT241+JT250+JT259+JT265+(JT$210*$E250))</f>
        <v/>
      </c>
      <c r="EK261" s="202" t="str">
        <f>IF(EK$227="","",JU241+JU250+JU259+JU265+(JU$210*$E250))</f>
        <v/>
      </c>
      <c r="EL261" s="202" t="str">
        <f>IF(EL$227="","",JV241+JV250+JV259+JV265+(JV$210*$E250))</f>
        <v/>
      </c>
      <c r="EM261" s="202" t="str">
        <f>IF(EM$227="","",JW241+JW250+JW259+JW265+(JW$210*$E250))</f>
        <v/>
      </c>
      <c r="EN261" s="202" t="str">
        <f>IF(EN$227="","",JX241+JX250+JX259+JX265+(JX$210*$E250))</f>
        <v/>
      </c>
      <c r="EO261"/>
      <c r="EP261" s="405"/>
      <c r="EQ261" s="18"/>
      <c r="ER261" s="18"/>
      <c r="ES261" s="18" t="s">
        <v>389</v>
      </c>
      <c r="ET261" s="915" t="str">
        <f>IFERROR(XIRR($EV261:INDEX($EV261:$PH261,1,Timing_Reversion_Month+1),$EV$24:INDEX($EV$24:$PH$24,1,Timing_Reversion_Month+1)),"")</f>
        <v/>
      </c>
      <c r="EU261" s="18"/>
      <c r="EV261" s="418">
        <f t="shared" ref="EV261:GA261" si="902">+-EV240+EV258+EV259</f>
        <v>0</v>
      </c>
      <c r="EW261" s="418">
        <f t="shared" si="902"/>
        <v>0</v>
      </c>
      <c r="EX261" s="418">
        <f t="shared" si="902"/>
        <v>0</v>
      </c>
      <c r="EY261" s="418">
        <f t="shared" si="902"/>
        <v>0</v>
      </c>
      <c r="EZ261" s="418">
        <f t="shared" si="902"/>
        <v>0</v>
      </c>
      <c r="FA261" s="418">
        <f t="shared" si="902"/>
        <v>0</v>
      </c>
      <c r="FB261" s="418">
        <f t="shared" si="902"/>
        <v>0</v>
      </c>
      <c r="FC261" s="418">
        <f t="shared" si="902"/>
        <v>0</v>
      </c>
      <c r="FD261" s="418">
        <f t="shared" si="902"/>
        <v>0</v>
      </c>
      <c r="FE261" s="418">
        <f t="shared" si="902"/>
        <v>0</v>
      </c>
      <c r="FF261" s="418">
        <f t="shared" si="902"/>
        <v>0</v>
      </c>
      <c r="FG261" s="418">
        <f t="shared" si="902"/>
        <v>0</v>
      </c>
      <c r="FH261" s="418">
        <f t="shared" si="902"/>
        <v>0</v>
      </c>
      <c r="FI261" s="418">
        <f t="shared" si="902"/>
        <v>0</v>
      </c>
      <c r="FJ261" s="418">
        <f t="shared" si="902"/>
        <v>0</v>
      </c>
      <c r="FK261" s="418">
        <f t="shared" si="902"/>
        <v>0</v>
      </c>
      <c r="FL261" s="418">
        <f t="shared" si="902"/>
        <v>0</v>
      </c>
      <c r="FM261" s="418">
        <f t="shared" si="902"/>
        <v>0</v>
      </c>
      <c r="FN261" s="418">
        <f t="shared" si="902"/>
        <v>0</v>
      </c>
      <c r="FO261" s="418">
        <f t="shared" si="902"/>
        <v>0</v>
      </c>
      <c r="FP261" s="418">
        <f t="shared" si="902"/>
        <v>0</v>
      </c>
      <c r="FQ261" s="418">
        <f t="shared" si="902"/>
        <v>0</v>
      </c>
      <c r="FR261" s="418">
        <f t="shared" si="902"/>
        <v>0</v>
      </c>
      <c r="FS261" s="418">
        <f t="shared" si="902"/>
        <v>0</v>
      </c>
      <c r="FT261" s="418">
        <f t="shared" si="902"/>
        <v>0</v>
      </c>
      <c r="FU261" s="418">
        <f t="shared" si="902"/>
        <v>0</v>
      </c>
      <c r="FV261" s="418">
        <f t="shared" si="902"/>
        <v>0</v>
      </c>
      <c r="FW261" s="418">
        <f t="shared" si="902"/>
        <v>0</v>
      </c>
      <c r="FX261" s="418">
        <f t="shared" si="902"/>
        <v>0</v>
      </c>
      <c r="FY261" s="418">
        <f t="shared" si="902"/>
        <v>0</v>
      </c>
      <c r="FZ261" s="418">
        <f t="shared" si="902"/>
        <v>0</v>
      </c>
      <c r="GA261" s="418">
        <f t="shared" si="902"/>
        <v>0</v>
      </c>
      <c r="GB261" s="418">
        <f t="shared" ref="GB261:HG261" si="903">+-GB240+GB258+GB259</f>
        <v>0</v>
      </c>
      <c r="GC261" s="418">
        <f t="shared" si="903"/>
        <v>0</v>
      </c>
      <c r="GD261" s="418">
        <f t="shared" si="903"/>
        <v>0</v>
      </c>
      <c r="GE261" s="418">
        <f t="shared" si="903"/>
        <v>0</v>
      </c>
      <c r="GF261" s="418">
        <f t="shared" si="903"/>
        <v>0</v>
      </c>
      <c r="GG261" s="418">
        <f t="shared" si="903"/>
        <v>0</v>
      </c>
      <c r="GH261" s="418">
        <f t="shared" si="903"/>
        <v>0</v>
      </c>
      <c r="GI261" s="418">
        <f t="shared" si="903"/>
        <v>0</v>
      </c>
      <c r="GJ261" s="418">
        <f t="shared" si="903"/>
        <v>0</v>
      </c>
      <c r="GK261" s="418">
        <f t="shared" si="903"/>
        <v>0</v>
      </c>
      <c r="GL261" s="418">
        <f t="shared" si="903"/>
        <v>0</v>
      </c>
      <c r="GM261" s="418">
        <f t="shared" si="903"/>
        <v>0</v>
      </c>
      <c r="GN261" s="418">
        <f t="shared" si="903"/>
        <v>0</v>
      </c>
      <c r="GO261" s="418">
        <f t="shared" si="903"/>
        <v>0</v>
      </c>
      <c r="GP261" s="418">
        <f t="shared" si="903"/>
        <v>0</v>
      </c>
      <c r="GQ261" s="418">
        <f t="shared" si="903"/>
        <v>0</v>
      </c>
      <c r="GR261" s="418">
        <f t="shared" si="903"/>
        <v>0</v>
      </c>
      <c r="GS261" s="418">
        <f t="shared" si="903"/>
        <v>0</v>
      </c>
      <c r="GT261" s="418">
        <f t="shared" si="903"/>
        <v>0</v>
      </c>
      <c r="GU261" s="418">
        <f t="shared" si="903"/>
        <v>0</v>
      </c>
      <c r="GV261" s="418">
        <f t="shared" si="903"/>
        <v>0</v>
      </c>
      <c r="GW261" s="418">
        <f t="shared" si="903"/>
        <v>0</v>
      </c>
      <c r="GX261" s="418">
        <f t="shared" si="903"/>
        <v>0</v>
      </c>
      <c r="GY261" s="418">
        <f t="shared" si="903"/>
        <v>0</v>
      </c>
      <c r="GZ261" s="418">
        <f t="shared" si="903"/>
        <v>0</v>
      </c>
      <c r="HA261" s="418">
        <f t="shared" si="903"/>
        <v>0</v>
      </c>
      <c r="HB261" s="418">
        <f t="shared" si="903"/>
        <v>0</v>
      </c>
      <c r="HC261" s="418">
        <f t="shared" si="903"/>
        <v>0</v>
      </c>
      <c r="HD261" s="418">
        <f t="shared" si="903"/>
        <v>0</v>
      </c>
      <c r="HE261" s="418">
        <f t="shared" si="903"/>
        <v>0</v>
      </c>
      <c r="HF261" s="418">
        <f t="shared" si="903"/>
        <v>0</v>
      </c>
      <c r="HG261" s="418">
        <f t="shared" si="903"/>
        <v>0</v>
      </c>
      <c r="HH261" s="418">
        <f t="shared" ref="HH261:IM261" si="904">+-HH240+HH258+HH259</f>
        <v>0</v>
      </c>
      <c r="HI261" s="418">
        <f t="shared" si="904"/>
        <v>0</v>
      </c>
      <c r="HJ261" s="418">
        <f t="shared" si="904"/>
        <v>0</v>
      </c>
      <c r="HK261" s="418">
        <f t="shared" si="904"/>
        <v>0</v>
      </c>
      <c r="HL261" s="418">
        <f t="shared" si="904"/>
        <v>0</v>
      </c>
      <c r="HM261" s="418">
        <f t="shared" si="904"/>
        <v>0</v>
      </c>
      <c r="HN261" s="418">
        <f t="shared" si="904"/>
        <v>0</v>
      </c>
      <c r="HO261" s="418">
        <f t="shared" si="904"/>
        <v>0</v>
      </c>
      <c r="HP261" s="418">
        <f t="shared" si="904"/>
        <v>0</v>
      </c>
      <c r="HQ261" s="418">
        <f t="shared" si="904"/>
        <v>0</v>
      </c>
      <c r="HR261" s="418">
        <f t="shared" si="904"/>
        <v>0</v>
      </c>
      <c r="HS261" s="418">
        <f t="shared" si="904"/>
        <v>0</v>
      </c>
      <c r="HT261" s="418">
        <f t="shared" si="904"/>
        <v>0</v>
      </c>
      <c r="HU261" s="418">
        <f t="shared" si="904"/>
        <v>0</v>
      </c>
      <c r="HV261" s="418">
        <f t="shared" si="904"/>
        <v>0</v>
      </c>
      <c r="HW261" s="418">
        <f t="shared" si="904"/>
        <v>0</v>
      </c>
      <c r="HX261" s="418">
        <f t="shared" si="904"/>
        <v>0</v>
      </c>
      <c r="HY261" s="418">
        <f t="shared" si="904"/>
        <v>0</v>
      </c>
      <c r="HZ261" s="418">
        <f t="shared" si="904"/>
        <v>0</v>
      </c>
      <c r="IA261" s="418">
        <f t="shared" si="904"/>
        <v>0</v>
      </c>
      <c r="IB261" s="418">
        <f t="shared" si="904"/>
        <v>0</v>
      </c>
      <c r="IC261" s="418">
        <f t="shared" si="904"/>
        <v>0</v>
      </c>
      <c r="ID261" s="418">
        <f t="shared" si="904"/>
        <v>0</v>
      </c>
      <c r="IE261" s="418">
        <f t="shared" si="904"/>
        <v>0</v>
      </c>
      <c r="IF261" s="418">
        <f t="shared" si="904"/>
        <v>0</v>
      </c>
      <c r="IG261" s="418">
        <f t="shared" si="904"/>
        <v>0</v>
      </c>
      <c r="IH261" s="418">
        <f t="shared" si="904"/>
        <v>0</v>
      </c>
      <c r="II261" s="418">
        <f t="shared" si="904"/>
        <v>0</v>
      </c>
      <c r="IJ261" s="418">
        <f t="shared" si="904"/>
        <v>0</v>
      </c>
      <c r="IK261" s="418">
        <f t="shared" si="904"/>
        <v>0</v>
      </c>
      <c r="IL261" s="418">
        <f t="shared" si="904"/>
        <v>0</v>
      </c>
      <c r="IM261" s="418">
        <f t="shared" si="904"/>
        <v>0</v>
      </c>
      <c r="IN261" s="418">
        <f t="shared" ref="IN261:JX261" si="905">+-IN240+IN258+IN259</f>
        <v>0</v>
      </c>
      <c r="IO261" s="418">
        <f t="shared" si="905"/>
        <v>0</v>
      </c>
      <c r="IP261" s="418">
        <f t="shared" si="905"/>
        <v>0</v>
      </c>
      <c r="IQ261" s="418">
        <f t="shared" si="905"/>
        <v>0</v>
      </c>
      <c r="IR261" s="418">
        <f t="shared" si="905"/>
        <v>0</v>
      </c>
      <c r="IS261" s="418">
        <f t="shared" si="905"/>
        <v>0</v>
      </c>
      <c r="IT261" s="418">
        <f t="shared" si="905"/>
        <v>0</v>
      </c>
      <c r="IU261" s="418">
        <f t="shared" si="905"/>
        <v>0</v>
      </c>
      <c r="IV261" s="418">
        <f t="shared" si="905"/>
        <v>0</v>
      </c>
      <c r="IW261" s="418">
        <f t="shared" si="905"/>
        <v>0</v>
      </c>
      <c r="IX261" s="418">
        <f t="shared" si="905"/>
        <v>0</v>
      </c>
      <c r="IY261" s="418">
        <f t="shared" si="905"/>
        <v>0</v>
      </c>
      <c r="IZ261" s="418">
        <f t="shared" si="905"/>
        <v>0</v>
      </c>
      <c r="JA261" s="418">
        <f t="shared" si="905"/>
        <v>0</v>
      </c>
      <c r="JB261" s="418">
        <f t="shared" si="905"/>
        <v>0</v>
      </c>
      <c r="JC261" s="418">
        <f t="shared" si="905"/>
        <v>0</v>
      </c>
      <c r="JD261" s="418">
        <f t="shared" si="905"/>
        <v>0</v>
      </c>
      <c r="JE261" s="418">
        <f t="shared" si="905"/>
        <v>0</v>
      </c>
      <c r="JF261" s="418">
        <f t="shared" si="905"/>
        <v>0</v>
      </c>
      <c r="JG261" s="418">
        <f t="shared" si="905"/>
        <v>0</v>
      </c>
      <c r="JH261" s="418">
        <f t="shared" si="905"/>
        <v>0</v>
      </c>
      <c r="JI261" s="418">
        <f t="shared" si="905"/>
        <v>0</v>
      </c>
      <c r="JJ261" s="418">
        <f t="shared" si="905"/>
        <v>0</v>
      </c>
      <c r="JK261" s="418">
        <f t="shared" si="905"/>
        <v>0</v>
      </c>
      <c r="JL261" s="418">
        <f t="shared" si="905"/>
        <v>0</v>
      </c>
      <c r="JM261" s="418">
        <f t="shared" si="905"/>
        <v>0</v>
      </c>
      <c r="JN261" s="418">
        <f t="shared" si="905"/>
        <v>0</v>
      </c>
      <c r="JO261" s="418">
        <f t="shared" si="905"/>
        <v>0</v>
      </c>
      <c r="JP261" s="418">
        <f t="shared" si="905"/>
        <v>0</v>
      </c>
      <c r="JQ261" s="418">
        <f t="shared" si="905"/>
        <v>0</v>
      </c>
      <c r="JR261" s="418">
        <f t="shared" si="905"/>
        <v>0</v>
      </c>
      <c r="JS261" s="418">
        <f t="shared" si="905"/>
        <v>0</v>
      </c>
      <c r="JT261" s="418">
        <f t="shared" si="905"/>
        <v>0</v>
      </c>
      <c r="JU261" s="418">
        <f t="shared" si="905"/>
        <v>0</v>
      </c>
      <c r="JV261" s="418">
        <f t="shared" si="905"/>
        <v>0</v>
      </c>
      <c r="JW261" s="418">
        <f t="shared" si="905"/>
        <v>0</v>
      </c>
      <c r="JX261" s="418">
        <f t="shared" si="905"/>
        <v>0</v>
      </c>
      <c r="JY261"/>
      <c r="JZ261" s="262"/>
      <c r="KA261" s="262"/>
      <c r="KB261" s="262"/>
      <c r="KC261" s="262"/>
      <c r="KD261" s="262"/>
      <c r="KE261" s="262"/>
      <c r="KF261" s="262"/>
      <c r="KG261" s="262"/>
      <c r="KH261" s="262"/>
      <c r="KI261" s="262"/>
      <c r="KJ261" s="262"/>
      <c r="KK261" s="262"/>
      <c r="KL261" s="262"/>
      <c r="KM261" s="262"/>
      <c r="KN261" s="262"/>
      <c r="KO261" s="262"/>
      <c r="KP261" s="262"/>
      <c r="KQ261" s="262"/>
      <c r="KR261" s="262"/>
      <c r="KS261" s="262"/>
      <c r="KT261" s="262"/>
      <c r="KU261" s="262"/>
      <c r="KV261" s="262"/>
      <c r="KW261" s="262"/>
      <c r="KX261" s="262"/>
      <c r="KY261" s="262"/>
      <c r="KZ261" s="262"/>
      <c r="LA261" s="262"/>
      <c r="LB261" s="262"/>
      <c r="LC261" s="262"/>
      <c r="LD261" s="262"/>
      <c r="LE261" s="262"/>
      <c r="LF261" s="262"/>
      <c r="LG261" s="262"/>
      <c r="LH261" s="262"/>
      <c r="LI261" s="262"/>
      <c r="LJ261" s="262"/>
      <c r="LK261" s="262"/>
      <c r="LL261" s="262"/>
      <c r="LM261" s="262"/>
      <c r="LN261" s="262"/>
      <c r="LO261" s="262"/>
      <c r="LP261" s="262"/>
      <c r="LQ261" s="262"/>
      <c r="LR261" s="262"/>
      <c r="LS261" s="262"/>
      <c r="LT261" s="262"/>
      <c r="LU261" s="262"/>
      <c r="LV261" s="262"/>
      <c r="LW261" s="262"/>
      <c r="LX261" s="262"/>
      <c r="LY261" s="262"/>
      <c r="LZ261" s="262"/>
      <c r="MA261" s="262"/>
      <c r="MB261" s="262"/>
      <c r="MC261" s="262"/>
      <c r="MD261" s="262"/>
      <c r="ME261" s="262"/>
      <c r="MF261" s="262"/>
      <c r="MG261" s="262"/>
      <c r="MH261" s="262"/>
      <c r="MI261" s="262"/>
      <c r="MJ261" s="262"/>
      <c r="MK261" s="262"/>
      <c r="ML261" s="262"/>
      <c r="MM261" s="262"/>
      <c r="MN261" s="262"/>
      <c r="MO261" s="262"/>
      <c r="MP261" s="262"/>
      <c r="MQ261" s="262"/>
      <c r="MR261" s="262"/>
      <c r="MS261" s="262"/>
      <c r="MT261" s="262"/>
      <c r="MU261" s="262"/>
      <c r="MV261" s="262"/>
      <c r="MW261" s="262"/>
      <c r="MX261" s="262"/>
      <c r="MY261" s="262"/>
      <c r="MZ261" s="262"/>
      <c r="NA261" s="262"/>
      <c r="NB261" s="262"/>
      <c r="NC261" s="262"/>
      <c r="ND261" s="262"/>
      <c r="NE261" s="262"/>
      <c r="NF261" s="262"/>
      <c r="NG261" s="262"/>
      <c r="NH261" s="262"/>
      <c r="NI261" s="262"/>
      <c r="NJ261" s="262"/>
      <c r="NK261" s="262"/>
      <c r="NL261" s="262"/>
      <c r="NM261" s="262"/>
      <c r="NN261" s="262"/>
      <c r="NO261" s="262"/>
      <c r="NP261" s="262"/>
      <c r="NQ261" s="262"/>
      <c r="NR261" s="262"/>
      <c r="NS261" s="262"/>
      <c r="NT261" s="262"/>
      <c r="NU261" s="262"/>
      <c r="NV261" s="262"/>
      <c r="NW261" s="262"/>
      <c r="NX261" s="262"/>
      <c r="NY261" s="262"/>
      <c r="NZ261" s="262"/>
      <c r="OA261" s="262"/>
      <c r="OB261" s="262"/>
      <c r="OC261" s="262"/>
      <c r="OD261" s="262"/>
      <c r="OE261" s="262"/>
      <c r="OF261" s="262"/>
      <c r="OG261" s="262"/>
      <c r="OH261" s="262"/>
      <c r="OI261" s="262"/>
      <c r="OJ261" s="262"/>
      <c r="OK261" s="262"/>
      <c r="OL261" s="262"/>
      <c r="OM261" s="262"/>
      <c r="ON261" s="262"/>
      <c r="OO261" s="262"/>
      <c r="OP261" s="262"/>
      <c r="OQ261" s="262"/>
      <c r="OR261" s="262"/>
      <c r="OS261" s="262"/>
      <c r="OT261" s="262"/>
      <c r="OU261" s="262"/>
      <c r="OV261" s="262"/>
      <c r="OW261" s="262"/>
      <c r="OX261" s="262"/>
      <c r="OY261" s="262"/>
      <c r="OZ261" s="262"/>
      <c r="PA261" s="262"/>
      <c r="PB261" s="262"/>
      <c r="PC261" s="262"/>
      <c r="PD261" s="262"/>
      <c r="PE261" s="262"/>
      <c r="PF261" s="262"/>
      <c r="PG261" s="262"/>
      <c r="PH261" s="262"/>
    </row>
    <row r="262" spans="1:424" x14ac:dyDescent="0.35">
      <c r="A262"/>
      <c r="B262" s="34" t="s">
        <v>158</v>
      </c>
      <c r="C262" s="397"/>
      <c r="D262" s="397"/>
      <c r="E262" s="397"/>
      <c r="F262" s="397"/>
      <c r="G262" s="397"/>
      <c r="H262" s="57">
        <f>IF($I$241=0,0,I262/$I$241)</f>
        <v>0</v>
      </c>
      <c r="I262" s="545">
        <f>SUM(I260:I261)</f>
        <v>0</v>
      </c>
      <c r="J262"/>
      <c r="K262"/>
      <c r="L262" s="417">
        <f t="shared" ref="L262:AQ262" si="906">IF(L$227="","",SUM(L260:L261))</f>
        <v>0</v>
      </c>
      <c r="M262" s="417">
        <f t="shared" si="906"/>
        <v>0</v>
      </c>
      <c r="N262" s="417">
        <f t="shared" si="906"/>
        <v>0</v>
      </c>
      <c r="O262" s="417">
        <f t="shared" si="906"/>
        <v>0</v>
      </c>
      <c r="P262" s="417">
        <f t="shared" si="906"/>
        <v>0</v>
      </c>
      <c r="Q262" s="417">
        <f t="shared" si="906"/>
        <v>0</v>
      </c>
      <c r="R262" s="417">
        <f t="shared" si="906"/>
        <v>0</v>
      </c>
      <c r="S262" s="417">
        <f t="shared" si="906"/>
        <v>0</v>
      </c>
      <c r="T262" s="417">
        <f t="shared" si="906"/>
        <v>0</v>
      </c>
      <c r="U262" s="417">
        <f t="shared" si="906"/>
        <v>0</v>
      </c>
      <c r="V262" s="417">
        <f t="shared" si="906"/>
        <v>0</v>
      </c>
      <c r="W262" s="417">
        <f t="shared" si="906"/>
        <v>0</v>
      </c>
      <c r="X262" s="417">
        <f t="shared" si="906"/>
        <v>0</v>
      </c>
      <c r="Y262" s="417">
        <f t="shared" si="906"/>
        <v>0</v>
      </c>
      <c r="Z262" s="417">
        <f t="shared" si="906"/>
        <v>0</v>
      </c>
      <c r="AA262" s="417">
        <f t="shared" si="906"/>
        <v>0</v>
      </c>
      <c r="AB262" s="417">
        <f t="shared" si="906"/>
        <v>0</v>
      </c>
      <c r="AC262" s="417">
        <f t="shared" si="906"/>
        <v>0</v>
      </c>
      <c r="AD262" s="417">
        <f t="shared" si="906"/>
        <v>0</v>
      </c>
      <c r="AE262" s="417">
        <f t="shared" si="906"/>
        <v>0</v>
      </c>
      <c r="AF262" s="417">
        <f t="shared" si="906"/>
        <v>0</v>
      </c>
      <c r="AG262" s="417">
        <f t="shared" si="906"/>
        <v>0</v>
      </c>
      <c r="AH262" s="417">
        <f t="shared" si="906"/>
        <v>0</v>
      </c>
      <c r="AI262" s="417">
        <f t="shared" si="906"/>
        <v>0</v>
      </c>
      <c r="AJ262" s="417">
        <f t="shared" si="906"/>
        <v>0</v>
      </c>
      <c r="AK262" s="417">
        <f t="shared" si="906"/>
        <v>0</v>
      </c>
      <c r="AL262" s="417">
        <f t="shared" si="906"/>
        <v>0</v>
      </c>
      <c r="AM262" s="417">
        <f t="shared" si="906"/>
        <v>0</v>
      </c>
      <c r="AN262" s="417">
        <f t="shared" si="906"/>
        <v>0</v>
      </c>
      <c r="AO262" s="417">
        <f t="shared" si="906"/>
        <v>0</v>
      </c>
      <c r="AP262" s="417">
        <f t="shared" si="906"/>
        <v>0</v>
      </c>
      <c r="AQ262" s="417">
        <f t="shared" si="906"/>
        <v>0</v>
      </c>
      <c r="AR262" s="417">
        <f t="shared" ref="AR262:BW262" si="907">IF(AR$227="","",SUM(AR260:AR261))</f>
        <v>0</v>
      </c>
      <c r="AS262" s="417">
        <f t="shared" si="907"/>
        <v>0</v>
      </c>
      <c r="AT262" s="417">
        <f t="shared" si="907"/>
        <v>0</v>
      </c>
      <c r="AU262" s="417">
        <f t="shared" si="907"/>
        <v>0</v>
      </c>
      <c r="AV262" s="417">
        <f t="shared" si="907"/>
        <v>0</v>
      </c>
      <c r="AW262" s="417">
        <f t="shared" si="907"/>
        <v>0</v>
      </c>
      <c r="AX262" s="417">
        <f t="shared" si="907"/>
        <v>0</v>
      </c>
      <c r="AY262" s="417">
        <f t="shared" si="907"/>
        <v>0</v>
      </c>
      <c r="AZ262" s="417">
        <f t="shared" si="907"/>
        <v>0</v>
      </c>
      <c r="BA262" s="417">
        <f t="shared" si="907"/>
        <v>0</v>
      </c>
      <c r="BB262" s="417">
        <f t="shared" si="907"/>
        <v>0</v>
      </c>
      <c r="BC262" s="417">
        <f t="shared" si="907"/>
        <v>0</v>
      </c>
      <c r="BD262" s="75">
        <f t="shared" si="907"/>
        <v>0</v>
      </c>
      <c r="BE262" s="75">
        <f t="shared" si="907"/>
        <v>0</v>
      </c>
      <c r="BF262" s="75">
        <f t="shared" si="907"/>
        <v>0</v>
      </c>
      <c r="BG262" s="75">
        <f t="shared" si="907"/>
        <v>0</v>
      </c>
      <c r="BH262" s="75">
        <f t="shared" si="907"/>
        <v>0</v>
      </c>
      <c r="BI262" s="75">
        <f t="shared" si="907"/>
        <v>0</v>
      </c>
      <c r="BJ262" s="75">
        <f t="shared" si="907"/>
        <v>0</v>
      </c>
      <c r="BK262" s="75">
        <f t="shared" si="907"/>
        <v>0</v>
      </c>
      <c r="BL262" s="75">
        <f t="shared" si="907"/>
        <v>0</v>
      </c>
      <c r="BM262" s="75">
        <f t="shared" si="907"/>
        <v>0</v>
      </c>
      <c r="BN262" s="75">
        <f t="shared" si="907"/>
        <v>0</v>
      </c>
      <c r="BO262" s="75">
        <f t="shared" si="907"/>
        <v>0</v>
      </c>
      <c r="BP262" s="75">
        <f t="shared" si="907"/>
        <v>0</v>
      </c>
      <c r="BQ262" s="75">
        <f t="shared" si="907"/>
        <v>0</v>
      </c>
      <c r="BR262" s="75">
        <f t="shared" si="907"/>
        <v>0</v>
      </c>
      <c r="BS262" s="75">
        <f t="shared" si="907"/>
        <v>0</v>
      </c>
      <c r="BT262" s="75">
        <f t="shared" si="907"/>
        <v>0</v>
      </c>
      <c r="BU262" s="75">
        <f t="shared" si="907"/>
        <v>0</v>
      </c>
      <c r="BV262" s="75" t="str">
        <f t="shared" si="907"/>
        <v/>
      </c>
      <c r="BW262" s="75" t="str">
        <f t="shared" si="907"/>
        <v/>
      </c>
      <c r="BX262" s="75" t="str">
        <f t="shared" ref="BX262:DC262" si="908">IF(BX$227="","",SUM(BX260:BX261))</f>
        <v/>
      </c>
      <c r="BY262" s="75" t="str">
        <f t="shared" si="908"/>
        <v/>
      </c>
      <c r="BZ262" s="75" t="str">
        <f t="shared" si="908"/>
        <v/>
      </c>
      <c r="CA262" s="75" t="str">
        <f t="shared" si="908"/>
        <v/>
      </c>
      <c r="CB262" s="75" t="str">
        <f t="shared" si="908"/>
        <v/>
      </c>
      <c r="CC262" s="75" t="str">
        <f t="shared" si="908"/>
        <v/>
      </c>
      <c r="CD262" s="75" t="str">
        <f t="shared" si="908"/>
        <v/>
      </c>
      <c r="CE262" s="75" t="str">
        <f t="shared" si="908"/>
        <v/>
      </c>
      <c r="CF262" s="75" t="str">
        <f t="shared" si="908"/>
        <v/>
      </c>
      <c r="CG262" s="75" t="str">
        <f t="shared" si="908"/>
        <v/>
      </c>
      <c r="CH262" s="75" t="str">
        <f t="shared" si="908"/>
        <v/>
      </c>
      <c r="CI262" s="75" t="str">
        <f t="shared" si="908"/>
        <v/>
      </c>
      <c r="CJ262" s="75" t="str">
        <f t="shared" si="908"/>
        <v/>
      </c>
      <c r="CK262" s="75" t="str">
        <f t="shared" si="908"/>
        <v/>
      </c>
      <c r="CL262" s="75" t="str">
        <f t="shared" si="908"/>
        <v/>
      </c>
      <c r="CM262" s="75" t="str">
        <f t="shared" si="908"/>
        <v/>
      </c>
      <c r="CN262" s="75" t="str">
        <f t="shared" si="908"/>
        <v/>
      </c>
      <c r="CO262" s="75" t="str">
        <f t="shared" si="908"/>
        <v/>
      </c>
      <c r="CP262" s="75" t="str">
        <f t="shared" si="908"/>
        <v/>
      </c>
      <c r="CQ262" s="75" t="str">
        <f t="shared" si="908"/>
        <v/>
      </c>
      <c r="CR262" s="75" t="str">
        <f t="shared" si="908"/>
        <v/>
      </c>
      <c r="CS262" s="75" t="str">
        <f t="shared" si="908"/>
        <v/>
      </c>
      <c r="CT262" s="75" t="str">
        <f t="shared" si="908"/>
        <v/>
      </c>
      <c r="CU262" s="75" t="str">
        <f t="shared" si="908"/>
        <v/>
      </c>
      <c r="CV262" s="75" t="str">
        <f t="shared" si="908"/>
        <v/>
      </c>
      <c r="CW262" s="75" t="str">
        <f t="shared" si="908"/>
        <v/>
      </c>
      <c r="CX262" s="75" t="str">
        <f t="shared" si="908"/>
        <v/>
      </c>
      <c r="CY262" s="75" t="str">
        <f t="shared" si="908"/>
        <v/>
      </c>
      <c r="CZ262" s="75" t="str">
        <f t="shared" si="908"/>
        <v/>
      </c>
      <c r="DA262" s="75" t="str">
        <f t="shared" si="908"/>
        <v/>
      </c>
      <c r="DB262" s="75" t="str">
        <f t="shared" si="908"/>
        <v/>
      </c>
      <c r="DC262" s="75" t="str">
        <f t="shared" si="908"/>
        <v/>
      </c>
      <c r="DD262" s="75" t="str">
        <f t="shared" ref="DD262:EI262" si="909">IF(DD$227="","",SUM(DD260:DD261))</f>
        <v/>
      </c>
      <c r="DE262" s="75" t="str">
        <f t="shared" si="909"/>
        <v/>
      </c>
      <c r="DF262" s="75" t="str">
        <f t="shared" si="909"/>
        <v/>
      </c>
      <c r="DG262" s="75" t="str">
        <f t="shared" si="909"/>
        <v/>
      </c>
      <c r="DH262" s="75" t="str">
        <f t="shared" si="909"/>
        <v/>
      </c>
      <c r="DI262" s="75" t="str">
        <f t="shared" si="909"/>
        <v/>
      </c>
      <c r="DJ262" s="75" t="str">
        <f t="shared" si="909"/>
        <v/>
      </c>
      <c r="DK262" s="75" t="str">
        <f t="shared" si="909"/>
        <v/>
      </c>
      <c r="DL262" s="75" t="str">
        <f t="shared" si="909"/>
        <v/>
      </c>
      <c r="DM262" s="75" t="str">
        <f t="shared" si="909"/>
        <v/>
      </c>
      <c r="DN262" s="75" t="str">
        <f t="shared" si="909"/>
        <v/>
      </c>
      <c r="DO262" s="75" t="str">
        <f t="shared" si="909"/>
        <v/>
      </c>
      <c r="DP262" s="75" t="str">
        <f t="shared" si="909"/>
        <v/>
      </c>
      <c r="DQ262" s="75" t="str">
        <f t="shared" si="909"/>
        <v/>
      </c>
      <c r="DR262" s="75" t="str">
        <f t="shared" si="909"/>
        <v/>
      </c>
      <c r="DS262" s="75" t="str">
        <f t="shared" si="909"/>
        <v/>
      </c>
      <c r="DT262" s="75" t="str">
        <f t="shared" si="909"/>
        <v/>
      </c>
      <c r="DU262" s="75" t="str">
        <f t="shared" si="909"/>
        <v/>
      </c>
      <c r="DV262" s="75" t="str">
        <f t="shared" si="909"/>
        <v/>
      </c>
      <c r="DW262" s="75" t="str">
        <f t="shared" si="909"/>
        <v/>
      </c>
      <c r="DX262" s="75" t="str">
        <f t="shared" si="909"/>
        <v/>
      </c>
      <c r="DY262" s="75" t="str">
        <f t="shared" si="909"/>
        <v/>
      </c>
      <c r="DZ262" s="75" t="str">
        <f t="shared" si="909"/>
        <v/>
      </c>
      <c r="EA262" s="75" t="str">
        <f t="shared" si="909"/>
        <v/>
      </c>
      <c r="EB262" s="75" t="str">
        <f t="shared" si="909"/>
        <v/>
      </c>
      <c r="EC262" s="75" t="str">
        <f t="shared" si="909"/>
        <v/>
      </c>
      <c r="ED262" s="75" t="str">
        <f t="shared" si="909"/>
        <v/>
      </c>
      <c r="EE262" s="75" t="str">
        <f t="shared" si="909"/>
        <v/>
      </c>
      <c r="EF262" s="75" t="str">
        <f t="shared" si="909"/>
        <v/>
      </c>
      <c r="EG262" s="75" t="str">
        <f t="shared" si="909"/>
        <v/>
      </c>
      <c r="EH262" s="75" t="str">
        <f t="shared" si="909"/>
        <v/>
      </c>
      <c r="EI262" s="75" t="str">
        <f t="shared" si="909"/>
        <v/>
      </c>
      <c r="EJ262" s="75" t="str">
        <f>IF(EJ$227="","",SUM(EJ260:EJ261))</f>
        <v/>
      </c>
      <c r="EK262" s="75" t="str">
        <f>IF(EK$227="","",SUM(EK260:EK261))</f>
        <v/>
      </c>
      <c r="EL262" s="75" t="str">
        <f>IF(EL$227="","",SUM(EL260:EL261))</f>
        <v/>
      </c>
      <c r="EM262" s="75" t="str">
        <f>IF(EM$227="","",SUM(EM260:EM261))</f>
        <v/>
      </c>
      <c r="EN262" s="75" t="str">
        <f>IF(EN$227="","",SUM(EN260:EN261))</f>
        <v/>
      </c>
      <c r="EO262"/>
      <c r="EP262" s="405"/>
      <c r="EQ262" s="18"/>
      <c r="ER262" s="18"/>
      <c r="ES262" s="18"/>
      <c r="ET262" s="18" t="s">
        <v>457</v>
      </c>
      <c r="EU262" s="18"/>
      <c r="EV262" s="418">
        <f t="shared" ref="EV262:GA262" si="910">(EV$197&lt;=Timing_Reversion_Month)*(EV259/$I$256*$H$256)</f>
        <v>0</v>
      </c>
      <c r="EW262" s="418">
        <f t="shared" si="910"/>
        <v>0</v>
      </c>
      <c r="EX262" s="418">
        <f t="shared" si="910"/>
        <v>0</v>
      </c>
      <c r="EY262" s="418">
        <f t="shared" si="910"/>
        <v>0</v>
      </c>
      <c r="EZ262" s="418">
        <f t="shared" si="910"/>
        <v>0</v>
      </c>
      <c r="FA262" s="418">
        <f t="shared" si="910"/>
        <v>0</v>
      </c>
      <c r="FB262" s="418">
        <f t="shared" si="910"/>
        <v>0</v>
      </c>
      <c r="FC262" s="418">
        <f t="shared" si="910"/>
        <v>0</v>
      </c>
      <c r="FD262" s="418">
        <f t="shared" si="910"/>
        <v>0</v>
      </c>
      <c r="FE262" s="418">
        <f t="shared" si="910"/>
        <v>0</v>
      </c>
      <c r="FF262" s="418">
        <f t="shared" si="910"/>
        <v>0</v>
      </c>
      <c r="FG262" s="418">
        <f t="shared" si="910"/>
        <v>0</v>
      </c>
      <c r="FH262" s="418">
        <f t="shared" si="910"/>
        <v>0</v>
      </c>
      <c r="FI262" s="418">
        <f t="shared" si="910"/>
        <v>0</v>
      </c>
      <c r="FJ262" s="418">
        <f t="shared" si="910"/>
        <v>0</v>
      </c>
      <c r="FK262" s="418">
        <f t="shared" si="910"/>
        <v>0</v>
      </c>
      <c r="FL262" s="418">
        <f t="shared" si="910"/>
        <v>0</v>
      </c>
      <c r="FM262" s="418">
        <f t="shared" si="910"/>
        <v>0</v>
      </c>
      <c r="FN262" s="418">
        <f t="shared" si="910"/>
        <v>0</v>
      </c>
      <c r="FO262" s="418">
        <f t="shared" si="910"/>
        <v>0</v>
      </c>
      <c r="FP262" s="418">
        <f t="shared" si="910"/>
        <v>0</v>
      </c>
      <c r="FQ262" s="418">
        <f t="shared" si="910"/>
        <v>0</v>
      </c>
      <c r="FR262" s="418">
        <f t="shared" si="910"/>
        <v>0</v>
      </c>
      <c r="FS262" s="418">
        <f t="shared" si="910"/>
        <v>0</v>
      </c>
      <c r="FT262" s="418">
        <f t="shared" si="910"/>
        <v>0</v>
      </c>
      <c r="FU262" s="418">
        <f t="shared" si="910"/>
        <v>0</v>
      </c>
      <c r="FV262" s="418">
        <f t="shared" si="910"/>
        <v>0</v>
      </c>
      <c r="FW262" s="418">
        <f t="shared" si="910"/>
        <v>0</v>
      </c>
      <c r="FX262" s="418">
        <f t="shared" si="910"/>
        <v>0</v>
      </c>
      <c r="FY262" s="418">
        <f t="shared" si="910"/>
        <v>0</v>
      </c>
      <c r="FZ262" s="418">
        <f t="shared" si="910"/>
        <v>0</v>
      </c>
      <c r="GA262" s="418">
        <f t="shared" si="910"/>
        <v>0</v>
      </c>
      <c r="GB262" s="418">
        <f t="shared" ref="GB262:HG262" si="911">(GB$197&lt;=Timing_Reversion_Month)*(GB259/$I$256*$H$256)</f>
        <v>0</v>
      </c>
      <c r="GC262" s="418">
        <f t="shared" si="911"/>
        <v>0</v>
      </c>
      <c r="GD262" s="418">
        <f t="shared" si="911"/>
        <v>0</v>
      </c>
      <c r="GE262" s="418">
        <f t="shared" si="911"/>
        <v>0</v>
      </c>
      <c r="GF262" s="418">
        <f t="shared" si="911"/>
        <v>0</v>
      </c>
      <c r="GG262" s="418">
        <f t="shared" si="911"/>
        <v>0</v>
      </c>
      <c r="GH262" s="418">
        <f t="shared" si="911"/>
        <v>0</v>
      </c>
      <c r="GI262" s="418">
        <f t="shared" si="911"/>
        <v>0</v>
      </c>
      <c r="GJ262" s="418">
        <f t="shared" si="911"/>
        <v>0</v>
      </c>
      <c r="GK262" s="418">
        <f t="shared" si="911"/>
        <v>0</v>
      </c>
      <c r="GL262" s="418">
        <f t="shared" si="911"/>
        <v>0</v>
      </c>
      <c r="GM262" s="418">
        <f t="shared" si="911"/>
        <v>0</v>
      </c>
      <c r="GN262" s="418">
        <f t="shared" si="911"/>
        <v>0</v>
      </c>
      <c r="GO262" s="418">
        <f t="shared" si="911"/>
        <v>0</v>
      </c>
      <c r="GP262" s="418">
        <f t="shared" si="911"/>
        <v>0</v>
      </c>
      <c r="GQ262" s="418">
        <f t="shared" si="911"/>
        <v>0</v>
      </c>
      <c r="GR262" s="418">
        <f t="shared" si="911"/>
        <v>0</v>
      </c>
      <c r="GS262" s="418">
        <f t="shared" si="911"/>
        <v>0</v>
      </c>
      <c r="GT262" s="418">
        <f t="shared" si="911"/>
        <v>0</v>
      </c>
      <c r="GU262" s="418">
        <f t="shared" si="911"/>
        <v>0</v>
      </c>
      <c r="GV262" s="418">
        <f t="shared" si="911"/>
        <v>0</v>
      </c>
      <c r="GW262" s="418">
        <f t="shared" si="911"/>
        <v>0</v>
      </c>
      <c r="GX262" s="418">
        <f t="shared" si="911"/>
        <v>0</v>
      </c>
      <c r="GY262" s="418">
        <f t="shared" si="911"/>
        <v>0</v>
      </c>
      <c r="GZ262" s="418">
        <f t="shared" si="911"/>
        <v>0</v>
      </c>
      <c r="HA262" s="418">
        <f t="shared" si="911"/>
        <v>0</v>
      </c>
      <c r="HB262" s="418">
        <f t="shared" si="911"/>
        <v>0</v>
      </c>
      <c r="HC262" s="418">
        <f t="shared" si="911"/>
        <v>0</v>
      </c>
      <c r="HD262" s="418">
        <f t="shared" si="911"/>
        <v>0</v>
      </c>
      <c r="HE262" s="418">
        <f t="shared" si="911"/>
        <v>0</v>
      </c>
      <c r="HF262" s="418">
        <f t="shared" si="911"/>
        <v>0</v>
      </c>
      <c r="HG262" s="418">
        <f t="shared" si="911"/>
        <v>0</v>
      </c>
      <c r="HH262" s="418">
        <f t="shared" ref="HH262:IM262" si="912">(HH$197&lt;=Timing_Reversion_Month)*(HH259/$I$256*$H$256)</f>
        <v>0</v>
      </c>
      <c r="HI262" s="418">
        <f t="shared" si="912"/>
        <v>0</v>
      </c>
      <c r="HJ262" s="418">
        <f t="shared" si="912"/>
        <v>0</v>
      </c>
      <c r="HK262" s="418">
        <f t="shared" si="912"/>
        <v>0</v>
      </c>
      <c r="HL262" s="418">
        <f t="shared" si="912"/>
        <v>0</v>
      </c>
      <c r="HM262" s="418">
        <f t="shared" si="912"/>
        <v>0</v>
      </c>
      <c r="HN262" s="418">
        <f t="shared" si="912"/>
        <v>0</v>
      </c>
      <c r="HO262" s="418">
        <f t="shared" si="912"/>
        <v>0</v>
      </c>
      <c r="HP262" s="418">
        <f t="shared" si="912"/>
        <v>0</v>
      </c>
      <c r="HQ262" s="418">
        <f t="shared" si="912"/>
        <v>0</v>
      </c>
      <c r="HR262" s="418">
        <f t="shared" si="912"/>
        <v>0</v>
      </c>
      <c r="HS262" s="418">
        <f t="shared" si="912"/>
        <v>0</v>
      </c>
      <c r="HT262" s="418">
        <f t="shared" si="912"/>
        <v>0</v>
      </c>
      <c r="HU262" s="418">
        <f t="shared" si="912"/>
        <v>0</v>
      </c>
      <c r="HV262" s="418">
        <f t="shared" si="912"/>
        <v>0</v>
      </c>
      <c r="HW262" s="418">
        <f t="shared" si="912"/>
        <v>0</v>
      </c>
      <c r="HX262" s="418">
        <f t="shared" si="912"/>
        <v>0</v>
      </c>
      <c r="HY262" s="418">
        <f t="shared" si="912"/>
        <v>0</v>
      </c>
      <c r="HZ262" s="418">
        <f t="shared" si="912"/>
        <v>0</v>
      </c>
      <c r="IA262" s="418">
        <f t="shared" si="912"/>
        <v>0</v>
      </c>
      <c r="IB262" s="418">
        <f t="shared" si="912"/>
        <v>0</v>
      </c>
      <c r="IC262" s="418">
        <f t="shared" si="912"/>
        <v>0</v>
      </c>
      <c r="ID262" s="418">
        <f t="shared" si="912"/>
        <v>0</v>
      </c>
      <c r="IE262" s="418">
        <f t="shared" si="912"/>
        <v>0</v>
      </c>
      <c r="IF262" s="418">
        <f t="shared" si="912"/>
        <v>0</v>
      </c>
      <c r="IG262" s="418">
        <f t="shared" si="912"/>
        <v>0</v>
      </c>
      <c r="IH262" s="418">
        <f t="shared" si="912"/>
        <v>0</v>
      </c>
      <c r="II262" s="418">
        <f t="shared" si="912"/>
        <v>0</v>
      </c>
      <c r="IJ262" s="418">
        <f t="shared" si="912"/>
        <v>0</v>
      </c>
      <c r="IK262" s="418">
        <f t="shared" si="912"/>
        <v>0</v>
      </c>
      <c r="IL262" s="418">
        <f t="shared" si="912"/>
        <v>0</v>
      </c>
      <c r="IM262" s="418">
        <f t="shared" si="912"/>
        <v>0</v>
      </c>
      <c r="IN262" s="418">
        <f t="shared" ref="IN262:JX262" si="913">(IN$197&lt;=Timing_Reversion_Month)*(IN259/$I$256*$H$256)</f>
        <v>0</v>
      </c>
      <c r="IO262" s="418">
        <f t="shared" si="913"/>
        <v>0</v>
      </c>
      <c r="IP262" s="418">
        <f t="shared" si="913"/>
        <v>0</v>
      </c>
      <c r="IQ262" s="418">
        <f t="shared" si="913"/>
        <v>0</v>
      </c>
      <c r="IR262" s="418">
        <f t="shared" si="913"/>
        <v>0</v>
      </c>
      <c r="IS262" s="418">
        <f t="shared" si="913"/>
        <v>0</v>
      </c>
      <c r="IT262" s="418">
        <f t="shared" si="913"/>
        <v>0</v>
      </c>
      <c r="IU262" s="418">
        <f t="shared" si="913"/>
        <v>0</v>
      </c>
      <c r="IV262" s="418">
        <f t="shared" si="913"/>
        <v>0</v>
      </c>
      <c r="IW262" s="418">
        <f t="shared" si="913"/>
        <v>0</v>
      </c>
      <c r="IX262" s="418">
        <f t="shared" si="913"/>
        <v>0</v>
      </c>
      <c r="IY262" s="418">
        <f t="shared" si="913"/>
        <v>0</v>
      </c>
      <c r="IZ262" s="418">
        <f t="shared" si="913"/>
        <v>0</v>
      </c>
      <c r="JA262" s="418">
        <f t="shared" si="913"/>
        <v>0</v>
      </c>
      <c r="JB262" s="418">
        <f t="shared" si="913"/>
        <v>0</v>
      </c>
      <c r="JC262" s="418">
        <f t="shared" si="913"/>
        <v>0</v>
      </c>
      <c r="JD262" s="418">
        <f t="shared" si="913"/>
        <v>0</v>
      </c>
      <c r="JE262" s="418">
        <f t="shared" si="913"/>
        <v>0</v>
      </c>
      <c r="JF262" s="418">
        <f t="shared" si="913"/>
        <v>0</v>
      </c>
      <c r="JG262" s="418">
        <f t="shared" si="913"/>
        <v>0</v>
      </c>
      <c r="JH262" s="418">
        <f t="shared" si="913"/>
        <v>0</v>
      </c>
      <c r="JI262" s="418">
        <f t="shared" si="913"/>
        <v>0</v>
      </c>
      <c r="JJ262" s="418">
        <f t="shared" si="913"/>
        <v>0</v>
      </c>
      <c r="JK262" s="418">
        <f t="shared" si="913"/>
        <v>0</v>
      </c>
      <c r="JL262" s="418">
        <f t="shared" si="913"/>
        <v>0</v>
      </c>
      <c r="JM262" s="418">
        <f t="shared" si="913"/>
        <v>0</v>
      </c>
      <c r="JN262" s="418">
        <f t="shared" si="913"/>
        <v>0</v>
      </c>
      <c r="JO262" s="418">
        <f t="shared" si="913"/>
        <v>0</v>
      </c>
      <c r="JP262" s="418">
        <f t="shared" si="913"/>
        <v>0</v>
      </c>
      <c r="JQ262" s="418">
        <f t="shared" si="913"/>
        <v>0</v>
      </c>
      <c r="JR262" s="418">
        <f t="shared" si="913"/>
        <v>0</v>
      </c>
      <c r="JS262" s="418">
        <f t="shared" si="913"/>
        <v>0</v>
      </c>
      <c r="JT262" s="418">
        <f t="shared" si="913"/>
        <v>0</v>
      </c>
      <c r="JU262" s="418">
        <f t="shared" si="913"/>
        <v>0</v>
      </c>
      <c r="JV262" s="418">
        <f t="shared" si="913"/>
        <v>0</v>
      </c>
      <c r="JW262" s="418">
        <f t="shared" si="913"/>
        <v>0</v>
      </c>
      <c r="JX262" s="418">
        <f t="shared" si="913"/>
        <v>0</v>
      </c>
      <c r="JY262"/>
      <c r="JZ262" s="262"/>
      <c r="KA262" s="262"/>
      <c r="KB262" s="262"/>
      <c r="KC262" s="262"/>
      <c r="KD262" s="262"/>
      <c r="KE262" s="262"/>
      <c r="KF262" s="262"/>
      <c r="KG262" s="262"/>
      <c r="KH262" s="262"/>
      <c r="KI262" s="262"/>
      <c r="KJ262" s="262"/>
      <c r="KK262" s="262"/>
      <c r="KL262" s="262"/>
      <c r="KM262" s="262"/>
      <c r="KN262" s="262"/>
      <c r="KO262" s="262"/>
      <c r="KP262" s="262"/>
      <c r="KQ262" s="262"/>
      <c r="KR262" s="262"/>
      <c r="KS262" s="262"/>
      <c r="KT262" s="262"/>
      <c r="KU262" s="262"/>
      <c r="KV262" s="262"/>
      <c r="KW262" s="262"/>
      <c r="KX262" s="262"/>
      <c r="KY262" s="262"/>
      <c r="KZ262" s="262"/>
      <c r="LA262" s="262"/>
      <c r="LB262" s="262"/>
      <c r="LC262" s="262"/>
      <c r="LD262" s="262"/>
      <c r="LE262" s="262"/>
      <c r="LF262" s="262"/>
      <c r="LG262" s="262"/>
      <c r="LH262" s="262"/>
      <c r="LI262" s="262"/>
      <c r="LJ262" s="262"/>
      <c r="LK262" s="262"/>
      <c r="LL262" s="262"/>
      <c r="LM262" s="262"/>
      <c r="LN262" s="262"/>
      <c r="LO262" s="262"/>
      <c r="LP262" s="262"/>
      <c r="LQ262" s="262"/>
      <c r="LR262" s="262"/>
      <c r="LS262" s="262"/>
      <c r="LT262" s="262"/>
      <c r="LU262" s="262"/>
      <c r="LV262" s="262"/>
      <c r="LW262" s="262"/>
      <c r="LX262" s="262"/>
      <c r="LY262" s="262"/>
      <c r="LZ262" s="262"/>
      <c r="MA262" s="262"/>
      <c r="MB262" s="262"/>
      <c r="MC262" s="262"/>
      <c r="MD262" s="262"/>
      <c r="ME262" s="262"/>
      <c r="MF262" s="262"/>
      <c r="MG262" s="262"/>
      <c r="MH262" s="262"/>
      <c r="MI262" s="262"/>
      <c r="MJ262" s="262"/>
      <c r="MK262" s="262"/>
      <c r="ML262" s="262"/>
      <c r="MM262" s="262"/>
      <c r="MN262" s="262"/>
      <c r="MO262" s="262"/>
      <c r="MP262" s="262"/>
      <c r="MQ262" s="262"/>
      <c r="MR262" s="262"/>
      <c r="MS262" s="262"/>
      <c r="MT262" s="262"/>
      <c r="MU262" s="262"/>
      <c r="MV262" s="262"/>
      <c r="MW262" s="262"/>
      <c r="MX262" s="262"/>
      <c r="MY262" s="262"/>
      <c r="MZ262" s="262"/>
      <c r="NA262" s="262"/>
      <c r="NB262" s="262"/>
      <c r="NC262" s="262"/>
      <c r="ND262" s="262"/>
      <c r="NE262" s="262"/>
      <c r="NF262" s="262"/>
      <c r="NG262" s="262"/>
      <c r="NH262" s="262"/>
      <c r="NI262" s="262"/>
      <c r="NJ262" s="262"/>
      <c r="NK262" s="262"/>
      <c r="NL262" s="262"/>
      <c r="NM262" s="262"/>
      <c r="NN262" s="262"/>
      <c r="NO262" s="262"/>
      <c r="NP262" s="262"/>
      <c r="NQ262" s="262"/>
      <c r="NR262" s="262"/>
      <c r="NS262" s="262"/>
      <c r="NT262" s="262"/>
      <c r="NU262" s="262"/>
      <c r="NV262" s="262"/>
      <c r="NW262" s="262"/>
      <c r="NX262" s="262"/>
      <c r="NY262" s="262"/>
      <c r="NZ262" s="262"/>
      <c r="OA262" s="262"/>
      <c r="OB262" s="262"/>
      <c r="OC262" s="262"/>
      <c r="OD262" s="262"/>
      <c r="OE262" s="262"/>
      <c r="OF262" s="262"/>
      <c r="OG262" s="262"/>
      <c r="OH262" s="262"/>
      <c r="OI262" s="262"/>
      <c r="OJ262" s="262"/>
      <c r="OK262" s="262"/>
      <c r="OL262" s="262"/>
      <c r="OM262" s="262"/>
      <c r="ON262" s="262"/>
      <c r="OO262" s="262"/>
      <c r="OP262" s="262"/>
      <c r="OQ262" s="262"/>
      <c r="OR262" s="262"/>
      <c r="OS262" s="262"/>
      <c r="OT262" s="262"/>
      <c r="OU262" s="262"/>
      <c r="OV262" s="262"/>
      <c r="OW262" s="262"/>
      <c r="OX262" s="262"/>
      <c r="OY262" s="262"/>
      <c r="OZ262" s="262"/>
      <c r="PA262" s="262"/>
      <c r="PB262" s="262"/>
      <c r="PC262" s="262"/>
      <c r="PD262" s="262"/>
      <c r="PE262" s="262"/>
      <c r="PF262" s="262"/>
      <c r="PG262" s="262"/>
      <c r="PH262" s="262"/>
    </row>
    <row r="263" spans="1:424" x14ac:dyDescent="0.35">
      <c r="A263"/>
      <c r="B263" s="34"/>
      <c r="C263" s="397"/>
      <c r="D263" s="397"/>
      <c r="E263" s="397"/>
      <c r="F263" s="397"/>
      <c r="G263" s="397"/>
      <c r="H263" s="397"/>
      <c r="I263" s="397"/>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s="405"/>
      <c r="EQ263" s="18"/>
      <c r="ER263" s="18"/>
      <c r="ES263" s="18"/>
      <c r="ET263" s="18" t="s">
        <v>431</v>
      </c>
      <c r="EU263" s="18"/>
      <c r="EV263" s="418">
        <f>+EV262+EV259</f>
        <v>0</v>
      </c>
      <c r="EW263" s="418">
        <f t="shared" ref="EW263:HH263" si="914">+EW262+EW259</f>
        <v>0</v>
      </c>
      <c r="EX263" s="418">
        <f t="shared" si="914"/>
        <v>0</v>
      </c>
      <c r="EY263" s="418">
        <f t="shared" si="914"/>
        <v>0</v>
      </c>
      <c r="EZ263" s="418">
        <f t="shared" si="914"/>
        <v>0</v>
      </c>
      <c r="FA263" s="418">
        <f t="shared" si="914"/>
        <v>0</v>
      </c>
      <c r="FB263" s="418">
        <f t="shared" si="914"/>
        <v>0</v>
      </c>
      <c r="FC263" s="418">
        <f t="shared" si="914"/>
        <v>0</v>
      </c>
      <c r="FD263" s="418">
        <f t="shared" si="914"/>
        <v>0</v>
      </c>
      <c r="FE263" s="418">
        <f t="shared" si="914"/>
        <v>0</v>
      </c>
      <c r="FF263" s="418">
        <f t="shared" si="914"/>
        <v>0</v>
      </c>
      <c r="FG263" s="418">
        <f t="shared" si="914"/>
        <v>0</v>
      </c>
      <c r="FH263" s="418">
        <f t="shared" si="914"/>
        <v>0</v>
      </c>
      <c r="FI263" s="418">
        <f t="shared" si="914"/>
        <v>0</v>
      </c>
      <c r="FJ263" s="418">
        <f t="shared" si="914"/>
        <v>0</v>
      </c>
      <c r="FK263" s="418">
        <f t="shared" si="914"/>
        <v>0</v>
      </c>
      <c r="FL263" s="418">
        <f t="shared" si="914"/>
        <v>0</v>
      </c>
      <c r="FM263" s="418">
        <f t="shared" si="914"/>
        <v>0</v>
      </c>
      <c r="FN263" s="418">
        <f t="shared" si="914"/>
        <v>0</v>
      </c>
      <c r="FO263" s="418">
        <f t="shared" si="914"/>
        <v>0</v>
      </c>
      <c r="FP263" s="418">
        <f t="shared" si="914"/>
        <v>0</v>
      </c>
      <c r="FQ263" s="418">
        <f t="shared" si="914"/>
        <v>0</v>
      </c>
      <c r="FR263" s="418">
        <f t="shared" si="914"/>
        <v>0</v>
      </c>
      <c r="FS263" s="418">
        <f t="shared" si="914"/>
        <v>0</v>
      </c>
      <c r="FT263" s="418">
        <f t="shared" si="914"/>
        <v>0</v>
      </c>
      <c r="FU263" s="418">
        <f t="shared" si="914"/>
        <v>0</v>
      </c>
      <c r="FV263" s="418">
        <f t="shared" si="914"/>
        <v>0</v>
      </c>
      <c r="FW263" s="418">
        <f t="shared" si="914"/>
        <v>0</v>
      </c>
      <c r="FX263" s="418">
        <f t="shared" si="914"/>
        <v>0</v>
      </c>
      <c r="FY263" s="418">
        <f t="shared" si="914"/>
        <v>0</v>
      </c>
      <c r="FZ263" s="418">
        <f t="shared" si="914"/>
        <v>0</v>
      </c>
      <c r="GA263" s="418">
        <f t="shared" si="914"/>
        <v>0</v>
      </c>
      <c r="GB263" s="418">
        <f t="shared" si="914"/>
        <v>0</v>
      </c>
      <c r="GC263" s="418">
        <f t="shared" si="914"/>
        <v>0</v>
      </c>
      <c r="GD263" s="418">
        <f t="shared" si="914"/>
        <v>0</v>
      </c>
      <c r="GE263" s="418">
        <f t="shared" si="914"/>
        <v>0</v>
      </c>
      <c r="GF263" s="418">
        <f t="shared" si="914"/>
        <v>0</v>
      </c>
      <c r="GG263" s="418">
        <f t="shared" si="914"/>
        <v>0</v>
      </c>
      <c r="GH263" s="418">
        <f t="shared" si="914"/>
        <v>0</v>
      </c>
      <c r="GI263" s="418">
        <f t="shared" si="914"/>
        <v>0</v>
      </c>
      <c r="GJ263" s="418">
        <f t="shared" si="914"/>
        <v>0</v>
      </c>
      <c r="GK263" s="418">
        <f t="shared" si="914"/>
        <v>0</v>
      </c>
      <c r="GL263" s="418">
        <f t="shared" si="914"/>
        <v>0</v>
      </c>
      <c r="GM263" s="418">
        <f t="shared" si="914"/>
        <v>0</v>
      </c>
      <c r="GN263" s="418">
        <f t="shared" si="914"/>
        <v>0</v>
      </c>
      <c r="GO263" s="418">
        <f t="shared" si="914"/>
        <v>0</v>
      </c>
      <c r="GP263" s="418">
        <f t="shared" si="914"/>
        <v>0</v>
      </c>
      <c r="GQ263" s="418">
        <f t="shared" si="914"/>
        <v>0</v>
      </c>
      <c r="GR263" s="418">
        <f t="shared" si="914"/>
        <v>0</v>
      </c>
      <c r="GS263" s="418">
        <f t="shared" si="914"/>
        <v>0</v>
      </c>
      <c r="GT263" s="418">
        <f t="shared" si="914"/>
        <v>0</v>
      </c>
      <c r="GU263" s="418">
        <f t="shared" si="914"/>
        <v>0</v>
      </c>
      <c r="GV263" s="418">
        <f t="shared" si="914"/>
        <v>0</v>
      </c>
      <c r="GW263" s="418">
        <f t="shared" si="914"/>
        <v>0</v>
      </c>
      <c r="GX263" s="418">
        <f t="shared" si="914"/>
        <v>0</v>
      </c>
      <c r="GY263" s="418">
        <f t="shared" si="914"/>
        <v>0</v>
      </c>
      <c r="GZ263" s="418">
        <f t="shared" si="914"/>
        <v>0</v>
      </c>
      <c r="HA263" s="418">
        <f t="shared" si="914"/>
        <v>0</v>
      </c>
      <c r="HB263" s="418">
        <f t="shared" si="914"/>
        <v>0</v>
      </c>
      <c r="HC263" s="418">
        <f t="shared" si="914"/>
        <v>0</v>
      </c>
      <c r="HD263" s="418">
        <f t="shared" si="914"/>
        <v>0</v>
      </c>
      <c r="HE263" s="418">
        <f t="shared" si="914"/>
        <v>0</v>
      </c>
      <c r="HF263" s="418">
        <f t="shared" si="914"/>
        <v>0</v>
      </c>
      <c r="HG263" s="418">
        <f t="shared" si="914"/>
        <v>0</v>
      </c>
      <c r="HH263" s="418">
        <f t="shared" si="914"/>
        <v>0</v>
      </c>
      <c r="HI263" s="418">
        <f t="shared" ref="HI263:JT263" si="915">+HI262+HI259</f>
        <v>0</v>
      </c>
      <c r="HJ263" s="418">
        <f t="shared" si="915"/>
        <v>0</v>
      </c>
      <c r="HK263" s="418">
        <f t="shared" si="915"/>
        <v>0</v>
      </c>
      <c r="HL263" s="418">
        <f t="shared" si="915"/>
        <v>0</v>
      </c>
      <c r="HM263" s="418">
        <f t="shared" si="915"/>
        <v>0</v>
      </c>
      <c r="HN263" s="418">
        <f t="shared" si="915"/>
        <v>0</v>
      </c>
      <c r="HO263" s="418">
        <f t="shared" si="915"/>
        <v>0</v>
      </c>
      <c r="HP263" s="418">
        <f t="shared" si="915"/>
        <v>0</v>
      </c>
      <c r="HQ263" s="418">
        <f t="shared" si="915"/>
        <v>0</v>
      </c>
      <c r="HR263" s="418">
        <f t="shared" si="915"/>
        <v>0</v>
      </c>
      <c r="HS263" s="418">
        <f t="shared" si="915"/>
        <v>0</v>
      </c>
      <c r="HT263" s="418">
        <f t="shared" si="915"/>
        <v>0</v>
      </c>
      <c r="HU263" s="418">
        <f t="shared" si="915"/>
        <v>0</v>
      </c>
      <c r="HV263" s="418">
        <f t="shared" si="915"/>
        <v>0</v>
      </c>
      <c r="HW263" s="418">
        <f t="shared" si="915"/>
        <v>0</v>
      </c>
      <c r="HX263" s="418">
        <f t="shared" si="915"/>
        <v>0</v>
      </c>
      <c r="HY263" s="418">
        <f t="shared" si="915"/>
        <v>0</v>
      </c>
      <c r="HZ263" s="418">
        <f t="shared" si="915"/>
        <v>0</v>
      </c>
      <c r="IA263" s="418">
        <f t="shared" si="915"/>
        <v>0</v>
      </c>
      <c r="IB263" s="418">
        <f t="shared" si="915"/>
        <v>0</v>
      </c>
      <c r="IC263" s="418">
        <f t="shared" si="915"/>
        <v>0</v>
      </c>
      <c r="ID263" s="418">
        <f t="shared" si="915"/>
        <v>0</v>
      </c>
      <c r="IE263" s="418">
        <f t="shared" si="915"/>
        <v>0</v>
      </c>
      <c r="IF263" s="418">
        <f t="shared" si="915"/>
        <v>0</v>
      </c>
      <c r="IG263" s="418">
        <f t="shared" si="915"/>
        <v>0</v>
      </c>
      <c r="IH263" s="418">
        <f t="shared" si="915"/>
        <v>0</v>
      </c>
      <c r="II263" s="418">
        <f t="shared" si="915"/>
        <v>0</v>
      </c>
      <c r="IJ263" s="418">
        <f t="shared" si="915"/>
        <v>0</v>
      </c>
      <c r="IK263" s="418">
        <f t="shared" si="915"/>
        <v>0</v>
      </c>
      <c r="IL263" s="418">
        <f t="shared" si="915"/>
        <v>0</v>
      </c>
      <c r="IM263" s="418">
        <f t="shared" si="915"/>
        <v>0</v>
      </c>
      <c r="IN263" s="418">
        <f t="shared" si="915"/>
        <v>0</v>
      </c>
      <c r="IO263" s="418">
        <f t="shared" si="915"/>
        <v>0</v>
      </c>
      <c r="IP263" s="418">
        <f t="shared" si="915"/>
        <v>0</v>
      </c>
      <c r="IQ263" s="418">
        <f t="shared" si="915"/>
        <v>0</v>
      </c>
      <c r="IR263" s="418">
        <f t="shared" si="915"/>
        <v>0</v>
      </c>
      <c r="IS263" s="418">
        <f t="shared" si="915"/>
        <v>0</v>
      </c>
      <c r="IT263" s="418">
        <f t="shared" si="915"/>
        <v>0</v>
      </c>
      <c r="IU263" s="418">
        <f t="shared" si="915"/>
        <v>0</v>
      </c>
      <c r="IV263" s="418">
        <f t="shared" si="915"/>
        <v>0</v>
      </c>
      <c r="IW263" s="418">
        <f t="shared" si="915"/>
        <v>0</v>
      </c>
      <c r="IX263" s="418">
        <f t="shared" si="915"/>
        <v>0</v>
      </c>
      <c r="IY263" s="418">
        <f t="shared" si="915"/>
        <v>0</v>
      </c>
      <c r="IZ263" s="418">
        <f t="shared" si="915"/>
        <v>0</v>
      </c>
      <c r="JA263" s="418">
        <f t="shared" si="915"/>
        <v>0</v>
      </c>
      <c r="JB263" s="418">
        <f t="shared" si="915"/>
        <v>0</v>
      </c>
      <c r="JC263" s="418">
        <f t="shared" si="915"/>
        <v>0</v>
      </c>
      <c r="JD263" s="418">
        <f t="shared" si="915"/>
        <v>0</v>
      </c>
      <c r="JE263" s="418">
        <f t="shared" si="915"/>
        <v>0</v>
      </c>
      <c r="JF263" s="418">
        <f t="shared" si="915"/>
        <v>0</v>
      </c>
      <c r="JG263" s="418">
        <f t="shared" si="915"/>
        <v>0</v>
      </c>
      <c r="JH263" s="418">
        <f t="shared" si="915"/>
        <v>0</v>
      </c>
      <c r="JI263" s="418">
        <f t="shared" si="915"/>
        <v>0</v>
      </c>
      <c r="JJ263" s="418">
        <f t="shared" si="915"/>
        <v>0</v>
      </c>
      <c r="JK263" s="418">
        <f t="shared" si="915"/>
        <v>0</v>
      </c>
      <c r="JL263" s="418">
        <f t="shared" si="915"/>
        <v>0</v>
      </c>
      <c r="JM263" s="418">
        <f t="shared" si="915"/>
        <v>0</v>
      </c>
      <c r="JN263" s="418">
        <f t="shared" si="915"/>
        <v>0</v>
      </c>
      <c r="JO263" s="418">
        <f t="shared" si="915"/>
        <v>0</v>
      </c>
      <c r="JP263" s="418">
        <f t="shared" si="915"/>
        <v>0</v>
      </c>
      <c r="JQ263" s="418">
        <f t="shared" si="915"/>
        <v>0</v>
      </c>
      <c r="JR263" s="418">
        <f t="shared" si="915"/>
        <v>0</v>
      </c>
      <c r="JS263" s="418">
        <f t="shared" si="915"/>
        <v>0</v>
      </c>
      <c r="JT263" s="418">
        <f t="shared" si="915"/>
        <v>0</v>
      </c>
      <c r="JU263" s="418">
        <f>+JU262+JU259</f>
        <v>0</v>
      </c>
      <c r="JV263" s="418">
        <f>+JV262+JV259</f>
        <v>0</v>
      </c>
      <c r="JW263" s="418">
        <f>+JW262+JW259</f>
        <v>0</v>
      </c>
      <c r="JX263" s="418">
        <f>+JX262+JX259</f>
        <v>0</v>
      </c>
      <c r="JY263"/>
      <c r="JZ263" s="262"/>
      <c r="KA263" s="262"/>
      <c r="KB263" s="262"/>
      <c r="KC263" s="262"/>
      <c r="KD263" s="262"/>
      <c r="KE263" s="262"/>
      <c r="KF263" s="262"/>
      <c r="KG263" s="262"/>
      <c r="KH263" s="262"/>
      <c r="KI263" s="262"/>
      <c r="KJ263" s="262"/>
      <c r="KK263" s="262"/>
      <c r="KL263" s="262"/>
      <c r="KM263" s="262"/>
      <c r="KN263" s="262"/>
      <c r="KO263" s="262"/>
      <c r="KP263" s="262"/>
      <c r="KQ263" s="262"/>
      <c r="KR263" s="262"/>
      <c r="KS263" s="262"/>
      <c r="KT263" s="262"/>
      <c r="KU263" s="262"/>
      <c r="KV263" s="262"/>
      <c r="KW263" s="262"/>
      <c r="KX263" s="262"/>
      <c r="KY263" s="262"/>
      <c r="KZ263" s="262"/>
      <c r="LA263" s="262"/>
      <c r="LB263" s="262"/>
      <c r="LC263" s="262"/>
      <c r="LD263" s="262"/>
      <c r="LE263" s="262"/>
      <c r="LF263" s="262"/>
      <c r="LG263" s="262"/>
      <c r="LH263" s="262"/>
      <c r="LI263" s="262"/>
      <c r="LJ263" s="262"/>
      <c r="LK263" s="262"/>
      <c r="LL263" s="262"/>
      <c r="LM263" s="262"/>
      <c r="LN263" s="262"/>
      <c r="LO263" s="262"/>
      <c r="LP263" s="262"/>
      <c r="LQ263" s="262"/>
      <c r="LR263" s="262"/>
      <c r="LS263" s="262"/>
      <c r="LT263" s="262"/>
      <c r="LU263" s="262"/>
      <c r="LV263" s="262"/>
      <c r="LW263" s="262"/>
      <c r="LX263" s="262"/>
      <c r="LY263" s="262"/>
      <c r="LZ263" s="262"/>
      <c r="MA263" s="262"/>
      <c r="MB263" s="262"/>
      <c r="MC263" s="262"/>
      <c r="MD263" s="262"/>
      <c r="ME263" s="262"/>
      <c r="MF263" s="262"/>
      <c r="MG263" s="262"/>
      <c r="MH263" s="262"/>
      <c r="MI263" s="262"/>
      <c r="MJ263" s="262"/>
      <c r="MK263" s="262"/>
      <c r="ML263" s="262"/>
      <c r="MM263" s="262"/>
      <c r="MN263" s="262"/>
      <c r="MO263" s="262"/>
      <c r="MP263" s="262"/>
      <c r="MQ263" s="262"/>
      <c r="MR263" s="262"/>
      <c r="MS263" s="262"/>
      <c r="MT263" s="262"/>
      <c r="MU263" s="262"/>
      <c r="MV263" s="262"/>
      <c r="MW263" s="262"/>
      <c r="MX263" s="262"/>
      <c r="MY263" s="262"/>
      <c r="MZ263" s="262"/>
      <c r="NA263" s="262"/>
      <c r="NB263" s="262"/>
      <c r="NC263" s="262"/>
      <c r="ND263" s="262"/>
      <c r="NE263" s="262"/>
      <c r="NF263" s="262"/>
      <c r="NG263" s="262"/>
      <c r="NH263" s="262"/>
      <c r="NI263" s="262"/>
      <c r="NJ263" s="262"/>
      <c r="NK263" s="262"/>
      <c r="NL263" s="262"/>
      <c r="NM263" s="262"/>
      <c r="NN263" s="262"/>
      <c r="NO263" s="262"/>
      <c r="NP263" s="262"/>
      <c r="NQ263" s="262"/>
      <c r="NR263" s="262"/>
      <c r="NS263" s="262"/>
      <c r="NT263" s="262"/>
      <c r="NU263" s="262"/>
      <c r="NV263" s="262"/>
      <c r="NW263" s="262"/>
      <c r="NX263" s="262"/>
      <c r="NY263" s="262"/>
      <c r="NZ263" s="262"/>
      <c r="OA263" s="262"/>
      <c r="OB263" s="262"/>
      <c r="OC263" s="262"/>
      <c r="OD263" s="262"/>
      <c r="OE263" s="262"/>
      <c r="OF263" s="262"/>
      <c r="OG263" s="262"/>
      <c r="OH263" s="262"/>
      <c r="OI263" s="262"/>
      <c r="OJ263" s="262"/>
      <c r="OK263" s="262"/>
      <c r="OL263" s="262"/>
      <c r="OM263" s="262"/>
      <c r="ON263" s="262"/>
      <c r="OO263" s="262"/>
      <c r="OP263" s="262"/>
      <c r="OQ263" s="262"/>
      <c r="OR263" s="262"/>
      <c r="OS263" s="262"/>
      <c r="OT263" s="262"/>
      <c r="OU263" s="262"/>
      <c r="OV263" s="262"/>
      <c r="OW263" s="262"/>
      <c r="OX263" s="262"/>
      <c r="OY263" s="262"/>
      <c r="OZ263" s="262"/>
      <c r="PA263" s="262"/>
      <c r="PB263" s="262"/>
      <c r="PC263" s="262"/>
      <c r="PD263" s="262"/>
      <c r="PE263" s="262"/>
      <c r="PF263" s="262"/>
      <c r="PG263" s="262"/>
      <c r="PH263" s="262"/>
    </row>
    <row r="264" spans="1:424" x14ac:dyDescent="0.35">
      <c r="A264"/>
      <c r="B264" s="411" t="s">
        <v>456</v>
      </c>
      <c r="C264" s="397"/>
      <c r="D264" s="397"/>
      <c r="E264" s="397"/>
      <c r="F264" s="400" t="s">
        <v>61</v>
      </c>
      <c r="G264" s="400" t="s">
        <v>62</v>
      </c>
      <c r="H264" s="412" t="s">
        <v>217</v>
      </c>
      <c r="I264" s="412" t="s">
        <v>85</v>
      </c>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s="537"/>
      <c r="EQ264" s="533"/>
      <c r="ER264" s="533"/>
      <c r="ES264" s="533"/>
      <c r="ET264" s="533" t="s">
        <v>405</v>
      </c>
      <c r="EU264" s="533"/>
      <c r="EV264" s="534">
        <f>MAX(EV255-EV263,0)</f>
        <v>0</v>
      </c>
      <c r="EW264" s="534">
        <f t="shared" ref="EW264:HH264" si="916">MAX(EW255-EW263,0)</f>
        <v>0</v>
      </c>
      <c r="EX264" s="534">
        <f t="shared" si="916"/>
        <v>0</v>
      </c>
      <c r="EY264" s="534">
        <f t="shared" si="916"/>
        <v>0</v>
      </c>
      <c r="EZ264" s="534">
        <f t="shared" si="916"/>
        <v>0</v>
      </c>
      <c r="FA264" s="534">
        <f t="shared" si="916"/>
        <v>0</v>
      </c>
      <c r="FB264" s="534">
        <f t="shared" si="916"/>
        <v>0</v>
      </c>
      <c r="FC264" s="534">
        <f t="shared" si="916"/>
        <v>0</v>
      </c>
      <c r="FD264" s="534">
        <f t="shared" si="916"/>
        <v>0</v>
      </c>
      <c r="FE264" s="534">
        <f t="shared" si="916"/>
        <v>0</v>
      </c>
      <c r="FF264" s="534">
        <f t="shared" si="916"/>
        <v>0</v>
      </c>
      <c r="FG264" s="534">
        <f t="shared" si="916"/>
        <v>0</v>
      </c>
      <c r="FH264" s="534">
        <f t="shared" si="916"/>
        <v>0</v>
      </c>
      <c r="FI264" s="534">
        <f t="shared" si="916"/>
        <v>0</v>
      </c>
      <c r="FJ264" s="534">
        <f t="shared" si="916"/>
        <v>0</v>
      </c>
      <c r="FK264" s="534">
        <f t="shared" si="916"/>
        <v>0</v>
      </c>
      <c r="FL264" s="534">
        <f t="shared" si="916"/>
        <v>0</v>
      </c>
      <c r="FM264" s="534">
        <f t="shared" si="916"/>
        <v>0</v>
      </c>
      <c r="FN264" s="534">
        <f t="shared" si="916"/>
        <v>0</v>
      </c>
      <c r="FO264" s="534">
        <f t="shared" si="916"/>
        <v>0</v>
      </c>
      <c r="FP264" s="534">
        <f t="shared" si="916"/>
        <v>0</v>
      </c>
      <c r="FQ264" s="534">
        <f t="shared" si="916"/>
        <v>0</v>
      </c>
      <c r="FR264" s="534">
        <f t="shared" si="916"/>
        <v>0</v>
      </c>
      <c r="FS264" s="534">
        <f t="shared" si="916"/>
        <v>0</v>
      </c>
      <c r="FT264" s="534">
        <f t="shared" si="916"/>
        <v>0</v>
      </c>
      <c r="FU264" s="534">
        <f t="shared" si="916"/>
        <v>0</v>
      </c>
      <c r="FV264" s="534">
        <f t="shared" si="916"/>
        <v>0</v>
      </c>
      <c r="FW264" s="534">
        <f t="shared" si="916"/>
        <v>0</v>
      </c>
      <c r="FX264" s="534">
        <f t="shared" si="916"/>
        <v>0</v>
      </c>
      <c r="FY264" s="534">
        <f t="shared" si="916"/>
        <v>0</v>
      </c>
      <c r="FZ264" s="534">
        <f t="shared" si="916"/>
        <v>0</v>
      </c>
      <c r="GA264" s="534">
        <f t="shared" si="916"/>
        <v>0</v>
      </c>
      <c r="GB264" s="534">
        <f t="shared" si="916"/>
        <v>0</v>
      </c>
      <c r="GC264" s="534">
        <f t="shared" si="916"/>
        <v>0</v>
      </c>
      <c r="GD264" s="534">
        <f t="shared" si="916"/>
        <v>0</v>
      </c>
      <c r="GE264" s="534">
        <f t="shared" si="916"/>
        <v>0</v>
      </c>
      <c r="GF264" s="534">
        <f t="shared" si="916"/>
        <v>0</v>
      </c>
      <c r="GG264" s="534">
        <f t="shared" si="916"/>
        <v>0</v>
      </c>
      <c r="GH264" s="534">
        <f t="shared" si="916"/>
        <v>0</v>
      </c>
      <c r="GI264" s="534">
        <f t="shared" si="916"/>
        <v>0</v>
      </c>
      <c r="GJ264" s="534">
        <f t="shared" si="916"/>
        <v>0</v>
      </c>
      <c r="GK264" s="534">
        <f t="shared" si="916"/>
        <v>0</v>
      </c>
      <c r="GL264" s="534">
        <f t="shared" si="916"/>
        <v>0</v>
      </c>
      <c r="GM264" s="534">
        <f t="shared" si="916"/>
        <v>0</v>
      </c>
      <c r="GN264" s="534">
        <f t="shared" si="916"/>
        <v>0</v>
      </c>
      <c r="GO264" s="534">
        <f t="shared" si="916"/>
        <v>0</v>
      </c>
      <c r="GP264" s="534">
        <f t="shared" si="916"/>
        <v>0</v>
      </c>
      <c r="GQ264" s="534">
        <f t="shared" si="916"/>
        <v>0</v>
      </c>
      <c r="GR264" s="534">
        <f t="shared" si="916"/>
        <v>0</v>
      </c>
      <c r="GS264" s="534">
        <f t="shared" si="916"/>
        <v>0</v>
      </c>
      <c r="GT264" s="534">
        <f t="shared" si="916"/>
        <v>0</v>
      </c>
      <c r="GU264" s="534">
        <f t="shared" si="916"/>
        <v>0</v>
      </c>
      <c r="GV264" s="534">
        <f t="shared" si="916"/>
        <v>0</v>
      </c>
      <c r="GW264" s="534">
        <f t="shared" si="916"/>
        <v>0</v>
      </c>
      <c r="GX264" s="534">
        <f t="shared" si="916"/>
        <v>0</v>
      </c>
      <c r="GY264" s="534">
        <f t="shared" si="916"/>
        <v>0</v>
      </c>
      <c r="GZ264" s="534">
        <f t="shared" si="916"/>
        <v>0</v>
      </c>
      <c r="HA264" s="534">
        <f t="shared" si="916"/>
        <v>0</v>
      </c>
      <c r="HB264" s="534">
        <f t="shared" si="916"/>
        <v>0</v>
      </c>
      <c r="HC264" s="534">
        <f t="shared" si="916"/>
        <v>0</v>
      </c>
      <c r="HD264" s="534">
        <f t="shared" si="916"/>
        <v>0</v>
      </c>
      <c r="HE264" s="534">
        <f t="shared" si="916"/>
        <v>0</v>
      </c>
      <c r="HF264" s="534">
        <f t="shared" si="916"/>
        <v>0</v>
      </c>
      <c r="HG264" s="534">
        <f t="shared" si="916"/>
        <v>0</v>
      </c>
      <c r="HH264" s="534">
        <f t="shared" si="916"/>
        <v>0</v>
      </c>
      <c r="HI264" s="534">
        <f t="shared" ref="HI264:JT264" si="917">MAX(HI255-HI263,0)</f>
        <v>0</v>
      </c>
      <c r="HJ264" s="534">
        <f t="shared" si="917"/>
        <v>0</v>
      </c>
      <c r="HK264" s="534">
        <f t="shared" si="917"/>
        <v>0</v>
      </c>
      <c r="HL264" s="534">
        <f t="shared" si="917"/>
        <v>0</v>
      </c>
      <c r="HM264" s="534">
        <f t="shared" si="917"/>
        <v>0</v>
      </c>
      <c r="HN264" s="534">
        <f t="shared" si="917"/>
        <v>0</v>
      </c>
      <c r="HO264" s="534">
        <f t="shared" si="917"/>
        <v>0</v>
      </c>
      <c r="HP264" s="534">
        <f t="shared" si="917"/>
        <v>0</v>
      </c>
      <c r="HQ264" s="534">
        <f t="shared" si="917"/>
        <v>0</v>
      </c>
      <c r="HR264" s="534">
        <f t="shared" si="917"/>
        <v>0</v>
      </c>
      <c r="HS264" s="534">
        <f t="shared" si="917"/>
        <v>0</v>
      </c>
      <c r="HT264" s="534">
        <f t="shared" si="917"/>
        <v>0</v>
      </c>
      <c r="HU264" s="534">
        <f t="shared" si="917"/>
        <v>0</v>
      </c>
      <c r="HV264" s="534">
        <f t="shared" si="917"/>
        <v>0</v>
      </c>
      <c r="HW264" s="534">
        <f t="shared" si="917"/>
        <v>0</v>
      </c>
      <c r="HX264" s="534">
        <f t="shared" si="917"/>
        <v>0</v>
      </c>
      <c r="HY264" s="534">
        <f t="shared" si="917"/>
        <v>0</v>
      </c>
      <c r="HZ264" s="534">
        <f t="shared" si="917"/>
        <v>0</v>
      </c>
      <c r="IA264" s="534">
        <f t="shared" si="917"/>
        <v>0</v>
      </c>
      <c r="IB264" s="534">
        <f t="shared" si="917"/>
        <v>0</v>
      </c>
      <c r="IC264" s="534">
        <f t="shared" si="917"/>
        <v>0</v>
      </c>
      <c r="ID264" s="534">
        <f t="shared" si="917"/>
        <v>0</v>
      </c>
      <c r="IE264" s="534">
        <f t="shared" si="917"/>
        <v>0</v>
      </c>
      <c r="IF264" s="534">
        <f t="shared" si="917"/>
        <v>0</v>
      </c>
      <c r="IG264" s="534">
        <f t="shared" si="917"/>
        <v>0</v>
      </c>
      <c r="IH264" s="534">
        <f t="shared" si="917"/>
        <v>0</v>
      </c>
      <c r="II264" s="534">
        <f t="shared" si="917"/>
        <v>0</v>
      </c>
      <c r="IJ264" s="534">
        <f t="shared" si="917"/>
        <v>0</v>
      </c>
      <c r="IK264" s="534">
        <f t="shared" si="917"/>
        <v>0</v>
      </c>
      <c r="IL264" s="534">
        <f t="shared" si="917"/>
        <v>0</v>
      </c>
      <c r="IM264" s="534">
        <f t="shared" si="917"/>
        <v>0</v>
      </c>
      <c r="IN264" s="534">
        <f t="shared" si="917"/>
        <v>0</v>
      </c>
      <c r="IO264" s="534">
        <f t="shared" si="917"/>
        <v>0</v>
      </c>
      <c r="IP264" s="534">
        <f t="shared" si="917"/>
        <v>0</v>
      </c>
      <c r="IQ264" s="534">
        <f t="shared" si="917"/>
        <v>0</v>
      </c>
      <c r="IR264" s="534">
        <f t="shared" si="917"/>
        <v>0</v>
      </c>
      <c r="IS264" s="534">
        <f t="shared" si="917"/>
        <v>0</v>
      </c>
      <c r="IT264" s="534">
        <f t="shared" si="917"/>
        <v>0</v>
      </c>
      <c r="IU264" s="534">
        <f t="shared" si="917"/>
        <v>0</v>
      </c>
      <c r="IV264" s="534">
        <f t="shared" si="917"/>
        <v>0</v>
      </c>
      <c r="IW264" s="534">
        <f t="shared" si="917"/>
        <v>0</v>
      </c>
      <c r="IX264" s="534">
        <f t="shared" si="917"/>
        <v>0</v>
      </c>
      <c r="IY264" s="534">
        <f t="shared" si="917"/>
        <v>0</v>
      </c>
      <c r="IZ264" s="534">
        <f t="shared" si="917"/>
        <v>0</v>
      </c>
      <c r="JA264" s="534">
        <f t="shared" si="917"/>
        <v>0</v>
      </c>
      <c r="JB264" s="534">
        <f t="shared" si="917"/>
        <v>0</v>
      </c>
      <c r="JC264" s="534">
        <f t="shared" si="917"/>
        <v>0</v>
      </c>
      <c r="JD264" s="534">
        <f t="shared" si="917"/>
        <v>0</v>
      </c>
      <c r="JE264" s="534">
        <f t="shared" si="917"/>
        <v>0</v>
      </c>
      <c r="JF264" s="534">
        <f t="shared" si="917"/>
        <v>0</v>
      </c>
      <c r="JG264" s="534">
        <f t="shared" si="917"/>
        <v>0</v>
      </c>
      <c r="JH264" s="534">
        <f t="shared" si="917"/>
        <v>0</v>
      </c>
      <c r="JI264" s="534">
        <f t="shared" si="917"/>
        <v>0</v>
      </c>
      <c r="JJ264" s="534">
        <f t="shared" si="917"/>
        <v>0</v>
      </c>
      <c r="JK264" s="534">
        <f t="shared" si="917"/>
        <v>0</v>
      </c>
      <c r="JL264" s="534">
        <f t="shared" si="917"/>
        <v>0</v>
      </c>
      <c r="JM264" s="534">
        <f t="shared" si="917"/>
        <v>0</v>
      </c>
      <c r="JN264" s="534">
        <f t="shared" si="917"/>
        <v>0</v>
      </c>
      <c r="JO264" s="534">
        <f t="shared" si="917"/>
        <v>0</v>
      </c>
      <c r="JP264" s="534">
        <f t="shared" si="917"/>
        <v>0</v>
      </c>
      <c r="JQ264" s="534">
        <f t="shared" si="917"/>
        <v>0</v>
      </c>
      <c r="JR264" s="534">
        <f t="shared" si="917"/>
        <v>0</v>
      </c>
      <c r="JS264" s="534">
        <f t="shared" si="917"/>
        <v>0</v>
      </c>
      <c r="JT264" s="534">
        <f t="shared" si="917"/>
        <v>0</v>
      </c>
      <c r="JU264" s="534">
        <f>MAX(JU255-JU263,0)</f>
        <v>0</v>
      </c>
      <c r="JV264" s="534">
        <f>MAX(JV255-JV263,0)</f>
        <v>0</v>
      </c>
      <c r="JW264" s="534">
        <f>MAX(JW255-JW263,0)</f>
        <v>0</v>
      </c>
      <c r="JX264" s="534">
        <f>MAX(JX255-JX263,0)</f>
        <v>0</v>
      </c>
      <c r="JY264"/>
      <c r="JZ264" s="262"/>
      <c r="KA264" s="262"/>
      <c r="KB264" s="262"/>
      <c r="KC264" s="262"/>
      <c r="KD264" s="262"/>
      <c r="KE264" s="262"/>
      <c r="KF264" s="262"/>
      <c r="KG264" s="262"/>
      <c r="KH264" s="262"/>
      <c r="KI264" s="262"/>
      <c r="KJ264" s="262"/>
      <c r="KK264" s="262"/>
      <c r="KL264" s="262"/>
      <c r="KM264" s="262"/>
      <c r="KN264" s="262"/>
      <c r="KO264" s="262"/>
      <c r="KP264" s="262"/>
      <c r="KQ264" s="262"/>
      <c r="KR264" s="262"/>
      <c r="KS264" s="262"/>
      <c r="KT264" s="262"/>
      <c r="KU264" s="262"/>
      <c r="KV264" s="262"/>
      <c r="KW264" s="262"/>
      <c r="KX264" s="262"/>
      <c r="KY264" s="262"/>
      <c r="KZ264" s="262"/>
      <c r="LA264" s="262"/>
      <c r="LB264" s="262"/>
      <c r="LC264" s="262"/>
      <c r="LD264" s="262"/>
      <c r="LE264" s="262"/>
      <c r="LF264" s="262"/>
      <c r="LG264" s="262"/>
      <c r="LH264" s="262"/>
      <c r="LI264" s="262"/>
      <c r="LJ264" s="262"/>
      <c r="LK264" s="262"/>
      <c r="LL264" s="262"/>
      <c r="LM264" s="262"/>
      <c r="LN264" s="262"/>
      <c r="LO264" s="262"/>
      <c r="LP264" s="262"/>
      <c r="LQ264" s="262"/>
      <c r="LR264" s="262"/>
      <c r="LS264" s="262"/>
      <c r="LT264" s="262"/>
      <c r="LU264" s="262"/>
      <c r="LV264" s="262"/>
      <c r="LW264" s="262"/>
      <c r="LX264" s="262"/>
      <c r="LY264" s="262"/>
      <c r="LZ264" s="262"/>
      <c r="MA264" s="262"/>
      <c r="MB264" s="262"/>
      <c r="MC264" s="262"/>
      <c r="MD264" s="262"/>
      <c r="ME264" s="262"/>
      <c r="MF264" s="262"/>
      <c r="MG264" s="262"/>
      <c r="MH264" s="262"/>
      <c r="MI264" s="262"/>
      <c r="MJ264" s="262"/>
      <c r="MK264" s="262"/>
      <c r="ML264" s="262"/>
      <c r="MM264" s="262"/>
      <c r="MN264" s="262"/>
      <c r="MO264" s="262"/>
      <c r="MP264" s="262"/>
      <c r="MQ264" s="262"/>
      <c r="MR264" s="262"/>
      <c r="MS264" s="262"/>
      <c r="MT264" s="262"/>
      <c r="MU264" s="262"/>
      <c r="MV264" s="262"/>
      <c r="MW264" s="262"/>
      <c r="MX264" s="262"/>
      <c r="MY264" s="262"/>
      <c r="MZ264" s="262"/>
      <c r="NA264" s="262"/>
      <c r="NB264" s="262"/>
      <c r="NC264" s="262"/>
      <c r="ND264" s="262"/>
      <c r="NE264" s="262"/>
      <c r="NF264" s="262"/>
      <c r="NG264" s="262"/>
      <c r="NH264" s="262"/>
      <c r="NI264" s="262"/>
      <c r="NJ264" s="262"/>
      <c r="NK264" s="262"/>
      <c r="NL264" s="262"/>
      <c r="NM264" s="262"/>
      <c r="NN264" s="262"/>
      <c r="NO264" s="262"/>
      <c r="NP264" s="262"/>
      <c r="NQ264" s="262"/>
      <c r="NR264" s="262"/>
      <c r="NS264" s="262"/>
      <c r="NT264" s="262"/>
      <c r="NU264" s="262"/>
      <c r="NV264" s="262"/>
      <c r="NW264" s="262"/>
      <c r="NX264" s="262"/>
      <c r="NY264" s="262"/>
      <c r="NZ264" s="262"/>
      <c r="OA264" s="262"/>
      <c r="OB264" s="262"/>
      <c r="OC264" s="262"/>
      <c r="OD264" s="262"/>
      <c r="OE264" s="262"/>
      <c r="OF264" s="262"/>
      <c r="OG264" s="262"/>
      <c r="OH264" s="262"/>
      <c r="OI264" s="262"/>
      <c r="OJ264" s="262"/>
      <c r="OK264" s="262"/>
      <c r="OL264" s="262"/>
      <c r="OM264" s="262"/>
      <c r="ON264" s="262"/>
      <c r="OO264" s="262"/>
      <c r="OP264" s="262"/>
      <c r="OQ264" s="262"/>
      <c r="OR264" s="262"/>
      <c r="OS264" s="262"/>
      <c r="OT264" s="262"/>
      <c r="OU264" s="262"/>
      <c r="OV264" s="262"/>
      <c r="OW264" s="262"/>
      <c r="OX264" s="262"/>
      <c r="OY264" s="262"/>
      <c r="OZ264" s="262"/>
      <c r="PA264" s="262"/>
      <c r="PB264" s="262"/>
      <c r="PC264" s="262"/>
      <c r="PD264" s="262"/>
      <c r="PE264" s="262"/>
      <c r="PF264" s="262"/>
      <c r="PG264" s="262"/>
      <c r="PH264" s="262"/>
    </row>
    <row r="265" spans="1:424" x14ac:dyDescent="0.35">
      <c r="A265"/>
      <c r="B265" s="34" t="str">
        <f>B249</f>
        <v>GP 1</v>
      </c>
      <c r="C265" s="542" t="str">
        <f>C249</f>
        <v>[General Partner 1 Name]</v>
      </c>
      <c r="D265" s="397"/>
      <c r="E265" s="397"/>
      <c r="F265" s="538" t="str">
        <f>IFERROR(I260/I249,"NA")</f>
        <v>NA</v>
      </c>
      <c r="G265" s="39" t="str">
        <f>IFERROR(IF($L$57=0,XIRR($M$265:INDEX($M$265:$EN$265,1,Timing_Analysis_End_Month),$M$195:INDEX($M$195:$EN$195,1,Timing_Analysis_End_Month)),XIRR($L$265:INDEX($L$265:$EN$265,1,Timing_Analysis_End_Month+1),$L$195:INDEX($L$195:$EN$195,1,Timing_Analysis_End_Month+1))),"NA")</f>
        <v>NA</v>
      </c>
      <c r="H265" s="52">
        <f>IF($I$246=0,0,I265/$I$246)</f>
        <v>0</v>
      </c>
      <c r="I265" s="445">
        <f>SUM(L265:EN265)</f>
        <v>0</v>
      </c>
      <c r="J265"/>
      <c r="K265"/>
      <c r="L265" s="417">
        <f>IF(L$227="","",-L249+L260)</f>
        <v>0</v>
      </c>
      <c r="M265" s="417">
        <f t="shared" ref="M265:AQ265" si="918">IF(M$227="","",-M249+M260)</f>
        <v>0</v>
      </c>
      <c r="N265" s="417">
        <f t="shared" si="918"/>
        <v>0</v>
      </c>
      <c r="O265" s="417">
        <f t="shared" si="918"/>
        <v>0</v>
      </c>
      <c r="P265" s="417">
        <f t="shared" si="918"/>
        <v>0</v>
      </c>
      <c r="Q265" s="417">
        <f t="shared" si="918"/>
        <v>0</v>
      </c>
      <c r="R265" s="417">
        <f t="shared" si="918"/>
        <v>0</v>
      </c>
      <c r="S265" s="417">
        <f t="shared" si="918"/>
        <v>0</v>
      </c>
      <c r="T265" s="417">
        <f t="shared" si="918"/>
        <v>0</v>
      </c>
      <c r="U265" s="417">
        <f t="shared" si="918"/>
        <v>0</v>
      </c>
      <c r="V265" s="417">
        <f t="shared" si="918"/>
        <v>0</v>
      </c>
      <c r="W265" s="417">
        <f t="shared" si="918"/>
        <v>0</v>
      </c>
      <c r="X265" s="417">
        <f t="shared" si="918"/>
        <v>0</v>
      </c>
      <c r="Y265" s="417">
        <f t="shared" si="918"/>
        <v>0</v>
      </c>
      <c r="Z265" s="417">
        <f t="shared" si="918"/>
        <v>0</v>
      </c>
      <c r="AA265" s="417">
        <f t="shared" si="918"/>
        <v>0</v>
      </c>
      <c r="AB265" s="417">
        <f t="shared" si="918"/>
        <v>0</v>
      </c>
      <c r="AC265" s="417">
        <f t="shared" si="918"/>
        <v>0</v>
      </c>
      <c r="AD265" s="417">
        <f t="shared" si="918"/>
        <v>0</v>
      </c>
      <c r="AE265" s="417">
        <f t="shared" si="918"/>
        <v>0</v>
      </c>
      <c r="AF265" s="417">
        <f t="shared" si="918"/>
        <v>0</v>
      </c>
      <c r="AG265" s="417">
        <f t="shared" si="918"/>
        <v>0</v>
      </c>
      <c r="AH265" s="417">
        <f t="shared" si="918"/>
        <v>0</v>
      </c>
      <c r="AI265" s="417">
        <f t="shared" si="918"/>
        <v>0</v>
      </c>
      <c r="AJ265" s="417">
        <f t="shared" si="918"/>
        <v>0</v>
      </c>
      <c r="AK265" s="417">
        <f t="shared" si="918"/>
        <v>0</v>
      </c>
      <c r="AL265" s="417">
        <f t="shared" si="918"/>
        <v>0</v>
      </c>
      <c r="AM265" s="417">
        <f t="shared" si="918"/>
        <v>0</v>
      </c>
      <c r="AN265" s="417">
        <f t="shared" si="918"/>
        <v>0</v>
      </c>
      <c r="AO265" s="417">
        <f t="shared" si="918"/>
        <v>0</v>
      </c>
      <c r="AP265" s="417">
        <f t="shared" si="918"/>
        <v>0</v>
      </c>
      <c r="AQ265" s="417">
        <f t="shared" si="918"/>
        <v>0</v>
      </c>
      <c r="AR265" s="417">
        <f t="shared" ref="AR265:BW265" si="919">IF(AR$227="","",-AR249+AR260)</f>
        <v>0</v>
      </c>
      <c r="AS265" s="417">
        <f t="shared" si="919"/>
        <v>0</v>
      </c>
      <c r="AT265" s="417">
        <f t="shared" si="919"/>
        <v>0</v>
      </c>
      <c r="AU265" s="417">
        <f t="shared" si="919"/>
        <v>0</v>
      </c>
      <c r="AV265" s="417">
        <f t="shared" si="919"/>
        <v>0</v>
      </c>
      <c r="AW265" s="417">
        <f t="shared" si="919"/>
        <v>0</v>
      </c>
      <c r="AX265" s="417">
        <f t="shared" si="919"/>
        <v>0</v>
      </c>
      <c r="AY265" s="417">
        <f t="shared" si="919"/>
        <v>0</v>
      </c>
      <c r="AZ265" s="417">
        <f t="shared" si="919"/>
        <v>0</v>
      </c>
      <c r="BA265" s="417">
        <f t="shared" si="919"/>
        <v>0</v>
      </c>
      <c r="BB265" s="417">
        <f t="shared" si="919"/>
        <v>0</v>
      </c>
      <c r="BC265" s="417">
        <f t="shared" si="919"/>
        <v>0</v>
      </c>
      <c r="BD265" s="75">
        <f t="shared" si="919"/>
        <v>0</v>
      </c>
      <c r="BE265" s="75">
        <f t="shared" si="919"/>
        <v>0</v>
      </c>
      <c r="BF265" s="75">
        <f t="shared" si="919"/>
        <v>0</v>
      </c>
      <c r="BG265" s="75">
        <f t="shared" si="919"/>
        <v>0</v>
      </c>
      <c r="BH265" s="75">
        <f t="shared" si="919"/>
        <v>0</v>
      </c>
      <c r="BI265" s="75">
        <f t="shared" si="919"/>
        <v>0</v>
      </c>
      <c r="BJ265" s="75">
        <f t="shared" si="919"/>
        <v>0</v>
      </c>
      <c r="BK265" s="75">
        <f t="shared" si="919"/>
        <v>0</v>
      </c>
      <c r="BL265" s="75">
        <f t="shared" si="919"/>
        <v>0</v>
      </c>
      <c r="BM265" s="75">
        <f t="shared" si="919"/>
        <v>0</v>
      </c>
      <c r="BN265" s="75">
        <f t="shared" si="919"/>
        <v>0</v>
      </c>
      <c r="BO265" s="75">
        <f t="shared" si="919"/>
        <v>0</v>
      </c>
      <c r="BP265" s="75">
        <f t="shared" si="919"/>
        <v>0</v>
      </c>
      <c r="BQ265" s="75">
        <f t="shared" si="919"/>
        <v>0</v>
      </c>
      <c r="BR265" s="75">
        <f t="shared" si="919"/>
        <v>0</v>
      </c>
      <c r="BS265" s="75">
        <f t="shared" si="919"/>
        <v>0</v>
      </c>
      <c r="BT265" s="75">
        <f t="shared" si="919"/>
        <v>0</v>
      </c>
      <c r="BU265" s="75">
        <f t="shared" si="919"/>
        <v>0</v>
      </c>
      <c r="BV265" s="75" t="str">
        <f t="shared" si="919"/>
        <v/>
      </c>
      <c r="BW265" s="75" t="str">
        <f t="shared" si="919"/>
        <v/>
      </c>
      <c r="BX265" s="75" t="str">
        <f t="shared" ref="BX265:DC265" si="920">IF(BX$227="","",-BX249+BX260)</f>
        <v/>
      </c>
      <c r="BY265" s="75" t="str">
        <f t="shared" si="920"/>
        <v/>
      </c>
      <c r="BZ265" s="75" t="str">
        <f t="shared" si="920"/>
        <v/>
      </c>
      <c r="CA265" s="75" t="str">
        <f t="shared" si="920"/>
        <v/>
      </c>
      <c r="CB265" s="75" t="str">
        <f t="shared" si="920"/>
        <v/>
      </c>
      <c r="CC265" s="75" t="str">
        <f t="shared" si="920"/>
        <v/>
      </c>
      <c r="CD265" s="75" t="str">
        <f t="shared" si="920"/>
        <v/>
      </c>
      <c r="CE265" s="75" t="str">
        <f t="shared" si="920"/>
        <v/>
      </c>
      <c r="CF265" s="75" t="str">
        <f t="shared" si="920"/>
        <v/>
      </c>
      <c r="CG265" s="75" t="str">
        <f t="shared" si="920"/>
        <v/>
      </c>
      <c r="CH265" s="75" t="str">
        <f t="shared" si="920"/>
        <v/>
      </c>
      <c r="CI265" s="75" t="str">
        <f t="shared" si="920"/>
        <v/>
      </c>
      <c r="CJ265" s="75" t="str">
        <f t="shared" si="920"/>
        <v/>
      </c>
      <c r="CK265" s="75" t="str">
        <f t="shared" si="920"/>
        <v/>
      </c>
      <c r="CL265" s="75" t="str">
        <f t="shared" si="920"/>
        <v/>
      </c>
      <c r="CM265" s="75" t="str">
        <f t="shared" si="920"/>
        <v/>
      </c>
      <c r="CN265" s="75" t="str">
        <f t="shared" si="920"/>
        <v/>
      </c>
      <c r="CO265" s="75" t="str">
        <f t="shared" si="920"/>
        <v/>
      </c>
      <c r="CP265" s="75" t="str">
        <f t="shared" si="920"/>
        <v/>
      </c>
      <c r="CQ265" s="75" t="str">
        <f t="shared" si="920"/>
        <v/>
      </c>
      <c r="CR265" s="75" t="str">
        <f t="shared" si="920"/>
        <v/>
      </c>
      <c r="CS265" s="75" t="str">
        <f t="shared" si="920"/>
        <v/>
      </c>
      <c r="CT265" s="75" t="str">
        <f t="shared" si="920"/>
        <v/>
      </c>
      <c r="CU265" s="75" t="str">
        <f t="shared" si="920"/>
        <v/>
      </c>
      <c r="CV265" s="75" t="str">
        <f t="shared" si="920"/>
        <v/>
      </c>
      <c r="CW265" s="75" t="str">
        <f t="shared" si="920"/>
        <v/>
      </c>
      <c r="CX265" s="75" t="str">
        <f t="shared" si="920"/>
        <v/>
      </c>
      <c r="CY265" s="75" t="str">
        <f t="shared" si="920"/>
        <v/>
      </c>
      <c r="CZ265" s="75" t="str">
        <f t="shared" si="920"/>
        <v/>
      </c>
      <c r="DA265" s="75" t="str">
        <f t="shared" si="920"/>
        <v/>
      </c>
      <c r="DB265" s="75" t="str">
        <f t="shared" si="920"/>
        <v/>
      </c>
      <c r="DC265" s="75" t="str">
        <f t="shared" si="920"/>
        <v/>
      </c>
      <c r="DD265" s="75" t="str">
        <f t="shared" ref="DD265:EN265" si="921">IF(DD$227="","",-DD249+DD260)</f>
        <v/>
      </c>
      <c r="DE265" s="75" t="str">
        <f t="shared" si="921"/>
        <v/>
      </c>
      <c r="DF265" s="75" t="str">
        <f t="shared" si="921"/>
        <v/>
      </c>
      <c r="DG265" s="75" t="str">
        <f t="shared" si="921"/>
        <v/>
      </c>
      <c r="DH265" s="75" t="str">
        <f t="shared" si="921"/>
        <v/>
      </c>
      <c r="DI265" s="75" t="str">
        <f t="shared" si="921"/>
        <v/>
      </c>
      <c r="DJ265" s="75" t="str">
        <f t="shared" si="921"/>
        <v/>
      </c>
      <c r="DK265" s="75" t="str">
        <f t="shared" si="921"/>
        <v/>
      </c>
      <c r="DL265" s="75" t="str">
        <f t="shared" si="921"/>
        <v/>
      </c>
      <c r="DM265" s="75" t="str">
        <f t="shared" si="921"/>
        <v/>
      </c>
      <c r="DN265" s="75" t="str">
        <f t="shared" si="921"/>
        <v/>
      </c>
      <c r="DO265" s="75" t="str">
        <f t="shared" si="921"/>
        <v/>
      </c>
      <c r="DP265" s="75" t="str">
        <f t="shared" si="921"/>
        <v/>
      </c>
      <c r="DQ265" s="75" t="str">
        <f t="shared" si="921"/>
        <v/>
      </c>
      <c r="DR265" s="75" t="str">
        <f t="shared" si="921"/>
        <v/>
      </c>
      <c r="DS265" s="75" t="str">
        <f t="shared" si="921"/>
        <v/>
      </c>
      <c r="DT265" s="75" t="str">
        <f t="shared" si="921"/>
        <v/>
      </c>
      <c r="DU265" s="75" t="str">
        <f t="shared" si="921"/>
        <v/>
      </c>
      <c r="DV265" s="75" t="str">
        <f t="shared" si="921"/>
        <v/>
      </c>
      <c r="DW265" s="75" t="str">
        <f t="shared" si="921"/>
        <v/>
      </c>
      <c r="DX265" s="75" t="str">
        <f t="shared" si="921"/>
        <v/>
      </c>
      <c r="DY265" s="75" t="str">
        <f t="shared" si="921"/>
        <v/>
      </c>
      <c r="DZ265" s="75" t="str">
        <f t="shared" si="921"/>
        <v/>
      </c>
      <c r="EA265" s="75" t="str">
        <f t="shared" si="921"/>
        <v/>
      </c>
      <c r="EB265" s="75" t="str">
        <f t="shared" si="921"/>
        <v/>
      </c>
      <c r="EC265" s="75" t="str">
        <f t="shared" si="921"/>
        <v/>
      </c>
      <c r="ED265" s="75" t="str">
        <f t="shared" si="921"/>
        <v/>
      </c>
      <c r="EE265" s="75" t="str">
        <f t="shared" si="921"/>
        <v/>
      </c>
      <c r="EF265" s="75" t="str">
        <f t="shared" si="921"/>
        <v/>
      </c>
      <c r="EG265" s="75" t="str">
        <f t="shared" si="921"/>
        <v/>
      </c>
      <c r="EH265" s="75" t="str">
        <f t="shared" si="921"/>
        <v/>
      </c>
      <c r="EI265" s="75" t="str">
        <f t="shared" si="921"/>
        <v/>
      </c>
      <c r="EJ265" s="75" t="str">
        <f t="shared" si="921"/>
        <v/>
      </c>
      <c r="EK265" s="75" t="str">
        <f t="shared" si="921"/>
        <v/>
      </c>
      <c r="EL265" s="75" t="str">
        <f t="shared" si="921"/>
        <v/>
      </c>
      <c r="EM265" s="75" t="str">
        <f t="shared" si="921"/>
        <v/>
      </c>
      <c r="EN265" s="75" t="str">
        <f t="shared" si="921"/>
        <v/>
      </c>
      <c r="EO265"/>
      <c r="EP265" s="405" t="s">
        <v>441</v>
      </c>
      <c r="EQ265" s="18"/>
      <c r="ER265" s="18"/>
      <c r="ES265" s="18"/>
      <c r="ET265" s="18" t="s">
        <v>469</v>
      </c>
      <c r="EU265" s="18"/>
      <c r="EV265" s="418">
        <f t="shared" ref="EV265:GA265" si="922">EV$264*$I$257</f>
        <v>0</v>
      </c>
      <c r="EW265" s="418">
        <f t="shared" si="922"/>
        <v>0</v>
      </c>
      <c r="EX265" s="418">
        <f t="shared" si="922"/>
        <v>0</v>
      </c>
      <c r="EY265" s="418">
        <f t="shared" si="922"/>
        <v>0</v>
      </c>
      <c r="EZ265" s="418">
        <f t="shared" si="922"/>
        <v>0</v>
      </c>
      <c r="FA265" s="418">
        <f t="shared" si="922"/>
        <v>0</v>
      </c>
      <c r="FB265" s="418">
        <f t="shared" si="922"/>
        <v>0</v>
      </c>
      <c r="FC265" s="418">
        <f t="shared" si="922"/>
        <v>0</v>
      </c>
      <c r="FD265" s="418">
        <f t="shared" si="922"/>
        <v>0</v>
      </c>
      <c r="FE265" s="418">
        <f t="shared" si="922"/>
        <v>0</v>
      </c>
      <c r="FF265" s="418">
        <f t="shared" si="922"/>
        <v>0</v>
      </c>
      <c r="FG265" s="418">
        <f t="shared" si="922"/>
        <v>0</v>
      </c>
      <c r="FH265" s="418">
        <f t="shared" si="922"/>
        <v>0</v>
      </c>
      <c r="FI265" s="418">
        <f t="shared" si="922"/>
        <v>0</v>
      </c>
      <c r="FJ265" s="418">
        <f t="shared" si="922"/>
        <v>0</v>
      </c>
      <c r="FK265" s="418">
        <f t="shared" si="922"/>
        <v>0</v>
      </c>
      <c r="FL265" s="418">
        <f t="shared" si="922"/>
        <v>0</v>
      </c>
      <c r="FM265" s="418">
        <f t="shared" si="922"/>
        <v>0</v>
      </c>
      <c r="FN265" s="418">
        <f t="shared" si="922"/>
        <v>0</v>
      </c>
      <c r="FO265" s="418">
        <f t="shared" si="922"/>
        <v>0</v>
      </c>
      <c r="FP265" s="418">
        <f t="shared" si="922"/>
        <v>0</v>
      </c>
      <c r="FQ265" s="418">
        <f t="shared" si="922"/>
        <v>0</v>
      </c>
      <c r="FR265" s="418">
        <f t="shared" si="922"/>
        <v>0</v>
      </c>
      <c r="FS265" s="418">
        <f t="shared" si="922"/>
        <v>0</v>
      </c>
      <c r="FT265" s="418">
        <f t="shared" si="922"/>
        <v>0</v>
      </c>
      <c r="FU265" s="418">
        <f t="shared" si="922"/>
        <v>0</v>
      </c>
      <c r="FV265" s="418">
        <f t="shared" si="922"/>
        <v>0</v>
      </c>
      <c r="FW265" s="418">
        <f t="shared" si="922"/>
        <v>0</v>
      </c>
      <c r="FX265" s="418">
        <f t="shared" si="922"/>
        <v>0</v>
      </c>
      <c r="FY265" s="418">
        <f t="shared" si="922"/>
        <v>0</v>
      </c>
      <c r="FZ265" s="418">
        <f t="shared" si="922"/>
        <v>0</v>
      </c>
      <c r="GA265" s="418">
        <f t="shared" si="922"/>
        <v>0</v>
      </c>
      <c r="GB265" s="418">
        <f t="shared" ref="GB265:HG265" si="923">GB$264*$I$257</f>
        <v>0</v>
      </c>
      <c r="GC265" s="418">
        <f t="shared" si="923"/>
        <v>0</v>
      </c>
      <c r="GD265" s="418">
        <f t="shared" si="923"/>
        <v>0</v>
      </c>
      <c r="GE265" s="418">
        <f t="shared" si="923"/>
        <v>0</v>
      </c>
      <c r="GF265" s="418">
        <f t="shared" si="923"/>
        <v>0</v>
      </c>
      <c r="GG265" s="418">
        <f t="shared" si="923"/>
        <v>0</v>
      </c>
      <c r="GH265" s="418">
        <f t="shared" si="923"/>
        <v>0</v>
      </c>
      <c r="GI265" s="418">
        <f t="shared" si="923"/>
        <v>0</v>
      </c>
      <c r="GJ265" s="418">
        <f t="shared" si="923"/>
        <v>0</v>
      </c>
      <c r="GK265" s="418">
        <f t="shared" si="923"/>
        <v>0</v>
      </c>
      <c r="GL265" s="418">
        <f t="shared" si="923"/>
        <v>0</v>
      </c>
      <c r="GM265" s="418">
        <f t="shared" si="923"/>
        <v>0</v>
      </c>
      <c r="GN265" s="418">
        <f t="shared" si="923"/>
        <v>0</v>
      </c>
      <c r="GO265" s="418">
        <f t="shared" si="923"/>
        <v>0</v>
      </c>
      <c r="GP265" s="418">
        <f t="shared" si="923"/>
        <v>0</v>
      </c>
      <c r="GQ265" s="418">
        <f t="shared" si="923"/>
        <v>0</v>
      </c>
      <c r="GR265" s="418">
        <f t="shared" si="923"/>
        <v>0</v>
      </c>
      <c r="GS265" s="418">
        <f t="shared" si="923"/>
        <v>0</v>
      </c>
      <c r="GT265" s="418">
        <f t="shared" si="923"/>
        <v>0</v>
      </c>
      <c r="GU265" s="418">
        <f t="shared" si="923"/>
        <v>0</v>
      </c>
      <c r="GV265" s="418">
        <f t="shared" si="923"/>
        <v>0</v>
      </c>
      <c r="GW265" s="418">
        <f t="shared" si="923"/>
        <v>0</v>
      </c>
      <c r="GX265" s="418">
        <f t="shared" si="923"/>
        <v>0</v>
      </c>
      <c r="GY265" s="418">
        <f t="shared" si="923"/>
        <v>0</v>
      </c>
      <c r="GZ265" s="418">
        <f t="shared" si="923"/>
        <v>0</v>
      </c>
      <c r="HA265" s="418">
        <f t="shared" si="923"/>
        <v>0</v>
      </c>
      <c r="HB265" s="418">
        <f t="shared" si="923"/>
        <v>0</v>
      </c>
      <c r="HC265" s="418">
        <f t="shared" si="923"/>
        <v>0</v>
      </c>
      <c r="HD265" s="418">
        <f t="shared" si="923"/>
        <v>0</v>
      </c>
      <c r="HE265" s="418">
        <f t="shared" si="923"/>
        <v>0</v>
      </c>
      <c r="HF265" s="418">
        <f t="shared" si="923"/>
        <v>0</v>
      </c>
      <c r="HG265" s="418">
        <f t="shared" si="923"/>
        <v>0</v>
      </c>
      <c r="HH265" s="418">
        <f t="shared" ref="HH265:IM265" si="924">HH$264*$I$257</f>
        <v>0</v>
      </c>
      <c r="HI265" s="418">
        <f t="shared" si="924"/>
        <v>0</v>
      </c>
      <c r="HJ265" s="418">
        <f t="shared" si="924"/>
        <v>0</v>
      </c>
      <c r="HK265" s="418">
        <f t="shared" si="924"/>
        <v>0</v>
      </c>
      <c r="HL265" s="418">
        <f t="shared" si="924"/>
        <v>0</v>
      </c>
      <c r="HM265" s="418">
        <f t="shared" si="924"/>
        <v>0</v>
      </c>
      <c r="HN265" s="418">
        <f t="shared" si="924"/>
        <v>0</v>
      </c>
      <c r="HO265" s="418">
        <f t="shared" si="924"/>
        <v>0</v>
      </c>
      <c r="HP265" s="418">
        <f t="shared" si="924"/>
        <v>0</v>
      </c>
      <c r="HQ265" s="418">
        <f t="shared" si="924"/>
        <v>0</v>
      </c>
      <c r="HR265" s="418">
        <f t="shared" si="924"/>
        <v>0</v>
      </c>
      <c r="HS265" s="418">
        <f t="shared" si="924"/>
        <v>0</v>
      </c>
      <c r="HT265" s="418">
        <f t="shared" si="924"/>
        <v>0</v>
      </c>
      <c r="HU265" s="418">
        <f t="shared" si="924"/>
        <v>0</v>
      </c>
      <c r="HV265" s="418">
        <f t="shared" si="924"/>
        <v>0</v>
      </c>
      <c r="HW265" s="418">
        <f t="shared" si="924"/>
        <v>0</v>
      </c>
      <c r="HX265" s="418">
        <f t="shared" si="924"/>
        <v>0</v>
      </c>
      <c r="HY265" s="418">
        <f t="shared" si="924"/>
        <v>0</v>
      </c>
      <c r="HZ265" s="418">
        <f t="shared" si="924"/>
        <v>0</v>
      </c>
      <c r="IA265" s="418">
        <f t="shared" si="924"/>
        <v>0</v>
      </c>
      <c r="IB265" s="418">
        <f t="shared" si="924"/>
        <v>0</v>
      </c>
      <c r="IC265" s="418">
        <f t="shared" si="924"/>
        <v>0</v>
      </c>
      <c r="ID265" s="418">
        <f t="shared" si="924"/>
        <v>0</v>
      </c>
      <c r="IE265" s="418">
        <f t="shared" si="924"/>
        <v>0</v>
      </c>
      <c r="IF265" s="418">
        <f t="shared" si="924"/>
        <v>0</v>
      </c>
      <c r="IG265" s="418">
        <f t="shared" si="924"/>
        <v>0</v>
      </c>
      <c r="IH265" s="418">
        <f t="shared" si="924"/>
        <v>0</v>
      </c>
      <c r="II265" s="418">
        <f t="shared" si="924"/>
        <v>0</v>
      </c>
      <c r="IJ265" s="418">
        <f t="shared" si="924"/>
        <v>0</v>
      </c>
      <c r="IK265" s="418">
        <f t="shared" si="924"/>
        <v>0</v>
      </c>
      <c r="IL265" s="418">
        <f t="shared" si="924"/>
        <v>0</v>
      </c>
      <c r="IM265" s="418">
        <f t="shared" si="924"/>
        <v>0</v>
      </c>
      <c r="IN265" s="418">
        <f t="shared" ref="IN265:JX265" si="925">IN$264*$I$257</f>
        <v>0</v>
      </c>
      <c r="IO265" s="418">
        <f t="shared" si="925"/>
        <v>0</v>
      </c>
      <c r="IP265" s="418">
        <f t="shared" si="925"/>
        <v>0</v>
      </c>
      <c r="IQ265" s="418">
        <f t="shared" si="925"/>
        <v>0</v>
      </c>
      <c r="IR265" s="418">
        <f t="shared" si="925"/>
        <v>0</v>
      </c>
      <c r="IS265" s="418">
        <f t="shared" si="925"/>
        <v>0</v>
      </c>
      <c r="IT265" s="418">
        <f t="shared" si="925"/>
        <v>0</v>
      </c>
      <c r="IU265" s="418">
        <f t="shared" si="925"/>
        <v>0</v>
      </c>
      <c r="IV265" s="418">
        <f t="shared" si="925"/>
        <v>0</v>
      </c>
      <c r="IW265" s="418">
        <f t="shared" si="925"/>
        <v>0</v>
      </c>
      <c r="IX265" s="418">
        <f t="shared" si="925"/>
        <v>0</v>
      </c>
      <c r="IY265" s="418">
        <f t="shared" si="925"/>
        <v>0</v>
      </c>
      <c r="IZ265" s="418">
        <f t="shared" si="925"/>
        <v>0</v>
      </c>
      <c r="JA265" s="418">
        <f t="shared" si="925"/>
        <v>0</v>
      </c>
      <c r="JB265" s="418">
        <f t="shared" si="925"/>
        <v>0</v>
      </c>
      <c r="JC265" s="418">
        <f t="shared" si="925"/>
        <v>0</v>
      </c>
      <c r="JD265" s="418">
        <f t="shared" si="925"/>
        <v>0</v>
      </c>
      <c r="JE265" s="418">
        <f t="shared" si="925"/>
        <v>0</v>
      </c>
      <c r="JF265" s="418">
        <f t="shared" si="925"/>
        <v>0</v>
      </c>
      <c r="JG265" s="418">
        <f t="shared" si="925"/>
        <v>0</v>
      </c>
      <c r="JH265" s="418">
        <f t="shared" si="925"/>
        <v>0</v>
      </c>
      <c r="JI265" s="418">
        <f t="shared" si="925"/>
        <v>0</v>
      </c>
      <c r="JJ265" s="418">
        <f t="shared" si="925"/>
        <v>0</v>
      </c>
      <c r="JK265" s="418">
        <f t="shared" si="925"/>
        <v>0</v>
      </c>
      <c r="JL265" s="418">
        <f t="shared" si="925"/>
        <v>0</v>
      </c>
      <c r="JM265" s="418">
        <f t="shared" si="925"/>
        <v>0</v>
      </c>
      <c r="JN265" s="418">
        <f t="shared" si="925"/>
        <v>0</v>
      </c>
      <c r="JO265" s="418">
        <f t="shared" si="925"/>
        <v>0</v>
      </c>
      <c r="JP265" s="418">
        <f t="shared" si="925"/>
        <v>0</v>
      </c>
      <c r="JQ265" s="418">
        <f t="shared" si="925"/>
        <v>0</v>
      </c>
      <c r="JR265" s="418">
        <f t="shared" si="925"/>
        <v>0</v>
      </c>
      <c r="JS265" s="418">
        <f t="shared" si="925"/>
        <v>0</v>
      </c>
      <c r="JT265" s="418">
        <f t="shared" si="925"/>
        <v>0</v>
      </c>
      <c r="JU265" s="418">
        <f t="shared" si="925"/>
        <v>0</v>
      </c>
      <c r="JV265" s="418">
        <f t="shared" si="925"/>
        <v>0</v>
      </c>
      <c r="JW265" s="418">
        <f t="shared" si="925"/>
        <v>0</v>
      </c>
      <c r="JX265" s="418">
        <f t="shared" si="925"/>
        <v>0</v>
      </c>
      <c r="JY265"/>
      <c r="JZ265" s="262"/>
      <c r="KA265" s="262"/>
      <c r="KB265" s="262"/>
      <c r="KC265" s="262"/>
      <c r="KD265" s="262"/>
      <c r="KE265" s="262"/>
      <c r="KF265" s="262"/>
      <c r="KG265" s="262"/>
      <c r="KH265" s="262"/>
      <c r="KI265" s="262"/>
      <c r="KJ265" s="262"/>
      <c r="KK265" s="262"/>
      <c r="KL265" s="262"/>
      <c r="KM265" s="262"/>
      <c r="KN265" s="262"/>
      <c r="KO265" s="262"/>
      <c r="KP265" s="262"/>
      <c r="KQ265" s="262"/>
      <c r="KR265" s="262"/>
      <c r="KS265" s="262"/>
      <c r="KT265" s="262"/>
      <c r="KU265" s="262"/>
      <c r="KV265" s="262"/>
      <c r="KW265" s="262"/>
      <c r="KX265" s="262"/>
      <c r="KY265" s="262"/>
      <c r="KZ265" s="262"/>
      <c r="LA265" s="262"/>
      <c r="LB265" s="262"/>
      <c r="LC265" s="262"/>
      <c r="LD265" s="262"/>
      <c r="LE265" s="262"/>
      <c r="LF265" s="262"/>
      <c r="LG265" s="262"/>
      <c r="LH265" s="262"/>
      <c r="LI265" s="262"/>
      <c r="LJ265" s="262"/>
      <c r="LK265" s="262"/>
      <c r="LL265" s="262"/>
      <c r="LM265" s="262"/>
      <c r="LN265" s="262"/>
      <c r="LO265" s="262"/>
      <c r="LP265" s="262"/>
      <c r="LQ265" s="262"/>
      <c r="LR265" s="262"/>
      <c r="LS265" s="262"/>
      <c r="LT265" s="262"/>
      <c r="LU265" s="262"/>
      <c r="LV265" s="262"/>
      <c r="LW265" s="262"/>
      <c r="LX265" s="262"/>
      <c r="LY265" s="262"/>
      <c r="LZ265" s="262"/>
      <c r="MA265" s="262"/>
      <c r="MB265" s="262"/>
      <c r="MC265" s="262"/>
      <c r="MD265" s="262"/>
      <c r="ME265" s="262"/>
      <c r="MF265" s="262"/>
      <c r="MG265" s="262"/>
      <c r="MH265" s="262"/>
      <c r="MI265" s="262"/>
      <c r="MJ265" s="262"/>
      <c r="MK265" s="262"/>
      <c r="ML265" s="262"/>
      <c r="MM265" s="262"/>
      <c r="MN265" s="262"/>
      <c r="MO265" s="262"/>
      <c r="MP265" s="262"/>
      <c r="MQ265" s="262"/>
      <c r="MR265" s="262"/>
      <c r="MS265" s="262"/>
      <c r="MT265" s="262"/>
      <c r="MU265" s="262"/>
      <c r="MV265" s="262"/>
      <c r="MW265" s="262"/>
      <c r="MX265" s="262"/>
      <c r="MY265" s="262"/>
      <c r="MZ265" s="262"/>
      <c r="NA265" s="262"/>
      <c r="NB265" s="262"/>
      <c r="NC265" s="262"/>
      <c r="ND265" s="262"/>
      <c r="NE265" s="262"/>
      <c r="NF265" s="262"/>
      <c r="NG265" s="262"/>
      <c r="NH265" s="262"/>
      <c r="NI265" s="262"/>
      <c r="NJ265" s="262"/>
      <c r="NK265" s="262"/>
      <c r="NL265" s="262"/>
      <c r="NM265" s="262"/>
      <c r="NN265" s="262"/>
      <c r="NO265" s="262"/>
      <c r="NP265" s="262"/>
      <c r="NQ265" s="262"/>
      <c r="NR265" s="262"/>
      <c r="NS265" s="262"/>
      <c r="NT265" s="262"/>
      <c r="NU265" s="262"/>
      <c r="NV265" s="262"/>
      <c r="NW265" s="262"/>
      <c r="NX265" s="262"/>
      <c r="NY265" s="262"/>
      <c r="NZ265" s="262"/>
      <c r="OA265" s="262"/>
      <c r="OB265" s="262"/>
      <c r="OC265" s="262"/>
      <c r="OD265" s="262"/>
      <c r="OE265" s="262"/>
      <c r="OF265" s="262"/>
      <c r="OG265" s="262"/>
      <c r="OH265" s="262"/>
      <c r="OI265" s="262"/>
      <c r="OJ265" s="262"/>
      <c r="OK265" s="262"/>
      <c r="OL265" s="262"/>
      <c r="OM265" s="262"/>
      <c r="ON265" s="262"/>
      <c r="OO265" s="262"/>
      <c r="OP265" s="262"/>
      <c r="OQ265" s="262"/>
      <c r="OR265" s="262"/>
      <c r="OS265" s="262"/>
      <c r="OT265" s="262"/>
      <c r="OU265" s="262"/>
      <c r="OV265" s="262"/>
      <c r="OW265" s="262"/>
      <c r="OX265" s="262"/>
      <c r="OY265" s="262"/>
      <c r="OZ265" s="262"/>
      <c r="PA265" s="262"/>
      <c r="PB265" s="262"/>
      <c r="PC265" s="262"/>
      <c r="PD265" s="262"/>
      <c r="PE265" s="262"/>
      <c r="PF265" s="262"/>
      <c r="PG265" s="262"/>
      <c r="PH265" s="262"/>
    </row>
    <row r="266" spans="1:424" x14ac:dyDescent="0.35">
      <c r="A266"/>
      <c r="B266" s="411" t="str">
        <f>B250</f>
        <v>GP 2</v>
      </c>
      <c r="C266" s="542" t="str">
        <f>C250</f>
        <v>[General Partner 2 Name]</v>
      </c>
      <c r="D266" s="397"/>
      <c r="E266" s="397"/>
      <c r="F266" s="557" t="str">
        <f>IFERROR(I261/I250,"NA")</f>
        <v>NA</v>
      </c>
      <c r="G266" s="260" t="str">
        <f>IFERROR(IF($L$57=0,XIRR($M$266:INDEX($M$266:$EN$266,1,Timing_Analysis_End_Month),$M$195:INDEX($M$195:$EN$195,1,Timing_Analysis_End_Month)),XIRR($L$266:INDEX($L$266:$EN$266,1,Timing_Analysis_End_Month+1),$L$195:INDEX($L$195:$EN$195,1,Timing_Analysis_End_Month+1))),"NA")</f>
        <v>NA</v>
      </c>
      <c r="H266" s="54">
        <f>IF($I$246=0,0,I266/$I$246)</f>
        <v>0</v>
      </c>
      <c r="I266" s="420">
        <f>SUM(L266:EN266)</f>
        <v>0</v>
      </c>
      <c r="J266"/>
      <c r="K266"/>
      <c r="L266" s="422">
        <f>IF(L$227="","",-L250+L261)</f>
        <v>0</v>
      </c>
      <c r="M266" s="422">
        <f t="shared" ref="M266:AQ266" si="926">IF(M$227="","",-M250+M261)</f>
        <v>0</v>
      </c>
      <c r="N266" s="422">
        <f t="shared" si="926"/>
        <v>0</v>
      </c>
      <c r="O266" s="422">
        <f t="shared" si="926"/>
        <v>0</v>
      </c>
      <c r="P266" s="422">
        <f t="shared" si="926"/>
        <v>0</v>
      </c>
      <c r="Q266" s="422">
        <f t="shared" si="926"/>
        <v>0</v>
      </c>
      <c r="R266" s="422">
        <f t="shared" si="926"/>
        <v>0</v>
      </c>
      <c r="S266" s="422">
        <f t="shared" si="926"/>
        <v>0</v>
      </c>
      <c r="T266" s="422">
        <f t="shared" si="926"/>
        <v>0</v>
      </c>
      <c r="U266" s="422">
        <f t="shared" si="926"/>
        <v>0</v>
      </c>
      <c r="V266" s="422">
        <f t="shared" si="926"/>
        <v>0</v>
      </c>
      <c r="W266" s="422">
        <f t="shared" si="926"/>
        <v>0</v>
      </c>
      <c r="X266" s="422">
        <f t="shared" si="926"/>
        <v>0</v>
      </c>
      <c r="Y266" s="422">
        <f t="shared" si="926"/>
        <v>0</v>
      </c>
      <c r="Z266" s="422">
        <f t="shared" si="926"/>
        <v>0</v>
      </c>
      <c r="AA266" s="422">
        <f t="shared" si="926"/>
        <v>0</v>
      </c>
      <c r="AB266" s="422">
        <f t="shared" si="926"/>
        <v>0</v>
      </c>
      <c r="AC266" s="422">
        <f t="shared" si="926"/>
        <v>0</v>
      </c>
      <c r="AD266" s="422">
        <f t="shared" si="926"/>
        <v>0</v>
      </c>
      <c r="AE266" s="422">
        <f t="shared" si="926"/>
        <v>0</v>
      </c>
      <c r="AF266" s="422">
        <f t="shared" si="926"/>
        <v>0</v>
      </c>
      <c r="AG266" s="422">
        <f t="shared" si="926"/>
        <v>0</v>
      </c>
      <c r="AH266" s="422">
        <f t="shared" si="926"/>
        <v>0</v>
      </c>
      <c r="AI266" s="422">
        <f t="shared" si="926"/>
        <v>0</v>
      </c>
      <c r="AJ266" s="422">
        <f t="shared" si="926"/>
        <v>0</v>
      </c>
      <c r="AK266" s="422">
        <f t="shared" si="926"/>
        <v>0</v>
      </c>
      <c r="AL266" s="422">
        <f t="shared" si="926"/>
        <v>0</v>
      </c>
      <c r="AM266" s="422">
        <f t="shared" si="926"/>
        <v>0</v>
      </c>
      <c r="AN266" s="422">
        <f t="shared" si="926"/>
        <v>0</v>
      </c>
      <c r="AO266" s="422">
        <f t="shared" si="926"/>
        <v>0</v>
      </c>
      <c r="AP266" s="422">
        <f t="shared" si="926"/>
        <v>0</v>
      </c>
      <c r="AQ266" s="422">
        <f t="shared" si="926"/>
        <v>0</v>
      </c>
      <c r="AR266" s="422">
        <f t="shared" ref="AR266:BW266" si="927">IF(AR$227="","",-AR250+AR261)</f>
        <v>0</v>
      </c>
      <c r="AS266" s="422">
        <f t="shared" si="927"/>
        <v>0</v>
      </c>
      <c r="AT266" s="422">
        <f t="shared" si="927"/>
        <v>0</v>
      </c>
      <c r="AU266" s="422">
        <f t="shared" si="927"/>
        <v>0</v>
      </c>
      <c r="AV266" s="422">
        <f t="shared" si="927"/>
        <v>0</v>
      </c>
      <c r="AW266" s="422">
        <f t="shared" si="927"/>
        <v>0</v>
      </c>
      <c r="AX266" s="422">
        <f t="shared" si="927"/>
        <v>0</v>
      </c>
      <c r="AY266" s="422">
        <f t="shared" si="927"/>
        <v>0</v>
      </c>
      <c r="AZ266" s="422">
        <f t="shared" si="927"/>
        <v>0</v>
      </c>
      <c r="BA266" s="422">
        <f t="shared" si="927"/>
        <v>0</v>
      </c>
      <c r="BB266" s="422">
        <f t="shared" si="927"/>
        <v>0</v>
      </c>
      <c r="BC266" s="422">
        <f t="shared" si="927"/>
        <v>0</v>
      </c>
      <c r="BD266" s="202">
        <f t="shared" si="927"/>
        <v>0</v>
      </c>
      <c r="BE266" s="202">
        <f t="shared" si="927"/>
        <v>0</v>
      </c>
      <c r="BF266" s="202">
        <f t="shared" si="927"/>
        <v>0</v>
      </c>
      <c r="BG266" s="202">
        <f t="shared" si="927"/>
        <v>0</v>
      </c>
      <c r="BH266" s="202">
        <f t="shared" si="927"/>
        <v>0</v>
      </c>
      <c r="BI266" s="202">
        <f t="shared" si="927"/>
        <v>0</v>
      </c>
      <c r="BJ266" s="202">
        <f t="shared" si="927"/>
        <v>0</v>
      </c>
      <c r="BK266" s="202">
        <f t="shared" si="927"/>
        <v>0</v>
      </c>
      <c r="BL266" s="202">
        <f t="shared" si="927"/>
        <v>0</v>
      </c>
      <c r="BM266" s="202">
        <f t="shared" si="927"/>
        <v>0</v>
      </c>
      <c r="BN266" s="202">
        <f t="shared" si="927"/>
        <v>0</v>
      </c>
      <c r="BO266" s="202">
        <f t="shared" si="927"/>
        <v>0</v>
      </c>
      <c r="BP266" s="202">
        <f t="shared" si="927"/>
        <v>0</v>
      </c>
      <c r="BQ266" s="202">
        <f t="shared" si="927"/>
        <v>0</v>
      </c>
      <c r="BR266" s="202">
        <f t="shared" si="927"/>
        <v>0</v>
      </c>
      <c r="BS266" s="202">
        <f t="shared" si="927"/>
        <v>0</v>
      </c>
      <c r="BT266" s="202">
        <f t="shared" si="927"/>
        <v>0</v>
      </c>
      <c r="BU266" s="202">
        <f t="shared" si="927"/>
        <v>0</v>
      </c>
      <c r="BV266" s="202" t="str">
        <f t="shared" si="927"/>
        <v/>
      </c>
      <c r="BW266" s="202" t="str">
        <f t="shared" si="927"/>
        <v/>
      </c>
      <c r="BX266" s="202" t="str">
        <f t="shared" ref="BX266:DC266" si="928">IF(BX$227="","",-BX250+BX261)</f>
        <v/>
      </c>
      <c r="BY266" s="202" t="str">
        <f t="shared" si="928"/>
        <v/>
      </c>
      <c r="BZ266" s="202" t="str">
        <f t="shared" si="928"/>
        <v/>
      </c>
      <c r="CA266" s="202" t="str">
        <f t="shared" si="928"/>
        <v/>
      </c>
      <c r="CB266" s="202" t="str">
        <f t="shared" si="928"/>
        <v/>
      </c>
      <c r="CC266" s="202" t="str">
        <f t="shared" si="928"/>
        <v/>
      </c>
      <c r="CD266" s="202" t="str">
        <f t="shared" si="928"/>
        <v/>
      </c>
      <c r="CE266" s="202" t="str">
        <f t="shared" si="928"/>
        <v/>
      </c>
      <c r="CF266" s="202" t="str">
        <f t="shared" si="928"/>
        <v/>
      </c>
      <c r="CG266" s="202" t="str">
        <f t="shared" si="928"/>
        <v/>
      </c>
      <c r="CH266" s="202" t="str">
        <f t="shared" si="928"/>
        <v/>
      </c>
      <c r="CI266" s="202" t="str">
        <f t="shared" si="928"/>
        <v/>
      </c>
      <c r="CJ266" s="202" t="str">
        <f t="shared" si="928"/>
        <v/>
      </c>
      <c r="CK266" s="202" t="str">
        <f t="shared" si="928"/>
        <v/>
      </c>
      <c r="CL266" s="202" t="str">
        <f t="shared" si="928"/>
        <v/>
      </c>
      <c r="CM266" s="202" t="str">
        <f t="shared" si="928"/>
        <v/>
      </c>
      <c r="CN266" s="202" t="str">
        <f t="shared" si="928"/>
        <v/>
      </c>
      <c r="CO266" s="202" t="str">
        <f t="shared" si="928"/>
        <v/>
      </c>
      <c r="CP266" s="202" t="str">
        <f t="shared" si="928"/>
        <v/>
      </c>
      <c r="CQ266" s="202" t="str">
        <f t="shared" si="928"/>
        <v/>
      </c>
      <c r="CR266" s="202" t="str">
        <f t="shared" si="928"/>
        <v/>
      </c>
      <c r="CS266" s="202" t="str">
        <f t="shared" si="928"/>
        <v/>
      </c>
      <c r="CT266" s="202" t="str">
        <f t="shared" si="928"/>
        <v/>
      </c>
      <c r="CU266" s="202" t="str">
        <f t="shared" si="928"/>
        <v/>
      </c>
      <c r="CV266" s="202" t="str">
        <f t="shared" si="928"/>
        <v/>
      </c>
      <c r="CW266" s="202" t="str">
        <f t="shared" si="928"/>
        <v/>
      </c>
      <c r="CX266" s="202" t="str">
        <f t="shared" si="928"/>
        <v/>
      </c>
      <c r="CY266" s="202" t="str">
        <f t="shared" si="928"/>
        <v/>
      </c>
      <c r="CZ266" s="202" t="str">
        <f t="shared" si="928"/>
        <v/>
      </c>
      <c r="DA266" s="202" t="str">
        <f t="shared" si="928"/>
        <v/>
      </c>
      <c r="DB266" s="202" t="str">
        <f t="shared" si="928"/>
        <v/>
      </c>
      <c r="DC266" s="202" t="str">
        <f t="shared" si="928"/>
        <v/>
      </c>
      <c r="DD266" s="202" t="str">
        <f t="shared" ref="DD266:EN266" si="929">IF(DD$227="","",-DD250+DD261)</f>
        <v/>
      </c>
      <c r="DE266" s="202" t="str">
        <f t="shared" si="929"/>
        <v/>
      </c>
      <c r="DF266" s="202" t="str">
        <f t="shared" si="929"/>
        <v/>
      </c>
      <c r="DG266" s="202" t="str">
        <f t="shared" si="929"/>
        <v/>
      </c>
      <c r="DH266" s="202" t="str">
        <f t="shared" si="929"/>
        <v/>
      </c>
      <c r="DI266" s="202" t="str">
        <f t="shared" si="929"/>
        <v/>
      </c>
      <c r="DJ266" s="202" t="str">
        <f t="shared" si="929"/>
        <v/>
      </c>
      <c r="DK266" s="202" t="str">
        <f t="shared" si="929"/>
        <v/>
      </c>
      <c r="DL266" s="202" t="str">
        <f t="shared" si="929"/>
        <v/>
      </c>
      <c r="DM266" s="202" t="str">
        <f t="shared" si="929"/>
        <v/>
      </c>
      <c r="DN266" s="202" t="str">
        <f t="shared" si="929"/>
        <v/>
      </c>
      <c r="DO266" s="202" t="str">
        <f t="shared" si="929"/>
        <v/>
      </c>
      <c r="DP266" s="202" t="str">
        <f t="shared" si="929"/>
        <v/>
      </c>
      <c r="DQ266" s="202" t="str">
        <f t="shared" si="929"/>
        <v/>
      </c>
      <c r="DR266" s="202" t="str">
        <f t="shared" si="929"/>
        <v/>
      </c>
      <c r="DS266" s="202" t="str">
        <f t="shared" si="929"/>
        <v/>
      </c>
      <c r="DT266" s="202" t="str">
        <f t="shared" si="929"/>
        <v/>
      </c>
      <c r="DU266" s="202" t="str">
        <f t="shared" si="929"/>
        <v/>
      </c>
      <c r="DV266" s="202" t="str">
        <f t="shared" si="929"/>
        <v/>
      </c>
      <c r="DW266" s="202" t="str">
        <f t="shared" si="929"/>
        <v/>
      </c>
      <c r="DX266" s="202" t="str">
        <f t="shared" si="929"/>
        <v/>
      </c>
      <c r="DY266" s="202" t="str">
        <f t="shared" si="929"/>
        <v/>
      </c>
      <c r="DZ266" s="202" t="str">
        <f t="shared" si="929"/>
        <v/>
      </c>
      <c r="EA266" s="202" t="str">
        <f t="shared" si="929"/>
        <v/>
      </c>
      <c r="EB266" s="202" t="str">
        <f t="shared" si="929"/>
        <v/>
      </c>
      <c r="EC266" s="202" t="str">
        <f t="shared" si="929"/>
        <v/>
      </c>
      <c r="ED266" s="202" t="str">
        <f t="shared" si="929"/>
        <v/>
      </c>
      <c r="EE266" s="202" t="str">
        <f t="shared" si="929"/>
        <v/>
      </c>
      <c r="EF266" s="202" t="str">
        <f t="shared" si="929"/>
        <v/>
      </c>
      <c r="EG266" s="202" t="str">
        <f t="shared" si="929"/>
        <v/>
      </c>
      <c r="EH266" s="202" t="str">
        <f t="shared" si="929"/>
        <v/>
      </c>
      <c r="EI266" s="202" t="str">
        <f t="shared" si="929"/>
        <v/>
      </c>
      <c r="EJ266" s="202" t="str">
        <f t="shared" si="929"/>
        <v/>
      </c>
      <c r="EK266" s="202" t="str">
        <f t="shared" si="929"/>
        <v/>
      </c>
      <c r="EL266" s="202" t="str">
        <f t="shared" si="929"/>
        <v/>
      </c>
      <c r="EM266" s="202" t="str">
        <f t="shared" si="929"/>
        <v/>
      </c>
      <c r="EN266" s="202" t="str">
        <f t="shared" si="929"/>
        <v/>
      </c>
      <c r="EO266"/>
      <c r="EP266" s="219"/>
      <c r="EQ266" s="18"/>
      <c r="ER266" s="18"/>
      <c r="ES266" s="18"/>
      <c r="ET266" s="18" t="s">
        <v>457</v>
      </c>
      <c r="EU266" s="18"/>
      <c r="EV266" s="418">
        <f t="shared" ref="EV266:GA266" si="930">EV$264*$H$257</f>
        <v>0</v>
      </c>
      <c r="EW266" s="418">
        <f t="shared" si="930"/>
        <v>0</v>
      </c>
      <c r="EX266" s="418">
        <f t="shared" si="930"/>
        <v>0</v>
      </c>
      <c r="EY266" s="418">
        <f t="shared" si="930"/>
        <v>0</v>
      </c>
      <c r="EZ266" s="418">
        <f t="shared" si="930"/>
        <v>0</v>
      </c>
      <c r="FA266" s="418">
        <f t="shared" si="930"/>
        <v>0</v>
      </c>
      <c r="FB266" s="418">
        <f t="shared" si="930"/>
        <v>0</v>
      </c>
      <c r="FC266" s="418">
        <f t="shared" si="930"/>
        <v>0</v>
      </c>
      <c r="FD266" s="418">
        <f t="shared" si="930"/>
        <v>0</v>
      </c>
      <c r="FE266" s="418">
        <f t="shared" si="930"/>
        <v>0</v>
      </c>
      <c r="FF266" s="418">
        <f t="shared" si="930"/>
        <v>0</v>
      </c>
      <c r="FG266" s="418">
        <f t="shared" si="930"/>
        <v>0</v>
      </c>
      <c r="FH266" s="418">
        <f t="shared" si="930"/>
        <v>0</v>
      </c>
      <c r="FI266" s="418">
        <f t="shared" si="930"/>
        <v>0</v>
      </c>
      <c r="FJ266" s="418">
        <f t="shared" si="930"/>
        <v>0</v>
      </c>
      <c r="FK266" s="418">
        <f t="shared" si="930"/>
        <v>0</v>
      </c>
      <c r="FL266" s="418">
        <f t="shared" si="930"/>
        <v>0</v>
      </c>
      <c r="FM266" s="418">
        <f t="shared" si="930"/>
        <v>0</v>
      </c>
      <c r="FN266" s="418">
        <f t="shared" si="930"/>
        <v>0</v>
      </c>
      <c r="FO266" s="418">
        <f t="shared" si="930"/>
        <v>0</v>
      </c>
      <c r="FP266" s="418">
        <f t="shared" si="930"/>
        <v>0</v>
      </c>
      <c r="FQ266" s="418">
        <f t="shared" si="930"/>
        <v>0</v>
      </c>
      <c r="FR266" s="418">
        <f t="shared" si="930"/>
        <v>0</v>
      </c>
      <c r="FS266" s="418">
        <f t="shared" si="930"/>
        <v>0</v>
      </c>
      <c r="FT266" s="418">
        <f t="shared" si="930"/>
        <v>0</v>
      </c>
      <c r="FU266" s="418">
        <f t="shared" si="930"/>
        <v>0</v>
      </c>
      <c r="FV266" s="418">
        <f t="shared" si="930"/>
        <v>0</v>
      </c>
      <c r="FW266" s="418">
        <f t="shared" si="930"/>
        <v>0</v>
      </c>
      <c r="FX266" s="418">
        <f t="shared" si="930"/>
        <v>0</v>
      </c>
      <c r="FY266" s="418">
        <f t="shared" si="930"/>
        <v>0</v>
      </c>
      <c r="FZ266" s="418">
        <f t="shared" si="930"/>
        <v>0</v>
      </c>
      <c r="GA266" s="418">
        <f t="shared" si="930"/>
        <v>0</v>
      </c>
      <c r="GB266" s="418">
        <f t="shared" ref="GB266:HG266" si="931">GB$264*$H$257</f>
        <v>0</v>
      </c>
      <c r="GC266" s="418">
        <f t="shared" si="931"/>
        <v>0</v>
      </c>
      <c r="GD266" s="418">
        <f t="shared" si="931"/>
        <v>0</v>
      </c>
      <c r="GE266" s="418">
        <f t="shared" si="931"/>
        <v>0</v>
      </c>
      <c r="GF266" s="418">
        <f t="shared" si="931"/>
        <v>0</v>
      </c>
      <c r="GG266" s="418">
        <f t="shared" si="931"/>
        <v>0</v>
      </c>
      <c r="GH266" s="418">
        <f t="shared" si="931"/>
        <v>0</v>
      </c>
      <c r="GI266" s="418">
        <f t="shared" si="931"/>
        <v>0</v>
      </c>
      <c r="GJ266" s="418">
        <f t="shared" si="931"/>
        <v>0</v>
      </c>
      <c r="GK266" s="418">
        <f t="shared" si="931"/>
        <v>0</v>
      </c>
      <c r="GL266" s="418">
        <f t="shared" si="931"/>
        <v>0</v>
      </c>
      <c r="GM266" s="418">
        <f t="shared" si="931"/>
        <v>0</v>
      </c>
      <c r="GN266" s="418">
        <f t="shared" si="931"/>
        <v>0</v>
      </c>
      <c r="GO266" s="418">
        <f t="shared" si="931"/>
        <v>0</v>
      </c>
      <c r="GP266" s="418">
        <f t="shared" si="931"/>
        <v>0</v>
      </c>
      <c r="GQ266" s="418">
        <f t="shared" si="931"/>
        <v>0</v>
      </c>
      <c r="GR266" s="418">
        <f t="shared" si="931"/>
        <v>0</v>
      </c>
      <c r="GS266" s="418">
        <f t="shared" si="931"/>
        <v>0</v>
      </c>
      <c r="GT266" s="418">
        <f t="shared" si="931"/>
        <v>0</v>
      </c>
      <c r="GU266" s="418">
        <f t="shared" si="931"/>
        <v>0</v>
      </c>
      <c r="GV266" s="418">
        <f t="shared" si="931"/>
        <v>0</v>
      </c>
      <c r="GW266" s="418">
        <f t="shared" si="931"/>
        <v>0</v>
      </c>
      <c r="GX266" s="418">
        <f t="shared" si="931"/>
        <v>0</v>
      </c>
      <c r="GY266" s="418">
        <f t="shared" si="931"/>
        <v>0</v>
      </c>
      <c r="GZ266" s="418">
        <f t="shared" si="931"/>
        <v>0</v>
      </c>
      <c r="HA266" s="418">
        <f t="shared" si="931"/>
        <v>0</v>
      </c>
      <c r="HB266" s="418">
        <f t="shared" si="931"/>
        <v>0</v>
      </c>
      <c r="HC266" s="418">
        <f t="shared" si="931"/>
        <v>0</v>
      </c>
      <c r="HD266" s="418">
        <f t="shared" si="931"/>
        <v>0</v>
      </c>
      <c r="HE266" s="418">
        <f t="shared" si="931"/>
        <v>0</v>
      </c>
      <c r="HF266" s="418">
        <f t="shared" si="931"/>
        <v>0</v>
      </c>
      <c r="HG266" s="418">
        <f t="shared" si="931"/>
        <v>0</v>
      </c>
      <c r="HH266" s="418">
        <f t="shared" ref="HH266:IM266" si="932">HH$264*$H$257</f>
        <v>0</v>
      </c>
      <c r="HI266" s="418">
        <f t="shared" si="932"/>
        <v>0</v>
      </c>
      <c r="HJ266" s="418">
        <f t="shared" si="932"/>
        <v>0</v>
      </c>
      <c r="HK266" s="418">
        <f t="shared" si="932"/>
        <v>0</v>
      </c>
      <c r="HL266" s="418">
        <f t="shared" si="932"/>
        <v>0</v>
      </c>
      <c r="HM266" s="418">
        <f t="shared" si="932"/>
        <v>0</v>
      </c>
      <c r="HN266" s="418">
        <f t="shared" si="932"/>
        <v>0</v>
      </c>
      <c r="HO266" s="418">
        <f t="shared" si="932"/>
        <v>0</v>
      </c>
      <c r="HP266" s="418">
        <f t="shared" si="932"/>
        <v>0</v>
      </c>
      <c r="HQ266" s="418">
        <f t="shared" si="932"/>
        <v>0</v>
      </c>
      <c r="HR266" s="418">
        <f t="shared" si="932"/>
        <v>0</v>
      </c>
      <c r="HS266" s="418">
        <f t="shared" si="932"/>
        <v>0</v>
      </c>
      <c r="HT266" s="418">
        <f t="shared" si="932"/>
        <v>0</v>
      </c>
      <c r="HU266" s="418">
        <f t="shared" si="932"/>
        <v>0</v>
      </c>
      <c r="HV266" s="418">
        <f t="shared" si="932"/>
        <v>0</v>
      </c>
      <c r="HW266" s="418">
        <f t="shared" si="932"/>
        <v>0</v>
      </c>
      <c r="HX266" s="418">
        <f t="shared" si="932"/>
        <v>0</v>
      </c>
      <c r="HY266" s="418">
        <f t="shared" si="932"/>
        <v>0</v>
      </c>
      <c r="HZ266" s="418">
        <f t="shared" si="932"/>
        <v>0</v>
      </c>
      <c r="IA266" s="418">
        <f t="shared" si="932"/>
        <v>0</v>
      </c>
      <c r="IB266" s="418">
        <f t="shared" si="932"/>
        <v>0</v>
      </c>
      <c r="IC266" s="418">
        <f t="shared" si="932"/>
        <v>0</v>
      </c>
      <c r="ID266" s="418">
        <f t="shared" si="932"/>
        <v>0</v>
      </c>
      <c r="IE266" s="418">
        <f t="shared" si="932"/>
        <v>0</v>
      </c>
      <c r="IF266" s="418">
        <f t="shared" si="932"/>
        <v>0</v>
      </c>
      <c r="IG266" s="418">
        <f t="shared" si="932"/>
        <v>0</v>
      </c>
      <c r="IH266" s="418">
        <f t="shared" si="932"/>
        <v>0</v>
      </c>
      <c r="II266" s="418">
        <f t="shared" si="932"/>
        <v>0</v>
      </c>
      <c r="IJ266" s="418">
        <f t="shared" si="932"/>
        <v>0</v>
      </c>
      <c r="IK266" s="418">
        <f t="shared" si="932"/>
        <v>0</v>
      </c>
      <c r="IL266" s="418">
        <f t="shared" si="932"/>
        <v>0</v>
      </c>
      <c r="IM266" s="418">
        <f t="shared" si="932"/>
        <v>0</v>
      </c>
      <c r="IN266" s="418">
        <f t="shared" ref="IN266:JX266" si="933">IN$264*$H$257</f>
        <v>0</v>
      </c>
      <c r="IO266" s="418">
        <f t="shared" si="933"/>
        <v>0</v>
      </c>
      <c r="IP266" s="418">
        <f t="shared" si="933"/>
        <v>0</v>
      </c>
      <c r="IQ266" s="418">
        <f t="shared" si="933"/>
        <v>0</v>
      </c>
      <c r="IR266" s="418">
        <f t="shared" si="933"/>
        <v>0</v>
      </c>
      <c r="IS266" s="418">
        <f t="shared" si="933"/>
        <v>0</v>
      </c>
      <c r="IT266" s="418">
        <f t="shared" si="933"/>
        <v>0</v>
      </c>
      <c r="IU266" s="418">
        <f t="shared" si="933"/>
        <v>0</v>
      </c>
      <c r="IV266" s="418">
        <f t="shared" si="933"/>
        <v>0</v>
      </c>
      <c r="IW266" s="418">
        <f t="shared" si="933"/>
        <v>0</v>
      </c>
      <c r="IX266" s="418">
        <f t="shared" si="933"/>
        <v>0</v>
      </c>
      <c r="IY266" s="418">
        <f t="shared" si="933"/>
        <v>0</v>
      </c>
      <c r="IZ266" s="418">
        <f t="shared" si="933"/>
        <v>0</v>
      </c>
      <c r="JA266" s="418">
        <f t="shared" si="933"/>
        <v>0</v>
      </c>
      <c r="JB266" s="418">
        <f t="shared" si="933"/>
        <v>0</v>
      </c>
      <c r="JC266" s="418">
        <f t="shared" si="933"/>
        <v>0</v>
      </c>
      <c r="JD266" s="418">
        <f t="shared" si="933"/>
        <v>0</v>
      </c>
      <c r="JE266" s="418">
        <f t="shared" si="933"/>
        <v>0</v>
      </c>
      <c r="JF266" s="418">
        <f t="shared" si="933"/>
        <v>0</v>
      </c>
      <c r="JG266" s="418">
        <f t="shared" si="933"/>
        <v>0</v>
      </c>
      <c r="JH266" s="418">
        <f t="shared" si="933"/>
        <v>0</v>
      </c>
      <c r="JI266" s="418">
        <f t="shared" si="933"/>
        <v>0</v>
      </c>
      <c r="JJ266" s="418">
        <f t="shared" si="933"/>
        <v>0</v>
      </c>
      <c r="JK266" s="418">
        <f t="shared" si="933"/>
        <v>0</v>
      </c>
      <c r="JL266" s="418">
        <f t="shared" si="933"/>
        <v>0</v>
      </c>
      <c r="JM266" s="418">
        <f t="shared" si="933"/>
        <v>0</v>
      </c>
      <c r="JN266" s="418">
        <f t="shared" si="933"/>
        <v>0</v>
      </c>
      <c r="JO266" s="418">
        <f t="shared" si="933"/>
        <v>0</v>
      </c>
      <c r="JP266" s="418">
        <f t="shared" si="933"/>
        <v>0</v>
      </c>
      <c r="JQ266" s="418">
        <f t="shared" si="933"/>
        <v>0</v>
      </c>
      <c r="JR266" s="418">
        <f t="shared" si="933"/>
        <v>0</v>
      </c>
      <c r="JS266" s="418">
        <f t="shared" si="933"/>
        <v>0</v>
      </c>
      <c r="JT266" s="418">
        <f t="shared" si="933"/>
        <v>0</v>
      </c>
      <c r="JU266" s="418">
        <f t="shared" si="933"/>
        <v>0</v>
      </c>
      <c r="JV266" s="418">
        <f t="shared" si="933"/>
        <v>0</v>
      </c>
      <c r="JW266" s="418">
        <f t="shared" si="933"/>
        <v>0</v>
      </c>
      <c r="JX266" s="418">
        <f t="shared" si="933"/>
        <v>0</v>
      </c>
      <c r="JY266"/>
      <c r="JZ266" s="262"/>
      <c r="KA266" s="262"/>
      <c r="KB266" s="262"/>
      <c r="KC266" s="262"/>
      <c r="KD266" s="262"/>
      <c r="KE266" s="262"/>
      <c r="KF266" s="262"/>
      <c r="KG266" s="262"/>
      <c r="KH266" s="262"/>
      <c r="KI266" s="262"/>
      <c r="KJ266" s="262"/>
      <c r="KK266" s="262"/>
      <c r="KL266" s="262"/>
      <c r="KM266" s="262"/>
      <c r="KN266" s="262"/>
      <c r="KO266" s="262"/>
      <c r="KP266" s="262"/>
      <c r="KQ266" s="262"/>
      <c r="KR266" s="262"/>
      <c r="KS266" s="262"/>
      <c r="KT266" s="262"/>
      <c r="KU266" s="262"/>
      <c r="KV266" s="262"/>
      <c r="KW266" s="262"/>
      <c r="KX266" s="262"/>
      <c r="KY266" s="262"/>
      <c r="KZ266" s="262"/>
      <c r="LA266" s="262"/>
      <c r="LB266" s="262"/>
      <c r="LC266" s="262"/>
      <c r="LD266" s="262"/>
      <c r="LE266" s="262"/>
      <c r="LF266" s="262"/>
      <c r="LG266" s="262"/>
      <c r="LH266" s="262"/>
      <c r="LI266" s="262"/>
      <c r="LJ266" s="262"/>
      <c r="LK266" s="262"/>
      <c r="LL266" s="262"/>
      <c r="LM266" s="262"/>
      <c r="LN266" s="262"/>
      <c r="LO266" s="262"/>
      <c r="LP266" s="262"/>
      <c r="LQ266" s="262"/>
      <c r="LR266" s="262"/>
      <c r="LS266" s="262"/>
      <c r="LT266" s="262"/>
      <c r="LU266" s="262"/>
      <c r="LV266" s="262"/>
      <c r="LW266" s="262"/>
      <c r="LX266" s="262"/>
      <c r="LY266" s="262"/>
      <c r="LZ266" s="262"/>
      <c r="MA266" s="262"/>
      <c r="MB266" s="262"/>
      <c r="MC266" s="262"/>
      <c r="MD266" s="262"/>
      <c r="ME266" s="262"/>
      <c r="MF266" s="262"/>
      <c r="MG266" s="262"/>
      <c r="MH266" s="262"/>
      <c r="MI266" s="262"/>
      <c r="MJ266" s="262"/>
      <c r="MK266" s="262"/>
      <c r="ML266" s="262"/>
      <c r="MM266" s="262"/>
      <c r="MN266" s="262"/>
      <c r="MO266" s="262"/>
      <c r="MP266" s="262"/>
      <c r="MQ266" s="262"/>
      <c r="MR266" s="262"/>
      <c r="MS266" s="262"/>
      <c r="MT266" s="262"/>
      <c r="MU266" s="262"/>
      <c r="MV266" s="262"/>
      <c r="MW266" s="262"/>
      <c r="MX266" s="262"/>
      <c r="MY266" s="262"/>
      <c r="MZ266" s="262"/>
      <c r="NA266" s="262"/>
      <c r="NB266" s="262"/>
      <c r="NC266" s="262"/>
      <c r="ND266" s="262"/>
      <c r="NE266" s="262"/>
      <c r="NF266" s="262"/>
      <c r="NG266" s="262"/>
      <c r="NH266" s="262"/>
      <c r="NI266" s="262"/>
      <c r="NJ266" s="262"/>
      <c r="NK266" s="262"/>
      <c r="NL266" s="262"/>
      <c r="NM266" s="262"/>
      <c r="NN266" s="262"/>
      <c r="NO266" s="262"/>
      <c r="NP266" s="262"/>
      <c r="NQ266" s="262"/>
      <c r="NR266" s="262"/>
      <c r="NS266" s="262"/>
      <c r="NT266" s="262"/>
      <c r="NU266" s="262"/>
      <c r="NV266" s="262"/>
      <c r="NW266" s="262"/>
      <c r="NX266" s="262"/>
      <c r="NY266" s="262"/>
      <c r="NZ266" s="262"/>
      <c r="OA266" s="262"/>
      <c r="OB266" s="262"/>
      <c r="OC266" s="262"/>
      <c r="OD266" s="262"/>
      <c r="OE266" s="262"/>
      <c r="OF266" s="262"/>
      <c r="OG266" s="262"/>
      <c r="OH266" s="262"/>
      <c r="OI266" s="262"/>
      <c r="OJ266" s="262"/>
      <c r="OK266" s="262"/>
      <c r="OL266" s="262"/>
      <c r="OM266" s="262"/>
      <c r="ON266" s="262"/>
      <c r="OO266" s="262"/>
      <c r="OP266" s="262"/>
      <c r="OQ266" s="262"/>
      <c r="OR266" s="262"/>
      <c r="OS266" s="262"/>
      <c r="OT266" s="262"/>
      <c r="OU266" s="262"/>
      <c r="OV266" s="262"/>
      <c r="OW266" s="262"/>
      <c r="OX266" s="262"/>
      <c r="OY266" s="262"/>
      <c r="OZ266" s="262"/>
      <c r="PA266" s="262"/>
      <c r="PB266" s="262"/>
      <c r="PC266" s="262"/>
      <c r="PD266" s="262"/>
      <c r="PE266" s="262"/>
      <c r="PF266" s="262"/>
      <c r="PG266" s="262"/>
      <c r="PH266" s="262"/>
    </row>
    <row r="267" spans="1:424" x14ac:dyDescent="0.35">
      <c r="A267"/>
      <c r="B267" s="551" t="s">
        <v>158</v>
      </c>
      <c r="C267" s="552"/>
      <c r="D267" s="552"/>
      <c r="E267" s="552"/>
      <c r="F267" s="558" t="str">
        <f>IFERROR(I262/I251,"NA")</f>
        <v>NA</v>
      </c>
      <c r="G267" s="261" t="str">
        <f>IFERROR(IF($L$57=0,XIRR($M$267:INDEX($M$267:$EN$267,1,Timing_Analysis_End_Month),$M$195:INDEX($M$195:$EN$195,1,Timing_Analysis_End_Month)),XIRR($L$267:INDEX($L$267:$EN$267,1,Timing_Analysis_End_Month+1),$L$195:INDEX($L$195:$EN$195,1,Timing_Analysis_End_Month+1))),"NA")</f>
        <v>NA</v>
      </c>
      <c r="H267" s="554">
        <f>IF($I$246=0,0,I267/$I$246)</f>
        <v>0</v>
      </c>
      <c r="I267" s="555">
        <f>SUM(I265:I266)</f>
        <v>0</v>
      </c>
      <c r="J267" s="539"/>
      <c r="K267" s="540"/>
      <c r="L267" s="556">
        <f t="shared" ref="L267:AQ267" si="934">IF(L$227="","",SUM(L265:L266))</f>
        <v>0</v>
      </c>
      <c r="M267" s="556">
        <f t="shared" si="934"/>
        <v>0</v>
      </c>
      <c r="N267" s="556">
        <f t="shared" si="934"/>
        <v>0</v>
      </c>
      <c r="O267" s="556">
        <f t="shared" si="934"/>
        <v>0</v>
      </c>
      <c r="P267" s="556">
        <f t="shared" si="934"/>
        <v>0</v>
      </c>
      <c r="Q267" s="556">
        <f t="shared" si="934"/>
        <v>0</v>
      </c>
      <c r="R267" s="556">
        <f t="shared" si="934"/>
        <v>0</v>
      </c>
      <c r="S267" s="556">
        <f t="shared" si="934"/>
        <v>0</v>
      </c>
      <c r="T267" s="556">
        <f t="shared" si="934"/>
        <v>0</v>
      </c>
      <c r="U267" s="556">
        <f t="shared" si="934"/>
        <v>0</v>
      </c>
      <c r="V267" s="556">
        <f t="shared" si="934"/>
        <v>0</v>
      </c>
      <c r="W267" s="556">
        <f t="shared" si="934"/>
        <v>0</v>
      </c>
      <c r="X267" s="556">
        <f t="shared" si="934"/>
        <v>0</v>
      </c>
      <c r="Y267" s="556">
        <f t="shared" si="934"/>
        <v>0</v>
      </c>
      <c r="Z267" s="556">
        <f t="shared" si="934"/>
        <v>0</v>
      </c>
      <c r="AA267" s="556">
        <f t="shared" si="934"/>
        <v>0</v>
      </c>
      <c r="AB267" s="556">
        <f t="shared" si="934"/>
        <v>0</v>
      </c>
      <c r="AC267" s="556">
        <f t="shared" si="934"/>
        <v>0</v>
      </c>
      <c r="AD267" s="556">
        <f t="shared" si="934"/>
        <v>0</v>
      </c>
      <c r="AE267" s="556">
        <f t="shared" si="934"/>
        <v>0</v>
      </c>
      <c r="AF267" s="556">
        <f t="shared" si="934"/>
        <v>0</v>
      </c>
      <c r="AG267" s="556">
        <f t="shared" si="934"/>
        <v>0</v>
      </c>
      <c r="AH267" s="556">
        <f t="shared" si="934"/>
        <v>0</v>
      </c>
      <c r="AI267" s="556">
        <f t="shared" si="934"/>
        <v>0</v>
      </c>
      <c r="AJ267" s="556">
        <f t="shared" si="934"/>
        <v>0</v>
      </c>
      <c r="AK267" s="556">
        <f t="shared" si="934"/>
        <v>0</v>
      </c>
      <c r="AL267" s="556">
        <f t="shared" si="934"/>
        <v>0</v>
      </c>
      <c r="AM267" s="556">
        <f t="shared" si="934"/>
        <v>0</v>
      </c>
      <c r="AN267" s="556">
        <f t="shared" si="934"/>
        <v>0</v>
      </c>
      <c r="AO267" s="556">
        <f t="shared" si="934"/>
        <v>0</v>
      </c>
      <c r="AP267" s="556">
        <f t="shared" si="934"/>
        <v>0</v>
      </c>
      <c r="AQ267" s="556">
        <f t="shared" si="934"/>
        <v>0</v>
      </c>
      <c r="AR267" s="556">
        <f t="shared" ref="AR267:BW267" si="935">IF(AR$227="","",SUM(AR265:AR266))</f>
        <v>0</v>
      </c>
      <c r="AS267" s="556">
        <f t="shared" si="935"/>
        <v>0</v>
      </c>
      <c r="AT267" s="556">
        <f t="shared" si="935"/>
        <v>0</v>
      </c>
      <c r="AU267" s="556">
        <f t="shared" si="935"/>
        <v>0</v>
      </c>
      <c r="AV267" s="556">
        <f t="shared" si="935"/>
        <v>0</v>
      </c>
      <c r="AW267" s="556">
        <f t="shared" si="935"/>
        <v>0</v>
      </c>
      <c r="AX267" s="556">
        <f t="shared" si="935"/>
        <v>0</v>
      </c>
      <c r="AY267" s="556">
        <f t="shared" si="935"/>
        <v>0</v>
      </c>
      <c r="AZ267" s="556">
        <f t="shared" si="935"/>
        <v>0</v>
      </c>
      <c r="BA267" s="556">
        <f t="shared" si="935"/>
        <v>0</v>
      </c>
      <c r="BB267" s="556">
        <f t="shared" si="935"/>
        <v>0</v>
      </c>
      <c r="BC267" s="556">
        <f t="shared" si="935"/>
        <v>0</v>
      </c>
      <c r="BD267" s="212">
        <f t="shared" si="935"/>
        <v>0</v>
      </c>
      <c r="BE267" s="212">
        <f t="shared" si="935"/>
        <v>0</v>
      </c>
      <c r="BF267" s="212">
        <f t="shared" si="935"/>
        <v>0</v>
      </c>
      <c r="BG267" s="212">
        <f t="shared" si="935"/>
        <v>0</v>
      </c>
      <c r="BH267" s="212">
        <f t="shared" si="935"/>
        <v>0</v>
      </c>
      <c r="BI267" s="212">
        <f t="shared" si="935"/>
        <v>0</v>
      </c>
      <c r="BJ267" s="212">
        <f t="shared" si="935"/>
        <v>0</v>
      </c>
      <c r="BK267" s="212">
        <f t="shared" si="935"/>
        <v>0</v>
      </c>
      <c r="BL267" s="212">
        <f t="shared" si="935"/>
        <v>0</v>
      </c>
      <c r="BM267" s="212">
        <f t="shared" si="935"/>
        <v>0</v>
      </c>
      <c r="BN267" s="212">
        <f t="shared" si="935"/>
        <v>0</v>
      </c>
      <c r="BO267" s="212">
        <f t="shared" si="935"/>
        <v>0</v>
      </c>
      <c r="BP267" s="212">
        <f t="shared" si="935"/>
        <v>0</v>
      </c>
      <c r="BQ267" s="212">
        <f t="shared" si="935"/>
        <v>0</v>
      </c>
      <c r="BR267" s="212">
        <f t="shared" si="935"/>
        <v>0</v>
      </c>
      <c r="BS267" s="212">
        <f t="shared" si="935"/>
        <v>0</v>
      </c>
      <c r="BT267" s="212">
        <f t="shared" si="935"/>
        <v>0</v>
      </c>
      <c r="BU267" s="212">
        <f t="shared" si="935"/>
        <v>0</v>
      </c>
      <c r="BV267" s="212" t="str">
        <f t="shared" si="935"/>
        <v/>
      </c>
      <c r="BW267" s="212" t="str">
        <f t="shared" si="935"/>
        <v/>
      </c>
      <c r="BX267" s="212" t="str">
        <f t="shared" ref="BX267:DC267" si="936">IF(BX$227="","",SUM(BX265:BX266))</f>
        <v/>
      </c>
      <c r="BY267" s="212" t="str">
        <f t="shared" si="936"/>
        <v/>
      </c>
      <c r="BZ267" s="212" t="str">
        <f t="shared" si="936"/>
        <v/>
      </c>
      <c r="CA267" s="212" t="str">
        <f t="shared" si="936"/>
        <v/>
      </c>
      <c r="CB267" s="212" t="str">
        <f t="shared" si="936"/>
        <v/>
      </c>
      <c r="CC267" s="212" t="str">
        <f t="shared" si="936"/>
        <v/>
      </c>
      <c r="CD267" s="212" t="str">
        <f t="shared" si="936"/>
        <v/>
      </c>
      <c r="CE267" s="212" t="str">
        <f t="shared" si="936"/>
        <v/>
      </c>
      <c r="CF267" s="212" t="str">
        <f t="shared" si="936"/>
        <v/>
      </c>
      <c r="CG267" s="212" t="str">
        <f t="shared" si="936"/>
        <v/>
      </c>
      <c r="CH267" s="212" t="str">
        <f t="shared" si="936"/>
        <v/>
      </c>
      <c r="CI267" s="212" t="str">
        <f t="shared" si="936"/>
        <v/>
      </c>
      <c r="CJ267" s="212" t="str">
        <f t="shared" si="936"/>
        <v/>
      </c>
      <c r="CK267" s="212" t="str">
        <f t="shared" si="936"/>
        <v/>
      </c>
      <c r="CL267" s="212" t="str">
        <f t="shared" si="936"/>
        <v/>
      </c>
      <c r="CM267" s="212" t="str">
        <f t="shared" si="936"/>
        <v/>
      </c>
      <c r="CN267" s="212" t="str">
        <f t="shared" si="936"/>
        <v/>
      </c>
      <c r="CO267" s="212" t="str">
        <f t="shared" si="936"/>
        <v/>
      </c>
      <c r="CP267" s="212" t="str">
        <f t="shared" si="936"/>
        <v/>
      </c>
      <c r="CQ267" s="212" t="str">
        <f t="shared" si="936"/>
        <v/>
      </c>
      <c r="CR267" s="212" t="str">
        <f t="shared" si="936"/>
        <v/>
      </c>
      <c r="CS267" s="212" t="str">
        <f t="shared" si="936"/>
        <v/>
      </c>
      <c r="CT267" s="212" t="str">
        <f t="shared" si="936"/>
        <v/>
      </c>
      <c r="CU267" s="212" t="str">
        <f t="shared" si="936"/>
        <v/>
      </c>
      <c r="CV267" s="212" t="str">
        <f t="shared" si="936"/>
        <v/>
      </c>
      <c r="CW267" s="212" t="str">
        <f t="shared" si="936"/>
        <v/>
      </c>
      <c r="CX267" s="212" t="str">
        <f t="shared" si="936"/>
        <v/>
      </c>
      <c r="CY267" s="212" t="str">
        <f t="shared" si="936"/>
        <v/>
      </c>
      <c r="CZ267" s="212" t="str">
        <f t="shared" si="936"/>
        <v/>
      </c>
      <c r="DA267" s="212" t="str">
        <f t="shared" si="936"/>
        <v/>
      </c>
      <c r="DB267" s="212" t="str">
        <f t="shared" si="936"/>
        <v/>
      </c>
      <c r="DC267" s="212" t="str">
        <f t="shared" si="936"/>
        <v/>
      </c>
      <c r="DD267" s="212" t="str">
        <f t="shared" ref="DD267:EI267" si="937">IF(DD$227="","",SUM(DD265:DD266))</f>
        <v/>
      </c>
      <c r="DE267" s="212" t="str">
        <f t="shared" si="937"/>
        <v/>
      </c>
      <c r="DF267" s="212" t="str">
        <f t="shared" si="937"/>
        <v/>
      </c>
      <c r="DG267" s="212" t="str">
        <f t="shared" si="937"/>
        <v/>
      </c>
      <c r="DH267" s="212" t="str">
        <f t="shared" si="937"/>
        <v/>
      </c>
      <c r="DI267" s="212" t="str">
        <f t="shared" si="937"/>
        <v/>
      </c>
      <c r="DJ267" s="212" t="str">
        <f t="shared" si="937"/>
        <v/>
      </c>
      <c r="DK267" s="212" t="str">
        <f t="shared" si="937"/>
        <v/>
      </c>
      <c r="DL267" s="212" t="str">
        <f t="shared" si="937"/>
        <v/>
      </c>
      <c r="DM267" s="212" t="str">
        <f t="shared" si="937"/>
        <v/>
      </c>
      <c r="DN267" s="212" t="str">
        <f t="shared" si="937"/>
        <v/>
      </c>
      <c r="DO267" s="212" t="str">
        <f t="shared" si="937"/>
        <v/>
      </c>
      <c r="DP267" s="212" t="str">
        <f t="shared" si="937"/>
        <v/>
      </c>
      <c r="DQ267" s="212" t="str">
        <f t="shared" si="937"/>
        <v/>
      </c>
      <c r="DR267" s="212" t="str">
        <f t="shared" si="937"/>
        <v/>
      </c>
      <c r="DS267" s="212" t="str">
        <f t="shared" si="937"/>
        <v/>
      </c>
      <c r="DT267" s="212" t="str">
        <f t="shared" si="937"/>
        <v/>
      </c>
      <c r="DU267" s="212" t="str">
        <f t="shared" si="937"/>
        <v/>
      </c>
      <c r="DV267" s="212" t="str">
        <f t="shared" si="937"/>
        <v/>
      </c>
      <c r="DW267" s="212" t="str">
        <f t="shared" si="937"/>
        <v/>
      </c>
      <c r="DX267" s="212" t="str">
        <f t="shared" si="937"/>
        <v/>
      </c>
      <c r="DY267" s="212" t="str">
        <f t="shared" si="937"/>
        <v/>
      </c>
      <c r="DZ267" s="212" t="str">
        <f t="shared" si="937"/>
        <v/>
      </c>
      <c r="EA267" s="212" t="str">
        <f t="shared" si="937"/>
        <v/>
      </c>
      <c r="EB267" s="212" t="str">
        <f t="shared" si="937"/>
        <v/>
      </c>
      <c r="EC267" s="212" t="str">
        <f t="shared" si="937"/>
        <v/>
      </c>
      <c r="ED267" s="212" t="str">
        <f t="shared" si="937"/>
        <v/>
      </c>
      <c r="EE267" s="212" t="str">
        <f t="shared" si="937"/>
        <v/>
      </c>
      <c r="EF267" s="212" t="str">
        <f t="shared" si="937"/>
        <v/>
      </c>
      <c r="EG267" s="212" t="str">
        <f t="shared" si="937"/>
        <v/>
      </c>
      <c r="EH267" s="212" t="str">
        <f t="shared" si="937"/>
        <v/>
      </c>
      <c r="EI267" s="212" t="str">
        <f t="shared" si="937"/>
        <v/>
      </c>
      <c r="EJ267" s="212" t="str">
        <f>IF(EJ$227="","",SUM(EJ265:EJ266))</f>
        <v/>
      </c>
      <c r="EK267" s="212" t="str">
        <f>IF(EK$227="","",SUM(EK265:EK266))</f>
        <v/>
      </c>
      <c r="EL267" s="212" t="str">
        <f>IF(EL$227="","",SUM(EL265:EL266))</f>
        <v/>
      </c>
      <c r="EM267" s="212" t="str">
        <f>IF(EM$227="","",SUM(EM265:EM266))</f>
        <v/>
      </c>
      <c r="EN267" s="212" t="str">
        <f>IF(EN$227="","",SUM(EN265:EN266))</f>
        <v/>
      </c>
      <c r="EO267" s="540"/>
      <c r="EP267" s="405"/>
      <c r="EQ267" s="18"/>
      <c r="ER267" s="18"/>
      <c r="ES267" s="18"/>
      <c r="ET267" s="18" t="s">
        <v>445</v>
      </c>
      <c r="EU267" s="18"/>
      <c r="EV267" s="418">
        <f>SUM(EV265:EV266)</f>
        <v>0</v>
      </c>
      <c r="EW267" s="418">
        <f t="shared" ref="EW267:HH267" si="938">SUM(EW265:EW266)</f>
        <v>0</v>
      </c>
      <c r="EX267" s="418">
        <f t="shared" si="938"/>
        <v>0</v>
      </c>
      <c r="EY267" s="418">
        <f t="shared" si="938"/>
        <v>0</v>
      </c>
      <c r="EZ267" s="418">
        <f t="shared" si="938"/>
        <v>0</v>
      </c>
      <c r="FA267" s="418">
        <f t="shared" si="938"/>
        <v>0</v>
      </c>
      <c r="FB267" s="418">
        <f t="shared" si="938"/>
        <v>0</v>
      </c>
      <c r="FC267" s="418">
        <f t="shared" si="938"/>
        <v>0</v>
      </c>
      <c r="FD267" s="418">
        <f t="shared" si="938"/>
        <v>0</v>
      </c>
      <c r="FE267" s="418">
        <f t="shared" si="938"/>
        <v>0</v>
      </c>
      <c r="FF267" s="418">
        <f t="shared" si="938"/>
        <v>0</v>
      </c>
      <c r="FG267" s="418">
        <f t="shared" si="938"/>
        <v>0</v>
      </c>
      <c r="FH267" s="418">
        <f t="shared" si="938"/>
        <v>0</v>
      </c>
      <c r="FI267" s="418">
        <f t="shared" si="938"/>
        <v>0</v>
      </c>
      <c r="FJ267" s="418">
        <f t="shared" si="938"/>
        <v>0</v>
      </c>
      <c r="FK267" s="418">
        <f t="shared" si="938"/>
        <v>0</v>
      </c>
      <c r="FL267" s="418">
        <f t="shared" si="938"/>
        <v>0</v>
      </c>
      <c r="FM267" s="418">
        <f t="shared" si="938"/>
        <v>0</v>
      </c>
      <c r="FN267" s="418">
        <f t="shared" si="938"/>
        <v>0</v>
      </c>
      <c r="FO267" s="418">
        <f t="shared" si="938"/>
        <v>0</v>
      </c>
      <c r="FP267" s="418">
        <f t="shared" si="938"/>
        <v>0</v>
      </c>
      <c r="FQ267" s="418">
        <f t="shared" si="938"/>
        <v>0</v>
      </c>
      <c r="FR267" s="418">
        <f t="shared" si="938"/>
        <v>0</v>
      </c>
      <c r="FS267" s="418">
        <f t="shared" si="938"/>
        <v>0</v>
      </c>
      <c r="FT267" s="418">
        <f t="shared" si="938"/>
        <v>0</v>
      </c>
      <c r="FU267" s="418">
        <f t="shared" si="938"/>
        <v>0</v>
      </c>
      <c r="FV267" s="418">
        <f t="shared" si="938"/>
        <v>0</v>
      </c>
      <c r="FW267" s="418">
        <f t="shared" si="938"/>
        <v>0</v>
      </c>
      <c r="FX267" s="418">
        <f t="shared" si="938"/>
        <v>0</v>
      </c>
      <c r="FY267" s="418">
        <f t="shared" si="938"/>
        <v>0</v>
      </c>
      <c r="FZ267" s="418">
        <f t="shared" si="938"/>
        <v>0</v>
      </c>
      <c r="GA267" s="418">
        <f t="shared" si="938"/>
        <v>0</v>
      </c>
      <c r="GB267" s="418">
        <f t="shared" si="938"/>
        <v>0</v>
      </c>
      <c r="GC267" s="418">
        <f t="shared" si="938"/>
        <v>0</v>
      </c>
      <c r="GD267" s="418">
        <f t="shared" si="938"/>
        <v>0</v>
      </c>
      <c r="GE267" s="418">
        <f t="shared" si="938"/>
        <v>0</v>
      </c>
      <c r="GF267" s="418">
        <f t="shared" si="938"/>
        <v>0</v>
      </c>
      <c r="GG267" s="418">
        <f t="shared" si="938"/>
        <v>0</v>
      </c>
      <c r="GH267" s="418">
        <f t="shared" si="938"/>
        <v>0</v>
      </c>
      <c r="GI267" s="418">
        <f t="shared" si="938"/>
        <v>0</v>
      </c>
      <c r="GJ267" s="418">
        <f t="shared" si="938"/>
        <v>0</v>
      </c>
      <c r="GK267" s="418">
        <f t="shared" si="938"/>
        <v>0</v>
      </c>
      <c r="GL267" s="418">
        <f t="shared" si="938"/>
        <v>0</v>
      </c>
      <c r="GM267" s="418">
        <f t="shared" si="938"/>
        <v>0</v>
      </c>
      <c r="GN267" s="418">
        <f t="shared" si="938"/>
        <v>0</v>
      </c>
      <c r="GO267" s="418">
        <f t="shared" si="938"/>
        <v>0</v>
      </c>
      <c r="GP267" s="418">
        <f t="shared" si="938"/>
        <v>0</v>
      </c>
      <c r="GQ267" s="418">
        <f t="shared" si="938"/>
        <v>0</v>
      </c>
      <c r="GR267" s="418">
        <f t="shared" si="938"/>
        <v>0</v>
      </c>
      <c r="GS267" s="418">
        <f t="shared" si="938"/>
        <v>0</v>
      </c>
      <c r="GT267" s="418">
        <f t="shared" si="938"/>
        <v>0</v>
      </c>
      <c r="GU267" s="418">
        <f t="shared" si="938"/>
        <v>0</v>
      </c>
      <c r="GV267" s="418">
        <f t="shared" si="938"/>
        <v>0</v>
      </c>
      <c r="GW267" s="418">
        <f t="shared" si="938"/>
        <v>0</v>
      </c>
      <c r="GX267" s="418">
        <f t="shared" si="938"/>
        <v>0</v>
      </c>
      <c r="GY267" s="418">
        <f t="shared" si="938"/>
        <v>0</v>
      </c>
      <c r="GZ267" s="418">
        <f t="shared" si="938"/>
        <v>0</v>
      </c>
      <c r="HA267" s="418">
        <f t="shared" si="938"/>
        <v>0</v>
      </c>
      <c r="HB267" s="418">
        <f t="shared" si="938"/>
        <v>0</v>
      </c>
      <c r="HC267" s="418">
        <f t="shared" si="938"/>
        <v>0</v>
      </c>
      <c r="HD267" s="418">
        <f t="shared" si="938"/>
        <v>0</v>
      </c>
      <c r="HE267" s="418">
        <f t="shared" si="938"/>
        <v>0</v>
      </c>
      <c r="HF267" s="418">
        <f t="shared" si="938"/>
        <v>0</v>
      </c>
      <c r="HG267" s="418">
        <f t="shared" si="938"/>
        <v>0</v>
      </c>
      <c r="HH267" s="418">
        <f t="shared" si="938"/>
        <v>0</v>
      </c>
      <c r="HI267" s="418">
        <f t="shared" ref="HI267:JT267" si="939">SUM(HI265:HI266)</f>
        <v>0</v>
      </c>
      <c r="HJ267" s="418">
        <f t="shared" si="939"/>
        <v>0</v>
      </c>
      <c r="HK267" s="418">
        <f t="shared" si="939"/>
        <v>0</v>
      </c>
      <c r="HL267" s="418">
        <f t="shared" si="939"/>
        <v>0</v>
      </c>
      <c r="HM267" s="418">
        <f t="shared" si="939"/>
        <v>0</v>
      </c>
      <c r="HN267" s="418">
        <f t="shared" si="939"/>
        <v>0</v>
      </c>
      <c r="HO267" s="418">
        <f t="shared" si="939"/>
        <v>0</v>
      </c>
      <c r="HP267" s="418">
        <f t="shared" si="939"/>
        <v>0</v>
      </c>
      <c r="HQ267" s="418">
        <f t="shared" si="939"/>
        <v>0</v>
      </c>
      <c r="HR267" s="418">
        <f t="shared" si="939"/>
        <v>0</v>
      </c>
      <c r="HS267" s="418">
        <f t="shared" si="939"/>
        <v>0</v>
      </c>
      <c r="HT267" s="418">
        <f t="shared" si="939"/>
        <v>0</v>
      </c>
      <c r="HU267" s="418">
        <f t="shared" si="939"/>
        <v>0</v>
      </c>
      <c r="HV267" s="418">
        <f t="shared" si="939"/>
        <v>0</v>
      </c>
      <c r="HW267" s="418">
        <f t="shared" si="939"/>
        <v>0</v>
      </c>
      <c r="HX267" s="418">
        <f t="shared" si="939"/>
        <v>0</v>
      </c>
      <c r="HY267" s="418">
        <f t="shared" si="939"/>
        <v>0</v>
      </c>
      <c r="HZ267" s="418">
        <f t="shared" si="939"/>
        <v>0</v>
      </c>
      <c r="IA267" s="418">
        <f t="shared" si="939"/>
        <v>0</v>
      </c>
      <c r="IB267" s="418">
        <f t="shared" si="939"/>
        <v>0</v>
      </c>
      <c r="IC267" s="418">
        <f t="shared" si="939"/>
        <v>0</v>
      </c>
      <c r="ID267" s="418">
        <f t="shared" si="939"/>
        <v>0</v>
      </c>
      <c r="IE267" s="418">
        <f t="shared" si="939"/>
        <v>0</v>
      </c>
      <c r="IF267" s="418">
        <f t="shared" si="939"/>
        <v>0</v>
      </c>
      <c r="IG267" s="418">
        <f t="shared" si="939"/>
        <v>0</v>
      </c>
      <c r="IH267" s="418">
        <f t="shared" si="939"/>
        <v>0</v>
      </c>
      <c r="II267" s="418">
        <f t="shared" si="939"/>
        <v>0</v>
      </c>
      <c r="IJ267" s="418">
        <f t="shared" si="939"/>
        <v>0</v>
      </c>
      <c r="IK267" s="418">
        <f t="shared" si="939"/>
        <v>0</v>
      </c>
      <c r="IL267" s="418">
        <f t="shared" si="939"/>
        <v>0</v>
      </c>
      <c r="IM267" s="418">
        <f t="shared" si="939"/>
        <v>0</v>
      </c>
      <c r="IN267" s="418">
        <f t="shared" si="939"/>
        <v>0</v>
      </c>
      <c r="IO267" s="418">
        <f t="shared" si="939"/>
        <v>0</v>
      </c>
      <c r="IP267" s="418">
        <f t="shared" si="939"/>
        <v>0</v>
      </c>
      <c r="IQ267" s="418">
        <f t="shared" si="939"/>
        <v>0</v>
      </c>
      <c r="IR267" s="418">
        <f t="shared" si="939"/>
        <v>0</v>
      </c>
      <c r="IS267" s="418">
        <f t="shared" si="939"/>
        <v>0</v>
      </c>
      <c r="IT267" s="418">
        <f t="shared" si="939"/>
        <v>0</v>
      </c>
      <c r="IU267" s="418">
        <f t="shared" si="939"/>
        <v>0</v>
      </c>
      <c r="IV267" s="418">
        <f t="shared" si="939"/>
        <v>0</v>
      </c>
      <c r="IW267" s="418">
        <f t="shared" si="939"/>
        <v>0</v>
      </c>
      <c r="IX267" s="418">
        <f t="shared" si="939"/>
        <v>0</v>
      </c>
      <c r="IY267" s="418">
        <f t="shared" si="939"/>
        <v>0</v>
      </c>
      <c r="IZ267" s="418">
        <f t="shared" si="939"/>
        <v>0</v>
      </c>
      <c r="JA267" s="418">
        <f t="shared" si="939"/>
        <v>0</v>
      </c>
      <c r="JB267" s="418">
        <f t="shared" si="939"/>
        <v>0</v>
      </c>
      <c r="JC267" s="418">
        <f t="shared" si="939"/>
        <v>0</v>
      </c>
      <c r="JD267" s="418">
        <f t="shared" si="939"/>
        <v>0</v>
      </c>
      <c r="JE267" s="418">
        <f t="shared" si="939"/>
        <v>0</v>
      </c>
      <c r="JF267" s="418">
        <f t="shared" si="939"/>
        <v>0</v>
      </c>
      <c r="JG267" s="418">
        <f t="shared" si="939"/>
        <v>0</v>
      </c>
      <c r="JH267" s="418">
        <f t="shared" si="939"/>
        <v>0</v>
      </c>
      <c r="JI267" s="418">
        <f t="shared" si="939"/>
        <v>0</v>
      </c>
      <c r="JJ267" s="418">
        <f t="shared" si="939"/>
        <v>0</v>
      </c>
      <c r="JK267" s="418">
        <f t="shared" si="939"/>
        <v>0</v>
      </c>
      <c r="JL267" s="418">
        <f t="shared" si="939"/>
        <v>0</v>
      </c>
      <c r="JM267" s="418">
        <f t="shared" si="939"/>
        <v>0</v>
      </c>
      <c r="JN267" s="418">
        <f t="shared" si="939"/>
        <v>0</v>
      </c>
      <c r="JO267" s="418">
        <f t="shared" si="939"/>
        <v>0</v>
      </c>
      <c r="JP267" s="418">
        <f t="shared" si="939"/>
        <v>0</v>
      </c>
      <c r="JQ267" s="418">
        <f t="shared" si="939"/>
        <v>0</v>
      </c>
      <c r="JR267" s="418">
        <f t="shared" si="939"/>
        <v>0</v>
      </c>
      <c r="JS267" s="418">
        <f t="shared" si="939"/>
        <v>0</v>
      </c>
      <c r="JT267" s="418">
        <f t="shared" si="939"/>
        <v>0</v>
      </c>
      <c r="JU267" s="418">
        <f>SUM(JU265:JU266)</f>
        <v>0</v>
      </c>
      <c r="JV267" s="418">
        <f>SUM(JV265:JV266)</f>
        <v>0</v>
      </c>
      <c r="JW267" s="418">
        <f>SUM(JW265:JW266)</f>
        <v>0</v>
      </c>
      <c r="JX267" s="418">
        <f>SUM(JX265:JX266)</f>
        <v>0</v>
      </c>
      <c r="JY267"/>
      <c r="JZ267" s="262"/>
      <c r="KA267" s="262"/>
      <c r="KB267" s="262"/>
      <c r="KC267" s="262"/>
      <c r="KD267" s="262"/>
      <c r="KE267" s="262"/>
      <c r="KF267" s="262"/>
      <c r="KG267" s="262"/>
      <c r="KH267" s="262"/>
      <c r="KI267" s="262"/>
      <c r="KJ267" s="262"/>
      <c r="KK267" s="262"/>
      <c r="KL267" s="262"/>
      <c r="KM267" s="262"/>
      <c r="KN267" s="262"/>
      <c r="KO267" s="262"/>
      <c r="KP267" s="262"/>
      <c r="KQ267" s="262"/>
      <c r="KR267" s="262"/>
      <c r="KS267" s="262"/>
      <c r="KT267" s="262"/>
      <c r="KU267" s="262"/>
      <c r="KV267" s="262"/>
      <c r="KW267" s="262"/>
      <c r="KX267" s="262"/>
      <c r="KY267" s="262"/>
      <c r="KZ267" s="262"/>
      <c r="LA267" s="262"/>
      <c r="LB267" s="262"/>
      <c r="LC267" s="262"/>
      <c r="LD267" s="262"/>
      <c r="LE267" s="262"/>
      <c r="LF267" s="262"/>
      <c r="LG267" s="262"/>
      <c r="LH267" s="262"/>
      <c r="LI267" s="262"/>
      <c r="LJ267" s="262"/>
      <c r="LK267" s="262"/>
      <c r="LL267" s="262"/>
      <c r="LM267" s="262"/>
      <c r="LN267" s="262"/>
      <c r="LO267" s="262"/>
      <c r="LP267" s="262"/>
      <c r="LQ267" s="262"/>
      <c r="LR267" s="262"/>
      <c r="LS267" s="262"/>
      <c r="LT267" s="262"/>
      <c r="LU267" s="262"/>
      <c r="LV267" s="262"/>
      <c r="LW267" s="262"/>
      <c r="LX267" s="262"/>
      <c r="LY267" s="262"/>
      <c r="LZ267" s="262"/>
      <c r="MA267" s="262"/>
      <c r="MB267" s="262"/>
      <c r="MC267" s="262"/>
      <c r="MD267" s="262"/>
      <c r="ME267" s="262"/>
      <c r="MF267" s="262"/>
      <c r="MG267" s="262"/>
      <c r="MH267" s="262"/>
      <c r="MI267" s="262"/>
      <c r="MJ267" s="262"/>
      <c r="MK267" s="262"/>
      <c r="ML267" s="262"/>
      <c r="MM267" s="262"/>
      <c r="MN267" s="262"/>
      <c r="MO267" s="262"/>
      <c r="MP267" s="262"/>
      <c r="MQ267" s="262"/>
      <c r="MR267" s="262"/>
      <c r="MS267" s="262"/>
      <c r="MT267" s="262"/>
      <c r="MU267" s="262"/>
      <c r="MV267" s="262"/>
      <c r="MW267" s="262"/>
      <c r="MX267" s="262"/>
      <c r="MY267" s="262"/>
      <c r="MZ267" s="262"/>
      <c r="NA267" s="262"/>
      <c r="NB267" s="262"/>
      <c r="NC267" s="262"/>
      <c r="ND267" s="262"/>
      <c r="NE267" s="262"/>
      <c r="NF267" s="262"/>
      <c r="NG267" s="262"/>
      <c r="NH267" s="262"/>
      <c r="NI267" s="262"/>
      <c r="NJ267" s="262"/>
      <c r="NK267" s="262"/>
      <c r="NL267" s="262"/>
      <c r="NM267" s="262"/>
      <c r="NN267" s="262"/>
      <c r="NO267" s="262"/>
      <c r="NP267" s="262"/>
      <c r="NQ267" s="262"/>
      <c r="NR267" s="262"/>
      <c r="NS267" s="262"/>
      <c r="NT267" s="262"/>
      <c r="NU267" s="262"/>
      <c r="NV267" s="262"/>
      <c r="NW267" s="262"/>
      <c r="NX267" s="262"/>
      <c r="NY267" s="262"/>
      <c r="NZ267" s="262"/>
      <c r="OA267" s="262"/>
      <c r="OB267" s="262"/>
      <c r="OC267" s="262"/>
      <c r="OD267" s="262"/>
      <c r="OE267" s="262"/>
      <c r="OF267" s="262"/>
      <c r="OG267" s="262"/>
      <c r="OH267" s="262"/>
      <c r="OI267" s="262"/>
      <c r="OJ267" s="262"/>
      <c r="OK267" s="262"/>
      <c r="OL267" s="262"/>
      <c r="OM267" s="262"/>
      <c r="ON267" s="262"/>
      <c r="OO267" s="262"/>
      <c r="OP267" s="262"/>
      <c r="OQ267" s="262"/>
      <c r="OR267" s="262"/>
      <c r="OS267" s="262"/>
      <c r="OT267" s="262"/>
      <c r="OU267" s="262"/>
      <c r="OV267" s="262"/>
      <c r="OW267" s="262"/>
      <c r="OX267" s="262"/>
      <c r="OY267" s="262"/>
      <c r="OZ267" s="262"/>
      <c r="PA267" s="262"/>
      <c r="PB267" s="262"/>
      <c r="PC267" s="262"/>
      <c r="PD267" s="262"/>
      <c r="PE267" s="262"/>
      <c r="PF267" s="262"/>
      <c r="PG267" s="262"/>
      <c r="PH267" s="262"/>
    </row>
    <row r="268" spans="1:424" x14ac:dyDescent="0.35">
      <c r="A268"/>
      <c r="B268" s="6"/>
      <c r="C268" s="388"/>
      <c r="D268" s="388"/>
      <c r="E268" s="388"/>
      <c r="F268" s="388"/>
      <c r="G268" s="388"/>
      <c r="H268" s="388"/>
      <c r="I268" s="388"/>
      <c r="J268" s="387"/>
      <c r="K268" s="388"/>
      <c r="L268" s="388"/>
      <c r="M268" s="388"/>
      <c r="N268" s="388"/>
      <c r="O268" s="388"/>
      <c r="P268" s="388"/>
      <c r="Q268" s="388"/>
      <c r="R268" s="388"/>
      <c r="S268" s="388"/>
      <c r="T268" s="388"/>
      <c r="U268" s="388"/>
      <c r="V268" s="388"/>
      <c r="W268" s="388"/>
      <c r="X268" s="388"/>
      <c r="Y268" s="388"/>
      <c r="Z268" s="388"/>
      <c r="AA268" s="388"/>
      <c r="AB268" s="388"/>
      <c r="AC268" s="388"/>
      <c r="AD268" s="388"/>
      <c r="AE268" s="388"/>
      <c r="AF268" s="388"/>
      <c r="AG268" s="388"/>
      <c r="AH268" s="388"/>
      <c r="AI268" s="388"/>
      <c r="AJ268" s="388"/>
      <c r="AK268" s="388"/>
      <c r="AL268" s="388"/>
      <c r="AM268" s="388"/>
      <c r="AN268" s="388"/>
      <c r="AO268" s="388"/>
      <c r="AP268" s="388"/>
      <c r="AQ268" s="388"/>
      <c r="AR268" s="388"/>
      <c r="AS268" s="388"/>
      <c r="AT268" s="388"/>
      <c r="AU268" s="388"/>
      <c r="AV268" s="388"/>
      <c r="AW268" s="388"/>
      <c r="AX268" s="388"/>
      <c r="AY268" s="388"/>
      <c r="AZ268" s="388"/>
      <c r="BA268" s="388"/>
      <c r="BB268" s="388"/>
      <c r="BC268" s="388"/>
      <c r="BD268" s="388"/>
      <c r="BE268" s="388"/>
      <c r="BF268" s="388"/>
      <c r="BG268" s="388"/>
      <c r="BH268" s="388"/>
      <c r="BI268" s="388"/>
      <c r="BJ268" s="388"/>
      <c r="BK268" s="388"/>
      <c r="BL268" s="388"/>
      <c r="BM268" s="388"/>
      <c r="BN268" s="388"/>
      <c r="BO268" s="388"/>
      <c r="BP268" s="388"/>
      <c r="BQ268" s="388"/>
      <c r="BR268" s="388"/>
      <c r="BS268" s="388"/>
      <c r="BT268" s="388"/>
      <c r="BU268" s="388"/>
      <c r="BV268" s="388"/>
      <c r="BW268" s="388"/>
      <c r="BX268" s="388"/>
      <c r="BY268" s="388"/>
      <c r="BZ268" s="388"/>
      <c r="CA268" s="388"/>
      <c r="CB268" s="388"/>
      <c r="CC268" s="388"/>
      <c r="CD268" s="388"/>
      <c r="CE268" s="388"/>
      <c r="CF268" s="388"/>
      <c r="CG268" s="388"/>
      <c r="CH268" s="388"/>
      <c r="CI268" s="388"/>
      <c r="CJ268" s="388"/>
      <c r="CK268" s="388"/>
      <c r="CL268" s="388"/>
      <c r="CM268" s="388"/>
      <c r="CN268" s="388"/>
      <c r="CO268" s="388"/>
      <c r="CP268" s="388"/>
      <c r="CQ268" s="388"/>
      <c r="CR268" s="388"/>
      <c r="CS268" s="388"/>
      <c r="CT268" s="388"/>
      <c r="CU268" s="388"/>
      <c r="CV268" s="388"/>
      <c r="CW268" s="388"/>
      <c r="CX268" s="388"/>
      <c r="CY268" s="388"/>
      <c r="CZ268" s="388"/>
      <c r="DA268" s="388"/>
      <c r="DB268" s="388"/>
      <c r="DC268" s="388"/>
      <c r="DD268" s="388"/>
      <c r="DE268" s="388"/>
      <c r="DF268" s="388"/>
      <c r="DG268" s="388"/>
      <c r="DH268" s="388"/>
      <c r="DI268" s="388"/>
      <c r="DJ268" s="388"/>
      <c r="DK268" s="388"/>
      <c r="DL268" s="388"/>
      <c r="DM268" s="388"/>
      <c r="DN268" s="388"/>
      <c r="DO268" s="388"/>
      <c r="DP268" s="388"/>
      <c r="DQ268" s="388"/>
      <c r="DR268" s="388"/>
      <c r="DS268" s="388"/>
      <c r="DT268" s="388"/>
      <c r="DU268" s="388"/>
      <c r="DV268" s="388"/>
      <c r="DW268" s="388"/>
      <c r="DX268" s="388"/>
      <c r="DY268" s="388"/>
      <c r="DZ268" s="388"/>
      <c r="EA268" s="388"/>
      <c r="EB268" s="388"/>
      <c r="EC268" s="388"/>
      <c r="ED268" s="388"/>
      <c r="EE268" s="388"/>
      <c r="EF268" s="388"/>
      <c r="EG268" s="388"/>
      <c r="EH268" s="388"/>
      <c r="EI268" s="388"/>
      <c r="EJ268" s="388"/>
      <c r="EK268" s="388"/>
      <c r="EL268" s="388"/>
      <c r="EM268" s="388"/>
      <c r="EN268" s="388"/>
      <c r="EO268" s="388"/>
      <c r="EP268" s="219"/>
      <c r="EQ268" s="18"/>
      <c r="ER268" s="18"/>
      <c r="ES268" s="18"/>
      <c r="ET268" s="18"/>
      <c r="EU268" s="18"/>
      <c r="EV268" s="18"/>
      <c r="EW268" s="18"/>
      <c r="EX268" s="18"/>
      <c r="EY268" s="18"/>
      <c r="EZ268" s="18"/>
      <c r="FA268" s="18"/>
      <c r="FB268" s="18"/>
      <c r="FC268" s="18"/>
      <c r="FD268" s="18"/>
      <c r="FE268" s="18"/>
      <c r="FF268" s="18"/>
      <c r="FG268" s="18"/>
      <c r="FH268" s="18"/>
      <c r="FI268" s="18"/>
      <c r="FJ268" s="18"/>
      <c r="FK268" s="18"/>
      <c r="FL268" s="18"/>
      <c r="FM268" s="18"/>
      <c r="FN268" s="18"/>
      <c r="FO268" s="18"/>
      <c r="FP268" s="18"/>
      <c r="FQ268" s="18"/>
      <c r="FR268" s="18"/>
      <c r="FS268" s="18"/>
      <c r="FT268" s="18"/>
      <c r="FU268" s="18"/>
      <c r="FV268" s="18"/>
      <c r="FW268" s="18"/>
      <c r="FX268" s="18"/>
      <c r="FY268" s="18"/>
      <c r="FZ268" s="18"/>
      <c r="GA268" s="18"/>
      <c r="GB268" s="18"/>
      <c r="GC268" s="18"/>
      <c r="GD268" s="18"/>
      <c r="GE268" s="18"/>
      <c r="GF268" s="18"/>
      <c r="GG268" s="18"/>
      <c r="GH268" s="18"/>
      <c r="GI268" s="18"/>
      <c r="GJ268" s="18"/>
      <c r="GK268" s="18"/>
      <c r="GL268" s="18"/>
      <c r="GM268" s="18"/>
      <c r="GN268" s="18"/>
      <c r="GO268" s="18"/>
      <c r="GP268" s="18"/>
      <c r="GQ268" s="18"/>
      <c r="GR268" s="18"/>
      <c r="GS268" s="18"/>
      <c r="GT268" s="18"/>
      <c r="GU268" s="18"/>
      <c r="GV268" s="18"/>
      <c r="GW268" s="18"/>
      <c r="GX268" s="18"/>
      <c r="GY268" s="18"/>
      <c r="GZ268" s="18"/>
      <c r="HA268" s="18"/>
      <c r="HB268" s="18"/>
      <c r="HC268" s="18"/>
      <c r="HD268" s="18"/>
      <c r="HE268" s="18"/>
      <c r="HF268" s="18"/>
      <c r="HG268" s="18"/>
      <c r="HH268" s="18"/>
      <c r="HI268" s="18"/>
      <c r="HJ268" s="18"/>
      <c r="HK268" s="18"/>
      <c r="HL268" s="18"/>
      <c r="HM268" s="18"/>
      <c r="HN268" s="18"/>
      <c r="HO268" s="18"/>
      <c r="HP268" s="18"/>
      <c r="HQ268" s="18"/>
      <c r="HR268" s="18"/>
      <c r="HS268" s="18"/>
      <c r="HT268" s="18"/>
      <c r="HU268" s="18"/>
      <c r="HV268" s="18"/>
      <c r="HW268" s="18"/>
      <c r="HX268" s="18"/>
      <c r="HY268" s="18"/>
      <c r="HZ268" s="18"/>
      <c r="IA268" s="18"/>
      <c r="IB268" s="18"/>
      <c r="IC268" s="18"/>
      <c r="ID268" s="18"/>
      <c r="IE268" s="18"/>
      <c r="IF268" s="18"/>
      <c r="IG268" s="18"/>
      <c r="IH268" s="18"/>
      <c r="II268" s="18"/>
      <c r="IJ268" s="18"/>
      <c r="IK268" s="18"/>
      <c r="IL268" s="18"/>
      <c r="IM268" s="18"/>
      <c r="IN268" s="18"/>
      <c r="IO268" s="18"/>
      <c r="IP268" s="18"/>
      <c r="IQ268" s="18"/>
      <c r="IR268" s="18"/>
      <c r="IS268" s="18"/>
      <c r="IT268" s="18"/>
      <c r="IU268" s="18"/>
      <c r="IV268" s="18"/>
      <c r="IW268" s="18"/>
      <c r="IX268" s="18"/>
      <c r="IY268" s="18"/>
      <c r="IZ268" s="18"/>
      <c r="JA268" s="18"/>
      <c r="JB268" s="18"/>
      <c r="JC268" s="18"/>
      <c r="JD268" s="18"/>
      <c r="JE268" s="18"/>
      <c r="JF268" s="18"/>
      <c r="JG268" s="18"/>
      <c r="JH268" s="18"/>
      <c r="JI268" s="18"/>
      <c r="JJ268" s="18"/>
      <c r="JK268" s="18"/>
      <c r="JL268" s="18"/>
      <c r="JM268" s="18"/>
      <c r="JN268" s="18"/>
      <c r="JO268" s="18"/>
      <c r="JP268" s="18"/>
      <c r="JQ268" s="18"/>
      <c r="JR268" s="18"/>
      <c r="JS268" s="18"/>
      <c r="JT268" s="18"/>
      <c r="JU268" s="18"/>
      <c r="JV268" s="18"/>
      <c r="JW268" s="18"/>
      <c r="JX268" s="18"/>
      <c r="JY268"/>
      <c r="JZ268" s="262"/>
      <c r="KA268" s="262"/>
      <c r="KB268" s="262"/>
      <c r="KC268" s="262"/>
      <c r="KD268" s="262"/>
      <c r="KE268" s="262"/>
      <c r="KF268" s="262"/>
      <c r="KG268" s="262"/>
      <c r="KH268" s="262"/>
      <c r="KI268" s="262"/>
      <c r="KJ268" s="262"/>
      <c r="KK268" s="262"/>
      <c r="KL268" s="262"/>
      <c r="KM268" s="262"/>
      <c r="KN268" s="262"/>
      <c r="KO268" s="262"/>
      <c r="KP268" s="262"/>
      <c r="KQ268" s="262"/>
      <c r="KR268" s="262"/>
      <c r="KS268" s="262"/>
      <c r="KT268" s="262"/>
      <c r="KU268" s="262"/>
      <c r="KV268" s="262"/>
      <c r="KW268" s="262"/>
      <c r="KX268" s="262"/>
      <c r="KY268" s="262"/>
      <c r="KZ268" s="262"/>
      <c r="LA268" s="262"/>
      <c r="LB268" s="262"/>
      <c r="LC268" s="262"/>
      <c r="LD268" s="262"/>
      <c r="LE268" s="262"/>
      <c r="LF268" s="262"/>
      <c r="LG268" s="262"/>
      <c r="LH268" s="262"/>
      <c r="LI268" s="262"/>
      <c r="LJ268" s="262"/>
      <c r="LK268" s="262"/>
      <c r="LL268" s="262"/>
      <c r="LM268" s="262"/>
      <c r="LN268" s="262"/>
      <c r="LO268" s="262"/>
      <c r="LP268" s="262"/>
      <c r="LQ268" s="262"/>
      <c r="LR268" s="262"/>
      <c r="LS268" s="262"/>
      <c r="LT268" s="262"/>
      <c r="LU268" s="262"/>
      <c r="LV268" s="262"/>
      <c r="LW268" s="262"/>
      <c r="LX268" s="262"/>
      <c r="LY268" s="262"/>
      <c r="LZ268" s="262"/>
      <c r="MA268" s="262"/>
      <c r="MB268" s="262"/>
      <c r="MC268" s="262"/>
      <c r="MD268" s="262"/>
      <c r="ME268" s="262"/>
      <c r="MF268" s="262"/>
      <c r="MG268" s="262"/>
      <c r="MH268" s="262"/>
      <c r="MI268" s="262"/>
      <c r="MJ268" s="262"/>
      <c r="MK268" s="262"/>
      <c r="ML268" s="262"/>
      <c r="MM268" s="262"/>
      <c r="MN268" s="262"/>
      <c r="MO268" s="262"/>
      <c r="MP268" s="262"/>
      <c r="MQ268" s="262"/>
      <c r="MR268" s="262"/>
      <c r="MS268" s="262"/>
      <c r="MT268" s="262"/>
      <c r="MU268" s="262"/>
      <c r="MV268" s="262"/>
      <c r="MW268" s="262"/>
      <c r="MX268" s="262"/>
      <c r="MY268" s="262"/>
      <c r="MZ268" s="262"/>
      <c r="NA268" s="262"/>
      <c r="NB268" s="262"/>
      <c r="NC268" s="262"/>
      <c r="ND268" s="262"/>
      <c r="NE268" s="262"/>
      <c r="NF268" s="262"/>
      <c r="NG268" s="262"/>
      <c r="NH268" s="262"/>
      <c r="NI268" s="262"/>
      <c r="NJ268" s="262"/>
      <c r="NK268" s="262"/>
      <c r="NL268" s="262"/>
      <c r="NM268" s="262"/>
      <c r="NN268" s="262"/>
      <c r="NO268" s="262"/>
      <c r="NP268" s="262"/>
      <c r="NQ268" s="262"/>
      <c r="NR268" s="262"/>
      <c r="NS268" s="262"/>
      <c r="NT268" s="262"/>
      <c r="NU268" s="262"/>
      <c r="NV268" s="262"/>
      <c r="NW268" s="262"/>
      <c r="NX268" s="262"/>
      <c r="NY268" s="262"/>
      <c r="NZ268" s="262"/>
      <c r="OA268" s="262"/>
      <c r="OB268" s="262"/>
      <c r="OC268" s="262"/>
      <c r="OD268" s="262"/>
      <c r="OE268" s="262"/>
      <c r="OF268" s="262"/>
      <c r="OG268" s="262"/>
      <c r="OH268" s="262"/>
      <c r="OI268" s="262"/>
      <c r="OJ268" s="262"/>
      <c r="OK268" s="262"/>
      <c r="OL268" s="262"/>
      <c r="OM268" s="262"/>
      <c r="ON268" s="262"/>
      <c r="OO268" s="262"/>
      <c r="OP268" s="262"/>
      <c r="OQ268" s="262"/>
      <c r="OR268" s="262"/>
      <c r="OS268" s="262"/>
      <c r="OT268" s="262"/>
      <c r="OU268" s="262"/>
      <c r="OV268" s="262"/>
      <c r="OW268" s="262"/>
      <c r="OX268" s="262"/>
      <c r="OY268" s="262"/>
      <c r="OZ268" s="262"/>
      <c r="PA268" s="262"/>
      <c r="PB268" s="262"/>
      <c r="PC268" s="262"/>
      <c r="PD268" s="262"/>
      <c r="PE268" s="262"/>
      <c r="PF268" s="262"/>
      <c r="PG268" s="262"/>
      <c r="PH268" s="262"/>
    </row>
    <row r="269" spans="1:424" x14ac:dyDescent="0.35">
      <c r="A269"/>
      <c r="B269" s="2" t="s">
        <v>470</v>
      </c>
      <c r="C269" s="388"/>
      <c r="D269" s="387"/>
      <c r="E269" s="387"/>
      <c r="F269" s="387"/>
      <c r="G269" s="387"/>
      <c r="H269" s="388"/>
      <c r="I269" s="388"/>
      <c r="J269" s="395"/>
      <c r="K269" s="396"/>
      <c r="L269" s="396"/>
      <c r="M269" s="396"/>
      <c r="N269" s="396"/>
      <c r="O269" s="396"/>
      <c r="P269" s="396"/>
      <c r="Q269" s="396"/>
      <c r="R269" s="396"/>
      <c r="S269" s="396"/>
      <c r="T269" s="396"/>
      <c r="U269" s="396"/>
      <c r="V269" s="396"/>
      <c r="W269" s="396"/>
      <c r="X269" s="396"/>
      <c r="Y269" s="396"/>
      <c r="Z269" s="396"/>
      <c r="AA269" s="396"/>
      <c r="AB269" s="396"/>
      <c r="AC269" s="396"/>
      <c r="AD269" s="396"/>
      <c r="AE269" s="396"/>
      <c r="AF269" s="396"/>
      <c r="AG269" s="396"/>
      <c r="AH269" s="396"/>
      <c r="AI269" s="396"/>
      <c r="AJ269" s="396"/>
      <c r="AK269" s="396"/>
      <c r="AL269" s="396"/>
      <c r="AM269" s="396"/>
      <c r="AN269" s="396"/>
      <c r="AO269" s="396"/>
      <c r="AP269" s="396"/>
      <c r="AQ269" s="396"/>
      <c r="AR269" s="396"/>
      <c r="AS269" s="396"/>
      <c r="AT269" s="396"/>
      <c r="AU269" s="396"/>
      <c r="AV269" s="396"/>
      <c r="AW269" s="396"/>
      <c r="AX269" s="396"/>
      <c r="AY269" s="396"/>
      <c r="AZ269" s="396"/>
      <c r="BA269" s="396"/>
      <c r="BB269" s="396"/>
      <c r="BC269" s="396"/>
      <c r="BD269" s="396"/>
      <c r="BE269" s="396"/>
      <c r="BF269" s="396"/>
      <c r="BG269" s="396"/>
      <c r="BH269" s="396"/>
      <c r="BI269" s="396"/>
      <c r="BJ269" s="396"/>
      <c r="BK269" s="396"/>
      <c r="BL269" s="396"/>
      <c r="BM269" s="396"/>
      <c r="BN269" s="396"/>
      <c r="BO269" s="396"/>
      <c r="BP269" s="396"/>
      <c r="BQ269" s="396"/>
      <c r="BR269" s="396"/>
      <c r="BS269" s="396"/>
      <c r="BT269" s="396"/>
      <c r="BU269" s="396"/>
      <c r="BV269" s="396"/>
      <c r="BW269" s="396"/>
      <c r="BX269" s="396"/>
      <c r="BY269" s="396"/>
      <c r="BZ269" s="396"/>
      <c r="CA269" s="396"/>
      <c r="CB269" s="396"/>
      <c r="CC269" s="396"/>
      <c r="CD269" s="396"/>
      <c r="CE269" s="396"/>
      <c r="CF269" s="396"/>
      <c r="CG269" s="396"/>
      <c r="CH269" s="396"/>
      <c r="CI269" s="396"/>
      <c r="CJ269" s="396"/>
      <c r="CK269" s="396"/>
      <c r="CL269" s="396"/>
      <c r="CM269" s="396"/>
      <c r="CN269" s="396"/>
      <c r="CO269" s="396"/>
      <c r="CP269" s="396"/>
      <c r="CQ269" s="396"/>
      <c r="CR269" s="396"/>
      <c r="CS269" s="396"/>
      <c r="CT269" s="396"/>
      <c r="CU269" s="396"/>
      <c r="CV269" s="396"/>
      <c r="CW269" s="396"/>
      <c r="CX269" s="396"/>
      <c r="CY269" s="396"/>
      <c r="CZ269" s="396"/>
      <c r="DA269" s="396"/>
      <c r="DB269" s="396"/>
      <c r="DC269" s="396"/>
      <c r="DD269" s="396"/>
      <c r="DE269" s="396"/>
      <c r="DF269" s="396"/>
      <c r="DG269" s="396"/>
      <c r="DH269" s="396"/>
      <c r="DI269" s="396"/>
      <c r="DJ269" s="396"/>
      <c r="DK269" s="396"/>
      <c r="DL269" s="396"/>
      <c r="DM269" s="396"/>
      <c r="DN269" s="396"/>
      <c r="DO269" s="396"/>
      <c r="DP269" s="396"/>
      <c r="DQ269" s="396"/>
      <c r="DR269" s="396"/>
      <c r="DS269" s="396"/>
      <c r="DT269" s="396"/>
      <c r="DU269" s="396"/>
      <c r="DV269" s="396"/>
      <c r="DW269" s="396"/>
      <c r="DX269" s="396"/>
      <c r="DY269" s="396"/>
      <c r="DZ269" s="396"/>
      <c r="EA269" s="396"/>
      <c r="EB269" s="396"/>
      <c r="EC269" s="396"/>
      <c r="ED269" s="396"/>
      <c r="EE269" s="396"/>
      <c r="EF269" s="396"/>
      <c r="EG269" s="396"/>
      <c r="EH269" s="396"/>
      <c r="EI269" s="396"/>
      <c r="EJ269" s="396"/>
      <c r="EK269" s="396"/>
      <c r="EL269" s="396"/>
      <c r="EM269" s="396"/>
      <c r="EN269" s="559"/>
      <c r="EO269" s="396"/>
      <c r="EP269" s="219"/>
      <c r="EQ269" s="18"/>
      <c r="ER269" s="18"/>
      <c r="ES269" s="18"/>
      <c r="ET269" s="18"/>
      <c r="EU269" s="18"/>
      <c r="EV269" s="18"/>
      <c r="EW269" s="18"/>
      <c r="EX269" s="18"/>
      <c r="EY269" s="18"/>
      <c r="EZ269" s="18"/>
      <c r="FA269" s="18"/>
      <c r="FB269" s="18"/>
      <c r="FC269" s="18"/>
      <c r="FD269" s="18"/>
      <c r="FE269" s="18"/>
      <c r="FF269" s="18"/>
      <c r="FG269" s="18"/>
      <c r="FH269" s="18"/>
      <c r="FI269" s="18"/>
      <c r="FJ269" s="18"/>
      <c r="FK269" s="18"/>
      <c r="FL269" s="18"/>
      <c r="FM269" s="18"/>
      <c r="FN269" s="18"/>
      <c r="FO269" s="18"/>
      <c r="FP269" s="18"/>
      <c r="FQ269" s="18"/>
      <c r="FR269" s="18"/>
      <c r="FS269" s="18"/>
      <c r="FT269" s="18"/>
      <c r="FU269" s="18"/>
      <c r="FV269" s="18"/>
      <c r="FW269" s="18"/>
      <c r="FX269" s="18"/>
      <c r="FY269" s="18"/>
      <c r="FZ269" s="18"/>
      <c r="GA269" s="18"/>
      <c r="GB269" s="18"/>
      <c r="GC269" s="18"/>
      <c r="GD269" s="18"/>
      <c r="GE269" s="18"/>
      <c r="GF269" s="18"/>
      <c r="GG269" s="18"/>
      <c r="GH269" s="18"/>
      <c r="GI269" s="18"/>
      <c r="GJ269" s="18"/>
      <c r="GK269" s="18"/>
      <c r="GL269" s="18"/>
      <c r="GM269" s="18"/>
      <c r="GN269" s="18"/>
      <c r="GO269" s="18"/>
      <c r="GP269" s="18"/>
      <c r="GQ269" s="18"/>
      <c r="GR269" s="18"/>
      <c r="GS269" s="18"/>
      <c r="GT269" s="18"/>
      <c r="GU269" s="18"/>
      <c r="GV269" s="18"/>
      <c r="GW269" s="18"/>
      <c r="GX269" s="18"/>
      <c r="GY269" s="18"/>
      <c r="GZ269" s="18"/>
      <c r="HA269" s="18"/>
      <c r="HB269" s="18"/>
      <c r="HC269" s="18"/>
      <c r="HD269" s="18"/>
      <c r="HE269" s="18"/>
      <c r="HF269" s="18"/>
      <c r="HG269" s="18"/>
      <c r="HH269" s="18"/>
      <c r="HI269" s="18"/>
      <c r="HJ269" s="18"/>
      <c r="HK269" s="18"/>
      <c r="HL269" s="18"/>
      <c r="HM269" s="18"/>
      <c r="HN269" s="18"/>
      <c r="HO269" s="18"/>
      <c r="HP269" s="18"/>
      <c r="HQ269" s="18"/>
      <c r="HR269" s="18"/>
      <c r="HS269" s="18"/>
      <c r="HT269" s="18"/>
      <c r="HU269" s="18"/>
      <c r="HV269" s="18"/>
      <c r="HW269" s="18"/>
      <c r="HX269" s="18"/>
      <c r="HY269" s="18"/>
      <c r="HZ269" s="18"/>
      <c r="IA269" s="18"/>
      <c r="IB269" s="18"/>
      <c r="IC269" s="18"/>
      <c r="ID269" s="18"/>
      <c r="IE269" s="18"/>
      <c r="IF269" s="18"/>
      <c r="IG269" s="18"/>
      <c r="IH269" s="18"/>
      <c r="II269" s="18"/>
      <c r="IJ269" s="18"/>
      <c r="IK269" s="18"/>
      <c r="IL269" s="18"/>
      <c r="IM269" s="18"/>
      <c r="IN269" s="18"/>
      <c r="IO269" s="18"/>
      <c r="IP269" s="18"/>
      <c r="IQ269" s="18"/>
      <c r="IR269" s="18"/>
      <c r="IS269" s="18"/>
      <c r="IT269" s="18"/>
      <c r="IU269" s="18"/>
      <c r="IV269" s="18"/>
      <c r="IW269" s="18"/>
      <c r="IX269" s="18"/>
      <c r="IY269" s="18"/>
      <c r="IZ269" s="18"/>
      <c r="JA269" s="18"/>
      <c r="JB269" s="18"/>
      <c r="JC269" s="18"/>
      <c r="JD269" s="18"/>
      <c r="JE269" s="18"/>
      <c r="JF269" s="18"/>
      <c r="JG269" s="18"/>
      <c r="JH269" s="18"/>
      <c r="JI269" s="18"/>
      <c r="JJ269" s="18"/>
      <c r="JK269" s="18"/>
      <c r="JL269" s="18"/>
      <c r="JM269" s="18"/>
      <c r="JN269" s="18"/>
      <c r="JO269" s="18"/>
      <c r="JP269" s="18"/>
      <c r="JQ269" s="18"/>
      <c r="JR269" s="18"/>
      <c r="JS269" s="18"/>
      <c r="JT269" s="18"/>
      <c r="JU269" s="18"/>
      <c r="JV269" s="18"/>
      <c r="JW269" s="18"/>
      <c r="JX269" s="18"/>
      <c r="JY269"/>
      <c r="JZ269" s="262"/>
      <c r="KA269" s="262"/>
      <c r="KB269" s="262"/>
      <c r="KC269" s="262"/>
      <c r="KD269" s="262"/>
      <c r="KE269" s="262"/>
      <c r="KF269" s="262"/>
      <c r="KG269" s="262"/>
      <c r="KH269" s="262"/>
      <c r="KI269" s="262"/>
      <c r="KJ269" s="262"/>
      <c r="KK269" s="262"/>
      <c r="KL269" s="262"/>
      <c r="KM269" s="262"/>
      <c r="KN269" s="262"/>
      <c r="KO269" s="262"/>
      <c r="KP269" s="262"/>
      <c r="KQ269" s="262"/>
      <c r="KR269" s="262"/>
      <c r="KS269" s="262"/>
      <c r="KT269" s="262"/>
      <c r="KU269" s="262"/>
      <c r="KV269" s="262"/>
      <c r="KW269" s="262"/>
      <c r="KX269" s="262"/>
      <c r="KY269" s="262"/>
      <c r="KZ269" s="262"/>
      <c r="LA269" s="262"/>
      <c r="LB269" s="262"/>
      <c r="LC269" s="262"/>
      <c r="LD269" s="262"/>
      <c r="LE269" s="262"/>
      <c r="LF269" s="262"/>
      <c r="LG269" s="262"/>
      <c r="LH269" s="262"/>
      <c r="LI269" s="262"/>
      <c r="LJ269" s="262"/>
      <c r="LK269" s="262"/>
      <c r="LL269" s="262"/>
      <c r="LM269" s="262"/>
      <c r="LN269" s="262"/>
      <c r="LO269" s="262"/>
      <c r="LP269" s="262"/>
      <c r="LQ269" s="262"/>
      <c r="LR269" s="262"/>
      <c r="LS269" s="262"/>
      <c r="LT269" s="262"/>
      <c r="LU269" s="262"/>
      <c r="LV269" s="262"/>
      <c r="LW269" s="262"/>
      <c r="LX269" s="262"/>
      <c r="LY269" s="262"/>
      <c r="LZ269" s="262"/>
      <c r="MA269" s="262"/>
      <c r="MB269" s="262"/>
      <c r="MC269" s="262"/>
      <c r="MD269" s="262"/>
      <c r="ME269" s="262"/>
      <c r="MF269" s="262"/>
      <c r="MG269" s="262"/>
      <c r="MH269" s="262"/>
      <c r="MI269" s="262"/>
      <c r="MJ269" s="262"/>
      <c r="MK269" s="262"/>
      <c r="ML269" s="262"/>
      <c r="MM269" s="262"/>
      <c r="MN269" s="262"/>
      <c r="MO269" s="262"/>
      <c r="MP269" s="262"/>
      <c r="MQ269" s="262"/>
      <c r="MR269" s="262"/>
      <c r="MS269" s="262"/>
      <c r="MT269" s="262"/>
      <c r="MU269" s="262"/>
      <c r="MV269" s="262"/>
      <c r="MW269" s="262"/>
      <c r="MX269" s="262"/>
      <c r="MY269" s="262"/>
      <c r="MZ269" s="262"/>
      <c r="NA269" s="262"/>
      <c r="NB269" s="262"/>
      <c r="NC269" s="262"/>
      <c r="ND269" s="262"/>
      <c r="NE269" s="262"/>
      <c r="NF269" s="262"/>
      <c r="NG269" s="262"/>
      <c r="NH269" s="262"/>
      <c r="NI269" s="262"/>
      <c r="NJ269" s="262"/>
      <c r="NK269" s="262"/>
      <c r="NL269" s="262"/>
      <c r="NM269" s="262"/>
      <c r="NN269" s="262"/>
      <c r="NO269" s="262"/>
      <c r="NP269" s="262"/>
      <c r="NQ269" s="262"/>
      <c r="NR269" s="262"/>
      <c r="NS269" s="262"/>
      <c r="NT269" s="262"/>
      <c r="NU269" s="262"/>
      <c r="NV269" s="262"/>
      <c r="NW269" s="262"/>
      <c r="NX269" s="262"/>
      <c r="NY269" s="262"/>
      <c r="NZ269" s="262"/>
      <c r="OA269" s="262"/>
      <c r="OB269" s="262"/>
      <c r="OC269" s="262"/>
      <c r="OD269" s="262"/>
      <c r="OE269" s="262"/>
      <c r="OF269" s="262"/>
      <c r="OG269" s="262"/>
      <c r="OH269" s="262"/>
      <c r="OI269" s="262"/>
      <c r="OJ269" s="262"/>
      <c r="OK269" s="262"/>
      <c r="OL269" s="262"/>
      <c r="OM269" s="262"/>
      <c r="ON269" s="262"/>
      <c r="OO269" s="262"/>
      <c r="OP269" s="262"/>
      <c r="OQ269" s="262"/>
      <c r="OR269" s="262"/>
      <c r="OS269" s="262"/>
      <c r="OT269" s="262"/>
      <c r="OU269" s="262"/>
      <c r="OV269" s="262"/>
      <c r="OW269" s="262"/>
      <c r="OX269" s="262"/>
      <c r="OY269" s="262"/>
      <c r="OZ269" s="262"/>
      <c r="PA269" s="262"/>
      <c r="PB269" s="262"/>
      <c r="PC269" s="262"/>
      <c r="PD269" s="262"/>
      <c r="PE269" s="262"/>
      <c r="PF269" s="262"/>
      <c r="PG269" s="262"/>
      <c r="PH269" s="262"/>
    </row>
    <row r="270" spans="1:424" x14ac:dyDescent="0.35">
      <c r="A270"/>
      <c r="B270" s="34"/>
      <c r="C270" s="560" t="s">
        <v>471</v>
      </c>
      <c r="D270" s="34"/>
      <c r="E270" s="34"/>
      <c r="F270" s="34"/>
      <c r="G270" s="411" t="s">
        <v>472</v>
      </c>
      <c r="H270" s="34"/>
      <c r="I270" s="399"/>
      <c r="J270" s="395"/>
      <c r="K270" s="396"/>
      <c r="L270" s="396"/>
      <c r="M270" s="396"/>
      <c r="N270" s="396"/>
      <c r="O270" s="396"/>
      <c r="P270" s="396"/>
      <c r="Q270" s="396"/>
      <c r="R270" s="396"/>
      <c r="S270" s="396"/>
      <c r="T270" s="396"/>
      <c r="U270" s="396"/>
      <c r="V270" s="396"/>
      <c r="W270" s="396"/>
      <c r="X270" s="396"/>
      <c r="Y270" s="396"/>
      <c r="Z270" s="396"/>
      <c r="AA270" s="396"/>
      <c r="AB270" s="396"/>
      <c r="AC270" s="396"/>
      <c r="AD270" s="396"/>
      <c r="AE270" s="396"/>
      <c r="AF270" s="396"/>
      <c r="AG270" s="396"/>
      <c r="AH270" s="396"/>
      <c r="AI270" s="396"/>
      <c r="AJ270" s="396"/>
      <c r="AK270" s="396"/>
      <c r="AL270" s="396"/>
      <c r="AM270" s="396"/>
      <c r="AN270" s="396"/>
      <c r="AO270" s="396"/>
      <c r="AP270" s="396"/>
      <c r="AQ270" s="396"/>
      <c r="AR270" s="396"/>
      <c r="AS270" s="396"/>
      <c r="AT270" s="396"/>
      <c r="AU270" s="396"/>
      <c r="AV270" s="396"/>
      <c r="AW270" s="396"/>
      <c r="AX270" s="396"/>
      <c r="AY270" s="396"/>
      <c r="AZ270" s="396"/>
      <c r="BA270" s="396"/>
      <c r="BB270" s="396"/>
      <c r="BC270" s="396"/>
      <c r="BD270" s="396"/>
      <c r="BE270" s="396"/>
      <c r="BF270" s="396"/>
      <c r="BG270" s="396"/>
      <c r="BH270" s="396"/>
      <c r="BI270" s="396"/>
      <c r="BJ270" s="396"/>
      <c r="BK270" s="396"/>
      <c r="BL270" s="396"/>
      <c r="BM270" s="396"/>
      <c r="BN270" s="396"/>
      <c r="BO270" s="396"/>
      <c r="BP270" s="396"/>
      <c r="BQ270" s="396"/>
      <c r="BR270" s="396"/>
      <c r="BS270" s="396"/>
      <c r="BT270" s="396"/>
      <c r="BU270" s="396"/>
      <c r="BV270" s="396"/>
      <c r="BW270" s="396"/>
      <c r="BX270" s="396"/>
      <c r="BY270" s="396"/>
      <c r="BZ270" s="396"/>
      <c r="CA270" s="396"/>
      <c r="CB270" s="396"/>
      <c r="CC270" s="396"/>
      <c r="CD270" s="396"/>
      <c r="CE270" s="396"/>
      <c r="CF270" s="396"/>
      <c r="CG270" s="396"/>
      <c r="CH270" s="396"/>
      <c r="CI270" s="396"/>
      <c r="CJ270" s="396"/>
      <c r="CK270" s="396"/>
      <c r="CL270" s="396"/>
      <c r="CM270" s="396"/>
      <c r="CN270" s="396"/>
      <c r="CO270" s="396"/>
      <c r="CP270" s="396"/>
      <c r="CQ270" s="396"/>
      <c r="CR270" s="396"/>
      <c r="CS270" s="396"/>
      <c r="CT270" s="396"/>
      <c r="CU270" s="396"/>
      <c r="CV270" s="396"/>
      <c r="CW270" s="396"/>
      <c r="CX270" s="396"/>
      <c r="CY270" s="396"/>
      <c r="CZ270" s="396"/>
      <c r="DA270" s="396"/>
      <c r="DB270" s="396"/>
      <c r="DC270" s="396"/>
      <c r="DD270" s="396"/>
      <c r="DE270" s="396"/>
      <c r="DF270" s="396"/>
      <c r="DG270" s="396"/>
      <c r="DH270" s="396"/>
      <c r="DI270" s="396"/>
      <c r="DJ270" s="396"/>
      <c r="DK270" s="396"/>
      <c r="DL270" s="396"/>
      <c r="DM270" s="396"/>
      <c r="DN270" s="396"/>
      <c r="DO270" s="396"/>
      <c r="DP270" s="396"/>
      <c r="DQ270" s="396"/>
      <c r="DR270" s="396"/>
      <c r="DS270" s="396"/>
      <c r="DT270" s="396"/>
      <c r="DU270" s="396"/>
      <c r="DV270" s="396"/>
      <c r="DW270" s="396"/>
      <c r="DX270" s="396"/>
      <c r="DY270" s="396"/>
      <c r="DZ270" s="396"/>
      <c r="EA270" s="396"/>
      <c r="EB270" s="396"/>
      <c r="EC270" s="396"/>
      <c r="ED270" s="396"/>
      <c r="EE270" s="396"/>
      <c r="EF270" s="396"/>
      <c r="EG270" s="396"/>
      <c r="EH270" s="396"/>
      <c r="EI270" s="396"/>
      <c r="EJ270" s="396"/>
      <c r="EK270" s="396"/>
      <c r="EL270" s="396"/>
      <c r="EM270" s="396"/>
      <c r="EN270" s="396"/>
      <c r="EO270" s="396"/>
      <c r="EP270" s="405"/>
      <c r="EQ270" s="18"/>
      <c r="ER270" s="18"/>
      <c r="ES270" s="18"/>
      <c r="ET270" s="18"/>
      <c r="EU270" s="18"/>
      <c r="EV270" s="81"/>
      <c r="EW270" s="81"/>
      <c r="EX270" s="81"/>
      <c r="EY270" s="81"/>
      <c r="EZ270" s="81"/>
      <c r="FA270" s="81"/>
      <c r="FB270" s="81"/>
      <c r="FC270" s="81"/>
      <c r="FD270" s="81"/>
      <c r="FE270" s="81"/>
      <c r="FF270" s="81"/>
      <c r="FG270" s="81"/>
      <c r="FH270" s="81"/>
      <c r="FI270" s="81"/>
      <c r="FJ270" s="81"/>
      <c r="FK270" s="81"/>
      <c r="FL270" s="81"/>
      <c r="FM270" s="81"/>
      <c r="FN270" s="81"/>
      <c r="FO270" s="81"/>
      <c r="FP270" s="81"/>
      <c r="FQ270" s="81"/>
      <c r="FR270" s="81"/>
      <c r="FS270" s="81"/>
      <c r="FT270" s="81"/>
      <c r="FU270" s="81"/>
      <c r="FV270" s="81"/>
      <c r="FW270" s="81"/>
      <c r="FX270" s="81"/>
      <c r="FY270" s="81"/>
      <c r="FZ270" s="81"/>
      <c r="GA270" s="81"/>
      <c r="GB270" s="81"/>
      <c r="GC270" s="81"/>
      <c r="GD270" s="81"/>
      <c r="GE270" s="81"/>
      <c r="GF270" s="81"/>
      <c r="GG270" s="81"/>
      <c r="GH270" s="81"/>
      <c r="GI270" s="81"/>
      <c r="GJ270" s="81"/>
      <c r="GK270" s="81"/>
      <c r="GL270" s="81"/>
      <c r="GM270" s="81"/>
      <c r="GN270" s="81"/>
      <c r="GO270" s="81"/>
      <c r="GP270" s="81"/>
      <c r="GQ270" s="81"/>
      <c r="GR270" s="81"/>
      <c r="GS270" s="81"/>
      <c r="GT270" s="81"/>
      <c r="GU270" s="81"/>
      <c r="GV270" s="81"/>
      <c r="GW270" s="81"/>
      <c r="GX270" s="81"/>
      <c r="GY270" s="81"/>
      <c r="GZ270" s="81"/>
      <c r="HA270" s="81"/>
      <c r="HB270" s="81"/>
      <c r="HC270" s="81"/>
      <c r="HD270" s="81"/>
      <c r="HE270" s="81"/>
      <c r="HF270" s="81"/>
      <c r="HG270" s="81"/>
      <c r="HH270" s="81"/>
      <c r="HI270" s="81"/>
      <c r="HJ270" s="81"/>
      <c r="HK270" s="81"/>
      <c r="HL270" s="81"/>
      <c r="HM270" s="81"/>
      <c r="HN270" s="81"/>
      <c r="HO270" s="81"/>
      <c r="HP270" s="81"/>
      <c r="HQ270" s="81"/>
      <c r="HR270" s="81"/>
      <c r="HS270" s="81"/>
      <c r="HT270" s="81"/>
      <c r="HU270" s="81"/>
      <c r="HV270" s="81"/>
      <c r="HW270" s="81"/>
      <c r="HX270" s="81"/>
      <c r="HY270" s="81"/>
      <c r="HZ270" s="81"/>
      <c r="IA270" s="81"/>
      <c r="IB270" s="81"/>
      <c r="IC270" s="81"/>
      <c r="ID270" s="81"/>
      <c r="IE270" s="81"/>
      <c r="IF270" s="81"/>
      <c r="IG270" s="81"/>
      <c r="IH270" s="81"/>
      <c r="II270" s="81"/>
      <c r="IJ270" s="81"/>
      <c r="IK270" s="81"/>
      <c r="IL270" s="81"/>
      <c r="IM270" s="81"/>
      <c r="IN270" s="81"/>
      <c r="IO270" s="81"/>
      <c r="IP270" s="81"/>
      <c r="IQ270" s="81"/>
      <c r="IR270" s="81"/>
      <c r="IS270" s="81"/>
      <c r="IT270" s="81"/>
      <c r="IU270" s="81"/>
      <c r="IV270" s="81"/>
      <c r="IW270" s="81"/>
      <c r="IX270" s="81"/>
      <c r="IY270" s="81"/>
      <c r="IZ270" s="81"/>
      <c r="JA270" s="81"/>
      <c r="JB270" s="81"/>
      <c r="JC270" s="81"/>
      <c r="JD270" s="81"/>
      <c r="JE270" s="81"/>
      <c r="JF270" s="81"/>
      <c r="JG270" s="81"/>
      <c r="JH270" s="81"/>
      <c r="JI270" s="81"/>
      <c r="JJ270" s="81"/>
      <c r="JK270" s="81"/>
      <c r="JL270" s="81"/>
      <c r="JM270" s="81"/>
      <c r="JN270" s="81"/>
      <c r="JO270" s="81"/>
      <c r="JP270" s="81"/>
      <c r="JQ270" s="81"/>
      <c r="JR270" s="81"/>
      <c r="JS270" s="81"/>
      <c r="JT270" s="81"/>
      <c r="JU270" s="81"/>
      <c r="JV270" s="81"/>
      <c r="JW270" s="81"/>
      <c r="JX270" s="81"/>
      <c r="JY270"/>
      <c r="JZ270" s="262"/>
      <c r="KA270" s="262"/>
      <c r="KB270" s="262"/>
      <c r="KC270" s="262"/>
      <c r="KD270" s="262"/>
      <c r="KE270" s="262"/>
      <c r="KF270" s="262"/>
      <c r="KG270" s="262"/>
      <c r="KH270" s="262"/>
      <c r="KI270" s="262"/>
      <c r="KJ270" s="262"/>
      <c r="KK270" s="262"/>
      <c r="KL270" s="262"/>
      <c r="KM270" s="262"/>
      <c r="KN270" s="262"/>
      <c r="KO270" s="262"/>
      <c r="KP270" s="262"/>
      <c r="KQ270" s="262"/>
      <c r="KR270" s="262"/>
      <c r="KS270" s="262"/>
      <c r="KT270" s="262"/>
      <c r="KU270" s="262"/>
      <c r="KV270" s="262"/>
      <c r="KW270" s="262"/>
      <c r="KX270" s="262"/>
      <c r="KY270" s="262"/>
      <c r="KZ270" s="262"/>
      <c r="LA270" s="262"/>
      <c r="LB270" s="262"/>
      <c r="LC270" s="262"/>
      <c r="LD270" s="262"/>
      <c r="LE270" s="262"/>
      <c r="LF270" s="262"/>
      <c r="LG270" s="262"/>
      <c r="LH270" s="262"/>
      <c r="LI270" s="262"/>
      <c r="LJ270" s="262"/>
      <c r="LK270" s="262"/>
      <c r="LL270" s="262"/>
      <c r="LM270" s="262"/>
      <c r="LN270" s="262"/>
      <c r="LO270" s="262"/>
      <c r="LP270" s="262"/>
      <c r="LQ270" s="262"/>
      <c r="LR270" s="262"/>
      <c r="LS270" s="262"/>
      <c r="LT270" s="262"/>
      <c r="LU270" s="262"/>
      <c r="LV270" s="262"/>
      <c r="LW270" s="262"/>
      <c r="LX270" s="262"/>
      <c r="LY270" s="262"/>
      <c r="LZ270" s="262"/>
      <c r="MA270" s="262"/>
      <c r="MB270" s="262"/>
      <c r="MC270" s="262"/>
      <c r="MD270" s="262"/>
      <c r="ME270" s="262"/>
      <c r="MF270" s="262"/>
      <c r="MG270" s="262"/>
      <c r="MH270" s="262"/>
      <c r="MI270" s="262"/>
      <c r="MJ270" s="262"/>
      <c r="MK270" s="262"/>
      <c r="ML270" s="262"/>
      <c r="MM270" s="262"/>
      <c r="MN270" s="262"/>
      <c r="MO270" s="262"/>
      <c r="MP270" s="262"/>
      <c r="MQ270" s="262"/>
      <c r="MR270" s="262"/>
      <c r="MS270" s="262"/>
      <c r="MT270" s="262"/>
      <c r="MU270" s="262"/>
      <c r="MV270" s="262"/>
      <c r="MW270" s="262"/>
      <c r="MX270" s="262"/>
      <c r="MY270" s="262"/>
      <c r="MZ270" s="262"/>
      <c r="NA270" s="262"/>
      <c r="NB270" s="262"/>
      <c r="NC270" s="262"/>
      <c r="ND270" s="262"/>
      <c r="NE270" s="262"/>
      <c r="NF270" s="262"/>
      <c r="NG270" s="262"/>
      <c r="NH270" s="262"/>
      <c r="NI270" s="262"/>
      <c r="NJ270" s="262"/>
      <c r="NK270" s="262"/>
      <c r="NL270" s="262"/>
      <c r="NM270" s="262"/>
      <c r="NN270" s="262"/>
      <c r="NO270" s="262"/>
      <c r="NP270" s="262"/>
      <c r="NQ270" s="262"/>
      <c r="NR270" s="262"/>
      <c r="NS270" s="262"/>
      <c r="NT270" s="262"/>
      <c r="NU270" s="262"/>
      <c r="NV270" s="262"/>
      <c r="NW270" s="262"/>
      <c r="NX270" s="262"/>
      <c r="NY270" s="262"/>
      <c r="NZ270" s="262"/>
      <c r="OA270" s="262"/>
      <c r="OB270" s="262"/>
      <c r="OC270" s="262"/>
      <c r="OD270" s="262"/>
      <c r="OE270" s="262"/>
      <c r="OF270" s="262"/>
      <c r="OG270" s="262"/>
      <c r="OH270" s="262"/>
      <c r="OI270" s="262"/>
      <c r="OJ270" s="262"/>
      <c r="OK270" s="262"/>
      <c r="OL270" s="262"/>
      <c r="OM270" s="262"/>
      <c r="ON270" s="262"/>
      <c r="OO270" s="262"/>
      <c r="OP270" s="262"/>
      <c r="OQ270" s="262"/>
      <c r="OR270" s="262"/>
      <c r="OS270" s="262"/>
      <c r="OT270" s="262"/>
      <c r="OU270" s="262"/>
      <c r="OV270" s="262"/>
      <c r="OW270" s="262"/>
      <c r="OX270" s="262"/>
      <c r="OY270" s="262"/>
      <c r="OZ270" s="262"/>
      <c r="PA270" s="262"/>
      <c r="PB270" s="262"/>
      <c r="PC270" s="262"/>
      <c r="PD270" s="262"/>
      <c r="PE270" s="262"/>
      <c r="PF270" s="262"/>
      <c r="PG270" s="262"/>
      <c r="PH270" s="262"/>
    </row>
    <row r="271" spans="1:424" x14ac:dyDescent="0.35">
      <c r="A271"/>
      <c r="B271" s="34"/>
      <c r="C271" s="561" t="s">
        <v>473</v>
      </c>
      <c r="D271" s="495" t="s">
        <v>474</v>
      </c>
      <c r="E271" s="449" t="s">
        <v>475</v>
      </c>
      <c r="F271" s="449"/>
      <c r="G271" s="459" t="s">
        <v>88</v>
      </c>
      <c r="H271" s="495" t="s">
        <v>474</v>
      </c>
      <c r="I271" s="449" t="s">
        <v>475</v>
      </c>
      <c r="J271" s="395"/>
      <c r="K271" s="396"/>
      <c r="L271" s="396"/>
      <c r="M271" s="396"/>
      <c r="N271" s="396"/>
      <c r="O271" s="396"/>
      <c r="P271" s="396"/>
      <c r="Q271" s="396"/>
      <c r="R271" s="396"/>
      <c r="S271" s="396"/>
      <c r="T271" s="396"/>
      <c r="U271" s="396"/>
      <c r="V271" s="396"/>
      <c r="W271" s="396"/>
      <c r="X271" s="396"/>
      <c r="Y271" s="396"/>
      <c r="Z271" s="396"/>
      <c r="AA271" s="396"/>
      <c r="AB271" s="396"/>
      <c r="AC271" s="396"/>
      <c r="AD271" s="396"/>
      <c r="AE271" s="396"/>
      <c r="AF271" s="396"/>
      <c r="AG271" s="396"/>
      <c r="AH271" s="396"/>
      <c r="AI271" s="396"/>
      <c r="AJ271" s="396"/>
      <c r="AK271" s="396"/>
      <c r="AL271" s="396"/>
      <c r="AM271" s="396"/>
      <c r="AN271" s="396"/>
      <c r="AO271" s="396"/>
      <c r="AP271" s="396"/>
      <c r="AQ271" s="396"/>
      <c r="AR271" s="396"/>
      <c r="AS271" s="396"/>
      <c r="AT271" s="396"/>
      <c r="AU271" s="396"/>
      <c r="AV271" s="396"/>
      <c r="AW271" s="396"/>
      <c r="AX271" s="396"/>
      <c r="AY271" s="396"/>
      <c r="AZ271" s="396"/>
      <c r="BA271" s="396"/>
      <c r="BB271" s="396"/>
      <c r="BC271" s="396"/>
      <c r="BD271" s="396"/>
      <c r="BE271" s="396"/>
      <c r="BF271" s="396"/>
      <c r="BG271" s="396"/>
      <c r="BH271" s="396"/>
      <c r="BI271" s="396"/>
      <c r="BJ271" s="396"/>
      <c r="BK271" s="396"/>
      <c r="BL271" s="396"/>
      <c r="BM271" s="396"/>
      <c r="BN271" s="396"/>
      <c r="BO271" s="396"/>
      <c r="BP271" s="396"/>
      <c r="BQ271" s="396"/>
      <c r="BR271" s="396"/>
      <c r="BS271" s="396"/>
      <c r="BT271" s="396"/>
      <c r="BU271" s="396"/>
      <c r="BV271" s="396"/>
      <c r="BW271" s="396"/>
      <c r="BX271" s="396"/>
      <c r="BY271" s="396"/>
      <c r="BZ271" s="396"/>
      <c r="CA271" s="396"/>
      <c r="CB271" s="396"/>
      <c r="CC271" s="396"/>
      <c r="CD271" s="396"/>
      <c r="CE271" s="396"/>
      <c r="CF271" s="396"/>
      <c r="CG271" s="396"/>
      <c r="CH271" s="396"/>
      <c r="CI271" s="396"/>
      <c r="CJ271" s="396"/>
      <c r="CK271" s="396"/>
      <c r="CL271" s="396"/>
      <c r="CM271" s="396"/>
      <c r="CN271" s="396"/>
      <c r="CO271" s="396"/>
      <c r="CP271" s="396"/>
      <c r="CQ271" s="396"/>
      <c r="CR271" s="396"/>
      <c r="CS271" s="396"/>
      <c r="CT271" s="396"/>
      <c r="CU271" s="396"/>
      <c r="CV271" s="396"/>
      <c r="CW271" s="396"/>
      <c r="CX271" s="396"/>
      <c r="CY271" s="396"/>
      <c r="CZ271" s="396"/>
      <c r="DA271" s="396"/>
      <c r="DB271" s="396"/>
      <c r="DC271" s="396"/>
      <c r="DD271" s="396"/>
      <c r="DE271" s="396"/>
      <c r="DF271" s="396"/>
      <c r="DG271" s="396"/>
      <c r="DH271" s="396"/>
      <c r="DI271" s="396"/>
      <c r="DJ271" s="396"/>
      <c r="DK271" s="396"/>
      <c r="DL271" s="396"/>
      <c r="DM271" s="396"/>
      <c r="DN271" s="396"/>
      <c r="DO271" s="396"/>
      <c r="DP271" s="396"/>
      <c r="DQ271" s="396"/>
      <c r="DR271" s="396"/>
      <c r="DS271" s="396"/>
      <c r="DT271" s="396"/>
      <c r="DU271" s="396"/>
      <c r="DV271" s="396"/>
      <c r="DW271" s="396"/>
      <c r="DX271" s="396"/>
      <c r="DY271" s="396"/>
      <c r="DZ271" s="396"/>
      <c r="EA271" s="396"/>
      <c r="EB271" s="396"/>
      <c r="EC271" s="396"/>
      <c r="ED271" s="396"/>
      <c r="EE271" s="396"/>
      <c r="EF271" s="396"/>
      <c r="EG271" s="396"/>
      <c r="EH271" s="396"/>
      <c r="EI271" s="396"/>
      <c r="EJ271" s="396"/>
      <c r="EK271" s="396"/>
      <c r="EL271" s="396"/>
      <c r="EM271" s="396"/>
      <c r="EN271" s="396"/>
      <c r="EO271" s="396"/>
      <c r="EP271" s="405"/>
      <c r="EQ271" s="18"/>
      <c r="ER271" s="18"/>
      <c r="ES271" s="18"/>
      <c r="ET271" s="18"/>
      <c r="EU271" s="18"/>
      <c r="EV271" s="81"/>
      <c r="EW271" s="81"/>
      <c r="EX271" s="81"/>
      <c r="EY271" s="81"/>
      <c r="EZ271" s="81"/>
      <c r="FA271" s="81"/>
      <c r="FB271" s="81"/>
      <c r="FC271" s="81"/>
      <c r="FD271" s="81"/>
      <c r="FE271" s="81"/>
      <c r="FF271" s="81"/>
      <c r="FG271" s="81"/>
      <c r="FH271" s="81"/>
      <c r="FI271" s="81"/>
      <c r="FJ271" s="81"/>
      <c r="FK271" s="81"/>
      <c r="FL271" s="81"/>
      <c r="FM271" s="81"/>
      <c r="FN271" s="81"/>
      <c r="FO271" s="81"/>
      <c r="FP271" s="81"/>
      <c r="FQ271" s="81"/>
      <c r="FR271" s="81"/>
      <c r="FS271" s="81"/>
      <c r="FT271" s="81"/>
      <c r="FU271" s="81"/>
      <c r="FV271" s="81"/>
      <c r="FW271" s="81"/>
      <c r="FX271" s="81"/>
      <c r="FY271" s="81"/>
      <c r="FZ271" s="81"/>
      <c r="GA271" s="81"/>
      <c r="GB271" s="81"/>
      <c r="GC271" s="81"/>
      <c r="GD271" s="81"/>
      <c r="GE271" s="81"/>
      <c r="GF271" s="81"/>
      <c r="GG271" s="81"/>
      <c r="GH271" s="81"/>
      <c r="GI271" s="81"/>
      <c r="GJ271" s="81"/>
      <c r="GK271" s="81"/>
      <c r="GL271" s="81"/>
      <c r="GM271" s="81"/>
      <c r="GN271" s="81"/>
      <c r="GO271" s="81"/>
      <c r="GP271" s="81"/>
      <c r="GQ271" s="81"/>
      <c r="GR271" s="81"/>
      <c r="GS271" s="81"/>
      <c r="GT271" s="81"/>
      <c r="GU271" s="81"/>
      <c r="GV271" s="81"/>
      <c r="GW271" s="81"/>
      <c r="GX271" s="81"/>
      <c r="GY271" s="81"/>
      <c r="GZ271" s="81"/>
      <c r="HA271" s="81"/>
      <c r="HB271" s="81"/>
      <c r="HC271" s="81"/>
      <c r="HD271" s="81"/>
      <c r="HE271" s="81"/>
      <c r="HF271" s="81"/>
      <c r="HG271" s="81"/>
      <c r="HH271" s="81"/>
      <c r="HI271" s="81"/>
      <c r="HJ271" s="81"/>
      <c r="HK271" s="81"/>
      <c r="HL271" s="81"/>
      <c r="HM271" s="81"/>
      <c r="HN271" s="81"/>
      <c r="HO271" s="81"/>
      <c r="HP271" s="81"/>
      <c r="HQ271" s="81"/>
      <c r="HR271" s="81"/>
      <c r="HS271" s="81"/>
      <c r="HT271" s="81"/>
      <c r="HU271" s="81"/>
      <c r="HV271" s="81"/>
      <c r="HW271" s="81"/>
      <c r="HX271" s="81"/>
      <c r="HY271" s="81"/>
      <c r="HZ271" s="81"/>
      <c r="IA271" s="81"/>
      <c r="IB271" s="81"/>
      <c r="IC271" s="81"/>
      <c r="ID271" s="81"/>
      <c r="IE271" s="81"/>
      <c r="IF271" s="81"/>
      <c r="IG271" s="81"/>
      <c r="IH271" s="81"/>
      <c r="II271" s="81"/>
      <c r="IJ271" s="81"/>
      <c r="IK271" s="81"/>
      <c r="IL271" s="81"/>
      <c r="IM271" s="81"/>
      <c r="IN271" s="81"/>
      <c r="IO271" s="81"/>
      <c r="IP271" s="81"/>
      <c r="IQ271" s="81"/>
      <c r="IR271" s="81"/>
      <c r="IS271" s="81"/>
      <c r="IT271" s="81"/>
      <c r="IU271" s="81"/>
      <c r="IV271" s="81"/>
      <c r="IW271" s="81"/>
      <c r="IX271" s="81"/>
      <c r="IY271" s="81"/>
      <c r="IZ271" s="81"/>
      <c r="JA271" s="81"/>
      <c r="JB271" s="81"/>
      <c r="JC271" s="81"/>
      <c r="JD271" s="81"/>
      <c r="JE271" s="81"/>
      <c r="JF271" s="81"/>
      <c r="JG271" s="81"/>
      <c r="JH271" s="81"/>
      <c r="JI271" s="81"/>
      <c r="JJ271" s="81"/>
      <c r="JK271" s="81"/>
      <c r="JL271" s="81"/>
      <c r="JM271" s="81"/>
      <c r="JN271" s="81"/>
      <c r="JO271" s="81"/>
      <c r="JP271" s="81"/>
      <c r="JQ271" s="81"/>
      <c r="JR271" s="81"/>
      <c r="JS271" s="81"/>
      <c r="JT271" s="81"/>
      <c r="JU271" s="81"/>
      <c r="JV271" s="81"/>
      <c r="JW271" s="81"/>
      <c r="JX271" s="81"/>
      <c r="JY271"/>
      <c r="JZ271" s="262"/>
      <c r="KA271" s="262"/>
      <c r="KB271" s="262"/>
      <c r="KC271" s="262"/>
      <c r="KD271" s="262"/>
      <c r="KE271" s="262"/>
      <c r="KF271" s="262"/>
      <c r="KG271" s="262"/>
      <c r="KH271" s="262"/>
      <c r="KI271" s="262"/>
      <c r="KJ271" s="262"/>
      <c r="KK271" s="262"/>
      <c r="KL271" s="262"/>
      <c r="KM271" s="262"/>
      <c r="KN271" s="262"/>
      <c r="KO271" s="262"/>
      <c r="KP271" s="262"/>
      <c r="KQ271" s="262"/>
      <c r="KR271" s="262"/>
      <c r="KS271" s="262"/>
      <c r="KT271" s="262"/>
      <c r="KU271" s="262"/>
      <c r="KV271" s="262"/>
      <c r="KW271" s="262"/>
      <c r="KX271" s="262"/>
      <c r="KY271" s="262"/>
      <c r="KZ271" s="262"/>
      <c r="LA271" s="262"/>
      <c r="LB271" s="262"/>
      <c r="LC271" s="262"/>
      <c r="LD271" s="262"/>
      <c r="LE271" s="262"/>
      <c r="LF271" s="262"/>
      <c r="LG271" s="262"/>
      <c r="LH271" s="262"/>
      <c r="LI271" s="262"/>
      <c r="LJ271" s="262"/>
      <c r="LK271" s="262"/>
      <c r="LL271" s="262"/>
      <c r="LM271" s="262"/>
      <c r="LN271" s="262"/>
      <c r="LO271" s="262"/>
      <c r="LP271" s="262"/>
      <c r="LQ271" s="262"/>
      <c r="LR271" s="262"/>
      <c r="LS271" s="262"/>
      <c r="LT271" s="262"/>
      <c r="LU271" s="262"/>
      <c r="LV271" s="262"/>
      <c r="LW271" s="262"/>
      <c r="LX271" s="262"/>
      <c r="LY271" s="262"/>
      <c r="LZ271" s="262"/>
      <c r="MA271" s="262"/>
      <c r="MB271" s="262"/>
      <c r="MC271" s="262"/>
      <c r="MD271" s="262"/>
      <c r="ME271" s="262"/>
      <c r="MF271" s="262"/>
      <c r="MG271" s="262"/>
      <c r="MH271" s="262"/>
      <c r="MI271" s="262"/>
      <c r="MJ271" s="262"/>
      <c r="MK271" s="262"/>
      <c r="ML271" s="262"/>
      <c r="MM271" s="262"/>
      <c r="MN271" s="262"/>
      <c r="MO271" s="262"/>
      <c r="MP271" s="262"/>
      <c r="MQ271" s="262"/>
      <c r="MR271" s="262"/>
      <c r="MS271" s="262"/>
      <c r="MT271" s="262"/>
      <c r="MU271" s="262"/>
      <c r="MV271" s="262"/>
      <c r="MW271" s="262"/>
      <c r="MX271" s="262"/>
      <c r="MY271" s="262"/>
      <c r="MZ271" s="262"/>
      <c r="NA271" s="262"/>
      <c r="NB271" s="262"/>
      <c r="NC271" s="262"/>
      <c r="ND271" s="262"/>
      <c r="NE271" s="262"/>
      <c r="NF271" s="262"/>
      <c r="NG271" s="262"/>
      <c r="NH271" s="262"/>
      <c r="NI271" s="262"/>
      <c r="NJ271" s="262"/>
      <c r="NK271" s="262"/>
      <c r="NL271" s="262"/>
      <c r="NM271" s="262"/>
      <c r="NN271" s="262"/>
      <c r="NO271" s="262"/>
      <c r="NP271" s="262"/>
      <c r="NQ271" s="262"/>
      <c r="NR271" s="262"/>
      <c r="NS271" s="262"/>
      <c r="NT271" s="262"/>
      <c r="NU271" s="262"/>
      <c r="NV271" s="262"/>
      <c r="NW271" s="262"/>
      <c r="NX271" s="262"/>
      <c r="NY271" s="262"/>
      <c r="NZ271" s="262"/>
      <c r="OA271" s="262"/>
      <c r="OB271" s="262"/>
      <c r="OC271" s="262"/>
      <c r="OD271" s="262"/>
      <c r="OE271" s="262"/>
      <c r="OF271" s="262"/>
      <c r="OG271" s="262"/>
      <c r="OH271" s="262"/>
      <c r="OI271" s="262"/>
      <c r="OJ271" s="262"/>
      <c r="OK271" s="262"/>
      <c r="OL271" s="262"/>
      <c r="OM271" s="262"/>
      <c r="ON271" s="262"/>
      <c r="OO271" s="262"/>
      <c r="OP271" s="262"/>
      <c r="OQ271" s="262"/>
      <c r="OR271" s="262"/>
      <c r="OS271" s="262"/>
      <c r="OT271" s="262"/>
      <c r="OU271" s="262"/>
      <c r="OV271" s="262"/>
      <c r="OW271" s="262"/>
      <c r="OX271" s="262"/>
      <c r="OY271" s="262"/>
      <c r="OZ271" s="262"/>
      <c r="PA271" s="262"/>
      <c r="PB271" s="262"/>
      <c r="PC271" s="262"/>
      <c r="PD271" s="262"/>
      <c r="PE271" s="262"/>
      <c r="PF271" s="262"/>
      <c r="PG271" s="262"/>
      <c r="PH271" s="262"/>
    </row>
    <row r="272" spans="1:424" x14ac:dyDescent="0.35">
      <c r="A272"/>
      <c r="B272" s="459" t="s">
        <v>476</v>
      </c>
      <c r="C272" s="131">
        <f>G129</f>
        <v>0</v>
      </c>
      <c r="D272" s="128">
        <f>$I$217</f>
        <v>411.33422876569847</v>
      </c>
      <c r="E272" s="562">
        <f>$G$212</f>
        <v>3.6516197698477049</v>
      </c>
      <c r="F272" s="459" t="s">
        <v>476</v>
      </c>
      <c r="G272" s="129">
        <f>I162</f>
        <v>6.7500000000000004E-2</v>
      </c>
      <c r="H272" s="128">
        <f>$I$217</f>
        <v>411.33422876569847</v>
      </c>
      <c r="I272" s="562">
        <f>$G$212</f>
        <v>3.6516197698477049</v>
      </c>
      <c r="J272" s="395"/>
      <c r="K272" s="396"/>
      <c r="L272" s="396"/>
      <c r="M272" s="396"/>
      <c r="N272" s="396"/>
      <c r="O272" s="396"/>
      <c r="P272" s="396"/>
      <c r="Q272" s="396"/>
      <c r="R272" s="396"/>
      <c r="S272" s="396"/>
      <c r="T272" s="396"/>
      <c r="U272" s="396"/>
      <c r="V272" s="396"/>
      <c r="W272" s="396"/>
      <c r="X272" s="396"/>
      <c r="Y272" s="396"/>
      <c r="Z272" s="396"/>
      <c r="AA272" s="396"/>
      <c r="AB272" s="396"/>
      <c r="AC272" s="396"/>
      <c r="AD272" s="396"/>
      <c r="AE272" s="396"/>
      <c r="AF272" s="396"/>
      <c r="AG272" s="396"/>
      <c r="AH272" s="396"/>
      <c r="AI272" s="396"/>
      <c r="AJ272" s="396"/>
      <c r="AK272" s="396"/>
      <c r="AL272" s="396"/>
      <c r="AM272" s="396"/>
      <c r="AN272" s="396"/>
      <c r="AO272" s="396"/>
      <c r="AP272" s="396"/>
      <c r="AQ272" s="396"/>
      <c r="AR272" s="396"/>
      <c r="AS272" s="396"/>
      <c r="AT272" s="396"/>
      <c r="AU272" s="396"/>
      <c r="AV272" s="396"/>
      <c r="AW272" s="396"/>
      <c r="AX272" s="396"/>
      <c r="AY272" s="396"/>
      <c r="AZ272" s="396"/>
      <c r="BA272" s="396"/>
      <c r="BB272" s="396"/>
      <c r="BC272" s="396"/>
      <c r="BD272" s="396"/>
      <c r="BE272" s="396"/>
      <c r="BF272" s="396"/>
      <c r="BG272" s="396"/>
      <c r="BH272" s="396"/>
      <c r="BI272" s="396"/>
      <c r="BJ272" s="396"/>
      <c r="BK272" s="396"/>
      <c r="BL272" s="396"/>
      <c r="BM272" s="396"/>
      <c r="BN272" s="396"/>
      <c r="BO272" s="396"/>
      <c r="BP272" s="396"/>
      <c r="BQ272" s="396"/>
      <c r="BR272" s="396"/>
      <c r="BS272" s="396"/>
      <c r="BT272" s="396"/>
      <c r="BU272" s="396"/>
      <c r="BV272" s="396"/>
      <c r="BW272" s="396"/>
      <c r="BX272" s="396"/>
      <c r="BY272" s="396"/>
      <c r="BZ272" s="396"/>
      <c r="CA272" s="396"/>
      <c r="CB272" s="396"/>
      <c r="CC272" s="396"/>
      <c r="CD272" s="396"/>
      <c r="CE272" s="396"/>
      <c r="CF272" s="396"/>
      <c r="CG272" s="396"/>
      <c r="CH272" s="396"/>
      <c r="CI272" s="396"/>
      <c r="CJ272" s="396"/>
      <c r="CK272" s="396"/>
      <c r="CL272" s="396"/>
      <c r="CM272" s="396"/>
      <c r="CN272" s="396"/>
      <c r="CO272" s="396"/>
      <c r="CP272" s="396"/>
      <c r="CQ272" s="396"/>
      <c r="CR272" s="396"/>
      <c r="CS272" s="396"/>
      <c r="CT272" s="396"/>
      <c r="CU272" s="396"/>
      <c r="CV272" s="396"/>
      <c r="CW272" s="396"/>
      <c r="CX272" s="396"/>
      <c r="CY272" s="396"/>
      <c r="CZ272" s="396"/>
      <c r="DA272" s="396"/>
      <c r="DB272" s="396"/>
      <c r="DC272" s="396"/>
      <c r="DD272" s="396"/>
      <c r="DE272" s="396"/>
      <c r="DF272" s="396"/>
      <c r="DG272" s="396"/>
      <c r="DH272" s="396"/>
      <c r="DI272" s="396"/>
      <c r="DJ272" s="396"/>
      <c r="DK272" s="396"/>
      <c r="DL272" s="396"/>
      <c r="DM272" s="396"/>
      <c r="DN272" s="396"/>
      <c r="DO272" s="396"/>
      <c r="DP272" s="396"/>
      <c r="DQ272" s="396"/>
      <c r="DR272" s="396"/>
      <c r="DS272" s="396"/>
      <c r="DT272" s="396"/>
      <c r="DU272" s="396"/>
      <c r="DV272" s="396"/>
      <c r="DW272" s="396"/>
      <c r="DX272" s="396"/>
      <c r="DY272" s="396"/>
      <c r="DZ272" s="396"/>
      <c r="EA272" s="396"/>
      <c r="EB272" s="396"/>
      <c r="EC272" s="396"/>
      <c r="ED272" s="396"/>
      <c r="EE272" s="396"/>
      <c r="EF272" s="396"/>
      <c r="EG272" s="396"/>
      <c r="EH272" s="396"/>
      <c r="EI272" s="396"/>
      <c r="EJ272" s="396"/>
      <c r="EK272" s="396"/>
      <c r="EL272" s="396"/>
      <c r="EM272" s="396"/>
      <c r="EN272" s="396"/>
      <c r="EO272" s="396"/>
      <c r="EP272" s="405"/>
      <c r="EQ272" s="18"/>
      <c r="ER272" s="18"/>
      <c r="ES272" s="18"/>
      <c r="ET272" s="18"/>
      <c r="EU272" s="18"/>
      <c r="EV272" s="81"/>
      <c r="EW272" s="81"/>
      <c r="EX272" s="81"/>
      <c r="EY272" s="81"/>
      <c r="EZ272" s="81"/>
      <c r="FA272" s="81"/>
      <c r="FB272" s="81"/>
      <c r="FC272" s="81"/>
      <c r="FD272" s="81"/>
      <c r="FE272" s="81"/>
      <c r="FF272" s="81"/>
      <c r="FG272" s="81"/>
      <c r="FH272" s="81"/>
      <c r="FI272" s="81"/>
      <c r="FJ272" s="81"/>
      <c r="FK272" s="81"/>
      <c r="FL272" s="81"/>
      <c r="FM272" s="81"/>
      <c r="FN272" s="81"/>
      <c r="FO272" s="81"/>
      <c r="FP272" s="81"/>
      <c r="FQ272" s="81"/>
      <c r="FR272" s="81"/>
      <c r="FS272" s="81"/>
      <c r="FT272" s="81"/>
      <c r="FU272" s="81"/>
      <c r="FV272" s="81"/>
      <c r="FW272" s="81"/>
      <c r="FX272" s="81"/>
      <c r="FY272" s="81"/>
      <c r="FZ272" s="81"/>
      <c r="GA272" s="81"/>
      <c r="GB272" s="81"/>
      <c r="GC272" s="81"/>
      <c r="GD272" s="81"/>
      <c r="GE272" s="81"/>
      <c r="GF272" s="81"/>
      <c r="GG272" s="81"/>
      <c r="GH272" s="81"/>
      <c r="GI272" s="81"/>
      <c r="GJ272" s="81"/>
      <c r="GK272" s="81"/>
      <c r="GL272" s="81"/>
      <c r="GM272" s="81"/>
      <c r="GN272" s="81"/>
      <c r="GO272" s="81"/>
      <c r="GP272" s="81"/>
      <c r="GQ272" s="81"/>
      <c r="GR272" s="81"/>
      <c r="GS272" s="81"/>
      <c r="GT272" s="81"/>
      <c r="GU272" s="81"/>
      <c r="GV272" s="81"/>
      <c r="GW272" s="81"/>
      <c r="GX272" s="81"/>
      <c r="GY272" s="81"/>
      <c r="GZ272" s="81"/>
      <c r="HA272" s="81"/>
      <c r="HB272" s="81"/>
      <c r="HC272" s="81"/>
      <c r="HD272" s="81"/>
      <c r="HE272" s="81"/>
      <c r="HF272" s="81"/>
      <c r="HG272" s="81"/>
      <c r="HH272" s="81"/>
      <c r="HI272" s="81"/>
      <c r="HJ272" s="81"/>
      <c r="HK272" s="81"/>
      <c r="HL272" s="81"/>
      <c r="HM272" s="81"/>
      <c r="HN272" s="81"/>
      <c r="HO272" s="81"/>
      <c r="HP272" s="81"/>
      <c r="HQ272" s="81"/>
      <c r="HR272" s="81"/>
      <c r="HS272" s="81"/>
      <c r="HT272" s="81"/>
      <c r="HU272" s="81"/>
      <c r="HV272" s="81"/>
      <c r="HW272" s="81"/>
      <c r="HX272" s="81"/>
      <c r="HY272" s="81"/>
      <c r="HZ272" s="81"/>
      <c r="IA272" s="81"/>
      <c r="IB272" s="81"/>
      <c r="IC272" s="81"/>
      <c r="ID272" s="81"/>
      <c r="IE272" s="81"/>
      <c r="IF272" s="81"/>
      <c r="IG272" s="81"/>
      <c r="IH272" s="81"/>
      <c r="II272" s="81"/>
      <c r="IJ272" s="81"/>
      <c r="IK272" s="81"/>
      <c r="IL272" s="81"/>
      <c r="IM272" s="81"/>
      <c r="IN272" s="81"/>
      <c r="IO272" s="81"/>
      <c r="IP272" s="81"/>
      <c r="IQ272" s="81"/>
      <c r="IR272" s="81"/>
      <c r="IS272" s="81"/>
      <c r="IT272" s="81"/>
      <c r="IU272" s="81"/>
      <c r="IV272" s="81"/>
      <c r="IW272" s="81"/>
      <c r="IX272" s="81"/>
      <c r="IY272" s="81"/>
      <c r="IZ272" s="81"/>
      <c r="JA272" s="81"/>
      <c r="JB272" s="81"/>
      <c r="JC272" s="81"/>
      <c r="JD272" s="81"/>
      <c r="JE272" s="81"/>
      <c r="JF272" s="81"/>
      <c r="JG272" s="81"/>
      <c r="JH272" s="81"/>
      <c r="JI272" s="81"/>
      <c r="JJ272" s="81"/>
      <c r="JK272" s="81"/>
      <c r="JL272" s="81"/>
      <c r="JM272" s="81"/>
      <c r="JN272" s="81"/>
      <c r="JO272" s="81"/>
      <c r="JP272" s="81"/>
      <c r="JQ272" s="81"/>
      <c r="JR272" s="81"/>
      <c r="JS272" s="81"/>
      <c r="JT272" s="81"/>
      <c r="JU272" s="81"/>
      <c r="JV272" s="81"/>
      <c r="JW272" s="81"/>
      <c r="JX272" s="81"/>
      <c r="JY272"/>
      <c r="JZ272" s="262"/>
      <c r="KA272" s="262"/>
      <c r="KB272" s="262"/>
      <c r="KC272" s="262"/>
      <c r="KD272" s="262"/>
      <c r="KE272" s="262"/>
      <c r="KF272" s="262"/>
      <c r="KG272" s="262"/>
      <c r="KH272" s="262"/>
      <c r="KI272" s="262"/>
      <c r="KJ272" s="262"/>
      <c r="KK272" s="262"/>
      <c r="KL272" s="262"/>
      <c r="KM272" s="262"/>
      <c r="KN272" s="262"/>
      <c r="KO272" s="262"/>
      <c r="KP272" s="262"/>
      <c r="KQ272" s="262"/>
      <c r="KR272" s="262"/>
      <c r="KS272" s="262"/>
      <c r="KT272" s="262"/>
      <c r="KU272" s="262"/>
      <c r="KV272" s="262"/>
      <c r="KW272" s="262"/>
      <c r="KX272" s="262"/>
      <c r="KY272" s="262"/>
      <c r="KZ272" s="262"/>
      <c r="LA272" s="262"/>
      <c r="LB272" s="262"/>
      <c r="LC272" s="262"/>
      <c r="LD272" s="262"/>
      <c r="LE272" s="262"/>
      <c r="LF272" s="262"/>
      <c r="LG272" s="262"/>
      <c r="LH272" s="262"/>
      <c r="LI272" s="262"/>
      <c r="LJ272" s="262"/>
      <c r="LK272" s="262"/>
      <c r="LL272" s="262"/>
      <c r="LM272" s="262"/>
      <c r="LN272" s="262"/>
      <c r="LO272" s="262"/>
      <c r="LP272" s="262"/>
      <c r="LQ272" s="262"/>
      <c r="LR272" s="262"/>
      <c r="LS272" s="262"/>
      <c r="LT272" s="262"/>
      <c r="LU272" s="262"/>
      <c r="LV272" s="262"/>
      <c r="LW272" s="262"/>
      <c r="LX272" s="262"/>
      <c r="LY272" s="262"/>
      <c r="LZ272" s="262"/>
      <c r="MA272" s="262"/>
      <c r="MB272" s="262"/>
      <c r="MC272" s="262"/>
      <c r="MD272" s="262"/>
      <c r="ME272" s="262"/>
      <c r="MF272" s="262"/>
      <c r="MG272" s="262"/>
      <c r="MH272" s="262"/>
      <c r="MI272" s="262"/>
      <c r="MJ272" s="262"/>
      <c r="MK272" s="262"/>
      <c r="ML272" s="262"/>
      <c r="MM272" s="262"/>
      <c r="MN272" s="262"/>
      <c r="MO272" s="262"/>
      <c r="MP272" s="262"/>
      <c r="MQ272" s="262"/>
      <c r="MR272" s="262"/>
      <c r="MS272" s="262"/>
      <c r="MT272" s="262"/>
      <c r="MU272" s="262"/>
      <c r="MV272" s="262"/>
      <c r="MW272" s="262"/>
      <c r="MX272" s="262"/>
      <c r="MY272" s="262"/>
      <c r="MZ272" s="262"/>
      <c r="NA272" s="262"/>
      <c r="NB272" s="262"/>
      <c r="NC272" s="262"/>
      <c r="ND272" s="262"/>
      <c r="NE272" s="262"/>
      <c r="NF272" s="262"/>
      <c r="NG272" s="262"/>
      <c r="NH272" s="262"/>
      <c r="NI272" s="262"/>
      <c r="NJ272" s="262"/>
      <c r="NK272" s="262"/>
      <c r="NL272" s="262"/>
      <c r="NM272" s="262"/>
      <c r="NN272" s="262"/>
      <c r="NO272" s="262"/>
      <c r="NP272" s="262"/>
      <c r="NQ272" s="262"/>
      <c r="NR272" s="262"/>
      <c r="NS272" s="262"/>
      <c r="NT272" s="262"/>
      <c r="NU272" s="262"/>
      <c r="NV272" s="262"/>
      <c r="NW272" s="262"/>
      <c r="NX272" s="262"/>
      <c r="NY272" s="262"/>
      <c r="NZ272" s="262"/>
      <c r="OA272" s="262"/>
      <c r="OB272" s="262"/>
      <c r="OC272" s="262"/>
      <c r="OD272" s="262"/>
      <c r="OE272" s="262"/>
      <c r="OF272" s="262"/>
      <c r="OG272" s="262"/>
      <c r="OH272" s="262"/>
      <c r="OI272" s="262"/>
      <c r="OJ272" s="262"/>
      <c r="OK272" s="262"/>
      <c r="OL272" s="262"/>
      <c r="OM272" s="262"/>
      <c r="ON272" s="262"/>
      <c r="OO272" s="262"/>
      <c r="OP272" s="262"/>
      <c r="OQ272" s="262"/>
      <c r="OR272" s="262"/>
      <c r="OS272" s="262"/>
      <c r="OT272" s="262"/>
      <c r="OU272" s="262"/>
      <c r="OV272" s="262"/>
      <c r="OW272" s="262"/>
      <c r="OX272" s="262"/>
      <c r="OY272" s="262"/>
      <c r="OZ272" s="262"/>
      <c r="PA272" s="262"/>
      <c r="PB272" s="262"/>
      <c r="PC272" s="262"/>
      <c r="PD272" s="262"/>
      <c r="PE272" s="262"/>
      <c r="PF272" s="262"/>
      <c r="PG272" s="262"/>
      <c r="PH272" s="262"/>
    </row>
    <row r="273" spans="1:424" x14ac:dyDescent="0.35">
      <c r="A273"/>
      <c r="B273" s="398" t="s">
        <v>477</v>
      </c>
      <c r="C273" s="132">
        <v>0.06</v>
      </c>
      <c r="D273" s="128">
        <f t="dataTable" ref="D273:E277" dt2D="0" dtr="0" r1="G129"/>
        <v>341.53611111184381</v>
      </c>
      <c r="E273" s="562">
        <v>3.2722155843212608</v>
      </c>
      <c r="F273" s="398" t="s">
        <v>477</v>
      </c>
      <c r="G273" s="130">
        <v>0.06</v>
      </c>
      <c r="H273" s="128">
        <f t="dataTable" ref="H273:I277" dt2D="0" dtr="0" r1="I162"/>
        <v>486.33422876569853</v>
      </c>
      <c r="I273" s="562">
        <v>4.2734712335659921</v>
      </c>
      <c r="J273" s="395"/>
      <c r="K273" s="396"/>
      <c r="L273" s="396"/>
      <c r="M273" s="396"/>
      <c r="N273" s="396"/>
      <c r="O273" s="396"/>
      <c r="P273" s="396"/>
      <c r="Q273" s="396"/>
      <c r="R273" s="396"/>
      <c r="S273" s="396"/>
      <c r="T273" s="396"/>
      <c r="U273" s="396"/>
      <c r="V273" s="396"/>
      <c r="W273" s="396"/>
      <c r="X273" s="396"/>
      <c r="Y273" s="396"/>
      <c r="Z273" s="396"/>
      <c r="AA273" s="396"/>
      <c r="AB273" s="396"/>
      <c r="AC273" s="396"/>
      <c r="AD273" s="396"/>
      <c r="AE273" s="396"/>
      <c r="AF273" s="396"/>
      <c r="AG273" s="396"/>
      <c r="AH273" s="396"/>
      <c r="AI273" s="396"/>
      <c r="AJ273" s="396"/>
      <c r="AK273" s="396"/>
      <c r="AL273" s="396"/>
      <c r="AM273" s="396"/>
      <c r="AN273" s="396"/>
      <c r="AO273" s="396"/>
      <c r="AP273" s="396"/>
      <c r="AQ273" s="396"/>
      <c r="AR273" s="396"/>
      <c r="AS273" s="396"/>
      <c r="AT273" s="396"/>
      <c r="AU273" s="396"/>
      <c r="AV273" s="396"/>
      <c r="AW273" s="396"/>
      <c r="AX273" s="396"/>
      <c r="AY273" s="396"/>
      <c r="AZ273" s="396"/>
      <c r="BA273" s="396"/>
      <c r="BB273" s="396"/>
      <c r="BC273" s="396"/>
      <c r="BD273" s="396"/>
      <c r="BE273" s="396"/>
      <c r="BF273" s="396"/>
      <c r="BG273" s="396"/>
      <c r="BH273" s="396"/>
      <c r="BI273" s="396"/>
      <c r="BJ273" s="396"/>
      <c r="BK273" s="396"/>
      <c r="BL273" s="396"/>
      <c r="BM273" s="396"/>
      <c r="BN273" s="396"/>
      <c r="BO273" s="396"/>
      <c r="BP273" s="396"/>
      <c r="BQ273" s="396"/>
      <c r="BR273" s="396"/>
      <c r="BS273" s="396"/>
      <c r="BT273" s="396"/>
      <c r="BU273" s="396"/>
      <c r="BV273" s="396"/>
      <c r="BW273" s="396"/>
      <c r="BX273" s="396"/>
      <c r="BY273" s="396"/>
      <c r="BZ273" s="396"/>
      <c r="CA273" s="396"/>
      <c r="CB273" s="396"/>
      <c r="CC273" s="396"/>
      <c r="CD273" s="396"/>
      <c r="CE273" s="396"/>
      <c r="CF273" s="396"/>
      <c r="CG273" s="396"/>
      <c r="CH273" s="396"/>
      <c r="CI273" s="396"/>
      <c r="CJ273" s="396"/>
      <c r="CK273" s="396"/>
      <c r="CL273" s="396"/>
      <c r="CM273" s="396"/>
      <c r="CN273" s="396"/>
      <c r="CO273" s="396"/>
      <c r="CP273" s="396"/>
      <c r="CQ273" s="396"/>
      <c r="CR273" s="396"/>
      <c r="CS273" s="396"/>
      <c r="CT273" s="396"/>
      <c r="CU273" s="396"/>
      <c r="CV273" s="396"/>
      <c r="CW273" s="396"/>
      <c r="CX273" s="396"/>
      <c r="CY273" s="396"/>
      <c r="CZ273" s="396"/>
      <c r="DA273" s="396"/>
      <c r="DB273" s="396"/>
      <c r="DC273" s="396"/>
      <c r="DD273" s="396"/>
      <c r="DE273" s="396"/>
      <c r="DF273" s="396"/>
      <c r="DG273" s="396"/>
      <c r="DH273" s="396"/>
      <c r="DI273" s="396"/>
      <c r="DJ273" s="396"/>
      <c r="DK273" s="396"/>
      <c r="DL273" s="396"/>
      <c r="DM273" s="396"/>
      <c r="DN273" s="396"/>
      <c r="DO273" s="396"/>
      <c r="DP273" s="396"/>
      <c r="DQ273" s="396"/>
      <c r="DR273" s="396"/>
      <c r="DS273" s="396"/>
      <c r="DT273" s="396"/>
      <c r="DU273" s="396"/>
      <c r="DV273" s="396"/>
      <c r="DW273" s="396"/>
      <c r="DX273" s="396"/>
      <c r="DY273" s="396"/>
      <c r="DZ273" s="396"/>
      <c r="EA273" s="396"/>
      <c r="EB273" s="396"/>
      <c r="EC273" s="396"/>
      <c r="ED273" s="396"/>
      <c r="EE273" s="396"/>
      <c r="EF273" s="396"/>
      <c r="EG273" s="396"/>
      <c r="EH273" s="396"/>
      <c r="EI273" s="396"/>
      <c r="EJ273" s="396"/>
      <c r="EK273" s="396"/>
      <c r="EL273" s="396"/>
      <c r="EM273" s="396"/>
      <c r="EN273" s="396"/>
      <c r="EO273" s="396"/>
      <c r="EP273" s="405"/>
      <c r="EQ273" s="18"/>
      <c r="ER273" s="18"/>
      <c r="ES273" s="18"/>
      <c r="ET273" s="18"/>
      <c r="EU273" s="18"/>
      <c r="EV273" s="81"/>
      <c r="EW273" s="81"/>
      <c r="EX273" s="81"/>
      <c r="EY273" s="81"/>
      <c r="EZ273" s="81"/>
      <c r="FA273" s="81"/>
      <c r="FB273" s="81"/>
      <c r="FC273" s="81"/>
      <c r="FD273" s="81"/>
      <c r="FE273" s="81"/>
      <c r="FF273" s="81"/>
      <c r="FG273" s="81"/>
      <c r="FH273" s="81"/>
      <c r="FI273" s="81"/>
      <c r="FJ273" s="81"/>
      <c r="FK273" s="81"/>
      <c r="FL273" s="81"/>
      <c r="FM273" s="81"/>
      <c r="FN273" s="81"/>
      <c r="FO273" s="81"/>
      <c r="FP273" s="81"/>
      <c r="FQ273" s="81"/>
      <c r="FR273" s="81"/>
      <c r="FS273" s="81"/>
      <c r="FT273" s="81"/>
      <c r="FU273" s="81"/>
      <c r="FV273" s="81"/>
      <c r="FW273" s="81"/>
      <c r="FX273" s="81"/>
      <c r="FY273" s="81"/>
      <c r="FZ273" s="81"/>
      <c r="GA273" s="81"/>
      <c r="GB273" s="81"/>
      <c r="GC273" s="81"/>
      <c r="GD273" s="81"/>
      <c r="GE273" s="81"/>
      <c r="GF273" s="81"/>
      <c r="GG273" s="81"/>
      <c r="GH273" s="81"/>
      <c r="GI273" s="81"/>
      <c r="GJ273" s="81"/>
      <c r="GK273" s="81"/>
      <c r="GL273" s="81"/>
      <c r="GM273" s="81"/>
      <c r="GN273" s="81"/>
      <c r="GO273" s="81"/>
      <c r="GP273" s="81"/>
      <c r="GQ273" s="81"/>
      <c r="GR273" s="81"/>
      <c r="GS273" s="81"/>
      <c r="GT273" s="81"/>
      <c r="GU273" s="81"/>
      <c r="GV273" s="81"/>
      <c r="GW273" s="81"/>
      <c r="GX273" s="81"/>
      <c r="GY273" s="81"/>
      <c r="GZ273" s="81"/>
      <c r="HA273" s="81"/>
      <c r="HB273" s="81"/>
      <c r="HC273" s="81"/>
      <c r="HD273" s="81"/>
      <c r="HE273" s="81"/>
      <c r="HF273" s="81"/>
      <c r="HG273" s="81"/>
      <c r="HH273" s="81"/>
      <c r="HI273" s="81"/>
      <c r="HJ273" s="81"/>
      <c r="HK273" s="81"/>
      <c r="HL273" s="81"/>
      <c r="HM273" s="81"/>
      <c r="HN273" s="81"/>
      <c r="HO273" s="81"/>
      <c r="HP273" s="81"/>
      <c r="HQ273" s="81"/>
      <c r="HR273" s="81"/>
      <c r="HS273" s="81"/>
      <c r="HT273" s="81"/>
      <c r="HU273" s="81"/>
      <c r="HV273" s="81"/>
      <c r="HW273" s="81"/>
      <c r="HX273" s="81"/>
      <c r="HY273" s="81"/>
      <c r="HZ273" s="81"/>
      <c r="IA273" s="81"/>
      <c r="IB273" s="81"/>
      <c r="IC273" s="81"/>
      <c r="ID273" s="81"/>
      <c r="IE273" s="81"/>
      <c r="IF273" s="81"/>
      <c r="IG273" s="81"/>
      <c r="IH273" s="81"/>
      <c r="II273" s="81"/>
      <c r="IJ273" s="81"/>
      <c r="IK273" s="81"/>
      <c r="IL273" s="81"/>
      <c r="IM273" s="81"/>
      <c r="IN273" s="81"/>
      <c r="IO273" s="81"/>
      <c r="IP273" s="81"/>
      <c r="IQ273" s="81"/>
      <c r="IR273" s="81"/>
      <c r="IS273" s="81"/>
      <c r="IT273" s="81"/>
      <c r="IU273" s="81"/>
      <c r="IV273" s="81"/>
      <c r="IW273" s="81"/>
      <c r="IX273" s="81"/>
      <c r="IY273" s="81"/>
      <c r="IZ273" s="81"/>
      <c r="JA273" s="81"/>
      <c r="JB273" s="81"/>
      <c r="JC273" s="81"/>
      <c r="JD273" s="81"/>
      <c r="JE273" s="81"/>
      <c r="JF273" s="81"/>
      <c r="JG273" s="81"/>
      <c r="JH273" s="81"/>
      <c r="JI273" s="81"/>
      <c r="JJ273" s="81"/>
      <c r="JK273" s="81"/>
      <c r="JL273" s="81"/>
      <c r="JM273" s="81"/>
      <c r="JN273" s="81"/>
      <c r="JO273" s="81"/>
      <c r="JP273" s="81"/>
      <c r="JQ273" s="81"/>
      <c r="JR273" s="81"/>
      <c r="JS273" s="81"/>
      <c r="JT273" s="81"/>
      <c r="JU273" s="81"/>
      <c r="JV273" s="81"/>
      <c r="JW273" s="81"/>
      <c r="JX273" s="81"/>
      <c r="JY273"/>
      <c r="JZ273" s="262"/>
      <c r="KA273" s="262"/>
      <c r="KB273" s="262"/>
      <c r="KC273" s="262"/>
      <c r="KD273" s="262"/>
      <c r="KE273" s="262"/>
      <c r="KF273" s="262"/>
      <c r="KG273" s="262"/>
      <c r="KH273" s="262"/>
      <c r="KI273" s="262"/>
      <c r="KJ273" s="262"/>
      <c r="KK273" s="262"/>
      <c r="KL273" s="262"/>
      <c r="KM273" s="262"/>
      <c r="KN273" s="262"/>
      <c r="KO273" s="262"/>
      <c r="KP273" s="262"/>
      <c r="KQ273" s="262"/>
      <c r="KR273" s="262"/>
      <c r="KS273" s="262"/>
      <c r="KT273" s="262"/>
      <c r="KU273" s="262"/>
      <c r="KV273" s="262"/>
      <c r="KW273" s="262"/>
      <c r="KX273" s="262"/>
      <c r="KY273" s="262"/>
      <c r="KZ273" s="262"/>
      <c r="LA273" s="262"/>
      <c r="LB273" s="262"/>
      <c r="LC273" s="262"/>
      <c r="LD273" s="262"/>
      <c r="LE273" s="262"/>
      <c r="LF273" s="262"/>
      <c r="LG273" s="262"/>
      <c r="LH273" s="262"/>
      <c r="LI273" s="262"/>
      <c r="LJ273" s="262"/>
      <c r="LK273" s="262"/>
      <c r="LL273" s="262"/>
      <c r="LM273" s="262"/>
      <c r="LN273" s="262"/>
      <c r="LO273" s="262"/>
      <c r="LP273" s="262"/>
      <c r="LQ273" s="262"/>
      <c r="LR273" s="262"/>
      <c r="LS273" s="262"/>
      <c r="LT273" s="262"/>
      <c r="LU273" s="262"/>
      <c r="LV273" s="262"/>
      <c r="LW273" s="262"/>
      <c r="LX273" s="262"/>
      <c r="LY273" s="262"/>
      <c r="LZ273" s="262"/>
      <c r="MA273" s="262"/>
      <c r="MB273" s="262"/>
      <c r="MC273" s="262"/>
      <c r="MD273" s="262"/>
      <c r="ME273" s="262"/>
      <c r="MF273" s="262"/>
      <c r="MG273" s="262"/>
      <c r="MH273" s="262"/>
      <c r="MI273" s="262"/>
      <c r="MJ273" s="262"/>
      <c r="MK273" s="262"/>
      <c r="ML273" s="262"/>
      <c r="MM273" s="262"/>
      <c r="MN273" s="262"/>
      <c r="MO273" s="262"/>
      <c r="MP273" s="262"/>
      <c r="MQ273" s="262"/>
      <c r="MR273" s="262"/>
      <c r="MS273" s="262"/>
      <c r="MT273" s="262"/>
      <c r="MU273" s="262"/>
      <c r="MV273" s="262"/>
      <c r="MW273" s="262"/>
      <c r="MX273" s="262"/>
      <c r="MY273" s="262"/>
      <c r="MZ273" s="262"/>
      <c r="NA273" s="262"/>
      <c r="NB273" s="262"/>
      <c r="NC273" s="262"/>
      <c r="ND273" s="262"/>
      <c r="NE273" s="262"/>
      <c r="NF273" s="262"/>
      <c r="NG273" s="262"/>
      <c r="NH273" s="262"/>
      <c r="NI273" s="262"/>
      <c r="NJ273" s="262"/>
      <c r="NK273" s="262"/>
      <c r="NL273" s="262"/>
      <c r="NM273" s="262"/>
      <c r="NN273" s="262"/>
      <c r="NO273" s="262"/>
      <c r="NP273" s="262"/>
      <c r="NQ273" s="262"/>
      <c r="NR273" s="262"/>
      <c r="NS273" s="262"/>
      <c r="NT273" s="262"/>
      <c r="NU273" s="262"/>
      <c r="NV273" s="262"/>
      <c r="NW273" s="262"/>
      <c r="NX273" s="262"/>
      <c r="NY273" s="262"/>
      <c r="NZ273" s="262"/>
      <c r="OA273" s="262"/>
      <c r="OB273" s="262"/>
      <c r="OC273" s="262"/>
      <c r="OD273" s="262"/>
      <c r="OE273" s="262"/>
      <c r="OF273" s="262"/>
      <c r="OG273" s="262"/>
      <c r="OH273" s="262"/>
      <c r="OI273" s="262"/>
      <c r="OJ273" s="262"/>
      <c r="OK273" s="262"/>
      <c r="OL273" s="262"/>
      <c r="OM273" s="262"/>
      <c r="ON273" s="262"/>
      <c r="OO273" s="262"/>
      <c r="OP273" s="262"/>
      <c r="OQ273" s="262"/>
      <c r="OR273" s="262"/>
      <c r="OS273" s="262"/>
      <c r="OT273" s="262"/>
      <c r="OU273" s="262"/>
      <c r="OV273" s="262"/>
      <c r="OW273" s="262"/>
      <c r="OX273" s="262"/>
      <c r="OY273" s="262"/>
      <c r="OZ273" s="262"/>
      <c r="PA273" s="262"/>
      <c r="PB273" s="262"/>
      <c r="PC273" s="262"/>
      <c r="PD273" s="262"/>
      <c r="PE273" s="262"/>
      <c r="PF273" s="262"/>
      <c r="PG273" s="262"/>
      <c r="PH273" s="262"/>
    </row>
    <row r="274" spans="1:424" x14ac:dyDescent="0.35">
      <c r="A274"/>
      <c r="B274" s="398" t="s">
        <v>478</v>
      </c>
      <c r="C274" s="132">
        <v>7.0000000000000007E-2</v>
      </c>
      <c r="D274" s="128">
        <v>329.90309150286794</v>
      </c>
      <c r="E274" s="562">
        <v>3.2095149852873672</v>
      </c>
      <c r="F274" s="398" t="s">
        <v>478</v>
      </c>
      <c r="G274" s="130">
        <v>6.25E-2</v>
      </c>
      <c r="H274" s="128">
        <v>461.33422876569853</v>
      </c>
      <c r="I274" s="562">
        <v>4.0496047066274086</v>
      </c>
      <c r="J274" s="395"/>
      <c r="K274" s="396"/>
      <c r="L274" s="396"/>
      <c r="M274" s="396"/>
      <c r="N274" s="396"/>
      <c r="O274" s="396"/>
      <c r="P274" s="396"/>
      <c r="Q274" s="396"/>
      <c r="R274" s="396"/>
      <c r="S274" s="396"/>
      <c r="T274" s="396"/>
      <c r="U274" s="396"/>
      <c r="V274" s="396"/>
      <c r="W274" s="396"/>
      <c r="X274" s="396"/>
      <c r="Y274" s="396"/>
      <c r="Z274" s="396"/>
      <c r="AA274" s="396"/>
      <c r="AB274" s="396"/>
      <c r="AC274" s="396"/>
      <c r="AD274" s="396"/>
      <c r="AE274" s="396"/>
      <c r="AF274" s="396"/>
      <c r="AG274" s="396"/>
      <c r="AH274" s="396"/>
      <c r="AI274" s="396"/>
      <c r="AJ274" s="396"/>
      <c r="AK274" s="396"/>
      <c r="AL274" s="396"/>
      <c r="AM274" s="396"/>
      <c r="AN274" s="396"/>
      <c r="AO274" s="396"/>
      <c r="AP274" s="396"/>
      <c r="AQ274" s="396"/>
      <c r="AR274" s="396"/>
      <c r="AS274" s="396"/>
      <c r="AT274" s="396"/>
      <c r="AU274" s="396"/>
      <c r="AV274" s="396"/>
      <c r="AW274" s="396"/>
      <c r="AX274" s="396"/>
      <c r="AY274" s="396"/>
      <c r="AZ274" s="396"/>
      <c r="BA274" s="396"/>
      <c r="BB274" s="396"/>
      <c r="BC274" s="396"/>
      <c r="BD274" s="396"/>
      <c r="BE274" s="396"/>
      <c r="BF274" s="396"/>
      <c r="BG274" s="396"/>
      <c r="BH274" s="396"/>
      <c r="BI274" s="396"/>
      <c r="BJ274" s="396"/>
      <c r="BK274" s="396"/>
      <c r="BL274" s="396"/>
      <c r="BM274" s="396"/>
      <c r="BN274" s="396"/>
      <c r="BO274" s="396"/>
      <c r="BP274" s="396"/>
      <c r="BQ274" s="396"/>
      <c r="BR274" s="396"/>
      <c r="BS274" s="396"/>
      <c r="BT274" s="396"/>
      <c r="BU274" s="396"/>
      <c r="BV274" s="396"/>
      <c r="BW274" s="396"/>
      <c r="BX274" s="396"/>
      <c r="BY274" s="396"/>
      <c r="BZ274" s="396"/>
      <c r="CA274" s="396"/>
      <c r="CB274" s="396"/>
      <c r="CC274" s="396"/>
      <c r="CD274" s="396"/>
      <c r="CE274" s="396"/>
      <c r="CF274" s="396"/>
      <c r="CG274" s="396"/>
      <c r="CH274" s="396"/>
      <c r="CI274" s="396"/>
      <c r="CJ274" s="396"/>
      <c r="CK274" s="396"/>
      <c r="CL274" s="396"/>
      <c r="CM274" s="396"/>
      <c r="CN274" s="396"/>
      <c r="CO274" s="396"/>
      <c r="CP274" s="396"/>
      <c r="CQ274" s="396"/>
      <c r="CR274" s="396"/>
      <c r="CS274" s="396"/>
      <c r="CT274" s="396"/>
      <c r="CU274" s="396"/>
      <c r="CV274" s="396"/>
      <c r="CW274" s="396"/>
      <c r="CX274" s="396"/>
      <c r="CY274" s="396"/>
      <c r="CZ274" s="396"/>
      <c r="DA274" s="396"/>
      <c r="DB274" s="396"/>
      <c r="DC274" s="396"/>
      <c r="DD274" s="396"/>
      <c r="DE274" s="396"/>
      <c r="DF274" s="396"/>
      <c r="DG274" s="396"/>
      <c r="DH274" s="396"/>
      <c r="DI274" s="396"/>
      <c r="DJ274" s="396"/>
      <c r="DK274" s="396"/>
      <c r="DL274" s="396"/>
      <c r="DM274" s="396"/>
      <c r="DN274" s="396"/>
      <c r="DO274" s="396"/>
      <c r="DP274" s="396"/>
      <c r="DQ274" s="396"/>
      <c r="DR274" s="396"/>
      <c r="DS274" s="396"/>
      <c r="DT274" s="396"/>
      <c r="DU274" s="396"/>
      <c r="DV274" s="396"/>
      <c r="DW274" s="396"/>
      <c r="DX274" s="396"/>
      <c r="DY274" s="396"/>
      <c r="DZ274" s="396"/>
      <c r="EA274" s="396"/>
      <c r="EB274" s="396"/>
      <c r="EC274" s="396"/>
      <c r="ED274" s="396"/>
      <c r="EE274" s="396"/>
      <c r="EF274" s="396"/>
      <c r="EG274" s="396"/>
      <c r="EH274" s="396"/>
      <c r="EI274" s="396"/>
      <c r="EJ274" s="396"/>
      <c r="EK274" s="396"/>
      <c r="EL274" s="396"/>
      <c r="EM274" s="396"/>
      <c r="EN274" s="396"/>
      <c r="EO274" s="396"/>
      <c r="EP274" s="405"/>
      <c r="EQ274" s="18"/>
      <c r="ER274" s="18"/>
      <c r="ES274" s="18"/>
      <c r="ET274" s="18"/>
      <c r="EU274" s="18"/>
      <c r="EV274" s="81"/>
      <c r="EW274" s="81"/>
      <c r="EX274" s="81"/>
      <c r="EY274" s="81"/>
      <c r="EZ274" s="81"/>
      <c r="FA274" s="81"/>
      <c r="FB274" s="81"/>
      <c r="FC274" s="81"/>
      <c r="FD274" s="81"/>
      <c r="FE274" s="81"/>
      <c r="FF274" s="81"/>
      <c r="FG274" s="81"/>
      <c r="FH274" s="81"/>
      <c r="FI274" s="81"/>
      <c r="FJ274" s="81"/>
      <c r="FK274" s="81"/>
      <c r="FL274" s="81"/>
      <c r="FM274" s="81"/>
      <c r="FN274" s="81"/>
      <c r="FO274" s="81"/>
      <c r="FP274" s="81"/>
      <c r="FQ274" s="81"/>
      <c r="FR274" s="81"/>
      <c r="FS274" s="81"/>
      <c r="FT274" s="81"/>
      <c r="FU274" s="81"/>
      <c r="FV274" s="81"/>
      <c r="FW274" s="81"/>
      <c r="FX274" s="81"/>
      <c r="FY274" s="81"/>
      <c r="FZ274" s="81"/>
      <c r="GA274" s="81"/>
      <c r="GB274" s="81"/>
      <c r="GC274" s="81"/>
      <c r="GD274" s="81"/>
      <c r="GE274" s="81"/>
      <c r="GF274" s="81"/>
      <c r="GG274" s="81"/>
      <c r="GH274" s="81"/>
      <c r="GI274" s="81"/>
      <c r="GJ274" s="81"/>
      <c r="GK274" s="81"/>
      <c r="GL274" s="81"/>
      <c r="GM274" s="81"/>
      <c r="GN274" s="81"/>
      <c r="GO274" s="81"/>
      <c r="GP274" s="81"/>
      <c r="GQ274" s="81"/>
      <c r="GR274" s="81"/>
      <c r="GS274" s="81"/>
      <c r="GT274" s="81"/>
      <c r="GU274" s="81"/>
      <c r="GV274" s="81"/>
      <c r="GW274" s="81"/>
      <c r="GX274" s="81"/>
      <c r="GY274" s="81"/>
      <c r="GZ274" s="81"/>
      <c r="HA274" s="81"/>
      <c r="HB274" s="81"/>
      <c r="HC274" s="81"/>
      <c r="HD274" s="81"/>
      <c r="HE274" s="81"/>
      <c r="HF274" s="81"/>
      <c r="HG274" s="81"/>
      <c r="HH274" s="81"/>
      <c r="HI274" s="81"/>
      <c r="HJ274" s="81"/>
      <c r="HK274" s="81"/>
      <c r="HL274" s="81"/>
      <c r="HM274" s="81"/>
      <c r="HN274" s="81"/>
      <c r="HO274" s="81"/>
      <c r="HP274" s="81"/>
      <c r="HQ274" s="81"/>
      <c r="HR274" s="81"/>
      <c r="HS274" s="81"/>
      <c r="HT274" s="81"/>
      <c r="HU274" s="81"/>
      <c r="HV274" s="81"/>
      <c r="HW274" s="81"/>
      <c r="HX274" s="81"/>
      <c r="HY274" s="81"/>
      <c r="HZ274" s="81"/>
      <c r="IA274" s="81"/>
      <c r="IB274" s="81"/>
      <c r="IC274" s="81"/>
      <c r="ID274" s="81"/>
      <c r="IE274" s="81"/>
      <c r="IF274" s="81"/>
      <c r="IG274" s="81"/>
      <c r="IH274" s="81"/>
      <c r="II274" s="81"/>
      <c r="IJ274" s="81"/>
      <c r="IK274" s="81"/>
      <c r="IL274" s="81"/>
      <c r="IM274" s="81"/>
      <c r="IN274" s="81"/>
      <c r="IO274" s="81"/>
      <c r="IP274" s="81"/>
      <c r="IQ274" s="81"/>
      <c r="IR274" s="81"/>
      <c r="IS274" s="81"/>
      <c r="IT274" s="81"/>
      <c r="IU274" s="81"/>
      <c r="IV274" s="81"/>
      <c r="IW274" s="81"/>
      <c r="IX274" s="81"/>
      <c r="IY274" s="81"/>
      <c r="IZ274" s="81"/>
      <c r="JA274" s="81"/>
      <c r="JB274" s="81"/>
      <c r="JC274" s="81"/>
      <c r="JD274" s="81"/>
      <c r="JE274" s="81"/>
      <c r="JF274" s="81"/>
      <c r="JG274" s="81"/>
      <c r="JH274" s="81"/>
      <c r="JI274" s="81"/>
      <c r="JJ274" s="81"/>
      <c r="JK274" s="81"/>
      <c r="JL274" s="81"/>
      <c r="JM274" s="81"/>
      <c r="JN274" s="81"/>
      <c r="JO274" s="81"/>
      <c r="JP274" s="81"/>
      <c r="JQ274" s="81"/>
      <c r="JR274" s="81"/>
      <c r="JS274" s="81"/>
      <c r="JT274" s="81"/>
      <c r="JU274" s="81"/>
      <c r="JV274" s="81"/>
      <c r="JW274" s="81"/>
      <c r="JX274" s="81"/>
      <c r="JY274"/>
      <c r="JZ274" s="262"/>
      <c r="KA274" s="262"/>
      <c r="KB274" s="262"/>
      <c r="KC274" s="262"/>
      <c r="KD274" s="262"/>
      <c r="KE274" s="262"/>
      <c r="KF274" s="262"/>
      <c r="KG274" s="262"/>
      <c r="KH274" s="262"/>
      <c r="KI274" s="262"/>
      <c r="KJ274" s="262"/>
      <c r="KK274" s="262"/>
      <c r="KL274" s="262"/>
      <c r="KM274" s="262"/>
      <c r="KN274" s="262"/>
      <c r="KO274" s="262"/>
      <c r="KP274" s="262"/>
      <c r="KQ274" s="262"/>
      <c r="KR274" s="262"/>
      <c r="KS274" s="262"/>
      <c r="KT274" s="262"/>
      <c r="KU274" s="262"/>
      <c r="KV274" s="262"/>
      <c r="KW274" s="262"/>
      <c r="KX274" s="262"/>
      <c r="KY274" s="262"/>
      <c r="KZ274" s="262"/>
      <c r="LA274" s="262"/>
      <c r="LB274" s="262"/>
      <c r="LC274" s="262"/>
      <c r="LD274" s="262"/>
      <c r="LE274" s="262"/>
      <c r="LF274" s="262"/>
      <c r="LG274" s="262"/>
      <c r="LH274" s="262"/>
      <c r="LI274" s="262"/>
      <c r="LJ274" s="262"/>
      <c r="LK274" s="262"/>
      <c r="LL274" s="262"/>
      <c r="LM274" s="262"/>
      <c r="LN274" s="262"/>
      <c r="LO274" s="262"/>
      <c r="LP274" s="262"/>
      <c r="LQ274" s="262"/>
      <c r="LR274" s="262"/>
      <c r="LS274" s="262"/>
      <c r="LT274" s="262"/>
      <c r="LU274" s="262"/>
      <c r="LV274" s="262"/>
      <c r="LW274" s="262"/>
      <c r="LX274" s="262"/>
      <c r="LY274" s="262"/>
      <c r="LZ274" s="262"/>
      <c r="MA274" s="262"/>
      <c r="MB274" s="262"/>
      <c r="MC274" s="262"/>
      <c r="MD274" s="262"/>
      <c r="ME274" s="262"/>
      <c r="MF274" s="262"/>
      <c r="MG274" s="262"/>
      <c r="MH274" s="262"/>
      <c r="MI274" s="262"/>
      <c r="MJ274" s="262"/>
      <c r="MK274" s="262"/>
      <c r="ML274" s="262"/>
      <c r="MM274" s="262"/>
      <c r="MN274" s="262"/>
      <c r="MO274" s="262"/>
      <c r="MP274" s="262"/>
      <c r="MQ274" s="262"/>
      <c r="MR274" s="262"/>
      <c r="MS274" s="262"/>
      <c r="MT274" s="262"/>
      <c r="MU274" s="262"/>
      <c r="MV274" s="262"/>
      <c r="MW274" s="262"/>
      <c r="MX274" s="262"/>
      <c r="MY274" s="262"/>
      <c r="MZ274" s="262"/>
      <c r="NA274" s="262"/>
      <c r="NB274" s="262"/>
      <c r="NC274" s="262"/>
      <c r="ND274" s="262"/>
      <c r="NE274" s="262"/>
      <c r="NF274" s="262"/>
      <c r="NG274" s="262"/>
      <c r="NH274" s="262"/>
      <c r="NI274" s="262"/>
      <c r="NJ274" s="262"/>
      <c r="NK274" s="262"/>
      <c r="NL274" s="262"/>
      <c r="NM274" s="262"/>
      <c r="NN274" s="262"/>
      <c r="NO274" s="262"/>
      <c r="NP274" s="262"/>
      <c r="NQ274" s="262"/>
      <c r="NR274" s="262"/>
      <c r="NS274" s="262"/>
      <c r="NT274" s="262"/>
      <c r="NU274" s="262"/>
      <c r="NV274" s="262"/>
      <c r="NW274" s="262"/>
      <c r="NX274" s="262"/>
      <c r="NY274" s="262"/>
      <c r="NZ274" s="262"/>
      <c r="OA274" s="262"/>
      <c r="OB274" s="262"/>
      <c r="OC274" s="262"/>
      <c r="OD274" s="262"/>
      <c r="OE274" s="262"/>
      <c r="OF274" s="262"/>
      <c r="OG274" s="262"/>
      <c r="OH274" s="262"/>
      <c r="OI274" s="262"/>
      <c r="OJ274" s="262"/>
      <c r="OK274" s="262"/>
      <c r="OL274" s="262"/>
      <c r="OM274" s="262"/>
      <c r="ON274" s="262"/>
      <c r="OO274" s="262"/>
      <c r="OP274" s="262"/>
      <c r="OQ274" s="262"/>
      <c r="OR274" s="262"/>
      <c r="OS274" s="262"/>
      <c r="OT274" s="262"/>
      <c r="OU274" s="262"/>
      <c r="OV274" s="262"/>
      <c r="OW274" s="262"/>
      <c r="OX274" s="262"/>
      <c r="OY274" s="262"/>
      <c r="OZ274" s="262"/>
      <c r="PA274" s="262"/>
      <c r="PB274" s="262"/>
      <c r="PC274" s="262"/>
      <c r="PD274" s="262"/>
      <c r="PE274" s="262"/>
      <c r="PF274" s="262"/>
      <c r="PG274" s="262"/>
      <c r="PH274" s="262"/>
    </row>
    <row r="275" spans="1:424" x14ac:dyDescent="0.35">
      <c r="A275"/>
      <c r="B275" s="398" t="s">
        <v>479</v>
      </c>
      <c r="C275" s="132">
        <v>0.08</v>
      </c>
      <c r="D275" s="128">
        <v>318.27007189389229</v>
      </c>
      <c r="E275" s="562">
        <v>3.1469653277633598</v>
      </c>
      <c r="F275" s="398" t="s">
        <v>479</v>
      </c>
      <c r="G275" s="130">
        <v>6.5000000000000002E-2</v>
      </c>
      <c r="H275" s="128">
        <v>436.33422876569847</v>
      </c>
      <c r="I275" s="562">
        <v>3.842958681761024</v>
      </c>
      <c r="J275" s="395"/>
      <c r="K275" s="396"/>
      <c r="L275" s="396"/>
      <c r="M275" s="396"/>
      <c r="N275" s="396"/>
      <c r="O275" s="396"/>
      <c r="P275" s="396"/>
      <c r="Q275" s="396"/>
      <c r="R275" s="396"/>
      <c r="S275" s="396"/>
      <c r="T275" s="396"/>
      <c r="U275" s="396"/>
      <c r="V275" s="396"/>
      <c r="W275" s="396"/>
      <c r="X275" s="396"/>
      <c r="Y275" s="396"/>
      <c r="Z275" s="396"/>
      <c r="AA275" s="396"/>
      <c r="AB275" s="396"/>
      <c r="AC275" s="396"/>
      <c r="AD275" s="396"/>
      <c r="AE275" s="396"/>
      <c r="AF275" s="396"/>
      <c r="AG275" s="396"/>
      <c r="AH275" s="396"/>
      <c r="AI275" s="396"/>
      <c r="AJ275" s="396"/>
      <c r="AK275" s="396"/>
      <c r="AL275" s="396"/>
      <c r="AM275" s="396"/>
      <c r="AN275" s="396"/>
      <c r="AO275" s="396"/>
      <c r="AP275" s="396"/>
      <c r="AQ275" s="396"/>
      <c r="AR275" s="396"/>
      <c r="AS275" s="396"/>
      <c r="AT275" s="396"/>
      <c r="AU275" s="396"/>
      <c r="AV275" s="396"/>
      <c r="AW275" s="396"/>
      <c r="AX275" s="396"/>
      <c r="AY275" s="396"/>
      <c r="AZ275" s="396"/>
      <c r="BA275" s="396"/>
      <c r="BB275" s="396"/>
      <c r="BC275" s="396"/>
      <c r="BD275" s="396"/>
      <c r="BE275" s="396"/>
      <c r="BF275" s="396"/>
      <c r="BG275" s="396"/>
      <c r="BH275" s="396"/>
      <c r="BI275" s="396"/>
      <c r="BJ275" s="396"/>
      <c r="BK275" s="396"/>
      <c r="BL275" s="396"/>
      <c r="BM275" s="396"/>
      <c r="BN275" s="396"/>
      <c r="BO275" s="396"/>
      <c r="BP275" s="396"/>
      <c r="BQ275" s="396"/>
      <c r="BR275" s="396"/>
      <c r="BS275" s="396"/>
      <c r="BT275" s="396"/>
      <c r="BU275" s="396"/>
      <c r="BV275" s="396"/>
      <c r="BW275" s="396"/>
      <c r="BX275" s="396"/>
      <c r="BY275" s="396"/>
      <c r="BZ275" s="396"/>
      <c r="CA275" s="396"/>
      <c r="CB275" s="396"/>
      <c r="CC275" s="396"/>
      <c r="CD275" s="396"/>
      <c r="CE275" s="396"/>
      <c r="CF275" s="396"/>
      <c r="CG275" s="396"/>
      <c r="CH275" s="396"/>
      <c r="CI275" s="396"/>
      <c r="CJ275" s="396"/>
      <c r="CK275" s="396"/>
      <c r="CL275" s="396"/>
      <c r="CM275" s="396"/>
      <c r="CN275" s="396"/>
      <c r="CO275" s="396"/>
      <c r="CP275" s="396"/>
      <c r="CQ275" s="396"/>
      <c r="CR275" s="396"/>
      <c r="CS275" s="396"/>
      <c r="CT275" s="396"/>
      <c r="CU275" s="396"/>
      <c r="CV275" s="396"/>
      <c r="CW275" s="396"/>
      <c r="CX275" s="396"/>
      <c r="CY275" s="396"/>
      <c r="CZ275" s="396"/>
      <c r="DA275" s="396"/>
      <c r="DB275" s="396"/>
      <c r="DC275" s="396"/>
      <c r="DD275" s="396"/>
      <c r="DE275" s="396"/>
      <c r="DF275" s="396"/>
      <c r="DG275" s="396"/>
      <c r="DH275" s="396"/>
      <c r="DI275" s="396"/>
      <c r="DJ275" s="396"/>
      <c r="DK275" s="396"/>
      <c r="DL275" s="396"/>
      <c r="DM275" s="396"/>
      <c r="DN275" s="396"/>
      <c r="DO275" s="396"/>
      <c r="DP275" s="396"/>
      <c r="DQ275" s="396"/>
      <c r="DR275" s="396"/>
      <c r="DS275" s="396"/>
      <c r="DT275" s="396"/>
      <c r="DU275" s="396"/>
      <c r="DV275" s="396"/>
      <c r="DW275" s="396"/>
      <c r="DX275" s="396"/>
      <c r="DY275" s="396"/>
      <c r="DZ275" s="396"/>
      <c r="EA275" s="396"/>
      <c r="EB275" s="396"/>
      <c r="EC275" s="396"/>
      <c r="ED275" s="396"/>
      <c r="EE275" s="396"/>
      <c r="EF275" s="396"/>
      <c r="EG275" s="396"/>
      <c r="EH275" s="396"/>
      <c r="EI275" s="396"/>
      <c r="EJ275" s="396"/>
      <c r="EK275" s="396"/>
      <c r="EL275" s="396"/>
      <c r="EM275" s="396"/>
      <c r="EN275" s="396"/>
      <c r="EO275" s="396"/>
      <c r="EP275" s="405"/>
      <c r="EQ275" s="18"/>
      <c r="ER275" s="18"/>
      <c r="ES275" s="18"/>
      <c r="ET275" s="18"/>
      <c r="EU275" s="18"/>
      <c r="EV275" s="81"/>
      <c r="EW275" s="81"/>
      <c r="EX275" s="81"/>
      <c r="EY275" s="81"/>
      <c r="EZ275" s="81"/>
      <c r="FA275" s="81"/>
      <c r="FB275" s="81"/>
      <c r="FC275" s="81"/>
      <c r="FD275" s="81"/>
      <c r="FE275" s="81"/>
      <c r="FF275" s="81"/>
      <c r="FG275" s="81"/>
      <c r="FH275" s="81"/>
      <c r="FI275" s="81"/>
      <c r="FJ275" s="81"/>
      <c r="FK275" s="81"/>
      <c r="FL275" s="81"/>
      <c r="FM275" s="81"/>
      <c r="FN275" s="81"/>
      <c r="FO275" s="81"/>
      <c r="FP275" s="81"/>
      <c r="FQ275" s="81"/>
      <c r="FR275" s="81"/>
      <c r="FS275" s="81"/>
      <c r="FT275" s="81"/>
      <c r="FU275" s="81"/>
      <c r="FV275" s="81"/>
      <c r="FW275" s="81"/>
      <c r="FX275" s="81"/>
      <c r="FY275" s="81"/>
      <c r="FZ275" s="81"/>
      <c r="GA275" s="81"/>
      <c r="GB275" s="81"/>
      <c r="GC275" s="81"/>
      <c r="GD275" s="81"/>
      <c r="GE275" s="81"/>
      <c r="GF275" s="81"/>
      <c r="GG275" s="81"/>
      <c r="GH275" s="81"/>
      <c r="GI275" s="81"/>
      <c r="GJ275" s="81"/>
      <c r="GK275" s="81"/>
      <c r="GL275" s="81"/>
      <c r="GM275" s="81"/>
      <c r="GN275" s="81"/>
      <c r="GO275" s="81"/>
      <c r="GP275" s="81"/>
      <c r="GQ275" s="81"/>
      <c r="GR275" s="81"/>
      <c r="GS275" s="81"/>
      <c r="GT275" s="81"/>
      <c r="GU275" s="81"/>
      <c r="GV275" s="81"/>
      <c r="GW275" s="81"/>
      <c r="GX275" s="81"/>
      <c r="GY275" s="81"/>
      <c r="GZ275" s="81"/>
      <c r="HA275" s="81"/>
      <c r="HB275" s="81"/>
      <c r="HC275" s="81"/>
      <c r="HD275" s="81"/>
      <c r="HE275" s="81"/>
      <c r="HF275" s="81"/>
      <c r="HG275" s="81"/>
      <c r="HH275" s="81"/>
      <c r="HI275" s="81"/>
      <c r="HJ275" s="81"/>
      <c r="HK275" s="81"/>
      <c r="HL275" s="81"/>
      <c r="HM275" s="81"/>
      <c r="HN275" s="81"/>
      <c r="HO275" s="81"/>
      <c r="HP275" s="81"/>
      <c r="HQ275" s="81"/>
      <c r="HR275" s="81"/>
      <c r="HS275" s="81"/>
      <c r="HT275" s="81"/>
      <c r="HU275" s="81"/>
      <c r="HV275" s="81"/>
      <c r="HW275" s="81"/>
      <c r="HX275" s="81"/>
      <c r="HY275" s="81"/>
      <c r="HZ275" s="81"/>
      <c r="IA275" s="81"/>
      <c r="IB275" s="81"/>
      <c r="IC275" s="81"/>
      <c r="ID275" s="81"/>
      <c r="IE275" s="81"/>
      <c r="IF275" s="81"/>
      <c r="IG275" s="81"/>
      <c r="IH275" s="81"/>
      <c r="II275" s="81"/>
      <c r="IJ275" s="81"/>
      <c r="IK275" s="81"/>
      <c r="IL275" s="81"/>
      <c r="IM275" s="81"/>
      <c r="IN275" s="81"/>
      <c r="IO275" s="81"/>
      <c r="IP275" s="81"/>
      <c r="IQ275" s="81"/>
      <c r="IR275" s="81"/>
      <c r="IS275" s="81"/>
      <c r="IT275" s="81"/>
      <c r="IU275" s="81"/>
      <c r="IV275" s="81"/>
      <c r="IW275" s="81"/>
      <c r="IX275" s="81"/>
      <c r="IY275" s="81"/>
      <c r="IZ275" s="81"/>
      <c r="JA275" s="81"/>
      <c r="JB275" s="81"/>
      <c r="JC275" s="81"/>
      <c r="JD275" s="81"/>
      <c r="JE275" s="81"/>
      <c r="JF275" s="81"/>
      <c r="JG275" s="81"/>
      <c r="JH275" s="81"/>
      <c r="JI275" s="81"/>
      <c r="JJ275" s="81"/>
      <c r="JK275" s="81"/>
      <c r="JL275" s="81"/>
      <c r="JM275" s="81"/>
      <c r="JN275" s="81"/>
      <c r="JO275" s="81"/>
      <c r="JP275" s="81"/>
      <c r="JQ275" s="81"/>
      <c r="JR275" s="81"/>
      <c r="JS275" s="81"/>
      <c r="JT275" s="81"/>
      <c r="JU275" s="81"/>
      <c r="JV275" s="81"/>
      <c r="JW275" s="81"/>
      <c r="JX275" s="81"/>
      <c r="JY275"/>
      <c r="JZ275" s="262"/>
      <c r="KA275" s="262"/>
      <c r="KB275" s="262"/>
      <c r="KC275" s="262"/>
      <c r="KD275" s="262"/>
      <c r="KE275" s="262"/>
      <c r="KF275" s="262"/>
      <c r="KG275" s="262"/>
      <c r="KH275" s="262"/>
      <c r="KI275" s="262"/>
      <c r="KJ275" s="262"/>
      <c r="KK275" s="262"/>
      <c r="KL275" s="262"/>
      <c r="KM275" s="262"/>
      <c r="KN275" s="262"/>
      <c r="KO275" s="262"/>
      <c r="KP275" s="262"/>
      <c r="KQ275" s="262"/>
      <c r="KR275" s="262"/>
      <c r="KS275" s="262"/>
      <c r="KT275" s="262"/>
      <c r="KU275" s="262"/>
      <c r="KV275" s="262"/>
      <c r="KW275" s="262"/>
      <c r="KX275" s="262"/>
      <c r="KY275" s="262"/>
      <c r="KZ275" s="262"/>
      <c r="LA275" s="262"/>
      <c r="LB275" s="262"/>
      <c r="LC275" s="262"/>
      <c r="LD275" s="262"/>
      <c r="LE275" s="262"/>
      <c r="LF275" s="262"/>
      <c r="LG275" s="262"/>
      <c r="LH275" s="262"/>
      <c r="LI275" s="262"/>
      <c r="LJ275" s="262"/>
      <c r="LK275" s="262"/>
      <c r="LL275" s="262"/>
      <c r="LM275" s="262"/>
      <c r="LN275" s="262"/>
      <c r="LO275" s="262"/>
      <c r="LP275" s="262"/>
      <c r="LQ275" s="262"/>
      <c r="LR275" s="262"/>
      <c r="LS275" s="262"/>
      <c r="LT275" s="262"/>
      <c r="LU275" s="262"/>
      <c r="LV275" s="262"/>
      <c r="LW275" s="262"/>
      <c r="LX275" s="262"/>
      <c r="LY275" s="262"/>
      <c r="LZ275" s="262"/>
      <c r="MA275" s="262"/>
      <c r="MB275" s="262"/>
      <c r="MC275" s="262"/>
      <c r="MD275" s="262"/>
      <c r="ME275" s="262"/>
      <c r="MF275" s="262"/>
      <c r="MG275" s="262"/>
      <c r="MH275" s="262"/>
      <c r="MI275" s="262"/>
      <c r="MJ275" s="262"/>
      <c r="MK275" s="262"/>
      <c r="ML275" s="262"/>
      <c r="MM275" s="262"/>
      <c r="MN275" s="262"/>
      <c r="MO275" s="262"/>
      <c r="MP275" s="262"/>
      <c r="MQ275" s="262"/>
      <c r="MR275" s="262"/>
      <c r="MS275" s="262"/>
      <c r="MT275" s="262"/>
      <c r="MU275" s="262"/>
      <c r="MV275" s="262"/>
      <c r="MW275" s="262"/>
      <c r="MX275" s="262"/>
      <c r="MY275" s="262"/>
      <c r="MZ275" s="262"/>
      <c r="NA275" s="262"/>
      <c r="NB275" s="262"/>
      <c r="NC275" s="262"/>
      <c r="ND275" s="262"/>
      <c r="NE275" s="262"/>
      <c r="NF275" s="262"/>
      <c r="NG275" s="262"/>
      <c r="NH275" s="262"/>
      <c r="NI275" s="262"/>
      <c r="NJ275" s="262"/>
      <c r="NK275" s="262"/>
      <c r="NL275" s="262"/>
      <c r="NM275" s="262"/>
      <c r="NN275" s="262"/>
      <c r="NO275" s="262"/>
      <c r="NP275" s="262"/>
      <c r="NQ275" s="262"/>
      <c r="NR275" s="262"/>
      <c r="NS275" s="262"/>
      <c r="NT275" s="262"/>
      <c r="NU275" s="262"/>
      <c r="NV275" s="262"/>
      <c r="NW275" s="262"/>
      <c r="NX275" s="262"/>
      <c r="NY275" s="262"/>
      <c r="NZ275" s="262"/>
      <c r="OA275" s="262"/>
      <c r="OB275" s="262"/>
      <c r="OC275" s="262"/>
      <c r="OD275" s="262"/>
      <c r="OE275" s="262"/>
      <c r="OF275" s="262"/>
      <c r="OG275" s="262"/>
      <c r="OH275" s="262"/>
      <c r="OI275" s="262"/>
      <c r="OJ275" s="262"/>
      <c r="OK275" s="262"/>
      <c r="OL275" s="262"/>
      <c r="OM275" s="262"/>
      <c r="ON275" s="262"/>
      <c r="OO275" s="262"/>
      <c r="OP275" s="262"/>
      <c r="OQ275" s="262"/>
      <c r="OR275" s="262"/>
      <c r="OS275" s="262"/>
      <c r="OT275" s="262"/>
      <c r="OU275" s="262"/>
      <c r="OV275" s="262"/>
      <c r="OW275" s="262"/>
      <c r="OX275" s="262"/>
      <c r="OY275" s="262"/>
      <c r="OZ275" s="262"/>
      <c r="PA275" s="262"/>
      <c r="PB275" s="262"/>
      <c r="PC275" s="262"/>
      <c r="PD275" s="262"/>
      <c r="PE275" s="262"/>
      <c r="PF275" s="262"/>
      <c r="PG275" s="262"/>
      <c r="PH275" s="262"/>
    </row>
    <row r="276" spans="1:424" x14ac:dyDescent="0.35">
      <c r="A276"/>
      <c r="B276" s="398" t="s">
        <v>480</v>
      </c>
      <c r="C276" s="132">
        <v>0.09</v>
      </c>
      <c r="D276" s="128">
        <v>306.63705228491654</v>
      </c>
      <c r="E276" s="562">
        <v>3.0845660673537552</v>
      </c>
      <c r="F276" s="398" t="s">
        <v>480</v>
      </c>
      <c r="G276" s="130">
        <v>6.7500000000000004E-2</v>
      </c>
      <c r="H276" s="128">
        <v>411.33422876569847</v>
      </c>
      <c r="I276" s="562">
        <v>3.6516197698477049</v>
      </c>
      <c r="J276" s="395"/>
      <c r="K276" s="396"/>
      <c r="L276" s="396"/>
      <c r="M276" s="396"/>
      <c r="N276" s="396"/>
      <c r="O276" s="396"/>
      <c r="P276" s="396"/>
      <c r="Q276" s="396"/>
      <c r="R276" s="396"/>
      <c r="S276" s="396"/>
      <c r="T276" s="396"/>
      <c r="U276" s="396"/>
      <c r="V276" s="396"/>
      <c r="W276" s="396"/>
      <c r="X276" s="396"/>
      <c r="Y276" s="396"/>
      <c r="Z276" s="396"/>
      <c r="AA276" s="396"/>
      <c r="AB276" s="396"/>
      <c r="AC276" s="396"/>
      <c r="AD276" s="396"/>
      <c r="AE276" s="396"/>
      <c r="AF276" s="396"/>
      <c r="AG276" s="396"/>
      <c r="AH276" s="396"/>
      <c r="AI276" s="396"/>
      <c r="AJ276" s="396"/>
      <c r="AK276" s="396"/>
      <c r="AL276" s="396"/>
      <c r="AM276" s="396"/>
      <c r="AN276" s="396"/>
      <c r="AO276" s="396"/>
      <c r="AP276" s="396"/>
      <c r="AQ276" s="396"/>
      <c r="AR276" s="396"/>
      <c r="AS276" s="396"/>
      <c r="AT276" s="396"/>
      <c r="AU276" s="396"/>
      <c r="AV276" s="396"/>
      <c r="AW276" s="396"/>
      <c r="AX276" s="396"/>
      <c r="AY276" s="396"/>
      <c r="AZ276" s="396"/>
      <c r="BA276" s="396"/>
      <c r="BB276" s="396"/>
      <c r="BC276" s="396"/>
      <c r="BD276" s="396"/>
      <c r="BE276" s="396"/>
      <c r="BF276" s="396"/>
      <c r="BG276" s="396"/>
      <c r="BH276" s="396"/>
      <c r="BI276" s="396"/>
      <c r="BJ276" s="396"/>
      <c r="BK276" s="396"/>
      <c r="BL276" s="396"/>
      <c r="BM276" s="396"/>
      <c r="BN276" s="396"/>
      <c r="BO276" s="396"/>
      <c r="BP276" s="396"/>
      <c r="BQ276" s="396"/>
      <c r="BR276" s="396"/>
      <c r="BS276" s="396"/>
      <c r="BT276" s="396"/>
      <c r="BU276" s="396"/>
      <c r="BV276" s="396"/>
      <c r="BW276" s="396"/>
      <c r="BX276" s="396"/>
      <c r="BY276" s="396"/>
      <c r="BZ276" s="396"/>
      <c r="CA276" s="396"/>
      <c r="CB276" s="396"/>
      <c r="CC276" s="396"/>
      <c r="CD276" s="396"/>
      <c r="CE276" s="396"/>
      <c r="CF276" s="396"/>
      <c r="CG276" s="396"/>
      <c r="CH276" s="396"/>
      <c r="CI276" s="396"/>
      <c r="CJ276" s="396"/>
      <c r="CK276" s="396"/>
      <c r="CL276" s="396"/>
      <c r="CM276" s="396"/>
      <c r="CN276" s="396"/>
      <c r="CO276" s="396"/>
      <c r="CP276" s="396"/>
      <c r="CQ276" s="396"/>
      <c r="CR276" s="396"/>
      <c r="CS276" s="396"/>
      <c r="CT276" s="396"/>
      <c r="CU276" s="396"/>
      <c r="CV276" s="396"/>
      <c r="CW276" s="396"/>
      <c r="CX276" s="396"/>
      <c r="CY276" s="396"/>
      <c r="CZ276" s="396"/>
      <c r="DA276" s="396"/>
      <c r="DB276" s="396"/>
      <c r="DC276" s="396"/>
      <c r="DD276" s="396"/>
      <c r="DE276" s="396"/>
      <c r="DF276" s="396"/>
      <c r="DG276" s="396"/>
      <c r="DH276" s="396"/>
      <c r="DI276" s="396"/>
      <c r="DJ276" s="396"/>
      <c r="DK276" s="396"/>
      <c r="DL276" s="396"/>
      <c r="DM276" s="396"/>
      <c r="DN276" s="396"/>
      <c r="DO276" s="396"/>
      <c r="DP276" s="396"/>
      <c r="DQ276" s="396"/>
      <c r="DR276" s="396"/>
      <c r="DS276" s="396"/>
      <c r="DT276" s="396"/>
      <c r="DU276" s="396"/>
      <c r="DV276" s="396"/>
      <c r="DW276" s="396"/>
      <c r="DX276" s="396"/>
      <c r="DY276" s="396"/>
      <c r="DZ276" s="396"/>
      <c r="EA276" s="396"/>
      <c r="EB276" s="396"/>
      <c r="EC276" s="396"/>
      <c r="ED276" s="396"/>
      <c r="EE276" s="396"/>
      <c r="EF276" s="396"/>
      <c r="EG276" s="396"/>
      <c r="EH276" s="396"/>
      <c r="EI276" s="396"/>
      <c r="EJ276" s="396"/>
      <c r="EK276" s="396"/>
      <c r="EL276" s="396"/>
      <c r="EM276" s="396"/>
      <c r="EN276" s="396"/>
      <c r="EO276" s="396"/>
      <c r="EP276" s="405"/>
      <c r="EQ276" s="18"/>
      <c r="ER276" s="18"/>
      <c r="ES276" s="18"/>
      <c r="ET276" s="18"/>
      <c r="EU276" s="18"/>
      <c r="EV276" s="81"/>
      <c r="EW276" s="81"/>
      <c r="EX276" s="81"/>
      <c r="EY276" s="81"/>
      <c r="EZ276" s="81"/>
      <c r="FA276" s="81"/>
      <c r="FB276" s="81"/>
      <c r="FC276" s="81"/>
      <c r="FD276" s="81"/>
      <c r="FE276" s="81"/>
      <c r="FF276" s="81"/>
      <c r="FG276" s="81"/>
      <c r="FH276" s="81"/>
      <c r="FI276" s="81"/>
      <c r="FJ276" s="81"/>
      <c r="FK276" s="81"/>
      <c r="FL276" s="81"/>
      <c r="FM276" s="81"/>
      <c r="FN276" s="81"/>
      <c r="FO276" s="81"/>
      <c r="FP276" s="81"/>
      <c r="FQ276" s="81"/>
      <c r="FR276" s="81"/>
      <c r="FS276" s="81"/>
      <c r="FT276" s="81"/>
      <c r="FU276" s="81"/>
      <c r="FV276" s="81"/>
      <c r="FW276" s="81"/>
      <c r="FX276" s="81"/>
      <c r="FY276" s="81"/>
      <c r="FZ276" s="81"/>
      <c r="GA276" s="81"/>
      <c r="GB276" s="81"/>
      <c r="GC276" s="81"/>
      <c r="GD276" s="81"/>
      <c r="GE276" s="81"/>
      <c r="GF276" s="81"/>
      <c r="GG276" s="81"/>
      <c r="GH276" s="81"/>
      <c r="GI276" s="81"/>
      <c r="GJ276" s="81"/>
      <c r="GK276" s="81"/>
      <c r="GL276" s="81"/>
      <c r="GM276" s="81"/>
      <c r="GN276" s="81"/>
      <c r="GO276" s="81"/>
      <c r="GP276" s="81"/>
      <c r="GQ276" s="81"/>
      <c r="GR276" s="81"/>
      <c r="GS276" s="81"/>
      <c r="GT276" s="81"/>
      <c r="GU276" s="81"/>
      <c r="GV276" s="81"/>
      <c r="GW276" s="81"/>
      <c r="GX276" s="81"/>
      <c r="GY276" s="81"/>
      <c r="GZ276" s="81"/>
      <c r="HA276" s="81"/>
      <c r="HB276" s="81"/>
      <c r="HC276" s="81"/>
      <c r="HD276" s="81"/>
      <c r="HE276" s="81"/>
      <c r="HF276" s="81"/>
      <c r="HG276" s="81"/>
      <c r="HH276" s="81"/>
      <c r="HI276" s="81"/>
      <c r="HJ276" s="81"/>
      <c r="HK276" s="81"/>
      <c r="HL276" s="81"/>
      <c r="HM276" s="81"/>
      <c r="HN276" s="81"/>
      <c r="HO276" s="81"/>
      <c r="HP276" s="81"/>
      <c r="HQ276" s="81"/>
      <c r="HR276" s="81"/>
      <c r="HS276" s="81"/>
      <c r="HT276" s="81"/>
      <c r="HU276" s="81"/>
      <c r="HV276" s="81"/>
      <c r="HW276" s="81"/>
      <c r="HX276" s="81"/>
      <c r="HY276" s="81"/>
      <c r="HZ276" s="81"/>
      <c r="IA276" s="81"/>
      <c r="IB276" s="81"/>
      <c r="IC276" s="81"/>
      <c r="ID276" s="81"/>
      <c r="IE276" s="81"/>
      <c r="IF276" s="81"/>
      <c r="IG276" s="81"/>
      <c r="IH276" s="81"/>
      <c r="II276" s="81"/>
      <c r="IJ276" s="81"/>
      <c r="IK276" s="81"/>
      <c r="IL276" s="81"/>
      <c r="IM276" s="81"/>
      <c r="IN276" s="81"/>
      <c r="IO276" s="81"/>
      <c r="IP276" s="81"/>
      <c r="IQ276" s="81"/>
      <c r="IR276" s="81"/>
      <c r="IS276" s="81"/>
      <c r="IT276" s="81"/>
      <c r="IU276" s="81"/>
      <c r="IV276" s="81"/>
      <c r="IW276" s="81"/>
      <c r="IX276" s="81"/>
      <c r="IY276" s="81"/>
      <c r="IZ276" s="81"/>
      <c r="JA276" s="81"/>
      <c r="JB276" s="81"/>
      <c r="JC276" s="81"/>
      <c r="JD276" s="81"/>
      <c r="JE276" s="81"/>
      <c r="JF276" s="81"/>
      <c r="JG276" s="81"/>
      <c r="JH276" s="81"/>
      <c r="JI276" s="81"/>
      <c r="JJ276" s="81"/>
      <c r="JK276" s="81"/>
      <c r="JL276" s="81"/>
      <c r="JM276" s="81"/>
      <c r="JN276" s="81"/>
      <c r="JO276" s="81"/>
      <c r="JP276" s="81"/>
      <c r="JQ276" s="81"/>
      <c r="JR276" s="81"/>
      <c r="JS276" s="81"/>
      <c r="JT276" s="81"/>
      <c r="JU276" s="81"/>
      <c r="JV276" s="81"/>
      <c r="JW276" s="81"/>
      <c r="JX276" s="81"/>
      <c r="JY276"/>
      <c r="JZ276" s="262"/>
      <c r="KA276" s="262"/>
      <c r="KB276" s="262"/>
      <c r="KC276" s="262"/>
      <c r="KD276" s="262"/>
      <c r="KE276" s="262"/>
      <c r="KF276" s="262"/>
      <c r="KG276" s="262"/>
      <c r="KH276" s="262"/>
      <c r="KI276" s="262"/>
      <c r="KJ276" s="262"/>
      <c r="KK276" s="262"/>
      <c r="KL276" s="262"/>
      <c r="KM276" s="262"/>
      <c r="KN276" s="262"/>
      <c r="KO276" s="262"/>
      <c r="KP276" s="262"/>
      <c r="KQ276" s="262"/>
      <c r="KR276" s="262"/>
      <c r="KS276" s="262"/>
      <c r="KT276" s="262"/>
      <c r="KU276" s="262"/>
      <c r="KV276" s="262"/>
      <c r="KW276" s="262"/>
      <c r="KX276" s="262"/>
      <c r="KY276" s="262"/>
      <c r="KZ276" s="262"/>
      <c r="LA276" s="262"/>
      <c r="LB276" s="262"/>
      <c r="LC276" s="262"/>
      <c r="LD276" s="262"/>
      <c r="LE276" s="262"/>
      <c r="LF276" s="262"/>
      <c r="LG276" s="262"/>
      <c r="LH276" s="262"/>
      <c r="LI276" s="262"/>
      <c r="LJ276" s="262"/>
      <c r="LK276" s="262"/>
      <c r="LL276" s="262"/>
      <c r="LM276" s="262"/>
      <c r="LN276" s="262"/>
      <c r="LO276" s="262"/>
      <c r="LP276" s="262"/>
      <c r="LQ276" s="262"/>
      <c r="LR276" s="262"/>
      <c r="LS276" s="262"/>
      <c r="LT276" s="262"/>
      <c r="LU276" s="262"/>
      <c r="LV276" s="262"/>
      <c r="LW276" s="262"/>
      <c r="LX276" s="262"/>
      <c r="LY276" s="262"/>
      <c r="LZ276" s="262"/>
      <c r="MA276" s="262"/>
      <c r="MB276" s="262"/>
      <c r="MC276" s="262"/>
      <c r="MD276" s="262"/>
      <c r="ME276" s="262"/>
      <c r="MF276" s="262"/>
      <c r="MG276" s="262"/>
      <c r="MH276" s="262"/>
      <c r="MI276" s="262"/>
      <c r="MJ276" s="262"/>
      <c r="MK276" s="262"/>
      <c r="ML276" s="262"/>
      <c r="MM276" s="262"/>
      <c r="MN276" s="262"/>
      <c r="MO276" s="262"/>
      <c r="MP276" s="262"/>
      <c r="MQ276" s="262"/>
      <c r="MR276" s="262"/>
      <c r="MS276" s="262"/>
      <c r="MT276" s="262"/>
      <c r="MU276" s="262"/>
      <c r="MV276" s="262"/>
      <c r="MW276" s="262"/>
      <c r="MX276" s="262"/>
      <c r="MY276" s="262"/>
      <c r="MZ276" s="262"/>
      <c r="NA276" s="262"/>
      <c r="NB276" s="262"/>
      <c r="NC276" s="262"/>
      <c r="ND276" s="262"/>
      <c r="NE276" s="262"/>
      <c r="NF276" s="262"/>
      <c r="NG276" s="262"/>
      <c r="NH276" s="262"/>
      <c r="NI276" s="262"/>
      <c r="NJ276" s="262"/>
      <c r="NK276" s="262"/>
      <c r="NL276" s="262"/>
      <c r="NM276" s="262"/>
      <c r="NN276" s="262"/>
      <c r="NO276" s="262"/>
      <c r="NP276" s="262"/>
      <c r="NQ276" s="262"/>
      <c r="NR276" s="262"/>
      <c r="NS276" s="262"/>
      <c r="NT276" s="262"/>
      <c r="NU276" s="262"/>
      <c r="NV276" s="262"/>
      <c r="NW276" s="262"/>
      <c r="NX276" s="262"/>
      <c r="NY276" s="262"/>
      <c r="NZ276" s="262"/>
      <c r="OA276" s="262"/>
      <c r="OB276" s="262"/>
      <c r="OC276" s="262"/>
      <c r="OD276" s="262"/>
      <c r="OE276" s="262"/>
      <c r="OF276" s="262"/>
      <c r="OG276" s="262"/>
      <c r="OH276" s="262"/>
      <c r="OI276" s="262"/>
      <c r="OJ276" s="262"/>
      <c r="OK276" s="262"/>
      <c r="OL276" s="262"/>
      <c r="OM276" s="262"/>
      <c r="ON276" s="262"/>
      <c r="OO276" s="262"/>
      <c r="OP276" s="262"/>
      <c r="OQ276" s="262"/>
      <c r="OR276" s="262"/>
      <c r="OS276" s="262"/>
      <c r="OT276" s="262"/>
      <c r="OU276" s="262"/>
      <c r="OV276" s="262"/>
      <c r="OW276" s="262"/>
      <c r="OX276" s="262"/>
      <c r="OY276" s="262"/>
      <c r="OZ276" s="262"/>
      <c r="PA276" s="262"/>
      <c r="PB276" s="262"/>
      <c r="PC276" s="262"/>
      <c r="PD276" s="262"/>
      <c r="PE276" s="262"/>
      <c r="PF276" s="262"/>
      <c r="PG276" s="262"/>
      <c r="PH276" s="262"/>
    </row>
    <row r="277" spans="1:424" x14ac:dyDescent="0.35">
      <c r="A277"/>
      <c r="B277" s="398" t="s">
        <v>481</v>
      </c>
      <c r="C277" s="132">
        <v>0.1</v>
      </c>
      <c r="D277" s="128">
        <v>295.00403267594066</v>
      </c>
      <c r="E277" s="562">
        <v>3.0223166622778597</v>
      </c>
      <c r="F277" s="398" t="s">
        <v>481</v>
      </c>
      <c r="G277" s="130">
        <v>7.0000000000000007E-2</v>
      </c>
      <c r="H277" s="128">
        <v>386.33422876569847</v>
      </c>
      <c r="I277" s="562">
        <v>3.4739479230710524</v>
      </c>
      <c r="J277" s="395"/>
      <c r="K277" s="396"/>
      <c r="L277" s="396"/>
      <c r="M277" s="396"/>
      <c r="N277" s="396"/>
      <c r="O277" s="396"/>
      <c r="P277" s="396"/>
      <c r="Q277" s="396"/>
      <c r="R277" s="396"/>
      <c r="S277" s="396"/>
      <c r="T277" s="396"/>
      <c r="U277" s="396"/>
      <c r="V277" s="396"/>
      <c r="W277" s="396"/>
      <c r="X277" s="396"/>
      <c r="Y277" s="396"/>
      <c r="Z277" s="396"/>
      <c r="AA277" s="396"/>
      <c r="AB277" s="396"/>
      <c r="AC277" s="396"/>
      <c r="AD277" s="396"/>
      <c r="AE277" s="396"/>
      <c r="AF277" s="396"/>
      <c r="AG277" s="396"/>
      <c r="AH277" s="396"/>
      <c r="AI277" s="396"/>
      <c r="AJ277" s="396"/>
      <c r="AK277" s="396"/>
      <c r="AL277" s="396"/>
      <c r="AM277" s="396"/>
      <c r="AN277" s="396"/>
      <c r="AO277" s="396"/>
      <c r="AP277" s="396"/>
      <c r="AQ277" s="396"/>
      <c r="AR277" s="396"/>
      <c r="AS277" s="396"/>
      <c r="AT277" s="396"/>
      <c r="AU277" s="396"/>
      <c r="AV277" s="396"/>
      <c r="AW277" s="396"/>
      <c r="AX277" s="396"/>
      <c r="AY277" s="396"/>
      <c r="AZ277" s="396"/>
      <c r="BA277" s="396"/>
      <c r="BB277" s="396"/>
      <c r="BC277" s="396"/>
      <c r="BD277" s="396"/>
      <c r="BE277" s="396"/>
      <c r="BF277" s="396"/>
      <c r="BG277" s="396"/>
      <c r="BH277" s="396"/>
      <c r="BI277" s="396"/>
      <c r="BJ277" s="396"/>
      <c r="BK277" s="396"/>
      <c r="BL277" s="396"/>
      <c r="BM277" s="396"/>
      <c r="BN277" s="396"/>
      <c r="BO277" s="396"/>
      <c r="BP277" s="396"/>
      <c r="BQ277" s="396"/>
      <c r="BR277" s="396"/>
      <c r="BS277" s="396"/>
      <c r="BT277" s="396"/>
      <c r="BU277" s="396"/>
      <c r="BV277" s="396"/>
      <c r="BW277" s="396"/>
      <c r="BX277" s="396"/>
      <c r="BY277" s="396"/>
      <c r="BZ277" s="396"/>
      <c r="CA277" s="396"/>
      <c r="CB277" s="396"/>
      <c r="CC277" s="396"/>
      <c r="CD277" s="396"/>
      <c r="CE277" s="396"/>
      <c r="CF277" s="396"/>
      <c r="CG277" s="396"/>
      <c r="CH277" s="396"/>
      <c r="CI277" s="396"/>
      <c r="CJ277" s="396"/>
      <c r="CK277" s="396"/>
      <c r="CL277" s="396"/>
      <c r="CM277" s="396"/>
      <c r="CN277" s="396"/>
      <c r="CO277" s="396"/>
      <c r="CP277" s="396"/>
      <c r="CQ277" s="396"/>
      <c r="CR277" s="396"/>
      <c r="CS277" s="396"/>
      <c r="CT277" s="396"/>
      <c r="CU277" s="396"/>
      <c r="CV277" s="396"/>
      <c r="CW277" s="396"/>
      <c r="CX277" s="396"/>
      <c r="CY277" s="396"/>
      <c r="CZ277" s="396"/>
      <c r="DA277" s="396"/>
      <c r="DB277" s="396"/>
      <c r="DC277" s="396"/>
      <c r="DD277" s="396"/>
      <c r="DE277" s="396"/>
      <c r="DF277" s="396"/>
      <c r="DG277" s="396"/>
      <c r="DH277" s="396"/>
      <c r="DI277" s="396"/>
      <c r="DJ277" s="396"/>
      <c r="DK277" s="396"/>
      <c r="DL277" s="396"/>
      <c r="DM277" s="396"/>
      <c r="DN277" s="396"/>
      <c r="DO277" s="396"/>
      <c r="DP277" s="396"/>
      <c r="DQ277" s="396"/>
      <c r="DR277" s="396"/>
      <c r="DS277" s="396"/>
      <c r="DT277" s="396"/>
      <c r="DU277" s="396"/>
      <c r="DV277" s="396"/>
      <c r="DW277" s="396"/>
      <c r="DX277" s="396"/>
      <c r="DY277" s="396"/>
      <c r="DZ277" s="396"/>
      <c r="EA277" s="396"/>
      <c r="EB277" s="396"/>
      <c r="EC277" s="396"/>
      <c r="ED277" s="396"/>
      <c r="EE277" s="396"/>
      <c r="EF277" s="396"/>
      <c r="EG277" s="396"/>
      <c r="EH277" s="396"/>
      <c r="EI277" s="396"/>
      <c r="EJ277" s="396"/>
      <c r="EK277" s="396"/>
      <c r="EL277" s="396"/>
      <c r="EM277" s="396"/>
      <c r="EN277" s="396"/>
      <c r="EO277" s="396"/>
      <c r="EP277" s="405"/>
      <c r="EQ277" s="18"/>
      <c r="ER277" s="18"/>
      <c r="ES277" s="18"/>
      <c r="ET277" s="18"/>
      <c r="EU277" s="18"/>
      <c r="EV277" s="81"/>
      <c r="EW277" s="81"/>
      <c r="EX277" s="81"/>
      <c r="EY277" s="81"/>
      <c r="EZ277" s="81"/>
      <c r="FA277" s="81"/>
      <c r="FB277" s="81"/>
      <c r="FC277" s="81"/>
      <c r="FD277" s="81"/>
      <c r="FE277" s="81"/>
      <c r="FF277" s="81"/>
      <c r="FG277" s="81"/>
      <c r="FH277" s="81"/>
      <c r="FI277" s="81"/>
      <c r="FJ277" s="81"/>
      <c r="FK277" s="81"/>
      <c r="FL277" s="81"/>
      <c r="FM277" s="81"/>
      <c r="FN277" s="81"/>
      <c r="FO277" s="81"/>
      <c r="FP277" s="81"/>
      <c r="FQ277" s="81"/>
      <c r="FR277" s="81"/>
      <c r="FS277" s="81"/>
      <c r="FT277" s="81"/>
      <c r="FU277" s="81"/>
      <c r="FV277" s="81"/>
      <c r="FW277" s="81"/>
      <c r="FX277" s="81"/>
      <c r="FY277" s="81"/>
      <c r="FZ277" s="81"/>
      <c r="GA277" s="81"/>
      <c r="GB277" s="81"/>
      <c r="GC277" s="81"/>
      <c r="GD277" s="81"/>
      <c r="GE277" s="81"/>
      <c r="GF277" s="81"/>
      <c r="GG277" s="81"/>
      <c r="GH277" s="81"/>
      <c r="GI277" s="81"/>
      <c r="GJ277" s="81"/>
      <c r="GK277" s="81"/>
      <c r="GL277" s="81"/>
      <c r="GM277" s="81"/>
      <c r="GN277" s="81"/>
      <c r="GO277" s="81"/>
      <c r="GP277" s="81"/>
      <c r="GQ277" s="81"/>
      <c r="GR277" s="81"/>
      <c r="GS277" s="81"/>
      <c r="GT277" s="81"/>
      <c r="GU277" s="81"/>
      <c r="GV277" s="81"/>
      <c r="GW277" s="81"/>
      <c r="GX277" s="81"/>
      <c r="GY277" s="81"/>
      <c r="GZ277" s="81"/>
      <c r="HA277" s="81"/>
      <c r="HB277" s="81"/>
      <c r="HC277" s="81"/>
      <c r="HD277" s="81"/>
      <c r="HE277" s="81"/>
      <c r="HF277" s="81"/>
      <c r="HG277" s="81"/>
      <c r="HH277" s="81"/>
      <c r="HI277" s="81"/>
      <c r="HJ277" s="81"/>
      <c r="HK277" s="81"/>
      <c r="HL277" s="81"/>
      <c r="HM277" s="81"/>
      <c r="HN277" s="81"/>
      <c r="HO277" s="81"/>
      <c r="HP277" s="81"/>
      <c r="HQ277" s="81"/>
      <c r="HR277" s="81"/>
      <c r="HS277" s="81"/>
      <c r="HT277" s="81"/>
      <c r="HU277" s="81"/>
      <c r="HV277" s="81"/>
      <c r="HW277" s="81"/>
      <c r="HX277" s="81"/>
      <c r="HY277" s="81"/>
      <c r="HZ277" s="81"/>
      <c r="IA277" s="81"/>
      <c r="IB277" s="81"/>
      <c r="IC277" s="81"/>
      <c r="ID277" s="81"/>
      <c r="IE277" s="81"/>
      <c r="IF277" s="81"/>
      <c r="IG277" s="81"/>
      <c r="IH277" s="81"/>
      <c r="II277" s="81"/>
      <c r="IJ277" s="81"/>
      <c r="IK277" s="81"/>
      <c r="IL277" s="81"/>
      <c r="IM277" s="81"/>
      <c r="IN277" s="81"/>
      <c r="IO277" s="81"/>
      <c r="IP277" s="81"/>
      <c r="IQ277" s="81"/>
      <c r="IR277" s="81"/>
      <c r="IS277" s="81"/>
      <c r="IT277" s="81"/>
      <c r="IU277" s="81"/>
      <c r="IV277" s="81"/>
      <c r="IW277" s="81"/>
      <c r="IX277" s="81"/>
      <c r="IY277" s="81"/>
      <c r="IZ277" s="81"/>
      <c r="JA277" s="81"/>
      <c r="JB277" s="81"/>
      <c r="JC277" s="81"/>
      <c r="JD277" s="81"/>
      <c r="JE277" s="81"/>
      <c r="JF277" s="81"/>
      <c r="JG277" s="81"/>
      <c r="JH277" s="81"/>
      <c r="JI277" s="81"/>
      <c r="JJ277" s="81"/>
      <c r="JK277" s="81"/>
      <c r="JL277" s="81"/>
      <c r="JM277" s="81"/>
      <c r="JN277" s="81"/>
      <c r="JO277" s="81"/>
      <c r="JP277" s="81"/>
      <c r="JQ277" s="81"/>
      <c r="JR277" s="81"/>
      <c r="JS277" s="81"/>
      <c r="JT277" s="81"/>
      <c r="JU277" s="81"/>
      <c r="JV277" s="81"/>
      <c r="JW277" s="81"/>
      <c r="JX277" s="81"/>
      <c r="JY277"/>
      <c r="JZ277" s="262"/>
      <c r="KA277" s="262"/>
      <c r="KB277" s="262"/>
      <c r="KC277" s="262"/>
      <c r="KD277" s="262"/>
      <c r="KE277" s="262"/>
      <c r="KF277" s="262"/>
      <c r="KG277" s="262"/>
      <c r="KH277" s="262"/>
      <c r="KI277" s="262"/>
      <c r="KJ277" s="262"/>
      <c r="KK277" s="262"/>
      <c r="KL277" s="262"/>
      <c r="KM277" s="262"/>
      <c r="KN277" s="262"/>
      <c r="KO277" s="262"/>
      <c r="KP277" s="262"/>
      <c r="KQ277" s="262"/>
      <c r="KR277" s="262"/>
      <c r="KS277" s="262"/>
      <c r="KT277" s="262"/>
      <c r="KU277" s="262"/>
      <c r="KV277" s="262"/>
      <c r="KW277" s="262"/>
      <c r="KX277" s="262"/>
      <c r="KY277" s="262"/>
      <c r="KZ277" s="262"/>
      <c r="LA277" s="262"/>
      <c r="LB277" s="262"/>
      <c r="LC277" s="262"/>
      <c r="LD277" s="262"/>
      <c r="LE277" s="262"/>
      <c r="LF277" s="262"/>
      <c r="LG277" s="262"/>
      <c r="LH277" s="262"/>
      <c r="LI277" s="262"/>
      <c r="LJ277" s="262"/>
      <c r="LK277" s="262"/>
      <c r="LL277" s="262"/>
      <c r="LM277" s="262"/>
      <c r="LN277" s="262"/>
      <c r="LO277" s="262"/>
      <c r="LP277" s="262"/>
      <c r="LQ277" s="262"/>
      <c r="LR277" s="262"/>
      <c r="LS277" s="262"/>
      <c r="LT277" s="262"/>
      <c r="LU277" s="262"/>
      <c r="LV277" s="262"/>
      <c r="LW277" s="262"/>
      <c r="LX277" s="262"/>
      <c r="LY277" s="262"/>
      <c r="LZ277" s="262"/>
      <c r="MA277" s="262"/>
      <c r="MB277" s="262"/>
      <c r="MC277" s="262"/>
      <c r="MD277" s="262"/>
      <c r="ME277" s="262"/>
      <c r="MF277" s="262"/>
      <c r="MG277" s="262"/>
      <c r="MH277" s="262"/>
      <c r="MI277" s="262"/>
      <c r="MJ277" s="262"/>
      <c r="MK277" s="262"/>
      <c r="ML277" s="262"/>
      <c r="MM277" s="262"/>
      <c r="MN277" s="262"/>
      <c r="MO277" s="262"/>
      <c r="MP277" s="262"/>
      <c r="MQ277" s="262"/>
      <c r="MR277" s="262"/>
      <c r="MS277" s="262"/>
      <c r="MT277" s="262"/>
      <c r="MU277" s="262"/>
      <c r="MV277" s="262"/>
      <c r="MW277" s="262"/>
      <c r="MX277" s="262"/>
      <c r="MY277" s="262"/>
      <c r="MZ277" s="262"/>
      <c r="NA277" s="262"/>
      <c r="NB277" s="262"/>
      <c r="NC277" s="262"/>
      <c r="ND277" s="262"/>
      <c r="NE277" s="262"/>
      <c r="NF277" s="262"/>
      <c r="NG277" s="262"/>
      <c r="NH277" s="262"/>
      <c r="NI277" s="262"/>
      <c r="NJ277" s="262"/>
      <c r="NK277" s="262"/>
      <c r="NL277" s="262"/>
      <c r="NM277" s="262"/>
      <c r="NN277" s="262"/>
      <c r="NO277" s="262"/>
      <c r="NP277" s="262"/>
      <c r="NQ277" s="262"/>
      <c r="NR277" s="262"/>
      <c r="NS277" s="262"/>
      <c r="NT277" s="262"/>
      <c r="NU277" s="262"/>
      <c r="NV277" s="262"/>
      <c r="NW277" s="262"/>
      <c r="NX277" s="262"/>
      <c r="NY277" s="262"/>
      <c r="NZ277" s="262"/>
      <c r="OA277" s="262"/>
      <c r="OB277" s="262"/>
      <c r="OC277" s="262"/>
      <c r="OD277" s="262"/>
      <c r="OE277" s="262"/>
      <c r="OF277" s="262"/>
      <c r="OG277" s="262"/>
      <c r="OH277" s="262"/>
      <c r="OI277" s="262"/>
      <c r="OJ277" s="262"/>
      <c r="OK277" s="262"/>
      <c r="OL277" s="262"/>
      <c r="OM277" s="262"/>
      <c r="ON277" s="262"/>
      <c r="OO277" s="262"/>
      <c r="OP277" s="262"/>
      <c r="OQ277" s="262"/>
      <c r="OR277" s="262"/>
      <c r="OS277" s="262"/>
      <c r="OT277" s="262"/>
      <c r="OU277" s="262"/>
      <c r="OV277" s="262"/>
      <c r="OW277" s="262"/>
      <c r="OX277" s="262"/>
      <c r="OY277" s="262"/>
      <c r="OZ277" s="262"/>
      <c r="PA277" s="262"/>
      <c r="PB277" s="262"/>
      <c r="PC277" s="262"/>
      <c r="PD277" s="262"/>
      <c r="PE277" s="262"/>
      <c r="PF277" s="262"/>
      <c r="PG277" s="262"/>
      <c r="PH277" s="262"/>
    </row>
    <row r="278" spans="1:424" x14ac:dyDescent="0.35">
      <c r="A278"/>
      <c r="B278" s="34"/>
      <c r="C278" s="563"/>
      <c r="D278" s="34"/>
      <c r="E278" s="444"/>
      <c r="F278" s="444"/>
      <c r="G278" s="34"/>
      <c r="H278" s="34"/>
      <c r="I278" s="444"/>
      <c r="J278" s="395"/>
      <c r="K278" s="396"/>
      <c r="L278" s="396"/>
      <c r="M278" s="396"/>
      <c r="N278" s="396"/>
      <c r="O278" s="396"/>
      <c r="P278" s="396"/>
      <c r="Q278" s="396"/>
      <c r="R278" s="396"/>
      <c r="S278" s="396"/>
      <c r="T278" s="396"/>
      <c r="U278" s="396"/>
      <c r="V278" s="396"/>
      <c r="W278" s="396"/>
      <c r="X278" s="396"/>
      <c r="Y278" s="396"/>
      <c r="Z278" s="396"/>
      <c r="AA278" s="396"/>
      <c r="AB278" s="396"/>
      <c r="AC278" s="396"/>
      <c r="AD278" s="396"/>
      <c r="AE278" s="396"/>
      <c r="AF278" s="396"/>
      <c r="AG278" s="396"/>
      <c r="AH278" s="396"/>
      <c r="AI278" s="396"/>
      <c r="AJ278" s="396"/>
      <c r="AK278" s="396"/>
      <c r="AL278" s="396"/>
      <c r="AM278" s="396"/>
      <c r="AN278" s="396"/>
      <c r="AO278" s="396"/>
      <c r="AP278" s="396"/>
      <c r="AQ278" s="396"/>
      <c r="AR278" s="396"/>
      <c r="AS278" s="396"/>
      <c r="AT278" s="396"/>
      <c r="AU278" s="396"/>
      <c r="AV278" s="396"/>
      <c r="AW278" s="396"/>
      <c r="AX278" s="396"/>
      <c r="AY278" s="396"/>
      <c r="AZ278" s="396"/>
      <c r="BA278" s="396"/>
      <c r="BB278" s="396"/>
      <c r="BC278" s="396"/>
      <c r="BD278" s="396"/>
      <c r="BE278" s="396"/>
      <c r="BF278" s="396"/>
      <c r="BG278" s="396"/>
      <c r="BH278" s="396"/>
      <c r="BI278" s="396"/>
      <c r="BJ278" s="396"/>
      <c r="BK278" s="396"/>
      <c r="BL278" s="396"/>
      <c r="BM278" s="396"/>
      <c r="BN278" s="396"/>
      <c r="BO278" s="396"/>
      <c r="BP278" s="396"/>
      <c r="BQ278" s="396"/>
      <c r="BR278" s="396"/>
      <c r="BS278" s="396"/>
      <c r="BT278" s="396"/>
      <c r="BU278" s="396"/>
      <c r="BV278" s="396"/>
      <c r="BW278" s="396"/>
      <c r="BX278" s="396"/>
      <c r="BY278" s="396"/>
      <c r="BZ278" s="396"/>
      <c r="CA278" s="396"/>
      <c r="CB278" s="396"/>
      <c r="CC278" s="396"/>
      <c r="CD278" s="396"/>
      <c r="CE278" s="396"/>
      <c r="CF278" s="396"/>
      <c r="CG278" s="396"/>
      <c r="CH278" s="396"/>
      <c r="CI278" s="396"/>
      <c r="CJ278" s="396"/>
      <c r="CK278" s="396"/>
      <c r="CL278" s="396"/>
      <c r="CM278" s="396"/>
      <c r="CN278" s="396"/>
      <c r="CO278" s="396"/>
      <c r="CP278" s="396"/>
      <c r="CQ278" s="396"/>
      <c r="CR278" s="396"/>
      <c r="CS278" s="396"/>
      <c r="CT278" s="396"/>
      <c r="CU278" s="396"/>
      <c r="CV278" s="396"/>
      <c r="CW278" s="396"/>
      <c r="CX278" s="396"/>
      <c r="CY278" s="396"/>
      <c r="CZ278" s="396"/>
      <c r="DA278" s="396"/>
      <c r="DB278" s="396"/>
      <c r="DC278" s="396"/>
      <c r="DD278" s="396"/>
      <c r="DE278" s="396"/>
      <c r="DF278" s="396"/>
      <c r="DG278" s="396"/>
      <c r="DH278" s="396"/>
      <c r="DI278" s="396"/>
      <c r="DJ278" s="396"/>
      <c r="DK278" s="396"/>
      <c r="DL278" s="396"/>
      <c r="DM278" s="396"/>
      <c r="DN278" s="396"/>
      <c r="DO278" s="396"/>
      <c r="DP278" s="396"/>
      <c r="DQ278" s="396"/>
      <c r="DR278" s="396"/>
      <c r="DS278" s="396"/>
      <c r="DT278" s="396"/>
      <c r="DU278" s="396"/>
      <c r="DV278" s="396"/>
      <c r="DW278" s="396"/>
      <c r="DX278" s="396"/>
      <c r="DY278" s="396"/>
      <c r="DZ278" s="396"/>
      <c r="EA278" s="396"/>
      <c r="EB278" s="396"/>
      <c r="EC278" s="396"/>
      <c r="ED278" s="396"/>
      <c r="EE278" s="396"/>
      <c r="EF278" s="396"/>
      <c r="EG278" s="396"/>
      <c r="EH278" s="396"/>
      <c r="EI278" s="396"/>
      <c r="EJ278" s="396"/>
      <c r="EK278" s="396"/>
      <c r="EL278" s="396"/>
      <c r="EM278" s="396"/>
      <c r="EN278" s="396"/>
      <c r="EO278" s="396"/>
      <c r="EP278" s="405"/>
      <c r="EQ278" s="18"/>
      <c r="ER278" s="18"/>
      <c r="ES278" s="18"/>
      <c r="ET278" s="18"/>
      <c r="EU278" s="18"/>
      <c r="EV278" s="81"/>
      <c r="EW278" s="81"/>
      <c r="EX278" s="81"/>
      <c r="EY278" s="81"/>
      <c r="EZ278" s="81"/>
      <c r="FA278" s="81"/>
      <c r="FB278" s="81"/>
      <c r="FC278" s="81"/>
      <c r="FD278" s="81"/>
      <c r="FE278" s="81"/>
      <c r="FF278" s="81"/>
      <c r="FG278" s="81"/>
      <c r="FH278" s="81"/>
      <c r="FI278" s="81"/>
      <c r="FJ278" s="81"/>
      <c r="FK278" s="81"/>
      <c r="FL278" s="81"/>
      <c r="FM278" s="81"/>
      <c r="FN278" s="81"/>
      <c r="FO278" s="81"/>
      <c r="FP278" s="81"/>
      <c r="FQ278" s="81"/>
      <c r="FR278" s="81"/>
      <c r="FS278" s="81"/>
      <c r="FT278" s="81"/>
      <c r="FU278" s="81"/>
      <c r="FV278" s="81"/>
      <c r="FW278" s="81"/>
      <c r="FX278" s="81"/>
      <c r="FY278" s="81"/>
      <c r="FZ278" s="81"/>
      <c r="GA278" s="81"/>
      <c r="GB278" s="81"/>
      <c r="GC278" s="81"/>
      <c r="GD278" s="81"/>
      <c r="GE278" s="81"/>
      <c r="GF278" s="81"/>
      <c r="GG278" s="81"/>
      <c r="GH278" s="81"/>
      <c r="GI278" s="81"/>
      <c r="GJ278" s="81"/>
      <c r="GK278" s="81"/>
      <c r="GL278" s="81"/>
      <c r="GM278" s="81"/>
      <c r="GN278" s="81"/>
      <c r="GO278" s="81"/>
      <c r="GP278" s="81"/>
      <c r="GQ278" s="81"/>
      <c r="GR278" s="81"/>
      <c r="GS278" s="81"/>
      <c r="GT278" s="81"/>
      <c r="GU278" s="81"/>
      <c r="GV278" s="81"/>
      <c r="GW278" s="81"/>
      <c r="GX278" s="81"/>
      <c r="GY278" s="81"/>
      <c r="GZ278" s="81"/>
      <c r="HA278" s="81"/>
      <c r="HB278" s="81"/>
      <c r="HC278" s="81"/>
      <c r="HD278" s="81"/>
      <c r="HE278" s="81"/>
      <c r="HF278" s="81"/>
      <c r="HG278" s="81"/>
      <c r="HH278" s="81"/>
      <c r="HI278" s="81"/>
      <c r="HJ278" s="81"/>
      <c r="HK278" s="81"/>
      <c r="HL278" s="81"/>
      <c r="HM278" s="81"/>
      <c r="HN278" s="81"/>
      <c r="HO278" s="81"/>
      <c r="HP278" s="81"/>
      <c r="HQ278" s="81"/>
      <c r="HR278" s="81"/>
      <c r="HS278" s="81"/>
      <c r="HT278" s="81"/>
      <c r="HU278" s="81"/>
      <c r="HV278" s="81"/>
      <c r="HW278" s="81"/>
      <c r="HX278" s="81"/>
      <c r="HY278" s="81"/>
      <c r="HZ278" s="81"/>
      <c r="IA278" s="81"/>
      <c r="IB278" s="81"/>
      <c r="IC278" s="81"/>
      <c r="ID278" s="81"/>
      <c r="IE278" s="81"/>
      <c r="IF278" s="81"/>
      <c r="IG278" s="81"/>
      <c r="IH278" s="81"/>
      <c r="II278" s="81"/>
      <c r="IJ278" s="81"/>
      <c r="IK278" s="81"/>
      <c r="IL278" s="81"/>
      <c r="IM278" s="81"/>
      <c r="IN278" s="81"/>
      <c r="IO278" s="81"/>
      <c r="IP278" s="81"/>
      <c r="IQ278" s="81"/>
      <c r="IR278" s="81"/>
      <c r="IS278" s="81"/>
      <c r="IT278" s="81"/>
      <c r="IU278" s="81"/>
      <c r="IV278" s="81"/>
      <c r="IW278" s="81"/>
      <c r="IX278" s="81"/>
      <c r="IY278" s="81"/>
      <c r="IZ278" s="81"/>
      <c r="JA278" s="81"/>
      <c r="JB278" s="81"/>
      <c r="JC278" s="81"/>
      <c r="JD278" s="81"/>
      <c r="JE278" s="81"/>
      <c r="JF278" s="81"/>
      <c r="JG278" s="81"/>
      <c r="JH278" s="81"/>
      <c r="JI278" s="81"/>
      <c r="JJ278" s="81"/>
      <c r="JK278" s="81"/>
      <c r="JL278" s="81"/>
      <c r="JM278" s="81"/>
      <c r="JN278" s="81"/>
      <c r="JO278" s="81"/>
      <c r="JP278" s="81"/>
      <c r="JQ278" s="81"/>
      <c r="JR278" s="81"/>
      <c r="JS278" s="81"/>
      <c r="JT278" s="81"/>
      <c r="JU278" s="81"/>
      <c r="JV278" s="81"/>
      <c r="JW278" s="81"/>
      <c r="JX278" s="81"/>
      <c r="JY278"/>
      <c r="JZ278" s="262"/>
      <c r="KA278" s="262"/>
      <c r="KB278" s="262"/>
      <c r="KC278" s="262"/>
      <c r="KD278" s="262"/>
      <c r="KE278" s="262"/>
      <c r="KF278" s="262"/>
      <c r="KG278" s="262"/>
      <c r="KH278" s="262"/>
      <c r="KI278" s="262"/>
      <c r="KJ278" s="262"/>
      <c r="KK278" s="262"/>
      <c r="KL278" s="262"/>
      <c r="KM278" s="262"/>
      <c r="KN278" s="262"/>
      <c r="KO278" s="262"/>
      <c r="KP278" s="262"/>
      <c r="KQ278" s="262"/>
      <c r="KR278" s="262"/>
      <c r="KS278" s="262"/>
      <c r="KT278" s="262"/>
      <c r="KU278" s="262"/>
      <c r="KV278" s="262"/>
      <c r="KW278" s="262"/>
      <c r="KX278" s="262"/>
      <c r="KY278" s="262"/>
      <c r="KZ278" s="262"/>
      <c r="LA278" s="262"/>
      <c r="LB278" s="262"/>
      <c r="LC278" s="262"/>
      <c r="LD278" s="262"/>
      <c r="LE278" s="262"/>
      <c r="LF278" s="262"/>
      <c r="LG278" s="262"/>
      <c r="LH278" s="262"/>
      <c r="LI278" s="262"/>
      <c r="LJ278" s="262"/>
      <c r="LK278" s="262"/>
      <c r="LL278" s="262"/>
      <c r="LM278" s="262"/>
      <c r="LN278" s="262"/>
      <c r="LO278" s="262"/>
      <c r="LP278" s="262"/>
      <c r="LQ278" s="262"/>
      <c r="LR278" s="262"/>
      <c r="LS278" s="262"/>
      <c r="LT278" s="262"/>
      <c r="LU278" s="262"/>
      <c r="LV278" s="262"/>
      <c r="LW278" s="262"/>
      <c r="LX278" s="262"/>
      <c r="LY278" s="262"/>
      <c r="LZ278" s="262"/>
      <c r="MA278" s="262"/>
      <c r="MB278" s="262"/>
      <c r="MC278" s="262"/>
      <c r="MD278" s="262"/>
      <c r="ME278" s="262"/>
      <c r="MF278" s="262"/>
      <c r="MG278" s="262"/>
      <c r="MH278" s="262"/>
      <c r="MI278" s="262"/>
      <c r="MJ278" s="262"/>
      <c r="MK278" s="262"/>
      <c r="ML278" s="262"/>
      <c r="MM278" s="262"/>
      <c r="MN278" s="262"/>
      <c r="MO278" s="262"/>
      <c r="MP278" s="262"/>
      <c r="MQ278" s="262"/>
      <c r="MR278" s="262"/>
      <c r="MS278" s="262"/>
      <c r="MT278" s="262"/>
      <c r="MU278" s="262"/>
      <c r="MV278" s="262"/>
      <c r="MW278" s="262"/>
      <c r="MX278" s="262"/>
      <c r="MY278" s="262"/>
      <c r="MZ278" s="262"/>
      <c r="NA278" s="262"/>
      <c r="NB278" s="262"/>
      <c r="NC278" s="262"/>
      <c r="ND278" s="262"/>
      <c r="NE278" s="262"/>
      <c r="NF278" s="262"/>
      <c r="NG278" s="262"/>
      <c r="NH278" s="262"/>
      <c r="NI278" s="262"/>
      <c r="NJ278" s="262"/>
      <c r="NK278" s="262"/>
      <c r="NL278" s="262"/>
      <c r="NM278" s="262"/>
      <c r="NN278" s="262"/>
      <c r="NO278" s="262"/>
      <c r="NP278" s="262"/>
      <c r="NQ278" s="262"/>
      <c r="NR278" s="262"/>
      <c r="NS278" s="262"/>
      <c r="NT278" s="262"/>
      <c r="NU278" s="262"/>
      <c r="NV278" s="262"/>
      <c r="NW278" s="262"/>
      <c r="NX278" s="262"/>
      <c r="NY278" s="262"/>
      <c r="NZ278" s="262"/>
      <c r="OA278" s="262"/>
      <c r="OB278" s="262"/>
      <c r="OC278" s="262"/>
      <c r="OD278" s="262"/>
      <c r="OE278" s="262"/>
      <c r="OF278" s="262"/>
      <c r="OG278" s="262"/>
      <c r="OH278" s="262"/>
      <c r="OI278" s="262"/>
      <c r="OJ278" s="262"/>
      <c r="OK278" s="262"/>
      <c r="OL278" s="262"/>
      <c r="OM278" s="262"/>
      <c r="ON278" s="262"/>
      <c r="OO278" s="262"/>
      <c r="OP278" s="262"/>
      <c r="OQ278" s="262"/>
      <c r="OR278" s="262"/>
      <c r="OS278" s="262"/>
      <c r="OT278" s="262"/>
      <c r="OU278" s="262"/>
      <c r="OV278" s="262"/>
      <c r="OW278" s="262"/>
      <c r="OX278" s="262"/>
      <c r="OY278" s="262"/>
      <c r="OZ278" s="262"/>
      <c r="PA278" s="262"/>
      <c r="PB278" s="262"/>
      <c r="PC278" s="262"/>
      <c r="PD278" s="262"/>
      <c r="PE278" s="262"/>
      <c r="PF278" s="262"/>
      <c r="PG278" s="262"/>
      <c r="PH278" s="262"/>
    </row>
    <row r="279" spans="1:424" x14ac:dyDescent="0.35">
      <c r="A279"/>
      <c r="B279" s="34"/>
      <c r="C279" s="560" t="s">
        <v>482</v>
      </c>
      <c r="D279" s="34"/>
      <c r="E279" s="427"/>
      <c r="F279" s="427"/>
      <c r="G279" s="411" t="s">
        <v>483</v>
      </c>
      <c r="H279" s="34"/>
      <c r="I279" s="427"/>
      <c r="J279" s="395"/>
      <c r="K279" s="396"/>
      <c r="L279" s="396"/>
      <c r="M279" s="396"/>
      <c r="N279" s="396"/>
      <c r="O279" s="396"/>
      <c r="P279" s="396"/>
      <c r="Q279" s="396"/>
      <c r="R279" s="396"/>
      <c r="S279" s="396"/>
      <c r="T279" s="396"/>
      <c r="U279" s="396"/>
      <c r="V279" s="396"/>
      <c r="W279" s="396"/>
      <c r="X279" s="396"/>
      <c r="Y279" s="396"/>
      <c r="Z279" s="396"/>
      <c r="AA279" s="396"/>
      <c r="AB279" s="396"/>
      <c r="AC279" s="396"/>
      <c r="AD279" s="396"/>
      <c r="AE279" s="396"/>
      <c r="AF279" s="396"/>
      <c r="AG279" s="396"/>
      <c r="AH279" s="396"/>
      <c r="AI279" s="396"/>
      <c r="AJ279" s="396"/>
      <c r="AK279" s="396"/>
      <c r="AL279" s="396"/>
      <c r="AM279" s="396"/>
      <c r="AN279" s="396"/>
      <c r="AO279" s="396"/>
      <c r="AP279" s="396"/>
      <c r="AQ279" s="396"/>
      <c r="AR279" s="396"/>
      <c r="AS279" s="396"/>
      <c r="AT279" s="396"/>
      <c r="AU279" s="396"/>
      <c r="AV279" s="396"/>
      <c r="AW279" s="396"/>
      <c r="AX279" s="396"/>
      <c r="AY279" s="396"/>
      <c r="AZ279" s="396"/>
      <c r="BA279" s="396"/>
      <c r="BB279" s="396"/>
      <c r="BC279" s="396"/>
      <c r="BD279" s="396"/>
      <c r="BE279" s="396"/>
      <c r="BF279" s="396"/>
      <c r="BG279" s="396"/>
      <c r="BH279" s="396"/>
      <c r="BI279" s="396"/>
      <c r="BJ279" s="396"/>
      <c r="BK279" s="396"/>
      <c r="BL279" s="396"/>
      <c r="BM279" s="396"/>
      <c r="BN279" s="396"/>
      <c r="BO279" s="396"/>
      <c r="BP279" s="396"/>
      <c r="BQ279" s="396"/>
      <c r="BR279" s="396"/>
      <c r="BS279" s="396"/>
      <c r="BT279" s="396"/>
      <c r="BU279" s="396"/>
      <c r="BV279" s="396"/>
      <c r="BW279" s="396"/>
      <c r="BX279" s="396"/>
      <c r="BY279" s="396"/>
      <c r="BZ279" s="396"/>
      <c r="CA279" s="396"/>
      <c r="CB279" s="396"/>
      <c r="CC279" s="396"/>
      <c r="CD279" s="396"/>
      <c r="CE279" s="396"/>
      <c r="CF279" s="396"/>
      <c r="CG279" s="396"/>
      <c r="CH279" s="396"/>
      <c r="CI279" s="396"/>
      <c r="CJ279" s="396"/>
      <c r="CK279" s="396"/>
      <c r="CL279" s="396"/>
      <c r="CM279" s="396"/>
      <c r="CN279" s="396"/>
      <c r="CO279" s="396"/>
      <c r="CP279" s="396"/>
      <c r="CQ279" s="396"/>
      <c r="CR279" s="396"/>
      <c r="CS279" s="396"/>
      <c r="CT279" s="396"/>
      <c r="CU279" s="396"/>
      <c r="CV279" s="396"/>
      <c r="CW279" s="396"/>
      <c r="CX279" s="396"/>
      <c r="CY279" s="396"/>
      <c r="CZ279" s="396"/>
      <c r="DA279" s="396"/>
      <c r="DB279" s="396"/>
      <c r="DC279" s="396"/>
      <c r="DD279" s="396"/>
      <c r="DE279" s="396"/>
      <c r="DF279" s="396"/>
      <c r="DG279" s="396"/>
      <c r="DH279" s="396"/>
      <c r="DI279" s="396"/>
      <c r="DJ279" s="396"/>
      <c r="DK279" s="396"/>
      <c r="DL279" s="396"/>
      <c r="DM279" s="396"/>
      <c r="DN279" s="396"/>
      <c r="DO279" s="396"/>
      <c r="DP279" s="396"/>
      <c r="DQ279" s="396"/>
      <c r="DR279" s="396"/>
      <c r="DS279" s="396"/>
      <c r="DT279" s="396"/>
      <c r="DU279" s="396"/>
      <c r="DV279" s="396"/>
      <c r="DW279" s="396"/>
      <c r="DX279" s="396"/>
      <c r="DY279" s="396"/>
      <c r="DZ279" s="396"/>
      <c r="EA279" s="396"/>
      <c r="EB279" s="396"/>
      <c r="EC279" s="396"/>
      <c r="ED279" s="396"/>
      <c r="EE279" s="396"/>
      <c r="EF279" s="396"/>
      <c r="EG279" s="396"/>
      <c r="EH279" s="396"/>
      <c r="EI279" s="396"/>
      <c r="EJ279" s="396"/>
      <c r="EK279" s="396"/>
      <c r="EL279" s="396"/>
      <c r="EM279" s="396"/>
      <c r="EN279" s="396"/>
      <c r="EO279" s="396"/>
      <c r="EP279" s="405"/>
      <c r="EQ279" s="18"/>
      <c r="ER279" s="18"/>
      <c r="ES279" s="18"/>
      <c r="ET279" s="18"/>
      <c r="EU279" s="18"/>
      <c r="EV279" s="81"/>
      <c r="EW279" s="81"/>
      <c r="EX279" s="81"/>
      <c r="EY279" s="81"/>
      <c r="EZ279" s="81"/>
      <c r="FA279" s="81"/>
      <c r="FB279" s="81"/>
      <c r="FC279" s="81"/>
      <c r="FD279" s="81"/>
      <c r="FE279" s="81"/>
      <c r="FF279" s="81"/>
      <c r="FG279" s="81"/>
      <c r="FH279" s="81"/>
      <c r="FI279" s="81"/>
      <c r="FJ279" s="81"/>
      <c r="FK279" s="81"/>
      <c r="FL279" s="81"/>
      <c r="FM279" s="81"/>
      <c r="FN279" s="81"/>
      <c r="FO279" s="81"/>
      <c r="FP279" s="81"/>
      <c r="FQ279" s="81"/>
      <c r="FR279" s="81"/>
      <c r="FS279" s="81"/>
      <c r="FT279" s="81"/>
      <c r="FU279" s="81"/>
      <c r="FV279" s="81"/>
      <c r="FW279" s="81"/>
      <c r="FX279" s="81"/>
      <c r="FY279" s="81"/>
      <c r="FZ279" s="81"/>
      <c r="GA279" s="81"/>
      <c r="GB279" s="81"/>
      <c r="GC279" s="81"/>
      <c r="GD279" s="81"/>
      <c r="GE279" s="81"/>
      <c r="GF279" s="81"/>
      <c r="GG279" s="81"/>
      <c r="GH279" s="81"/>
      <c r="GI279" s="81"/>
      <c r="GJ279" s="81"/>
      <c r="GK279" s="81"/>
      <c r="GL279" s="81"/>
      <c r="GM279" s="81"/>
      <c r="GN279" s="81"/>
      <c r="GO279" s="81"/>
      <c r="GP279" s="81"/>
      <c r="GQ279" s="81"/>
      <c r="GR279" s="81"/>
      <c r="GS279" s="81"/>
      <c r="GT279" s="81"/>
      <c r="GU279" s="81"/>
      <c r="GV279" s="81"/>
      <c r="GW279" s="81"/>
      <c r="GX279" s="81"/>
      <c r="GY279" s="81"/>
      <c r="GZ279" s="81"/>
      <c r="HA279" s="81"/>
      <c r="HB279" s="81"/>
      <c r="HC279" s="81"/>
      <c r="HD279" s="81"/>
      <c r="HE279" s="81"/>
      <c r="HF279" s="81"/>
      <c r="HG279" s="81"/>
      <c r="HH279" s="81"/>
      <c r="HI279" s="81"/>
      <c r="HJ279" s="81"/>
      <c r="HK279" s="81"/>
      <c r="HL279" s="81"/>
      <c r="HM279" s="81"/>
      <c r="HN279" s="81"/>
      <c r="HO279" s="81"/>
      <c r="HP279" s="81"/>
      <c r="HQ279" s="81"/>
      <c r="HR279" s="81"/>
      <c r="HS279" s="81"/>
      <c r="HT279" s="81"/>
      <c r="HU279" s="81"/>
      <c r="HV279" s="81"/>
      <c r="HW279" s="81"/>
      <c r="HX279" s="81"/>
      <c r="HY279" s="81"/>
      <c r="HZ279" s="81"/>
      <c r="IA279" s="81"/>
      <c r="IB279" s="81"/>
      <c r="IC279" s="81"/>
      <c r="ID279" s="81"/>
      <c r="IE279" s="81"/>
      <c r="IF279" s="81"/>
      <c r="IG279" s="81"/>
      <c r="IH279" s="81"/>
      <c r="II279" s="81"/>
      <c r="IJ279" s="81"/>
      <c r="IK279" s="81"/>
      <c r="IL279" s="81"/>
      <c r="IM279" s="81"/>
      <c r="IN279" s="81"/>
      <c r="IO279" s="81"/>
      <c r="IP279" s="81"/>
      <c r="IQ279" s="81"/>
      <c r="IR279" s="81"/>
      <c r="IS279" s="81"/>
      <c r="IT279" s="81"/>
      <c r="IU279" s="81"/>
      <c r="IV279" s="81"/>
      <c r="IW279" s="81"/>
      <c r="IX279" s="81"/>
      <c r="IY279" s="81"/>
      <c r="IZ279" s="81"/>
      <c r="JA279" s="81"/>
      <c r="JB279" s="81"/>
      <c r="JC279" s="81"/>
      <c r="JD279" s="81"/>
      <c r="JE279" s="81"/>
      <c r="JF279" s="81"/>
      <c r="JG279" s="81"/>
      <c r="JH279" s="81"/>
      <c r="JI279" s="81"/>
      <c r="JJ279" s="81"/>
      <c r="JK279" s="81"/>
      <c r="JL279" s="81"/>
      <c r="JM279" s="81"/>
      <c r="JN279" s="81"/>
      <c r="JO279" s="81"/>
      <c r="JP279" s="81"/>
      <c r="JQ279" s="81"/>
      <c r="JR279" s="81"/>
      <c r="JS279" s="81"/>
      <c r="JT279" s="81"/>
      <c r="JU279" s="81"/>
      <c r="JV279" s="81"/>
      <c r="JW279" s="81"/>
      <c r="JX279" s="81"/>
      <c r="JY279"/>
      <c r="JZ279" s="262"/>
      <c r="KA279" s="262"/>
      <c r="KB279" s="262"/>
      <c r="KC279" s="262"/>
      <c r="KD279" s="262"/>
      <c r="KE279" s="262"/>
      <c r="KF279" s="262"/>
      <c r="KG279" s="262"/>
      <c r="KH279" s="262"/>
      <c r="KI279" s="262"/>
      <c r="KJ279" s="262"/>
      <c r="KK279" s="262"/>
      <c r="KL279" s="262"/>
      <c r="KM279" s="262"/>
      <c r="KN279" s="262"/>
      <c r="KO279" s="262"/>
      <c r="KP279" s="262"/>
      <c r="KQ279" s="262"/>
      <c r="KR279" s="262"/>
      <c r="KS279" s="262"/>
      <c r="KT279" s="262"/>
      <c r="KU279" s="262"/>
      <c r="KV279" s="262"/>
      <c r="KW279" s="262"/>
      <c r="KX279" s="262"/>
      <c r="KY279" s="262"/>
      <c r="KZ279" s="262"/>
      <c r="LA279" s="262"/>
      <c r="LB279" s="262"/>
      <c r="LC279" s="262"/>
      <c r="LD279" s="262"/>
      <c r="LE279" s="262"/>
      <c r="LF279" s="262"/>
      <c r="LG279" s="262"/>
      <c r="LH279" s="262"/>
      <c r="LI279" s="262"/>
      <c r="LJ279" s="262"/>
      <c r="LK279" s="262"/>
      <c r="LL279" s="262"/>
      <c r="LM279" s="262"/>
      <c r="LN279" s="262"/>
      <c r="LO279" s="262"/>
      <c r="LP279" s="262"/>
      <c r="LQ279" s="262"/>
      <c r="LR279" s="262"/>
      <c r="LS279" s="262"/>
      <c r="LT279" s="262"/>
      <c r="LU279" s="262"/>
      <c r="LV279" s="262"/>
      <c r="LW279" s="262"/>
      <c r="LX279" s="262"/>
      <c r="LY279" s="262"/>
      <c r="LZ279" s="262"/>
      <c r="MA279" s="262"/>
      <c r="MB279" s="262"/>
      <c r="MC279" s="262"/>
      <c r="MD279" s="262"/>
      <c r="ME279" s="262"/>
      <c r="MF279" s="262"/>
      <c r="MG279" s="262"/>
      <c r="MH279" s="262"/>
      <c r="MI279" s="262"/>
      <c r="MJ279" s="262"/>
      <c r="MK279" s="262"/>
      <c r="ML279" s="262"/>
      <c r="MM279" s="262"/>
      <c r="MN279" s="262"/>
      <c r="MO279" s="262"/>
      <c r="MP279" s="262"/>
      <c r="MQ279" s="262"/>
      <c r="MR279" s="262"/>
      <c r="MS279" s="262"/>
      <c r="MT279" s="262"/>
      <c r="MU279" s="262"/>
      <c r="MV279" s="262"/>
      <c r="MW279" s="262"/>
      <c r="MX279" s="262"/>
      <c r="MY279" s="262"/>
      <c r="MZ279" s="262"/>
      <c r="NA279" s="262"/>
      <c r="NB279" s="262"/>
      <c r="NC279" s="262"/>
      <c r="ND279" s="262"/>
      <c r="NE279" s="262"/>
      <c r="NF279" s="262"/>
      <c r="NG279" s="262"/>
      <c r="NH279" s="262"/>
      <c r="NI279" s="262"/>
      <c r="NJ279" s="262"/>
      <c r="NK279" s="262"/>
      <c r="NL279" s="262"/>
      <c r="NM279" s="262"/>
      <c r="NN279" s="262"/>
      <c r="NO279" s="262"/>
      <c r="NP279" s="262"/>
      <c r="NQ279" s="262"/>
      <c r="NR279" s="262"/>
      <c r="NS279" s="262"/>
      <c r="NT279" s="262"/>
      <c r="NU279" s="262"/>
      <c r="NV279" s="262"/>
      <c r="NW279" s="262"/>
      <c r="NX279" s="262"/>
      <c r="NY279" s="262"/>
      <c r="NZ279" s="262"/>
      <c r="OA279" s="262"/>
      <c r="OB279" s="262"/>
      <c r="OC279" s="262"/>
      <c r="OD279" s="262"/>
      <c r="OE279" s="262"/>
      <c r="OF279" s="262"/>
      <c r="OG279" s="262"/>
      <c r="OH279" s="262"/>
      <c r="OI279" s="262"/>
      <c r="OJ279" s="262"/>
      <c r="OK279" s="262"/>
      <c r="OL279" s="262"/>
      <c r="OM279" s="262"/>
      <c r="ON279" s="262"/>
      <c r="OO279" s="262"/>
      <c r="OP279" s="262"/>
      <c r="OQ279" s="262"/>
      <c r="OR279" s="262"/>
      <c r="OS279" s="262"/>
      <c r="OT279" s="262"/>
      <c r="OU279" s="262"/>
      <c r="OV279" s="262"/>
      <c r="OW279" s="262"/>
      <c r="OX279" s="262"/>
      <c r="OY279" s="262"/>
      <c r="OZ279" s="262"/>
      <c r="PA279" s="262"/>
      <c r="PB279" s="262"/>
      <c r="PC279" s="262"/>
      <c r="PD279" s="262"/>
      <c r="PE279" s="262"/>
      <c r="PF279" s="262"/>
      <c r="PG279" s="262"/>
      <c r="PH279" s="262"/>
    </row>
    <row r="280" spans="1:424" x14ac:dyDescent="0.35">
      <c r="A280"/>
      <c r="B280" s="34"/>
      <c r="C280" s="564" t="s">
        <v>484</v>
      </c>
      <c r="D280" s="495" t="s">
        <v>474</v>
      </c>
      <c r="E280" s="449" t="s">
        <v>475</v>
      </c>
      <c r="F280" s="449"/>
      <c r="G280" s="459" t="s">
        <v>485</v>
      </c>
      <c r="H280" s="495" t="s">
        <v>474</v>
      </c>
      <c r="I280" s="449" t="s">
        <v>475</v>
      </c>
      <c r="J280" s="395"/>
      <c r="K280" s="396"/>
      <c r="L280" s="396"/>
      <c r="M280" s="396"/>
      <c r="N280" s="396"/>
      <c r="O280" s="396"/>
      <c r="P280" s="396"/>
      <c r="Q280" s="396"/>
      <c r="R280" s="396"/>
      <c r="S280" s="396"/>
      <c r="T280" s="396"/>
      <c r="U280" s="396"/>
      <c r="V280" s="396"/>
      <c r="W280" s="396"/>
      <c r="X280" s="396"/>
      <c r="Y280" s="396"/>
      <c r="Z280" s="396"/>
      <c r="AA280" s="396"/>
      <c r="AB280" s="396"/>
      <c r="AC280" s="396"/>
      <c r="AD280" s="396"/>
      <c r="AE280" s="396"/>
      <c r="AF280" s="396"/>
      <c r="AG280" s="396"/>
      <c r="AH280" s="396"/>
      <c r="AI280" s="396"/>
      <c r="AJ280" s="396"/>
      <c r="AK280" s="396"/>
      <c r="AL280" s="396"/>
      <c r="AM280" s="396"/>
      <c r="AN280" s="396"/>
      <c r="AO280" s="396"/>
      <c r="AP280" s="396"/>
      <c r="AQ280" s="396"/>
      <c r="AR280" s="396"/>
      <c r="AS280" s="396"/>
      <c r="AT280" s="396"/>
      <c r="AU280" s="396"/>
      <c r="AV280" s="396"/>
      <c r="AW280" s="396"/>
      <c r="AX280" s="396"/>
      <c r="AY280" s="396"/>
      <c r="AZ280" s="396"/>
      <c r="BA280" s="396"/>
      <c r="BB280" s="396"/>
      <c r="BC280" s="396"/>
      <c r="BD280" s="396"/>
      <c r="BE280" s="396"/>
      <c r="BF280" s="396"/>
      <c r="BG280" s="396"/>
      <c r="BH280" s="396"/>
      <c r="BI280" s="396"/>
      <c r="BJ280" s="396"/>
      <c r="BK280" s="396"/>
      <c r="BL280" s="396"/>
      <c r="BM280" s="396"/>
      <c r="BN280" s="396"/>
      <c r="BO280" s="396"/>
      <c r="BP280" s="396"/>
      <c r="BQ280" s="396"/>
      <c r="BR280" s="396"/>
      <c r="BS280" s="396"/>
      <c r="BT280" s="396"/>
      <c r="BU280" s="396"/>
      <c r="BV280" s="396"/>
      <c r="BW280" s="396"/>
      <c r="BX280" s="396"/>
      <c r="BY280" s="396"/>
      <c r="BZ280" s="396"/>
      <c r="CA280" s="396"/>
      <c r="CB280" s="396"/>
      <c r="CC280" s="396"/>
      <c r="CD280" s="396"/>
      <c r="CE280" s="396"/>
      <c r="CF280" s="396"/>
      <c r="CG280" s="396"/>
      <c r="CH280" s="396"/>
      <c r="CI280" s="396"/>
      <c r="CJ280" s="396"/>
      <c r="CK280" s="396"/>
      <c r="CL280" s="396"/>
      <c r="CM280" s="396"/>
      <c r="CN280" s="396"/>
      <c r="CO280" s="396"/>
      <c r="CP280" s="396"/>
      <c r="CQ280" s="396"/>
      <c r="CR280" s="396"/>
      <c r="CS280" s="396"/>
      <c r="CT280" s="396"/>
      <c r="CU280" s="396"/>
      <c r="CV280" s="396"/>
      <c r="CW280" s="396"/>
      <c r="CX280" s="396"/>
      <c r="CY280" s="396"/>
      <c r="CZ280" s="396"/>
      <c r="DA280" s="396"/>
      <c r="DB280" s="396"/>
      <c r="DC280" s="396"/>
      <c r="DD280" s="396"/>
      <c r="DE280" s="396"/>
      <c r="DF280" s="396"/>
      <c r="DG280" s="396"/>
      <c r="DH280" s="396"/>
      <c r="DI280" s="396"/>
      <c r="DJ280" s="396"/>
      <c r="DK280" s="396"/>
      <c r="DL280" s="396"/>
      <c r="DM280" s="396"/>
      <c r="DN280" s="396"/>
      <c r="DO280" s="396"/>
      <c r="DP280" s="396"/>
      <c r="DQ280" s="396"/>
      <c r="DR280" s="396"/>
      <c r="DS280" s="396"/>
      <c r="DT280" s="396"/>
      <c r="DU280" s="396"/>
      <c r="DV280" s="396"/>
      <c r="DW280" s="396"/>
      <c r="DX280" s="396"/>
      <c r="DY280" s="396"/>
      <c r="DZ280" s="396"/>
      <c r="EA280" s="396"/>
      <c r="EB280" s="396"/>
      <c r="EC280" s="396"/>
      <c r="ED280" s="396"/>
      <c r="EE280" s="396"/>
      <c r="EF280" s="396"/>
      <c r="EG280" s="396"/>
      <c r="EH280" s="396"/>
      <c r="EI280" s="396"/>
      <c r="EJ280" s="396"/>
      <c r="EK280" s="396"/>
      <c r="EL280" s="396"/>
      <c r="EM280" s="396"/>
      <c r="EN280" s="396"/>
      <c r="EO280" s="396"/>
      <c r="EP280" s="405"/>
      <c r="EQ280" s="18"/>
      <c r="ER280" s="18"/>
      <c r="ES280" s="18"/>
      <c r="ET280" s="18"/>
      <c r="EU280" s="18"/>
      <c r="EV280" s="81"/>
      <c r="EW280" s="81"/>
      <c r="EX280" s="81"/>
      <c r="EY280" s="81"/>
      <c r="EZ280" s="81"/>
      <c r="FA280" s="81"/>
      <c r="FB280" s="81"/>
      <c r="FC280" s="81"/>
      <c r="FD280" s="81"/>
      <c r="FE280" s="81"/>
      <c r="FF280" s="81"/>
      <c r="FG280" s="81"/>
      <c r="FH280" s="81"/>
      <c r="FI280" s="81"/>
      <c r="FJ280" s="81"/>
      <c r="FK280" s="81"/>
      <c r="FL280" s="81"/>
      <c r="FM280" s="81"/>
      <c r="FN280" s="81"/>
      <c r="FO280" s="81"/>
      <c r="FP280" s="81"/>
      <c r="FQ280" s="81"/>
      <c r="FR280" s="81"/>
      <c r="FS280" s="81"/>
      <c r="FT280" s="81"/>
      <c r="FU280" s="81"/>
      <c r="FV280" s="81"/>
      <c r="FW280" s="81"/>
      <c r="FX280" s="81"/>
      <c r="FY280" s="81"/>
      <c r="FZ280" s="81"/>
      <c r="GA280" s="81"/>
      <c r="GB280" s="81"/>
      <c r="GC280" s="81"/>
      <c r="GD280" s="81"/>
      <c r="GE280" s="81"/>
      <c r="GF280" s="81"/>
      <c r="GG280" s="81"/>
      <c r="GH280" s="81"/>
      <c r="GI280" s="81"/>
      <c r="GJ280" s="81"/>
      <c r="GK280" s="81"/>
      <c r="GL280" s="81"/>
      <c r="GM280" s="81"/>
      <c r="GN280" s="81"/>
      <c r="GO280" s="81"/>
      <c r="GP280" s="81"/>
      <c r="GQ280" s="81"/>
      <c r="GR280" s="81"/>
      <c r="GS280" s="81"/>
      <c r="GT280" s="81"/>
      <c r="GU280" s="81"/>
      <c r="GV280" s="81"/>
      <c r="GW280" s="81"/>
      <c r="GX280" s="81"/>
      <c r="GY280" s="81"/>
      <c r="GZ280" s="81"/>
      <c r="HA280" s="81"/>
      <c r="HB280" s="81"/>
      <c r="HC280" s="81"/>
      <c r="HD280" s="81"/>
      <c r="HE280" s="81"/>
      <c r="HF280" s="81"/>
      <c r="HG280" s="81"/>
      <c r="HH280" s="81"/>
      <c r="HI280" s="81"/>
      <c r="HJ280" s="81"/>
      <c r="HK280" s="81"/>
      <c r="HL280" s="81"/>
      <c r="HM280" s="81"/>
      <c r="HN280" s="81"/>
      <c r="HO280" s="81"/>
      <c r="HP280" s="81"/>
      <c r="HQ280" s="81"/>
      <c r="HR280" s="81"/>
      <c r="HS280" s="81"/>
      <c r="HT280" s="81"/>
      <c r="HU280" s="81"/>
      <c r="HV280" s="81"/>
      <c r="HW280" s="81"/>
      <c r="HX280" s="81"/>
      <c r="HY280" s="81"/>
      <c r="HZ280" s="81"/>
      <c r="IA280" s="81"/>
      <c r="IB280" s="81"/>
      <c r="IC280" s="81"/>
      <c r="ID280" s="81"/>
      <c r="IE280" s="81"/>
      <c r="IF280" s="81"/>
      <c r="IG280" s="81"/>
      <c r="IH280" s="81"/>
      <c r="II280" s="81"/>
      <c r="IJ280" s="81"/>
      <c r="IK280" s="81"/>
      <c r="IL280" s="81"/>
      <c r="IM280" s="81"/>
      <c r="IN280" s="81"/>
      <c r="IO280" s="81"/>
      <c r="IP280" s="81"/>
      <c r="IQ280" s="81"/>
      <c r="IR280" s="81"/>
      <c r="IS280" s="81"/>
      <c r="IT280" s="81"/>
      <c r="IU280" s="81"/>
      <c r="IV280" s="81"/>
      <c r="IW280" s="81"/>
      <c r="IX280" s="81"/>
      <c r="IY280" s="81"/>
      <c r="IZ280" s="81"/>
      <c r="JA280" s="81"/>
      <c r="JB280" s="81"/>
      <c r="JC280" s="81"/>
      <c r="JD280" s="81"/>
      <c r="JE280" s="81"/>
      <c r="JF280" s="81"/>
      <c r="JG280" s="81"/>
      <c r="JH280" s="81"/>
      <c r="JI280" s="81"/>
      <c r="JJ280" s="81"/>
      <c r="JK280" s="81"/>
      <c r="JL280" s="81"/>
      <c r="JM280" s="81"/>
      <c r="JN280" s="81"/>
      <c r="JO280" s="81"/>
      <c r="JP280" s="81"/>
      <c r="JQ280" s="81"/>
      <c r="JR280" s="81"/>
      <c r="JS280" s="81"/>
      <c r="JT280" s="81"/>
      <c r="JU280" s="81"/>
      <c r="JV280" s="81"/>
      <c r="JW280" s="81"/>
      <c r="JX280" s="81"/>
      <c r="JY280"/>
      <c r="JZ280" s="262"/>
      <c r="KA280" s="262"/>
      <c r="KB280" s="262"/>
      <c r="KC280" s="262"/>
      <c r="KD280" s="262"/>
      <c r="KE280" s="262"/>
      <c r="KF280" s="262"/>
      <c r="KG280" s="262"/>
      <c r="KH280" s="262"/>
      <c r="KI280" s="262"/>
      <c r="KJ280" s="262"/>
      <c r="KK280" s="262"/>
      <c r="KL280" s="262"/>
      <c r="KM280" s="262"/>
      <c r="KN280" s="262"/>
      <c r="KO280" s="262"/>
      <c r="KP280" s="262"/>
      <c r="KQ280" s="262"/>
      <c r="KR280" s="262"/>
      <c r="KS280" s="262"/>
      <c r="KT280" s="262"/>
      <c r="KU280" s="262"/>
      <c r="KV280" s="262"/>
      <c r="KW280" s="262"/>
      <c r="KX280" s="262"/>
      <c r="KY280" s="262"/>
      <c r="KZ280" s="262"/>
      <c r="LA280" s="262"/>
      <c r="LB280" s="262"/>
      <c r="LC280" s="262"/>
      <c r="LD280" s="262"/>
      <c r="LE280" s="262"/>
      <c r="LF280" s="262"/>
      <c r="LG280" s="262"/>
      <c r="LH280" s="262"/>
      <c r="LI280" s="262"/>
      <c r="LJ280" s="262"/>
      <c r="LK280" s="262"/>
      <c r="LL280" s="262"/>
      <c r="LM280" s="262"/>
      <c r="LN280" s="262"/>
      <c r="LO280" s="262"/>
      <c r="LP280" s="262"/>
      <c r="LQ280" s="262"/>
      <c r="LR280" s="262"/>
      <c r="LS280" s="262"/>
      <c r="LT280" s="262"/>
      <c r="LU280" s="262"/>
      <c r="LV280" s="262"/>
      <c r="LW280" s="262"/>
      <c r="LX280" s="262"/>
      <c r="LY280" s="262"/>
      <c r="LZ280" s="262"/>
      <c r="MA280" s="262"/>
      <c r="MB280" s="262"/>
      <c r="MC280" s="262"/>
      <c r="MD280" s="262"/>
      <c r="ME280" s="262"/>
      <c r="MF280" s="262"/>
      <c r="MG280" s="262"/>
      <c r="MH280" s="262"/>
      <c r="MI280" s="262"/>
      <c r="MJ280" s="262"/>
      <c r="MK280" s="262"/>
      <c r="ML280" s="262"/>
      <c r="MM280" s="262"/>
      <c r="MN280" s="262"/>
      <c r="MO280" s="262"/>
      <c r="MP280" s="262"/>
      <c r="MQ280" s="262"/>
      <c r="MR280" s="262"/>
      <c r="MS280" s="262"/>
      <c r="MT280" s="262"/>
      <c r="MU280" s="262"/>
      <c r="MV280" s="262"/>
      <c r="MW280" s="262"/>
      <c r="MX280" s="262"/>
      <c r="MY280" s="262"/>
      <c r="MZ280" s="262"/>
      <c r="NA280" s="262"/>
      <c r="NB280" s="262"/>
      <c r="NC280" s="262"/>
      <c r="ND280" s="262"/>
      <c r="NE280" s="262"/>
      <c r="NF280" s="262"/>
      <c r="NG280" s="262"/>
      <c r="NH280" s="262"/>
      <c r="NI280" s="262"/>
      <c r="NJ280" s="262"/>
      <c r="NK280" s="262"/>
      <c r="NL280" s="262"/>
      <c r="NM280" s="262"/>
      <c r="NN280" s="262"/>
      <c r="NO280" s="262"/>
      <c r="NP280" s="262"/>
      <c r="NQ280" s="262"/>
      <c r="NR280" s="262"/>
      <c r="NS280" s="262"/>
      <c r="NT280" s="262"/>
      <c r="NU280" s="262"/>
      <c r="NV280" s="262"/>
      <c r="NW280" s="262"/>
      <c r="NX280" s="262"/>
      <c r="NY280" s="262"/>
      <c r="NZ280" s="262"/>
      <c r="OA280" s="262"/>
      <c r="OB280" s="262"/>
      <c r="OC280" s="262"/>
      <c r="OD280" s="262"/>
      <c r="OE280" s="262"/>
      <c r="OF280" s="262"/>
      <c r="OG280" s="262"/>
      <c r="OH280" s="262"/>
      <c r="OI280" s="262"/>
      <c r="OJ280" s="262"/>
      <c r="OK280" s="262"/>
      <c r="OL280" s="262"/>
      <c r="OM280" s="262"/>
      <c r="ON280" s="262"/>
      <c r="OO280" s="262"/>
      <c r="OP280" s="262"/>
      <c r="OQ280" s="262"/>
      <c r="OR280" s="262"/>
      <c r="OS280" s="262"/>
      <c r="OT280" s="262"/>
      <c r="OU280" s="262"/>
      <c r="OV280" s="262"/>
      <c r="OW280" s="262"/>
      <c r="OX280" s="262"/>
      <c r="OY280" s="262"/>
      <c r="OZ280" s="262"/>
      <c r="PA280" s="262"/>
      <c r="PB280" s="262"/>
      <c r="PC280" s="262"/>
      <c r="PD280" s="262"/>
      <c r="PE280" s="262"/>
      <c r="PF280" s="262"/>
      <c r="PG280" s="262"/>
      <c r="PH280" s="262"/>
    </row>
    <row r="281" spans="1:424" x14ac:dyDescent="0.35">
      <c r="A281"/>
      <c r="B281" s="459" t="s">
        <v>476</v>
      </c>
      <c r="C281" s="131">
        <f>G93</f>
        <v>3.5000000000000003E-2</v>
      </c>
      <c r="D281" s="128">
        <f>$I$217</f>
        <v>411.33422876569847</v>
      </c>
      <c r="E281" s="562">
        <f>$G$212</f>
        <v>3.6516197698477049</v>
      </c>
      <c r="F281" s="459" t="s">
        <v>476</v>
      </c>
      <c r="G281" s="129">
        <f>F134</f>
        <v>2.5000000000000001E-2</v>
      </c>
      <c r="H281" s="128">
        <f>$I$217</f>
        <v>411.33422876569847</v>
      </c>
      <c r="I281" s="562">
        <f>$G$212</f>
        <v>3.6516197698477049</v>
      </c>
      <c r="J281" s="395"/>
      <c r="K281" s="396"/>
      <c r="L281" s="396"/>
      <c r="M281" s="396"/>
      <c r="N281" s="396"/>
      <c r="O281" s="396"/>
      <c r="P281" s="396"/>
      <c r="Q281" s="396"/>
      <c r="R281" s="396"/>
      <c r="S281" s="396"/>
      <c r="T281" s="396"/>
      <c r="U281" s="396"/>
      <c r="V281" s="396"/>
      <c r="W281" s="396"/>
      <c r="X281" s="396"/>
      <c r="Y281" s="396"/>
      <c r="Z281" s="396"/>
      <c r="AA281" s="396"/>
      <c r="AB281" s="396"/>
      <c r="AC281" s="396"/>
      <c r="AD281" s="396"/>
      <c r="AE281" s="396"/>
      <c r="AF281" s="396"/>
      <c r="AG281" s="396"/>
      <c r="AH281" s="396"/>
      <c r="AI281" s="396"/>
      <c r="AJ281" s="396"/>
      <c r="AK281" s="396"/>
      <c r="AL281" s="396"/>
      <c r="AM281" s="396"/>
      <c r="AN281" s="396"/>
      <c r="AO281" s="396"/>
      <c r="AP281" s="396"/>
      <c r="AQ281" s="396"/>
      <c r="AR281" s="396"/>
      <c r="AS281" s="396"/>
      <c r="AT281" s="396"/>
      <c r="AU281" s="396"/>
      <c r="AV281" s="396"/>
      <c r="AW281" s="396"/>
      <c r="AX281" s="396"/>
      <c r="AY281" s="396"/>
      <c r="AZ281" s="396"/>
      <c r="BA281" s="396"/>
      <c r="BB281" s="396"/>
      <c r="BC281" s="396"/>
      <c r="BD281" s="396"/>
      <c r="BE281" s="396"/>
      <c r="BF281" s="396"/>
      <c r="BG281" s="396"/>
      <c r="BH281" s="396"/>
      <c r="BI281" s="396"/>
      <c r="BJ281" s="396"/>
      <c r="BK281" s="396"/>
      <c r="BL281" s="396"/>
      <c r="BM281" s="396"/>
      <c r="BN281" s="396"/>
      <c r="BO281" s="396"/>
      <c r="BP281" s="396"/>
      <c r="BQ281" s="396"/>
      <c r="BR281" s="396"/>
      <c r="BS281" s="396"/>
      <c r="BT281" s="396"/>
      <c r="BU281" s="396"/>
      <c r="BV281" s="396"/>
      <c r="BW281" s="396"/>
      <c r="BX281" s="396"/>
      <c r="BY281" s="396"/>
      <c r="BZ281" s="396"/>
      <c r="CA281" s="396"/>
      <c r="CB281" s="396"/>
      <c r="CC281" s="396"/>
      <c r="CD281" s="396"/>
      <c r="CE281" s="396"/>
      <c r="CF281" s="396"/>
      <c r="CG281" s="396"/>
      <c r="CH281" s="396"/>
      <c r="CI281" s="396"/>
      <c r="CJ281" s="396"/>
      <c r="CK281" s="396"/>
      <c r="CL281" s="396"/>
      <c r="CM281" s="396"/>
      <c r="CN281" s="396"/>
      <c r="CO281" s="396"/>
      <c r="CP281" s="396"/>
      <c r="CQ281" s="396"/>
      <c r="CR281" s="396"/>
      <c r="CS281" s="396"/>
      <c r="CT281" s="396"/>
      <c r="CU281" s="396"/>
      <c r="CV281" s="396"/>
      <c r="CW281" s="396"/>
      <c r="CX281" s="396"/>
      <c r="CY281" s="396"/>
      <c r="CZ281" s="396"/>
      <c r="DA281" s="396"/>
      <c r="DB281" s="396"/>
      <c r="DC281" s="396"/>
      <c r="DD281" s="396"/>
      <c r="DE281" s="396"/>
      <c r="DF281" s="396"/>
      <c r="DG281" s="396"/>
      <c r="DH281" s="396"/>
      <c r="DI281" s="396"/>
      <c r="DJ281" s="396"/>
      <c r="DK281" s="396"/>
      <c r="DL281" s="396"/>
      <c r="DM281" s="396"/>
      <c r="DN281" s="396"/>
      <c r="DO281" s="396"/>
      <c r="DP281" s="396"/>
      <c r="DQ281" s="396"/>
      <c r="DR281" s="396"/>
      <c r="DS281" s="396"/>
      <c r="DT281" s="396"/>
      <c r="DU281" s="396"/>
      <c r="DV281" s="396"/>
      <c r="DW281" s="396"/>
      <c r="DX281" s="396"/>
      <c r="DY281" s="396"/>
      <c r="DZ281" s="396"/>
      <c r="EA281" s="396"/>
      <c r="EB281" s="396"/>
      <c r="EC281" s="396"/>
      <c r="ED281" s="396"/>
      <c r="EE281" s="396"/>
      <c r="EF281" s="396"/>
      <c r="EG281" s="396"/>
      <c r="EH281" s="396"/>
      <c r="EI281" s="396"/>
      <c r="EJ281" s="396"/>
      <c r="EK281" s="396"/>
      <c r="EL281" s="396"/>
      <c r="EM281" s="396"/>
      <c r="EN281" s="396"/>
      <c r="EO281" s="396"/>
      <c r="EP281" s="405"/>
      <c r="EQ281" s="18"/>
      <c r="ER281" s="18"/>
      <c r="ES281" s="18"/>
      <c r="ET281" s="18"/>
      <c r="EU281" s="18"/>
      <c r="EV281" s="81"/>
      <c r="EW281" s="81"/>
      <c r="EX281" s="81"/>
      <c r="EY281" s="81"/>
      <c r="EZ281" s="81"/>
      <c r="FA281" s="81"/>
      <c r="FB281" s="81"/>
      <c r="FC281" s="81"/>
      <c r="FD281" s="81"/>
      <c r="FE281" s="81"/>
      <c r="FF281" s="81"/>
      <c r="FG281" s="81"/>
      <c r="FH281" s="81"/>
      <c r="FI281" s="81"/>
      <c r="FJ281" s="81"/>
      <c r="FK281" s="81"/>
      <c r="FL281" s="81"/>
      <c r="FM281" s="81"/>
      <c r="FN281" s="81"/>
      <c r="FO281" s="81"/>
      <c r="FP281" s="81"/>
      <c r="FQ281" s="81"/>
      <c r="FR281" s="81"/>
      <c r="FS281" s="81"/>
      <c r="FT281" s="81"/>
      <c r="FU281" s="81"/>
      <c r="FV281" s="81"/>
      <c r="FW281" s="81"/>
      <c r="FX281" s="81"/>
      <c r="FY281" s="81"/>
      <c r="FZ281" s="81"/>
      <c r="GA281" s="81"/>
      <c r="GB281" s="81"/>
      <c r="GC281" s="81"/>
      <c r="GD281" s="81"/>
      <c r="GE281" s="81"/>
      <c r="GF281" s="81"/>
      <c r="GG281" s="81"/>
      <c r="GH281" s="81"/>
      <c r="GI281" s="81"/>
      <c r="GJ281" s="81"/>
      <c r="GK281" s="81"/>
      <c r="GL281" s="81"/>
      <c r="GM281" s="81"/>
      <c r="GN281" s="81"/>
      <c r="GO281" s="81"/>
      <c r="GP281" s="81"/>
      <c r="GQ281" s="81"/>
      <c r="GR281" s="81"/>
      <c r="GS281" s="81"/>
      <c r="GT281" s="81"/>
      <c r="GU281" s="81"/>
      <c r="GV281" s="81"/>
      <c r="GW281" s="81"/>
      <c r="GX281" s="81"/>
      <c r="GY281" s="81"/>
      <c r="GZ281" s="81"/>
      <c r="HA281" s="81"/>
      <c r="HB281" s="81"/>
      <c r="HC281" s="81"/>
      <c r="HD281" s="81"/>
      <c r="HE281" s="81"/>
      <c r="HF281" s="81"/>
      <c r="HG281" s="81"/>
      <c r="HH281" s="81"/>
      <c r="HI281" s="81"/>
      <c r="HJ281" s="81"/>
      <c r="HK281" s="81"/>
      <c r="HL281" s="81"/>
      <c r="HM281" s="81"/>
      <c r="HN281" s="81"/>
      <c r="HO281" s="81"/>
      <c r="HP281" s="81"/>
      <c r="HQ281" s="81"/>
      <c r="HR281" s="81"/>
      <c r="HS281" s="81"/>
      <c r="HT281" s="81"/>
      <c r="HU281" s="81"/>
      <c r="HV281" s="81"/>
      <c r="HW281" s="81"/>
      <c r="HX281" s="81"/>
      <c r="HY281" s="81"/>
      <c r="HZ281" s="81"/>
      <c r="IA281" s="81"/>
      <c r="IB281" s="81"/>
      <c r="IC281" s="81"/>
      <c r="ID281" s="81"/>
      <c r="IE281" s="81"/>
      <c r="IF281" s="81"/>
      <c r="IG281" s="81"/>
      <c r="IH281" s="81"/>
      <c r="II281" s="81"/>
      <c r="IJ281" s="81"/>
      <c r="IK281" s="81"/>
      <c r="IL281" s="81"/>
      <c r="IM281" s="81"/>
      <c r="IN281" s="81"/>
      <c r="IO281" s="81"/>
      <c r="IP281" s="81"/>
      <c r="IQ281" s="81"/>
      <c r="IR281" s="81"/>
      <c r="IS281" s="81"/>
      <c r="IT281" s="81"/>
      <c r="IU281" s="81"/>
      <c r="IV281" s="81"/>
      <c r="IW281" s="81"/>
      <c r="IX281" s="81"/>
      <c r="IY281" s="81"/>
      <c r="IZ281" s="81"/>
      <c r="JA281" s="81"/>
      <c r="JB281" s="81"/>
      <c r="JC281" s="81"/>
      <c r="JD281" s="81"/>
      <c r="JE281" s="81"/>
      <c r="JF281" s="81"/>
      <c r="JG281" s="81"/>
      <c r="JH281" s="81"/>
      <c r="JI281" s="81"/>
      <c r="JJ281" s="81"/>
      <c r="JK281" s="81"/>
      <c r="JL281" s="81"/>
      <c r="JM281" s="81"/>
      <c r="JN281" s="81"/>
      <c r="JO281" s="81"/>
      <c r="JP281" s="81"/>
      <c r="JQ281" s="81"/>
      <c r="JR281" s="81"/>
      <c r="JS281" s="81"/>
      <c r="JT281" s="81"/>
      <c r="JU281" s="81"/>
      <c r="JV281" s="81"/>
      <c r="JW281" s="81"/>
      <c r="JX281" s="81"/>
      <c r="JY281"/>
      <c r="JZ281" s="262"/>
      <c r="KA281" s="262"/>
      <c r="KB281" s="262"/>
      <c r="KC281" s="262"/>
      <c r="KD281" s="262"/>
      <c r="KE281" s="262"/>
      <c r="KF281" s="262"/>
      <c r="KG281" s="262"/>
      <c r="KH281" s="262"/>
      <c r="KI281" s="262"/>
      <c r="KJ281" s="262"/>
      <c r="KK281" s="262"/>
      <c r="KL281" s="262"/>
      <c r="KM281" s="262"/>
      <c r="KN281" s="262"/>
      <c r="KO281" s="262"/>
      <c r="KP281" s="262"/>
      <c r="KQ281" s="262"/>
      <c r="KR281" s="262"/>
      <c r="KS281" s="262"/>
      <c r="KT281" s="262"/>
      <c r="KU281" s="262"/>
      <c r="KV281" s="262"/>
      <c r="KW281" s="262"/>
      <c r="KX281" s="262"/>
      <c r="KY281" s="262"/>
      <c r="KZ281" s="262"/>
      <c r="LA281" s="262"/>
      <c r="LB281" s="262"/>
      <c r="LC281" s="262"/>
      <c r="LD281" s="262"/>
      <c r="LE281" s="262"/>
      <c r="LF281" s="262"/>
      <c r="LG281" s="262"/>
      <c r="LH281" s="262"/>
      <c r="LI281" s="262"/>
      <c r="LJ281" s="262"/>
      <c r="LK281" s="262"/>
      <c r="LL281" s="262"/>
      <c r="LM281" s="262"/>
      <c r="LN281" s="262"/>
      <c r="LO281" s="262"/>
      <c r="LP281" s="262"/>
      <c r="LQ281" s="262"/>
      <c r="LR281" s="262"/>
      <c r="LS281" s="262"/>
      <c r="LT281" s="262"/>
      <c r="LU281" s="262"/>
      <c r="LV281" s="262"/>
      <c r="LW281" s="262"/>
      <c r="LX281" s="262"/>
      <c r="LY281" s="262"/>
      <c r="LZ281" s="262"/>
      <c r="MA281" s="262"/>
      <c r="MB281" s="262"/>
      <c r="MC281" s="262"/>
      <c r="MD281" s="262"/>
      <c r="ME281" s="262"/>
      <c r="MF281" s="262"/>
      <c r="MG281" s="262"/>
      <c r="MH281" s="262"/>
      <c r="MI281" s="262"/>
      <c r="MJ281" s="262"/>
      <c r="MK281" s="262"/>
      <c r="ML281" s="262"/>
      <c r="MM281" s="262"/>
      <c r="MN281" s="262"/>
      <c r="MO281" s="262"/>
      <c r="MP281" s="262"/>
      <c r="MQ281" s="262"/>
      <c r="MR281" s="262"/>
      <c r="MS281" s="262"/>
      <c r="MT281" s="262"/>
      <c r="MU281" s="262"/>
      <c r="MV281" s="262"/>
      <c r="MW281" s="262"/>
      <c r="MX281" s="262"/>
      <c r="MY281" s="262"/>
      <c r="MZ281" s="262"/>
      <c r="NA281" s="262"/>
      <c r="NB281" s="262"/>
      <c r="NC281" s="262"/>
      <c r="ND281" s="262"/>
      <c r="NE281" s="262"/>
      <c r="NF281" s="262"/>
      <c r="NG281" s="262"/>
      <c r="NH281" s="262"/>
      <c r="NI281" s="262"/>
      <c r="NJ281" s="262"/>
      <c r="NK281" s="262"/>
      <c r="NL281" s="262"/>
      <c r="NM281" s="262"/>
      <c r="NN281" s="262"/>
      <c r="NO281" s="262"/>
      <c r="NP281" s="262"/>
      <c r="NQ281" s="262"/>
      <c r="NR281" s="262"/>
      <c r="NS281" s="262"/>
      <c r="NT281" s="262"/>
      <c r="NU281" s="262"/>
      <c r="NV281" s="262"/>
      <c r="NW281" s="262"/>
      <c r="NX281" s="262"/>
      <c r="NY281" s="262"/>
      <c r="NZ281" s="262"/>
      <c r="OA281" s="262"/>
      <c r="OB281" s="262"/>
      <c r="OC281" s="262"/>
      <c r="OD281" s="262"/>
      <c r="OE281" s="262"/>
      <c r="OF281" s="262"/>
      <c r="OG281" s="262"/>
      <c r="OH281" s="262"/>
      <c r="OI281" s="262"/>
      <c r="OJ281" s="262"/>
      <c r="OK281" s="262"/>
      <c r="OL281" s="262"/>
      <c r="OM281" s="262"/>
      <c r="ON281" s="262"/>
      <c r="OO281" s="262"/>
      <c r="OP281" s="262"/>
      <c r="OQ281" s="262"/>
      <c r="OR281" s="262"/>
      <c r="OS281" s="262"/>
      <c r="OT281" s="262"/>
      <c r="OU281" s="262"/>
      <c r="OV281" s="262"/>
      <c r="OW281" s="262"/>
      <c r="OX281" s="262"/>
      <c r="OY281" s="262"/>
      <c r="OZ281" s="262"/>
      <c r="PA281" s="262"/>
      <c r="PB281" s="262"/>
      <c r="PC281" s="262"/>
      <c r="PD281" s="262"/>
      <c r="PE281" s="262"/>
      <c r="PF281" s="262"/>
      <c r="PG281" s="262"/>
      <c r="PH281" s="262"/>
    </row>
    <row r="282" spans="1:424" x14ac:dyDescent="0.35">
      <c r="A282"/>
      <c r="B282" s="398" t="s">
        <v>477</v>
      </c>
      <c r="C282" s="132">
        <v>1.7500000000000002E-2</v>
      </c>
      <c r="D282" s="128">
        <f t="dataTable" ref="D282:E286" dt2D="0" dtr="0" r1="G93"/>
        <v>399.76433580496087</v>
      </c>
      <c r="E282" s="562">
        <v>3.5933796044955035</v>
      </c>
      <c r="F282" s="398" t="s">
        <v>477</v>
      </c>
      <c r="G282" s="130">
        <v>2.2499999999999999E-2</v>
      </c>
      <c r="H282" s="128">
        <f t="dataTable" ref="H282:I286" dt2D="0" dtr="0" r1="F134"/>
        <v>411.0322968864333</v>
      </c>
      <c r="I282" s="562">
        <v>3.6501826388608269</v>
      </c>
      <c r="J282" s="395"/>
      <c r="K282" s="396"/>
      <c r="L282" s="396"/>
      <c r="M282" s="396"/>
      <c r="N282" s="396"/>
      <c r="O282" s="396"/>
      <c r="P282" s="396"/>
      <c r="Q282" s="396"/>
      <c r="R282" s="396"/>
      <c r="S282" s="396"/>
      <c r="T282" s="396"/>
      <c r="U282" s="396"/>
      <c r="V282" s="396"/>
      <c r="W282" s="396"/>
      <c r="X282" s="396"/>
      <c r="Y282" s="396"/>
      <c r="Z282" s="396"/>
      <c r="AA282" s="396"/>
      <c r="AB282" s="396"/>
      <c r="AC282" s="396"/>
      <c r="AD282" s="396"/>
      <c r="AE282" s="396"/>
      <c r="AF282" s="396"/>
      <c r="AG282" s="396"/>
      <c r="AH282" s="396"/>
      <c r="AI282" s="396"/>
      <c r="AJ282" s="396"/>
      <c r="AK282" s="396"/>
      <c r="AL282" s="396"/>
      <c r="AM282" s="396"/>
      <c r="AN282" s="396"/>
      <c r="AO282" s="396"/>
      <c r="AP282" s="396"/>
      <c r="AQ282" s="396"/>
      <c r="AR282" s="396"/>
      <c r="AS282" s="396"/>
      <c r="AT282" s="396"/>
      <c r="AU282" s="396"/>
      <c r="AV282" s="396"/>
      <c r="AW282" s="396"/>
      <c r="AX282" s="396"/>
      <c r="AY282" s="396"/>
      <c r="AZ282" s="396"/>
      <c r="BA282" s="396"/>
      <c r="BB282" s="396"/>
      <c r="BC282" s="396"/>
      <c r="BD282" s="396"/>
      <c r="BE282" s="396"/>
      <c r="BF282" s="396"/>
      <c r="BG282" s="396"/>
      <c r="BH282" s="396"/>
      <c r="BI282" s="396"/>
      <c r="BJ282" s="396"/>
      <c r="BK282" s="396"/>
      <c r="BL282" s="396"/>
      <c r="BM282" s="396"/>
      <c r="BN282" s="396"/>
      <c r="BO282" s="396"/>
      <c r="BP282" s="396"/>
      <c r="BQ282" s="396"/>
      <c r="BR282" s="396"/>
      <c r="BS282" s="396"/>
      <c r="BT282" s="396"/>
      <c r="BU282" s="396"/>
      <c r="BV282" s="396"/>
      <c r="BW282" s="396"/>
      <c r="BX282" s="396"/>
      <c r="BY282" s="396"/>
      <c r="BZ282" s="396"/>
      <c r="CA282" s="396"/>
      <c r="CB282" s="396"/>
      <c r="CC282" s="396"/>
      <c r="CD282" s="396"/>
      <c r="CE282" s="396"/>
      <c r="CF282" s="396"/>
      <c r="CG282" s="396"/>
      <c r="CH282" s="396"/>
      <c r="CI282" s="396"/>
      <c r="CJ282" s="396"/>
      <c r="CK282" s="396"/>
      <c r="CL282" s="396"/>
      <c r="CM282" s="396"/>
      <c r="CN282" s="396"/>
      <c r="CO282" s="396"/>
      <c r="CP282" s="396"/>
      <c r="CQ282" s="396"/>
      <c r="CR282" s="396"/>
      <c r="CS282" s="396"/>
      <c r="CT282" s="396"/>
      <c r="CU282" s="396"/>
      <c r="CV282" s="396"/>
      <c r="CW282" s="396"/>
      <c r="CX282" s="396"/>
      <c r="CY282" s="396"/>
      <c r="CZ282" s="396"/>
      <c r="DA282" s="396"/>
      <c r="DB282" s="396"/>
      <c r="DC282" s="396"/>
      <c r="DD282" s="396"/>
      <c r="DE282" s="396"/>
      <c r="DF282" s="396"/>
      <c r="DG282" s="396"/>
      <c r="DH282" s="396"/>
      <c r="DI282" s="396"/>
      <c r="DJ282" s="396"/>
      <c r="DK282" s="396"/>
      <c r="DL282" s="396"/>
      <c r="DM282" s="396"/>
      <c r="DN282" s="396"/>
      <c r="DO282" s="396"/>
      <c r="DP282" s="396"/>
      <c r="DQ282" s="396"/>
      <c r="DR282" s="396"/>
      <c r="DS282" s="396"/>
      <c r="DT282" s="396"/>
      <c r="DU282" s="396"/>
      <c r="DV282" s="396"/>
      <c r="DW282" s="396"/>
      <c r="DX282" s="396"/>
      <c r="DY282" s="396"/>
      <c r="DZ282" s="396"/>
      <c r="EA282" s="396"/>
      <c r="EB282" s="396"/>
      <c r="EC282" s="396"/>
      <c r="ED282" s="396"/>
      <c r="EE282" s="396"/>
      <c r="EF282" s="396"/>
      <c r="EG282" s="396"/>
      <c r="EH282" s="396"/>
      <c r="EI282" s="396"/>
      <c r="EJ282" s="396"/>
      <c r="EK282" s="396"/>
      <c r="EL282" s="396"/>
      <c r="EM282" s="396"/>
      <c r="EN282" s="396"/>
      <c r="EO282" s="396"/>
      <c r="EP282" s="405"/>
      <c r="EQ282" s="18"/>
      <c r="ER282" s="18"/>
      <c r="ES282" s="18"/>
      <c r="ET282" s="18"/>
      <c r="EU282" s="18"/>
      <c r="EV282" s="81"/>
      <c r="EW282" s="81"/>
      <c r="EX282" s="81"/>
      <c r="EY282" s="81"/>
      <c r="EZ282" s="81"/>
      <c r="FA282" s="81"/>
      <c r="FB282" s="81"/>
      <c r="FC282" s="81"/>
      <c r="FD282" s="81"/>
      <c r="FE282" s="81"/>
      <c r="FF282" s="81"/>
      <c r="FG282" s="81"/>
      <c r="FH282" s="81"/>
      <c r="FI282" s="81"/>
      <c r="FJ282" s="81"/>
      <c r="FK282" s="81"/>
      <c r="FL282" s="81"/>
      <c r="FM282" s="81"/>
      <c r="FN282" s="81"/>
      <c r="FO282" s="81"/>
      <c r="FP282" s="81"/>
      <c r="FQ282" s="81"/>
      <c r="FR282" s="81"/>
      <c r="FS282" s="81"/>
      <c r="FT282" s="81"/>
      <c r="FU282" s="81"/>
      <c r="FV282" s="81"/>
      <c r="FW282" s="81"/>
      <c r="FX282" s="81"/>
      <c r="FY282" s="81"/>
      <c r="FZ282" s="81"/>
      <c r="GA282" s="81"/>
      <c r="GB282" s="81"/>
      <c r="GC282" s="81"/>
      <c r="GD282" s="81"/>
      <c r="GE282" s="81"/>
      <c r="GF282" s="81"/>
      <c r="GG282" s="81"/>
      <c r="GH282" s="81"/>
      <c r="GI282" s="81"/>
      <c r="GJ282" s="81"/>
      <c r="GK282" s="81"/>
      <c r="GL282" s="81"/>
      <c r="GM282" s="81"/>
      <c r="GN282" s="81"/>
      <c r="GO282" s="81"/>
      <c r="GP282" s="81"/>
      <c r="GQ282" s="81"/>
      <c r="GR282" s="81"/>
      <c r="GS282" s="81"/>
      <c r="GT282" s="81"/>
      <c r="GU282" s="81"/>
      <c r="GV282" s="81"/>
      <c r="GW282" s="81"/>
      <c r="GX282" s="81"/>
      <c r="GY282" s="81"/>
      <c r="GZ282" s="81"/>
      <c r="HA282" s="81"/>
      <c r="HB282" s="81"/>
      <c r="HC282" s="81"/>
      <c r="HD282" s="81"/>
      <c r="HE282" s="81"/>
      <c r="HF282" s="81"/>
      <c r="HG282" s="81"/>
      <c r="HH282" s="81"/>
      <c r="HI282" s="81"/>
      <c r="HJ282" s="81"/>
      <c r="HK282" s="81"/>
      <c r="HL282" s="81"/>
      <c r="HM282" s="81"/>
      <c r="HN282" s="81"/>
      <c r="HO282" s="81"/>
      <c r="HP282" s="81"/>
      <c r="HQ282" s="81"/>
      <c r="HR282" s="81"/>
      <c r="HS282" s="81"/>
      <c r="HT282" s="81"/>
      <c r="HU282" s="81"/>
      <c r="HV282" s="81"/>
      <c r="HW282" s="81"/>
      <c r="HX282" s="81"/>
      <c r="HY282" s="81"/>
      <c r="HZ282" s="81"/>
      <c r="IA282" s="81"/>
      <c r="IB282" s="81"/>
      <c r="IC282" s="81"/>
      <c r="ID282" s="81"/>
      <c r="IE282" s="81"/>
      <c r="IF282" s="81"/>
      <c r="IG282" s="81"/>
      <c r="IH282" s="81"/>
      <c r="II282" s="81"/>
      <c r="IJ282" s="81"/>
      <c r="IK282" s="81"/>
      <c r="IL282" s="81"/>
      <c r="IM282" s="81"/>
      <c r="IN282" s="81"/>
      <c r="IO282" s="81"/>
      <c r="IP282" s="81"/>
      <c r="IQ282" s="81"/>
      <c r="IR282" s="81"/>
      <c r="IS282" s="81"/>
      <c r="IT282" s="81"/>
      <c r="IU282" s="81"/>
      <c r="IV282" s="81"/>
      <c r="IW282" s="81"/>
      <c r="IX282" s="81"/>
      <c r="IY282" s="81"/>
      <c r="IZ282" s="81"/>
      <c r="JA282" s="81"/>
      <c r="JB282" s="81"/>
      <c r="JC282" s="81"/>
      <c r="JD282" s="81"/>
      <c r="JE282" s="81"/>
      <c r="JF282" s="81"/>
      <c r="JG282" s="81"/>
      <c r="JH282" s="81"/>
      <c r="JI282" s="81"/>
      <c r="JJ282" s="81"/>
      <c r="JK282" s="81"/>
      <c r="JL282" s="81"/>
      <c r="JM282" s="81"/>
      <c r="JN282" s="81"/>
      <c r="JO282" s="81"/>
      <c r="JP282" s="81"/>
      <c r="JQ282" s="81"/>
      <c r="JR282" s="81"/>
      <c r="JS282" s="81"/>
      <c r="JT282" s="81"/>
      <c r="JU282" s="81"/>
      <c r="JV282" s="81"/>
      <c r="JW282" s="81"/>
      <c r="JX282" s="81"/>
      <c r="JY282"/>
      <c r="JZ282" s="262"/>
      <c r="KA282" s="262"/>
      <c r="KB282" s="262"/>
      <c r="KC282" s="262"/>
      <c r="KD282" s="262"/>
      <c r="KE282" s="262"/>
      <c r="KF282" s="262"/>
      <c r="KG282" s="262"/>
      <c r="KH282" s="262"/>
      <c r="KI282" s="262"/>
      <c r="KJ282" s="262"/>
      <c r="KK282" s="262"/>
      <c r="KL282" s="262"/>
      <c r="KM282" s="262"/>
      <c r="KN282" s="262"/>
      <c r="KO282" s="262"/>
      <c r="KP282" s="262"/>
      <c r="KQ282" s="262"/>
      <c r="KR282" s="262"/>
      <c r="KS282" s="262"/>
      <c r="KT282" s="262"/>
      <c r="KU282" s="262"/>
      <c r="KV282" s="262"/>
      <c r="KW282" s="262"/>
      <c r="KX282" s="262"/>
      <c r="KY282" s="262"/>
      <c r="KZ282" s="262"/>
      <c r="LA282" s="262"/>
      <c r="LB282" s="262"/>
      <c r="LC282" s="262"/>
      <c r="LD282" s="262"/>
      <c r="LE282" s="262"/>
      <c r="LF282" s="262"/>
      <c r="LG282" s="262"/>
      <c r="LH282" s="262"/>
      <c r="LI282" s="262"/>
      <c r="LJ282" s="262"/>
      <c r="LK282" s="262"/>
      <c r="LL282" s="262"/>
      <c r="LM282" s="262"/>
      <c r="LN282" s="262"/>
      <c r="LO282" s="262"/>
      <c r="LP282" s="262"/>
      <c r="LQ282" s="262"/>
      <c r="LR282" s="262"/>
      <c r="LS282" s="262"/>
      <c r="LT282" s="262"/>
      <c r="LU282" s="262"/>
      <c r="LV282" s="262"/>
      <c r="LW282" s="262"/>
      <c r="LX282" s="262"/>
      <c r="LY282" s="262"/>
      <c r="LZ282" s="262"/>
      <c r="MA282" s="262"/>
      <c r="MB282" s="262"/>
      <c r="MC282" s="262"/>
      <c r="MD282" s="262"/>
      <c r="ME282" s="262"/>
      <c r="MF282" s="262"/>
      <c r="MG282" s="262"/>
      <c r="MH282" s="262"/>
      <c r="MI282" s="262"/>
      <c r="MJ282" s="262"/>
      <c r="MK282" s="262"/>
      <c r="ML282" s="262"/>
      <c r="MM282" s="262"/>
      <c r="MN282" s="262"/>
      <c r="MO282" s="262"/>
      <c r="MP282" s="262"/>
      <c r="MQ282" s="262"/>
      <c r="MR282" s="262"/>
      <c r="MS282" s="262"/>
      <c r="MT282" s="262"/>
      <c r="MU282" s="262"/>
      <c r="MV282" s="262"/>
      <c r="MW282" s="262"/>
      <c r="MX282" s="262"/>
      <c r="MY282" s="262"/>
      <c r="MZ282" s="262"/>
      <c r="NA282" s="262"/>
      <c r="NB282" s="262"/>
      <c r="NC282" s="262"/>
      <c r="ND282" s="262"/>
      <c r="NE282" s="262"/>
      <c r="NF282" s="262"/>
      <c r="NG282" s="262"/>
      <c r="NH282" s="262"/>
      <c r="NI282" s="262"/>
      <c r="NJ282" s="262"/>
      <c r="NK282" s="262"/>
      <c r="NL282" s="262"/>
      <c r="NM282" s="262"/>
      <c r="NN282" s="262"/>
      <c r="NO282" s="262"/>
      <c r="NP282" s="262"/>
      <c r="NQ282" s="262"/>
      <c r="NR282" s="262"/>
      <c r="NS282" s="262"/>
      <c r="NT282" s="262"/>
      <c r="NU282" s="262"/>
      <c r="NV282" s="262"/>
      <c r="NW282" s="262"/>
      <c r="NX282" s="262"/>
      <c r="NY282" s="262"/>
      <c r="NZ282" s="262"/>
      <c r="OA282" s="262"/>
      <c r="OB282" s="262"/>
      <c r="OC282" s="262"/>
      <c r="OD282" s="262"/>
      <c r="OE282" s="262"/>
      <c r="OF282" s="262"/>
      <c r="OG282" s="262"/>
      <c r="OH282" s="262"/>
      <c r="OI282" s="262"/>
      <c r="OJ282" s="262"/>
      <c r="OK282" s="262"/>
      <c r="OL282" s="262"/>
      <c r="OM282" s="262"/>
      <c r="ON282" s="262"/>
      <c r="OO282" s="262"/>
      <c r="OP282" s="262"/>
      <c r="OQ282" s="262"/>
      <c r="OR282" s="262"/>
      <c r="OS282" s="262"/>
      <c r="OT282" s="262"/>
      <c r="OU282" s="262"/>
      <c r="OV282" s="262"/>
      <c r="OW282" s="262"/>
      <c r="OX282" s="262"/>
      <c r="OY282" s="262"/>
      <c r="OZ282" s="262"/>
      <c r="PA282" s="262"/>
      <c r="PB282" s="262"/>
      <c r="PC282" s="262"/>
      <c r="PD282" s="262"/>
      <c r="PE282" s="262"/>
      <c r="PF282" s="262"/>
      <c r="PG282" s="262"/>
      <c r="PH282" s="262"/>
    </row>
    <row r="283" spans="1:424" x14ac:dyDescent="0.35">
      <c r="A283"/>
      <c r="B283" s="398" t="s">
        <v>478</v>
      </c>
      <c r="C283" s="132">
        <v>1.4999999999999999E-2</v>
      </c>
      <c r="D283" s="128">
        <v>398.1485577487806</v>
      </c>
      <c r="E283" s="562">
        <v>3.5852387039279141</v>
      </c>
      <c r="F283" s="398" t="s">
        <v>478</v>
      </c>
      <c r="G283" s="130">
        <v>2.5000000000000001E-2</v>
      </c>
      <c r="H283" s="128">
        <v>411.33422876569847</v>
      </c>
      <c r="I283" s="562">
        <v>3.6516197698477049</v>
      </c>
      <c r="J283" s="395"/>
      <c r="K283" s="396"/>
      <c r="L283" s="396"/>
      <c r="M283" s="396"/>
      <c r="N283" s="396"/>
      <c r="O283" s="396"/>
      <c r="P283" s="396"/>
      <c r="Q283" s="396"/>
      <c r="R283" s="396"/>
      <c r="S283" s="396"/>
      <c r="T283" s="396"/>
      <c r="U283" s="396"/>
      <c r="V283" s="396"/>
      <c r="W283" s="396"/>
      <c r="X283" s="396"/>
      <c r="Y283" s="396"/>
      <c r="Z283" s="396"/>
      <c r="AA283" s="396"/>
      <c r="AB283" s="396"/>
      <c r="AC283" s="396"/>
      <c r="AD283" s="396"/>
      <c r="AE283" s="396"/>
      <c r="AF283" s="396"/>
      <c r="AG283" s="396"/>
      <c r="AH283" s="396"/>
      <c r="AI283" s="396"/>
      <c r="AJ283" s="396"/>
      <c r="AK283" s="396"/>
      <c r="AL283" s="396"/>
      <c r="AM283" s="396"/>
      <c r="AN283" s="396"/>
      <c r="AO283" s="396"/>
      <c r="AP283" s="396"/>
      <c r="AQ283" s="396"/>
      <c r="AR283" s="396"/>
      <c r="AS283" s="396"/>
      <c r="AT283" s="396"/>
      <c r="AU283" s="396"/>
      <c r="AV283" s="396"/>
      <c r="AW283" s="396"/>
      <c r="AX283" s="396"/>
      <c r="AY283" s="396"/>
      <c r="AZ283" s="396"/>
      <c r="BA283" s="396"/>
      <c r="BB283" s="396"/>
      <c r="BC283" s="396"/>
      <c r="BD283" s="396"/>
      <c r="BE283" s="396"/>
      <c r="BF283" s="396"/>
      <c r="BG283" s="396"/>
      <c r="BH283" s="396"/>
      <c r="BI283" s="396"/>
      <c r="BJ283" s="396"/>
      <c r="BK283" s="396"/>
      <c r="BL283" s="396"/>
      <c r="BM283" s="396"/>
      <c r="BN283" s="396"/>
      <c r="BO283" s="396"/>
      <c r="BP283" s="396"/>
      <c r="BQ283" s="396"/>
      <c r="BR283" s="396"/>
      <c r="BS283" s="396"/>
      <c r="BT283" s="396"/>
      <c r="BU283" s="396"/>
      <c r="BV283" s="396"/>
      <c r="BW283" s="396"/>
      <c r="BX283" s="396"/>
      <c r="BY283" s="396"/>
      <c r="BZ283" s="396"/>
      <c r="CA283" s="396"/>
      <c r="CB283" s="396"/>
      <c r="CC283" s="396"/>
      <c r="CD283" s="396"/>
      <c r="CE283" s="396"/>
      <c r="CF283" s="396"/>
      <c r="CG283" s="396"/>
      <c r="CH283" s="396"/>
      <c r="CI283" s="396"/>
      <c r="CJ283" s="396"/>
      <c r="CK283" s="396"/>
      <c r="CL283" s="396"/>
      <c r="CM283" s="396"/>
      <c r="CN283" s="396"/>
      <c r="CO283" s="396"/>
      <c r="CP283" s="396"/>
      <c r="CQ283" s="396"/>
      <c r="CR283" s="396"/>
      <c r="CS283" s="396"/>
      <c r="CT283" s="396"/>
      <c r="CU283" s="396"/>
      <c r="CV283" s="396"/>
      <c r="CW283" s="396"/>
      <c r="CX283" s="396"/>
      <c r="CY283" s="396"/>
      <c r="CZ283" s="396"/>
      <c r="DA283" s="396"/>
      <c r="DB283" s="396"/>
      <c r="DC283" s="396"/>
      <c r="DD283" s="396"/>
      <c r="DE283" s="396"/>
      <c r="DF283" s="396"/>
      <c r="DG283" s="396"/>
      <c r="DH283" s="396"/>
      <c r="DI283" s="396"/>
      <c r="DJ283" s="396"/>
      <c r="DK283" s="396"/>
      <c r="DL283" s="396"/>
      <c r="DM283" s="396"/>
      <c r="DN283" s="396"/>
      <c r="DO283" s="396"/>
      <c r="DP283" s="396"/>
      <c r="DQ283" s="396"/>
      <c r="DR283" s="396"/>
      <c r="DS283" s="396"/>
      <c r="DT283" s="396"/>
      <c r="DU283" s="396"/>
      <c r="DV283" s="396"/>
      <c r="DW283" s="396"/>
      <c r="DX283" s="396"/>
      <c r="DY283" s="396"/>
      <c r="DZ283" s="396"/>
      <c r="EA283" s="396"/>
      <c r="EB283" s="396"/>
      <c r="EC283" s="396"/>
      <c r="ED283" s="396"/>
      <c r="EE283" s="396"/>
      <c r="EF283" s="396"/>
      <c r="EG283" s="396"/>
      <c r="EH283" s="396"/>
      <c r="EI283" s="396"/>
      <c r="EJ283" s="396"/>
      <c r="EK283" s="396"/>
      <c r="EL283" s="396"/>
      <c r="EM283" s="396"/>
      <c r="EN283" s="396"/>
      <c r="EO283" s="396"/>
      <c r="EP283" s="405"/>
      <c r="EQ283" s="18"/>
      <c r="ER283" s="18"/>
      <c r="ES283" s="18"/>
      <c r="ET283" s="18"/>
      <c r="EU283" s="18"/>
      <c r="EV283" s="81"/>
      <c r="EW283" s="81"/>
      <c r="EX283" s="81"/>
      <c r="EY283" s="81"/>
      <c r="EZ283" s="81"/>
      <c r="FA283" s="81"/>
      <c r="FB283" s="81"/>
      <c r="FC283" s="81"/>
      <c r="FD283" s="81"/>
      <c r="FE283" s="81"/>
      <c r="FF283" s="81"/>
      <c r="FG283" s="81"/>
      <c r="FH283" s="81"/>
      <c r="FI283" s="81"/>
      <c r="FJ283" s="81"/>
      <c r="FK283" s="81"/>
      <c r="FL283" s="81"/>
      <c r="FM283" s="81"/>
      <c r="FN283" s="81"/>
      <c r="FO283" s="81"/>
      <c r="FP283" s="81"/>
      <c r="FQ283" s="81"/>
      <c r="FR283" s="81"/>
      <c r="FS283" s="81"/>
      <c r="FT283" s="81"/>
      <c r="FU283" s="81"/>
      <c r="FV283" s="81"/>
      <c r="FW283" s="81"/>
      <c r="FX283" s="81"/>
      <c r="FY283" s="81"/>
      <c r="FZ283" s="81"/>
      <c r="GA283" s="81"/>
      <c r="GB283" s="81"/>
      <c r="GC283" s="81"/>
      <c r="GD283" s="81"/>
      <c r="GE283" s="81"/>
      <c r="GF283" s="81"/>
      <c r="GG283" s="81"/>
      <c r="GH283" s="81"/>
      <c r="GI283" s="81"/>
      <c r="GJ283" s="81"/>
      <c r="GK283" s="81"/>
      <c r="GL283" s="81"/>
      <c r="GM283" s="81"/>
      <c r="GN283" s="81"/>
      <c r="GO283" s="81"/>
      <c r="GP283" s="81"/>
      <c r="GQ283" s="81"/>
      <c r="GR283" s="81"/>
      <c r="GS283" s="81"/>
      <c r="GT283" s="81"/>
      <c r="GU283" s="81"/>
      <c r="GV283" s="81"/>
      <c r="GW283" s="81"/>
      <c r="GX283" s="81"/>
      <c r="GY283" s="81"/>
      <c r="GZ283" s="81"/>
      <c r="HA283" s="81"/>
      <c r="HB283" s="81"/>
      <c r="HC283" s="81"/>
      <c r="HD283" s="81"/>
      <c r="HE283" s="81"/>
      <c r="HF283" s="81"/>
      <c r="HG283" s="81"/>
      <c r="HH283" s="81"/>
      <c r="HI283" s="81"/>
      <c r="HJ283" s="81"/>
      <c r="HK283" s="81"/>
      <c r="HL283" s="81"/>
      <c r="HM283" s="81"/>
      <c r="HN283" s="81"/>
      <c r="HO283" s="81"/>
      <c r="HP283" s="81"/>
      <c r="HQ283" s="81"/>
      <c r="HR283" s="81"/>
      <c r="HS283" s="81"/>
      <c r="HT283" s="81"/>
      <c r="HU283" s="81"/>
      <c r="HV283" s="81"/>
      <c r="HW283" s="81"/>
      <c r="HX283" s="81"/>
      <c r="HY283" s="81"/>
      <c r="HZ283" s="81"/>
      <c r="IA283" s="81"/>
      <c r="IB283" s="81"/>
      <c r="IC283" s="81"/>
      <c r="ID283" s="81"/>
      <c r="IE283" s="81"/>
      <c r="IF283" s="81"/>
      <c r="IG283" s="81"/>
      <c r="IH283" s="81"/>
      <c r="II283" s="81"/>
      <c r="IJ283" s="81"/>
      <c r="IK283" s="81"/>
      <c r="IL283" s="81"/>
      <c r="IM283" s="81"/>
      <c r="IN283" s="81"/>
      <c r="IO283" s="81"/>
      <c r="IP283" s="81"/>
      <c r="IQ283" s="81"/>
      <c r="IR283" s="81"/>
      <c r="IS283" s="81"/>
      <c r="IT283" s="81"/>
      <c r="IU283" s="81"/>
      <c r="IV283" s="81"/>
      <c r="IW283" s="81"/>
      <c r="IX283" s="81"/>
      <c r="IY283" s="81"/>
      <c r="IZ283" s="81"/>
      <c r="JA283" s="81"/>
      <c r="JB283" s="81"/>
      <c r="JC283" s="81"/>
      <c r="JD283" s="81"/>
      <c r="JE283" s="81"/>
      <c r="JF283" s="81"/>
      <c r="JG283" s="81"/>
      <c r="JH283" s="81"/>
      <c r="JI283" s="81"/>
      <c r="JJ283" s="81"/>
      <c r="JK283" s="81"/>
      <c r="JL283" s="81"/>
      <c r="JM283" s="81"/>
      <c r="JN283" s="81"/>
      <c r="JO283" s="81"/>
      <c r="JP283" s="81"/>
      <c r="JQ283" s="81"/>
      <c r="JR283" s="81"/>
      <c r="JS283" s="81"/>
      <c r="JT283" s="81"/>
      <c r="JU283" s="81"/>
      <c r="JV283" s="81"/>
      <c r="JW283" s="81"/>
      <c r="JX283" s="81"/>
      <c r="JY283"/>
      <c r="JZ283" s="262"/>
      <c r="KA283" s="262"/>
      <c r="KB283" s="262"/>
      <c r="KC283" s="262"/>
      <c r="KD283" s="262"/>
      <c r="KE283" s="262"/>
      <c r="KF283" s="262"/>
      <c r="KG283" s="262"/>
      <c r="KH283" s="262"/>
      <c r="KI283" s="262"/>
      <c r="KJ283" s="262"/>
      <c r="KK283" s="262"/>
      <c r="KL283" s="262"/>
      <c r="KM283" s="262"/>
      <c r="KN283" s="262"/>
      <c r="KO283" s="262"/>
      <c r="KP283" s="262"/>
      <c r="KQ283" s="262"/>
      <c r="KR283" s="262"/>
      <c r="KS283" s="262"/>
      <c r="KT283" s="262"/>
      <c r="KU283" s="262"/>
      <c r="KV283" s="262"/>
      <c r="KW283" s="262"/>
      <c r="KX283" s="262"/>
      <c r="KY283" s="262"/>
      <c r="KZ283" s="262"/>
      <c r="LA283" s="262"/>
      <c r="LB283" s="262"/>
      <c r="LC283" s="262"/>
      <c r="LD283" s="262"/>
      <c r="LE283" s="262"/>
      <c r="LF283" s="262"/>
      <c r="LG283" s="262"/>
      <c r="LH283" s="262"/>
      <c r="LI283" s="262"/>
      <c r="LJ283" s="262"/>
      <c r="LK283" s="262"/>
      <c r="LL283" s="262"/>
      <c r="LM283" s="262"/>
      <c r="LN283" s="262"/>
      <c r="LO283" s="262"/>
      <c r="LP283" s="262"/>
      <c r="LQ283" s="262"/>
      <c r="LR283" s="262"/>
      <c r="LS283" s="262"/>
      <c r="LT283" s="262"/>
      <c r="LU283" s="262"/>
      <c r="LV283" s="262"/>
      <c r="LW283" s="262"/>
      <c r="LX283" s="262"/>
      <c r="LY283" s="262"/>
      <c r="LZ283" s="262"/>
      <c r="MA283" s="262"/>
      <c r="MB283" s="262"/>
      <c r="MC283" s="262"/>
      <c r="MD283" s="262"/>
      <c r="ME283" s="262"/>
      <c r="MF283" s="262"/>
      <c r="MG283" s="262"/>
      <c r="MH283" s="262"/>
      <c r="MI283" s="262"/>
      <c r="MJ283" s="262"/>
      <c r="MK283" s="262"/>
      <c r="ML283" s="262"/>
      <c r="MM283" s="262"/>
      <c r="MN283" s="262"/>
      <c r="MO283" s="262"/>
      <c r="MP283" s="262"/>
      <c r="MQ283" s="262"/>
      <c r="MR283" s="262"/>
      <c r="MS283" s="262"/>
      <c r="MT283" s="262"/>
      <c r="MU283" s="262"/>
      <c r="MV283" s="262"/>
      <c r="MW283" s="262"/>
      <c r="MX283" s="262"/>
      <c r="MY283" s="262"/>
      <c r="MZ283" s="262"/>
      <c r="NA283" s="262"/>
      <c r="NB283" s="262"/>
      <c r="NC283" s="262"/>
      <c r="ND283" s="262"/>
      <c r="NE283" s="262"/>
      <c r="NF283" s="262"/>
      <c r="NG283" s="262"/>
      <c r="NH283" s="262"/>
      <c r="NI283" s="262"/>
      <c r="NJ283" s="262"/>
      <c r="NK283" s="262"/>
      <c r="NL283" s="262"/>
      <c r="NM283" s="262"/>
      <c r="NN283" s="262"/>
      <c r="NO283" s="262"/>
      <c r="NP283" s="262"/>
      <c r="NQ283" s="262"/>
      <c r="NR283" s="262"/>
      <c r="NS283" s="262"/>
      <c r="NT283" s="262"/>
      <c r="NU283" s="262"/>
      <c r="NV283" s="262"/>
      <c r="NW283" s="262"/>
      <c r="NX283" s="262"/>
      <c r="NY283" s="262"/>
      <c r="NZ283" s="262"/>
      <c r="OA283" s="262"/>
      <c r="OB283" s="262"/>
      <c r="OC283" s="262"/>
      <c r="OD283" s="262"/>
      <c r="OE283" s="262"/>
      <c r="OF283" s="262"/>
      <c r="OG283" s="262"/>
      <c r="OH283" s="262"/>
      <c r="OI283" s="262"/>
      <c r="OJ283" s="262"/>
      <c r="OK283" s="262"/>
      <c r="OL283" s="262"/>
      <c r="OM283" s="262"/>
      <c r="ON283" s="262"/>
      <c r="OO283" s="262"/>
      <c r="OP283" s="262"/>
      <c r="OQ283" s="262"/>
      <c r="OR283" s="262"/>
      <c r="OS283" s="262"/>
      <c r="OT283" s="262"/>
      <c r="OU283" s="262"/>
      <c r="OV283" s="262"/>
      <c r="OW283" s="262"/>
      <c r="OX283" s="262"/>
      <c r="OY283" s="262"/>
      <c r="OZ283" s="262"/>
      <c r="PA283" s="262"/>
      <c r="PB283" s="262"/>
      <c r="PC283" s="262"/>
      <c r="PD283" s="262"/>
      <c r="PE283" s="262"/>
      <c r="PF283" s="262"/>
      <c r="PG283" s="262"/>
      <c r="PH283" s="262"/>
    </row>
    <row r="284" spans="1:424" x14ac:dyDescent="0.35">
      <c r="A284"/>
      <c r="B284" s="398" t="s">
        <v>479</v>
      </c>
      <c r="C284" s="132">
        <v>1.2500000000000001E-2</v>
      </c>
      <c r="D284" s="128">
        <v>396.54195026159675</v>
      </c>
      <c r="E284" s="562">
        <v>3.5771421215836194</v>
      </c>
      <c r="F284" s="398" t="s">
        <v>479</v>
      </c>
      <c r="G284" s="130">
        <v>2.75E-2</v>
      </c>
      <c r="H284" s="128">
        <v>411.63689796335029</v>
      </c>
      <c r="I284" s="562">
        <v>3.6530602967266881</v>
      </c>
      <c r="J284" s="395"/>
      <c r="K284" s="396"/>
      <c r="L284" s="396"/>
      <c r="M284" s="396"/>
      <c r="N284" s="396"/>
      <c r="O284" s="396"/>
      <c r="P284" s="396"/>
      <c r="Q284" s="396"/>
      <c r="R284" s="396"/>
      <c r="S284" s="396"/>
      <c r="T284" s="396"/>
      <c r="U284" s="396"/>
      <c r="V284" s="396"/>
      <c r="W284" s="396"/>
      <c r="X284" s="396"/>
      <c r="Y284" s="396"/>
      <c r="Z284" s="396"/>
      <c r="AA284" s="396"/>
      <c r="AB284" s="396"/>
      <c r="AC284" s="396"/>
      <c r="AD284" s="396"/>
      <c r="AE284" s="396"/>
      <c r="AF284" s="396"/>
      <c r="AG284" s="396"/>
      <c r="AH284" s="396"/>
      <c r="AI284" s="396"/>
      <c r="AJ284" s="396"/>
      <c r="AK284" s="396"/>
      <c r="AL284" s="396"/>
      <c r="AM284" s="396"/>
      <c r="AN284" s="396"/>
      <c r="AO284" s="396"/>
      <c r="AP284" s="396"/>
      <c r="AQ284" s="396"/>
      <c r="AR284" s="396"/>
      <c r="AS284" s="396"/>
      <c r="AT284" s="396"/>
      <c r="AU284" s="396"/>
      <c r="AV284" s="396"/>
      <c r="AW284" s="396"/>
      <c r="AX284" s="396"/>
      <c r="AY284" s="396"/>
      <c r="AZ284" s="396"/>
      <c r="BA284" s="396"/>
      <c r="BB284" s="396"/>
      <c r="BC284" s="396"/>
      <c r="BD284" s="396"/>
      <c r="BE284" s="396"/>
      <c r="BF284" s="396"/>
      <c r="BG284" s="396"/>
      <c r="BH284" s="396"/>
      <c r="BI284" s="396"/>
      <c r="BJ284" s="396"/>
      <c r="BK284" s="396"/>
      <c r="BL284" s="396"/>
      <c r="BM284" s="396"/>
      <c r="BN284" s="396"/>
      <c r="BO284" s="396"/>
      <c r="BP284" s="396"/>
      <c r="BQ284" s="396"/>
      <c r="BR284" s="396"/>
      <c r="BS284" s="396"/>
      <c r="BT284" s="396"/>
      <c r="BU284" s="396"/>
      <c r="BV284" s="396"/>
      <c r="BW284" s="396"/>
      <c r="BX284" s="396"/>
      <c r="BY284" s="396"/>
      <c r="BZ284" s="396"/>
      <c r="CA284" s="396"/>
      <c r="CB284" s="396"/>
      <c r="CC284" s="396"/>
      <c r="CD284" s="396"/>
      <c r="CE284" s="396"/>
      <c r="CF284" s="396"/>
      <c r="CG284" s="396"/>
      <c r="CH284" s="396"/>
      <c r="CI284" s="396"/>
      <c r="CJ284" s="396"/>
      <c r="CK284" s="396"/>
      <c r="CL284" s="396"/>
      <c r="CM284" s="396"/>
      <c r="CN284" s="396"/>
      <c r="CO284" s="396"/>
      <c r="CP284" s="396"/>
      <c r="CQ284" s="396"/>
      <c r="CR284" s="396"/>
      <c r="CS284" s="396"/>
      <c r="CT284" s="396"/>
      <c r="CU284" s="396"/>
      <c r="CV284" s="396"/>
      <c r="CW284" s="396"/>
      <c r="CX284" s="396"/>
      <c r="CY284" s="396"/>
      <c r="CZ284" s="396"/>
      <c r="DA284" s="396"/>
      <c r="DB284" s="396"/>
      <c r="DC284" s="396"/>
      <c r="DD284" s="396"/>
      <c r="DE284" s="396"/>
      <c r="DF284" s="396"/>
      <c r="DG284" s="396"/>
      <c r="DH284" s="396"/>
      <c r="DI284" s="396"/>
      <c r="DJ284" s="396"/>
      <c r="DK284" s="396"/>
      <c r="DL284" s="396"/>
      <c r="DM284" s="396"/>
      <c r="DN284" s="396"/>
      <c r="DO284" s="396"/>
      <c r="DP284" s="396"/>
      <c r="DQ284" s="396"/>
      <c r="DR284" s="396"/>
      <c r="DS284" s="396"/>
      <c r="DT284" s="396"/>
      <c r="DU284" s="396"/>
      <c r="DV284" s="396"/>
      <c r="DW284" s="396"/>
      <c r="DX284" s="396"/>
      <c r="DY284" s="396"/>
      <c r="DZ284" s="396"/>
      <c r="EA284" s="396"/>
      <c r="EB284" s="396"/>
      <c r="EC284" s="396"/>
      <c r="ED284" s="396"/>
      <c r="EE284" s="396"/>
      <c r="EF284" s="396"/>
      <c r="EG284" s="396"/>
      <c r="EH284" s="396"/>
      <c r="EI284" s="396"/>
      <c r="EJ284" s="396"/>
      <c r="EK284" s="396"/>
      <c r="EL284" s="396"/>
      <c r="EM284" s="396"/>
      <c r="EN284" s="396"/>
      <c r="EO284" s="396"/>
      <c r="EP284" s="405"/>
      <c r="EQ284" s="18"/>
      <c r="ER284" s="18"/>
      <c r="ES284" s="18"/>
      <c r="ET284" s="18"/>
      <c r="EU284" s="18"/>
      <c r="EV284" s="81"/>
      <c r="EW284" s="81"/>
      <c r="EX284" s="81"/>
      <c r="EY284" s="81"/>
      <c r="EZ284" s="81"/>
      <c r="FA284" s="81"/>
      <c r="FB284" s="81"/>
      <c r="FC284" s="81"/>
      <c r="FD284" s="81"/>
      <c r="FE284" s="81"/>
      <c r="FF284" s="81"/>
      <c r="FG284" s="81"/>
      <c r="FH284" s="81"/>
      <c r="FI284" s="81"/>
      <c r="FJ284" s="81"/>
      <c r="FK284" s="81"/>
      <c r="FL284" s="81"/>
      <c r="FM284" s="81"/>
      <c r="FN284" s="81"/>
      <c r="FO284" s="81"/>
      <c r="FP284" s="81"/>
      <c r="FQ284" s="81"/>
      <c r="FR284" s="81"/>
      <c r="FS284" s="81"/>
      <c r="FT284" s="81"/>
      <c r="FU284" s="81"/>
      <c r="FV284" s="81"/>
      <c r="FW284" s="81"/>
      <c r="FX284" s="81"/>
      <c r="FY284" s="81"/>
      <c r="FZ284" s="81"/>
      <c r="GA284" s="81"/>
      <c r="GB284" s="81"/>
      <c r="GC284" s="81"/>
      <c r="GD284" s="81"/>
      <c r="GE284" s="81"/>
      <c r="GF284" s="81"/>
      <c r="GG284" s="81"/>
      <c r="GH284" s="81"/>
      <c r="GI284" s="81"/>
      <c r="GJ284" s="81"/>
      <c r="GK284" s="81"/>
      <c r="GL284" s="81"/>
      <c r="GM284" s="81"/>
      <c r="GN284" s="81"/>
      <c r="GO284" s="81"/>
      <c r="GP284" s="81"/>
      <c r="GQ284" s="81"/>
      <c r="GR284" s="81"/>
      <c r="GS284" s="81"/>
      <c r="GT284" s="81"/>
      <c r="GU284" s="81"/>
      <c r="GV284" s="81"/>
      <c r="GW284" s="81"/>
      <c r="GX284" s="81"/>
      <c r="GY284" s="81"/>
      <c r="GZ284" s="81"/>
      <c r="HA284" s="81"/>
      <c r="HB284" s="81"/>
      <c r="HC284" s="81"/>
      <c r="HD284" s="81"/>
      <c r="HE284" s="81"/>
      <c r="HF284" s="81"/>
      <c r="HG284" s="81"/>
      <c r="HH284" s="81"/>
      <c r="HI284" s="81"/>
      <c r="HJ284" s="81"/>
      <c r="HK284" s="81"/>
      <c r="HL284" s="81"/>
      <c r="HM284" s="81"/>
      <c r="HN284" s="81"/>
      <c r="HO284" s="81"/>
      <c r="HP284" s="81"/>
      <c r="HQ284" s="81"/>
      <c r="HR284" s="81"/>
      <c r="HS284" s="81"/>
      <c r="HT284" s="81"/>
      <c r="HU284" s="81"/>
      <c r="HV284" s="81"/>
      <c r="HW284" s="81"/>
      <c r="HX284" s="81"/>
      <c r="HY284" s="81"/>
      <c r="HZ284" s="81"/>
      <c r="IA284" s="81"/>
      <c r="IB284" s="81"/>
      <c r="IC284" s="81"/>
      <c r="ID284" s="81"/>
      <c r="IE284" s="81"/>
      <c r="IF284" s="81"/>
      <c r="IG284" s="81"/>
      <c r="IH284" s="81"/>
      <c r="II284" s="81"/>
      <c r="IJ284" s="81"/>
      <c r="IK284" s="81"/>
      <c r="IL284" s="81"/>
      <c r="IM284" s="81"/>
      <c r="IN284" s="81"/>
      <c r="IO284" s="81"/>
      <c r="IP284" s="81"/>
      <c r="IQ284" s="81"/>
      <c r="IR284" s="81"/>
      <c r="IS284" s="81"/>
      <c r="IT284" s="81"/>
      <c r="IU284" s="81"/>
      <c r="IV284" s="81"/>
      <c r="IW284" s="81"/>
      <c r="IX284" s="81"/>
      <c r="IY284" s="81"/>
      <c r="IZ284" s="81"/>
      <c r="JA284" s="81"/>
      <c r="JB284" s="81"/>
      <c r="JC284" s="81"/>
      <c r="JD284" s="81"/>
      <c r="JE284" s="81"/>
      <c r="JF284" s="81"/>
      <c r="JG284" s="81"/>
      <c r="JH284" s="81"/>
      <c r="JI284" s="81"/>
      <c r="JJ284" s="81"/>
      <c r="JK284" s="81"/>
      <c r="JL284" s="81"/>
      <c r="JM284" s="81"/>
      <c r="JN284" s="81"/>
      <c r="JO284" s="81"/>
      <c r="JP284" s="81"/>
      <c r="JQ284" s="81"/>
      <c r="JR284" s="81"/>
      <c r="JS284" s="81"/>
      <c r="JT284" s="81"/>
      <c r="JU284" s="81"/>
      <c r="JV284" s="81"/>
      <c r="JW284" s="81"/>
      <c r="JX284" s="81"/>
      <c r="JY284"/>
      <c r="JZ284" s="262"/>
      <c r="KA284" s="262"/>
      <c r="KB284" s="262"/>
      <c r="KC284" s="262"/>
      <c r="KD284" s="262"/>
      <c r="KE284" s="262"/>
      <c r="KF284" s="262"/>
      <c r="KG284" s="262"/>
      <c r="KH284" s="262"/>
      <c r="KI284" s="262"/>
      <c r="KJ284" s="262"/>
      <c r="KK284" s="262"/>
      <c r="KL284" s="262"/>
      <c r="KM284" s="262"/>
      <c r="KN284" s="262"/>
      <c r="KO284" s="262"/>
      <c r="KP284" s="262"/>
      <c r="KQ284" s="262"/>
      <c r="KR284" s="262"/>
      <c r="KS284" s="262"/>
      <c r="KT284" s="262"/>
      <c r="KU284" s="262"/>
      <c r="KV284" s="262"/>
      <c r="KW284" s="262"/>
      <c r="KX284" s="262"/>
      <c r="KY284" s="262"/>
      <c r="KZ284" s="262"/>
      <c r="LA284" s="262"/>
      <c r="LB284" s="262"/>
      <c r="LC284" s="262"/>
      <c r="LD284" s="262"/>
      <c r="LE284" s="262"/>
      <c r="LF284" s="262"/>
      <c r="LG284" s="262"/>
      <c r="LH284" s="262"/>
      <c r="LI284" s="262"/>
      <c r="LJ284" s="262"/>
      <c r="LK284" s="262"/>
      <c r="LL284" s="262"/>
      <c r="LM284" s="262"/>
      <c r="LN284" s="262"/>
      <c r="LO284" s="262"/>
      <c r="LP284" s="262"/>
      <c r="LQ284" s="262"/>
      <c r="LR284" s="262"/>
      <c r="LS284" s="262"/>
      <c r="LT284" s="262"/>
      <c r="LU284" s="262"/>
      <c r="LV284" s="262"/>
      <c r="LW284" s="262"/>
      <c r="LX284" s="262"/>
      <c r="LY284" s="262"/>
      <c r="LZ284" s="262"/>
      <c r="MA284" s="262"/>
      <c r="MB284" s="262"/>
      <c r="MC284" s="262"/>
      <c r="MD284" s="262"/>
      <c r="ME284" s="262"/>
      <c r="MF284" s="262"/>
      <c r="MG284" s="262"/>
      <c r="MH284" s="262"/>
      <c r="MI284" s="262"/>
      <c r="MJ284" s="262"/>
      <c r="MK284" s="262"/>
      <c r="ML284" s="262"/>
      <c r="MM284" s="262"/>
      <c r="MN284" s="262"/>
      <c r="MO284" s="262"/>
      <c r="MP284" s="262"/>
      <c r="MQ284" s="262"/>
      <c r="MR284" s="262"/>
      <c r="MS284" s="262"/>
      <c r="MT284" s="262"/>
      <c r="MU284" s="262"/>
      <c r="MV284" s="262"/>
      <c r="MW284" s="262"/>
      <c r="MX284" s="262"/>
      <c r="MY284" s="262"/>
      <c r="MZ284" s="262"/>
      <c r="NA284" s="262"/>
      <c r="NB284" s="262"/>
      <c r="NC284" s="262"/>
      <c r="ND284" s="262"/>
      <c r="NE284" s="262"/>
      <c r="NF284" s="262"/>
      <c r="NG284" s="262"/>
      <c r="NH284" s="262"/>
      <c r="NI284" s="262"/>
      <c r="NJ284" s="262"/>
      <c r="NK284" s="262"/>
      <c r="NL284" s="262"/>
      <c r="NM284" s="262"/>
      <c r="NN284" s="262"/>
      <c r="NO284" s="262"/>
      <c r="NP284" s="262"/>
      <c r="NQ284" s="262"/>
      <c r="NR284" s="262"/>
      <c r="NS284" s="262"/>
      <c r="NT284" s="262"/>
      <c r="NU284" s="262"/>
      <c r="NV284" s="262"/>
      <c r="NW284" s="262"/>
      <c r="NX284" s="262"/>
      <c r="NY284" s="262"/>
      <c r="NZ284" s="262"/>
      <c r="OA284" s="262"/>
      <c r="OB284" s="262"/>
      <c r="OC284" s="262"/>
      <c r="OD284" s="262"/>
      <c r="OE284" s="262"/>
      <c r="OF284" s="262"/>
      <c r="OG284" s="262"/>
      <c r="OH284" s="262"/>
      <c r="OI284" s="262"/>
      <c r="OJ284" s="262"/>
      <c r="OK284" s="262"/>
      <c r="OL284" s="262"/>
      <c r="OM284" s="262"/>
      <c r="ON284" s="262"/>
      <c r="OO284" s="262"/>
      <c r="OP284" s="262"/>
      <c r="OQ284" s="262"/>
      <c r="OR284" s="262"/>
      <c r="OS284" s="262"/>
      <c r="OT284" s="262"/>
      <c r="OU284" s="262"/>
      <c r="OV284" s="262"/>
      <c r="OW284" s="262"/>
      <c r="OX284" s="262"/>
      <c r="OY284" s="262"/>
      <c r="OZ284" s="262"/>
      <c r="PA284" s="262"/>
      <c r="PB284" s="262"/>
      <c r="PC284" s="262"/>
      <c r="PD284" s="262"/>
      <c r="PE284" s="262"/>
      <c r="PF284" s="262"/>
      <c r="PG284" s="262"/>
      <c r="PH284" s="262"/>
    </row>
    <row r="285" spans="1:424" x14ac:dyDescent="0.35">
      <c r="A285"/>
      <c r="B285" s="398" t="s">
        <v>480</v>
      </c>
      <c r="C285" s="132">
        <v>9.999999999999995E-3</v>
      </c>
      <c r="D285" s="128">
        <v>394.9444816623926</v>
      </c>
      <c r="E285" s="562">
        <v>3.5690897038739977</v>
      </c>
      <c r="F285" s="398" t="s">
        <v>480</v>
      </c>
      <c r="G285" s="130">
        <v>0.03</v>
      </c>
      <c r="H285" s="128">
        <v>411.9403044793886</v>
      </c>
      <c r="I285" s="562">
        <v>3.6545042194977762</v>
      </c>
      <c r="J285" s="395"/>
      <c r="K285" s="396"/>
      <c r="L285" s="396"/>
      <c r="M285" s="396"/>
      <c r="N285" s="396"/>
      <c r="O285" s="396"/>
      <c r="P285" s="396"/>
      <c r="Q285" s="396"/>
      <c r="R285" s="396"/>
      <c r="S285" s="396"/>
      <c r="T285" s="396"/>
      <c r="U285" s="396"/>
      <c r="V285" s="396"/>
      <c r="W285" s="396"/>
      <c r="X285" s="396"/>
      <c r="Y285" s="396"/>
      <c r="Z285" s="396"/>
      <c r="AA285" s="396"/>
      <c r="AB285" s="396"/>
      <c r="AC285" s="396"/>
      <c r="AD285" s="396"/>
      <c r="AE285" s="396"/>
      <c r="AF285" s="396"/>
      <c r="AG285" s="396"/>
      <c r="AH285" s="396"/>
      <c r="AI285" s="396"/>
      <c r="AJ285" s="396"/>
      <c r="AK285" s="396"/>
      <c r="AL285" s="396"/>
      <c r="AM285" s="396"/>
      <c r="AN285" s="396"/>
      <c r="AO285" s="396"/>
      <c r="AP285" s="396"/>
      <c r="AQ285" s="396"/>
      <c r="AR285" s="396"/>
      <c r="AS285" s="396"/>
      <c r="AT285" s="396"/>
      <c r="AU285" s="396"/>
      <c r="AV285" s="396"/>
      <c r="AW285" s="396"/>
      <c r="AX285" s="396"/>
      <c r="AY285" s="396"/>
      <c r="AZ285" s="396"/>
      <c r="BA285" s="396"/>
      <c r="BB285" s="396"/>
      <c r="BC285" s="396"/>
      <c r="BD285" s="396"/>
      <c r="BE285" s="396"/>
      <c r="BF285" s="396"/>
      <c r="BG285" s="396"/>
      <c r="BH285" s="396"/>
      <c r="BI285" s="396"/>
      <c r="BJ285" s="396"/>
      <c r="BK285" s="396"/>
      <c r="BL285" s="396"/>
      <c r="BM285" s="396"/>
      <c r="BN285" s="396"/>
      <c r="BO285" s="396"/>
      <c r="BP285" s="396"/>
      <c r="BQ285" s="396"/>
      <c r="BR285" s="396"/>
      <c r="BS285" s="396"/>
      <c r="BT285" s="396"/>
      <c r="BU285" s="396"/>
      <c r="BV285" s="396"/>
      <c r="BW285" s="396"/>
      <c r="BX285" s="396"/>
      <c r="BY285" s="396"/>
      <c r="BZ285" s="396"/>
      <c r="CA285" s="396"/>
      <c r="CB285" s="396"/>
      <c r="CC285" s="396"/>
      <c r="CD285" s="396"/>
      <c r="CE285" s="396"/>
      <c r="CF285" s="396"/>
      <c r="CG285" s="396"/>
      <c r="CH285" s="396"/>
      <c r="CI285" s="396"/>
      <c r="CJ285" s="396"/>
      <c r="CK285" s="396"/>
      <c r="CL285" s="396"/>
      <c r="CM285" s="396"/>
      <c r="CN285" s="396"/>
      <c r="CO285" s="396"/>
      <c r="CP285" s="396"/>
      <c r="CQ285" s="396"/>
      <c r="CR285" s="396"/>
      <c r="CS285" s="396"/>
      <c r="CT285" s="396"/>
      <c r="CU285" s="396"/>
      <c r="CV285" s="396"/>
      <c r="CW285" s="396"/>
      <c r="CX285" s="396"/>
      <c r="CY285" s="396"/>
      <c r="CZ285" s="396"/>
      <c r="DA285" s="396"/>
      <c r="DB285" s="396"/>
      <c r="DC285" s="396"/>
      <c r="DD285" s="396"/>
      <c r="DE285" s="396"/>
      <c r="DF285" s="396"/>
      <c r="DG285" s="396"/>
      <c r="DH285" s="396"/>
      <c r="DI285" s="396"/>
      <c r="DJ285" s="396"/>
      <c r="DK285" s="396"/>
      <c r="DL285" s="396"/>
      <c r="DM285" s="396"/>
      <c r="DN285" s="396"/>
      <c r="DO285" s="396"/>
      <c r="DP285" s="396"/>
      <c r="DQ285" s="396"/>
      <c r="DR285" s="396"/>
      <c r="DS285" s="396"/>
      <c r="DT285" s="396"/>
      <c r="DU285" s="396"/>
      <c r="DV285" s="396"/>
      <c r="DW285" s="396"/>
      <c r="DX285" s="396"/>
      <c r="DY285" s="396"/>
      <c r="DZ285" s="396"/>
      <c r="EA285" s="396"/>
      <c r="EB285" s="396"/>
      <c r="EC285" s="396"/>
      <c r="ED285" s="396"/>
      <c r="EE285" s="396"/>
      <c r="EF285" s="396"/>
      <c r="EG285" s="396"/>
      <c r="EH285" s="396"/>
      <c r="EI285" s="396"/>
      <c r="EJ285" s="396"/>
      <c r="EK285" s="396"/>
      <c r="EL285" s="396"/>
      <c r="EM285" s="396"/>
      <c r="EN285" s="396"/>
      <c r="EO285" s="396"/>
      <c r="EP285" s="405"/>
      <c r="EQ285" s="18"/>
      <c r="ER285" s="18"/>
      <c r="ES285" s="18"/>
      <c r="ET285" s="18"/>
      <c r="EU285" s="18"/>
      <c r="EV285" s="81"/>
      <c r="EW285" s="81"/>
      <c r="EX285" s="81"/>
      <c r="EY285" s="81"/>
      <c r="EZ285" s="81"/>
      <c r="FA285" s="81"/>
      <c r="FB285" s="81"/>
      <c r="FC285" s="81"/>
      <c r="FD285" s="81"/>
      <c r="FE285" s="81"/>
      <c r="FF285" s="81"/>
      <c r="FG285" s="81"/>
      <c r="FH285" s="81"/>
      <c r="FI285" s="81"/>
      <c r="FJ285" s="81"/>
      <c r="FK285" s="81"/>
      <c r="FL285" s="81"/>
      <c r="FM285" s="81"/>
      <c r="FN285" s="81"/>
      <c r="FO285" s="81"/>
      <c r="FP285" s="81"/>
      <c r="FQ285" s="81"/>
      <c r="FR285" s="81"/>
      <c r="FS285" s="81"/>
      <c r="FT285" s="81"/>
      <c r="FU285" s="81"/>
      <c r="FV285" s="81"/>
      <c r="FW285" s="81"/>
      <c r="FX285" s="81"/>
      <c r="FY285" s="81"/>
      <c r="FZ285" s="81"/>
      <c r="GA285" s="81"/>
      <c r="GB285" s="81"/>
      <c r="GC285" s="81"/>
      <c r="GD285" s="81"/>
      <c r="GE285" s="81"/>
      <c r="GF285" s="81"/>
      <c r="GG285" s="81"/>
      <c r="GH285" s="81"/>
      <c r="GI285" s="81"/>
      <c r="GJ285" s="81"/>
      <c r="GK285" s="81"/>
      <c r="GL285" s="81"/>
      <c r="GM285" s="81"/>
      <c r="GN285" s="81"/>
      <c r="GO285" s="81"/>
      <c r="GP285" s="81"/>
      <c r="GQ285" s="81"/>
      <c r="GR285" s="81"/>
      <c r="GS285" s="81"/>
      <c r="GT285" s="81"/>
      <c r="GU285" s="81"/>
      <c r="GV285" s="81"/>
      <c r="GW285" s="81"/>
      <c r="GX285" s="81"/>
      <c r="GY285" s="81"/>
      <c r="GZ285" s="81"/>
      <c r="HA285" s="81"/>
      <c r="HB285" s="81"/>
      <c r="HC285" s="81"/>
      <c r="HD285" s="81"/>
      <c r="HE285" s="81"/>
      <c r="HF285" s="81"/>
      <c r="HG285" s="81"/>
      <c r="HH285" s="81"/>
      <c r="HI285" s="81"/>
      <c r="HJ285" s="81"/>
      <c r="HK285" s="81"/>
      <c r="HL285" s="81"/>
      <c r="HM285" s="81"/>
      <c r="HN285" s="81"/>
      <c r="HO285" s="81"/>
      <c r="HP285" s="81"/>
      <c r="HQ285" s="81"/>
      <c r="HR285" s="81"/>
      <c r="HS285" s="81"/>
      <c r="HT285" s="81"/>
      <c r="HU285" s="81"/>
      <c r="HV285" s="81"/>
      <c r="HW285" s="81"/>
      <c r="HX285" s="81"/>
      <c r="HY285" s="81"/>
      <c r="HZ285" s="81"/>
      <c r="IA285" s="81"/>
      <c r="IB285" s="81"/>
      <c r="IC285" s="81"/>
      <c r="ID285" s="81"/>
      <c r="IE285" s="81"/>
      <c r="IF285" s="81"/>
      <c r="IG285" s="81"/>
      <c r="IH285" s="81"/>
      <c r="II285" s="81"/>
      <c r="IJ285" s="81"/>
      <c r="IK285" s="81"/>
      <c r="IL285" s="81"/>
      <c r="IM285" s="81"/>
      <c r="IN285" s="81"/>
      <c r="IO285" s="81"/>
      <c r="IP285" s="81"/>
      <c r="IQ285" s="81"/>
      <c r="IR285" s="81"/>
      <c r="IS285" s="81"/>
      <c r="IT285" s="81"/>
      <c r="IU285" s="81"/>
      <c r="IV285" s="81"/>
      <c r="IW285" s="81"/>
      <c r="IX285" s="81"/>
      <c r="IY285" s="81"/>
      <c r="IZ285" s="81"/>
      <c r="JA285" s="81"/>
      <c r="JB285" s="81"/>
      <c r="JC285" s="81"/>
      <c r="JD285" s="81"/>
      <c r="JE285" s="81"/>
      <c r="JF285" s="81"/>
      <c r="JG285" s="81"/>
      <c r="JH285" s="81"/>
      <c r="JI285" s="81"/>
      <c r="JJ285" s="81"/>
      <c r="JK285" s="81"/>
      <c r="JL285" s="81"/>
      <c r="JM285" s="81"/>
      <c r="JN285" s="81"/>
      <c r="JO285" s="81"/>
      <c r="JP285" s="81"/>
      <c r="JQ285" s="81"/>
      <c r="JR285" s="81"/>
      <c r="JS285" s="81"/>
      <c r="JT285" s="81"/>
      <c r="JU285" s="81"/>
      <c r="JV285" s="81"/>
      <c r="JW285" s="81"/>
      <c r="JX285" s="81"/>
      <c r="JY285"/>
      <c r="JZ285" s="262"/>
      <c r="KA285" s="262"/>
      <c r="KB285" s="262"/>
      <c r="KC285" s="262"/>
      <c r="KD285" s="262"/>
      <c r="KE285" s="262"/>
      <c r="KF285" s="262"/>
      <c r="KG285" s="262"/>
      <c r="KH285" s="262"/>
      <c r="KI285" s="262"/>
      <c r="KJ285" s="262"/>
      <c r="KK285" s="262"/>
      <c r="KL285" s="262"/>
      <c r="KM285" s="262"/>
      <c r="KN285" s="262"/>
      <c r="KO285" s="262"/>
      <c r="KP285" s="262"/>
      <c r="KQ285" s="262"/>
      <c r="KR285" s="262"/>
      <c r="KS285" s="262"/>
      <c r="KT285" s="262"/>
      <c r="KU285" s="262"/>
      <c r="KV285" s="262"/>
      <c r="KW285" s="262"/>
      <c r="KX285" s="262"/>
      <c r="KY285" s="262"/>
      <c r="KZ285" s="262"/>
      <c r="LA285" s="262"/>
      <c r="LB285" s="262"/>
      <c r="LC285" s="262"/>
      <c r="LD285" s="262"/>
      <c r="LE285" s="262"/>
      <c r="LF285" s="262"/>
      <c r="LG285" s="262"/>
      <c r="LH285" s="262"/>
      <c r="LI285" s="262"/>
      <c r="LJ285" s="262"/>
      <c r="LK285" s="262"/>
      <c r="LL285" s="262"/>
      <c r="LM285" s="262"/>
      <c r="LN285" s="262"/>
      <c r="LO285" s="262"/>
      <c r="LP285" s="262"/>
      <c r="LQ285" s="262"/>
      <c r="LR285" s="262"/>
      <c r="LS285" s="262"/>
      <c r="LT285" s="262"/>
      <c r="LU285" s="262"/>
      <c r="LV285" s="262"/>
      <c r="LW285" s="262"/>
      <c r="LX285" s="262"/>
      <c r="LY285" s="262"/>
      <c r="LZ285" s="262"/>
      <c r="MA285" s="262"/>
      <c r="MB285" s="262"/>
      <c r="MC285" s="262"/>
      <c r="MD285" s="262"/>
      <c r="ME285" s="262"/>
      <c r="MF285" s="262"/>
      <c r="MG285" s="262"/>
      <c r="MH285" s="262"/>
      <c r="MI285" s="262"/>
      <c r="MJ285" s="262"/>
      <c r="MK285" s="262"/>
      <c r="ML285" s="262"/>
      <c r="MM285" s="262"/>
      <c r="MN285" s="262"/>
      <c r="MO285" s="262"/>
      <c r="MP285" s="262"/>
      <c r="MQ285" s="262"/>
      <c r="MR285" s="262"/>
      <c r="MS285" s="262"/>
      <c r="MT285" s="262"/>
      <c r="MU285" s="262"/>
      <c r="MV285" s="262"/>
      <c r="MW285" s="262"/>
      <c r="MX285" s="262"/>
      <c r="MY285" s="262"/>
      <c r="MZ285" s="262"/>
      <c r="NA285" s="262"/>
      <c r="NB285" s="262"/>
      <c r="NC285" s="262"/>
      <c r="ND285" s="262"/>
      <c r="NE285" s="262"/>
      <c r="NF285" s="262"/>
      <c r="NG285" s="262"/>
      <c r="NH285" s="262"/>
      <c r="NI285" s="262"/>
      <c r="NJ285" s="262"/>
      <c r="NK285" s="262"/>
      <c r="NL285" s="262"/>
      <c r="NM285" s="262"/>
      <c r="NN285" s="262"/>
      <c r="NO285" s="262"/>
      <c r="NP285" s="262"/>
      <c r="NQ285" s="262"/>
      <c r="NR285" s="262"/>
      <c r="NS285" s="262"/>
      <c r="NT285" s="262"/>
      <c r="NU285" s="262"/>
      <c r="NV285" s="262"/>
      <c r="NW285" s="262"/>
      <c r="NX285" s="262"/>
      <c r="NY285" s="262"/>
      <c r="NZ285" s="262"/>
      <c r="OA285" s="262"/>
      <c r="OB285" s="262"/>
      <c r="OC285" s="262"/>
      <c r="OD285" s="262"/>
      <c r="OE285" s="262"/>
      <c r="OF285" s="262"/>
      <c r="OG285" s="262"/>
      <c r="OH285" s="262"/>
      <c r="OI285" s="262"/>
      <c r="OJ285" s="262"/>
      <c r="OK285" s="262"/>
      <c r="OL285" s="262"/>
      <c r="OM285" s="262"/>
      <c r="ON285" s="262"/>
      <c r="OO285" s="262"/>
      <c r="OP285" s="262"/>
      <c r="OQ285" s="262"/>
      <c r="OR285" s="262"/>
      <c r="OS285" s="262"/>
      <c r="OT285" s="262"/>
      <c r="OU285" s="262"/>
      <c r="OV285" s="262"/>
      <c r="OW285" s="262"/>
      <c r="OX285" s="262"/>
      <c r="OY285" s="262"/>
      <c r="OZ285" s="262"/>
      <c r="PA285" s="262"/>
      <c r="PB285" s="262"/>
      <c r="PC285" s="262"/>
      <c r="PD285" s="262"/>
      <c r="PE285" s="262"/>
      <c r="PF285" s="262"/>
      <c r="PG285" s="262"/>
      <c r="PH285" s="262"/>
    </row>
    <row r="286" spans="1:424" x14ac:dyDescent="0.35">
      <c r="A286"/>
      <c r="B286" s="398" t="s">
        <v>481</v>
      </c>
      <c r="C286" s="132">
        <v>4.9999999999999949E-3</v>
      </c>
      <c r="D286" s="128">
        <v>391.77683462838826</v>
      </c>
      <c r="E286" s="562">
        <v>3.5531167491864846</v>
      </c>
      <c r="F286" s="398" t="s">
        <v>481</v>
      </c>
      <c r="G286" s="130">
        <v>3.5000000000000003E-2</v>
      </c>
      <c r="H286" s="128">
        <v>412.5493294666245</v>
      </c>
      <c r="I286" s="562">
        <v>3.6574022527162628</v>
      </c>
      <c r="J286" s="395"/>
      <c r="K286" s="396"/>
      <c r="L286" s="396"/>
      <c r="M286" s="396"/>
      <c r="N286" s="396"/>
      <c r="O286" s="396"/>
      <c r="P286" s="396"/>
      <c r="Q286" s="396"/>
      <c r="R286" s="396"/>
      <c r="S286" s="396"/>
      <c r="T286" s="396"/>
      <c r="U286" s="396"/>
      <c r="V286" s="396"/>
      <c r="W286" s="396"/>
      <c r="X286" s="396"/>
      <c r="Y286" s="396"/>
      <c r="Z286" s="396"/>
      <c r="AA286" s="396"/>
      <c r="AB286" s="396"/>
      <c r="AC286" s="396"/>
      <c r="AD286" s="396"/>
      <c r="AE286" s="396"/>
      <c r="AF286" s="396"/>
      <c r="AG286" s="396"/>
      <c r="AH286" s="396"/>
      <c r="AI286" s="396"/>
      <c r="AJ286" s="396"/>
      <c r="AK286" s="396"/>
      <c r="AL286" s="396"/>
      <c r="AM286" s="396"/>
      <c r="AN286" s="396"/>
      <c r="AO286" s="396"/>
      <c r="AP286" s="396"/>
      <c r="AQ286" s="396"/>
      <c r="AR286" s="396"/>
      <c r="AS286" s="396"/>
      <c r="AT286" s="396"/>
      <c r="AU286" s="396"/>
      <c r="AV286" s="396"/>
      <c r="AW286" s="396"/>
      <c r="AX286" s="396"/>
      <c r="AY286" s="396"/>
      <c r="AZ286" s="396"/>
      <c r="BA286" s="396"/>
      <c r="BB286" s="396"/>
      <c r="BC286" s="396"/>
      <c r="BD286" s="396"/>
      <c r="BE286" s="396"/>
      <c r="BF286" s="396"/>
      <c r="BG286" s="396"/>
      <c r="BH286" s="396"/>
      <c r="BI286" s="396"/>
      <c r="BJ286" s="396"/>
      <c r="BK286" s="396"/>
      <c r="BL286" s="396"/>
      <c r="BM286" s="396"/>
      <c r="BN286" s="396"/>
      <c r="BO286" s="396"/>
      <c r="BP286" s="396"/>
      <c r="BQ286" s="396"/>
      <c r="BR286" s="396"/>
      <c r="BS286" s="396"/>
      <c r="BT286" s="396"/>
      <c r="BU286" s="396"/>
      <c r="BV286" s="396"/>
      <c r="BW286" s="396"/>
      <c r="BX286" s="396"/>
      <c r="BY286" s="396"/>
      <c r="BZ286" s="396"/>
      <c r="CA286" s="396"/>
      <c r="CB286" s="396"/>
      <c r="CC286" s="396"/>
      <c r="CD286" s="396"/>
      <c r="CE286" s="396"/>
      <c r="CF286" s="396"/>
      <c r="CG286" s="396"/>
      <c r="CH286" s="396"/>
      <c r="CI286" s="396"/>
      <c r="CJ286" s="396"/>
      <c r="CK286" s="396"/>
      <c r="CL286" s="396"/>
      <c r="CM286" s="396"/>
      <c r="CN286" s="396"/>
      <c r="CO286" s="396"/>
      <c r="CP286" s="396"/>
      <c r="CQ286" s="396"/>
      <c r="CR286" s="396"/>
      <c r="CS286" s="396"/>
      <c r="CT286" s="396"/>
      <c r="CU286" s="396"/>
      <c r="CV286" s="396"/>
      <c r="CW286" s="396"/>
      <c r="CX286" s="396"/>
      <c r="CY286" s="396"/>
      <c r="CZ286" s="396"/>
      <c r="DA286" s="396"/>
      <c r="DB286" s="396"/>
      <c r="DC286" s="396"/>
      <c r="DD286" s="396"/>
      <c r="DE286" s="396"/>
      <c r="DF286" s="396"/>
      <c r="DG286" s="396"/>
      <c r="DH286" s="396"/>
      <c r="DI286" s="396"/>
      <c r="DJ286" s="396"/>
      <c r="DK286" s="396"/>
      <c r="DL286" s="396"/>
      <c r="DM286" s="396"/>
      <c r="DN286" s="396"/>
      <c r="DO286" s="396"/>
      <c r="DP286" s="396"/>
      <c r="DQ286" s="396"/>
      <c r="DR286" s="396"/>
      <c r="DS286" s="396"/>
      <c r="DT286" s="396"/>
      <c r="DU286" s="396"/>
      <c r="DV286" s="396"/>
      <c r="DW286" s="396"/>
      <c r="DX286" s="396"/>
      <c r="DY286" s="396"/>
      <c r="DZ286" s="396"/>
      <c r="EA286" s="396"/>
      <c r="EB286" s="396"/>
      <c r="EC286" s="396"/>
      <c r="ED286" s="396"/>
      <c r="EE286" s="396"/>
      <c r="EF286" s="396"/>
      <c r="EG286" s="396"/>
      <c r="EH286" s="396"/>
      <c r="EI286" s="396"/>
      <c r="EJ286" s="396"/>
      <c r="EK286" s="396"/>
      <c r="EL286" s="396"/>
      <c r="EM286" s="396"/>
      <c r="EN286" s="396"/>
      <c r="EO286" s="396"/>
      <c r="EP286" s="405"/>
      <c r="EQ286" s="18"/>
      <c r="ER286" s="18"/>
      <c r="ES286" s="18"/>
      <c r="ET286" s="18"/>
      <c r="EU286" s="18"/>
      <c r="EV286" s="81"/>
      <c r="EW286" s="81"/>
      <c r="EX286" s="81"/>
      <c r="EY286" s="81"/>
      <c r="EZ286" s="81"/>
      <c r="FA286" s="81"/>
      <c r="FB286" s="81"/>
      <c r="FC286" s="81"/>
      <c r="FD286" s="81"/>
      <c r="FE286" s="81"/>
      <c r="FF286" s="81"/>
      <c r="FG286" s="81"/>
      <c r="FH286" s="81"/>
      <c r="FI286" s="81"/>
      <c r="FJ286" s="81"/>
      <c r="FK286" s="81"/>
      <c r="FL286" s="81"/>
      <c r="FM286" s="81"/>
      <c r="FN286" s="81"/>
      <c r="FO286" s="81"/>
      <c r="FP286" s="81"/>
      <c r="FQ286" s="81"/>
      <c r="FR286" s="81"/>
      <c r="FS286" s="81"/>
      <c r="FT286" s="81"/>
      <c r="FU286" s="81"/>
      <c r="FV286" s="81"/>
      <c r="FW286" s="81"/>
      <c r="FX286" s="81"/>
      <c r="FY286" s="81"/>
      <c r="FZ286" s="81"/>
      <c r="GA286" s="81"/>
      <c r="GB286" s="81"/>
      <c r="GC286" s="81"/>
      <c r="GD286" s="81"/>
      <c r="GE286" s="81"/>
      <c r="GF286" s="81"/>
      <c r="GG286" s="81"/>
      <c r="GH286" s="81"/>
      <c r="GI286" s="81"/>
      <c r="GJ286" s="81"/>
      <c r="GK286" s="81"/>
      <c r="GL286" s="81"/>
      <c r="GM286" s="81"/>
      <c r="GN286" s="81"/>
      <c r="GO286" s="81"/>
      <c r="GP286" s="81"/>
      <c r="GQ286" s="81"/>
      <c r="GR286" s="81"/>
      <c r="GS286" s="81"/>
      <c r="GT286" s="81"/>
      <c r="GU286" s="81"/>
      <c r="GV286" s="81"/>
      <c r="GW286" s="81"/>
      <c r="GX286" s="81"/>
      <c r="GY286" s="81"/>
      <c r="GZ286" s="81"/>
      <c r="HA286" s="81"/>
      <c r="HB286" s="81"/>
      <c r="HC286" s="81"/>
      <c r="HD286" s="81"/>
      <c r="HE286" s="81"/>
      <c r="HF286" s="81"/>
      <c r="HG286" s="81"/>
      <c r="HH286" s="81"/>
      <c r="HI286" s="81"/>
      <c r="HJ286" s="81"/>
      <c r="HK286" s="81"/>
      <c r="HL286" s="81"/>
      <c r="HM286" s="81"/>
      <c r="HN286" s="81"/>
      <c r="HO286" s="81"/>
      <c r="HP286" s="81"/>
      <c r="HQ286" s="81"/>
      <c r="HR286" s="81"/>
      <c r="HS286" s="81"/>
      <c r="HT286" s="81"/>
      <c r="HU286" s="81"/>
      <c r="HV286" s="81"/>
      <c r="HW286" s="81"/>
      <c r="HX286" s="81"/>
      <c r="HY286" s="81"/>
      <c r="HZ286" s="81"/>
      <c r="IA286" s="81"/>
      <c r="IB286" s="81"/>
      <c r="IC286" s="81"/>
      <c r="ID286" s="81"/>
      <c r="IE286" s="81"/>
      <c r="IF286" s="81"/>
      <c r="IG286" s="81"/>
      <c r="IH286" s="81"/>
      <c r="II286" s="81"/>
      <c r="IJ286" s="81"/>
      <c r="IK286" s="81"/>
      <c r="IL286" s="81"/>
      <c r="IM286" s="81"/>
      <c r="IN286" s="81"/>
      <c r="IO286" s="81"/>
      <c r="IP286" s="81"/>
      <c r="IQ286" s="81"/>
      <c r="IR286" s="81"/>
      <c r="IS286" s="81"/>
      <c r="IT286" s="81"/>
      <c r="IU286" s="81"/>
      <c r="IV286" s="81"/>
      <c r="IW286" s="81"/>
      <c r="IX286" s="81"/>
      <c r="IY286" s="81"/>
      <c r="IZ286" s="81"/>
      <c r="JA286" s="81"/>
      <c r="JB286" s="81"/>
      <c r="JC286" s="81"/>
      <c r="JD286" s="81"/>
      <c r="JE286" s="81"/>
      <c r="JF286" s="81"/>
      <c r="JG286" s="81"/>
      <c r="JH286" s="81"/>
      <c r="JI286" s="81"/>
      <c r="JJ286" s="81"/>
      <c r="JK286" s="81"/>
      <c r="JL286" s="81"/>
      <c r="JM286" s="81"/>
      <c r="JN286" s="81"/>
      <c r="JO286" s="81"/>
      <c r="JP286" s="81"/>
      <c r="JQ286" s="81"/>
      <c r="JR286" s="81"/>
      <c r="JS286" s="81"/>
      <c r="JT286" s="81"/>
      <c r="JU286" s="81"/>
      <c r="JV286" s="81"/>
      <c r="JW286" s="81"/>
      <c r="JX286" s="81"/>
      <c r="JY286"/>
      <c r="JZ286" s="262"/>
      <c r="KA286" s="262"/>
      <c r="KB286" s="262"/>
      <c r="KC286" s="262"/>
      <c r="KD286" s="262"/>
      <c r="KE286" s="262"/>
      <c r="KF286" s="262"/>
      <c r="KG286" s="262"/>
      <c r="KH286" s="262"/>
      <c r="KI286" s="262"/>
      <c r="KJ286" s="262"/>
      <c r="KK286" s="262"/>
      <c r="KL286" s="262"/>
      <c r="KM286" s="262"/>
      <c r="KN286" s="262"/>
      <c r="KO286" s="262"/>
      <c r="KP286" s="262"/>
      <c r="KQ286" s="262"/>
      <c r="KR286" s="262"/>
      <c r="KS286" s="262"/>
      <c r="KT286" s="262"/>
      <c r="KU286" s="262"/>
      <c r="KV286" s="262"/>
      <c r="KW286" s="262"/>
      <c r="KX286" s="262"/>
      <c r="KY286" s="262"/>
      <c r="KZ286" s="262"/>
      <c r="LA286" s="262"/>
      <c r="LB286" s="262"/>
      <c r="LC286" s="262"/>
      <c r="LD286" s="262"/>
      <c r="LE286" s="262"/>
      <c r="LF286" s="262"/>
      <c r="LG286" s="262"/>
      <c r="LH286" s="262"/>
      <c r="LI286" s="262"/>
      <c r="LJ286" s="262"/>
      <c r="LK286" s="262"/>
      <c r="LL286" s="262"/>
      <c r="LM286" s="262"/>
      <c r="LN286" s="262"/>
      <c r="LO286" s="262"/>
      <c r="LP286" s="262"/>
      <c r="LQ286" s="262"/>
      <c r="LR286" s="262"/>
      <c r="LS286" s="262"/>
      <c r="LT286" s="262"/>
      <c r="LU286" s="262"/>
      <c r="LV286" s="262"/>
      <c r="LW286" s="262"/>
      <c r="LX286" s="262"/>
      <c r="LY286" s="262"/>
      <c r="LZ286" s="262"/>
      <c r="MA286" s="262"/>
      <c r="MB286" s="262"/>
      <c r="MC286" s="262"/>
      <c r="MD286" s="262"/>
      <c r="ME286" s="262"/>
      <c r="MF286" s="262"/>
      <c r="MG286" s="262"/>
      <c r="MH286" s="262"/>
      <c r="MI286" s="262"/>
      <c r="MJ286" s="262"/>
      <c r="MK286" s="262"/>
      <c r="ML286" s="262"/>
      <c r="MM286" s="262"/>
      <c r="MN286" s="262"/>
      <c r="MO286" s="262"/>
      <c r="MP286" s="262"/>
      <c r="MQ286" s="262"/>
      <c r="MR286" s="262"/>
      <c r="MS286" s="262"/>
      <c r="MT286" s="262"/>
      <c r="MU286" s="262"/>
      <c r="MV286" s="262"/>
      <c r="MW286" s="262"/>
      <c r="MX286" s="262"/>
      <c r="MY286" s="262"/>
      <c r="MZ286" s="262"/>
      <c r="NA286" s="262"/>
      <c r="NB286" s="262"/>
      <c r="NC286" s="262"/>
      <c r="ND286" s="262"/>
      <c r="NE286" s="262"/>
      <c r="NF286" s="262"/>
      <c r="NG286" s="262"/>
      <c r="NH286" s="262"/>
      <c r="NI286" s="262"/>
      <c r="NJ286" s="262"/>
      <c r="NK286" s="262"/>
      <c r="NL286" s="262"/>
      <c r="NM286" s="262"/>
      <c r="NN286" s="262"/>
      <c r="NO286" s="262"/>
      <c r="NP286" s="262"/>
      <c r="NQ286" s="262"/>
      <c r="NR286" s="262"/>
      <c r="NS286" s="262"/>
      <c r="NT286" s="262"/>
      <c r="NU286" s="262"/>
      <c r="NV286" s="262"/>
      <c r="NW286" s="262"/>
      <c r="NX286" s="262"/>
      <c r="NY286" s="262"/>
      <c r="NZ286" s="262"/>
      <c r="OA286" s="262"/>
      <c r="OB286" s="262"/>
      <c r="OC286" s="262"/>
      <c r="OD286" s="262"/>
      <c r="OE286" s="262"/>
      <c r="OF286" s="262"/>
      <c r="OG286" s="262"/>
      <c r="OH286" s="262"/>
      <c r="OI286" s="262"/>
      <c r="OJ286" s="262"/>
      <c r="OK286" s="262"/>
      <c r="OL286" s="262"/>
      <c r="OM286" s="262"/>
      <c r="ON286" s="262"/>
      <c r="OO286" s="262"/>
      <c r="OP286" s="262"/>
      <c r="OQ286" s="262"/>
      <c r="OR286" s="262"/>
      <c r="OS286" s="262"/>
      <c r="OT286" s="262"/>
      <c r="OU286" s="262"/>
      <c r="OV286" s="262"/>
      <c r="OW286" s="262"/>
      <c r="OX286" s="262"/>
      <c r="OY286" s="262"/>
      <c r="OZ286" s="262"/>
      <c r="PA286" s="262"/>
      <c r="PB286" s="262"/>
      <c r="PC286" s="262"/>
      <c r="PD286" s="262"/>
      <c r="PE286" s="262"/>
      <c r="PF286" s="262"/>
      <c r="PG286" s="262"/>
      <c r="PH286" s="262"/>
    </row>
    <row r="287" spans="1:424" x14ac:dyDescent="0.35">
      <c r="A287"/>
      <c r="B287"/>
      <c r="C287" s="104"/>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s="262"/>
      <c r="KA287" s="262"/>
      <c r="KB287" s="262"/>
      <c r="KC287" s="262"/>
      <c r="KD287" s="262"/>
      <c r="KE287" s="262"/>
      <c r="KF287" s="262"/>
      <c r="KG287" s="262"/>
      <c r="KH287" s="262"/>
      <c r="KI287" s="262"/>
      <c r="KJ287" s="262"/>
      <c r="KK287" s="262"/>
      <c r="KL287" s="262"/>
      <c r="KM287" s="262"/>
      <c r="KN287" s="262"/>
      <c r="KO287" s="262"/>
      <c r="KP287" s="262"/>
      <c r="KQ287" s="262"/>
      <c r="KR287" s="262"/>
      <c r="KS287" s="262"/>
      <c r="KT287" s="262"/>
      <c r="KU287" s="262"/>
      <c r="KV287" s="262"/>
      <c r="KW287" s="262"/>
      <c r="KX287" s="262"/>
      <c r="KY287" s="262"/>
      <c r="KZ287" s="262"/>
      <c r="LA287" s="262"/>
      <c r="LB287" s="262"/>
      <c r="LC287" s="262"/>
      <c r="LD287" s="262"/>
      <c r="LE287" s="262"/>
      <c r="LF287" s="262"/>
      <c r="LG287" s="262"/>
      <c r="LH287" s="262"/>
      <c r="LI287" s="262"/>
      <c r="LJ287" s="262"/>
      <c r="LK287" s="262"/>
      <c r="LL287" s="262"/>
      <c r="LM287" s="262"/>
      <c r="LN287" s="262"/>
      <c r="LO287" s="262"/>
      <c r="LP287" s="262"/>
      <c r="LQ287" s="262"/>
      <c r="LR287" s="262"/>
      <c r="LS287" s="262"/>
      <c r="LT287" s="262"/>
      <c r="LU287" s="262"/>
      <c r="LV287" s="262"/>
      <c r="LW287" s="262"/>
      <c r="LX287" s="262"/>
      <c r="LY287" s="262"/>
      <c r="LZ287" s="262"/>
      <c r="MA287" s="262"/>
      <c r="MB287" s="262"/>
      <c r="MC287" s="262"/>
      <c r="MD287" s="262"/>
      <c r="ME287" s="262"/>
      <c r="MF287" s="262"/>
      <c r="MG287" s="262"/>
      <c r="MH287" s="262"/>
      <c r="MI287" s="262"/>
      <c r="MJ287" s="262"/>
      <c r="MK287" s="262"/>
      <c r="ML287" s="262"/>
      <c r="MM287" s="262"/>
      <c r="MN287" s="262"/>
      <c r="MO287" s="262"/>
      <c r="MP287" s="262"/>
      <c r="MQ287" s="262"/>
      <c r="MR287" s="262"/>
      <c r="MS287" s="262"/>
      <c r="MT287" s="262"/>
      <c r="MU287" s="262"/>
      <c r="MV287" s="262"/>
      <c r="MW287" s="262"/>
      <c r="MX287" s="262"/>
      <c r="MY287" s="262"/>
      <c r="MZ287" s="262"/>
      <c r="NA287" s="262"/>
      <c r="NB287" s="262"/>
      <c r="NC287" s="262"/>
      <c r="ND287" s="262"/>
      <c r="NE287" s="262"/>
      <c r="NF287" s="262"/>
      <c r="NG287" s="262"/>
      <c r="NH287" s="262"/>
      <c r="NI287" s="262"/>
      <c r="NJ287" s="262"/>
      <c r="NK287" s="262"/>
      <c r="NL287" s="262"/>
      <c r="NM287" s="262"/>
      <c r="NN287" s="262"/>
      <c r="NO287" s="262"/>
      <c r="NP287" s="262"/>
      <c r="NQ287" s="262"/>
      <c r="NR287" s="262"/>
      <c r="NS287" s="262"/>
      <c r="NT287" s="262"/>
      <c r="NU287" s="262"/>
      <c r="NV287" s="262"/>
      <c r="NW287" s="262"/>
      <c r="NX287" s="262"/>
      <c r="NY287" s="262"/>
      <c r="NZ287" s="262"/>
      <c r="OA287" s="262"/>
      <c r="OB287" s="262"/>
      <c r="OC287" s="262"/>
      <c r="OD287" s="262"/>
      <c r="OE287" s="262"/>
      <c r="OF287" s="262"/>
      <c r="OG287" s="262"/>
      <c r="OH287" s="262"/>
      <c r="OI287" s="262"/>
      <c r="OJ287" s="262"/>
      <c r="OK287" s="262"/>
      <c r="OL287" s="262"/>
      <c r="OM287" s="262"/>
      <c r="ON287" s="262"/>
      <c r="OO287" s="262"/>
      <c r="OP287" s="262"/>
      <c r="OQ287" s="262"/>
      <c r="OR287" s="262"/>
      <c r="OS287" s="262"/>
      <c r="OT287" s="262"/>
      <c r="OU287" s="262"/>
      <c r="OV287" s="262"/>
      <c r="OW287" s="262"/>
      <c r="OX287" s="262"/>
      <c r="OY287" s="262"/>
      <c r="OZ287" s="262"/>
      <c r="PA287" s="262"/>
      <c r="PB287" s="262"/>
      <c r="PC287" s="262"/>
      <c r="PD287" s="262"/>
      <c r="PE287" s="262"/>
      <c r="PF287" s="262"/>
      <c r="PG287" s="262"/>
      <c r="PH287" s="262"/>
    </row>
    <row r="288" spans="1:424" x14ac:dyDescent="0.35">
      <c r="A288"/>
      <c r="B288" s="215" t="s">
        <v>486</v>
      </c>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81"/>
      <c r="BZ288" s="81"/>
      <c r="CA288" s="81"/>
      <c r="CB288" s="81"/>
      <c r="CC288" s="81"/>
      <c r="CD288" s="81"/>
      <c r="CE288" s="81"/>
      <c r="CF288" s="81"/>
      <c r="CG288" s="81"/>
      <c r="CH288" s="81"/>
      <c r="CI288" s="81"/>
      <c r="CJ288" s="81"/>
      <c r="CK288" s="81"/>
      <c r="CL288" s="81"/>
      <c r="CM288" s="81"/>
      <c r="CN288" s="81"/>
      <c r="CO288" s="81"/>
      <c r="CP288" s="81"/>
      <c r="CQ288" s="81"/>
      <c r="CR288" s="81"/>
      <c r="CS288" s="81"/>
      <c r="CT288" s="81"/>
      <c r="CU288" s="81"/>
      <c r="CV288" s="81"/>
      <c r="CW288" s="81"/>
      <c r="CX288" s="81"/>
      <c r="CY288" s="81"/>
      <c r="CZ288" s="81"/>
      <c r="DA288" s="81"/>
      <c r="DB288" s="81"/>
      <c r="DC288" s="81"/>
      <c r="DD288" s="81"/>
      <c r="DE288" s="81"/>
      <c r="DF288" s="81"/>
      <c r="DG288" s="81"/>
      <c r="DH288" s="81"/>
      <c r="DI288" s="81"/>
      <c r="DJ288" s="81"/>
      <c r="DK288" s="81"/>
      <c r="DL288" s="81"/>
      <c r="DM288" s="81"/>
      <c r="DN288" s="81"/>
      <c r="DO288" s="81"/>
      <c r="DP288" s="81"/>
      <c r="DQ288" s="81"/>
      <c r="DR288" s="81"/>
      <c r="DS288" s="81"/>
      <c r="DT288" s="81"/>
      <c r="DU288" s="81"/>
      <c r="DV288" s="81"/>
      <c r="DW288" s="81"/>
      <c r="DX288" s="81"/>
      <c r="DY288" s="81"/>
      <c r="DZ288" s="81"/>
      <c r="EA288" s="81"/>
      <c r="EB288" s="81"/>
      <c r="EC288" s="81"/>
      <c r="ED288" s="81"/>
      <c r="EE288" s="81"/>
      <c r="EF288" s="81"/>
      <c r="EG288" s="81"/>
      <c r="EH288" s="81"/>
      <c r="EI288" s="81"/>
      <c r="EJ288" s="81"/>
      <c r="EK288" s="81"/>
      <c r="EL288" s="81"/>
      <c r="EM288" s="81"/>
      <c r="EN288" s="81"/>
      <c r="EO288" s="81"/>
      <c r="EP288" s="213"/>
      <c r="EQ288" s="81"/>
      <c r="ER288" s="81"/>
      <c r="ES288" s="81"/>
      <c r="ET288" s="81"/>
      <c r="EU288" s="81"/>
      <c r="EV288" s="81"/>
      <c r="EW288" s="81"/>
      <c r="EX288" s="81"/>
      <c r="EY288" s="81"/>
      <c r="EZ288" s="81"/>
      <c r="FA288" s="81"/>
      <c r="FB288" s="81"/>
      <c r="FC288" s="81"/>
      <c r="FD288" s="81"/>
      <c r="FE288" s="81"/>
      <c r="FF288" s="81"/>
      <c r="FG288" s="81"/>
      <c r="FH288" s="81"/>
      <c r="FI288" s="81"/>
      <c r="FJ288" s="81"/>
      <c r="FK288" s="81"/>
      <c r="FL288" s="81"/>
      <c r="FM288" s="81"/>
      <c r="FN288" s="81"/>
      <c r="FO288" s="81"/>
      <c r="FP288" s="81"/>
      <c r="FQ288" s="81"/>
      <c r="FR288" s="81"/>
      <c r="FS288" s="81"/>
      <c r="FT288" s="81"/>
      <c r="FU288" s="81"/>
      <c r="FV288" s="81"/>
      <c r="FW288" s="81"/>
      <c r="FX288" s="81"/>
      <c r="FY288" s="81"/>
      <c r="FZ288" s="81"/>
      <c r="GA288" s="81"/>
      <c r="GB288" s="81"/>
      <c r="GC288" s="81"/>
      <c r="GD288" s="81"/>
      <c r="GE288" s="81"/>
      <c r="GF288" s="81"/>
      <c r="GG288" s="81"/>
      <c r="GH288" s="81"/>
      <c r="GI288" s="81"/>
      <c r="GJ288" s="81"/>
      <c r="GK288" s="81"/>
      <c r="GL288" s="81"/>
      <c r="GM288" s="81"/>
      <c r="GN288" s="81"/>
      <c r="GO288" s="81"/>
      <c r="GP288" s="81"/>
      <c r="GQ288" s="81"/>
      <c r="GR288" s="81"/>
      <c r="GS288" s="81"/>
      <c r="GT288" s="81"/>
      <c r="GU288" s="81"/>
      <c r="GV288" s="81"/>
      <c r="GW288" s="81"/>
      <c r="GX288" s="81"/>
      <c r="GY288" s="81"/>
      <c r="GZ288" s="81"/>
      <c r="HA288" s="81"/>
      <c r="HB288" s="81"/>
      <c r="HC288" s="81"/>
      <c r="HD288" s="81"/>
      <c r="HE288" s="81"/>
      <c r="HF288" s="81"/>
      <c r="HG288" s="81"/>
      <c r="HH288" s="81"/>
      <c r="HI288" s="81"/>
      <c r="HJ288" s="81"/>
      <c r="HK288" s="81"/>
      <c r="HL288" s="81"/>
      <c r="HM288" s="81"/>
      <c r="HN288" s="81"/>
      <c r="HO288" s="81"/>
      <c r="HP288" s="81"/>
      <c r="HQ288" s="81"/>
      <c r="HR288" s="81"/>
      <c r="HS288" s="81"/>
      <c r="HT288" s="81"/>
      <c r="HU288" s="81"/>
      <c r="HV288" s="81"/>
      <c r="HW288" s="81"/>
      <c r="HX288" s="81"/>
      <c r="HY288" s="81"/>
      <c r="HZ288" s="81"/>
      <c r="IA288" s="81"/>
      <c r="IB288" s="81"/>
      <c r="IC288" s="81"/>
      <c r="ID288" s="81"/>
      <c r="IE288" s="81"/>
      <c r="IF288" s="81"/>
      <c r="IG288" s="81"/>
      <c r="IH288" s="81"/>
      <c r="II288" s="81"/>
      <c r="IJ288" s="81"/>
      <c r="IK288" s="81"/>
      <c r="IL288" s="81"/>
      <c r="IM288" s="81"/>
      <c r="IN288" s="81"/>
      <c r="IO288" s="81"/>
      <c r="IP288" s="81"/>
      <c r="IQ288" s="81"/>
      <c r="IR288" s="81"/>
      <c r="IS288" s="81"/>
      <c r="IT288" s="81"/>
      <c r="IU288" s="81"/>
      <c r="IV288" s="81"/>
      <c r="IW288" s="81"/>
      <c r="IX288" s="81"/>
      <c r="IY288" s="81"/>
      <c r="IZ288" s="81"/>
      <c r="JA288" s="81"/>
      <c r="JB288" s="81"/>
      <c r="JC288" s="81"/>
      <c r="JD288" s="81"/>
      <c r="JE288" s="81"/>
      <c r="JF288" s="81"/>
      <c r="JG288" s="81"/>
      <c r="JH288" s="81"/>
      <c r="JI288" s="81"/>
      <c r="JJ288" s="81"/>
      <c r="JK288" s="81"/>
      <c r="JL288" s="81"/>
      <c r="JM288" s="81"/>
      <c r="JN288" s="81"/>
      <c r="JO288" s="81"/>
      <c r="JP288" s="81"/>
      <c r="JQ288" s="81"/>
      <c r="JR288" s="81"/>
      <c r="JS288" s="81"/>
      <c r="JT288" s="81"/>
      <c r="JU288" s="81"/>
      <c r="JV288" s="81"/>
      <c r="JW288" s="81"/>
      <c r="JX288" s="81"/>
      <c r="JY288"/>
      <c r="JZ288" s="262"/>
      <c r="KA288" s="262"/>
      <c r="KB288" s="262"/>
      <c r="KC288" s="262"/>
      <c r="KD288" s="262"/>
      <c r="KE288" s="262"/>
      <c r="KF288" s="262"/>
      <c r="KG288" s="262"/>
      <c r="KH288" s="262"/>
      <c r="KI288" s="262"/>
      <c r="KJ288" s="262"/>
      <c r="KK288" s="262"/>
      <c r="KL288" s="262"/>
      <c r="KM288" s="262"/>
      <c r="KN288" s="262"/>
      <c r="KO288" s="262"/>
      <c r="KP288" s="262"/>
      <c r="KQ288" s="262"/>
      <c r="KR288" s="262"/>
      <c r="KS288" s="262"/>
      <c r="KT288" s="262"/>
      <c r="KU288" s="262"/>
      <c r="KV288" s="262"/>
      <c r="KW288" s="262"/>
      <c r="KX288" s="262"/>
      <c r="KY288" s="262"/>
      <c r="KZ288" s="262"/>
      <c r="LA288" s="262"/>
      <c r="LB288" s="262"/>
      <c r="LC288" s="262"/>
      <c r="LD288" s="262"/>
      <c r="LE288" s="262"/>
      <c r="LF288" s="262"/>
      <c r="LG288" s="262"/>
      <c r="LH288" s="262"/>
      <c r="LI288" s="262"/>
      <c r="LJ288" s="262"/>
      <c r="LK288" s="262"/>
      <c r="LL288" s="262"/>
      <c r="LM288" s="262"/>
      <c r="LN288" s="262"/>
      <c r="LO288" s="262"/>
      <c r="LP288" s="262"/>
      <c r="LQ288" s="262"/>
      <c r="LR288" s="262"/>
      <c r="LS288" s="262"/>
      <c r="LT288" s="262"/>
      <c r="LU288" s="262"/>
      <c r="LV288" s="262"/>
      <c r="LW288" s="262"/>
      <c r="LX288" s="262"/>
      <c r="LY288" s="262"/>
      <c r="LZ288" s="262"/>
      <c r="MA288" s="262"/>
      <c r="MB288" s="262"/>
      <c r="MC288" s="262"/>
      <c r="MD288" s="262"/>
      <c r="ME288" s="262"/>
      <c r="MF288" s="262"/>
      <c r="MG288" s="262"/>
      <c r="MH288" s="262"/>
      <c r="MI288" s="262"/>
      <c r="MJ288" s="262"/>
      <c r="MK288" s="262"/>
      <c r="ML288" s="262"/>
      <c r="MM288" s="262"/>
      <c r="MN288" s="262"/>
      <c r="MO288" s="262"/>
      <c r="MP288" s="262"/>
      <c r="MQ288" s="262"/>
      <c r="MR288" s="262"/>
      <c r="MS288" s="262"/>
      <c r="MT288" s="262"/>
      <c r="MU288" s="262"/>
      <c r="MV288" s="262"/>
      <c r="MW288" s="262"/>
      <c r="MX288" s="262"/>
      <c r="MY288" s="262"/>
      <c r="MZ288" s="262"/>
      <c r="NA288" s="262"/>
      <c r="NB288" s="262"/>
      <c r="NC288" s="262"/>
      <c r="ND288" s="262"/>
      <c r="NE288" s="262"/>
      <c r="NF288" s="262"/>
      <c r="NG288" s="262"/>
      <c r="NH288" s="262"/>
      <c r="NI288" s="262"/>
      <c r="NJ288" s="262"/>
      <c r="NK288" s="262"/>
      <c r="NL288" s="262"/>
      <c r="NM288" s="262"/>
      <c r="NN288" s="262"/>
      <c r="NO288" s="262"/>
      <c r="NP288" s="262"/>
      <c r="NQ288" s="262"/>
      <c r="NR288" s="262"/>
      <c r="NS288" s="262"/>
      <c r="NT288" s="262"/>
      <c r="NU288" s="262"/>
      <c r="NV288" s="262"/>
      <c r="NW288" s="262"/>
      <c r="NX288" s="262"/>
      <c r="NY288" s="262"/>
      <c r="NZ288" s="262"/>
      <c r="OA288" s="262"/>
      <c r="OB288" s="262"/>
      <c r="OC288" s="262"/>
      <c r="OD288" s="262"/>
      <c r="OE288" s="262"/>
      <c r="OF288" s="262"/>
      <c r="OG288" s="262"/>
      <c r="OH288" s="262"/>
      <c r="OI288" s="262"/>
      <c r="OJ288" s="262"/>
      <c r="OK288" s="262"/>
      <c r="OL288" s="262"/>
      <c r="OM288" s="262"/>
      <c r="ON288" s="262"/>
      <c r="OO288" s="262"/>
      <c r="OP288" s="262"/>
      <c r="OQ288" s="262"/>
      <c r="OR288" s="262"/>
      <c r="OS288" s="262"/>
      <c r="OT288" s="262"/>
      <c r="OU288" s="262"/>
      <c r="OV288" s="262"/>
      <c r="OW288" s="262"/>
      <c r="OX288" s="262"/>
      <c r="OY288" s="262"/>
      <c r="OZ288" s="262"/>
      <c r="PA288" s="262"/>
      <c r="PB288" s="262"/>
      <c r="PC288" s="262"/>
      <c r="PD288" s="262"/>
      <c r="PE288" s="262"/>
      <c r="PF288" s="262"/>
      <c r="PG288" s="262"/>
      <c r="PH288" s="262"/>
    </row>
    <row r="289" spans="1:424" x14ac:dyDescent="0.35">
      <c r="A289"/>
      <c r="B289" s="81"/>
      <c r="C289" s="214" t="s">
        <v>487</v>
      </c>
      <c r="D289" s="81"/>
      <c r="E289" s="81"/>
      <c r="F289" s="218" t="s">
        <v>488</v>
      </c>
      <c r="G289" s="214"/>
      <c r="H289" s="214"/>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81"/>
      <c r="BZ289" s="81"/>
      <c r="CA289" s="81"/>
      <c r="CB289" s="81"/>
      <c r="CC289" s="81"/>
      <c r="CD289" s="81"/>
      <c r="CE289" s="81"/>
      <c r="CF289" s="81"/>
      <c r="CG289" s="81"/>
      <c r="CH289" s="81"/>
      <c r="CI289" s="81"/>
      <c r="CJ289" s="81"/>
      <c r="CK289" s="81"/>
      <c r="CL289" s="81"/>
      <c r="CM289" s="81"/>
      <c r="CN289" s="81"/>
      <c r="CO289" s="81"/>
      <c r="CP289" s="81"/>
      <c r="CQ289" s="81"/>
      <c r="CR289" s="81"/>
      <c r="CS289" s="81"/>
      <c r="CT289" s="81"/>
      <c r="CU289" s="81"/>
      <c r="CV289" s="81"/>
      <c r="CW289" s="81"/>
      <c r="CX289" s="81"/>
      <c r="CY289" s="81"/>
      <c r="CZ289" s="81"/>
      <c r="DA289" s="81"/>
      <c r="DB289" s="81"/>
      <c r="DC289" s="81"/>
      <c r="DD289" s="81"/>
      <c r="DE289" s="81"/>
      <c r="DF289" s="81"/>
      <c r="DG289" s="81"/>
      <c r="DH289" s="81"/>
      <c r="DI289" s="81"/>
      <c r="DJ289" s="81"/>
      <c r="DK289" s="81"/>
      <c r="DL289" s="81"/>
      <c r="DM289" s="81"/>
      <c r="DN289" s="81"/>
      <c r="DO289" s="81"/>
      <c r="DP289" s="81"/>
      <c r="DQ289" s="81"/>
      <c r="DR289" s="81"/>
      <c r="DS289" s="81"/>
      <c r="DT289" s="81"/>
      <c r="DU289" s="81"/>
      <c r="DV289" s="81"/>
      <c r="DW289" s="81"/>
      <c r="DX289" s="81"/>
      <c r="DY289" s="81"/>
      <c r="DZ289" s="81"/>
      <c r="EA289" s="81"/>
      <c r="EB289" s="81"/>
      <c r="EC289" s="81"/>
      <c r="ED289" s="81"/>
      <c r="EE289" s="81"/>
      <c r="EF289" s="81"/>
      <c r="EG289" s="81"/>
      <c r="EH289" s="81"/>
      <c r="EI289" s="81"/>
      <c r="EJ289" s="81"/>
      <c r="EK289" s="81"/>
      <c r="EL289" s="81"/>
      <c r="EM289" s="81"/>
      <c r="EN289" s="81"/>
      <c r="EO289" s="81"/>
      <c r="EP289" s="213"/>
      <c r="EQ289" s="81"/>
      <c r="ER289" s="81"/>
      <c r="ES289" s="81"/>
      <c r="ET289" s="81"/>
      <c r="EU289" s="81"/>
      <c r="EV289" s="81"/>
      <c r="EW289" s="81"/>
      <c r="EX289" s="81"/>
      <c r="EY289" s="81"/>
      <c r="EZ289" s="81"/>
      <c r="FA289" s="81"/>
      <c r="FB289" s="81"/>
      <c r="FC289" s="81"/>
      <c r="FD289" s="81"/>
      <c r="FE289" s="81"/>
      <c r="FF289" s="81"/>
      <c r="FG289" s="81"/>
      <c r="FH289" s="81"/>
      <c r="FI289" s="81"/>
      <c r="FJ289" s="81"/>
      <c r="FK289" s="81"/>
      <c r="FL289" s="81"/>
      <c r="FM289" s="81"/>
      <c r="FN289" s="81"/>
      <c r="FO289" s="81"/>
      <c r="FP289" s="81"/>
      <c r="FQ289" s="81"/>
      <c r="FR289" s="81"/>
      <c r="FS289" s="81"/>
      <c r="FT289" s="81"/>
      <c r="FU289" s="81"/>
      <c r="FV289" s="81"/>
      <c r="FW289" s="81"/>
      <c r="FX289" s="81"/>
      <c r="FY289" s="81"/>
      <c r="FZ289" s="81"/>
      <c r="GA289" s="81"/>
      <c r="GB289" s="81"/>
      <c r="GC289" s="81"/>
      <c r="GD289" s="81"/>
      <c r="GE289" s="81"/>
      <c r="GF289" s="81"/>
      <c r="GG289" s="81"/>
      <c r="GH289" s="81"/>
      <c r="GI289" s="81"/>
      <c r="GJ289" s="81"/>
      <c r="GK289" s="81"/>
      <c r="GL289" s="81"/>
      <c r="GM289" s="81"/>
      <c r="GN289" s="81"/>
      <c r="GO289" s="81"/>
      <c r="GP289" s="81"/>
      <c r="GQ289" s="81"/>
      <c r="GR289" s="81"/>
      <c r="GS289" s="81"/>
      <c r="GT289" s="81"/>
      <c r="GU289" s="81"/>
      <c r="GV289" s="81"/>
      <c r="GW289" s="81"/>
      <c r="GX289" s="81"/>
      <c r="GY289" s="81"/>
      <c r="GZ289" s="81"/>
      <c r="HA289" s="81"/>
      <c r="HB289" s="81"/>
      <c r="HC289" s="81"/>
      <c r="HD289" s="81"/>
      <c r="HE289" s="81"/>
      <c r="HF289" s="81"/>
      <c r="HG289" s="81"/>
      <c r="HH289" s="81"/>
      <c r="HI289" s="81"/>
      <c r="HJ289" s="81"/>
      <c r="HK289" s="81"/>
      <c r="HL289" s="81"/>
      <c r="HM289" s="81"/>
      <c r="HN289" s="81"/>
      <c r="HO289" s="81"/>
      <c r="HP289" s="81"/>
      <c r="HQ289" s="81"/>
      <c r="HR289" s="81"/>
      <c r="HS289" s="81"/>
      <c r="HT289" s="81"/>
      <c r="HU289" s="81"/>
      <c r="HV289" s="81"/>
      <c r="HW289" s="81"/>
      <c r="HX289" s="81"/>
      <c r="HY289" s="81"/>
      <c r="HZ289" s="81"/>
      <c r="IA289" s="81"/>
      <c r="IB289" s="81"/>
      <c r="IC289" s="81"/>
      <c r="ID289" s="81"/>
      <c r="IE289" s="81"/>
      <c r="IF289" s="81"/>
      <c r="IG289" s="81"/>
      <c r="IH289" s="81"/>
      <c r="II289" s="81"/>
      <c r="IJ289" s="81"/>
      <c r="IK289" s="81"/>
      <c r="IL289" s="81"/>
      <c r="IM289" s="81"/>
      <c r="IN289" s="81"/>
      <c r="IO289" s="81"/>
      <c r="IP289" s="81"/>
      <c r="IQ289" s="81"/>
      <c r="IR289" s="81"/>
      <c r="IS289" s="81"/>
      <c r="IT289" s="81"/>
      <c r="IU289" s="81"/>
      <c r="IV289" s="81"/>
      <c r="IW289" s="81"/>
      <c r="IX289" s="81"/>
      <c r="IY289" s="81"/>
      <c r="IZ289" s="81"/>
      <c r="JA289" s="81"/>
      <c r="JB289" s="81"/>
      <c r="JC289" s="81"/>
      <c r="JD289" s="81"/>
      <c r="JE289" s="81"/>
      <c r="JF289" s="81"/>
      <c r="JG289" s="81"/>
      <c r="JH289" s="81"/>
      <c r="JI289" s="81"/>
      <c r="JJ289" s="81"/>
      <c r="JK289" s="81"/>
      <c r="JL289" s="81"/>
      <c r="JM289" s="81"/>
      <c r="JN289" s="81"/>
      <c r="JO289" s="81"/>
      <c r="JP289" s="81"/>
      <c r="JQ289" s="81"/>
      <c r="JR289" s="81"/>
      <c r="JS289" s="81"/>
      <c r="JT289" s="81"/>
      <c r="JU289" s="81"/>
      <c r="JV289" s="81"/>
      <c r="JW289" s="81"/>
      <c r="JX289" s="81"/>
      <c r="JY289"/>
      <c r="JZ289" s="262"/>
      <c r="KA289" s="262"/>
      <c r="KB289" s="262"/>
      <c r="KC289" s="262"/>
      <c r="KD289" s="262"/>
      <c r="KE289" s="262"/>
      <c r="KF289" s="262"/>
      <c r="KG289" s="262"/>
      <c r="KH289" s="262"/>
      <c r="KI289" s="262"/>
      <c r="KJ289" s="262"/>
      <c r="KK289" s="262"/>
      <c r="KL289" s="262"/>
      <c r="KM289" s="262"/>
      <c r="KN289" s="262"/>
      <c r="KO289" s="262"/>
      <c r="KP289" s="262"/>
      <c r="KQ289" s="262"/>
      <c r="KR289" s="262"/>
      <c r="KS289" s="262"/>
      <c r="KT289" s="262"/>
      <c r="KU289" s="262"/>
      <c r="KV289" s="262"/>
      <c r="KW289" s="262"/>
      <c r="KX289" s="262"/>
      <c r="KY289" s="262"/>
      <c r="KZ289" s="262"/>
      <c r="LA289" s="262"/>
      <c r="LB289" s="262"/>
      <c r="LC289" s="262"/>
      <c r="LD289" s="262"/>
      <c r="LE289" s="262"/>
      <c r="LF289" s="262"/>
      <c r="LG289" s="262"/>
      <c r="LH289" s="262"/>
      <c r="LI289" s="262"/>
      <c r="LJ289" s="262"/>
      <c r="LK289" s="262"/>
      <c r="LL289" s="262"/>
      <c r="LM289" s="262"/>
      <c r="LN289" s="262"/>
      <c r="LO289" s="262"/>
      <c r="LP289" s="262"/>
      <c r="LQ289" s="262"/>
      <c r="LR289" s="262"/>
      <c r="LS289" s="262"/>
      <c r="LT289" s="262"/>
      <c r="LU289" s="262"/>
      <c r="LV289" s="262"/>
      <c r="LW289" s="262"/>
      <c r="LX289" s="262"/>
      <c r="LY289" s="262"/>
      <c r="LZ289" s="262"/>
      <c r="MA289" s="262"/>
      <c r="MB289" s="262"/>
      <c r="MC289" s="262"/>
      <c r="MD289" s="262"/>
      <c r="ME289" s="262"/>
      <c r="MF289" s="262"/>
      <c r="MG289" s="262"/>
      <c r="MH289" s="262"/>
      <c r="MI289" s="262"/>
      <c r="MJ289" s="262"/>
      <c r="MK289" s="262"/>
      <c r="ML289" s="262"/>
      <c r="MM289" s="262"/>
      <c r="MN289" s="262"/>
      <c r="MO289" s="262"/>
      <c r="MP289" s="262"/>
      <c r="MQ289" s="262"/>
      <c r="MR289" s="262"/>
      <c r="MS289" s="262"/>
      <c r="MT289" s="262"/>
      <c r="MU289" s="262"/>
      <c r="MV289" s="262"/>
      <c r="MW289" s="262"/>
      <c r="MX289" s="262"/>
      <c r="MY289" s="262"/>
      <c r="MZ289" s="262"/>
      <c r="NA289" s="262"/>
      <c r="NB289" s="262"/>
      <c r="NC289" s="262"/>
      <c r="ND289" s="262"/>
      <c r="NE289" s="262"/>
      <c r="NF289" s="262"/>
      <c r="NG289" s="262"/>
      <c r="NH289" s="262"/>
      <c r="NI289" s="262"/>
      <c r="NJ289" s="262"/>
      <c r="NK289" s="262"/>
      <c r="NL289" s="262"/>
      <c r="NM289" s="262"/>
      <c r="NN289" s="262"/>
      <c r="NO289" s="262"/>
      <c r="NP289" s="262"/>
      <c r="NQ289" s="262"/>
      <c r="NR289" s="262"/>
      <c r="NS289" s="262"/>
      <c r="NT289" s="262"/>
      <c r="NU289" s="262"/>
      <c r="NV289" s="262"/>
      <c r="NW289" s="262"/>
      <c r="NX289" s="262"/>
      <c r="NY289" s="262"/>
      <c r="NZ289" s="262"/>
      <c r="OA289" s="262"/>
      <c r="OB289" s="262"/>
      <c r="OC289" s="262"/>
      <c r="OD289" s="262"/>
      <c r="OE289" s="262"/>
      <c r="OF289" s="262"/>
      <c r="OG289" s="262"/>
      <c r="OH289" s="262"/>
      <c r="OI289" s="262"/>
      <c r="OJ289" s="262"/>
      <c r="OK289" s="262"/>
      <c r="OL289" s="262"/>
      <c r="OM289" s="262"/>
      <c r="ON289" s="262"/>
      <c r="OO289" s="262"/>
      <c r="OP289" s="262"/>
      <c r="OQ289" s="262"/>
      <c r="OR289" s="262"/>
      <c r="OS289" s="262"/>
      <c r="OT289" s="262"/>
      <c r="OU289" s="262"/>
      <c r="OV289" s="262"/>
      <c r="OW289" s="262"/>
      <c r="OX289" s="262"/>
      <c r="OY289" s="262"/>
      <c r="OZ289" s="262"/>
      <c r="PA289" s="262"/>
      <c r="PB289" s="262"/>
      <c r="PC289" s="262"/>
      <c r="PD289" s="262"/>
      <c r="PE289" s="262"/>
      <c r="PF289" s="262"/>
      <c r="PG289" s="262"/>
      <c r="PH289" s="262"/>
    </row>
    <row r="290" spans="1:424" x14ac:dyDescent="0.35">
      <c r="A290"/>
      <c r="B290" s="213" t="s">
        <v>184</v>
      </c>
      <c r="C290" s="81" t="b">
        <f>ROUND(C61,3)=ROUND(F61,3)</f>
        <v>0</v>
      </c>
      <c r="D290" s="81"/>
      <c r="E290" s="81"/>
      <c r="F290" s="81"/>
      <c r="G290" s="216"/>
      <c r="H290" s="81"/>
      <c r="I290" s="81"/>
      <c r="J290" s="81"/>
      <c r="K290" s="214" t="s">
        <v>489</v>
      </c>
      <c r="L290" s="203">
        <f t="shared" ref="L290:AQ290" si="940">L3</f>
        <v>0</v>
      </c>
      <c r="M290" s="203">
        <f t="shared" si="940"/>
        <v>1</v>
      </c>
      <c r="N290" s="203">
        <f t="shared" si="940"/>
        <v>2</v>
      </c>
      <c r="O290" s="203">
        <f t="shared" si="940"/>
        <v>3</v>
      </c>
      <c r="P290" s="203">
        <f t="shared" si="940"/>
        <v>4</v>
      </c>
      <c r="Q290" s="203">
        <f t="shared" si="940"/>
        <v>5</v>
      </c>
      <c r="R290" s="203">
        <f t="shared" si="940"/>
        <v>6</v>
      </c>
      <c r="S290" s="203">
        <f t="shared" si="940"/>
        <v>7</v>
      </c>
      <c r="T290" s="203">
        <f t="shared" si="940"/>
        <v>8</v>
      </c>
      <c r="U290" s="203">
        <f t="shared" si="940"/>
        <v>9</v>
      </c>
      <c r="V290" s="203">
        <f t="shared" si="940"/>
        <v>10</v>
      </c>
      <c r="W290" s="203">
        <f t="shared" si="940"/>
        <v>11</v>
      </c>
      <c r="X290" s="203">
        <f t="shared" si="940"/>
        <v>12</v>
      </c>
      <c r="Y290" s="203">
        <f t="shared" si="940"/>
        <v>13</v>
      </c>
      <c r="Z290" s="203">
        <f t="shared" si="940"/>
        <v>14</v>
      </c>
      <c r="AA290" s="203">
        <f t="shared" si="940"/>
        <v>15</v>
      </c>
      <c r="AB290" s="203">
        <f t="shared" si="940"/>
        <v>16</v>
      </c>
      <c r="AC290" s="203">
        <f t="shared" si="940"/>
        <v>17</v>
      </c>
      <c r="AD290" s="203">
        <f t="shared" si="940"/>
        <v>18</v>
      </c>
      <c r="AE290" s="203">
        <f t="shared" si="940"/>
        <v>19</v>
      </c>
      <c r="AF290" s="203">
        <f t="shared" si="940"/>
        <v>20</v>
      </c>
      <c r="AG290" s="203">
        <f t="shared" si="940"/>
        <v>21</v>
      </c>
      <c r="AH290" s="203">
        <f t="shared" si="940"/>
        <v>22</v>
      </c>
      <c r="AI290" s="203">
        <f t="shared" si="940"/>
        <v>23</v>
      </c>
      <c r="AJ290" s="203">
        <f t="shared" si="940"/>
        <v>24</v>
      </c>
      <c r="AK290" s="203">
        <f t="shared" si="940"/>
        <v>25</v>
      </c>
      <c r="AL290" s="203">
        <f t="shared" si="940"/>
        <v>26</v>
      </c>
      <c r="AM290" s="203">
        <f t="shared" si="940"/>
        <v>27</v>
      </c>
      <c r="AN290" s="203">
        <f t="shared" si="940"/>
        <v>28</v>
      </c>
      <c r="AO290" s="203">
        <f t="shared" si="940"/>
        <v>29</v>
      </c>
      <c r="AP290" s="203">
        <f t="shared" si="940"/>
        <v>30</v>
      </c>
      <c r="AQ290" s="203">
        <f t="shared" si="940"/>
        <v>31</v>
      </c>
      <c r="AR290" s="203">
        <f t="shared" ref="AR290:BW290" si="941">AR3</f>
        <v>32</v>
      </c>
      <c r="AS290" s="203">
        <f t="shared" si="941"/>
        <v>33</v>
      </c>
      <c r="AT290" s="203">
        <f t="shared" si="941"/>
        <v>34</v>
      </c>
      <c r="AU290" s="203">
        <f t="shared" si="941"/>
        <v>35</v>
      </c>
      <c r="AV290" s="203">
        <f t="shared" si="941"/>
        <v>36</v>
      </c>
      <c r="AW290" s="203">
        <f t="shared" si="941"/>
        <v>37</v>
      </c>
      <c r="AX290" s="203">
        <f t="shared" si="941"/>
        <v>38</v>
      </c>
      <c r="AY290" s="203">
        <f t="shared" si="941"/>
        <v>39</v>
      </c>
      <c r="AZ290" s="203">
        <f t="shared" si="941"/>
        <v>40</v>
      </c>
      <c r="BA290" s="203">
        <f t="shared" si="941"/>
        <v>41</v>
      </c>
      <c r="BB290" s="203">
        <f t="shared" si="941"/>
        <v>42</v>
      </c>
      <c r="BC290" s="203">
        <f t="shared" si="941"/>
        <v>43</v>
      </c>
      <c r="BD290" s="203">
        <f t="shared" si="941"/>
        <v>44</v>
      </c>
      <c r="BE290" s="203">
        <f t="shared" si="941"/>
        <v>45</v>
      </c>
      <c r="BF290" s="203">
        <f t="shared" si="941"/>
        <v>46</v>
      </c>
      <c r="BG290" s="203">
        <f t="shared" si="941"/>
        <v>47</v>
      </c>
      <c r="BH290" s="203">
        <f t="shared" si="941"/>
        <v>48</v>
      </c>
      <c r="BI290" s="203">
        <f t="shared" si="941"/>
        <v>49</v>
      </c>
      <c r="BJ290" s="203">
        <f t="shared" si="941"/>
        <v>50</v>
      </c>
      <c r="BK290" s="203">
        <f t="shared" si="941"/>
        <v>51</v>
      </c>
      <c r="BL290" s="203">
        <f t="shared" si="941"/>
        <v>52</v>
      </c>
      <c r="BM290" s="203">
        <f t="shared" si="941"/>
        <v>53</v>
      </c>
      <c r="BN290" s="203">
        <f t="shared" si="941"/>
        <v>54</v>
      </c>
      <c r="BO290" s="203">
        <f t="shared" si="941"/>
        <v>55</v>
      </c>
      <c r="BP290" s="203">
        <f t="shared" si="941"/>
        <v>56</v>
      </c>
      <c r="BQ290" s="203">
        <f t="shared" si="941"/>
        <v>57</v>
      </c>
      <c r="BR290" s="203">
        <f t="shared" si="941"/>
        <v>58</v>
      </c>
      <c r="BS290" s="203">
        <f t="shared" si="941"/>
        <v>59</v>
      </c>
      <c r="BT290" s="203">
        <f t="shared" si="941"/>
        <v>60</v>
      </c>
      <c r="BU290" s="203">
        <f t="shared" si="941"/>
        <v>61</v>
      </c>
      <c r="BV290" s="203">
        <f t="shared" si="941"/>
        <v>62</v>
      </c>
      <c r="BW290" s="203">
        <f t="shared" si="941"/>
        <v>63</v>
      </c>
      <c r="BX290" s="203">
        <f t="shared" ref="BX290:DC290" si="942">BX3</f>
        <v>64</v>
      </c>
      <c r="BY290" s="203">
        <f t="shared" si="942"/>
        <v>65</v>
      </c>
      <c r="BZ290" s="203">
        <f t="shared" si="942"/>
        <v>66</v>
      </c>
      <c r="CA290" s="203">
        <f t="shared" si="942"/>
        <v>67</v>
      </c>
      <c r="CB290" s="203">
        <f t="shared" si="942"/>
        <v>68</v>
      </c>
      <c r="CC290" s="203">
        <f t="shared" si="942"/>
        <v>69</v>
      </c>
      <c r="CD290" s="203">
        <f t="shared" si="942"/>
        <v>70</v>
      </c>
      <c r="CE290" s="203">
        <f t="shared" si="942"/>
        <v>71</v>
      </c>
      <c r="CF290" s="203">
        <f t="shared" si="942"/>
        <v>72</v>
      </c>
      <c r="CG290" s="203">
        <f t="shared" si="942"/>
        <v>73</v>
      </c>
      <c r="CH290" s="203">
        <f t="shared" si="942"/>
        <v>74</v>
      </c>
      <c r="CI290" s="203">
        <f t="shared" si="942"/>
        <v>75</v>
      </c>
      <c r="CJ290" s="203">
        <f t="shared" si="942"/>
        <v>76</v>
      </c>
      <c r="CK290" s="203">
        <f t="shared" si="942"/>
        <v>77</v>
      </c>
      <c r="CL290" s="203">
        <f t="shared" si="942"/>
        <v>78</v>
      </c>
      <c r="CM290" s="203">
        <f t="shared" si="942"/>
        <v>79</v>
      </c>
      <c r="CN290" s="203">
        <f t="shared" si="942"/>
        <v>80</v>
      </c>
      <c r="CO290" s="203">
        <f t="shared" si="942"/>
        <v>81</v>
      </c>
      <c r="CP290" s="203">
        <f t="shared" si="942"/>
        <v>82</v>
      </c>
      <c r="CQ290" s="203">
        <f t="shared" si="942"/>
        <v>83</v>
      </c>
      <c r="CR290" s="203">
        <f t="shared" si="942"/>
        <v>84</v>
      </c>
      <c r="CS290" s="203">
        <f t="shared" si="942"/>
        <v>85</v>
      </c>
      <c r="CT290" s="203">
        <f t="shared" si="942"/>
        <v>86</v>
      </c>
      <c r="CU290" s="203">
        <f t="shared" si="942"/>
        <v>87</v>
      </c>
      <c r="CV290" s="203">
        <f t="shared" si="942"/>
        <v>88</v>
      </c>
      <c r="CW290" s="203">
        <f t="shared" si="942"/>
        <v>89</v>
      </c>
      <c r="CX290" s="203">
        <f t="shared" si="942"/>
        <v>90</v>
      </c>
      <c r="CY290" s="203">
        <f t="shared" si="942"/>
        <v>91</v>
      </c>
      <c r="CZ290" s="203">
        <f t="shared" si="942"/>
        <v>92</v>
      </c>
      <c r="DA290" s="203">
        <f t="shared" si="942"/>
        <v>93</v>
      </c>
      <c r="DB290" s="203">
        <f t="shared" si="942"/>
        <v>94</v>
      </c>
      <c r="DC290" s="203">
        <f t="shared" si="942"/>
        <v>95</v>
      </c>
      <c r="DD290" s="203">
        <f t="shared" ref="DD290:EN290" si="943">DD3</f>
        <v>96</v>
      </c>
      <c r="DE290" s="203">
        <f t="shared" si="943"/>
        <v>97</v>
      </c>
      <c r="DF290" s="203">
        <f t="shared" si="943"/>
        <v>98</v>
      </c>
      <c r="DG290" s="203">
        <f t="shared" si="943"/>
        <v>99</v>
      </c>
      <c r="DH290" s="203">
        <f t="shared" si="943"/>
        <v>100</v>
      </c>
      <c r="DI290" s="203">
        <f t="shared" si="943"/>
        <v>101</v>
      </c>
      <c r="DJ290" s="203">
        <f t="shared" si="943"/>
        <v>102</v>
      </c>
      <c r="DK290" s="203">
        <f t="shared" si="943"/>
        <v>103</v>
      </c>
      <c r="DL290" s="203">
        <f t="shared" si="943"/>
        <v>104</v>
      </c>
      <c r="DM290" s="203">
        <f t="shared" si="943"/>
        <v>105</v>
      </c>
      <c r="DN290" s="203">
        <f t="shared" si="943"/>
        <v>106</v>
      </c>
      <c r="DO290" s="203">
        <f t="shared" si="943"/>
        <v>107</v>
      </c>
      <c r="DP290" s="203">
        <f t="shared" si="943"/>
        <v>108</v>
      </c>
      <c r="DQ290" s="203">
        <f t="shared" si="943"/>
        <v>109</v>
      </c>
      <c r="DR290" s="203">
        <f t="shared" si="943"/>
        <v>110</v>
      </c>
      <c r="DS290" s="203">
        <f t="shared" si="943"/>
        <v>111</v>
      </c>
      <c r="DT290" s="203">
        <f t="shared" si="943"/>
        <v>112</v>
      </c>
      <c r="DU290" s="203">
        <f t="shared" si="943"/>
        <v>113</v>
      </c>
      <c r="DV290" s="203">
        <f t="shared" si="943"/>
        <v>114</v>
      </c>
      <c r="DW290" s="203">
        <f t="shared" si="943"/>
        <v>115</v>
      </c>
      <c r="DX290" s="203">
        <f t="shared" si="943"/>
        <v>116</v>
      </c>
      <c r="DY290" s="203">
        <f t="shared" si="943"/>
        <v>117</v>
      </c>
      <c r="DZ290" s="203">
        <f t="shared" si="943"/>
        <v>118</v>
      </c>
      <c r="EA290" s="203">
        <f t="shared" si="943"/>
        <v>119</v>
      </c>
      <c r="EB290" s="203">
        <f t="shared" si="943"/>
        <v>120</v>
      </c>
      <c r="EC290" s="203">
        <f t="shared" si="943"/>
        <v>121</v>
      </c>
      <c r="ED290" s="203">
        <f t="shared" si="943"/>
        <v>122</v>
      </c>
      <c r="EE290" s="203">
        <f t="shared" si="943"/>
        <v>123</v>
      </c>
      <c r="EF290" s="203">
        <f t="shared" si="943"/>
        <v>124</v>
      </c>
      <c r="EG290" s="203">
        <f t="shared" si="943"/>
        <v>125</v>
      </c>
      <c r="EH290" s="203">
        <f t="shared" si="943"/>
        <v>126</v>
      </c>
      <c r="EI290" s="203">
        <f t="shared" si="943"/>
        <v>127</v>
      </c>
      <c r="EJ290" s="203">
        <f t="shared" si="943"/>
        <v>128</v>
      </c>
      <c r="EK290" s="203">
        <f t="shared" si="943"/>
        <v>129</v>
      </c>
      <c r="EL290" s="203">
        <f t="shared" si="943"/>
        <v>130</v>
      </c>
      <c r="EM290" s="203">
        <f t="shared" si="943"/>
        <v>131</v>
      </c>
      <c r="EN290" s="203">
        <f t="shared" si="943"/>
        <v>132</v>
      </c>
      <c r="EO290" s="81"/>
      <c r="EP290" s="213"/>
      <c r="EQ290" s="81"/>
      <c r="ER290" s="81"/>
      <c r="ES290" s="81"/>
      <c r="ET290" s="81"/>
      <c r="EU290" s="81"/>
      <c r="EV290" s="81"/>
      <c r="EW290" s="81"/>
      <c r="EX290" s="81"/>
      <c r="EY290" s="81"/>
      <c r="EZ290" s="81"/>
      <c r="FA290" s="81"/>
      <c r="FB290" s="81"/>
      <c r="FC290" s="81"/>
      <c r="FD290" s="81"/>
      <c r="FE290" s="81"/>
      <c r="FF290" s="81"/>
      <c r="FG290" s="81"/>
      <c r="FH290" s="81"/>
      <c r="FI290" s="81"/>
      <c r="FJ290" s="81"/>
      <c r="FK290" s="81"/>
      <c r="FL290" s="81"/>
      <c r="FM290" s="81"/>
      <c r="FN290" s="81"/>
      <c r="FO290" s="81"/>
      <c r="FP290" s="81"/>
      <c r="FQ290" s="81"/>
      <c r="FR290" s="81"/>
      <c r="FS290" s="81"/>
      <c r="FT290" s="81"/>
      <c r="FU290" s="81"/>
      <c r="FV290" s="81"/>
      <c r="FW290" s="81"/>
      <c r="FX290" s="81"/>
      <c r="FY290" s="81"/>
      <c r="FZ290" s="81"/>
      <c r="GA290" s="81"/>
      <c r="GB290" s="81"/>
      <c r="GC290" s="81"/>
      <c r="GD290" s="81"/>
      <c r="GE290" s="81"/>
      <c r="GF290" s="81"/>
      <c r="GG290" s="81"/>
      <c r="GH290" s="81"/>
      <c r="GI290" s="81"/>
      <c r="GJ290" s="81"/>
      <c r="GK290" s="81"/>
      <c r="GL290" s="81"/>
      <c r="GM290" s="81"/>
      <c r="GN290" s="81"/>
      <c r="GO290" s="81"/>
      <c r="GP290" s="81"/>
      <c r="GQ290" s="81"/>
      <c r="GR290" s="81"/>
      <c r="GS290" s="81"/>
      <c r="GT290" s="81"/>
      <c r="GU290" s="81"/>
      <c r="GV290" s="81"/>
      <c r="GW290" s="81"/>
      <c r="GX290" s="81"/>
      <c r="GY290" s="81"/>
      <c r="GZ290" s="81"/>
      <c r="HA290" s="81"/>
      <c r="HB290" s="81"/>
      <c r="HC290" s="81"/>
      <c r="HD290" s="81"/>
      <c r="HE290" s="81"/>
      <c r="HF290" s="81"/>
      <c r="HG290" s="81"/>
      <c r="HH290" s="81"/>
      <c r="HI290" s="81"/>
      <c r="HJ290" s="81"/>
      <c r="HK290" s="81"/>
      <c r="HL290" s="81"/>
      <c r="HM290" s="81"/>
      <c r="HN290" s="81"/>
      <c r="HO290" s="81"/>
      <c r="HP290" s="81"/>
      <c r="HQ290" s="81"/>
      <c r="HR290" s="81"/>
      <c r="HS290" s="81"/>
      <c r="HT290" s="81"/>
      <c r="HU290" s="81"/>
      <c r="HV290" s="81"/>
      <c r="HW290" s="81"/>
      <c r="HX290" s="81"/>
      <c r="HY290" s="81"/>
      <c r="HZ290" s="81"/>
      <c r="IA290" s="81"/>
      <c r="IB290" s="81"/>
      <c r="IC290" s="81"/>
      <c r="ID290" s="81"/>
      <c r="IE290" s="81"/>
      <c r="IF290" s="81"/>
      <c r="IG290" s="81"/>
      <c r="IH290" s="81"/>
      <c r="II290" s="81"/>
      <c r="IJ290" s="81"/>
      <c r="IK290" s="81"/>
      <c r="IL290" s="81"/>
      <c r="IM290" s="81"/>
      <c r="IN290" s="81"/>
      <c r="IO290" s="81"/>
      <c r="IP290" s="81"/>
      <c r="IQ290" s="81"/>
      <c r="IR290" s="81"/>
      <c r="IS290" s="81"/>
      <c r="IT290" s="81"/>
      <c r="IU290" s="81"/>
      <c r="IV290" s="81"/>
      <c r="IW290" s="81"/>
      <c r="IX290" s="81"/>
      <c r="IY290" s="81"/>
      <c r="IZ290" s="81"/>
      <c r="JA290" s="81"/>
      <c r="JB290" s="81"/>
      <c r="JC290" s="81"/>
      <c r="JD290" s="81"/>
      <c r="JE290" s="81"/>
      <c r="JF290" s="81"/>
      <c r="JG290" s="81"/>
      <c r="JH290" s="81"/>
      <c r="JI290" s="81"/>
      <c r="JJ290" s="81"/>
      <c r="JK290" s="81"/>
      <c r="JL290" s="81"/>
      <c r="JM290" s="81"/>
      <c r="JN290" s="81"/>
      <c r="JO290" s="81"/>
      <c r="JP290" s="81"/>
      <c r="JQ290" s="81"/>
      <c r="JR290" s="81"/>
      <c r="JS290" s="81"/>
      <c r="JT290" s="81"/>
      <c r="JU290" s="81"/>
      <c r="JV290" s="81"/>
      <c r="JW290" s="81"/>
      <c r="JX290" s="81"/>
      <c r="JY290"/>
      <c r="JZ290" s="262"/>
      <c r="KA290" s="262"/>
      <c r="KB290" s="262"/>
      <c r="KC290" s="262"/>
      <c r="KD290" s="262"/>
      <c r="KE290" s="262"/>
      <c r="KF290" s="262"/>
      <c r="KG290" s="262"/>
      <c r="KH290" s="262"/>
      <c r="KI290" s="262"/>
      <c r="KJ290" s="262"/>
      <c r="KK290" s="262"/>
      <c r="KL290" s="262"/>
      <c r="KM290" s="262"/>
      <c r="KN290" s="262"/>
      <c r="KO290" s="262"/>
      <c r="KP290" s="262"/>
      <c r="KQ290" s="262"/>
      <c r="KR290" s="262"/>
      <c r="KS290" s="262"/>
      <c r="KT290" s="262"/>
      <c r="KU290" s="262"/>
      <c r="KV290" s="262"/>
      <c r="KW290" s="262"/>
      <c r="KX290" s="262"/>
      <c r="KY290" s="262"/>
      <c r="KZ290" s="262"/>
      <c r="LA290" s="262"/>
      <c r="LB290" s="262"/>
      <c r="LC290" s="262"/>
      <c r="LD290" s="262"/>
      <c r="LE290" s="262"/>
      <c r="LF290" s="262"/>
      <c r="LG290" s="262"/>
      <c r="LH290" s="262"/>
      <c r="LI290" s="262"/>
      <c r="LJ290" s="262"/>
      <c r="LK290" s="262"/>
      <c r="LL290" s="262"/>
      <c r="LM290" s="262"/>
      <c r="LN290" s="262"/>
      <c r="LO290" s="262"/>
      <c r="LP290" s="262"/>
      <c r="LQ290" s="262"/>
      <c r="LR290" s="262"/>
      <c r="LS290" s="262"/>
      <c r="LT290" s="262"/>
      <c r="LU290" s="262"/>
      <c r="LV290" s="262"/>
      <c r="LW290" s="262"/>
      <c r="LX290" s="262"/>
      <c r="LY290" s="262"/>
      <c r="LZ290" s="262"/>
      <c r="MA290" s="262"/>
      <c r="MB290" s="262"/>
      <c r="MC290" s="262"/>
      <c r="MD290" s="262"/>
      <c r="ME290" s="262"/>
      <c r="MF290" s="262"/>
      <c r="MG290" s="262"/>
      <c r="MH290" s="262"/>
      <c r="MI290" s="262"/>
      <c r="MJ290" s="262"/>
      <c r="MK290" s="262"/>
      <c r="ML290" s="262"/>
      <c r="MM290" s="262"/>
      <c r="MN290" s="262"/>
      <c r="MO290" s="262"/>
      <c r="MP290" s="262"/>
      <c r="MQ290" s="262"/>
      <c r="MR290" s="262"/>
      <c r="MS290" s="262"/>
      <c r="MT290" s="262"/>
      <c r="MU290" s="262"/>
      <c r="MV290" s="262"/>
      <c r="MW290" s="262"/>
      <c r="MX290" s="262"/>
      <c r="MY290" s="262"/>
      <c r="MZ290" s="262"/>
      <c r="NA290" s="262"/>
      <c r="NB290" s="262"/>
      <c r="NC290" s="262"/>
      <c r="ND290" s="262"/>
      <c r="NE290" s="262"/>
      <c r="NF290" s="262"/>
      <c r="NG290" s="262"/>
      <c r="NH290" s="262"/>
      <c r="NI290" s="262"/>
      <c r="NJ290" s="262"/>
      <c r="NK290" s="262"/>
      <c r="NL290" s="262"/>
      <c r="NM290" s="262"/>
      <c r="NN290" s="262"/>
      <c r="NO290" s="262"/>
      <c r="NP290" s="262"/>
      <c r="NQ290" s="262"/>
      <c r="NR290" s="262"/>
      <c r="NS290" s="262"/>
      <c r="NT290" s="262"/>
      <c r="NU290" s="262"/>
      <c r="NV290" s="262"/>
      <c r="NW290" s="262"/>
      <c r="NX290" s="262"/>
      <c r="NY290" s="262"/>
      <c r="NZ290" s="262"/>
      <c r="OA290" s="262"/>
      <c r="OB290" s="262"/>
      <c r="OC290" s="262"/>
      <c r="OD290" s="262"/>
      <c r="OE290" s="262"/>
      <c r="OF290" s="262"/>
      <c r="OG290" s="262"/>
      <c r="OH290" s="262"/>
      <c r="OI290" s="262"/>
      <c r="OJ290" s="262"/>
      <c r="OK290" s="262"/>
      <c r="OL290" s="262"/>
      <c r="OM290" s="262"/>
      <c r="ON290" s="262"/>
      <c r="OO290" s="262"/>
      <c r="OP290" s="262"/>
      <c r="OQ290" s="262"/>
      <c r="OR290" s="262"/>
      <c r="OS290" s="262"/>
      <c r="OT290" s="262"/>
      <c r="OU290" s="262"/>
      <c r="OV290" s="262"/>
      <c r="OW290" s="262"/>
      <c r="OX290" s="262"/>
      <c r="OY290" s="262"/>
      <c r="OZ290" s="262"/>
      <c r="PA290" s="262"/>
      <c r="PB290" s="262"/>
      <c r="PC290" s="262"/>
      <c r="PD290" s="262"/>
      <c r="PE290" s="262"/>
      <c r="PF290" s="262"/>
      <c r="PG290" s="262"/>
      <c r="PH290" s="262"/>
    </row>
    <row r="291" spans="1:424" x14ac:dyDescent="0.35">
      <c r="A291"/>
      <c r="B291" s="213" t="s">
        <v>490</v>
      </c>
      <c r="C291" s="214" t="b">
        <f>ROUND(G292,4)=ROUND(G291,4)</f>
        <v>0</v>
      </c>
      <c r="D291" s="81"/>
      <c r="E291" s="81"/>
      <c r="F291" s="81" t="s">
        <v>491</v>
      </c>
      <c r="G291" s="206">
        <f>+G135</f>
        <v>0.03</v>
      </c>
      <c r="H291" s="81"/>
      <c r="I291" s="217"/>
      <c r="J291" s="81"/>
      <c r="K291" s="418">
        <f>IFERROR(I135/I130,$G$291)</f>
        <v>0</v>
      </c>
      <c r="L291" s="217">
        <f t="shared" ref="L291:AQ291" si="944">IFERROR(L135/L130,$G$291)</f>
        <v>0.03</v>
      </c>
      <c r="M291" s="217">
        <f t="shared" si="944"/>
        <v>0.03</v>
      </c>
      <c r="N291" s="217">
        <f t="shared" si="944"/>
        <v>0.03</v>
      </c>
      <c r="O291" s="217">
        <f t="shared" si="944"/>
        <v>0.03</v>
      </c>
      <c r="P291" s="217">
        <f t="shared" si="944"/>
        <v>0.03</v>
      </c>
      <c r="Q291" s="217">
        <f t="shared" si="944"/>
        <v>0.03</v>
      </c>
      <c r="R291" s="217">
        <f t="shared" si="944"/>
        <v>0.03</v>
      </c>
      <c r="S291" s="217">
        <f t="shared" si="944"/>
        <v>0.03</v>
      </c>
      <c r="T291" s="217">
        <f t="shared" si="944"/>
        <v>0.03</v>
      </c>
      <c r="U291" s="217">
        <f t="shared" si="944"/>
        <v>0.03</v>
      </c>
      <c r="V291" s="217">
        <f t="shared" si="944"/>
        <v>0.03</v>
      </c>
      <c r="W291" s="217">
        <f t="shared" si="944"/>
        <v>0.03</v>
      </c>
      <c r="X291" s="217">
        <f t="shared" si="944"/>
        <v>0.03</v>
      </c>
      <c r="Y291" s="217">
        <f t="shared" si="944"/>
        <v>0.03</v>
      </c>
      <c r="Z291" s="217">
        <f t="shared" si="944"/>
        <v>0.03</v>
      </c>
      <c r="AA291" s="217">
        <f t="shared" si="944"/>
        <v>0.03</v>
      </c>
      <c r="AB291" s="217">
        <f t="shared" si="944"/>
        <v>0.03</v>
      </c>
      <c r="AC291" s="217">
        <f t="shared" si="944"/>
        <v>0.03</v>
      </c>
      <c r="AD291" s="217">
        <f t="shared" si="944"/>
        <v>0.03</v>
      </c>
      <c r="AE291" s="217">
        <f t="shared" si="944"/>
        <v>0.03</v>
      </c>
      <c r="AF291" s="217">
        <f t="shared" si="944"/>
        <v>0.03</v>
      </c>
      <c r="AG291" s="217">
        <f t="shared" si="944"/>
        <v>0.03</v>
      </c>
      <c r="AH291" s="217">
        <f t="shared" si="944"/>
        <v>0</v>
      </c>
      <c r="AI291" s="217">
        <f t="shared" si="944"/>
        <v>0</v>
      </c>
      <c r="AJ291" s="217">
        <f t="shared" si="944"/>
        <v>0</v>
      </c>
      <c r="AK291" s="217">
        <f t="shared" si="944"/>
        <v>0</v>
      </c>
      <c r="AL291" s="217">
        <f t="shared" si="944"/>
        <v>0</v>
      </c>
      <c r="AM291" s="217">
        <f t="shared" si="944"/>
        <v>0</v>
      </c>
      <c r="AN291" s="217">
        <f t="shared" si="944"/>
        <v>0</v>
      </c>
      <c r="AO291" s="217">
        <f t="shared" si="944"/>
        <v>0</v>
      </c>
      <c r="AP291" s="217">
        <f t="shared" si="944"/>
        <v>0</v>
      </c>
      <c r="AQ291" s="217">
        <f t="shared" si="944"/>
        <v>0</v>
      </c>
      <c r="AR291" s="217">
        <f t="shared" ref="AR291:BW291" si="945">IFERROR(AR135/AR130,$G$291)</f>
        <v>0</v>
      </c>
      <c r="AS291" s="217">
        <f t="shared" si="945"/>
        <v>0</v>
      </c>
      <c r="AT291" s="217">
        <f t="shared" si="945"/>
        <v>0</v>
      </c>
      <c r="AU291" s="217">
        <f t="shared" si="945"/>
        <v>0</v>
      </c>
      <c r="AV291" s="217">
        <f t="shared" si="945"/>
        <v>0</v>
      </c>
      <c r="AW291" s="217">
        <f t="shared" si="945"/>
        <v>0</v>
      </c>
      <c r="AX291" s="217">
        <f t="shared" si="945"/>
        <v>0</v>
      </c>
      <c r="AY291" s="217">
        <f t="shared" si="945"/>
        <v>0</v>
      </c>
      <c r="AZ291" s="217">
        <f t="shared" si="945"/>
        <v>0</v>
      </c>
      <c r="BA291" s="217">
        <f t="shared" si="945"/>
        <v>0</v>
      </c>
      <c r="BB291" s="217">
        <f t="shared" si="945"/>
        <v>0</v>
      </c>
      <c r="BC291" s="217">
        <f t="shared" si="945"/>
        <v>0</v>
      </c>
      <c r="BD291" s="217">
        <f t="shared" si="945"/>
        <v>0</v>
      </c>
      <c r="BE291" s="217">
        <f t="shared" si="945"/>
        <v>0</v>
      </c>
      <c r="BF291" s="217">
        <f t="shared" si="945"/>
        <v>0</v>
      </c>
      <c r="BG291" s="217">
        <f t="shared" si="945"/>
        <v>0</v>
      </c>
      <c r="BH291" s="217">
        <f t="shared" si="945"/>
        <v>0</v>
      </c>
      <c r="BI291" s="217">
        <f t="shared" si="945"/>
        <v>0</v>
      </c>
      <c r="BJ291" s="217">
        <f t="shared" si="945"/>
        <v>0</v>
      </c>
      <c r="BK291" s="217">
        <f t="shared" si="945"/>
        <v>0</v>
      </c>
      <c r="BL291" s="217">
        <f t="shared" si="945"/>
        <v>0</v>
      </c>
      <c r="BM291" s="217">
        <f t="shared" si="945"/>
        <v>0</v>
      </c>
      <c r="BN291" s="217">
        <f t="shared" si="945"/>
        <v>0</v>
      </c>
      <c r="BO291" s="217">
        <f t="shared" si="945"/>
        <v>0</v>
      </c>
      <c r="BP291" s="217">
        <f t="shared" si="945"/>
        <v>0</v>
      </c>
      <c r="BQ291" s="217">
        <f t="shared" si="945"/>
        <v>0</v>
      </c>
      <c r="BR291" s="217">
        <f t="shared" si="945"/>
        <v>0</v>
      </c>
      <c r="BS291" s="217">
        <f t="shared" si="945"/>
        <v>0</v>
      </c>
      <c r="BT291" s="217">
        <f t="shared" si="945"/>
        <v>0</v>
      </c>
      <c r="BU291" s="217">
        <f t="shared" si="945"/>
        <v>0</v>
      </c>
      <c r="BV291" s="217">
        <f t="shared" si="945"/>
        <v>0</v>
      </c>
      <c r="BW291" s="217">
        <f t="shared" si="945"/>
        <v>0</v>
      </c>
      <c r="BX291" s="217">
        <f t="shared" ref="BX291:DC291" si="946">IFERROR(BX135/BX130,$G$291)</f>
        <v>0</v>
      </c>
      <c r="BY291" s="217">
        <f t="shared" si="946"/>
        <v>0</v>
      </c>
      <c r="BZ291" s="217">
        <f t="shared" si="946"/>
        <v>0</v>
      </c>
      <c r="CA291" s="217">
        <f t="shared" si="946"/>
        <v>0</v>
      </c>
      <c r="CB291" s="217">
        <f t="shared" si="946"/>
        <v>0</v>
      </c>
      <c r="CC291" s="217">
        <f t="shared" si="946"/>
        <v>0</v>
      </c>
      <c r="CD291" s="217">
        <f t="shared" si="946"/>
        <v>0</v>
      </c>
      <c r="CE291" s="217">
        <f t="shared" si="946"/>
        <v>0</v>
      </c>
      <c r="CF291" s="217">
        <f t="shared" si="946"/>
        <v>0</v>
      </c>
      <c r="CG291" s="217">
        <f t="shared" si="946"/>
        <v>0</v>
      </c>
      <c r="CH291" s="217">
        <f t="shared" si="946"/>
        <v>0</v>
      </c>
      <c r="CI291" s="217">
        <f t="shared" si="946"/>
        <v>0</v>
      </c>
      <c r="CJ291" s="217">
        <f t="shared" si="946"/>
        <v>0</v>
      </c>
      <c r="CK291" s="217">
        <f t="shared" si="946"/>
        <v>0</v>
      </c>
      <c r="CL291" s="217">
        <f t="shared" si="946"/>
        <v>0</v>
      </c>
      <c r="CM291" s="217">
        <f t="shared" si="946"/>
        <v>0</v>
      </c>
      <c r="CN291" s="217">
        <f t="shared" si="946"/>
        <v>0</v>
      </c>
      <c r="CO291" s="217">
        <f t="shared" si="946"/>
        <v>0</v>
      </c>
      <c r="CP291" s="217">
        <f t="shared" si="946"/>
        <v>0</v>
      </c>
      <c r="CQ291" s="217">
        <f t="shared" si="946"/>
        <v>0</v>
      </c>
      <c r="CR291" s="217">
        <f t="shared" si="946"/>
        <v>0</v>
      </c>
      <c r="CS291" s="217">
        <f t="shared" si="946"/>
        <v>0</v>
      </c>
      <c r="CT291" s="217">
        <f t="shared" si="946"/>
        <v>0</v>
      </c>
      <c r="CU291" s="217">
        <f t="shared" si="946"/>
        <v>0</v>
      </c>
      <c r="CV291" s="217">
        <f t="shared" si="946"/>
        <v>0</v>
      </c>
      <c r="CW291" s="217">
        <f t="shared" si="946"/>
        <v>0</v>
      </c>
      <c r="CX291" s="217">
        <f t="shared" si="946"/>
        <v>0</v>
      </c>
      <c r="CY291" s="217">
        <f t="shared" si="946"/>
        <v>0</v>
      </c>
      <c r="CZ291" s="217">
        <f t="shared" si="946"/>
        <v>0</v>
      </c>
      <c r="DA291" s="217">
        <f t="shared" si="946"/>
        <v>0</v>
      </c>
      <c r="DB291" s="217">
        <f t="shared" si="946"/>
        <v>0</v>
      </c>
      <c r="DC291" s="217">
        <f t="shared" si="946"/>
        <v>0</v>
      </c>
      <c r="DD291" s="217">
        <f t="shared" ref="DD291:EN291" si="947">IFERROR(DD135/DD130,$G$291)</f>
        <v>0</v>
      </c>
      <c r="DE291" s="217">
        <f t="shared" si="947"/>
        <v>0</v>
      </c>
      <c r="DF291" s="217">
        <f t="shared" si="947"/>
        <v>0</v>
      </c>
      <c r="DG291" s="217">
        <f t="shared" si="947"/>
        <v>0</v>
      </c>
      <c r="DH291" s="217">
        <f t="shared" si="947"/>
        <v>0</v>
      </c>
      <c r="DI291" s="217">
        <f t="shared" si="947"/>
        <v>0</v>
      </c>
      <c r="DJ291" s="217">
        <f t="shared" si="947"/>
        <v>0</v>
      </c>
      <c r="DK291" s="217">
        <f t="shared" si="947"/>
        <v>0</v>
      </c>
      <c r="DL291" s="217">
        <f t="shared" si="947"/>
        <v>0</v>
      </c>
      <c r="DM291" s="217">
        <f t="shared" si="947"/>
        <v>0</v>
      </c>
      <c r="DN291" s="217">
        <f t="shared" si="947"/>
        <v>0</v>
      </c>
      <c r="DO291" s="217">
        <f t="shared" si="947"/>
        <v>0</v>
      </c>
      <c r="DP291" s="217">
        <f t="shared" si="947"/>
        <v>0</v>
      </c>
      <c r="DQ291" s="217">
        <f t="shared" si="947"/>
        <v>0</v>
      </c>
      <c r="DR291" s="217">
        <f t="shared" si="947"/>
        <v>0</v>
      </c>
      <c r="DS291" s="217">
        <f t="shared" si="947"/>
        <v>0</v>
      </c>
      <c r="DT291" s="217">
        <f t="shared" si="947"/>
        <v>0</v>
      </c>
      <c r="DU291" s="217">
        <f t="shared" si="947"/>
        <v>0</v>
      </c>
      <c r="DV291" s="217">
        <f t="shared" si="947"/>
        <v>0</v>
      </c>
      <c r="DW291" s="217">
        <f t="shared" si="947"/>
        <v>0</v>
      </c>
      <c r="DX291" s="217">
        <f t="shared" si="947"/>
        <v>0</v>
      </c>
      <c r="DY291" s="217">
        <f t="shared" si="947"/>
        <v>0</v>
      </c>
      <c r="DZ291" s="217">
        <f t="shared" si="947"/>
        <v>0</v>
      </c>
      <c r="EA291" s="217">
        <f t="shared" si="947"/>
        <v>0</v>
      </c>
      <c r="EB291" s="217">
        <f t="shared" si="947"/>
        <v>0</v>
      </c>
      <c r="EC291" s="217">
        <f t="shared" si="947"/>
        <v>0</v>
      </c>
      <c r="ED291" s="217">
        <f t="shared" si="947"/>
        <v>0</v>
      </c>
      <c r="EE291" s="217">
        <f t="shared" si="947"/>
        <v>0</v>
      </c>
      <c r="EF291" s="217">
        <f t="shared" si="947"/>
        <v>0</v>
      </c>
      <c r="EG291" s="217">
        <f t="shared" si="947"/>
        <v>0</v>
      </c>
      <c r="EH291" s="217">
        <f t="shared" si="947"/>
        <v>0</v>
      </c>
      <c r="EI291" s="217">
        <f t="shared" si="947"/>
        <v>0</v>
      </c>
      <c r="EJ291" s="217">
        <f t="shared" si="947"/>
        <v>0</v>
      </c>
      <c r="EK291" s="217">
        <f t="shared" si="947"/>
        <v>0</v>
      </c>
      <c r="EL291" s="217">
        <f t="shared" si="947"/>
        <v>0</v>
      </c>
      <c r="EM291" s="217">
        <f t="shared" si="947"/>
        <v>0</v>
      </c>
      <c r="EN291" s="217">
        <f t="shared" si="947"/>
        <v>0</v>
      </c>
      <c r="EO291" s="81"/>
      <c r="EP291" s="213"/>
      <c r="EQ291" s="81"/>
      <c r="ER291" s="81"/>
      <c r="ES291" s="81"/>
      <c r="ET291" s="81"/>
      <c r="EU291" s="81"/>
      <c r="EV291" s="81"/>
      <c r="EW291" s="81"/>
      <c r="EX291" s="81"/>
      <c r="EY291" s="81"/>
      <c r="EZ291" s="81"/>
      <c r="FA291" s="81"/>
      <c r="FB291" s="81"/>
      <c r="FC291" s="81"/>
      <c r="FD291" s="81"/>
      <c r="FE291" s="81"/>
      <c r="FF291" s="81"/>
      <c r="FG291" s="81"/>
      <c r="FH291" s="81"/>
      <c r="FI291" s="81"/>
      <c r="FJ291" s="81"/>
      <c r="FK291" s="81"/>
      <c r="FL291" s="81"/>
      <c r="FM291" s="81"/>
      <c r="FN291" s="81"/>
      <c r="FO291" s="81"/>
      <c r="FP291" s="81"/>
      <c r="FQ291" s="81"/>
      <c r="FR291" s="81"/>
      <c r="FS291" s="81"/>
      <c r="FT291" s="81"/>
      <c r="FU291" s="81"/>
      <c r="FV291" s="81"/>
      <c r="FW291" s="81"/>
      <c r="FX291" s="81"/>
      <c r="FY291" s="81"/>
      <c r="FZ291" s="81"/>
      <c r="GA291" s="81"/>
      <c r="GB291" s="81"/>
      <c r="GC291" s="81"/>
      <c r="GD291" s="81"/>
      <c r="GE291" s="81"/>
      <c r="GF291" s="81"/>
      <c r="GG291" s="81"/>
      <c r="GH291" s="81"/>
      <c r="GI291" s="81"/>
      <c r="GJ291" s="81"/>
      <c r="GK291" s="81"/>
      <c r="GL291" s="81"/>
      <c r="GM291" s="81"/>
      <c r="GN291" s="81"/>
      <c r="GO291" s="81"/>
      <c r="GP291" s="81"/>
      <c r="GQ291" s="81"/>
      <c r="GR291" s="81"/>
      <c r="GS291" s="81"/>
      <c r="GT291" s="81"/>
      <c r="GU291" s="81"/>
      <c r="GV291" s="81"/>
      <c r="GW291" s="81"/>
      <c r="GX291" s="81"/>
      <c r="GY291" s="81"/>
      <c r="GZ291" s="81"/>
      <c r="HA291" s="81"/>
      <c r="HB291" s="81"/>
      <c r="HC291" s="81"/>
      <c r="HD291" s="81"/>
      <c r="HE291" s="81"/>
      <c r="HF291" s="81"/>
      <c r="HG291" s="81"/>
      <c r="HH291" s="81"/>
      <c r="HI291" s="81"/>
      <c r="HJ291" s="81"/>
      <c r="HK291" s="81"/>
      <c r="HL291" s="81"/>
      <c r="HM291" s="81"/>
      <c r="HN291" s="81"/>
      <c r="HO291" s="81"/>
      <c r="HP291" s="81"/>
      <c r="HQ291" s="81"/>
      <c r="HR291" s="81"/>
      <c r="HS291" s="81"/>
      <c r="HT291" s="81"/>
      <c r="HU291" s="81"/>
      <c r="HV291" s="81"/>
      <c r="HW291" s="81"/>
      <c r="HX291" s="81"/>
      <c r="HY291" s="81"/>
      <c r="HZ291" s="81"/>
      <c r="IA291" s="81"/>
      <c r="IB291" s="81"/>
      <c r="IC291" s="81"/>
      <c r="ID291" s="81"/>
      <c r="IE291" s="81"/>
      <c r="IF291" s="81"/>
      <c r="IG291" s="81"/>
      <c r="IH291" s="81"/>
      <c r="II291" s="81"/>
      <c r="IJ291" s="81"/>
      <c r="IK291" s="81"/>
      <c r="IL291" s="81"/>
      <c r="IM291" s="81"/>
      <c r="IN291" s="81"/>
      <c r="IO291" s="81"/>
      <c r="IP291" s="81"/>
      <c r="IQ291" s="81"/>
      <c r="IR291" s="81"/>
      <c r="IS291" s="81"/>
      <c r="IT291" s="81"/>
      <c r="IU291" s="81"/>
      <c r="IV291" s="81"/>
      <c r="IW291" s="81"/>
      <c r="IX291" s="81"/>
      <c r="IY291" s="81"/>
      <c r="IZ291" s="81"/>
      <c r="JA291" s="81"/>
      <c r="JB291" s="81"/>
      <c r="JC291" s="81"/>
      <c r="JD291" s="81"/>
      <c r="JE291" s="81"/>
      <c r="JF291" s="81"/>
      <c r="JG291" s="81"/>
      <c r="JH291" s="81"/>
      <c r="JI291" s="81"/>
      <c r="JJ291" s="81"/>
      <c r="JK291" s="81"/>
      <c r="JL291" s="81"/>
      <c r="JM291" s="81"/>
      <c r="JN291" s="81"/>
      <c r="JO291" s="81"/>
      <c r="JP291" s="81"/>
      <c r="JQ291" s="81"/>
      <c r="JR291" s="81"/>
      <c r="JS291" s="81"/>
      <c r="JT291" s="81"/>
      <c r="JU291" s="81"/>
      <c r="JV291" s="81"/>
      <c r="JW291" s="81"/>
      <c r="JX291" s="81"/>
      <c r="JY291"/>
      <c r="JZ291" s="262"/>
      <c r="KA291" s="262"/>
      <c r="KB291" s="262"/>
      <c r="KC291" s="262"/>
      <c r="KD291" s="262"/>
      <c r="KE291" s="262"/>
      <c r="KF291" s="262"/>
      <c r="KG291" s="262"/>
      <c r="KH291" s="262"/>
      <c r="KI291" s="262"/>
      <c r="KJ291" s="262"/>
      <c r="KK291" s="262"/>
      <c r="KL291" s="262"/>
      <c r="KM291" s="262"/>
      <c r="KN291" s="262"/>
      <c r="KO291" s="262"/>
      <c r="KP291" s="262"/>
      <c r="KQ291" s="262"/>
      <c r="KR291" s="262"/>
      <c r="KS291" s="262"/>
      <c r="KT291" s="262"/>
      <c r="KU291" s="262"/>
      <c r="KV291" s="262"/>
      <c r="KW291" s="262"/>
      <c r="KX291" s="262"/>
      <c r="KY291" s="262"/>
      <c r="KZ291" s="262"/>
      <c r="LA291" s="262"/>
      <c r="LB291" s="262"/>
      <c r="LC291" s="262"/>
      <c r="LD291" s="262"/>
      <c r="LE291" s="262"/>
      <c r="LF291" s="262"/>
      <c r="LG291" s="262"/>
      <c r="LH291" s="262"/>
      <c r="LI291" s="262"/>
      <c r="LJ291" s="262"/>
      <c r="LK291" s="262"/>
      <c r="LL291" s="262"/>
      <c r="LM291" s="262"/>
      <c r="LN291" s="262"/>
      <c r="LO291" s="262"/>
      <c r="LP291" s="262"/>
      <c r="LQ291" s="262"/>
      <c r="LR291" s="262"/>
      <c r="LS291" s="262"/>
      <c r="LT291" s="262"/>
      <c r="LU291" s="262"/>
      <c r="LV291" s="262"/>
      <c r="LW291" s="262"/>
      <c r="LX291" s="262"/>
      <c r="LY291" s="262"/>
      <c r="LZ291" s="262"/>
      <c r="MA291" s="262"/>
      <c r="MB291" s="262"/>
      <c r="MC291" s="262"/>
      <c r="MD291" s="262"/>
      <c r="ME291" s="262"/>
      <c r="MF291" s="262"/>
      <c r="MG291" s="262"/>
      <c r="MH291" s="262"/>
      <c r="MI291" s="262"/>
      <c r="MJ291" s="262"/>
      <c r="MK291" s="262"/>
      <c r="ML291" s="262"/>
      <c r="MM291" s="262"/>
      <c r="MN291" s="262"/>
      <c r="MO291" s="262"/>
      <c r="MP291" s="262"/>
      <c r="MQ291" s="262"/>
      <c r="MR291" s="262"/>
      <c r="MS291" s="262"/>
      <c r="MT291" s="262"/>
      <c r="MU291" s="262"/>
      <c r="MV291" s="262"/>
      <c r="MW291" s="262"/>
      <c r="MX291" s="262"/>
      <c r="MY291" s="262"/>
      <c r="MZ291" s="262"/>
      <c r="NA291" s="262"/>
      <c r="NB291" s="262"/>
      <c r="NC291" s="262"/>
      <c r="ND291" s="262"/>
      <c r="NE291" s="262"/>
      <c r="NF291" s="262"/>
      <c r="NG291" s="262"/>
      <c r="NH291" s="262"/>
      <c r="NI291" s="262"/>
      <c r="NJ291" s="262"/>
      <c r="NK291" s="262"/>
      <c r="NL291" s="262"/>
      <c r="NM291" s="262"/>
      <c r="NN291" s="262"/>
      <c r="NO291" s="262"/>
      <c r="NP291" s="262"/>
      <c r="NQ291" s="262"/>
      <c r="NR291" s="262"/>
      <c r="NS291" s="262"/>
      <c r="NT291" s="262"/>
      <c r="NU291" s="262"/>
      <c r="NV291" s="262"/>
      <c r="NW291" s="262"/>
      <c r="NX291" s="262"/>
      <c r="NY291" s="262"/>
      <c r="NZ291" s="262"/>
      <c r="OA291" s="262"/>
      <c r="OB291" s="262"/>
      <c r="OC291" s="262"/>
      <c r="OD291" s="262"/>
      <c r="OE291" s="262"/>
      <c r="OF291" s="262"/>
      <c r="OG291" s="262"/>
      <c r="OH291" s="262"/>
      <c r="OI291" s="262"/>
      <c r="OJ291" s="262"/>
      <c r="OK291" s="262"/>
      <c r="OL291" s="262"/>
      <c r="OM291" s="262"/>
      <c r="ON291" s="262"/>
      <c r="OO291" s="262"/>
      <c r="OP291" s="262"/>
      <c r="OQ291" s="262"/>
      <c r="OR291" s="262"/>
      <c r="OS291" s="262"/>
      <c r="OT291" s="262"/>
      <c r="OU291" s="262"/>
      <c r="OV291" s="262"/>
      <c r="OW291" s="262"/>
      <c r="OX291" s="262"/>
      <c r="OY291" s="262"/>
      <c r="OZ291" s="262"/>
      <c r="PA291" s="262"/>
      <c r="PB291" s="262"/>
      <c r="PC291" s="262"/>
      <c r="PD291" s="262"/>
      <c r="PE291" s="262"/>
      <c r="PF291" s="262"/>
      <c r="PG291" s="262"/>
      <c r="PH291" s="262"/>
    </row>
    <row r="292" spans="1:424" x14ac:dyDescent="0.35">
      <c r="A292"/>
      <c r="B292" s="213" t="s">
        <v>492</v>
      </c>
      <c r="C292" s="81" t="b">
        <f>AND(C290,C291)</f>
        <v>0</v>
      </c>
      <c r="D292" s="81"/>
      <c r="E292" s="81"/>
      <c r="F292" s="81" t="s">
        <v>493</v>
      </c>
      <c r="G292" s="206">
        <f>ROUND(AVERAGE(K291:EN291),4)</f>
        <v>4.8999999999999998E-3</v>
      </c>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81"/>
      <c r="BZ292" s="81"/>
      <c r="CA292" s="81"/>
      <c r="CB292" s="81"/>
      <c r="CC292" s="81"/>
      <c r="CD292" s="81"/>
      <c r="CE292" s="81"/>
      <c r="CF292" s="81"/>
      <c r="CG292" s="81"/>
      <c r="CH292" s="81"/>
      <c r="CI292" s="81"/>
      <c r="CJ292" s="81"/>
      <c r="CK292" s="81"/>
      <c r="CL292" s="81"/>
      <c r="CM292" s="81"/>
      <c r="CN292" s="81"/>
      <c r="CO292" s="81"/>
      <c r="CP292" s="81"/>
      <c r="CQ292" s="81"/>
      <c r="CR292" s="81"/>
      <c r="CS292" s="81"/>
      <c r="CT292" s="81"/>
      <c r="CU292" s="81"/>
      <c r="CV292" s="81"/>
      <c r="CW292" s="81"/>
      <c r="CX292" s="81"/>
      <c r="CY292" s="81"/>
      <c r="CZ292" s="81"/>
      <c r="DA292" s="81"/>
      <c r="DB292" s="81"/>
      <c r="DC292" s="81"/>
      <c r="DD292" s="81"/>
      <c r="DE292" s="81"/>
      <c r="DF292" s="81"/>
      <c r="DG292" s="81"/>
      <c r="DH292" s="81"/>
      <c r="DI292" s="81"/>
      <c r="DJ292" s="81"/>
      <c r="DK292" s="81"/>
      <c r="DL292" s="81"/>
      <c r="DM292" s="81"/>
      <c r="DN292" s="81"/>
      <c r="DO292" s="81"/>
      <c r="DP292" s="81"/>
      <c r="DQ292" s="81"/>
      <c r="DR292" s="81"/>
      <c r="DS292" s="81"/>
      <c r="DT292" s="81"/>
      <c r="DU292" s="81"/>
      <c r="DV292" s="81"/>
      <c r="DW292" s="81"/>
      <c r="DX292" s="81"/>
      <c r="DY292" s="81"/>
      <c r="DZ292" s="81"/>
      <c r="EA292" s="81"/>
      <c r="EB292" s="81"/>
      <c r="EC292" s="81"/>
      <c r="ED292" s="81"/>
      <c r="EE292" s="81"/>
      <c r="EF292" s="81"/>
      <c r="EG292" s="81"/>
      <c r="EH292" s="81"/>
      <c r="EI292" s="81"/>
      <c r="EJ292" s="81"/>
      <c r="EK292" s="81"/>
      <c r="EL292" s="81"/>
      <c r="EM292" s="81"/>
      <c r="EN292" s="81"/>
      <c r="EO292" s="81"/>
      <c r="EP292" s="213"/>
      <c r="EQ292" s="81"/>
      <c r="ER292" s="81"/>
      <c r="ES292" s="81"/>
      <c r="ET292" s="81"/>
      <c r="EU292" s="81"/>
      <c r="EV292" s="81"/>
      <c r="EW292" s="81"/>
      <c r="EX292" s="81"/>
      <c r="EY292" s="81"/>
      <c r="EZ292" s="81"/>
      <c r="FA292" s="81"/>
      <c r="FB292" s="81"/>
      <c r="FC292" s="81"/>
      <c r="FD292" s="81"/>
      <c r="FE292" s="81"/>
      <c r="FF292" s="81"/>
      <c r="FG292" s="81"/>
      <c r="FH292" s="81"/>
      <c r="FI292" s="81"/>
      <c r="FJ292" s="81"/>
      <c r="FK292" s="81"/>
      <c r="FL292" s="81"/>
      <c r="FM292" s="81"/>
      <c r="FN292" s="81"/>
      <c r="FO292" s="81"/>
      <c r="FP292" s="81"/>
      <c r="FQ292" s="81"/>
      <c r="FR292" s="81"/>
      <c r="FS292" s="81"/>
      <c r="FT292" s="81"/>
      <c r="FU292" s="81"/>
      <c r="FV292" s="81"/>
      <c r="FW292" s="81"/>
      <c r="FX292" s="81"/>
      <c r="FY292" s="81"/>
      <c r="FZ292" s="81"/>
      <c r="GA292" s="81"/>
      <c r="GB292" s="81"/>
      <c r="GC292" s="81"/>
      <c r="GD292" s="81"/>
      <c r="GE292" s="81"/>
      <c r="GF292" s="81"/>
      <c r="GG292" s="81"/>
      <c r="GH292" s="81"/>
      <c r="GI292" s="81"/>
      <c r="GJ292" s="81"/>
      <c r="GK292" s="81"/>
      <c r="GL292" s="81"/>
      <c r="GM292" s="81"/>
      <c r="GN292" s="81"/>
      <c r="GO292" s="81"/>
      <c r="GP292" s="81"/>
      <c r="GQ292" s="81"/>
      <c r="GR292" s="81"/>
      <c r="GS292" s="81"/>
      <c r="GT292" s="81"/>
      <c r="GU292" s="81"/>
      <c r="GV292" s="81"/>
      <c r="GW292" s="81"/>
      <c r="GX292" s="81"/>
      <c r="GY292" s="81"/>
      <c r="GZ292" s="81"/>
      <c r="HA292" s="81"/>
      <c r="HB292" s="81"/>
      <c r="HC292" s="81"/>
      <c r="HD292" s="81"/>
      <c r="HE292" s="81"/>
      <c r="HF292" s="81"/>
      <c r="HG292" s="81"/>
      <c r="HH292" s="81"/>
      <c r="HI292" s="81"/>
      <c r="HJ292" s="81"/>
      <c r="HK292" s="81"/>
      <c r="HL292" s="81"/>
      <c r="HM292" s="81"/>
      <c r="HN292" s="81"/>
      <c r="HO292" s="81"/>
      <c r="HP292" s="81"/>
      <c r="HQ292" s="81"/>
      <c r="HR292" s="81"/>
      <c r="HS292" s="81"/>
      <c r="HT292" s="81"/>
      <c r="HU292" s="81"/>
      <c r="HV292" s="81"/>
      <c r="HW292" s="81"/>
      <c r="HX292" s="81"/>
      <c r="HY292" s="81"/>
      <c r="HZ292" s="81"/>
      <c r="IA292" s="81"/>
      <c r="IB292" s="81"/>
      <c r="IC292" s="81"/>
      <c r="ID292" s="81"/>
      <c r="IE292" s="81"/>
      <c r="IF292" s="81"/>
      <c r="IG292" s="81"/>
      <c r="IH292" s="81"/>
      <c r="II292" s="81"/>
      <c r="IJ292" s="81"/>
      <c r="IK292" s="81"/>
      <c r="IL292" s="81"/>
      <c r="IM292" s="81"/>
      <c r="IN292" s="81"/>
      <c r="IO292" s="81"/>
      <c r="IP292" s="81"/>
      <c r="IQ292" s="81"/>
      <c r="IR292" s="81"/>
      <c r="IS292" s="81"/>
      <c r="IT292" s="81"/>
      <c r="IU292" s="81"/>
      <c r="IV292" s="81"/>
      <c r="IW292" s="81"/>
      <c r="IX292" s="81"/>
      <c r="IY292" s="81"/>
      <c r="IZ292" s="81"/>
      <c r="JA292" s="81"/>
      <c r="JB292" s="81"/>
      <c r="JC292" s="81"/>
      <c r="JD292" s="81"/>
      <c r="JE292" s="81"/>
      <c r="JF292" s="81"/>
      <c r="JG292" s="81"/>
      <c r="JH292" s="81"/>
      <c r="JI292" s="81"/>
      <c r="JJ292" s="81"/>
      <c r="JK292" s="81"/>
      <c r="JL292" s="81"/>
      <c r="JM292" s="81"/>
      <c r="JN292" s="81"/>
      <c r="JO292" s="81"/>
      <c r="JP292" s="81"/>
      <c r="JQ292" s="81"/>
      <c r="JR292" s="81"/>
      <c r="JS292" s="81"/>
      <c r="JT292" s="81"/>
      <c r="JU292" s="81"/>
      <c r="JV292" s="81"/>
      <c r="JW292" s="81"/>
      <c r="JX292" s="81"/>
      <c r="JY292"/>
      <c r="JZ292" s="262"/>
      <c r="KA292" s="262"/>
      <c r="KB292" s="262"/>
      <c r="KC292" s="262"/>
      <c r="KD292" s="262"/>
      <c r="KE292" s="262"/>
      <c r="KF292" s="262"/>
      <c r="KG292" s="262"/>
      <c r="KH292" s="262"/>
      <c r="KI292" s="262"/>
      <c r="KJ292" s="262"/>
      <c r="KK292" s="262"/>
      <c r="KL292" s="262"/>
      <c r="KM292" s="262"/>
      <c r="KN292" s="262"/>
      <c r="KO292" s="262"/>
      <c r="KP292" s="262"/>
      <c r="KQ292" s="262"/>
      <c r="KR292" s="262"/>
      <c r="KS292" s="262"/>
      <c r="KT292" s="262"/>
      <c r="KU292" s="262"/>
      <c r="KV292" s="262"/>
      <c r="KW292" s="262"/>
      <c r="KX292" s="262"/>
      <c r="KY292" s="262"/>
      <c r="KZ292" s="262"/>
      <c r="LA292" s="262"/>
      <c r="LB292" s="262"/>
      <c r="LC292" s="262"/>
      <c r="LD292" s="262"/>
      <c r="LE292" s="262"/>
      <c r="LF292" s="262"/>
      <c r="LG292" s="262"/>
      <c r="LH292" s="262"/>
      <c r="LI292" s="262"/>
      <c r="LJ292" s="262"/>
      <c r="LK292" s="262"/>
      <c r="LL292" s="262"/>
      <c r="LM292" s="262"/>
      <c r="LN292" s="262"/>
      <c r="LO292" s="262"/>
      <c r="LP292" s="262"/>
      <c r="LQ292" s="262"/>
      <c r="LR292" s="262"/>
      <c r="LS292" s="262"/>
      <c r="LT292" s="262"/>
      <c r="LU292" s="262"/>
      <c r="LV292" s="262"/>
      <c r="LW292" s="262"/>
      <c r="LX292" s="262"/>
      <c r="LY292" s="262"/>
      <c r="LZ292" s="262"/>
      <c r="MA292" s="262"/>
      <c r="MB292" s="262"/>
      <c r="MC292" s="262"/>
      <c r="MD292" s="262"/>
      <c r="ME292" s="262"/>
      <c r="MF292" s="262"/>
      <c r="MG292" s="262"/>
      <c r="MH292" s="262"/>
      <c r="MI292" s="262"/>
      <c r="MJ292" s="262"/>
      <c r="MK292" s="262"/>
      <c r="ML292" s="262"/>
      <c r="MM292" s="262"/>
      <c r="MN292" s="262"/>
      <c r="MO292" s="262"/>
      <c r="MP292" s="262"/>
      <c r="MQ292" s="262"/>
      <c r="MR292" s="262"/>
      <c r="MS292" s="262"/>
      <c r="MT292" s="262"/>
      <c r="MU292" s="262"/>
      <c r="MV292" s="262"/>
      <c r="MW292" s="262"/>
      <c r="MX292" s="262"/>
      <c r="MY292" s="262"/>
      <c r="MZ292" s="262"/>
      <c r="NA292" s="262"/>
      <c r="NB292" s="262"/>
      <c r="NC292" s="262"/>
      <c r="ND292" s="262"/>
      <c r="NE292" s="262"/>
      <c r="NF292" s="262"/>
      <c r="NG292" s="262"/>
      <c r="NH292" s="262"/>
      <c r="NI292" s="262"/>
      <c r="NJ292" s="262"/>
      <c r="NK292" s="262"/>
      <c r="NL292" s="262"/>
      <c r="NM292" s="262"/>
      <c r="NN292" s="262"/>
      <c r="NO292" s="262"/>
      <c r="NP292" s="262"/>
      <c r="NQ292" s="262"/>
      <c r="NR292" s="262"/>
      <c r="NS292" s="262"/>
      <c r="NT292" s="262"/>
      <c r="NU292" s="262"/>
      <c r="NV292" s="262"/>
      <c r="NW292" s="262"/>
      <c r="NX292" s="262"/>
      <c r="NY292" s="262"/>
      <c r="NZ292" s="262"/>
      <c r="OA292" s="262"/>
      <c r="OB292" s="262"/>
      <c r="OC292" s="262"/>
      <c r="OD292" s="262"/>
      <c r="OE292" s="262"/>
      <c r="OF292" s="262"/>
      <c r="OG292" s="262"/>
      <c r="OH292" s="262"/>
      <c r="OI292" s="262"/>
      <c r="OJ292" s="262"/>
      <c r="OK292" s="262"/>
      <c r="OL292" s="262"/>
      <c r="OM292" s="262"/>
      <c r="ON292" s="262"/>
      <c r="OO292" s="262"/>
      <c r="OP292" s="262"/>
      <c r="OQ292" s="262"/>
      <c r="OR292" s="262"/>
      <c r="OS292" s="262"/>
      <c r="OT292" s="262"/>
      <c r="OU292" s="262"/>
      <c r="OV292" s="262"/>
      <c r="OW292" s="262"/>
      <c r="OX292" s="262"/>
      <c r="OY292" s="262"/>
      <c r="OZ292" s="262"/>
      <c r="PA292" s="262"/>
      <c r="PB292" s="262"/>
      <c r="PC292" s="262"/>
      <c r="PD292" s="262"/>
      <c r="PE292" s="262"/>
      <c r="PF292" s="262"/>
      <c r="PG292" s="262"/>
      <c r="PH292" s="262"/>
    </row>
    <row r="293" spans="1:424" x14ac:dyDescent="0.35">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81"/>
      <c r="BZ293" s="81"/>
      <c r="CA293" s="81"/>
      <c r="CB293" s="81"/>
      <c r="CC293" s="81"/>
      <c r="CD293" s="81"/>
      <c r="CE293" s="81"/>
      <c r="CF293" s="81"/>
      <c r="CG293" s="81"/>
      <c r="CH293" s="81"/>
      <c r="CI293" s="81"/>
      <c r="CJ293" s="81"/>
      <c r="CK293" s="81"/>
      <c r="CL293" s="81"/>
      <c r="CM293" s="81"/>
      <c r="CN293" s="81"/>
      <c r="CO293" s="81"/>
      <c r="CP293" s="81"/>
      <c r="CQ293" s="81"/>
      <c r="CR293" s="81"/>
      <c r="CS293" s="81"/>
      <c r="CT293" s="81"/>
      <c r="CU293" s="81"/>
      <c r="CV293" s="81"/>
      <c r="CW293" s="81"/>
      <c r="CX293" s="81"/>
      <c r="CY293" s="81"/>
      <c r="CZ293" s="81"/>
      <c r="DA293" s="81"/>
      <c r="DB293" s="81"/>
      <c r="DC293" s="81"/>
      <c r="DD293" s="81"/>
      <c r="DE293" s="81"/>
      <c r="DF293" s="81"/>
      <c r="DG293" s="81"/>
      <c r="DH293" s="81"/>
      <c r="DI293" s="81"/>
      <c r="DJ293" s="81"/>
      <c r="DK293" s="81"/>
      <c r="DL293" s="81"/>
      <c r="DM293" s="81"/>
      <c r="DN293" s="81"/>
      <c r="DO293" s="81"/>
      <c r="DP293" s="81"/>
      <c r="DQ293" s="81"/>
      <c r="DR293" s="81"/>
      <c r="DS293" s="81"/>
      <c r="DT293" s="81"/>
      <c r="DU293" s="81"/>
      <c r="DV293" s="81"/>
      <c r="DW293" s="81"/>
      <c r="DX293" s="81"/>
      <c r="DY293" s="81"/>
      <c r="DZ293" s="81"/>
      <c r="EA293" s="81"/>
      <c r="EB293" s="81"/>
      <c r="EC293" s="81"/>
      <c r="ED293" s="81"/>
      <c r="EE293" s="81"/>
      <c r="EF293" s="81"/>
      <c r="EG293" s="81"/>
      <c r="EH293" s="81"/>
      <c r="EI293" s="81"/>
      <c r="EJ293" s="81"/>
      <c r="EK293" s="81"/>
      <c r="EL293" s="81"/>
      <c r="EM293" s="81"/>
      <c r="EN293" s="81"/>
      <c r="EO293" s="81"/>
      <c r="EP293" s="213"/>
      <c r="EQ293" s="81"/>
      <c r="ER293" s="81"/>
      <c r="ES293" s="81"/>
      <c r="ET293" s="81"/>
      <c r="EU293" s="81"/>
      <c r="EV293" s="81"/>
      <c r="EW293" s="81"/>
      <c r="EX293" s="81"/>
      <c r="EY293" s="81"/>
      <c r="EZ293" s="81"/>
      <c r="FA293" s="81"/>
      <c r="FB293" s="81"/>
      <c r="FC293" s="81"/>
      <c r="FD293" s="81"/>
      <c r="FE293" s="81"/>
      <c r="FF293" s="81"/>
      <c r="FG293" s="81"/>
      <c r="FH293" s="81"/>
      <c r="FI293" s="81"/>
      <c r="FJ293" s="81"/>
      <c r="FK293" s="81"/>
      <c r="FL293" s="81"/>
      <c r="FM293" s="81"/>
      <c r="FN293" s="81"/>
      <c r="FO293" s="81"/>
      <c r="FP293" s="81"/>
      <c r="FQ293" s="81"/>
      <c r="FR293" s="81"/>
      <c r="FS293" s="81"/>
      <c r="FT293" s="81"/>
      <c r="FU293" s="81"/>
      <c r="FV293" s="81"/>
      <c r="FW293" s="81"/>
      <c r="FX293" s="81"/>
      <c r="FY293" s="81"/>
      <c r="FZ293" s="81"/>
      <c r="GA293" s="81"/>
      <c r="GB293" s="81"/>
      <c r="GC293" s="81"/>
      <c r="GD293" s="81"/>
      <c r="GE293" s="81"/>
      <c r="GF293" s="81"/>
      <c r="GG293" s="81"/>
      <c r="GH293" s="81"/>
      <c r="GI293" s="81"/>
      <c r="GJ293" s="81"/>
      <c r="GK293" s="81"/>
      <c r="GL293" s="81"/>
      <c r="GM293" s="81"/>
      <c r="GN293" s="81"/>
      <c r="GO293" s="81"/>
      <c r="GP293" s="81"/>
      <c r="GQ293" s="81"/>
      <c r="GR293" s="81"/>
      <c r="GS293" s="81"/>
      <c r="GT293" s="81"/>
      <c r="GU293" s="81"/>
      <c r="GV293" s="81"/>
      <c r="GW293" s="81"/>
      <c r="GX293" s="81"/>
      <c r="GY293" s="81"/>
      <c r="GZ293" s="81"/>
      <c r="HA293" s="81"/>
      <c r="HB293" s="81"/>
      <c r="HC293" s="81"/>
      <c r="HD293" s="81"/>
      <c r="HE293" s="81"/>
      <c r="HF293" s="81"/>
      <c r="HG293" s="81"/>
      <c r="HH293" s="81"/>
      <c r="HI293" s="81"/>
      <c r="HJ293" s="81"/>
      <c r="HK293" s="81"/>
      <c r="HL293" s="81"/>
      <c r="HM293" s="81"/>
      <c r="HN293" s="81"/>
      <c r="HO293" s="81"/>
      <c r="HP293" s="81"/>
      <c r="HQ293" s="81"/>
      <c r="HR293" s="81"/>
      <c r="HS293" s="81"/>
      <c r="HT293" s="81"/>
      <c r="HU293" s="81"/>
      <c r="HV293" s="81"/>
      <c r="HW293" s="81"/>
      <c r="HX293" s="81"/>
      <c r="HY293" s="81"/>
      <c r="HZ293" s="81"/>
      <c r="IA293" s="81"/>
      <c r="IB293" s="81"/>
      <c r="IC293" s="81"/>
      <c r="ID293" s="81"/>
      <c r="IE293" s="81"/>
      <c r="IF293" s="81"/>
      <c r="IG293" s="81"/>
      <c r="IH293" s="81"/>
      <c r="II293" s="81"/>
      <c r="IJ293" s="81"/>
      <c r="IK293" s="81"/>
      <c r="IL293" s="81"/>
      <c r="IM293" s="81"/>
      <c r="IN293" s="81"/>
      <c r="IO293" s="81"/>
      <c r="IP293" s="81"/>
      <c r="IQ293" s="81"/>
      <c r="IR293" s="81"/>
      <c r="IS293" s="81"/>
      <c r="IT293" s="81"/>
      <c r="IU293" s="81"/>
      <c r="IV293" s="81"/>
      <c r="IW293" s="81"/>
      <c r="IX293" s="81"/>
      <c r="IY293" s="81"/>
      <c r="IZ293" s="81"/>
      <c r="JA293" s="81"/>
      <c r="JB293" s="81"/>
      <c r="JC293" s="81"/>
      <c r="JD293" s="81"/>
      <c r="JE293" s="81"/>
      <c r="JF293" s="81"/>
      <c r="JG293" s="81"/>
      <c r="JH293" s="81"/>
      <c r="JI293" s="81"/>
      <c r="JJ293" s="81"/>
      <c r="JK293" s="81"/>
      <c r="JL293" s="81"/>
      <c r="JM293" s="81"/>
      <c r="JN293" s="81"/>
      <c r="JO293" s="81"/>
      <c r="JP293" s="81"/>
      <c r="JQ293" s="81"/>
      <c r="JR293" s="81"/>
      <c r="JS293" s="81"/>
      <c r="JT293" s="81"/>
      <c r="JU293" s="81"/>
      <c r="JV293" s="81"/>
      <c r="JW293" s="81"/>
      <c r="JX293" s="81"/>
      <c r="JZ293" s="262"/>
      <c r="KA293" s="262"/>
      <c r="KB293" s="262"/>
      <c r="KC293" s="262"/>
      <c r="KD293" s="262"/>
      <c r="KE293" s="262"/>
      <c r="KF293" s="262"/>
      <c r="KG293" s="262"/>
      <c r="KH293" s="262"/>
      <c r="KI293" s="262"/>
      <c r="KJ293" s="262"/>
      <c r="KK293" s="262"/>
      <c r="KL293" s="262"/>
      <c r="KM293" s="262"/>
      <c r="KN293" s="262"/>
      <c r="KO293" s="262"/>
      <c r="KP293" s="262"/>
      <c r="KQ293" s="262"/>
      <c r="KR293" s="262"/>
      <c r="KS293" s="262"/>
      <c r="KT293" s="262"/>
      <c r="KU293" s="262"/>
      <c r="KV293" s="262"/>
      <c r="KW293" s="262"/>
      <c r="KX293" s="262"/>
      <c r="KY293" s="262"/>
      <c r="KZ293" s="262"/>
      <c r="LA293" s="262"/>
      <c r="LB293" s="262"/>
      <c r="LC293" s="262"/>
      <c r="LD293" s="262"/>
      <c r="LE293" s="262"/>
      <c r="LF293" s="262"/>
      <c r="LG293" s="262"/>
      <c r="LH293" s="262"/>
      <c r="LI293" s="262"/>
      <c r="LJ293" s="262"/>
      <c r="LK293" s="262"/>
      <c r="LL293" s="262"/>
      <c r="LM293" s="262"/>
      <c r="LN293" s="262"/>
      <c r="LO293" s="262"/>
      <c r="LP293" s="262"/>
      <c r="LQ293" s="262"/>
      <c r="LR293" s="262"/>
      <c r="LS293" s="262"/>
      <c r="LT293" s="262"/>
      <c r="LU293" s="262"/>
      <c r="LV293" s="262"/>
      <c r="LW293" s="262"/>
      <c r="LX293" s="262"/>
      <c r="LY293" s="262"/>
      <c r="LZ293" s="262"/>
      <c r="MA293" s="262"/>
      <c r="MB293" s="262"/>
      <c r="MC293" s="262"/>
      <c r="MD293" s="262"/>
      <c r="ME293" s="262"/>
      <c r="MF293" s="262"/>
      <c r="MG293" s="262"/>
      <c r="MH293" s="262"/>
      <c r="MI293" s="262"/>
      <c r="MJ293" s="262"/>
      <c r="MK293" s="262"/>
      <c r="ML293" s="262"/>
      <c r="MM293" s="262"/>
      <c r="MN293" s="262"/>
      <c r="MO293" s="262"/>
      <c r="MP293" s="262"/>
      <c r="MQ293" s="262"/>
      <c r="MR293" s="262"/>
      <c r="MS293" s="262"/>
      <c r="MT293" s="262"/>
      <c r="MU293" s="262"/>
      <c r="MV293" s="262"/>
      <c r="MW293" s="262"/>
      <c r="MX293" s="262"/>
      <c r="MY293" s="262"/>
      <c r="MZ293" s="262"/>
      <c r="NA293" s="262"/>
      <c r="NB293" s="262"/>
      <c r="NC293" s="262"/>
      <c r="ND293" s="262"/>
      <c r="NE293" s="262"/>
      <c r="NF293" s="262"/>
      <c r="NG293" s="262"/>
      <c r="NH293" s="262"/>
      <c r="NI293" s="262"/>
      <c r="NJ293" s="262"/>
      <c r="NK293" s="262"/>
      <c r="NL293" s="262"/>
      <c r="NM293" s="262"/>
      <c r="NN293" s="262"/>
      <c r="NO293" s="262"/>
      <c r="NP293" s="262"/>
      <c r="NQ293" s="262"/>
      <c r="NR293" s="262"/>
      <c r="NS293" s="262"/>
      <c r="NT293" s="262"/>
      <c r="NU293" s="262"/>
      <c r="NV293" s="262"/>
      <c r="NW293" s="262"/>
      <c r="NX293" s="262"/>
      <c r="NY293" s="262"/>
      <c r="NZ293" s="262"/>
      <c r="OA293" s="262"/>
      <c r="OB293" s="262"/>
      <c r="OC293" s="262"/>
      <c r="OD293" s="262"/>
      <c r="OE293" s="262"/>
      <c r="OF293" s="262"/>
      <c r="OG293" s="262"/>
      <c r="OH293" s="262"/>
      <c r="OI293" s="262"/>
      <c r="OJ293" s="262"/>
      <c r="OK293" s="262"/>
      <c r="OL293" s="262"/>
      <c r="OM293" s="262"/>
      <c r="ON293" s="262"/>
      <c r="OO293" s="262"/>
      <c r="OP293" s="262"/>
      <c r="OQ293" s="262"/>
      <c r="OR293" s="262"/>
      <c r="OS293" s="262"/>
      <c r="OT293" s="262"/>
      <c r="OU293" s="262"/>
      <c r="OV293" s="262"/>
      <c r="OW293" s="262"/>
      <c r="OX293" s="262"/>
      <c r="OY293" s="262"/>
      <c r="OZ293" s="262"/>
      <c r="PA293" s="262"/>
      <c r="PB293" s="262"/>
      <c r="PC293" s="262"/>
      <c r="PD293" s="262"/>
      <c r="PE293" s="262"/>
      <c r="PF293" s="262"/>
      <c r="PG293" s="262"/>
      <c r="PH293" s="262"/>
    </row>
    <row r="294" spans="1:424" x14ac:dyDescent="0.35">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1"/>
      <c r="BZ294" s="81"/>
      <c r="CA294" s="81"/>
      <c r="CB294" s="81"/>
      <c r="CC294" s="81"/>
      <c r="CD294" s="81"/>
      <c r="CE294" s="81"/>
      <c r="CF294" s="81"/>
      <c r="CG294" s="81"/>
      <c r="CH294" s="81"/>
      <c r="CI294" s="81"/>
      <c r="CJ294" s="81"/>
      <c r="CK294" s="81"/>
      <c r="CL294" s="81"/>
      <c r="CM294" s="81"/>
      <c r="CN294" s="81"/>
      <c r="CO294" s="81"/>
      <c r="CP294" s="81"/>
      <c r="CQ294" s="81"/>
      <c r="CR294" s="81"/>
      <c r="CS294" s="81"/>
      <c r="CT294" s="81"/>
      <c r="CU294" s="81"/>
      <c r="CV294" s="81"/>
      <c r="CW294" s="81"/>
      <c r="CX294" s="81"/>
      <c r="CY294" s="81"/>
      <c r="CZ294" s="81"/>
      <c r="DA294" s="81"/>
      <c r="DB294" s="81"/>
      <c r="DC294" s="81"/>
      <c r="DD294" s="81"/>
      <c r="DE294" s="81"/>
      <c r="DF294" s="81"/>
      <c r="DG294" s="81"/>
      <c r="DH294" s="81"/>
      <c r="DI294" s="81"/>
      <c r="DJ294" s="81"/>
      <c r="DK294" s="81"/>
      <c r="DL294" s="81"/>
      <c r="DM294" s="81"/>
      <c r="DN294" s="81"/>
      <c r="DO294" s="81"/>
      <c r="DP294" s="81"/>
      <c r="DQ294" s="81"/>
      <c r="DR294" s="81"/>
      <c r="DS294" s="81"/>
      <c r="DT294" s="81"/>
      <c r="DU294" s="81"/>
      <c r="DV294" s="81"/>
      <c r="DW294" s="81"/>
      <c r="DX294" s="81"/>
      <c r="DY294" s="81"/>
      <c r="DZ294" s="81"/>
      <c r="EA294" s="81"/>
      <c r="EB294" s="81"/>
      <c r="EC294" s="81"/>
      <c r="ED294" s="81"/>
      <c r="EE294" s="81"/>
      <c r="EF294" s="81"/>
      <c r="EG294" s="81"/>
      <c r="EH294" s="81"/>
      <c r="EI294" s="81"/>
      <c r="EJ294" s="81"/>
      <c r="EK294" s="81"/>
      <c r="EL294" s="81"/>
      <c r="EM294" s="81"/>
      <c r="EN294" s="81"/>
      <c r="EO294" s="81"/>
      <c r="EP294" s="213"/>
      <c r="EQ294" s="81"/>
      <c r="ER294" s="81"/>
      <c r="ES294" s="81"/>
      <c r="ET294" s="81"/>
      <c r="EU294" s="81"/>
      <c r="EV294" s="81"/>
      <c r="EW294" s="81"/>
      <c r="EX294" s="81"/>
      <c r="EY294" s="81"/>
      <c r="EZ294" s="81"/>
      <c r="FA294" s="81"/>
      <c r="FB294" s="81"/>
      <c r="FC294" s="81"/>
      <c r="FD294" s="81"/>
      <c r="FE294" s="81"/>
      <c r="FF294" s="81"/>
      <c r="FG294" s="81"/>
      <c r="FH294" s="81"/>
      <c r="FI294" s="81"/>
      <c r="FJ294" s="81"/>
      <c r="FK294" s="81"/>
      <c r="FL294" s="81"/>
      <c r="FM294" s="81"/>
      <c r="FN294" s="81"/>
      <c r="FO294" s="81"/>
      <c r="FP294" s="81"/>
      <c r="FQ294" s="81"/>
      <c r="FR294" s="81"/>
      <c r="FS294" s="81"/>
      <c r="FT294" s="81"/>
      <c r="FU294" s="81"/>
      <c r="FV294" s="81"/>
      <c r="FW294" s="81"/>
      <c r="FX294" s="81"/>
      <c r="FY294" s="81"/>
      <c r="FZ294" s="81"/>
      <c r="GA294" s="81"/>
      <c r="GB294" s="81"/>
      <c r="GC294" s="81"/>
      <c r="GD294" s="81"/>
      <c r="GE294" s="81"/>
      <c r="GF294" s="81"/>
      <c r="GG294" s="81"/>
      <c r="GH294" s="81"/>
      <c r="GI294" s="81"/>
      <c r="GJ294" s="81"/>
      <c r="GK294" s="81"/>
      <c r="GL294" s="81"/>
      <c r="GM294" s="81"/>
      <c r="GN294" s="81"/>
      <c r="GO294" s="81"/>
      <c r="GP294" s="81"/>
      <c r="GQ294" s="81"/>
      <c r="GR294" s="81"/>
      <c r="GS294" s="81"/>
      <c r="GT294" s="81"/>
      <c r="GU294" s="81"/>
      <c r="GV294" s="81"/>
      <c r="GW294" s="81"/>
      <c r="GX294" s="81"/>
      <c r="GY294" s="81"/>
      <c r="GZ294" s="81"/>
      <c r="HA294" s="81"/>
      <c r="HB294" s="81"/>
      <c r="HC294" s="81"/>
      <c r="HD294" s="81"/>
      <c r="HE294" s="81"/>
      <c r="HF294" s="81"/>
      <c r="HG294" s="81"/>
      <c r="HH294" s="81"/>
      <c r="HI294" s="81"/>
      <c r="HJ294" s="81"/>
      <c r="HK294" s="81"/>
      <c r="HL294" s="81"/>
      <c r="HM294" s="81"/>
      <c r="HN294" s="81"/>
      <c r="HO294" s="81"/>
      <c r="HP294" s="81"/>
      <c r="HQ294" s="81"/>
      <c r="HR294" s="81"/>
      <c r="HS294" s="81"/>
      <c r="HT294" s="81"/>
      <c r="HU294" s="81"/>
      <c r="HV294" s="81"/>
      <c r="HW294" s="81"/>
      <c r="HX294" s="81"/>
      <c r="HY294" s="81"/>
      <c r="HZ294" s="81"/>
      <c r="IA294" s="81"/>
      <c r="IB294" s="81"/>
      <c r="IC294" s="81"/>
      <c r="ID294" s="81"/>
      <c r="IE294" s="81"/>
      <c r="IF294" s="81"/>
      <c r="IG294" s="81"/>
      <c r="IH294" s="81"/>
      <c r="II294" s="81"/>
      <c r="IJ294" s="81"/>
      <c r="IK294" s="81"/>
      <c r="IL294" s="81"/>
      <c r="IM294" s="81"/>
      <c r="IN294" s="81"/>
      <c r="IO294" s="81"/>
      <c r="IP294" s="81"/>
      <c r="IQ294" s="81"/>
      <c r="IR294" s="81"/>
      <c r="IS294" s="81"/>
      <c r="IT294" s="81"/>
      <c r="IU294" s="81"/>
      <c r="IV294" s="81"/>
      <c r="IW294" s="81"/>
      <c r="IX294" s="81"/>
      <c r="IY294" s="81"/>
      <c r="IZ294" s="81"/>
      <c r="JA294" s="81"/>
      <c r="JB294" s="81"/>
      <c r="JC294" s="81"/>
      <c r="JD294" s="81"/>
      <c r="JE294" s="81"/>
      <c r="JF294" s="81"/>
      <c r="JG294" s="81"/>
      <c r="JH294" s="81"/>
      <c r="JI294" s="81"/>
      <c r="JJ294" s="81"/>
      <c r="JK294" s="81"/>
      <c r="JL294" s="81"/>
      <c r="JM294" s="81"/>
      <c r="JN294" s="81"/>
      <c r="JO294" s="81"/>
      <c r="JP294" s="81"/>
      <c r="JQ294" s="81"/>
      <c r="JR294" s="81"/>
      <c r="JS294" s="81"/>
      <c r="JT294" s="81"/>
      <c r="JU294" s="81"/>
      <c r="JV294" s="81"/>
      <c r="JW294" s="81"/>
      <c r="JX294" s="81"/>
      <c r="JZ294" s="262"/>
      <c r="KA294" s="262"/>
      <c r="KB294" s="262"/>
      <c r="KC294" s="262"/>
      <c r="KD294" s="262"/>
      <c r="KE294" s="262"/>
      <c r="KF294" s="262"/>
      <c r="KG294" s="262"/>
      <c r="KH294" s="262"/>
      <c r="KI294" s="262"/>
      <c r="KJ294" s="262"/>
      <c r="KK294" s="262"/>
      <c r="KL294" s="262"/>
      <c r="KM294" s="262"/>
      <c r="KN294" s="262"/>
      <c r="KO294" s="262"/>
      <c r="KP294" s="262"/>
      <c r="KQ294" s="262"/>
      <c r="KR294" s="262"/>
      <c r="KS294" s="262"/>
      <c r="KT294" s="262"/>
      <c r="KU294" s="262"/>
      <c r="KV294" s="262"/>
      <c r="KW294" s="262"/>
      <c r="KX294" s="262"/>
      <c r="KY294" s="262"/>
      <c r="KZ294" s="262"/>
      <c r="LA294" s="262"/>
      <c r="LB294" s="262"/>
      <c r="LC294" s="262"/>
      <c r="LD294" s="262"/>
      <c r="LE294" s="262"/>
      <c r="LF294" s="262"/>
      <c r="LG294" s="262"/>
      <c r="LH294" s="262"/>
      <c r="LI294" s="262"/>
      <c r="LJ294" s="262"/>
      <c r="LK294" s="262"/>
      <c r="LL294" s="262"/>
      <c r="LM294" s="262"/>
      <c r="LN294" s="262"/>
      <c r="LO294" s="262"/>
      <c r="LP294" s="262"/>
      <c r="LQ294" s="262"/>
      <c r="LR294" s="262"/>
      <c r="LS294" s="262"/>
      <c r="LT294" s="262"/>
      <c r="LU294" s="262"/>
      <c r="LV294" s="262"/>
      <c r="LW294" s="262"/>
      <c r="LX294" s="262"/>
      <c r="LY294" s="262"/>
      <c r="LZ294" s="262"/>
      <c r="MA294" s="262"/>
      <c r="MB294" s="262"/>
      <c r="MC294" s="262"/>
      <c r="MD294" s="262"/>
      <c r="ME294" s="262"/>
      <c r="MF294" s="262"/>
      <c r="MG294" s="262"/>
      <c r="MH294" s="262"/>
      <c r="MI294" s="262"/>
      <c r="MJ294" s="262"/>
      <c r="MK294" s="262"/>
      <c r="ML294" s="262"/>
      <c r="MM294" s="262"/>
      <c r="MN294" s="262"/>
      <c r="MO294" s="262"/>
      <c r="MP294" s="262"/>
      <c r="MQ294" s="262"/>
      <c r="MR294" s="262"/>
      <c r="MS294" s="262"/>
      <c r="MT294" s="262"/>
      <c r="MU294" s="262"/>
      <c r="MV294" s="262"/>
      <c r="MW294" s="262"/>
      <c r="MX294" s="262"/>
      <c r="MY294" s="262"/>
      <c r="MZ294" s="262"/>
      <c r="NA294" s="262"/>
      <c r="NB294" s="262"/>
      <c r="NC294" s="262"/>
      <c r="ND294" s="262"/>
      <c r="NE294" s="262"/>
      <c r="NF294" s="262"/>
      <c r="NG294" s="262"/>
      <c r="NH294" s="262"/>
      <c r="NI294" s="262"/>
      <c r="NJ294" s="262"/>
      <c r="NK294" s="262"/>
      <c r="NL294" s="262"/>
      <c r="NM294" s="262"/>
      <c r="NN294" s="262"/>
      <c r="NO294" s="262"/>
      <c r="NP294" s="262"/>
      <c r="NQ294" s="262"/>
      <c r="NR294" s="262"/>
      <c r="NS294" s="262"/>
      <c r="NT294" s="262"/>
      <c r="NU294" s="262"/>
      <c r="NV294" s="262"/>
      <c r="NW294" s="262"/>
      <c r="NX294" s="262"/>
      <c r="NY294" s="262"/>
      <c r="NZ294" s="262"/>
      <c r="OA294" s="262"/>
      <c r="OB294" s="262"/>
      <c r="OC294" s="262"/>
      <c r="OD294" s="262"/>
      <c r="OE294" s="262"/>
      <c r="OF294" s="262"/>
      <c r="OG294" s="262"/>
      <c r="OH294" s="262"/>
      <c r="OI294" s="262"/>
      <c r="OJ294" s="262"/>
      <c r="OK294" s="262"/>
      <c r="OL294" s="262"/>
      <c r="OM294" s="262"/>
      <c r="ON294" s="262"/>
      <c r="OO294" s="262"/>
      <c r="OP294" s="262"/>
      <c r="OQ294" s="262"/>
      <c r="OR294" s="262"/>
      <c r="OS294" s="262"/>
      <c r="OT294" s="262"/>
      <c r="OU294" s="262"/>
      <c r="OV294" s="262"/>
      <c r="OW294" s="262"/>
      <c r="OX294" s="262"/>
      <c r="OY294" s="262"/>
      <c r="OZ294" s="262"/>
      <c r="PA294" s="262"/>
      <c r="PB294" s="262"/>
      <c r="PC294" s="262"/>
      <c r="PD294" s="262"/>
      <c r="PE294" s="262"/>
      <c r="PF294" s="262"/>
      <c r="PG294" s="262"/>
      <c r="PH294" s="262"/>
    </row>
    <row r="295" spans="1:424" x14ac:dyDescent="0.35">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1"/>
      <c r="BZ295" s="81"/>
      <c r="CA295" s="81"/>
      <c r="CB295" s="81"/>
      <c r="CC295" s="81"/>
      <c r="CD295" s="81"/>
      <c r="CE295" s="81"/>
      <c r="CF295" s="81"/>
      <c r="CG295" s="81"/>
      <c r="CH295" s="81"/>
      <c r="CI295" s="81"/>
      <c r="CJ295" s="81"/>
      <c r="CK295" s="81"/>
      <c r="CL295" s="81"/>
      <c r="CM295" s="81"/>
      <c r="CN295" s="81"/>
      <c r="CO295" s="81"/>
      <c r="CP295" s="81"/>
      <c r="CQ295" s="81"/>
      <c r="CR295" s="81"/>
      <c r="CS295" s="81"/>
      <c r="CT295" s="81"/>
      <c r="CU295" s="81"/>
      <c r="CV295" s="81"/>
      <c r="CW295" s="81"/>
      <c r="CX295" s="81"/>
      <c r="CY295" s="81"/>
      <c r="CZ295" s="81"/>
      <c r="DA295" s="81"/>
      <c r="DB295" s="81"/>
      <c r="DC295" s="81"/>
      <c r="DD295" s="81"/>
      <c r="DE295" s="81"/>
      <c r="DF295" s="81"/>
      <c r="DG295" s="81"/>
      <c r="DH295" s="81"/>
      <c r="DI295" s="81"/>
      <c r="DJ295" s="81"/>
      <c r="DK295" s="81"/>
      <c r="DL295" s="81"/>
      <c r="DM295" s="81"/>
      <c r="DN295" s="81"/>
      <c r="DO295" s="81"/>
      <c r="DP295" s="81"/>
      <c r="DQ295" s="81"/>
      <c r="DR295" s="81"/>
      <c r="DS295" s="81"/>
      <c r="DT295" s="81"/>
      <c r="DU295" s="81"/>
      <c r="DV295" s="81"/>
      <c r="DW295" s="81"/>
      <c r="DX295" s="81"/>
      <c r="DY295" s="81"/>
      <c r="DZ295" s="81"/>
      <c r="EA295" s="81"/>
      <c r="EB295" s="81"/>
      <c r="EC295" s="81"/>
      <c r="ED295" s="81"/>
      <c r="EE295" s="81"/>
      <c r="EF295" s="81"/>
      <c r="EG295" s="81"/>
      <c r="EH295" s="81"/>
      <c r="EI295" s="81"/>
      <c r="EJ295" s="81"/>
      <c r="EK295" s="81"/>
      <c r="EL295" s="81"/>
      <c r="EM295" s="81"/>
      <c r="EN295" s="81"/>
      <c r="EO295" s="81"/>
      <c r="EP295" s="213"/>
      <c r="EQ295" s="81"/>
      <c r="ER295" s="81"/>
      <c r="ES295" s="81"/>
      <c r="ET295" s="81"/>
      <c r="EU295" s="81"/>
      <c r="EV295" s="81"/>
      <c r="EW295" s="81"/>
      <c r="EX295" s="81"/>
      <c r="EY295" s="81"/>
      <c r="EZ295" s="81"/>
      <c r="FA295" s="81"/>
      <c r="FB295" s="81"/>
      <c r="FC295" s="81"/>
      <c r="FD295" s="81"/>
      <c r="FE295" s="81"/>
      <c r="FF295" s="81"/>
      <c r="FG295" s="81"/>
      <c r="FH295" s="81"/>
      <c r="FI295" s="81"/>
      <c r="FJ295" s="81"/>
      <c r="FK295" s="81"/>
      <c r="FL295" s="81"/>
      <c r="FM295" s="81"/>
      <c r="FN295" s="81"/>
      <c r="FO295" s="81"/>
      <c r="FP295" s="81"/>
      <c r="FQ295" s="81"/>
      <c r="FR295" s="81"/>
      <c r="FS295" s="81"/>
      <c r="FT295" s="81"/>
      <c r="FU295" s="81"/>
      <c r="FV295" s="81"/>
      <c r="FW295" s="81"/>
      <c r="FX295" s="81"/>
      <c r="FY295" s="81"/>
      <c r="FZ295" s="81"/>
      <c r="GA295" s="81"/>
      <c r="GB295" s="81"/>
      <c r="GC295" s="81"/>
      <c r="GD295" s="81"/>
      <c r="GE295" s="81"/>
      <c r="GF295" s="81"/>
      <c r="GG295" s="81"/>
      <c r="GH295" s="81"/>
      <c r="GI295" s="81"/>
      <c r="GJ295" s="81"/>
      <c r="GK295" s="81"/>
      <c r="GL295" s="81"/>
      <c r="GM295" s="81"/>
      <c r="GN295" s="81"/>
      <c r="GO295" s="81"/>
      <c r="GP295" s="81"/>
      <c r="GQ295" s="81"/>
      <c r="GR295" s="81"/>
      <c r="GS295" s="81"/>
      <c r="GT295" s="81"/>
      <c r="GU295" s="81"/>
      <c r="GV295" s="81"/>
      <c r="GW295" s="81"/>
      <c r="GX295" s="81"/>
      <c r="GY295" s="81"/>
      <c r="GZ295" s="81"/>
      <c r="HA295" s="81"/>
      <c r="HB295" s="81"/>
      <c r="HC295" s="81"/>
      <c r="HD295" s="81"/>
      <c r="HE295" s="81"/>
      <c r="HF295" s="81"/>
      <c r="HG295" s="81"/>
      <c r="HH295" s="81"/>
      <c r="HI295" s="81"/>
      <c r="HJ295" s="81"/>
      <c r="HK295" s="81"/>
      <c r="HL295" s="81"/>
      <c r="HM295" s="81"/>
      <c r="HN295" s="81"/>
      <c r="HO295" s="81"/>
      <c r="HP295" s="81"/>
      <c r="HQ295" s="81"/>
      <c r="HR295" s="81"/>
      <c r="HS295" s="81"/>
      <c r="HT295" s="81"/>
      <c r="HU295" s="81"/>
      <c r="HV295" s="81"/>
      <c r="HW295" s="81"/>
      <c r="HX295" s="81"/>
      <c r="HY295" s="81"/>
      <c r="HZ295" s="81"/>
      <c r="IA295" s="81"/>
      <c r="IB295" s="81"/>
      <c r="IC295" s="81"/>
      <c r="ID295" s="81"/>
      <c r="IE295" s="81"/>
      <c r="IF295" s="81"/>
      <c r="IG295" s="81"/>
      <c r="IH295" s="81"/>
      <c r="II295" s="81"/>
      <c r="IJ295" s="81"/>
      <c r="IK295" s="81"/>
      <c r="IL295" s="81"/>
      <c r="IM295" s="81"/>
      <c r="IN295" s="81"/>
      <c r="IO295" s="81"/>
      <c r="IP295" s="81"/>
      <c r="IQ295" s="81"/>
      <c r="IR295" s="81"/>
      <c r="IS295" s="81"/>
      <c r="IT295" s="81"/>
      <c r="IU295" s="81"/>
      <c r="IV295" s="81"/>
      <c r="IW295" s="81"/>
      <c r="IX295" s="81"/>
      <c r="IY295" s="81"/>
      <c r="IZ295" s="81"/>
      <c r="JA295" s="81"/>
      <c r="JB295" s="81"/>
      <c r="JC295" s="81"/>
      <c r="JD295" s="81"/>
      <c r="JE295" s="81"/>
      <c r="JF295" s="81"/>
      <c r="JG295" s="81"/>
      <c r="JH295" s="81"/>
      <c r="JI295" s="81"/>
      <c r="JJ295" s="81"/>
      <c r="JK295" s="81"/>
      <c r="JL295" s="81"/>
      <c r="JM295" s="81"/>
      <c r="JN295" s="81"/>
      <c r="JO295" s="81"/>
      <c r="JP295" s="81"/>
      <c r="JQ295" s="81"/>
      <c r="JR295" s="81"/>
      <c r="JS295" s="81"/>
      <c r="JT295" s="81"/>
      <c r="JU295" s="81"/>
      <c r="JV295" s="81"/>
      <c r="JW295" s="81"/>
      <c r="JX295" s="81"/>
      <c r="JZ295" s="262"/>
      <c r="KA295" s="262"/>
      <c r="KB295" s="262"/>
      <c r="KC295" s="262"/>
      <c r="KD295" s="262"/>
      <c r="KE295" s="262"/>
      <c r="KF295" s="262"/>
      <c r="KG295" s="262"/>
      <c r="KH295" s="262"/>
      <c r="KI295" s="262"/>
      <c r="KJ295" s="262"/>
      <c r="KK295" s="262"/>
      <c r="KL295" s="262"/>
      <c r="KM295" s="262"/>
      <c r="KN295" s="262"/>
      <c r="KO295" s="262"/>
      <c r="KP295" s="262"/>
      <c r="KQ295" s="262"/>
      <c r="KR295" s="262"/>
      <c r="KS295" s="262"/>
      <c r="KT295" s="262"/>
      <c r="KU295" s="262"/>
      <c r="KV295" s="262"/>
      <c r="KW295" s="262"/>
      <c r="KX295" s="262"/>
      <c r="KY295" s="262"/>
      <c r="KZ295" s="262"/>
      <c r="LA295" s="262"/>
      <c r="LB295" s="262"/>
      <c r="LC295" s="262"/>
      <c r="LD295" s="262"/>
      <c r="LE295" s="262"/>
      <c r="LF295" s="262"/>
      <c r="LG295" s="262"/>
      <c r="LH295" s="262"/>
      <c r="LI295" s="262"/>
      <c r="LJ295" s="262"/>
      <c r="LK295" s="262"/>
      <c r="LL295" s="262"/>
      <c r="LM295" s="262"/>
      <c r="LN295" s="262"/>
      <c r="LO295" s="262"/>
      <c r="LP295" s="262"/>
      <c r="LQ295" s="262"/>
      <c r="LR295" s="262"/>
      <c r="LS295" s="262"/>
      <c r="LT295" s="262"/>
      <c r="LU295" s="262"/>
      <c r="LV295" s="262"/>
      <c r="LW295" s="262"/>
      <c r="LX295" s="262"/>
      <c r="LY295" s="262"/>
      <c r="LZ295" s="262"/>
      <c r="MA295" s="262"/>
      <c r="MB295" s="262"/>
      <c r="MC295" s="262"/>
      <c r="MD295" s="262"/>
      <c r="ME295" s="262"/>
      <c r="MF295" s="262"/>
      <c r="MG295" s="262"/>
      <c r="MH295" s="262"/>
      <c r="MI295" s="262"/>
      <c r="MJ295" s="262"/>
      <c r="MK295" s="262"/>
      <c r="ML295" s="262"/>
      <c r="MM295" s="262"/>
      <c r="MN295" s="262"/>
      <c r="MO295" s="262"/>
      <c r="MP295" s="262"/>
      <c r="MQ295" s="262"/>
      <c r="MR295" s="262"/>
      <c r="MS295" s="262"/>
      <c r="MT295" s="262"/>
      <c r="MU295" s="262"/>
      <c r="MV295" s="262"/>
      <c r="MW295" s="262"/>
      <c r="MX295" s="262"/>
      <c r="MY295" s="262"/>
      <c r="MZ295" s="262"/>
      <c r="NA295" s="262"/>
      <c r="NB295" s="262"/>
      <c r="NC295" s="262"/>
      <c r="ND295" s="262"/>
      <c r="NE295" s="262"/>
      <c r="NF295" s="262"/>
      <c r="NG295" s="262"/>
      <c r="NH295" s="262"/>
      <c r="NI295" s="262"/>
      <c r="NJ295" s="262"/>
      <c r="NK295" s="262"/>
      <c r="NL295" s="262"/>
      <c r="NM295" s="262"/>
      <c r="NN295" s="262"/>
      <c r="NO295" s="262"/>
      <c r="NP295" s="262"/>
      <c r="NQ295" s="262"/>
      <c r="NR295" s="262"/>
      <c r="NS295" s="262"/>
      <c r="NT295" s="262"/>
      <c r="NU295" s="262"/>
      <c r="NV295" s="262"/>
      <c r="NW295" s="262"/>
      <c r="NX295" s="262"/>
      <c r="NY295" s="262"/>
      <c r="NZ295" s="262"/>
      <c r="OA295" s="262"/>
      <c r="OB295" s="262"/>
      <c r="OC295" s="262"/>
      <c r="OD295" s="262"/>
      <c r="OE295" s="262"/>
      <c r="OF295" s="262"/>
      <c r="OG295" s="262"/>
      <c r="OH295" s="262"/>
      <c r="OI295" s="262"/>
      <c r="OJ295" s="262"/>
      <c r="OK295" s="262"/>
      <c r="OL295" s="262"/>
      <c r="OM295" s="262"/>
      <c r="ON295" s="262"/>
      <c r="OO295" s="262"/>
      <c r="OP295" s="262"/>
      <c r="OQ295" s="262"/>
      <c r="OR295" s="262"/>
      <c r="OS295" s="262"/>
      <c r="OT295" s="262"/>
      <c r="OU295" s="262"/>
      <c r="OV295" s="262"/>
      <c r="OW295" s="262"/>
      <c r="OX295" s="262"/>
      <c r="OY295" s="262"/>
      <c r="OZ295" s="262"/>
      <c r="PA295" s="262"/>
      <c r="PB295" s="262"/>
      <c r="PC295" s="262"/>
      <c r="PD295" s="262"/>
      <c r="PE295" s="262"/>
      <c r="PF295" s="262"/>
      <c r="PG295" s="262"/>
      <c r="PH295" s="262"/>
    </row>
    <row r="296" spans="1:424" x14ac:dyDescent="0.35">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1"/>
      <c r="BZ296" s="81"/>
      <c r="CA296" s="81"/>
      <c r="CB296" s="81"/>
      <c r="CC296" s="81"/>
      <c r="CD296" s="81"/>
      <c r="CE296" s="81"/>
      <c r="CF296" s="81"/>
      <c r="CG296" s="81"/>
      <c r="CH296" s="81"/>
      <c r="CI296" s="81"/>
      <c r="CJ296" s="81"/>
      <c r="CK296" s="81"/>
      <c r="CL296" s="81"/>
      <c r="CM296" s="81"/>
      <c r="CN296" s="81"/>
      <c r="CO296" s="81"/>
      <c r="CP296" s="81"/>
      <c r="CQ296" s="81"/>
      <c r="CR296" s="81"/>
      <c r="CS296" s="81"/>
      <c r="CT296" s="81"/>
      <c r="CU296" s="81"/>
      <c r="CV296" s="81"/>
      <c r="CW296" s="81"/>
      <c r="CX296" s="81"/>
      <c r="CY296" s="81"/>
      <c r="CZ296" s="81"/>
      <c r="DA296" s="81"/>
      <c r="DB296" s="81"/>
      <c r="DC296" s="81"/>
      <c r="DD296" s="81"/>
      <c r="DE296" s="81"/>
      <c r="DF296" s="81"/>
      <c r="DG296" s="81"/>
      <c r="DH296" s="81"/>
      <c r="DI296" s="81"/>
      <c r="DJ296" s="81"/>
      <c r="DK296" s="81"/>
      <c r="DL296" s="81"/>
      <c r="DM296" s="81"/>
      <c r="DN296" s="81"/>
      <c r="DO296" s="81"/>
      <c r="DP296" s="81"/>
      <c r="DQ296" s="81"/>
      <c r="DR296" s="81"/>
      <c r="DS296" s="81"/>
      <c r="DT296" s="81"/>
      <c r="DU296" s="81"/>
      <c r="DV296" s="81"/>
      <c r="DW296" s="81"/>
      <c r="DX296" s="81"/>
      <c r="DY296" s="81"/>
      <c r="DZ296" s="81"/>
      <c r="EA296" s="81"/>
      <c r="EB296" s="81"/>
      <c r="EC296" s="81"/>
      <c r="ED296" s="81"/>
      <c r="EE296" s="81"/>
      <c r="EF296" s="81"/>
      <c r="EG296" s="81"/>
      <c r="EH296" s="81"/>
      <c r="EI296" s="81"/>
      <c r="EJ296" s="81"/>
      <c r="EK296" s="81"/>
      <c r="EL296" s="81"/>
      <c r="EM296" s="81"/>
      <c r="EN296" s="81"/>
      <c r="EO296" s="81"/>
      <c r="EP296" s="213"/>
      <c r="EQ296" s="81"/>
      <c r="ER296" s="81"/>
      <c r="ES296" s="81"/>
      <c r="ET296" s="81"/>
      <c r="EU296" s="81"/>
      <c r="EV296" s="81"/>
      <c r="EW296" s="81"/>
      <c r="EX296" s="81"/>
      <c r="EY296" s="81"/>
      <c r="EZ296" s="81"/>
      <c r="FA296" s="81"/>
      <c r="FB296" s="81"/>
      <c r="FC296" s="81"/>
      <c r="FD296" s="81"/>
      <c r="FE296" s="81"/>
      <c r="FF296" s="81"/>
      <c r="FG296" s="81"/>
      <c r="FH296" s="81"/>
      <c r="FI296" s="81"/>
      <c r="FJ296" s="81"/>
      <c r="FK296" s="81"/>
      <c r="FL296" s="81"/>
      <c r="FM296" s="81"/>
      <c r="FN296" s="81"/>
      <c r="FO296" s="81"/>
      <c r="FP296" s="81"/>
      <c r="FQ296" s="81"/>
      <c r="FR296" s="81"/>
      <c r="FS296" s="81"/>
      <c r="FT296" s="81"/>
      <c r="FU296" s="81"/>
      <c r="FV296" s="81"/>
      <c r="FW296" s="81"/>
      <c r="FX296" s="81"/>
      <c r="FY296" s="81"/>
      <c r="FZ296" s="81"/>
      <c r="GA296" s="81"/>
      <c r="GB296" s="81"/>
      <c r="GC296" s="81"/>
      <c r="GD296" s="81"/>
      <c r="GE296" s="81"/>
      <c r="GF296" s="81"/>
      <c r="GG296" s="81"/>
      <c r="GH296" s="81"/>
      <c r="GI296" s="81"/>
      <c r="GJ296" s="81"/>
      <c r="GK296" s="81"/>
      <c r="GL296" s="81"/>
      <c r="GM296" s="81"/>
      <c r="GN296" s="81"/>
      <c r="GO296" s="81"/>
      <c r="GP296" s="81"/>
      <c r="GQ296" s="81"/>
      <c r="GR296" s="81"/>
      <c r="GS296" s="81"/>
      <c r="GT296" s="81"/>
      <c r="GU296" s="81"/>
      <c r="GV296" s="81"/>
      <c r="GW296" s="81"/>
      <c r="GX296" s="81"/>
      <c r="GY296" s="81"/>
      <c r="GZ296" s="81"/>
      <c r="HA296" s="81"/>
      <c r="HB296" s="81"/>
      <c r="HC296" s="81"/>
      <c r="HD296" s="81"/>
      <c r="HE296" s="81"/>
      <c r="HF296" s="81"/>
      <c r="HG296" s="81"/>
      <c r="HH296" s="81"/>
      <c r="HI296" s="81"/>
      <c r="HJ296" s="81"/>
      <c r="HK296" s="81"/>
      <c r="HL296" s="81"/>
      <c r="HM296" s="81"/>
      <c r="HN296" s="81"/>
      <c r="HO296" s="81"/>
      <c r="HP296" s="81"/>
      <c r="HQ296" s="81"/>
      <c r="HR296" s="81"/>
      <c r="HS296" s="81"/>
      <c r="HT296" s="81"/>
      <c r="HU296" s="81"/>
      <c r="HV296" s="81"/>
      <c r="HW296" s="81"/>
      <c r="HX296" s="81"/>
      <c r="HY296" s="81"/>
      <c r="HZ296" s="81"/>
      <c r="IA296" s="81"/>
      <c r="IB296" s="81"/>
      <c r="IC296" s="81"/>
      <c r="ID296" s="81"/>
      <c r="IE296" s="81"/>
      <c r="IF296" s="81"/>
      <c r="IG296" s="81"/>
      <c r="IH296" s="81"/>
      <c r="II296" s="81"/>
      <c r="IJ296" s="81"/>
      <c r="IK296" s="81"/>
      <c r="IL296" s="81"/>
      <c r="IM296" s="81"/>
      <c r="IN296" s="81"/>
      <c r="IO296" s="81"/>
      <c r="IP296" s="81"/>
      <c r="IQ296" s="81"/>
      <c r="IR296" s="81"/>
      <c r="IS296" s="81"/>
      <c r="IT296" s="81"/>
      <c r="IU296" s="81"/>
      <c r="IV296" s="81"/>
      <c r="IW296" s="81"/>
      <c r="IX296" s="81"/>
      <c r="IY296" s="81"/>
      <c r="IZ296" s="81"/>
      <c r="JA296" s="81"/>
      <c r="JB296" s="81"/>
      <c r="JC296" s="81"/>
      <c r="JD296" s="81"/>
      <c r="JE296" s="81"/>
      <c r="JF296" s="81"/>
      <c r="JG296" s="81"/>
      <c r="JH296" s="81"/>
      <c r="JI296" s="81"/>
      <c r="JJ296" s="81"/>
      <c r="JK296" s="81"/>
      <c r="JL296" s="81"/>
      <c r="JM296" s="81"/>
      <c r="JN296" s="81"/>
      <c r="JO296" s="81"/>
      <c r="JP296" s="81"/>
      <c r="JQ296" s="81"/>
      <c r="JR296" s="81"/>
      <c r="JS296" s="81"/>
      <c r="JT296" s="81"/>
      <c r="JU296" s="81"/>
      <c r="JV296" s="81"/>
      <c r="JW296" s="81"/>
      <c r="JX296" s="81"/>
      <c r="JZ296" s="262"/>
      <c r="KA296" s="262"/>
      <c r="KB296" s="262"/>
      <c r="KC296" s="262"/>
      <c r="KD296" s="262"/>
      <c r="KE296" s="262"/>
      <c r="KF296" s="262"/>
      <c r="KG296" s="262"/>
      <c r="KH296" s="262"/>
      <c r="KI296" s="262"/>
      <c r="KJ296" s="262"/>
      <c r="KK296" s="262"/>
      <c r="KL296" s="262"/>
      <c r="KM296" s="262"/>
      <c r="KN296" s="262"/>
      <c r="KO296" s="262"/>
      <c r="KP296" s="262"/>
      <c r="KQ296" s="262"/>
      <c r="KR296" s="262"/>
      <c r="KS296" s="262"/>
      <c r="KT296" s="262"/>
      <c r="KU296" s="262"/>
      <c r="KV296" s="262"/>
      <c r="KW296" s="262"/>
      <c r="KX296" s="262"/>
      <c r="KY296" s="262"/>
      <c r="KZ296" s="262"/>
      <c r="LA296" s="262"/>
      <c r="LB296" s="262"/>
      <c r="LC296" s="262"/>
      <c r="LD296" s="262"/>
      <c r="LE296" s="262"/>
      <c r="LF296" s="262"/>
      <c r="LG296" s="262"/>
      <c r="LH296" s="262"/>
      <c r="LI296" s="262"/>
      <c r="LJ296" s="262"/>
      <c r="LK296" s="262"/>
      <c r="LL296" s="262"/>
      <c r="LM296" s="262"/>
      <c r="LN296" s="262"/>
      <c r="LO296" s="262"/>
      <c r="LP296" s="262"/>
      <c r="LQ296" s="262"/>
      <c r="LR296" s="262"/>
      <c r="LS296" s="262"/>
      <c r="LT296" s="262"/>
      <c r="LU296" s="262"/>
      <c r="LV296" s="262"/>
      <c r="LW296" s="262"/>
      <c r="LX296" s="262"/>
      <c r="LY296" s="262"/>
      <c r="LZ296" s="262"/>
      <c r="MA296" s="262"/>
      <c r="MB296" s="262"/>
      <c r="MC296" s="262"/>
      <c r="MD296" s="262"/>
      <c r="ME296" s="262"/>
      <c r="MF296" s="262"/>
      <c r="MG296" s="262"/>
      <c r="MH296" s="262"/>
      <c r="MI296" s="262"/>
      <c r="MJ296" s="262"/>
      <c r="MK296" s="262"/>
      <c r="ML296" s="262"/>
      <c r="MM296" s="262"/>
      <c r="MN296" s="262"/>
      <c r="MO296" s="262"/>
      <c r="MP296" s="262"/>
      <c r="MQ296" s="262"/>
      <c r="MR296" s="262"/>
      <c r="MS296" s="262"/>
      <c r="MT296" s="262"/>
      <c r="MU296" s="262"/>
      <c r="MV296" s="262"/>
      <c r="MW296" s="262"/>
      <c r="MX296" s="262"/>
      <c r="MY296" s="262"/>
      <c r="MZ296" s="262"/>
      <c r="NA296" s="262"/>
      <c r="NB296" s="262"/>
      <c r="NC296" s="262"/>
      <c r="ND296" s="262"/>
      <c r="NE296" s="262"/>
      <c r="NF296" s="262"/>
      <c r="NG296" s="262"/>
      <c r="NH296" s="262"/>
      <c r="NI296" s="262"/>
      <c r="NJ296" s="262"/>
      <c r="NK296" s="262"/>
      <c r="NL296" s="262"/>
      <c r="NM296" s="262"/>
      <c r="NN296" s="262"/>
      <c r="NO296" s="262"/>
      <c r="NP296" s="262"/>
      <c r="NQ296" s="262"/>
      <c r="NR296" s="262"/>
      <c r="NS296" s="262"/>
      <c r="NT296" s="262"/>
      <c r="NU296" s="262"/>
      <c r="NV296" s="262"/>
      <c r="NW296" s="262"/>
      <c r="NX296" s="262"/>
      <c r="NY296" s="262"/>
      <c r="NZ296" s="262"/>
      <c r="OA296" s="262"/>
      <c r="OB296" s="262"/>
      <c r="OC296" s="262"/>
      <c r="OD296" s="262"/>
      <c r="OE296" s="262"/>
      <c r="OF296" s="262"/>
      <c r="OG296" s="262"/>
      <c r="OH296" s="262"/>
      <c r="OI296" s="262"/>
      <c r="OJ296" s="262"/>
      <c r="OK296" s="262"/>
      <c r="OL296" s="262"/>
      <c r="OM296" s="262"/>
      <c r="ON296" s="262"/>
      <c r="OO296" s="262"/>
      <c r="OP296" s="262"/>
      <c r="OQ296" s="262"/>
      <c r="OR296" s="262"/>
      <c r="OS296" s="262"/>
      <c r="OT296" s="262"/>
      <c r="OU296" s="262"/>
      <c r="OV296" s="262"/>
      <c r="OW296" s="262"/>
      <c r="OX296" s="262"/>
      <c r="OY296" s="262"/>
      <c r="OZ296" s="262"/>
      <c r="PA296" s="262"/>
      <c r="PB296" s="262"/>
      <c r="PC296" s="262"/>
      <c r="PD296" s="262"/>
      <c r="PE296" s="262"/>
      <c r="PF296" s="262"/>
      <c r="PG296" s="262"/>
      <c r="PH296" s="262"/>
    </row>
  </sheetData>
  <mergeCells count="2">
    <mergeCell ref="D2:G2"/>
    <mergeCell ref="D15:E15"/>
  </mergeCells>
  <conditionalFormatting sqref="B220">
    <cfRule type="expression" dxfId="50" priority="57">
      <formula>Dbl_Promote?=1</formula>
    </cfRule>
  </conditionalFormatting>
  <conditionalFormatting sqref="C220">
    <cfRule type="expression" dxfId="49" priority="56">
      <formula>Dbl_Promote?=1</formula>
    </cfRule>
  </conditionalFormatting>
  <conditionalFormatting sqref="C233:D233">
    <cfRule type="expression" dxfId="48" priority="1">
      <formula>$H$233&gt;=$H$228</formula>
    </cfRule>
  </conditionalFormatting>
  <conditionalFormatting sqref="D2">
    <cfRule type="expression" dxfId="47" priority="92">
      <formula>$D$2="CLICK TO RECALCULATE"</formula>
    </cfRule>
  </conditionalFormatting>
  <conditionalFormatting sqref="D67">
    <cfRule type="expression" dxfId="46" priority="31">
      <formula>Fixed_Variable=1</formula>
    </cfRule>
  </conditionalFormatting>
  <conditionalFormatting sqref="E65:E66">
    <cfRule type="expression" dxfId="45" priority="19">
      <formula>Fixed_Variable=1</formula>
    </cfRule>
  </conditionalFormatting>
  <conditionalFormatting sqref="E67">
    <cfRule type="expression" dxfId="44" priority="30">
      <formula>Fixed_Variable=1</formula>
    </cfRule>
  </conditionalFormatting>
  <conditionalFormatting sqref="E248:F251">
    <cfRule type="expression" dxfId="43" priority="50">
      <formula>$G$220="No"</formula>
    </cfRule>
  </conditionalFormatting>
  <conditionalFormatting sqref="G81">
    <cfRule type="expression" dxfId="42" priority="12">
      <formula>$F$81="Yes"</formula>
    </cfRule>
  </conditionalFormatting>
  <conditionalFormatting sqref="G161:I162">
    <cfRule type="expression" dxfId="41" priority="2">
      <formula>$F$160="Yes"</formula>
    </cfRule>
  </conditionalFormatting>
  <conditionalFormatting sqref="H78">
    <cfRule type="expression" dxfId="40" priority="14">
      <formula>Perm_Debt?=1</formula>
    </cfRule>
  </conditionalFormatting>
  <conditionalFormatting sqref="I78">
    <cfRule type="expression" dxfId="39" priority="13">
      <formula>Perm_Debt?=1</formula>
    </cfRule>
  </conditionalFormatting>
  <conditionalFormatting sqref="I88:I90">
    <cfRule type="expression" dxfId="38" priority="21">
      <formula>LeaseUp_Method=1</formula>
    </cfRule>
  </conditionalFormatting>
  <conditionalFormatting sqref="I220">
    <cfRule type="expression" dxfId="37" priority="55">
      <formula>$G$220="No"</formula>
    </cfRule>
  </conditionalFormatting>
  <conditionalFormatting sqref="I221">
    <cfRule type="expression" dxfId="36" priority="9">
      <formula>$G$231="No"</formula>
    </cfRule>
  </conditionalFormatting>
  <conditionalFormatting sqref="J23:K57">
    <cfRule type="expression" dxfId="35" priority="91">
      <formula>J23="Incomplete"</formula>
    </cfRule>
  </conditionalFormatting>
  <conditionalFormatting sqref="J86:K87">
    <cfRule type="expression" dxfId="34" priority="39">
      <formula>J86="Err"</formula>
    </cfRule>
  </conditionalFormatting>
  <conditionalFormatting sqref="J194:K195">
    <cfRule type="expression" dxfId="33" priority="38">
      <formula>J194="Err"</formula>
    </cfRule>
  </conditionalFormatting>
  <conditionalFormatting sqref="K160:W174">
    <cfRule type="expression" dxfId="32" priority="4">
      <formula>$F$160="No"</formula>
    </cfRule>
  </conditionalFormatting>
  <conditionalFormatting sqref="K61:EN62">
    <cfRule type="expression" dxfId="31" priority="16">
      <formula>$C$66=0</formula>
    </cfRule>
  </conditionalFormatting>
  <conditionalFormatting sqref="L59:L60">
    <cfRule type="expression" dxfId="30" priority="15">
      <formula>$C$66=0</formula>
    </cfRule>
  </conditionalFormatting>
  <conditionalFormatting sqref="L27:EN47">
    <cfRule type="expression" dxfId="29" priority="44">
      <formula>$F27="Detail"</formula>
    </cfRule>
  </conditionalFormatting>
  <conditionalFormatting sqref="L65:EN66">
    <cfRule type="expression" dxfId="28" priority="18">
      <formula>Fixed_Variable=1</formula>
    </cfRule>
  </conditionalFormatting>
  <conditionalFormatting sqref="L156:EN156">
    <cfRule type="expression" dxfId="27" priority="11">
      <formula>$F$160="Detail"</formula>
    </cfRule>
  </conditionalFormatting>
  <conditionalFormatting sqref="M174:P174">
    <cfRule type="cellIs" dxfId="26" priority="7" operator="equal">
      <formula>"Error"</formula>
    </cfRule>
  </conditionalFormatting>
  <conditionalFormatting sqref="V174:W174">
    <cfRule type="cellIs" dxfId="25" priority="5" operator="equal">
      <formula>"Error"</formula>
    </cfRule>
  </conditionalFormatting>
  <conditionalFormatting sqref="EM5">
    <cfRule type="expression" dxfId="24" priority="46">
      <formula>Show_Calc?</formula>
    </cfRule>
  </conditionalFormatting>
  <conditionalFormatting sqref="EN5">
    <cfRule type="expression" dxfId="23" priority="47">
      <formula>Show_Calc?</formula>
    </cfRule>
  </conditionalFormatting>
  <dataValidations count="16">
    <dataValidation type="list" allowBlank="1" showInputMessage="1" showErrorMessage="1" sqref="F38:F40 F47 F32:F33" xr:uid="{00000000-0002-0000-0100-000000000000}">
      <formula1>"Straight-Line, S-Curve, Detail"</formula1>
    </dataValidation>
    <dataValidation type="list" allowBlank="1" showInputMessage="1" showErrorMessage="1" sqref="F53" xr:uid="{00000000-0002-0000-0100-000001000000}">
      <formula1>"Straight-Line"</formula1>
    </dataValidation>
    <dataValidation type="list" allowBlank="1" showInputMessage="1" showErrorMessage="1" sqref="G220 D233" xr:uid="{00000000-0002-0000-0100-000002000000}">
      <formula1>"Yes,No"</formula1>
    </dataValidation>
    <dataValidation type="list" allowBlank="1" showInputMessage="1" showErrorMessage="1" sqref="C271 I270 E279:F279 I279" xr:uid="{00000000-0002-0000-0100-000003000000}">
      <formula1>$EN$270:$EN$277</formula1>
    </dataValidation>
    <dataValidation type="list" allowBlank="1" showInputMessage="1" showErrorMessage="1" sqref="I8" xr:uid="{00000000-0002-0000-0100-000004000000}">
      <formula1>"SF, M2"</formula1>
    </dataValidation>
    <dataValidation type="list" allowBlank="1" showInputMessage="1" showErrorMessage="1" sqref="F34:F37 F41:F46 F27:F30" xr:uid="{00000000-0002-0000-0100-000005000000}">
      <formula1>"Straight-Line, S-Curve, Steady Growth, Steady Decline, Detail"</formula1>
    </dataValidation>
    <dataValidation type="list" allowBlank="1" showInputMessage="1" showErrorMessage="1" sqref="D65" xr:uid="{00000000-0002-0000-0100-000006000000}">
      <formula1>"One"</formula1>
    </dataValidation>
    <dataValidation type="list" allowBlank="1" showInputMessage="1" showErrorMessage="1" sqref="D66" xr:uid="{00000000-0002-0000-0100-000007000000}">
      <formula1>"One, Two"</formula1>
    </dataValidation>
    <dataValidation type="whole" allowBlank="1" showInputMessage="1" showErrorMessage="1" errorTitle="Invalid Entry" error="Perm. Debt Loan Funding cannot occur any sooner than 1 month following construction end." sqref="C82" xr:uid="{00000000-0002-0000-0100-000008000000}">
      <formula1>E57+1</formula1>
      <formula2>Timing_Analysis_End_Month</formula2>
    </dataValidation>
    <dataValidation type="list" allowBlank="1" showInputMessage="1" showErrorMessage="1" sqref="F81 F160" xr:uid="{00000000-0002-0000-0100-000009000000}">
      <formula1>"Yes, No"</formula1>
    </dataValidation>
    <dataValidation type="list" allowBlank="1" showInputMessage="1" showErrorMessage="1" sqref="E16" xr:uid="{00000000-0002-0000-0100-00000A000000}">
      <formula1>"Speculative, Build-to-Suit"</formula1>
    </dataValidation>
    <dataValidation type="list" allowBlank="1" showInputMessage="1" showErrorMessage="1" sqref="D15" xr:uid="{00000000-0002-0000-0100-00000B000000}">
      <formula1>Range_Building_Type</formula1>
    </dataValidation>
    <dataValidation type="list" allowBlank="1" showInputMessage="1" showErrorMessage="1" sqref="D221" xr:uid="{00000000-0002-0000-0100-00000C000000}">
      <formula1>"% of LP Equity, % of Project Cost"</formula1>
    </dataValidation>
    <dataValidation type="whole" allowBlank="1" showInputMessage="1" showErrorMessage="1" errorTitle="Invalid Entry" error="Start of AUM fee must be no sooner than month 1." sqref="G221" xr:uid="{00000000-0002-0000-0100-00000D000000}">
      <formula1>1</formula1>
      <formula2>99999</formula2>
    </dataValidation>
    <dataValidation type="list" allowBlank="1" showInputMessage="1" showErrorMessage="1" sqref="C108:C119" xr:uid="{00000000-0002-0000-0100-00000E000000}">
      <formula1>"Spec, Discussion, Signed LOI, Signed Lease"</formula1>
    </dataValidation>
    <dataValidation type="list" allowBlank="1" showInputMessage="1" showErrorMessage="1" sqref="D108:D119" xr:uid="{00000000-0002-0000-0100-00000F000000}">
      <formula1>Range_Tenant_Type</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8F42"/>
  </sheetPr>
  <dimension ref="B1:EI94"/>
  <sheetViews>
    <sheetView showGridLines="0" workbookViewId="0"/>
  </sheetViews>
  <sheetFormatPr defaultColWidth="9" defaultRowHeight="14.5" x14ac:dyDescent="0.35"/>
  <cols>
    <col min="1" max="1" width="0.9140625" customWidth="1"/>
    <col min="2" max="2" width="40.83203125" customWidth="1"/>
    <col min="3" max="5" width="8.6640625" customWidth="1"/>
    <col min="6" max="6" width="17.5" customWidth="1"/>
    <col min="7" max="7" width="10.08203125" style="208" customWidth="1"/>
    <col min="8" max="8" width="11" style="208" customWidth="1"/>
    <col min="9" max="9" width="12.08203125" style="208" customWidth="1"/>
    <col min="10" max="10" width="10.33203125" style="208" customWidth="1"/>
    <col min="11" max="11" width="11.25" style="208" customWidth="1"/>
    <col min="12" max="13" width="8.58203125" style="208" customWidth="1"/>
    <col min="14" max="17" width="10.08203125" style="208" customWidth="1"/>
    <col min="18" max="18" width="40.83203125" style="208" customWidth="1"/>
    <col min="19" max="19" width="10.08203125" customWidth="1"/>
    <col min="20" max="25" width="8.58203125" customWidth="1"/>
    <col min="26" max="34" width="8" customWidth="1"/>
    <col min="35" max="49" width="9.5" customWidth="1"/>
    <col min="50" max="50" width="11.25" customWidth="1"/>
    <col min="51" max="139" width="2.75" customWidth="1"/>
  </cols>
  <sheetData>
    <row r="1" spans="2:18" ht="5.15" customHeight="1" x14ac:dyDescent="0.35"/>
    <row r="2" spans="2:18" ht="15.5" x14ac:dyDescent="0.35">
      <c r="B2" s="115" t="str">
        <f>Underwriting!B2</f>
        <v>THE BEND ENTERTAINMENT PRECINCT</v>
      </c>
      <c r="C2" s="116"/>
      <c r="D2" s="116"/>
      <c r="E2" s="116"/>
      <c r="F2" s="116"/>
      <c r="G2" s="225"/>
      <c r="H2" s="225"/>
      <c r="I2" s="225"/>
      <c r="J2" s="225"/>
      <c r="K2" s="225"/>
      <c r="L2" s="225"/>
      <c r="M2" s="225"/>
      <c r="N2" s="225"/>
      <c r="O2" s="225"/>
      <c r="P2" s="225"/>
      <c r="Q2" s="225"/>
      <c r="R2" s="117" t="str">
        <f>UPPER(Underwriting!I2)</f>
        <v>MAYABAY ACTIVE (MELBOURNE) PTY LTD</v>
      </c>
    </row>
    <row r="3" spans="2:18" s="4" customFormat="1" ht="13.5" x14ac:dyDescent="0.35">
      <c r="B3" s="118" t="str">
        <f>Underwriting!E11&amp;", "&amp;Underwriting!I10</f>
        <v>Port Melbourne, VIC</v>
      </c>
      <c r="C3" s="6"/>
      <c r="D3" s="6"/>
      <c r="E3" s="6"/>
      <c r="F3" s="6"/>
      <c r="G3" s="226"/>
      <c r="H3" s="226"/>
      <c r="I3" s="226"/>
      <c r="J3" s="226"/>
      <c r="K3" s="226"/>
      <c r="L3" s="226"/>
      <c r="M3" s="226"/>
      <c r="N3" s="227"/>
      <c r="O3" s="227"/>
      <c r="P3" s="227"/>
      <c r="Q3" s="227"/>
      <c r="R3" s="119" t="str">
        <f>Summary!S3</f>
        <v>ANALYSIS START - JUL 2026</v>
      </c>
    </row>
    <row r="4" spans="2:18" s="4" customFormat="1" ht="13.5" x14ac:dyDescent="0.35">
      <c r="B4" s="120" t="s">
        <v>494</v>
      </c>
      <c r="C4" s="121"/>
      <c r="D4" s="121"/>
      <c r="E4" s="121"/>
      <c r="F4" s="121"/>
      <c r="G4" s="122"/>
      <c r="H4" s="122" t="str">
        <f>IF(H5="","",IF(EOMONTH(G6,12)&gt;H6,"EXIT",""))</f>
        <v/>
      </c>
      <c r="I4" s="122" t="str">
        <f t="shared" ref="I4:R4" si="0">IF(I5="","",IF(EOMONTH(H6,12)&gt;I6,"EXIT",""))</f>
        <v/>
      </c>
      <c r="J4" s="122" t="str">
        <f t="shared" si="0"/>
        <v/>
      </c>
      <c r="K4" s="122" t="str">
        <f t="shared" si="0"/>
        <v/>
      </c>
      <c r="L4" s="122" t="str">
        <f t="shared" si="0"/>
        <v/>
      </c>
      <c r="M4" s="122" t="str">
        <f t="shared" si="0"/>
        <v>EXIT</v>
      </c>
      <c r="N4" s="122" t="str">
        <f t="shared" si="0"/>
        <v/>
      </c>
      <c r="O4" s="123" t="str">
        <f t="shared" si="0"/>
        <v/>
      </c>
      <c r="P4" s="123" t="str">
        <f t="shared" si="0"/>
        <v/>
      </c>
      <c r="Q4" s="123" t="str">
        <f t="shared" si="0"/>
        <v/>
      </c>
      <c r="R4" s="124" t="str">
        <f t="shared" si="0"/>
        <v/>
      </c>
    </row>
    <row r="5" spans="2:18" s="4" customFormat="1" ht="13.5" x14ac:dyDescent="0.35">
      <c r="B5" s="177"/>
      <c r="C5" s="94"/>
      <c r="D5" s="94"/>
      <c r="E5" s="94"/>
      <c r="F5" s="178" t="s">
        <v>93</v>
      </c>
      <c r="G5" s="228">
        <v>0</v>
      </c>
      <c r="H5" s="228">
        <f t="shared" ref="H5:R5" si="1">IF(OR(G5="",G5=MAX($G$46:$EI$46)),"",G5+1)</f>
        <v>1</v>
      </c>
      <c r="I5" s="228">
        <f t="shared" si="1"/>
        <v>2</v>
      </c>
      <c r="J5" s="228">
        <f t="shared" si="1"/>
        <v>3</v>
      </c>
      <c r="K5" s="228">
        <f t="shared" si="1"/>
        <v>4</v>
      </c>
      <c r="L5" s="229">
        <f t="shared" si="1"/>
        <v>5</v>
      </c>
      <c r="M5" s="229">
        <f t="shared" si="1"/>
        <v>6</v>
      </c>
      <c r="N5" s="229" t="str">
        <f t="shared" si="1"/>
        <v/>
      </c>
      <c r="O5" s="229" t="str">
        <f t="shared" si="1"/>
        <v/>
      </c>
      <c r="P5" s="230" t="str">
        <f t="shared" si="1"/>
        <v/>
      </c>
      <c r="Q5" s="230" t="str">
        <f t="shared" si="1"/>
        <v/>
      </c>
      <c r="R5" s="231" t="str">
        <f t="shared" si="1"/>
        <v/>
      </c>
    </row>
    <row r="6" spans="2:18" s="4" customFormat="1" ht="13.5" x14ac:dyDescent="0.35">
      <c r="B6" s="179"/>
      <c r="C6" s="97"/>
      <c r="D6" s="97"/>
      <c r="E6" s="97"/>
      <c r="F6" s="175" t="s">
        <v>495</v>
      </c>
      <c r="G6" s="232">
        <f>Underwriting!$M$195</f>
        <v>46234</v>
      </c>
      <c r="H6" s="232">
        <f>EOMONTH(G6,12)</f>
        <v>46599</v>
      </c>
      <c r="I6" s="232">
        <f>EOMONTH(H6,12)</f>
        <v>46965</v>
      </c>
      <c r="J6" s="232">
        <f>EOMONTH(I6,12)</f>
        <v>47330</v>
      </c>
      <c r="K6" s="232">
        <f>EOMONTH(J6,12)</f>
        <v>47695</v>
      </c>
      <c r="L6" s="233">
        <f>EOMONTH(K6,12)</f>
        <v>48060</v>
      </c>
      <c r="M6" s="233">
        <f>MAX(Underwriting!$M$195:$BU$195)</f>
        <v>48060</v>
      </c>
      <c r="N6" s="233" t="str">
        <f>IF(N5="","",IF(O5="",MAX(Underwriting!$L$195:$EN$195),EOMONTH(M6,12)))</f>
        <v/>
      </c>
      <c r="O6" s="233" t="str">
        <f>IF(O5="","",IF(P5="",MAX(Underwriting!$L$195:$EN$195),EOMONTH(N6,12)))</f>
        <v/>
      </c>
      <c r="P6" s="234" t="str">
        <f>IF(P5="","",IF(Q5="",MAX(Underwriting!$L$195:$EN$195),EOMONTH(O6,12)))</f>
        <v/>
      </c>
      <c r="Q6" s="234" t="str">
        <f>IF(Q5="","",IF(R5="",MAX(Underwriting!$L$195:$EN$195),EOMONTH(P6,12)))</f>
        <v/>
      </c>
      <c r="R6" s="235" t="str">
        <f>IF(R5="","",IF(S5="",MAX(Underwriting!$L$195:$EN$195),EOMONTH(Q6,12)))</f>
        <v/>
      </c>
    </row>
    <row r="7" spans="2:18" s="4" customFormat="1" ht="13.5" x14ac:dyDescent="0.35">
      <c r="B7" s="114" t="s">
        <v>496</v>
      </c>
      <c r="C7" s="164"/>
      <c r="D7" s="164"/>
      <c r="E7" s="164"/>
      <c r="F7" s="27"/>
      <c r="G7" s="236"/>
      <c r="H7" s="166"/>
      <c r="I7" s="166"/>
      <c r="J7" s="166"/>
      <c r="K7" s="166"/>
      <c r="L7" s="166"/>
      <c r="M7" s="166"/>
      <c r="N7" s="237"/>
      <c r="O7" s="237"/>
      <c r="P7" s="237"/>
      <c r="Q7" s="237"/>
      <c r="R7" s="238"/>
    </row>
    <row r="8" spans="2:18" s="4" customFormat="1" ht="13.5" x14ac:dyDescent="0.35">
      <c r="B8" s="180" t="s">
        <v>140</v>
      </c>
      <c r="C8" s="164"/>
      <c r="D8" s="164"/>
      <c r="E8" s="164"/>
      <c r="F8" s="27"/>
      <c r="G8" s="186">
        <f t="shared" ref="G8:R8" si="2">IF(G$5="","",SUMIF($G$46:$EI$46,G$5,$G48:$EI48))</f>
        <v>92320000</v>
      </c>
      <c r="H8" s="186">
        <f t="shared" si="2"/>
        <v>0</v>
      </c>
      <c r="I8" s="186">
        <f t="shared" si="2"/>
        <v>0</v>
      </c>
      <c r="J8" s="186">
        <f t="shared" si="2"/>
        <v>0</v>
      </c>
      <c r="K8" s="186">
        <f t="shared" si="2"/>
        <v>0</v>
      </c>
      <c r="L8" s="186">
        <f t="shared" si="2"/>
        <v>0</v>
      </c>
      <c r="M8" s="186">
        <f t="shared" si="2"/>
        <v>0</v>
      </c>
      <c r="N8" s="239" t="str">
        <f t="shared" si="2"/>
        <v/>
      </c>
      <c r="O8" s="239" t="str">
        <f t="shared" si="2"/>
        <v/>
      </c>
      <c r="P8" s="239" t="str">
        <f t="shared" si="2"/>
        <v/>
      </c>
      <c r="Q8" s="239" t="str">
        <f t="shared" si="2"/>
        <v/>
      </c>
      <c r="R8" s="240" t="str">
        <f t="shared" si="2"/>
        <v/>
      </c>
    </row>
    <row r="9" spans="2:18" s="4" customFormat="1" ht="13.5" x14ac:dyDescent="0.35">
      <c r="B9" s="180" t="s">
        <v>497</v>
      </c>
      <c r="C9" s="164"/>
      <c r="D9" s="164"/>
      <c r="E9" s="164"/>
      <c r="F9" s="27"/>
      <c r="G9" s="186">
        <f t="shared" ref="G9:R9" si="3">IF(G$5="","",SUMIF($G$46:$EI$46,G$5,$G49:$EI49))</f>
        <v>697714.0910358734</v>
      </c>
      <c r="H9" s="186">
        <f t="shared" si="3"/>
        <v>67738142.48865366</v>
      </c>
      <c r="I9" s="186">
        <f t="shared" si="3"/>
        <v>233882124.32595944</v>
      </c>
      <c r="J9" s="186">
        <f t="shared" si="3"/>
        <v>54218654.255832545</v>
      </c>
      <c r="K9" s="186">
        <f t="shared" si="3"/>
        <v>0</v>
      </c>
      <c r="L9" s="186">
        <f t="shared" si="3"/>
        <v>0</v>
      </c>
      <c r="M9" s="186">
        <f t="shared" si="3"/>
        <v>0</v>
      </c>
      <c r="N9" s="239" t="str">
        <f t="shared" si="3"/>
        <v/>
      </c>
      <c r="O9" s="239" t="str">
        <f t="shared" si="3"/>
        <v/>
      </c>
      <c r="P9" s="239" t="str">
        <f t="shared" si="3"/>
        <v/>
      </c>
      <c r="Q9" s="239" t="str">
        <f t="shared" si="3"/>
        <v/>
      </c>
      <c r="R9" s="240" t="str">
        <f t="shared" si="3"/>
        <v/>
      </c>
    </row>
    <row r="10" spans="2:18" s="4" customFormat="1" ht="13.5" x14ac:dyDescent="0.35">
      <c r="B10" s="180" t="s">
        <v>498</v>
      </c>
      <c r="C10" s="164"/>
      <c r="D10" s="164"/>
      <c r="E10" s="164"/>
      <c r="F10" s="27"/>
      <c r="G10" s="187">
        <f t="shared" ref="G10:R10" si="4">IF(G$5="","",SUMIF($G$46:$EI$46,G$5,$G50:$EI50))</f>
        <v>0</v>
      </c>
      <c r="H10" s="187">
        <f t="shared" si="4"/>
        <v>0</v>
      </c>
      <c r="I10" s="187">
        <f t="shared" si="4"/>
        <v>0</v>
      </c>
      <c r="J10" s="187">
        <f t="shared" si="4"/>
        <v>0</v>
      </c>
      <c r="K10" s="187">
        <f t="shared" si="4"/>
        <v>0</v>
      </c>
      <c r="L10" s="187">
        <f t="shared" si="4"/>
        <v>0</v>
      </c>
      <c r="M10" s="187">
        <f t="shared" si="4"/>
        <v>0</v>
      </c>
      <c r="N10" s="241" t="str">
        <f t="shared" si="4"/>
        <v/>
      </c>
      <c r="O10" s="241" t="str">
        <f t="shared" si="4"/>
        <v/>
      </c>
      <c r="P10" s="241" t="str">
        <f t="shared" si="4"/>
        <v/>
      </c>
      <c r="Q10" s="241" t="str">
        <f t="shared" si="4"/>
        <v/>
      </c>
      <c r="R10" s="242" t="str">
        <f t="shared" si="4"/>
        <v/>
      </c>
    </row>
    <row r="11" spans="2:18" s="4" customFormat="1" ht="13.5" x14ac:dyDescent="0.35">
      <c r="B11" s="95" t="s">
        <v>499</v>
      </c>
      <c r="C11" s="164"/>
      <c r="D11" s="164"/>
      <c r="E11" s="164"/>
      <c r="F11" s="27"/>
      <c r="G11" s="186">
        <f>IF(G$5="","",SUM(G8:G10))</f>
        <v>93017714.091035873</v>
      </c>
      <c r="H11" s="186">
        <f t="shared" ref="H11:R11" si="5">IF(H$5="","",SUM(H8:H10))</f>
        <v>67738142.48865366</v>
      </c>
      <c r="I11" s="186">
        <f t="shared" si="5"/>
        <v>233882124.32595944</v>
      </c>
      <c r="J11" s="186">
        <f t="shared" si="5"/>
        <v>54218654.255832545</v>
      </c>
      <c r="K11" s="186">
        <f t="shared" si="5"/>
        <v>0</v>
      </c>
      <c r="L11" s="186">
        <f t="shared" si="5"/>
        <v>0</v>
      </c>
      <c r="M11" s="186">
        <f t="shared" si="5"/>
        <v>0</v>
      </c>
      <c r="N11" s="239" t="str">
        <f t="shared" si="5"/>
        <v/>
      </c>
      <c r="O11" s="239" t="str">
        <f t="shared" si="5"/>
        <v/>
      </c>
      <c r="P11" s="239" t="str">
        <f t="shared" si="5"/>
        <v/>
      </c>
      <c r="Q11" s="239" t="str">
        <f t="shared" si="5"/>
        <v/>
      </c>
      <c r="R11" s="240" t="str">
        <f t="shared" si="5"/>
        <v/>
      </c>
    </row>
    <row r="12" spans="2:18" s="4" customFormat="1" ht="13.5" x14ac:dyDescent="0.35">
      <c r="B12" s="95"/>
      <c r="C12" s="164"/>
      <c r="D12" s="164"/>
      <c r="E12" s="164"/>
      <c r="F12" s="27"/>
      <c r="G12" s="186"/>
      <c r="H12" s="243"/>
      <c r="I12" s="186"/>
      <c r="J12" s="186"/>
      <c r="K12" s="186"/>
      <c r="L12" s="186"/>
      <c r="M12" s="186"/>
      <c r="N12" s="239"/>
      <c r="O12" s="239"/>
      <c r="P12" s="239"/>
      <c r="Q12" s="239"/>
      <c r="R12" s="240"/>
    </row>
    <row r="13" spans="2:18" s="4" customFormat="1" ht="13.5" x14ac:dyDescent="0.35">
      <c r="B13" s="180" t="s">
        <v>162</v>
      </c>
      <c r="C13" s="164"/>
      <c r="D13" s="164"/>
      <c r="E13" s="164"/>
      <c r="F13" s="165"/>
      <c r="G13" s="186">
        <f t="shared" ref="G13:R13" si="6">IF(G$5="","",SUMIF($G$46:$EI$46,G$5,$G53:$EI53))</f>
        <v>0</v>
      </c>
      <c r="H13" s="186">
        <f t="shared" si="6"/>
        <v>0</v>
      </c>
      <c r="I13" s="186">
        <f t="shared" si="6"/>
        <v>0</v>
      </c>
      <c r="J13" s="186">
        <f t="shared" si="6"/>
        <v>0</v>
      </c>
      <c r="K13" s="186">
        <f t="shared" si="6"/>
        <v>0</v>
      </c>
      <c r="L13" s="186">
        <f t="shared" si="6"/>
        <v>0</v>
      </c>
      <c r="M13" s="186">
        <f t="shared" si="6"/>
        <v>0</v>
      </c>
      <c r="N13" s="239" t="str">
        <f t="shared" si="6"/>
        <v/>
      </c>
      <c r="O13" s="239" t="str">
        <f t="shared" si="6"/>
        <v/>
      </c>
      <c r="P13" s="239" t="str">
        <f t="shared" si="6"/>
        <v/>
      </c>
      <c r="Q13" s="239" t="str">
        <f t="shared" si="6"/>
        <v/>
      </c>
      <c r="R13" s="240" t="str">
        <f t="shared" si="6"/>
        <v/>
      </c>
    </row>
    <row r="14" spans="2:18" s="4" customFormat="1" ht="13.5" x14ac:dyDescent="0.35">
      <c r="B14" s="95"/>
      <c r="C14" s="164"/>
      <c r="D14" s="164"/>
      <c r="E14" s="164"/>
      <c r="F14" s="165"/>
      <c r="G14" s="186"/>
      <c r="H14" s="186"/>
      <c r="I14" s="186"/>
      <c r="J14" s="186"/>
      <c r="K14" s="186"/>
      <c r="L14" s="186"/>
      <c r="M14" s="186"/>
      <c r="N14" s="239"/>
      <c r="O14" s="239"/>
      <c r="P14" s="239"/>
      <c r="Q14" s="239"/>
      <c r="R14" s="240"/>
    </row>
    <row r="15" spans="2:18" s="4" customFormat="1" ht="13.5" x14ac:dyDescent="0.35">
      <c r="B15" s="95" t="s">
        <v>500</v>
      </c>
      <c r="C15" s="164"/>
      <c r="D15" s="164"/>
      <c r="E15" s="164"/>
      <c r="F15" s="165"/>
      <c r="G15" s="186">
        <f t="shared" ref="G15:R15" si="7">IF(G$5="","",SUMIF($G$46:$EI$46,G$5,$G55:$EI55))</f>
        <v>93017714.091035873</v>
      </c>
      <c r="H15" s="186">
        <f t="shared" si="7"/>
        <v>67738142.48865366</v>
      </c>
      <c r="I15" s="186">
        <f t="shared" si="7"/>
        <v>233882124.32595944</v>
      </c>
      <c r="J15" s="186">
        <f t="shared" si="7"/>
        <v>54218654.255832545</v>
      </c>
      <c r="K15" s="186">
        <f t="shared" si="7"/>
        <v>0</v>
      </c>
      <c r="L15" s="186">
        <f t="shared" si="7"/>
        <v>0</v>
      </c>
      <c r="M15" s="186">
        <f t="shared" si="7"/>
        <v>0</v>
      </c>
      <c r="N15" s="239" t="str">
        <f t="shared" si="7"/>
        <v/>
      </c>
      <c r="O15" s="239" t="str">
        <f t="shared" si="7"/>
        <v/>
      </c>
      <c r="P15" s="239" t="str">
        <f t="shared" si="7"/>
        <v/>
      </c>
      <c r="Q15" s="239" t="str">
        <f t="shared" si="7"/>
        <v/>
      </c>
      <c r="R15" s="240" t="str">
        <f t="shared" si="7"/>
        <v/>
      </c>
    </row>
    <row r="16" spans="2:18" s="4" customFormat="1" ht="13.5" x14ac:dyDescent="0.35">
      <c r="B16" s="95" t="s">
        <v>501</v>
      </c>
      <c r="C16" s="164"/>
      <c r="D16" s="164"/>
      <c r="E16" s="164"/>
      <c r="F16" s="165"/>
      <c r="G16" s="186">
        <f t="shared" ref="G16:R16" si="8">IF(G$5="","",SUMIF($G$46:$EI$46,G$5,$G$59:$EI$59))</f>
        <v>0</v>
      </c>
      <c r="H16" s="186">
        <f t="shared" si="8"/>
        <v>2008935.2284795716</v>
      </c>
      <c r="I16" s="186">
        <f t="shared" si="8"/>
        <v>0</v>
      </c>
      <c r="J16" s="186">
        <f t="shared" si="8"/>
        <v>0</v>
      </c>
      <c r="K16" s="186">
        <f t="shared" si="8"/>
        <v>0</v>
      </c>
      <c r="L16" s="186">
        <f t="shared" si="8"/>
        <v>0</v>
      </c>
      <c r="M16" s="186">
        <f t="shared" si="8"/>
        <v>0</v>
      </c>
      <c r="N16" s="239" t="str">
        <f t="shared" si="8"/>
        <v/>
      </c>
      <c r="O16" s="239" t="str">
        <f t="shared" si="8"/>
        <v/>
      </c>
      <c r="P16" s="239" t="str">
        <f t="shared" si="8"/>
        <v/>
      </c>
      <c r="Q16" s="239" t="str">
        <f t="shared" si="8"/>
        <v/>
      </c>
      <c r="R16" s="240" t="str">
        <f t="shared" si="8"/>
        <v/>
      </c>
    </row>
    <row r="17" spans="2:18" s="4" customFormat="1" ht="13.5" x14ac:dyDescent="0.35">
      <c r="B17" s="95" t="s">
        <v>82</v>
      </c>
      <c r="C17" s="164"/>
      <c r="D17" s="164"/>
      <c r="E17" s="164"/>
      <c r="F17" s="165"/>
      <c r="G17" s="186">
        <f t="shared" ref="G17:R17" si="9">IF(G$5="","",SUMIF($G$46:$EI$46,G$5,$G57:$EI57))</f>
        <v>93017714.091035873</v>
      </c>
      <c r="H17" s="186">
        <f t="shared" si="9"/>
        <v>69747077.717133224</v>
      </c>
      <c r="I17" s="186">
        <f t="shared" si="9"/>
        <v>233882124.32595944</v>
      </c>
      <c r="J17" s="186">
        <f t="shared" si="9"/>
        <v>54218654.255832545</v>
      </c>
      <c r="K17" s="186">
        <f t="shared" si="9"/>
        <v>0</v>
      </c>
      <c r="L17" s="186">
        <f t="shared" si="9"/>
        <v>0</v>
      </c>
      <c r="M17" s="186">
        <f t="shared" si="9"/>
        <v>0</v>
      </c>
      <c r="N17" s="239" t="str">
        <f t="shared" si="9"/>
        <v/>
      </c>
      <c r="O17" s="239" t="str">
        <f t="shared" si="9"/>
        <v/>
      </c>
      <c r="P17" s="239" t="str">
        <f t="shared" si="9"/>
        <v/>
      </c>
      <c r="Q17" s="239" t="str">
        <f t="shared" si="9"/>
        <v/>
      </c>
      <c r="R17" s="240" t="str">
        <f t="shared" si="9"/>
        <v/>
      </c>
    </row>
    <row r="18" spans="2:18" s="4" customFormat="1" ht="13.5" x14ac:dyDescent="0.35">
      <c r="B18" s="95" t="s">
        <v>86</v>
      </c>
      <c r="C18" s="164"/>
      <c r="D18" s="164"/>
      <c r="E18" s="164"/>
      <c r="F18" s="165"/>
      <c r="G18" s="186">
        <f t="shared" ref="G18:R18" si="10">IF(G$5="","",SUMIF($G$46:$EI$46,G$5,$G58:$EI58))</f>
        <v>93017714.091035873</v>
      </c>
      <c r="H18" s="186">
        <f t="shared" si="10"/>
        <v>67738142.48865366</v>
      </c>
      <c r="I18" s="186">
        <f t="shared" si="10"/>
        <v>233882124.32595944</v>
      </c>
      <c r="J18" s="186">
        <f t="shared" si="10"/>
        <v>54218654.255832545</v>
      </c>
      <c r="K18" s="186">
        <f t="shared" si="10"/>
        <v>0</v>
      </c>
      <c r="L18" s="186">
        <f t="shared" si="10"/>
        <v>0</v>
      </c>
      <c r="M18" s="186">
        <f t="shared" si="10"/>
        <v>0</v>
      </c>
      <c r="N18" s="239" t="str">
        <f t="shared" si="10"/>
        <v/>
      </c>
      <c r="O18" s="239" t="str">
        <f t="shared" si="10"/>
        <v/>
      </c>
      <c r="P18" s="239" t="str">
        <f t="shared" si="10"/>
        <v/>
      </c>
      <c r="Q18" s="239" t="str">
        <f t="shared" si="10"/>
        <v/>
      </c>
      <c r="R18" s="240" t="str">
        <f t="shared" si="10"/>
        <v/>
      </c>
    </row>
    <row r="19" spans="2:18" x14ac:dyDescent="0.35">
      <c r="B19" s="96" t="s">
        <v>502</v>
      </c>
      <c r="C19" s="176"/>
      <c r="D19" s="176"/>
      <c r="E19" s="176"/>
      <c r="F19" s="176"/>
      <c r="G19" s="183">
        <f t="shared" ref="G19:R19" si="11">IF(G$5="","",G17-G18-G16)</f>
        <v>0</v>
      </c>
      <c r="H19" s="183">
        <f t="shared" si="11"/>
        <v>-7.4505805969238281E-9</v>
      </c>
      <c r="I19" s="183">
        <f t="shared" si="11"/>
        <v>0</v>
      </c>
      <c r="J19" s="183">
        <f t="shared" si="11"/>
        <v>0</v>
      </c>
      <c r="K19" s="183">
        <f t="shared" si="11"/>
        <v>0</v>
      </c>
      <c r="L19" s="183">
        <f t="shared" si="11"/>
        <v>0</v>
      </c>
      <c r="M19" s="183">
        <f t="shared" si="11"/>
        <v>0</v>
      </c>
      <c r="N19" s="184" t="str">
        <f t="shared" si="11"/>
        <v/>
      </c>
      <c r="O19" s="184" t="str">
        <f t="shared" si="11"/>
        <v/>
      </c>
      <c r="P19" s="184" t="str">
        <f t="shared" si="11"/>
        <v/>
      </c>
      <c r="Q19" s="184" t="str">
        <f t="shared" si="11"/>
        <v/>
      </c>
      <c r="R19" s="185" t="str">
        <f t="shared" si="11"/>
        <v/>
      </c>
    </row>
    <row r="20" spans="2:18" s="4" customFormat="1" ht="13.5" x14ac:dyDescent="0.35">
      <c r="B20" s="114" t="s">
        <v>503</v>
      </c>
      <c r="C20" s="164"/>
      <c r="D20" s="164"/>
      <c r="E20" s="164"/>
      <c r="F20" s="164"/>
      <c r="G20" s="186"/>
      <c r="H20" s="186"/>
      <c r="I20" s="186"/>
      <c r="J20" s="186"/>
      <c r="K20" s="186"/>
      <c r="L20" s="186"/>
      <c r="M20" s="186"/>
      <c r="N20" s="186"/>
      <c r="O20" s="186"/>
      <c r="P20" s="186"/>
      <c r="Q20" s="186"/>
      <c r="R20" s="188"/>
    </row>
    <row r="21" spans="2:18" s="4" customFormat="1" ht="13.5" x14ac:dyDescent="0.35">
      <c r="B21" s="180" t="str">
        <f>+B61</f>
        <v>Rental Income</v>
      </c>
      <c r="C21" s="164"/>
      <c r="D21" s="164"/>
      <c r="E21" s="164"/>
      <c r="F21" s="164"/>
      <c r="G21" s="186">
        <f t="shared" ref="G21:R21" si="12">IF(G$5="","",SUMIF($G$46:$EI$46,G$5,$G61:$EI61))</f>
        <v>0</v>
      </c>
      <c r="H21" s="186">
        <f t="shared" si="12"/>
        <v>0</v>
      </c>
      <c r="I21" s="186">
        <f t="shared" si="12"/>
        <v>2150000</v>
      </c>
      <c r="J21" s="186">
        <f t="shared" si="12"/>
        <v>13815249.999999998</v>
      </c>
      <c r="K21" s="186">
        <f t="shared" si="12"/>
        <v>15838783.749999998</v>
      </c>
      <c r="L21" s="186">
        <f t="shared" si="12"/>
        <v>16393141.181249999</v>
      </c>
      <c r="M21" s="186">
        <f t="shared" si="12"/>
        <v>1399019.8499999996</v>
      </c>
      <c r="N21" s="186" t="str">
        <f t="shared" si="12"/>
        <v/>
      </c>
      <c r="O21" s="186" t="str">
        <f t="shared" si="12"/>
        <v/>
      </c>
      <c r="P21" s="186" t="str">
        <f t="shared" si="12"/>
        <v/>
      </c>
      <c r="Q21" s="186" t="str">
        <f t="shared" si="12"/>
        <v/>
      </c>
      <c r="R21" s="188" t="str">
        <f t="shared" si="12"/>
        <v/>
      </c>
    </row>
    <row r="22" spans="2:18" s="4" customFormat="1" ht="13.5" x14ac:dyDescent="0.35">
      <c r="B22" s="180" t="str">
        <f>+B62</f>
        <v>Recovery Income</v>
      </c>
      <c r="C22" s="164"/>
      <c r="D22" s="164"/>
      <c r="E22" s="164"/>
      <c r="F22" s="164"/>
      <c r="G22" s="186">
        <f t="shared" ref="G22:R22" si="13">IF(G$5="","",SUMIF($G$46:$EI$46,G$5,$G62:$EI62))</f>
        <v>0</v>
      </c>
      <c r="H22" s="186">
        <f t="shared" si="13"/>
        <v>0</v>
      </c>
      <c r="I22" s="186">
        <f t="shared" si="13"/>
        <v>0</v>
      </c>
      <c r="J22" s="186">
        <f t="shared" si="13"/>
        <v>0</v>
      </c>
      <c r="K22" s="186">
        <f t="shared" si="13"/>
        <v>1505145.9576018525</v>
      </c>
      <c r="L22" s="186">
        <f t="shared" si="13"/>
        <v>3370485.5864122552</v>
      </c>
      <c r="M22" s="186">
        <f t="shared" si="13"/>
        <v>287895.64383938012</v>
      </c>
      <c r="N22" s="186" t="str">
        <f t="shared" si="13"/>
        <v/>
      </c>
      <c r="O22" s="186" t="str">
        <f t="shared" si="13"/>
        <v/>
      </c>
      <c r="P22" s="186" t="str">
        <f t="shared" si="13"/>
        <v/>
      </c>
      <c r="Q22" s="186" t="str">
        <f t="shared" si="13"/>
        <v/>
      </c>
      <c r="R22" s="188" t="str">
        <f t="shared" si="13"/>
        <v/>
      </c>
    </row>
    <row r="23" spans="2:18" s="4" customFormat="1" ht="13.5" x14ac:dyDescent="0.35">
      <c r="B23" s="180" t="str">
        <f>+B63</f>
        <v>Other Income</v>
      </c>
      <c r="C23" s="164"/>
      <c r="D23" s="164"/>
      <c r="E23" s="164"/>
      <c r="F23" s="164"/>
      <c r="G23" s="187">
        <f t="shared" ref="G23:R23" si="14">IF(G$5="","",SUMIF($G$46:$EI$46,G$5,$G63:$EI63))</f>
        <v>0</v>
      </c>
      <c r="H23" s="187">
        <f t="shared" si="14"/>
        <v>0</v>
      </c>
      <c r="I23" s="187">
        <f t="shared" si="14"/>
        <v>0</v>
      </c>
      <c r="J23" s="187">
        <f t="shared" si="14"/>
        <v>0</v>
      </c>
      <c r="K23" s="187">
        <f t="shared" si="14"/>
        <v>14025831.884223074</v>
      </c>
      <c r="L23" s="187">
        <f t="shared" si="14"/>
        <v>31018469.791080687</v>
      </c>
      <c r="M23" s="187">
        <f t="shared" si="14"/>
        <v>2649494.2946548089</v>
      </c>
      <c r="N23" s="187" t="str">
        <f t="shared" si="14"/>
        <v/>
      </c>
      <c r="O23" s="187" t="str">
        <f t="shared" si="14"/>
        <v/>
      </c>
      <c r="P23" s="187" t="str">
        <f t="shared" si="14"/>
        <v/>
      </c>
      <c r="Q23" s="187" t="str">
        <f t="shared" si="14"/>
        <v/>
      </c>
      <c r="R23" s="224" t="str">
        <f t="shared" si="14"/>
        <v/>
      </c>
    </row>
    <row r="24" spans="2:18" s="4" customFormat="1" ht="13.5" x14ac:dyDescent="0.35">
      <c r="B24" s="95" t="s">
        <v>504</v>
      </c>
      <c r="C24" s="164"/>
      <c r="D24" s="164"/>
      <c r="E24" s="164"/>
      <c r="F24" s="164"/>
      <c r="G24" s="186">
        <f>IF(G$5="","",SUM(G21:G23))</f>
        <v>0</v>
      </c>
      <c r="H24" s="186">
        <f t="shared" ref="H24:R24" si="15">IF(H$5="","",SUM(H21:H23))</f>
        <v>0</v>
      </c>
      <c r="I24" s="186">
        <f t="shared" si="15"/>
        <v>2150000</v>
      </c>
      <c r="J24" s="186">
        <f t="shared" si="15"/>
        <v>13815249.999999998</v>
      </c>
      <c r="K24" s="186">
        <f t="shared" si="15"/>
        <v>31369761.591824923</v>
      </c>
      <c r="L24" s="186">
        <f t="shared" si="15"/>
        <v>50782096.55874294</v>
      </c>
      <c r="M24" s="186">
        <f t="shared" si="15"/>
        <v>4336409.7884941883</v>
      </c>
      <c r="N24" s="186" t="str">
        <f t="shared" si="15"/>
        <v/>
      </c>
      <c r="O24" s="186" t="str">
        <f t="shared" si="15"/>
        <v/>
      </c>
      <c r="P24" s="186" t="str">
        <f t="shared" si="15"/>
        <v/>
      </c>
      <c r="Q24" s="186" t="str">
        <f t="shared" si="15"/>
        <v/>
      </c>
      <c r="R24" s="188" t="str">
        <f t="shared" si="15"/>
        <v/>
      </c>
    </row>
    <row r="25" spans="2:18" s="4" customFormat="1" ht="13.5" x14ac:dyDescent="0.35">
      <c r="B25" s="180" t="s">
        <v>505</v>
      </c>
      <c r="C25" s="164"/>
      <c r="D25" s="164"/>
      <c r="E25" s="164"/>
      <c r="F25" s="164"/>
      <c r="G25" s="187">
        <f t="shared" ref="G25:R25" si="16">IF(G$5="","",SUMIF($G$46:$EI$46,G$5,$G65:$EI65))</f>
        <v>0</v>
      </c>
      <c r="H25" s="187">
        <f t="shared" si="16"/>
        <v>0</v>
      </c>
      <c r="I25" s="187">
        <f t="shared" si="16"/>
        <v>0</v>
      </c>
      <c r="J25" s="187">
        <f t="shared" si="16"/>
        <v>0</v>
      </c>
      <c r="K25" s="187">
        <f t="shared" si="16"/>
        <v>0</v>
      </c>
      <c r="L25" s="187">
        <f t="shared" si="16"/>
        <v>0</v>
      </c>
      <c r="M25" s="187">
        <f t="shared" si="16"/>
        <v>0</v>
      </c>
      <c r="N25" s="187" t="str">
        <f t="shared" si="16"/>
        <v/>
      </c>
      <c r="O25" s="187" t="str">
        <f t="shared" si="16"/>
        <v/>
      </c>
      <c r="P25" s="187" t="str">
        <f t="shared" si="16"/>
        <v/>
      </c>
      <c r="Q25" s="187" t="str">
        <f t="shared" si="16"/>
        <v/>
      </c>
      <c r="R25" s="224" t="str">
        <f t="shared" si="16"/>
        <v/>
      </c>
    </row>
    <row r="26" spans="2:18" s="4" customFormat="1" ht="13.5" x14ac:dyDescent="0.35">
      <c r="B26" s="95" t="s">
        <v>356</v>
      </c>
      <c r="C26" s="164"/>
      <c r="D26" s="164"/>
      <c r="E26" s="164"/>
      <c r="F26" s="164"/>
      <c r="G26" s="186">
        <f>IF(G$5="","",SUM(G24:G25))</f>
        <v>0</v>
      </c>
      <c r="H26" s="186">
        <f t="shared" ref="H26:R26" si="17">IF(H$5="","",SUM(H24:H25))</f>
        <v>0</v>
      </c>
      <c r="I26" s="186">
        <f t="shared" si="17"/>
        <v>2150000</v>
      </c>
      <c r="J26" s="186">
        <f t="shared" si="17"/>
        <v>13815249.999999998</v>
      </c>
      <c r="K26" s="186">
        <f t="shared" si="17"/>
        <v>31369761.591824923</v>
      </c>
      <c r="L26" s="186">
        <f t="shared" si="17"/>
        <v>50782096.55874294</v>
      </c>
      <c r="M26" s="186">
        <f t="shared" si="17"/>
        <v>4336409.7884941883</v>
      </c>
      <c r="N26" s="186" t="str">
        <f t="shared" si="17"/>
        <v/>
      </c>
      <c r="O26" s="186" t="str">
        <f t="shared" si="17"/>
        <v/>
      </c>
      <c r="P26" s="186" t="str">
        <f t="shared" si="17"/>
        <v/>
      </c>
      <c r="Q26" s="186" t="str">
        <f t="shared" si="17"/>
        <v/>
      </c>
      <c r="R26" s="188" t="str">
        <f t="shared" si="17"/>
        <v/>
      </c>
    </row>
    <row r="27" spans="2:18" s="4" customFormat="1" ht="13.5" x14ac:dyDescent="0.35">
      <c r="B27" s="95"/>
      <c r="C27" s="164"/>
      <c r="D27" s="164"/>
      <c r="E27" s="164"/>
      <c r="F27" s="164"/>
      <c r="G27" s="186"/>
      <c r="H27" s="186"/>
      <c r="I27" s="186"/>
      <c r="J27" s="186"/>
      <c r="K27" s="186"/>
      <c r="L27" s="186"/>
      <c r="M27" s="186"/>
      <c r="N27" s="186"/>
      <c r="O27" s="186"/>
      <c r="P27" s="186"/>
      <c r="Q27" s="186"/>
      <c r="R27" s="188"/>
    </row>
    <row r="28" spans="2:18" s="4" customFormat="1" ht="13.5" x14ac:dyDescent="0.35">
      <c r="B28" s="95" t="s">
        <v>506</v>
      </c>
      <c r="C28" s="164"/>
      <c r="D28" s="164"/>
      <c r="E28" s="164"/>
      <c r="F28" s="164"/>
      <c r="G28" s="186"/>
      <c r="H28" s="186"/>
      <c r="I28" s="186"/>
      <c r="J28" s="186"/>
      <c r="K28" s="186"/>
      <c r="L28" s="186"/>
      <c r="M28" s="186"/>
      <c r="N28" s="186"/>
      <c r="O28" s="186"/>
      <c r="P28" s="186"/>
      <c r="Q28" s="186"/>
      <c r="R28" s="188"/>
    </row>
    <row r="29" spans="2:18" s="4" customFormat="1" ht="13.5" x14ac:dyDescent="0.35">
      <c r="B29" s="180" t="str">
        <f>+B69</f>
        <v>Source operating costs</v>
      </c>
      <c r="C29" s="164"/>
      <c r="D29" s="164"/>
      <c r="E29" s="164"/>
      <c r="F29" s="164"/>
      <c r="G29" s="186">
        <f t="shared" ref="G29:R29" si="18">IF(G$5="","",SUMIF($G$46:$EI$46,G$5,$G69:$EI69))</f>
        <v>0</v>
      </c>
      <c r="H29" s="186">
        <f t="shared" si="18"/>
        <v>0</v>
      </c>
      <c r="I29" s="186">
        <f t="shared" si="18"/>
        <v>0</v>
      </c>
      <c r="J29" s="186">
        <f t="shared" si="18"/>
        <v>0</v>
      </c>
      <c r="K29" s="186">
        <f t="shared" si="18"/>
        <v>1507127.701241252</v>
      </c>
      <c r="L29" s="186">
        <f t="shared" si="18"/>
        <v>3370485.5864122552</v>
      </c>
      <c r="M29" s="186">
        <f t="shared" si="18"/>
        <v>287895.64383938006</v>
      </c>
      <c r="N29" s="186" t="str">
        <f t="shared" si="18"/>
        <v/>
      </c>
      <c r="O29" s="186" t="str">
        <f t="shared" si="18"/>
        <v/>
      </c>
      <c r="P29" s="186" t="str">
        <f t="shared" si="18"/>
        <v/>
      </c>
      <c r="Q29" s="186" t="str">
        <f t="shared" si="18"/>
        <v/>
      </c>
      <c r="R29" s="188" t="str">
        <f t="shared" si="18"/>
        <v/>
      </c>
    </row>
    <row r="30" spans="2:18" s="4" customFormat="1" ht="13.5" x14ac:dyDescent="0.35">
      <c r="B30" s="180" t="str">
        <f>+B70</f>
        <v>Management fee included in source operating costs</v>
      </c>
      <c r="C30" s="164"/>
      <c r="D30" s="164"/>
      <c r="E30" s="164"/>
      <c r="F30" s="164"/>
      <c r="G30" s="186">
        <f t="shared" ref="G30:R30" si="19">IF(G$5="","",SUMIF($G$46:$EI$46,G$5,$G70:$EI70))</f>
        <v>0</v>
      </c>
      <c r="H30" s="186">
        <f t="shared" si="19"/>
        <v>0</v>
      </c>
      <c r="I30" s="186">
        <f t="shared" si="19"/>
        <v>0</v>
      </c>
      <c r="J30" s="186">
        <f t="shared" si="19"/>
        <v>0</v>
      </c>
      <c r="K30" s="186">
        <f t="shared" si="19"/>
        <v>0</v>
      </c>
      <c r="L30" s="186">
        <f t="shared" si="19"/>
        <v>0</v>
      </c>
      <c r="M30" s="186">
        <f t="shared" si="19"/>
        <v>0</v>
      </c>
      <c r="N30" s="186" t="str">
        <f t="shared" si="19"/>
        <v/>
      </c>
      <c r="O30" s="186" t="str">
        <f t="shared" si="19"/>
        <v/>
      </c>
      <c r="P30" s="186" t="str">
        <f t="shared" si="19"/>
        <v/>
      </c>
      <c r="Q30" s="186" t="str">
        <f t="shared" si="19"/>
        <v/>
      </c>
      <c r="R30" s="188" t="str">
        <f t="shared" si="19"/>
        <v/>
      </c>
    </row>
    <row r="31" spans="2:18" s="4" customFormat="1" ht="13.5" x14ac:dyDescent="0.35">
      <c r="B31" s="180" t="str">
        <f>+B71</f>
        <v>Other operating expenses included in source operating costs</v>
      </c>
      <c r="C31" s="166"/>
      <c r="D31" s="166"/>
      <c r="E31" s="166"/>
      <c r="F31" s="167"/>
      <c r="G31" s="186">
        <f t="shared" ref="G31:R31" si="20">IF(G$5="","",SUMIF($G$46:$EI$46,G$5,$G71:$EI71))</f>
        <v>0</v>
      </c>
      <c r="H31" s="186">
        <f t="shared" si="20"/>
        <v>0</v>
      </c>
      <c r="I31" s="186">
        <f t="shared" si="20"/>
        <v>0</v>
      </c>
      <c r="J31" s="186">
        <f t="shared" si="20"/>
        <v>0</v>
      </c>
      <c r="K31" s="186">
        <f t="shared" si="20"/>
        <v>0</v>
      </c>
      <c r="L31" s="186">
        <f t="shared" si="20"/>
        <v>0</v>
      </c>
      <c r="M31" s="186">
        <f t="shared" si="20"/>
        <v>0</v>
      </c>
      <c r="N31" s="186" t="str">
        <f t="shared" si="20"/>
        <v/>
      </c>
      <c r="O31" s="186" t="str">
        <f t="shared" si="20"/>
        <v/>
      </c>
      <c r="P31" s="186" t="str">
        <f t="shared" si="20"/>
        <v/>
      </c>
      <c r="Q31" s="186" t="str">
        <f t="shared" si="20"/>
        <v/>
      </c>
      <c r="R31" s="188" t="str">
        <f t="shared" si="20"/>
        <v/>
      </c>
    </row>
    <row r="32" spans="2:18" s="4" customFormat="1" ht="13.5" x14ac:dyDescent="0.35">
      <c r="B32" s="180" t="str">
        <f>+B72</f>
        <v>Property taxes / insurance included in source operating costs</v>
      </c>
      <c r="C32" s="164"/>
      <c r="D32" s="164"/>
      <c r="E32" s="164"/>
      <c r="F32" s="168"/>
      <c r="G32" s="187">
        <f t="shared" ref="G32:R32" si="21">IF(G$5="","",SUMIF($G$46:$EI$46,G$5,$G72:$EI72))</f>
        <v>0</v>
      </c>
      <c r="H32" s="187">
        <f t="shared" si="21"/>
        <v>0</v>
      </c>
      <c r="I32" s="187">
        <f t="shared" si="21"/>
        <v>0</v>
      </c>
      <c r="J32" s="187">
        <f t="shared" si="21"/>
        <v>0</v>
      </c>
      <c r="K32" s="187">
        <f t="shared" si="21"/>
        <v>0</v>
      </c>
      <c r="L32" s="187">
        <f t="shared" si="21"/>
        <v>0</v>
      </c>
      <c r="M32" s="187">
        <f t="shared" si="21"/>
        <v>0</v>
      </c>
      <c r="N32" s="187" t="str">
        <f t="shared" si="21"/>
        <v/>
      </c>
      <c r="O32" s="244" t="str">
        <f t="shared" si="21"/>
        <v/>
      </c>
      <c r="P32" s="187" t="str">
        <f t="shared" si="21"/>
        <v/>
      </c>
      <c r="Q32" s="187" t="str">
        <f t="shared" si="21"/>
        <v/>
      </c>
      <c r="R32" s="224" t="str">
        <f t="shared" si="21"/>
        <v/>
      </c>
    </row>
    <row r="33" spans="2:139" s="4" customFormat="1" ht="13.5" x14ac:dyDescent="0.35">
      <c r="B33" s="95" t="s">
        <v>360</v>
      </c>
      <c r="C33" s="164"/>
      <c r="D33" s="164"/>
      <c r="E33" s="164"/>
      <c r="F33" s="164"/>
      <c r="G33" s="186">
        <f t="shared" ref="G33:R33" si="22">IF(G$5="","",SUM(G29:G32))</f>
        <v>0</v>
      </c>
      <c r="H33" s="186">
        <f t="shared" si="22"/>
        <v>0</v>
      </c>
      <c r="I33" s="186">
        <f t="shared" si="22"/>
        <v>0</v>
      </c>
      <c r="J33" s="186">
        <f t="shared" si="22"/>
        <v>0</v>
      </c>
      <c r="K33" s="186">
        <f t="shared" si="22"/>
        <v>1507127.701241252</v>
      </c>
      <c r="L33" s="186">
        <f t="shared" si="22"/>
        <v>3370485.5864122552</v>
      </c>
      <c r="M33" s="186">
        <f t="shared" si="22"/>
        <v>287895.64383938006</v>
      </c>
      <c r="N33" s="186" t="str">
        <f t="shared" si="22"/>
        <v/>
      </c>
      <c r="O33" s="186" t="str">
        <f t="shared" si="22"/>
        <v/>
      </c>
      <c r="P33" s="186" t="str">
        <f t="shared" si="22"/>
        <v/>
      </c>
      <c r="Q33" s="186" t="str">
        <f t="shared" si="22"/>
        <v/>
      </c>
      <c r="R33" s="188" t="str">
        <f t="shared" si="22"/>
        <v/>
      </c>
    </row>
    <row r="34" spans="2:139" s="4" customFormat="1" ht="13.5" x14ac:dyDescent="0.35">
      <c r="B34" s="95"/>
      <c r="C34" s="164"/>
      <c r="D34" s="164"/>
      <c r="E34" s="164"/>
      <c r="F34" s="164"/>
      <c r="G34" s="186"/>
      <c r="H34" s="186"/>
      <c r="I34" s="186"/>
      <c r="J34" s="186"/>
      <c r="K34" s="186"/>
      <c r="L34" s="186"/>
      <c r="M34" s="186"/>
      <c r="N34" s="186"/>
      <c r="O34" s="186"/>
      <c r="P34" s="186"/>
      <c r="Q34" s="186"/>
      <c r="R34" s="188"/>
    </row>
    <row r="35" spans="2:139" s="4" customFormat="1" ht="13.5" x14ac:dyDescent="0.35">
      <c r="B35" s="95" t="s">
        <v>361</v>
      </c>
      <c r="C35" s="164"/>
      <c r="D35" s="164"/>
      <c r="E35" s="164"/>
      <c r="F35" s="164"/>
      <c r="G35" s="186">
        <f t="shared" ref="G35:R35" si="23">IF(G$5="","",G26-G33)</f>
        <v>0</v>
      </c>
      <c r="H35" s="186">
        <f t="shared" si="23"/>
        <v>0</v>
      </c>
      <c r="I35" s="186">
        <f t="shared" si="23"/>
        <v>2150000</v>
      </c>
      <c r="J35" s="186">
        <f t="shared" si="23"/>
        <v>13815249.999999998</v>
      </c>
      <c r="K35" s="186">
        <f t="shared" si="23"/>
        <v>29862633.890583672</v>
      </c>
      <c r="L35" s="186">
        <f t="shared" si="23"/>
        <v>47411610.972330682</v>
      </c>
      <c r="M35" s="186">
        <f t="shared" si="23"/>
        <v>4048514.1446548081</v>
      </c>
      <c r="N35" s="186" t="str">
        <f t="shared" si="23"/>
        <v/>
      </c>
      <c r="O35" s="186" t="str">
        <f t="shared" si="23"/>
        <v/>
      </c>
      <c r="P35" s="186" t="str">
        <f t="shared" si="23"/>
        <v/>
      </c>
      <c r="Q35" s="186" t="str">
        <f t="shared" si="23"/>
        <v/>
      </c>
      <c r="R35" s="188" t="str">
        <f t="shared" si="23"/>
        <v/>
      </c>
    </row>
    <row r="36" spans="2:139" s="4" customFormat="1" ht="13.5" x14ac:dyDescent="0.35">
      <c r="B36" s="95"/>
      <c r="C36" s="164"/>
      <c r="D36" s="164"/>
      <c r="E36" s="164"/>
      <c r="F36" s="164"/>
      <c r="G36" s="186"/>
      <c r="H36" s="186"/>
      <c r="I36" s="186"/>
      <c r="J36" s="186"/>
      <c r="K36" s="186"/>
      <c r="L36" s="186"/>
      <c r="M36" s="186"/>
      <c r="N36" s="186"/>
      <c r="O36" s="186"/>
      <c r="P36" s="186"/>
      <c r="Q36" s="186"/>
      <c r="R36" s="188"/>
    </row>
    <row r="37" spans="2:139" s="4" customFormat="1" ht="13.5" x14ac:dyDescent="0.35">
      <c r="B37" s="95" t="s">
        <v>306</v>
      </c>
      <c r="C37" s="164"/>
      <c r="D37" s="164"/>
      <c r="E37" s="164"/>
      <c r="F37" s="164"/>
      <c r="G37" s="186">
        <f t="shared" ref="G37:R37" si="24">IF(G$5="","",SUMIF($G$46:$EI$46,G$5,$G77:$EI77))</f>
        <v>0</v>
      </c>
      <c r="H37" s="186">
        <f t="shared" si="24"/>
        <v>0</v>
      </c>
      <c r="I37" s="186">
        <f t="shared" si="24"/>
        <v>0</v>
      </c>
      <c r="J37" s="186">
        <f t="shared" si="24"/>
        <v>0</v>
      </c>
      <c r="K37" s="186">
        <f t="shared" si="24"/>
        <v>0</v>
      </c>
      <c r="L37" s="186">
        <f t="shared" si="24"/>
        <v>0</v>
      </c>
      <c r="M37" s="186">
        <f t="shared" si="24"/>
        <v>0</v>
      </c>
      <c r="N37" s="186" t="str">
        <f t="shared" si="24"/>
        <v/>
      </c>
      <c r="O37" s="186" t="str">
        <f t="shared" si="24"/>
        <v/>
      </c>
      <c r="P37" s="186" t="str">
        <f t="shared" si="24"/>
        <v/>
      </c>
      <c r="Q37" s="186" t="str">
        <f t="shared" si="24"/>
        <v/>
      </c>
      <c r="R37" s="188" t="str">
        <f t="shared" si="24"/>
        <v/>
      </c>
    </row>
    <row r="38" spans="2:139" s="4" customFormat="1" ht="13.5" x14ac:dyDescent="0.35">
      <c r="B38" s="95"/>
      <c r="C38" s="164"/>
      <c r="D38" s="164"/>
      <c r="E38" s="164"/>
      <c r="F38" s="164"/>
      <c r="G38" s="186"/>
      <c r="H38" s="186"/>
      <c r="I38" s="186"/>
      <c r="J38" s="186"/>
      <c r="K38" s="186"/>
      <c r="L38" s="186"/>
      <c r="M38" s="186"/>
      <c r="N38" s="186"/>
      <c r="O38" s="186"/>
      <c r="P38" s="186"/>
      <c r="Q38" s="186"/>
      <c r="R38" s="188"/>
    </row>
    <row r="39" spans="2:139" s="4" customFormat="1" ht="13.5" x14ac:dyDescent="0.35">
      <c r="B39" s="95" t="s">
        <v>324</v>
      </c>
      <c r="C39" s="164"/>
      <c r="D39" s="164"/>
      <c r="E39" s="164"/>
      <c r="F39" s="164"/>
      <c r="G39" s="186">
        <f>IF(G$5="","",G35-G37)</f>
        <v>0</v>
      </c>
      <c r="H39" s="186">
        <f t="shared" ref="H39:R39" si="25">IF(H$5="","",H35-H37)</f>
        <v>0</v>
      </c>
      <c r="I39" s="186">
        <f t="shared" si="25"/>
        <v>2150000</v>
      </c>
      <c r="J39" s="186">
        <f t="shared" si="25"/>
        <v>13815249.999999998</v>
      </c>
      <c r="K39" s="186">
        <f t="shared" si="25"/>
        <v>29862633.890583672</v>
      </c>
      <c r="L39" s="186">
        <f t="shared" si="25"/>
        <v>47411610.972330682</v>
      </c>
      <c r="M39" s="186">
        <f t="shared" si="25"/>
        <v>4048514.1446548081</v>
      </c>
      <c r="N39" s="186" t="str">
        <f t="shared" si="25"/>
        <v/>
      </c>
      <c r="O39" s="186" t="str">
        <f t="shared" si="25"/>
        <v/>
      </c>
      <c r="P39" s="186" t="str">
        <f t="shared" si="25"/>
        <v/>
      </c>
      <c r="Q39" s="186" t="str">
        <f t="shared" si="25"/>
        <v/>
      </c>
      <c r="R39" s="188" t="str">
        <f t="shared" si="25"/>
        <v/>
      </c>
    </row>
    <row r="40" spans="2:139" s="4" customFormat="1" ht="13.5" x14ac:dyDescent="0.35">
      <c r="B40" s="96"/>
      <c r="C40" s="176"/>
      <c r="D40" s="176"/>
      <c r="E40" s="176"/>
      <c r="F40" s="176"/>
      <c r="G40" s="183"/>
      <c r="H40" s="183"/>
      <c r="I40" s="183"/>
      <c r="J40" s="183"/>
      <c r="K40" s="183"/>
      <c r="L40" s="183"/>
      <c r="M40" s="183"/>
      <c r="N40" s="183"/>
      <c r="O40" s="183"/>
      <c r="P40" s="183"/>
      <c r="Q40" s="183"/>
      <c r="R40" s="245"/>
    </row>
    <row r="41" spans="2:139" s="4" customFormat="1" ht="13.5" x14ac:dyDescent="0.35">
      <c r="B41" s="114" t="s">
        <v>507</v>
      </c>
      <c r="C41" s="164"/>
      <c r="D41" s="164"/>
      <c r="E41" s="164"/>
      <c r="F41" s="164"/>
      <c r="G41" s="186"/>
      <c r="H41" s="186"/>
      <c r="I41" s="186"/>
      <c r="J41" s="186"/>
      <c r="K41" s="186"/>
      <c r="L41" s="186"/>
      <c r="M41" s="186"/>
      <c r="N41" s="186"/>
      <c r="O41" s="186"/>
      <c r="P41" s="186"/>
      <c r="Q41" s="186"/>
      <c r="R41" s="188"/>
    </row>
    <row r="42" spans="2:139" s="4" customFormat="1" ht="13.5" x14ac:dyDescent="0.35">
      <c r="B42" s="95"/>
      <c r="C42" s="164"/>
      <c r="D42" s="164"/>
      <c r="E42" s="164"/>
      <c r="F42" s="164"/>
      <c r="G42" s="186"/>
      <c r="H42" s="186"/>
      <c r="I42" s="186"/>
      <c r="J42" s="186"/>
      <c r="K42" s="186"/>
      <c r="L42" s="186"/>
      <c r="M42" s="186"/>
      <c r="N42" s="186"/>
      <c r="O42" s="186"/>
      <c r="P42" s="186"/>
      <c r="Q42" s="186"/>
      <c r="R42" s="188"/>
    </row>
    <row r="43" spans="2:139" s="4" customFormat="1" ht="13.5" x14ac:dyDescent="0.35">
      <c r="B43" s="95" t="s">
        <v>402</v>
      </c>
      <c r="C43" s="164"/>
      <c r="D43" s="164"/>
      <c r="E43" s="164"/>
      <c r="F43" s="164"/>
      <c r="G43" s="186">
        <f t="shared" ref="G43:R43" si="26">IF(G$5="","",SUMIF($G$46:$EI$46,G$5,$G93:$EI93))</f>
        <v>-93017714.091035873</v>
      </c>
      <c r="H43" s="186">
        <f t="shared" si="26"/>
        <v>-67738142.48865366</v>
      </c>
      <c r="I43" s="186">
        <f t="shared" si="26"/>
        <v>-231732124.32595944</v>
      </c>
      <c r="J43" s="186">
        <f t="shared" si="26"/>
        <v>-40403404.255832538</v>
      </c>
      <c r="K43" s="186">
        <f t="shared" si="26"/>
        <v>29862633.890583672</v>
      </c>
      <c r="L43" s="186">
        <f t="shared" si="26"/>
        <v>47411610.972330667</v>
      </c>
      <c r="M43" s="186">
        <f t="shared" si="26"/>
        <v>711983566.07476461</v>
      </c>
      <c r="N43" s="186" t="str">
        <f t="shared" si="26"/>
        <v/>
      </c>
      <c r="O43" s="186" t="str">
        <f t="shared" si="26"/>
        <v/>
      </c>
      <c r="P43" s="186" t="str">
        <f t="shared" si="26"/>
        <v/>
      </c>
      <c r="Q43" s="186" t="str">
        <f t="shared" si="26"/>
        <v/>
      </c>
      <c r="R43" s="188" t="str">
        <f t="shared" si="26"/>
        <v/>
      </c>
    </row>
    <row r="44" spans="2:139" s="4" customFormat="1" ht="13.5" x14ac:dyDescent="0.35">
      <c r="B44" s="95" t="s">
        <v>404</v>
      </c>
      <c r="C44" s="164"/>
      <c r="D44" s="164"/>
      <c r="E44" s="164"/>
      <c r="F44" s="164"/>
      <c r="G44" s="186">
        <f t="shared" ref="G44:R44" si="27">IF(G$5="","",SUMIF($G$46:$EI$46,G$5,$G94:$EI94))</f>
        <v>-76389582.872717112</v>
      </c>
      <c r="H44" s="186">
        <f t="shared" si="27"/>
        <v>2008935.2284795716</v>
      </c>
      <c r="I44" s="186">
        <f t="shared" si="27"/>
        <v>-111401572.03394537</v>
      </c>
      <c r="J44" s="186">
        <f t="shared" si="27"/>
        <v>-30866451.204557884</v>
      </c>
      <c r="K44" s="186">
        <f t="shared" si="27"/>
        <v>12975436.458110889</v>
      </c>
      <c r="L44" s="186">
        <f t="shared" si="27"/>
        <v>29393446.652672596</v>
      </c>
      <c r="M44" s="186">
        <f t="shared" si="27"/>
        <v>475226009.54656303</v>
      </c>
      <c r="N44" s="186" t="str">
        <f t="shared" si="27"/>
        <v/>
      </c>
      <c r="O44" s="186" t="str">
        <f t="shared" si="27"/>
        <v/>
      </c>
      <c r="P44" s="186" t="str">
        <f t="shared" si="27"/>
        <v/>
      </c>
      <c r="Q44" s="186" t="str">
        <f t="shared" si="27"/>
        <v/>
      </c>
      <c r="R44" s="188" t="str">
        <f t="shared" si="27"/>
        <v/>
      </c>
    </row>
    <row r="45" spans="2:139" s="4" customFormat="1" ht="13.5" x14ac:dyDescent="0.35">
      <c r="B45" s="181"/>
      <c r="C45" s="176"/>
      <c r="D45" s="176"/>
      <c r="E45" s="176"/>
      <c r="F45" s="176"/>
      <c r="G45" s="183"/>
      <c r="H45" s="183"/>
      <c r="I45" s="183"/>
      <c r="J45" s="183"/>
      <c r="K45" s="183"/>
      <c r="L45" s="183"/>
      <c r="M45" s="183"/>
      <c r="N45" s="183"/>
      <c r="O45" s="183"/>
      <c r="P45" s="183"/>
      <c r="Q45" s="183"/>
      <c r="R45" s="245"/>
    </row>
    <row r="46" spans="2:139" x14ac:dyDescent="0.35">
      <c r="F46" s="104" t="s">
        <v>508</v>
      </c>
      <c r="G46" s="246">
        <f>IF(G47="","",Underwriting!L2)</f>
        <v>0</v>
      </c>
      <c r="H46" s="246">
        <f>IF(H47="","",Underwriting!M2)</f>
        <v>1</v>
      </c>
      <c r="I46" s="246">
        <f>IF(I47="","",Underwriting!N2)</f>
        <v>1</v>
      </c>
      <c r="J46" s="246">
        <f>IF(J47="","",Underwriting!O2)</f>
        <v>1</v>
      </c>
      <c r="K46" s="246">
        <f>IF(K47="","",Underwriting!P2)</f>
        <v>1</v>
      </c>
      <c r="L46" s="246">
        <f>IF(L47="","",Underwriting!Q2)</f>
        <v>1</v>
      </c>
      <c r="M46" s="246">
        <f>IF(M47="","",Underwriting!R2)</f>
        <v>1</v>
      </c>
      <c r="N46" s="246">
        <f>IF(N47="","",Underwriting!S2)</f>
        <v>1</v>
      </c>
      <c r="O46" s="246">
        <f>IF(O47="","",Underwriting!T2)</f>
        <v>1</v>
      </c>
      <c r="P46" s="246">
        <f>IF(P47="","",Underwriting!U2)</f>
        <v>1</v>
      </c>
      <c r="Q46" s="246">
        <f>IF(Q47="","",Underwriting!V2)</f>
        <v>1</v>
      </c>
      <c r="R46" s="246">
        <f>IF(R47="","",Underwriting!W2)</f>
        <v>1</v>
      </c>
      <c r="S46" s="182">
        <f>IF(S47="","",Underwriting!X2)</f>
        <v>1</v>
      </c>
      <c r="T46" s="182">
        <f>IF(T47="","",Underwriting!Y2)</f>
        <v>2</v>
      </c>
      <c r="U46" s="182">
        <f>IF(U47="","",Underwriting!Z2)</f>
        <v>2</v>
      </c>
      <c r="V46" s="182">
        <f>IF(V47="","",Underwriting!AA2)</f>
        <v>2</v>
      </c>
      <c r="W46" s="182">
        <f>IF(W47="","",Underwriting!AB2)</f>
        <v>2</v>
      </c>
      <c r="X46" s="182">
        <f>IF(X47="","",Underwriting!AC2)</f>
        <v>2</v>
      </c>
      <c r="Y46" s="182">
        <f>IF(Y47="","",Underwriting!AD2)</f>
        <v>2</v>
      </c>
      <c r="Z46" s="182">
        <f>IF(Z47="","",Underwriting!AE2)</f>
        <v>2</v>
      </c>
      <c r="AA46" s="182">
        <f>IF(AA47="","",Underwriting!AF2)</f>
        <v>2</v>
      </c>
      <c r="AB46" s="182">
        <f>IF(AB47="","",Underwriting!AG2)</f>
        <v>2</v>
      </c>
      <c r="AC46" s="182">
        <f>IF(AC47="","",Underwriting!AH2)</f>
        <v>2</v>
      </c>
      <c r="AD46" s="182">
        <f>IF(AD47="","",Underwriting!AI2)</f>
        <v>2</v>
      </c>
      <c r="AE46" s="182">
        <f>IF(AE47="","",Underwriting!AJ2)</f>
        <v>2</v>
      </c>
      <c r="AF46" s="182">
        <f>IF(AF47="","",Underwriting!AK2)</f>
        <v>3</v>
      </c>
      <c r="AG46" s="182">
        <f>IF(AG47="","",Underwriting!AL2)</f>
        <v>3</v>
      </c>
      <c r="AH46" s="182">
        <f>IF(AH47="","",Underwriting!AM2)</f>
        <v>3</v>
      </c>
      <c r="AI46" s="182">
        <f>IF(AI47="","",Underwriting!AN2)</f>
        <v>3</v>
      </c>
      <c r="AJ46" s="182">
        <f>IF(AJ47="","",Underwriting!AO2)</f>
        <v>3</v>
      </c>
      <c r="AK46" s="182">
        <f>IF(AK47="","",Underwriting!AP2)</f>
        <v>3</v>
      </c>
      <c r="AL46" s="182">
        <f>IF(AL47="","",Underwriting!AQ2)</f>
        <v>3</v>
      </c>
      <c r="AM46" s="182">
        <f>IF(AM47="","",Underwriting!AR2)</f>
        <v>3</v>
      </c>
      <c r="AN46" s="182">
        <f>IF(AN47="","",Underwriting!AS2)</f>
        <v>3</v>
      </c>
      <c r="AO46" s="182">
        <f>IF(AO47="","",Underwriting!AT2)</f>
        <v>3</v>
      </c>
      <c r="AP46" s="182">
        <f>IF(AP47="","",Underwriting!AU2)</f>
        <v>3</v>
      </c>
      <c r="AQ46" s="182">
        <f>IF(AQ47="","",Underwriting!AV2)</f>
        <v>3</v>
      </c>
      <c r="AR46" s="182">
        <f>IF(AR47="","",Underwriting!AW2)</f>
        <v>4</v>
      </c>
      <c r="AS46" s="182">
        <f>IF(AS47="","",Underwriting!AX2)</f>
        <v>4</v>
      </c>
      <c r="AT46" s="182">
        <f>IF(AT47="","",Underwriting!AY2)</f>
        <v>4</v>
      </c>
      <c r="AU46" s="182">
        <f>IF(AU47="","",Underwriting!AZ2)</f>
        <v>4</v>
      </c>
      <c r="AV46" s="182">
        <f>IF(AV47="","",Underwriting!BA2)</f>
        <v>4</v>
      </c>
      <c r="AW46" s="182">
        <f>IF(AW47="","",Underwriting!BB2)</f>
        <v>4</v>
      </c>
      <c r="AX46" s="182">
        <f>IF(AX47="","",Underwriting!BC2)</f>
        <v>4</v>
      </c>
      <c r="AY46" s="182">
        <f>IF(AY47="","",Underwriting!BD2)</f>
        <v>4</v>
      </c>
      <c r="AZ46" s="182">
        <f>IF(AZ47="","",Underwriting!BE2)</f>
        <v>4</v>
      </c>
      <c r="BA46" s="182">
        <f>IF(BA47="","",Underwriting!BF2)</f>
        <v>4</v>
      </c>
      <c r="BB46" s="182">
        <f>IF(BB47="","",Underwriting!BG2)</f>
        <v>4</v>
      </c>
      <c r="BC46" s="182">
        <f>IF(BC47="","",Underwriting!BH2)</f>
        <v>4</v>
      </c>
      <c r="BD46" s="182">
        <f>IF(BD47="","",Underwriting!BI2)</f>
        <v>5</v>
      </c>
      <c r="BE46" s="182">
        <f>IF(BE47="","",Underwriting!BJ2)</f>
        <v>5</v>
      </c>
      <c r="BF46" s="182">
        <f>IF(BF47="","",Underwriting!BK2)</f>
        <v>5</v>
      </c>
      <c r="BG46" s="182">
        <f>IF(BG47="","",Underwriting!BL2)</f>
        <v>5</v>
      </c>
      <c r="BH46" s="182">
        <f>IF(BH47="","",Underwriting!BM2)</f>
        <v>5</v>
      </c>
      <c r="BI46" s="182">
        <f>IF(BI47="","",Underwriting!BN2)</f>
        <v>5</v>
      </c>
      <c r="BJ46" s="182">
        <f>IF(BJ47="","",Underwriting!BO2)</f>
        <v>5</v>
      </c>
      <c r="BK46" s="182">
        <f>IF(BK47="","",Underwriting!BP2)</f>
        <v>5</v>
      </c>
      <c r="BL46" s="182">
        <f>IF(BL47="","",Underwriting!BQ2)</f>
        <v>5</v>
      </c>
      <c r="BM46" s="182">
        <f>IF(BM47="","",Underwriting!BR2)</f>
        <v>5</v>
      </c>
      <c r="BN46" s="182">
        <f>IF(BN47="","",Underwriting!BS2)</f>
        <v>5</v>
      </c>
      <c r="BO46" s="182">
        <f>IF(BO47="","",Underwriting!BT2)</f>
        <v>5</v>
      </c>
      <c r="BP46" s="182">
        <f>IF(BP47="","",Underwriting!BU2)</f>
        <v>6</v>
      </c>
      <c r="BQ46" s="182" t="str">
        <f>IF(BQ47="","",Underwriting!BV2)</f>
        <v/>
      </c>
      <c r="BR46" s="182" t="str">
        <f>IF(BR47="","",Underwriting!BW2)</f>
        <v/>
      </c>
      <c r="BS46" s="182" t="str">
        <f>IF(BS47="","",Underwriting!BX2)</f>
        <v/>
      </c>
      <c r="BT46" s="182" t="str">
        <f>IF(BT47="","",Underwriting!BY2)</f>
        <v/>
      </c>
      <c r="BU46" s="182" t="str">
        <f>IF(BU47="","",Underwriting!BZ2)</f>
        <v/>
      </c>
      <c r="BV46" s="182" t="str">
        <f>IF(BV47="","",Underwriting!CA2)</f>
        <v/>
      </c>
      <c r="BW46" s="182" t="str">
        <f>IF(BW47="","",Underwriting!CB2)</f>
        <v/>
      </c>
      <c r="BX46" s="182" t="str">
        <f>IF(BX47="","",Underwriting!CC2)</f>
        <v/>
      </c>
      <c r="BY46" s="182" t="str">
        <f>IF(BY47="","",Underwriting!CD2)</f>
        <v/>
      </c>
      <c r="BZ46" s="182" t="str">
        <f>IF(BZ47="","",Underwriting!CE2)</f>
        <v/>
      </c>
      <c r="CA46" s="182" t="str">
        <f>IF(CA47="","",Underwriting!CF2)</f>
        <v/>
      </c>
      <c r="CB46" s="182" t="str">
        <f>IF(CB47="","",Underwriting!CG2)</f>
        <v/>
      </c>
      <c r="CC46" s="182" t="str">
        <f>IF(CC47="","",Underwriting!CH2)</f>
        <v/>
      </c>
      <c r="CD46" s="182" t="str">
        <f>IF(CD47="","",Underwriting!CI2)</f>
        <v/>
      </c>
      <c r="CE46" s="182" t="str">
        <f>IF(CE47="","",Underwriting!CJ2)</f>
        <v/>
      </c>
      <c r="CF46" s="182" t="str">
        <f>IF(CF47="","",Underwriting!CK2)</f>
        <v/>
      </c>
      <c r="CG46" s="182" t="str">
        <f>IF(CG47="","",Underwriting!CL2)</f>
        <v/>
      </c>
      <c r="CH46" s="182" t="str">
        <f>IF(CH47="","",Underwriting!CM2)</f>
        <v/>
      </c>
      <c r="CI46" s="182" t="str">
        <f>IF(CI47="","",Underwriting!CN2)</f>
        <v/>
      </c>
      <c r="CJ46" s="182" t="str">
        <f>IF(CJ47="","",Underwriting!CO2)</f>
        <v/>
      </c>
      <c r="CK46" s="182" t="str">
        <f>IF(CK47="","",Underwriting!CP2)</f>
        <v/>
      </c>
      <c r="CL46" s="182" t="str">
        <f>IF(CL47="","",Underwriting!CQ2)</f>
        <v/>
      </c>
      <c r="CM46" s="182" t="str">
        <f>IF(CM47="","",Underwriting!CR2)</f>
        <v/>
      </c>
      <c r="CN46" s="182" t="str">
        <f>IF(CN47="","",Underwriting!CS2)</f>
        <v/>
      </c>
      <c r="CO46" s="182" t="str">
        <f>IF(CO47="","",Underwriting!CT2)</f>
        <v/>
      </c>
      <c r="CP46" s="182" t="str">
        <f>IF(CP47="","",Underwriting!CU2)</f>
        <v/>
      </c>
      <c r="CQ46" s="182" t="str">
        <f>IF(CQ47="","",Underwriting!CV2)</f>
        <v/>
      </c>
      <c r="CR46" s="182" t="str">
        <f>IF(CR47="","",Underwriting!CW2)</f>
        <v/>
      </c>
      <c r="CS46" s="182" t="str">
        <f>IF(CS47="","",Underwriting!CX2)</f>
        <v/>
      </c>
      <c r="CT46" s="182" t="str">
        <f>IF(CT47="","",Underwriting!CY2)</f>
        <v/>
      </c>
      <c r="CU46" s="182" t="str">
        <f>IF(CU47="","",Underwriting!CZ2)</f>
        <v/>
      </c>
      <c r="CV46" s="182" t="str">
        <f>IF(CV47="","",Underwriting!DA2)</f>
        <v/>
      </c>
      <c r="CW46" s="182" t="str">
        <f>IF(CW47="","",Underwriting!DB2)</f>
        <v/>
      </c>
      <c r="CX46" s="182" t="str">
        <f>IF(CX47="","",Underwriting!DC2)</f>
        <v/>
      </c>
      <c r="CY46" s="182" t="str">
        <f>IF(CY47="","",Underwriting!DD2)</f>
        <v/>
      </c>
      <c r="CZ46" s="182" t="str">
        <f>IF(CZ47="","",Underwriting!DE2)</f>
        <v/>
      </c>
      <c r="DA46" s="182" t="str">
        <f>IF(DA47="","",Underwriting!DF2)</f>
        <v/>
      </c>
      <c r="DB46" s="182" t="str">
        <f>IF(DB47="","",Underwriting!DG2)</f>
        <v/>
      </c>
      <c r="DC46" s="182" t="str">
        <f>IF(DC47="","",Underwriting!DH2)</f>
        <v/>
      </c>
      <c r="DD46" s="182" t="str">
        <f>IF(DD47="","",Underwriting!DI2)</f>
        <v/>
      </c>
      <c r="DE46" s="182" t="str">
        <f>IF(DE47="","",Underwriting!DJ2)</f>
        <v/>
      </c>
      <c r="DF46" s="182" t="str">
        <f>IF(DF47="","",Underwriting!DK2)</f>
        <v/>
      </c>
      <c r="DG46" s="182" t="str">
        <f>IF(DG47="","",Underwriting!DL2)</f>
        <v/>
      </c>
      <c r="DH46" s="182" t="str">
        <f>IF(DH47="","",Underwriting!DM2)</f>
        <v/>
      </c>
      <c r="DI46" s="182" t="str">
        <f>IF(DI47="","",Underwriting!DN2)</f>
        <v/>
      </c>
      <c r="DJ46" s="182" t="str">
        <f>IF(DJ47="","",Underwriting!DO2)</f>
        <v/>
      </c>
      <c r="DK46" s="182" t="str">
        <f>IF(DK47="","",Underwriting!DP2)</f>
        <v/>
      </c>
      <c r="DL46" s="182" t="str">
        <f>IF(DL47="","",Underwriting!DQ2)</f>
        <v/>
      </c>
      <c r="DM46" s="182" t="str">
        <f>IF(DM47="","",Underwriting!DR2)</f>
        <v/>
      </c>
      <c r="DN46" s="182" t="str">
        <f>IF(DN47="","",Underwriting!DS2)</f>
        <v/>
      </c>
      <c r="DO46" s="182" t="str">
        <f>IF(DO47="","",Underwriting!DT2)</f>
        <v/>
      </c>
      <c r="DP46" s="182" t="str">
        <f>IF(DP47="","",Underwriting!DU2)</f>
        <v/>
      </c>
      <c r="DQ46" s="182" t="str">
        <f>IF(DQ47="","",Underwriting!DV2)</f>
        <v/>
      </c>
      <c r="DR46" s="182" t="str">
        <f>IF(DR47="","",Underwriting!DW2)</f>
        <v/>
      </c>
      <c r="DS46" s="182" t="str">
        <f>IF(DS47="","",Underwriting!DX2)</f>
        <v/>
      </c>
      <c r="DT46" s="182" t="str">
        <f>IF(DT47="","",Underwriting!DY2)</f>
        <v/>
      </c>
      <c r="DU46" s="182" t="str">
        <f>IF(DU47="","",Underwriting!DZ2)</f>
        <v/>
      </c>
      <c r="DV46" s="182" t="str">
        <f>IF(DV47="","",Underwriting!EA2)</f>
        <v/>
      </c>
      <c r="DW46" s="182" t="str">
        <f>IF(DW47="","",Underwriting!EB2)</f>
        <v/>
      </c>
      <c r="DX46" s="182" t="str">
        <f>IF(DX47="","",Underwriting!EC2)</f>
        <v/>
      </c>
      <c r="DY46" s="182" t="str">
        <f>IF(DY47="","",Underwriting!ED2)</f>
        <v/>
      </c>
      <c r="DZ46" s="182" t="str">
        <f>IF(DZ47="","",Underwriting!EE2)</f>
        <v/>
      </c>
      <c r="EA46" s="182" t="str">
        <f>IF(EA47="","",Underwriting!EF2)</f>
        <v/>
      </c>
      <c r="EB46" s="182" t="str">
        <f>IF(EB47="","",Underwriting!EG2)</f>
        <v/>
      </c>
      <c r="EC46" s="182" t="str">
        <f>IF(EC47="","",Underwriting!EH2)</f>
        <v/>
      </c>
      <c r="ED46" s="182" t="str">
        <f>IF(ED47="","",Underwriting!EI2)</f>
        <v/>
      </c>
      <c r="EE46" s="182" t="str">
        <f>IF(EE47="","",Underwriting!EJ2)</f>
        <v/>
      </c>
      <c r="EF46" s="182" t="str">
        <f>IF(EF47="","",Underwriting!EK2)</f>
        <v/>
      </c>
      <c r="EG46" s="182" t="str">
        <f>IF(EG47="","",Underwriting!EL2)</f>
        <v/>
      </c>
      <c r="EH46" s="182" t="str">
        <f>IF(EH47="","",Underwriting!EM2)</f>
        <v/>
      </c>
      <c r="EI46" s="182" t="str">
        <f>IF(EI47="","",Underwriting!EN2)</f>
        <v/>
      </c>
    </row>
    <row r="47" spans="2:139" x14ac:dyDescent="0.35">
      <c r="B47" s="4" t="s">
        <v>509</v>
      </c>
      <c r="C47" s="4"/>
      <c r="D47" s="4"/>
      <c r="E47" s="4"/>
      <c r="F47" s="4" t="s">
        <v>510</v>
      </c>
      <c r="G47" s="617">
        <f>Underwriting!L195</f>
        <v>46203</v>
      </c>
      <c r="H47" s="617">
        <f>Underwriting!M195</f>
        <v>46234</v>
      </c>
      <c r="I47" s="617">
        <f>Underwriting!N195</f>
        <v>46265</v>
      </c>
      <c r="J47" s="617">
        <f>Underwriting!O195</f>
        <v>46295</v>
      </c>
      <c r="K47" s="617">
        <f>Underwriting!P195</f>
        <v>46326</v>
      </c>
      <c r="L47" s="617">
        <f>Underwriting!Q195</f>
        <v>46356</v>
      </c>
      <c r="M47" s="617">
        <f>Underwriting!R195</f>
        <v>46387</v>
      </c>
      <c r="N47" s="617">
        <f>Underwriting!S195</f>
        <v>46418</v>
      </c>
      <c r="O47" s="617">
        <f>Underwriting!T195</f>
        <v>46446</v>
      </c>
      <c r="P47" s="617">
        <f>Underwriting!U195</f>
        <v>46477</v>
      </c>
      <c r="Q47" s="617">
        <f>Underwriting!V195</f>
        <v>46507</v>
      </c>
      <c r="R47" s="617">
        <f>Underwriting!W195</f>
        <v>46538</v>
      </c>
      <c r="S47" s="618">
        <f>Underwriting!X195</f>
        <v>46568</v>
      </c>
      <c r="T47" s="618">
        <f>Underwriting!Y195</f>
        <v>46599</v>
      </c>
      <c r="U47" s="618">
        <f>Underwriting!Z195</f>
        <v>46630</v>
      </c>
      <c r="V47" s="618">
        <f>Underwriting!AA195</f>
        <v>46660</v>
      </c>
      <c r="W47" s="618">
        <f>Underwriting!AB195</f>
        <v>46691</v>
      </c>
      <c r="X47" s="618">
        <f>Underwriting!AC195</f>
        <v>46721</v>
      </c>
      <c r="Y47" s="618">
        <f>Underwriting!AD195</f>
        <v>46752</v>
      </c>
      <c r="Z47" s="618">
        <f>Underwriting!AE195</f>
        <v>46783</v>
      </c>
      <c r="AA47" s="618">
        <f>Underwriting!AF195</f>
        <v>46812</v>
      </c>
      <c r="AB47" s="618">
        <f>Underwriting!AG195</f>
        <v>46843</v>
      </c>
      <c r="AC47" s="618">
        <f>Underwriting!AH195</f>
        <v>46873</v>
      </c>
      <c r="AD47" s="618">
        <f>Underwriting!AI195</f>
        <v>46904</v>
      </c>
      <c r="AE47" s="618">
        <f>Underwriting!AJ195</f>
        <v>46934</v>
      </c>
      <c r="AF47" s="618">
        <f>Underwriting!AK195</f>
        <v>46965</v>
      </c>
      <c r="AG47" s="618">
        <f>Underwriting!AL195</f>
        <v>46996</v>
      </c>
      <c r="AH47" s="618">
        <f>Underwriting!AM195</f>
        <v>47026</v>
      </c>
      <c r="AI47" s="618">
        <f>Underwriting!AN195</f>
        <v>47057</v>
      </c>
      <c r="AJ47" s="618">
        <f>Underwriting!AO195</f>
        <v>47087</v>
      </c>
      <c r="AK47" s="618">
        <f>Underwriting!AP195</f>
        <v>47118</v>
      </c>
      <c r="AL47" s="618">
        <f>Underwriting!AQ195</f>
        <v>47149</v>
      </c>
      <c r="AM47" s="618">
        <f>Underwriting!AR195</f>
        <v>47177</v>
      </c>
      <c r="AN47" s="618">
        <f>Underwriting!AS195</f>
        <v>47208</v>
      </c>
      <c r="AO47" s="618">
        <f>Underwriting!AT195</f>
        <v>47238</v>
      </c>
      <c r="AP47" s="618">
        <f>Underwriting!AU195</f>
        <v>47269</v>
      </c>
      <c r="AQ47" s="618">
        <f>Underwriting!AV195</f>
        <v>47299</v>
      </c>
      <c r="AR47" s="618">
        <f>Underwriting!AW195</f>
        <v>47330</v>
      </c>
      <c r="AS47" s="618">
        <f>Underwriting!AX195</f>
        <v>47361</v>
      </c>
      <c r="AT47" s="618">
        <f>Underwriting!AY195</f>
        <v>47391</v>
      </c>
      <c r="AU47" s="618">
        <f>Underwriting!AZ195</f>
        <v>47422</v>
      </c>
      <c r="AV47" s="618">
        <f>Underwriting!BA195</f>
        <v>47452</v>
      </c>
      <c r="AW47" s="618">
        <f>Underwriting!BB195</f>
        <v>47483</v>
      </c>
      <c r="AX47" s="618">
        <f>Underwriting!BC195</f>
        <v>47514</v>
      </c>
      <c r="AY47" s="618">
        <f>Underwriting!BD195</f>
        <v>47542</v>
      </c>
      <c r="AZ47" s="618">
        <f>Underwriting!BE195</f>
        <v>47573</v>
      </c>
      <c r="BA47" s="618">
        <f>Underwriting!BF195</f>
        <v>47603</v>
      </c>
      <c r="BB47" s="618">
        <f>Underwriting!BG195</f>
        <v>47634</v>
      </c>
      <c r="BC47" s="618">
        <f>Underwriting!BH195</f>
        <v>47664</v>
      </c>
      <c r="BD47" s="618">
        <f>Underwriting!BI195</f>
        <v>47695</v>
      </c>
      <c r="BE47" s="618">
        <f>Underwriting!BJ195</f>
        <v>47726</v>
      </c>
      <c r="BF47" s="618">
        <f>Underwriting!BK195</f>
        <v>47756</v>
      </c>
      <c r="BG47" s="618">
        <f>Underwriting!BL195</f>
        <v>47787</v>
      </c>
      <c r="BH47" s="618">
        <f>Underwriting!BM195</f>
        <v>47817</v>
      </c>
      <c r="BI47" s="618">
        <f>Underwriting!BN195</f>
        <v>47848</v>
      </c>
      <c r="BJ47" s="618">
        <f>Underwriting!BO195</f>
        <v>47879</v>
      </c>
      <c r="BK47" s="618">
        <f>Underwriting!BP195</f>
        <v>47907</v>
      </c>
      <c r="BL47" s="618">
        <f>Underwriting!BQ195</f>
        <v>47938</v>
      </c>
      <c r="BM47" s="618">
        <f>Underwriting!BR195</f>
        <v>47968</v>
      </c>
      <c r="BN47" s="618">
        <f>Underwriting!BS195</f>
        <v>47999</v>
      </c>
      <c r="BO47" s="618">
        <f>Underwriting!BT195</f>
        <v>48029</v>
      </c>
      <c r="BP47" s="618">
        <f>Underwriting!BU195</f>
        <v>48060</v>
      </c>
      <c r="BQ47" s="618" t="str">
        <f>Underwriting!BV195</f>
        <v/>
      </c>
      <c r="BR47" s="618" t="str">
        <f>Underwriting!BW195</f>
        <v/>
      </c>
      <c r="BS47" s="618" t="str">
        <f>Underwriting!BX195</f>
        <v/>
      </c>
      <c r="BT47" s="618" t="str">
        <f>Underwriting!BY195</f>
        <v/>
      </c>
      <c r="BU47" s="618" t="str">
        <f>Underwriting!BZ195</f>
        <v/>
      </c>
      <c r="BV47" s="618" t="str">
        <f>Underwriting!CA195</f>
        <v/>
      </c>
      <c r="BW47" s="618" t="str">
        <f>Underwriting!CB195</f>
        <v/>
      </c>
      <c r="BX47" s="618" t="str">
        <f>Underwriting!CC195</f>
        <v/>
      </c>
      <c r="BY47" s="618" t="str">
        <f>Underwriting!CD195</f>
        <v/>
      </c>
      <c r="BZ47" s="618" t="str">
        <f>Underwriting!CE195</f>
        <v/>
      </c>
      <c r="CA47" s="618" t="str">
        <f>Underwriting!CF195</f>
        <v/>
      </c>
      <c r="CB47" s="618" t="str">
        <f>Underwriting!CG195</f>
        <v/>
      </c>
      <c r="CC47" s="618" t="str">
        <f>Underwriting!CH195</f>
        <v/>
      </c>
      <c r="CD47" s="618" t="str">
        <f>Underwriting!CI195</f>
        <v/>
      </c>
      <c r="CE47" s="618" t="str">
        <f>Underwriting!CJ195</f>
        <v/>
      </c>
      <c r="CF47" s="618" t="str">
        <f>Underwriting!CK195</f>
        <v/>
      </c>
      <c r="CG47" s="618" t="str">
        <f>Underwriting!CL195</f>
        <v/>
      </c>
      <c r="CH47" s="618" t="str">
        <f>Underwriting!CM195</f>
        <v/>
      </c>
      <c r="CI47" s="618" t="str">
        <f>Underwriting!CN195</f>
        <v/>
      </c>
      <c r="CJ47" s="618" t="str">
        <f>Underwriting!CO195</f>
        <v/>
      </c>
      <c r="CK47" s="618" t="str">
        <f>Underwriting!CP195</f>
        <v/>
      </c>
      <c r="CL47" s="618" t="str">
        <f>Underwriting!CQ195</f>
        <v/>
      </c>
      <c r="CM47" s="618" t="str">
        <f>Underwriting!CR195</f>
        <v/>
      </c>
      <c r="CN47" s="618" t="str">
        <f>Underwriting!CS195</f>
        <v/>
      </c>
      <c r="CO47" s="618" t="str">
        <f>Underwriting!CT195</f>
        <v/>
      </c>
      <c r="CP47" s="618" t="str">
        <f>Underwriting!CU195</f>
        <v/>
      </c>
      <c r="CQ47" s="618" t="str">
        <f>Underwriting!CV195</f>
        <v/>
      </c>
      <c r="CR47" s="618" t="str">
        <f>Underwriting!CW195</f>
        <v/>
      </c>
      <c r="CS47" s="618" t="str">
        <f>Underwriting!CX195</f>
        <v/>
      </c>
      <c r="CT47" s="618" t="str">
        <f>Underwriting!CY195</f>
        <v/>
      </c>
      <c r="CU47" s="618" t="str">
        <f>Underwriting!CZ195</f>
        <v/>
      </c>
      <c r="CV47" s="618" t="str">
        <f>Underwriting!DA195</f>
        <v/>
      </c>
      <c r="CW47" s="618" t="str">
        <f>Underwriting!DB195</f>
        <v/>
      </c>
      <c r="CX47" s="618" t="str">
        <f>Underwriting!DC195</f>
        <v/>
      </c>
      <c r="CY47" s="618" t="str">
        <f>Underwriting!DD195</f>
        <v/>
      </c>
      <c r="CZ47" s="618" t="str">
        <f>Underwriting!DE195</f>
        <v/>
      </c>
      <c r="DA47" s="618" t="str">
        <f>Underwriting!DF195</f>
        <v/>
      </c>
      <c r="DB47" s="618" t="str">
        <f>Underwriting!DG195</f>
        <v/>
      </c>
      <c r="DC47" s="618" t="str">
        <f>Underwriting!DH195</f>
        <v/>
      </c>
      <c r="DD47" s="618" t="str">
        <f>Underwriting!DI195</f>
        <v/>
      </c>
      <c r="DE47" s="618" t="str">
        <f>Underwriting!DJ195</f>
        <v/>
      </c>
      <c r="DF47" s="618" t="str">
        <f>Underwriting!DK195</f>
        <v/>
      </c>
      <c r="DG47" s="618" t="str">
        <f>Underwriting!DL195</f>
        <v/>
      </c>
      <c r="DH47" s="618" t="str">
        <f>Underwriting!DM195</f>
        <v/>
      </c>
      <c r="DI47" s="618" t="str">
        <f>Underwriting!DN195</f>
        <v/>
      </c>
      <c r="DJ47" s="618" t="str">
        <f>Underwriting!DO195</f>
        <v/>
      </c>
      <c r="DK47" s="618" t="str">
        <f>Underwriting!DP195</f>
        <v/>
      </c>
      <c r="DL47" s="618" t="str">
        <f>Underwriting!DQ195</f>
        <v/>
      </c>
      <c r="DM47" s="618" t="str">
        <f>Underwriting!DR195</f>
        <v/>
      </c>
      <c r="DN47" s="618" t="str">
        <f>Underwriting!DS195</f>
        <v/>
      </c>
      <c r="DO47" s="618" t="str">
        <f>Underwriting!DT195</f>
        <v/>
      </c>
      <c r="DP47" s="618" t="str">
        <f>Underwriting!DU195</f>
        <v/>
      </c>
      <c r="DQ47" s="618" t="str">
        <f>Underwriting!DV195</f>
        <v/>
      </c>
      <c r="DR47" s="618" t="str">
        <f>Underwriting!DW195</f>
        <v/>
      </c>
      <c r="DS47" s="618" t="str">
        <f>Underwriting!DX195</f>
        <v/>
      </c>
      <c r="DT47" s="618" t="str">
        <f>Underwriting!DY195</f>
        <v/>
      </c>
      <c r="DU47" s="618" t="str">
        <f>Underwriting!DZ195</f>
        <v/>
      </c>
      <c r="DV47" s="618" t="str">
        <f>Underwriting!EA195</f>
        <v/>
      </c>
      <c r="DW47" s="618" t="str">
        <f>Underwriting!EB195</f>
        <v/>
      </c>
      <c r="DX47" s="618" t="str">
        <f>Underwriting!EC195</f>
        <v/>
      </c>
      <c r="DY47" s="618" t="str">
        <f>Underwriting!ED195</f>
        <v/>
      </c>
      <c r="DZ47" s="618" t="str">
        <f>Underwriting!EE195</f>
        <v/>
      </c>
      <c r="EA47" s="618" t="str">
        <f>Underwriting!EF195</f>
        <v/>
      </c>
      <c r="EB47" s="618" t="str">
        <f>Underwriting!EG195</f>
        <v/>
      </c>
      <c r="EC47" s="618" t="str">
        <f>Underwriting!EH195</f>
        <v/>
      </c>
      <c r="ED47" s="618" t="str">
        <f>Underwriting!EI195</f>
        <v/>
      </c>
      <c r="EE47" s="618" t="str">
        <f>Underwriting!EJ195</f>
        <v/>
      </c>
      <c r="EF47" s="618" t="str">
        <f>Underwriting!EK195</f>
        <v/>
      </c>
      <c r="EG47" s="618" t="str">
        <f>Underwriting!EL195</f>
        <v/>
      </c>
      <c r="EH47" s="618" t="str">
        <f>Underwriting!EM195</f>
        <v/>
      </c>
      <c r="EI47" s="618" t="str">
        <f>Underwriting!EN195</f>
        <v/>
      </c>
    </row>
    <row r="48" spans="2:139" x14ac:dyDescent="0.35">
      <c r="B48" s="163" t="s">
        <v>140</v>
      </c>
      <c r="C48" s="4"/>
      <c r="D48" s="4"/>
      <c r="E48" s="4"/>
      <c r="F48" s="4"/>
      <c r="G48" s="171">
        <f>IF(G$47="","",Underwriting!L31)</f>
        <v>92320000</v>
      </c>
      <c r="H48" s="171">
        <f>IF(H$47="","",Underwriting!M31)</f>
        <v>0</v>
      </c>
      <c r="I48" s="171">
        <f>IF(I$47="","",Underwriting!N31)</f>
        <v>0</v>
      </c>
      <c r="J48" s="171">
        <f>IF(J$47="","",Underwriting!O31)</f>
        <v>0</v>
      </c>
      <c r="K48" s="171">
        <f>IF(K$47="","",Underwriting!P31)</f>
        <v>0</v>
      </c>
      <c r="L48" s="171">
        <f>IF(L$47="","",Underwriting!Q31)</f>
        <v>0</v>
      </c>
      <c r="M48" s="171">
        <f>IF(M$47="","",Underwriting!R31)</f>
        <v>0</v>
      </c>
      <c r="N48" s="171">
        <f>IF(N$47="","",Underwriting!S31)</f>
        <v>0</v>
      </c>
      <c r="O48" s="171">
        <f>IF(O$47="","",Underwriting!T31)</f>
        <v>0</v>
      </c>
      <c r="P48" s="171">
        <f>IF(P$47="","",Underwriting!U31)</f>
        <v>0</v>
      </c>
      <c r="Q48" s="171">
        <f>IF(Q$47="","",Underwriting!V31)</f>
        <v>0</v>
      </c>
      <c r="R48" s="171">
        <f>IF(R$47="","",Underwriting!W31)</f>
        <v>0</v>
      </c>
      <c r="S48" s="171">
        <f>IF(S$47="","",Underwriting!X31)</f>
        <v>0</v>
      </c>
      <c r="T48" s="171">
        <f>IF(T$47="","",Underwriting!Y31)</f>
        <v>0</v>
      </c>
      <c r="U48" s="171">
        <f>IF(U$47="","",Underwriting!Z31)</f>
        <v>0</v>
      </c>
      <c r="V48" s="171">
        <f>IF(V$47="","",Underwriting!AA31)</f>
        <v>0</v>
      </c>
      <c r="W48" s="171">
        <f>IF(W$47="","",Underwriting!AB31)</f>
        <v>0</v>
      </c>
      <c r="X48" s="171">
        <f>IF(X$47="","",Underwriting!AC31)</f>
        <v>0</v>
      </c>
      <c r="Y48" s="171">
        <f>IF(Y$47="","",Underwriting!AD31)</f>
        <v>0</v>
      </c>
      <c r="Z48" s="171">
        <f>IF(Z$47="","",Underwriting!AE31)</f>
        <v>0</v>
      </c>
      <c r="AA48" s="171">
        <f>IF(AA$47="","",Underwriting!AF31)</f>
        <v>0</v>
      </c>
      <c r="AB48" s="171">
        <f>IF(AB$47="","",Underwriting!AG31)</f>
        <v>0</v>
      </c>
      <c r="AC48" s="171">
        <f>IF(AC$47="","",Underwriting!AH31)</f>
        <v>0</v>
      </c>
      <c r="AD48" s="171">
        <f>IF(AD$47="","",Underwriting!AI31)</f>
        <v>0</v>
      </c>
      <c r="AE48" s="171">
        <f>IF(AE$47="","",Underwriting!AJ31)</f>
        <v>0</v>
      </c>
      <c r="AF48" s="171">
        <f>IF(AF$47="","",Underwriting!AK31)</f>
        <v>0</v>
      </c>
      <c r="AG48" s="171">
        <f>IF(AG$47="","",Underwriting!AL31)</f>
        <v>0</v>
      </c>
      <c r="AH48" s="171">
        <f>IF(AH$47="","",Underwriting!AM31)</f>
        <v>0</v>
      </c>
      <c r="AI48" s="171">
        <f>IF(AI$47="","",Underwriting!AN31)</f>
        <v>0</v>
      </c>
      <c r="AJ48" s="171">
        <f>IF(AJ$47="","",Underwriting!AO31)</f>
        <v>0</v>
      </c>
      <c r="AK48" s="171">
        <f>IF(AK$47="","",Underwriting!AP31)</f>
        <v>0</v>
      </c>
      <c r="AL48" s="171">
        <f>IF(AL$47="","",Underwriting!AQ31)</f>
        <v>0</v>
      </c>
      <c r="AM48" s="171">
        <f>IF(AM$47="","",Underwriting!AR31)</f>
        <v>0</v>
      </c>
      <c r="AN48" s="171">
        <f>IF(AN$47="","",Underwriting!AS31)</f>
        <v>0</v>
      </c>
      <c r="AO48" s="171">
        <f>IF(AO$47="","",Underwriting!AT31)</f>
        <v>0</v>
      </c>
      <c r="AP48" s="171">
        <f>IF(AP$47="","",Underwriting!AU31)</f>
        <v>0</v>
      </c>
      <c r="AQ48" s="171">
        <f>IF(AQ$47="","",Underwriting!AV31)</f>
        <v>0</v>
      </c>
      <c r="AR48" s="171">
        <f>IF(AR$47="","",Underwriting!AW31)</f>
        <v>0</v>
      </c>
      <c r="AS48" s="171">
        <f>IF(AS$47="","",Underwriting!AX31)</f>
        <v>0</v>
      </c>
      <c r="AT48" s="171">
        <f>IF(AT$47="","",Underwriting!AY31)</f>
        <v>0</v>
      </c>
      <c r="AU48" s="171">
        <f>IF(AU$47="","",Underwriting!AZ31)</f>
        <v>0</v>
      </c>
      <c r="AV48" s="171">
        <f>IF(AV$47="","",Underwriting!BA31)</f>
        <v>0</v>
      </c>
      <c r="AW48" s="171">
        <f>IF(AW$47="","",Underwriting!BB31)</f>
        <v>0</v>
      </c>
      <c r="AX48" s="171">
        <f>IF(AX$47="","",Underwriting!BC31)</f>
        <v>0</v>
      </c>
      <c r="AY48" s="171">
        <f>IF(AY$47="","",Underwriting!BD31)</f>
        <v>0</v>
      </c>
      <c r="AZ48" s="171">
        <f>IF(AZ$47="","",Underwriting!BE31)</f>
        <v>0</v>
      </c>
      <c r="BA48" s="171">
        <f>IF(BA$47="","",Underwriting!BF31)</f>
        <v>0</v>
      </c>
      <c r="BB48" s="171">
        <f>IF(BB$47="","",Underwriting!BG31)</f>
        <v>0</v>
      </c>
      <c r="BC48" s="171">
        <f>IF(BC$47="","",Underwriting!BH31)</f>
        <v>0</v>
      </c>
      <c r="BD48" s="171">
        <f>IF(BD$47="","",Underwriting!BI31)</f>
        <v>0</v>
      </c>
      <c r="BE48" s="171">
        <f>IF(BE$47="","",Underwriting!BJ31)</f>
        <v>0</v>
      </c>
      <c r="BF48" s="171">
        <f>IF(BF$47="","",Underwriting!BK31)</f>
        <v>0</v>
      </c>
      <c r="BG48" s="171">
        <f>IF(BG$47="","",Underwriting!BL31)</f>
        <v>0</v>
      </c>
      <c r="BH48" s="171">
        <f>IF(BH$47="","",Underwriting!BM31)</f>
        <v>0</v>
      </c>
      <c r="BI48" s="171">
        <f>IF(BI$47="","",Underwriting!BN31)</f>
        <v>0</v>
      </c>
      <c r="BJ48" s="171">
        <f>IF(BJ$47="","",Underwriting!BO31)</f>
        <v>0</v>
      </c>
      <c r="BK48" s="171">
        <f>IF(BK$47="","",Underwriting!BP31)</f>
        <v>0</v>
      </c>
      <c r="BL48" s="171">
        <f>IF(BL$47="","",Underwriting!BQ31)</f>
        <v>0</v>
      </c>
      <c r="BM48" s="171">
        <f>IF(BM$47="","",Underwriting!BR31)</f>
        <v>0</v>
      </c>
      <c r="BN48" s="171">
        <f>IF(BN$47="","",Underwriting!BS31)</f>
        <v>0</v>
      </c>
      <c r="BO48" s="171">
        <f>IF(BO$47="","",Underwriting!BT31)</f>
        <v>0</v>
      </c>
      <c r="BP48" s="171">
        <f>IF(BP$47="","",Underwriting!BU31)</f>
        <v>0</v>
      </c>
      <c r="BQ48" s="171" t="str">
        <f>IF(BQ$47="","",Underwriting!BV31)</f>
        <v/>
      </c>
      <c r="BR48" s="171" t="str">
        <f>IF(BR$47="","",Underwriting!BW31)</f>
        <v/>
      </c>
      <c r="BS48" s="171" t="str">
        <f>IF(BS$47="","",Underwriting!BX31)</f>
        <v/>
      </c>
      <c r="BT48" s="171" t="str">
        <f>IF(BT$47="","",Underwriting!BY31)</f>
        <v/>
      </c>
      <c r="BU48" s="171" t="str">
        <f>IF(BU$47="","",Underwriting!BZ31)</f>
        <v/>
      </c>
      <c r="BV48" s="171" t="str">
        <f>IF(BV$47="","",Underwriting!CA31)</f>
        <v/>
      </c>
      <c r="BW48" s="171" t="str">
        <f>IF(BW$47="","",Underwriting!CB31)</f>
        <v/>
      </c>
      <c r="BX48" s="171" t="str">
        <f>IF(BX$47="","",Underwriting!CC31)</f>
        <v/>
      </c>
      <c r="BY48" s="171" t="str">
        <f>IF(BY$47="","",Underwriting!CD31)</f>
        <v/>
      </c>
      <c r="BZ48" s="171" t="str">
        <f>IF(BZ$47="","",Underwriting!CE31)</f>
        <v/>
      </c>
      <c r="CA48" s="171" t="str">
        <f>IF(CA$47="","",Underwriting!CF31)</f>
        <v/>
      </c>
      <c r="CB48" s="171" t="str">
        <f>IF(CB$47="","",Underwriting!CG31)</f>
        <v/>
      </c>
      <c r="CC48" s="171" t="str">
        <f>IF(CC$47="","",Underwriting!CH31)</f>
        <v/>
      </c>
      <c r="CD48" s="171" t="str">
        <f>IF(CD$47="","",Underwriting!CI31)</f>
        <v/>
      </c>
      <c r="CE48" s="171" t="str">
        <f>IF(CE$47="","",Underwriting!CJ31)</f>
        <v/>
      </c>
      <c r="CF48" s="171" t="str">
        <f>IF(CF$47="","",Underwriting!CK31)</f>
        <v/>
      </c>
      <c r="CG48" s="171" t="str">
        <f>IF(CG$47="","",Underwriting!CL31)</f>
        <v/>
      </c>
      <c r="CH48" s="171" t="str">
        <f>IF(CH$47="","",Underwriting!CM31)</f>
        <v/>
      </c>
      <c r="CI48" s="171" t="str">
        <f>IF(CI$47="","",Underwriting!CN31)</f>
        <v/>
      </c>
      <c r="CJ48" s="171" t="str">
        <f>IF(CJ$47="","",Underwriting!CO31)</f>
        <v/>
      </c>
      <c r="CK48" s="171" t="str">
        <f>IF(CK$47="","",Underwriting!CP31)</f>
        <v/>
      </c>
      <c r="CL48" s="171" t="str">
        <f>IF(CL$47="","",Underwriting!CQ31)</f>
        <v/>
      </c>
      <c r="CM48" s="171" t="str">
        <f>IF(CM$47="","",Underwriting!CR31)</f>
        <v/>
      </c>
      <c r="CN48" s="171" t="str">
        <f>IF(CN$47="","",Underwriting!CS31)</f>
        <v/>
      </c>
      <c r="CO48" s="171" t="str">
        <f>IF(CO$47="","",Underwriting!CT31)</f>
        <v/>
      </c>
      <c r="CP48" s="171" t="str">
        <f>IF(CP$47="","",Underwriting!CU31)</f>
        <v/>
      </c>
      <c r="CQ48" s="171" t="str">
        <f>IF(CQ$47="","",Underwriting!CV31)</f>
        <v/>
      </c>
      <c r="CR48" s="171" t="str">
        <f>IF(CR$47="","",Underwriting!CW31)</f>
        <v/>
      </c>
      <c r="CS48" s="171" t="str">
        <f>IF(CS$47="","",Underwriting!CX31)</f>
        <v/>
      </c>
      <c r="CT48" s="171" t="str">
        <f>IF(CT$47="","",Underwriting!CY31)</f>
        <v/>
      </c>
      <c r="CU48" s="171" t="str">
        <f>IF(CU$47="","",Underwriting!CZ31)</f>
        <v/>
      </c>
      <c r="CV48" s="171" t="str">
        <f>IF(CV$47="","",Underwriting!DA31)</f>
        <v/>
      </c>
      <c r="CW48" s="171" t="str">
        <f>IF(CW$47="","",Underwriting!DB31)</f>
        <v/>
      </c>
      <c r="CX48" s="171" t="str">
        <f>IF(CX$47="","",Underwriting!DC31)</f>
        <v/>
      </c>
      <c r="CY48" s="171" t="str">
        <f>IF(CY$47="","",Underwriting!DD31)</f>
        <v/>
      </c>
      <c r="CZ48" s="171" t="str">
        <f>IF(CZ$47="","",Underwriting!DE31)</f>
        <v/>
      </c>
      <c r="DA48" s="171" t="str">
        <f>IF(DA$47="","",Underwriting!DF31)</f>
        <v/>
      </c>
      <c r="DB48" s="171" t="str">
        <f>IF(DB$47="","",Underwriting!DG31)</f>
        <v/>
      </c>
      <c r="DC48" s="171" t="str">
        <f>IF(DC$47="","",Underwriting!DH31)</f>
        <v/>
      </c>
      <c r="DD48" s="171" t="str">
        <f>IF(DD$47="","",Underwriting!DI31)</f>
        <v/>
      </c>
      <c r="DE48" s="171" t="str">
        <f>IF(DE$47="","",Underwriting!DJ31)</f>
        <v/>
      </c>
      <c r="DF48" s="171" t="str">
        <f>IF(DF$47="","",Underwriting!DK31)</f>
        <v/>
      </c>
      <c r="DG48" s="171" t="str">
        <f>IF(DG$47="","",Underwriting!DL31)</f>
        <v/>
      </c>
      <c r="DH48" s="171" t="str">
        <f>IF(DH$47="","",Underwriting!DM31)</f>
        <v/>
      </c>
      <c r="DI48" s="171" t="str">
        <f>IF(DI$47="","",Underwriting!DN31)</f>
        <v/>
      </c>
      <c r="DJ48" s="171" t="str">
        <f>IF(DJ$47="","",Underwriting!DO31)</f>
        <v/>
      </c>
      <c r="DK48" s="171" t="str">
        <f>IF(DK$47="","",Underwriting!DP31)</f>
        <v/>
      </c>
      <c r="DL48" s="171" t="str">
        <f>IF(DL$47="","",Underwriting!DQ31)</f>
        <v/>
      </c>
      <c r="DM48" s="171" t="str">
        <f>IF(DM$47="","",Underwriting!DR31)</f>
        <v/>
      </c>
      <c r="DN48" s="171" t="str">
        <f>IF(DN$47="","",Underwriting!DS31)</f>
        <v/>
      </c>
      <c r="DO48" s="171" t="str">
        <f>IF(DO$47="","",Underwriting!DT31)</f>
        <v/>
      </c>
      <c r="DP48" s="171" t="str">
        <f>IF(DP$47="","",Underwriting!DU31)</f>
        <v/>
      </c>
      <c r="DQ48" s="171" t="str">
        <f>IF(DQ$47="","",Underwriting!DV31)</f>
        <v/>
      </c>
      <c r="DR48" s="171" t="str">
        <f>IF(DR$47="","",Underwriting!DW31)</f>
        <v/>
      </c>
      <c r="DS48" s="171" t="str">
        <f>IF(DS$47="","",Underwriting!DX31)</f>
        <v/>
      </c>
      <c r="DT48" s="171" t="str">
        <f>IF(DT$47="","",Underwriting!DY31)</f>
        <v/>
      </c>
      <c r="DU48" s="171" t="str">
        <f>IF(DU$47="","",Underwriting!DZ31)</f>
        <v/>
      </c>
      <c r="DV48" s="171" t="str">
        <f>IF(DV$47="","",Underwriting!EA31)</f>
        <v/>
      </c>
      <c r="DW48" s="171" t="str">
        <f>IF(DW$47="","",Underwriting!EB31)</f>
        <v/>
      </c>
      <c r="DX48" s="171" t="str">
        <f>IF(DX$47="","",Underwriting!EC31)</f>
        <v/>
      </c>
      <c r="DY48" s="171" t="str">
        <f>IF(DY$47="","",Underwriting!ED31)</f>
        <v/>
      </c>
      <c r="DZ48" s="171" t="str">
        <f>IF(DZ$47="","",Underwriting!EE31)</f>
        <v/>
      </c>
      <c r="EA48" s="171" t="str">
        <f>IF(EA$47="","",Underwriting!EF31)</f>
        <v/>
      </c>
      <c r="EB48" s="171" t="str">
        <f>IF(EB$47="","",Underwriting!EG31)</f>
        <v/>
      </c>
      <c r="EC48" s="171" t="str">
        <f>IF(EC$47="","",Underwriting!EH31)</f>
        <v/>
      </c>
      <c r="ED48" s="171" t="str">
        <f>IF(ED$47="","",Underwriting!EI31)</f>
        <v/>
      </c>
      <c r="EE48" s="171" t="str">
        <f>IF(EE$47="","",Underwriting!EJ31)</f>
        <v/>
      </c>
      <c r="EF48" s="171" t="str">
        <f>IF(EF$47="","",Underwriting!EK31)</f>
        <v/>
      </c>
      <c r="EG48" s="171" t="str">
        <f>IF(EG$47="","",Underwriting!EL31)</f>
        <v/>
      </c>
      <c r="EH48" s="171" t="str">
        <f>IF(EH$47="","",Underwriting!EM31)</f>
        <v/>
      </c>
      <c r="EI48" s="171" t="str">
        <f>IF(EI$47="","",Underwriting!EN31)</f>
        <v/>
      </c>
    </row>
    <row r="49" spans="2:139" x14ac:dyDescent="0.35">
      <c r="B49" s="163" t="s">
        <v>497</v>
      </c>
      <c r="C49" s="4"/>
      <c r="D49" s="4"/>
      <c r="E49" s="4"/>
      <c r="F49" s="4"/>
      <c r="G49" s="171">
        <f>IF(G$47="","",Underwriting!L38)</f>
        <v>697714.0910358734</v>
      </c>
      <c r="H49" s="171">
        <f>IF(H$47="","",Underwriting!M38)</f>
        <v>882028.36212584306</v>
      </c>
      <c r="I49" s="171">
        <f>IF(I$47="","",Underwriting!N38)</f>
        <v>1153238.7592138182</v>
      </c>
      <c r="J49" s="171">
        <f>IF(J$47="","",Underwriting!O38)</f>
        <v>1540571.8400115801</v>
      </c>
      <c r="K49" s="171">
        <f>IF(K$47="","",Underwriting!P38)</f>
        <v>2077208.6703043352</v>
      </c>
      <c r="L49" s="171">
        <f>IF(L$47="","",Underwriting!Q38)</f>
        <v>2798042.1575110573</v>
      </c>
      <c r="M49" s="171">
        <f>IF(M$47="","",Underwriting!R38)</f>
        <v>3736098.8558910517</v>
      </c>
      <c r="N49" s="171">
        <f>IF(N$47="","",Underwriting!S38)</f>
        <v>4917681.2983414307</v>
      </c>
      <c r="O49" s="171">
        <f>IF(O$47="","",Underwriting!T38)</f>
        <v>6356585.443407244</v>
      </c>
      <c r="P49" s="171">
        <f>IF(P$47="","",Underwriting!U38)</f>
        <v>8048084.8374454733</v>
      </c>
      <c r="Q49" s="171">
        <f>IF(Q$47="","",Underwriting!V38)</f>
        <v>9963673.1491933651</v>
      </c>
      <c r="R49" s="171">
        <f>IF(R$47="","",Underwriting!W38)</f>
        <v>12047726.791351493</v>
      </c>
      <c r="S49" s="171">
        <f>IF(S$47="","",Underwriting!X38)</f>
        <v>14217202.323856961</v>
      </c>
      <c r="T49" s="171">
        <f>IF(T$47="","",Underwriting!Y38)</f>
        <v>16365167.698586643</v>
      </c>
      <c r="U49" s="171">
        <f>IF(U$47="","",Underwriting!Z38)</f>
        <v>18368392.667920161</v>
      </c>
      <c r="V49" s="171">
        <f>IF(V$47="","",Underwriting!AA38)</f>
        <v>20098477.243874725</v>
      </c>
      <c r="W49" s="171">
        <f>IF(W$47="","",Underwriting!AB38)</f>
        <v>21435229.253932979</v>
      </c>
      <c r="X49" s="171">
        <f>IF(X$47="","",Underwriting!AC38)</f>
        <v>22280397.403045714</v>
      </c>
      <c r="Y49" s="171">
        <f>IF(Y$47="","",Underwriting!AD38)</f>
        <v>22569593.467381995</v>
      </c>
      <c r="Z49" s="171">
        <f>IF(Z$47="","",Underwriting!AE38)</f>
        <v>22280397.403045733</v>
      </c>
      <c r="AA49" s="171">
        <f>IF(AA$47="","",Underwriting!AF38)</f>
        <v>21435229.253932942</v>
      </c>
      <c r="AB49" s="171">
        <f>IF(AB$47="","",Underwriting!AG38)</f>
        <v>20098477.243874762</v>
      </c>
      <c r="AC49" s="171">
        <f>IF(AC$47="","",Underwriting!AH38)</f>
        <v>18368392.667920135</v>
      </c>
      <c r="AD49" s="171">
        <f>IF(AD$47="","",Underwriting!AI38)</f>
        <v>16365167.698586643</v>
      </c>
      <c r="AE49" s="171">
        <f>IF(AE$47="","",Underwriting!AJ38)</f>
        <v>14217202.323856987</v>
      </c>
      <c r="AF49" s="171">
        <f>IF(AF$47="","",Underwriting!AK38)</f>
        <v>12047726.791351464</v>
      </c>
      <c r="AG49" s="171">
        <f>IF(AG$47="","",Underwriting!AL38)</f>
        <v>9963673.1491933651</v>
      </c>
      <c r="AH49" s="171">
        <f>IF(AH$47="","",Underwriting!AM38)</f>
        <v>8048084.8374454975</v>
      </c>
      <c r="AI49" s="171">
        <f>IF(AI$47="","",Underwriting!AN38)</f>
        <v>6356585.4434072273</v>
      </c>
      <c r="AJ49" s="171">
        <f>IF(AJ$47="","",Underwriting!AO38)</f>
        <v>4917681.2983414317</v>
      </c>
      <c r="AK49" s="171">
        <f>IF(AK$47="","",Underwriting!AP38)</f>
        <v>3736098.8558910657</v>
      </c>
      <c r="AL49" s="171">
        <f>IF(AL$47="","",Underwriting!AQ38)</f>
        <v>2798042.157511042</v>
      </c>
      <c r="AM49" s="171">
        <f>IF(AM$47="","",Underwriting!AR38)</f>
        <v>2077208.670304341</v>
      </c>
      <c r="AN49" s="171">
        <f>IF(AN$47="","",Underwriting!AS38)</f>
        <v>1540571.8400115611</v>
      </c>
      <c r="AO49" s="171">
        <f>IF(AO$47="","",Underwriting!AT38)</f>
        <v>1153238.7592138406</v>
      </c>
      <c r="AP49" s="171">
        <f>IF(AP$47="","",Underwriting!AU38)</f>
        <v>882028.36212582723</v>
      </c>
      <c r="AQ49" s="171">
        <f>IF(AQ$47="","",Underwriting!AV38)</f>
        <v>697714.0910358784</v>
      </c>
      <c r="AR49" s="171">
        <f>IF(AR$47="","",Underwriting!AW38)</f>
        <v>0</v>
      </c>
      <c r="AS49" s="171">
        <f>IF(AS$47="","",Underwriting!AX38)</f>
        <v>0</v>
      </c>
      <c r="AT49" s="171">
        <f>IF(AT$47="","",Underwriting!AY38)</f>
        <v>0</v>
      </c>
      <c r="AU49" s="171">
        <f>IF(AU$47="","",Underwriting!AZ38)</f>
        <v>0</v>
      </c>
      <c r="AV49" s="171">
        <f>IF(AV$47="","",Underwriting!BA38)</f>
        <v>0</v>
      </c>
      <c r="AW49" s="171">
        <f>IF(AW$47="","",Underwriting!BB38)</f>
        <v>0</v>
      </c>
      <c r="AX49" s="171">
        <f>IF(AX$47="","",Underwriting!BC38)</f>
        <v>0</v>
      </c>
      <c r="AY49" s="171">
        <f>IF(AY$47="","",Underwriting!BD38)</f>
        <v>0</v>
      </c>
      <c r="AZ49" s="171">
        <f>IF(AZ$47="","",Underwriting!BE38)</f>
        <v>0</v>
      </c>
      <c r="BA49" s="171">
        <f>IF(BA$47="","",Underwriting!BF38)</f>
        <v>0</v>
      </c>
      <c r="BB49" s="171">
        <f>IF(BB$47="","",Underwriting!BG38)</f>
        <v>0</v>
      </c>
      <c r="BC49" s="171">
        <f>IF(BC$47="","",Underwriting!BH38)</f>
        <v>0</v>
      </c>
      <c r="BD49" s="171">
        <f>IF(BD$47="","",Underwriting!BI38)</f>
        <v>0</v>
      </c>
      <c r="BE49" s="171">
        <f>IF(BE$47="","",Underwriting!BJ38)</f>
        <v>0</v>
      </c>
      <c r="BF49" s="171">
        <f>IF(BF$47="","",Underwriting!BK38)</f>
        <v>0</v>
      </c>
      <c r="BG49" s="171">
        <f>IF(BG$47="","",Underwriting!BL38)</f>
        <v>0</v>
      </c>
      <c r="BH49" s="171">
        <f>IF(BH$47="","",Underwriting!BM38)</f>
        <v>0</v>
      </c>
      <c r="BI49" s="171">
        <f>IF(BI$47="","",Underwriting!BN38)</f>
        <v>0</v>
      </c>
      <c r="BJ49" s="171">
        <f>IF(BJ$47="","",Underwriting!BO38)</f>
        <v>0</v>
      </c>
      <c r="BK49" s="171">
        <f>IF(BK$47="","",Underwriting!BP38)</f>
        <v>0</v>
      </c>
      <c r="BL49" s="171">
        <f>IF(BL$47="","",Underwriting!BQ38)</f>
        <v>0</v>
      </c>
      <c r="BM49" s="171">
        <f>IF(BM$47="","",Underwriting!BR38)</f>
        <v>0</v>
      </c>
      <c r="BN49" s="171">
        <f>IF(BN$47="","",Underwriting!BS38)</f>
        <v>0</v>
      </c>
      <c r="BO49" s="171">
        <f>IF(BO$47="","",Underwriting!BT38)</f>
        <v>0</v>
      </c>
      <c r="BP49" s="171">
        <f>IF(BP$47="","",Underwriting!BU38)</f>
        <v>0</v>
      </c>
      <c r="BQ49" s="171" t="str">
        <f>IF(BQ$47="","",Underwriting!BV38)</f>
        <v/>
      </c>
      <c r="BR49" s="171" t="str">
        <f>IF(BR$47="","",Underwriting!BW38)</f>
        <v/>
      </c>
      <c r="BS49" s="171" t="str">
        <f>IF(BS$47="","",Underwriting!BX38)</f>
        <v/>
      </c>
      <c r="BT49" s="171" t="str">
        <f>IF(BT$47="","",Underwriting!BY38)</f>
        <v/>
      </c>
      <c r="BU49" s="171" t="str">
        <f>IF(BU$47="","",Underwriting!BZ38)</f>
        <v/>
      </c>
      <c r="BV49" s="171" t="str">
        <f>IF(BV$47="","",Underwriting!CA38)</f>
        <v/>
      </c>
      <c r="BW49" s="171" t="str">
        <f>IF(BW$47="","",Underwriting!CB38)</f>
        <v/>
      </c>
      <c r="BX49" s="171" t="str">
        <f>IF(BX$47="","",Underwriting!CC38)</f>
        <v/>
      </c>
      <c r="BY49" s="171" t="str">
        <f>IF(BY$47="","",Underwriting!CD38)</f>
        <v/>
      </c>
      <c r="BZ49" s="171" t="str">
        <f>IF(BZ$47="","",Underwriting!CE38)</f>
        <v/>
      </c>
      <c r="CA49" s="171" t="str">
        <f>IF(CA$47="","",Underwriting!CF38)</f>
        <v/>
      </c>
      <c r="CB49" s="171" t="str">
        <f>IF(CB$47="","",Underwriting!CG38)</f>
        <v/>
      </c>
      <c r="CC49" s="171" t="str">
        <f>IF(CC$47="","",Underwriting!CH38)</f>
        <v/>
      </c>
      <c r="CD49" s="171" t="str">
        <f>IF(CD$47="","",Underwriting!CI38)</f>
        <v/>
      </c>
      <c r="CE49" s="171" t="str">
        <f>IF(CE$47="","",Underwriting!CJ38)</f>
        <v/>
      </c>
      <c r="CF49" s="171" t="str">
        <f>IF(CF$47="","",Underwriting!CK38)</f>
        <v/>
      </c>
      <c r="CG49" s="171" t="str">
        <f>IF(CG$47="","",Underwriting!CL38)</f>
        <v/>
      </c>
      <c r="CH49" s="171" t="str">
        <f>IF(CH$47="","",Underwriting!CM38)</f>
        <v/>
      </c>
      <c r="CI49" s="171" t="str">
        <f>IF(CI$47="","",Underwriting!CN38)</f>
        <v/>
      </c>
      <c r="CJ49" s="171" t="str">
        <f>IF(CJ$47="","",Underwriting!CO38)</f>
        <v/>
      </c>
      <c r="CK49" s="171" t="str">
        <f>IF(CK$47="","",Underwriting!CP38)</f>
        <v/>
      </c>
      <c r="CL49" s="171" t="str">
        <f>IF(CL$47="","",Underwriting!CQ38)</f>
        <v/>
      </c>
      <c r="CM49" s="171" t="str">
        <f>IF(CM$47="","",Underwriting!CR38)</f>
        <v/>
      </c>
      <c r="CN49" s="171" t="str">
        <f>IF(CN$47="","",Underwriting!CS38)</f>
        <v/>
      </c>
      <c r="CO49" s="171" t="str">
        <f>IF(CO$47="","",Underwriting!CT38)</f>
        <v/>
      </c>
      <c r="CP49" s="171" t="str">
        <f>IF(CP$47="","",Underwriting!CU38)</f>
        <v/>
      </c>
      <c r="CQ49" s="171" t="str">
        <f>IF(CQ$47="","",Underwriting!CV38)</f>
        <v/>
      </c>
      <c r="CR49" s="171" t="str">
        <f>IF(CR$47="","",Underwriting!CW38)</f>
        <v/>
      </c>
      <c r="CS49" s="171" t="str">
        <f>IF(CS$47="","",Underwriting!CX38)</f>
        <v/>
      </c>
      <c r="CT49" s="171" t="str">
        <f>IF(CT$47="","",Underwriting!CY38)</f>
        <v/>
      </c>
      <c r="CU49" s="171" t="str">
        <f>IF(CU$47="","",Underwriting!CZ38)</f>
        <v/>
      </c>
      <c r="CV49" s="171" t="str">
        <f>IF(CV$47="","",Underwriting!DA38)</f>
        <v/>
      </c>
      <c r="CW49" s="171" t="str">
        <f>IF(CW$47="","",Underwriting!DB38)</f>
        <v/>
      </c>
      <c r="CX49" s="171" t="str">
        <f>IF(CX$47="","",Underwriting!DC38)</f>
        <v/>
      </c>
      <c r="CY49" s="171" t="str">
        <f>IF(CY$47="","",Underwriting!DD38)</f>
        <v/>
      </c>
      <c r="CZ49" s="171" t="str">
        <f>IF(CZ$47="","",Underwriting!DE38)</f>
        <v/>
      </c>
      <c r="DA49" s="171" t="str">
        <f>IF(DA$47="","",Underwriting!DF38)</f>
        <v/>
      </c>
      <c r="DB49" s="171" t="str">
        <f>IF(DB$47="","",Underwriting!DG38)</f>
        <v/>
      </c>
      <c r="DC49" s="171" t="str">
        <f>IF(DC$47="","",Underwriting!DH38)</f>
        <v/>
      </c>
      <c r="DD49" s="171" t="str">
        <f>IF(DD$47="","",Underwriting!DI38)</f>
        <v/>
      </c>
      <c r="DE49" s="171" t="str">
        <f>IF(DE$47="","",Underwriting!DJ38)</f>
        <v/>
      </c>
      <c r="DF49" s="171" t="str">
        <f>IF(DF$47="","",Underwriting!DK38)</f>
        <v/>
      </c>
      <c r="DG49" s="171" t="str">
        <f>IF(DG$47="","",Underwriting!DL38)</f>
        <v/>
      </c>
      <c r="DH49" s="171" t="str">
        <f>IF(DH$47="","",Underwriting!DM38)</f>
        <v/>
      </c>
      <c r="DI49" s="171" t="str">
        <f>IF(DI$47="","",Underwriting!DN38)</f>
        <v/>
      </c>
      <c r="DJ49" s="171" t="str">
        <f>IF(DJ$47="","",Underwriting!DO38)</f>
        <v/>
      </c>
      <c r="DK49" s="171" t="str">
        <f>IF(DK$47="","",Underwriting!DP38)</f>
        <v/>
      </c>
      <c r="DL49" s="171" t="str">
        <f>IF(DL$47="","",Underwriting!DQ38)</f>
        <v/>
      </c>
      <c r="DM49" s="171" t="str">
        <f>IF(DM$47="","",Underwriting!DR38)</f>
        <v/>
      </c>
      <c r="DN49" s="171" t="str">
        <f>IF(DN$47="","",Underwriting!DS38)</f>
        <v/>
      </c>
      <c r="DO49" s="171" t="str">
        <f>IF(DO$47="","",Underwriting!DT38)</f>
        <v/>
      </c>
      <c r="DP49" s="171" t="str">
        <f>IF(DP$47="","",Underwriting!DU38)</f>
        <v/>
      </c>
      <c r="DQ49" s="171" t="str">
        <f>IF(DQ$47="","",Underwriting!DV38)</f>
        <v/>
      </c>
      <c r="DR49" s="171" t="str">
        <f>IF(DR$47="","",Underwriting!DW38)</f>
        <v/>
      </c>
      <c r="DS49" s="171" t="str">
        <f>IF(DS$47="","",Underwriting!DX38)</f>
        <v/>
      </c>
      <c r="DT49" s="171" t="str">
        <f>IF(DT$47="","",Underwriting!DY38)</f>
        <v/>
      </c>
      <c r="DU49" s="171" t="str">
        <f>IF(DU$47="","",Underwriting!DZ38)</f>
        <v/>
      </c>
      <c r="DV49" s="171" t="str">
        <f>IF(DV$47="","",Underwriting!EA38)</f>
        <v/>
      </c>
      <c r="DW49" s="171" t="str">
        <f>IF(DW$47="","",Underwriting!EB38)</f>
        <v/>
      </c>
      <c r="DX49" s="171" t="str">
        <f>IF(DX$47="","",Underwriting!EC38)</f>
        <v/>
      </c>
      <c r="DY49" s="171" t="str">
        <f>IF(DY$47="","",Underwriting!ED38)</f>
        <v/>
      </c>
      <c r="DZ49" s="171" t="str">
        <f>IF(DZ$47="","",Underwriting!EE38)</f>
        <v/>
      </c>
      <c r="EA49" s="171" t="str">
        <f>IF(EA$47="","",Underwriting!EF38)</f>
        <v/>
      </c>
      <c r="EB49" s="171" t="str">
        <f>IF(EB$47="","",Underwriting!EG38)</f>
        <v/>
      </c>
      <c r="EC49" s="171" t="str">
        <f>IF(EC$47="","",Underwriting!EH38)</f>
        <v/>
      </c>
      <c r="ED49" s="171" t="str">
        <f>IF(ED$47="","",Underwriting!EI38)</f>
        <v/>
      </c>
      <c r="EE49" s="171" t="str">
        <f>IF(EE$47="","",Underwriting!EJ38)</f>
        <v/>
      </c>
      <c r="EF49" s="171" t="str">
        <f>IF(EF$47="","",Underwriting!EK38)</f>
        <v/>
      </c>
      <c r="EG49" s="171" t="str">
        <f>IF(EG$47="","",Underwriting!EL38)</f>
        <v/>
      </c>
      <c r="EH49" s="171" t="str">
        <f>IF(EH$47="","",Underwriting!EM38)</f>
        <v/>
      </c>
      <c r="EI49" s="171" t="str">
        <f>IF(EI$47="","",Underwriting!EN38)</f>
        <v/>
      </c>
    </row>
    <row r="50" spans="2:139" x14ac:dyDescent="0.35">
      <c r="B50" s="163" t="s">
        <v>498</v>
      </c>
      <c r="C50" s="4"/>
      <c r="D50" s="4"/>
      <c r="E50" s="4"/>
      <c r="F50" s="4"/>
      <c r="G50" s="172">
        <f>IF(G$47="","",Underwriting!L47)</f>
        <v>0</v>
      </c>
      <c r="H50" s="172">
        <f>IF(H$47="","",Underwriting!M47)</f>
        <v>0</v>
      </c>
      <c r="I50" s="172">
        <f>IF(I$47="","",Underwriting!N47)</f>
        <v>0</v>
      </c>
      <c r="J50" s="172">
        <f>IF(J$47="","",Underwriting!O47)</f>
        <v>0</v>
      </c>
      <c r="K50" s="172">
        <f>IF(K$47="","",Underwriting!P47)</f>
        <v>0</v>
      </c>
      <c r="L50" s="172">
        <f>IF(L$47="","",Underwriting!Q47)</f>
        <v>0</v>
      </c>
      <c r="M50" s="172">
        <f>IF(M$47="","",Underwriting!R47)</f>
        <v>0</v>
      </c>
      <c r="N50" s="172">
        <f>IF(N$47="","",Underwriting!S47)</f>
        <v>0</v>
      </c>
      <c r="O50" s="172">
        <f>IF(O$47="","",Underwriting!T47)</f>
        <v>0</v>
      </c>
      <c r="P50" s="172">
        <f>IF(P$47="","",Underwriting!U47)</f>
        <v>0</v>
      </c>
      <c r="Q50" s="172">
        <f>IF(Q$47="","",Underwriting!V47)</f>
        <v>0</v>
      </c>
      <c r="R50" s="172">
        <f>IF(R$47="","",Underwriting!W47)</f>
        <v>0</v>
      </c>
      <c r="S50" s="172">
        <f>IF(S$47="","",Underwriting!X47)</f>
        <v>0</v>
      </c>
      <c r="T50" s="172">
        <f>IF(T$47="","",Underwriting!Y47)</f>
        <v>0</v>
      </c>
      <c r="U50" s="172">
        <f>IF(U$47="","",Underwriting!Z47)</f>
        <v>0</v>
      </c>
      <c r="V50" s="172">
        <f>IF(V$47="","",Underwriting!AA47)</f>
        <v>0</v>
      </c>
      <c r="W50" s="172">
        <f>IF(W$47="","",Underwriting!AB47)</f>
        <v>0</v>
      </c>
      <c r="X50" s="172">
        <f>IF(X$47="","",Underwriting!AC47)</f>
        <v>0</v>
      </c>
      <c r="Y50" s="172">
        <f>IF(Y$47="","",Underwriting!AD47)</f>
        <v>0</v>
      </c>
      <c r="Z50" s="172">
        <f>IF(Z$47="","",Underwriting!AE47)</f>
        <v>0</v>
      </c>
      <c r="AA50" s="172">
        <f>IF(AA$47="","",Underwriting!AF47)</f>
        <v>0</v>
      </c>
      <c r="AB50" s="172">
        <f>IF(AB$47="","",Underwriting!AG47)</f>
        <v>0</v>
      </c>
      <c r="AC50" s="172">
        <f>IF(AC$47="","",Underwriting!AH47)</f>
        <v>0</v>
      </c>
      <c r="AD50" s="172">
        <f>IF(AD$47="","",Underwriting!AI47)</f>
        <v>0</v>
      </c>
      <c r="AE50" s="172">
        <f>IF(AE$47="","",Underwriting!AJ47)</f>
        <v>0</v>
      </c>
      <c r="AF50" s="172">
        <f>IF(AF$47="","",Underwriting!AK47)</f>
        <v>0</v>
      </c>
      <c r="AG50" s="172">
        <f>IF(AG$47="","",Underwriting!AL47)</f>
        <v>0</v>
      </c>
      <c r="AH50" s="172">
        <f>IF(AH$47="","",Underwriting!AM47)</f>
        <v>0</v>
      </c>
      <c r="AI50" s="172">
        <f>IF(AI$47="","",Underwriting!AN47)</f>
        <v>0</v>
      </c>
      <c r="AJ50" s="172">
        <f>IF(AJ$47="","",Underwriting!AO47)</f>
        <v>0</v>
      </c>
      <c r="AK50" s="172">
        <f>IF(AK$47="","",Underwriting!AP47)</f>
        <v>0</v>
      </c>
      <c r="AL50" s="172">
        <f>IF(AL$47="","",Underwriting!AQ47)</f>
        <v>0</v>
      </c>
      <c r="AM50" s="172">
        <f>IF(AM$47="","",Underwriting!AR47)</f>
        <v>0</v>
      </c>
      <c r="AN50" s="172">
        <f>IF(AN$47="","",Underwriting!AS47)</f>
        <v>0</v>
      </c>
      <c r="AO50" s="172">
        <f>IF(AO$47="","",Underwriting!AT47)</f>
        <v>0</v>
      </c>
      <c r="AP50" s="172">
        <f>IF(AP$47="","",Underwriting!AU47)</f>
        <v>0</v>
      </c>
      <c r="AQ50" s="172">
        <f>IF(AQ$47="","",Underwriting!AV47)</f>
        <v>0</v>
      </c>
      <c r="AR50" s="172">
        <f>IF(AR$47="","",Underwriting!AW47)</f>
        <v>0</v>
      </c>
      <c r="AS50" s="172">
        <f>IF(AS$47="","",Underwriting!AX47)</f>
        <v>0</v>
      </c>
      <c r="AT50" s="172">
        <f>IF(AT$47="","",Underwriting!AY47)</f>
        <v>0</v>
      </c>
      <c r="AU50" s="172">
        <f>IF(AU$47="","",Underwriting!AZ47)</f>
        <v>0</v>
      </c>
      <c r="AV50" s="172">
        <f>IF(AV$47="","",Underwriting!BA47)</f>
        <v>0</v>
      </c>
      <c r="AW50" s="172">
        <f>IF(AW$47="","",Underwriting!BB47)</f>
        <v>0</v>
      </c>
      <c r="AX50" s="172">
        <f>IF(AX$47="","",Underwriting!BC47)</f>
        <v>0</v>
      </c>
      <c r="AY50" s="172">
        <f>IF(AY$47="","",Underwriting!BD47)</f>
        <v>0</v>
      </c>
      <c r="AZ50" s="172">
        <f>IF(AZ$47="","",Underwriting!BE47)</f>
        <v>0</v>
      </c>
      <c r="BA50" s="172">
        <f>IF(BA$47="","",Underwriting!BF47)</f>
        <v>0</v>
      </c>
      <c r="BB50" s="172">
        <f>IF(BB$47="","",Underwriting!BG47)</f>
        <v>0</v>
      </c>
      <c r="BC50" s="172">
        <f>IF(BC$47="","",Underwriting!BH47)</f>
        <v>0</v>
      </c>
      <c r="BD50" s="172">
        <f>IF(BD$47="","",Underwriting!BI47)</f>
        <v>0</v>
      </c>
      <c r="BE50" s="172">
        <f>IF(BE$47="","",Underwriting!BJ47)</f>
        <v>0</v>
      </c>
      <c r="BF50" s="172">
        <f>IF(BF$47="","",Underwriting!BK47)</f>
        <v>0</v>
      </c>
      <c r="BG50" s="172">
        <f>IF(BG$47="","",Underwriting!BL47)</f>
        <v>0</v>
      </c>
      <c r="BH50" s="172">
        <f>IF(BH$47="","",Underwriting!BM47)</f>
        <v>0</v>
      </c>
      <c r="BI50" s="172">
        <f>IF(BI$47="","",Underwriting!BN47)</f>
        <v>0</v>
      </c>
      <c r="BJ50" s="172">
        <f>IF(BJ$47="","",Underwriting!BO47)</f>
        <v>0</v>
      </c>
      <c r="BK50" s="172">
        <f>IF(BK$47="","",Underwriting!BP47)</f>
        <v>0</v>
      </c>
      <c r="BL50" s="172">
        <f>IF(BL$47="","",Underwriting!BQ47)</f>
        <v>0</v>
      </c>
      <c r="BM50" s="172">
        <f>IF(BM$47="","",Underwriting!BR47)</f>
        <v>0</v>
      </c>
      <c r="BN50" s="172">
        <f>IF(BN$47="","",Underwriting!BS47)</f>
        <v>0</v>
      </c>
      <c r="BO50" s="172">
        <f>IF(BO$47="","",Underwriting!BT47)</f>
        <v>0</v>
      </c>
      <c r="BP50" s="172">
        <f>IF(BP$47="","",Underwriting!BU47)</f>
        <v>0</v>
      </c>
      <c r="BQ50" s="172" t="str">
        <f>IF(BQ$47="","",Underwriting!BV47)</f>
        <v/>
      </c>
      <c r="BR50" s="172" t="str">
        <f>IF(BR$47="","",Underwriting!BW47)</f>
        <v/>
      </c>
      <c r="BS50" s="172" t="str">
        <f>IF(BS$47="","",Underwriting!BX47)</f>
        <v/>
      </c>
      <c r="BT50" s="172" t="str">
        <f>IF(BT$47="","",Underwriting!BY47)</f>
        <v/>
      </c>
      <c r="BU50" s="172" t="str">
        <f>IF(BU$47="","",Underwriting!BZ47)</f>
        <v/>
      </c>
      <c r="BV50" s="172" t="str">
        <f>IF(BV$47="","",Underwriting!CA47)</f>
        <v/>
      </c>
      <c r="BW50" s="172" t="str">
        <f>IF(BW$47="","",Underwriting!CB47)</f>
        <v/>
      </c>
      <c r="BX50" s="172" t="str">
        <f>IF(BX$47="","",Underwriting!CC47)</f>
        <v/>
      </c>
      <c r="BY50" s="172" t="str">
        <f>IF(BY$47="","",Underwriting!CD47)</f>
        <v/>
      </c>
      <c r="BZ50" s="172" t="str">
        <f>IF(BZ$47="","",Underwriting!CE47)</f>
        <v/>
      </c>
      <c r="CA50" s="172" t="str">
        <f>IF(CA$47="","",Underwriting!CF47)</f>
        <v/>
      </c>
      <c r="CB50" s="172" t="str">
        <f>IF(CB$47="","",Underwriting!CG47)</f>
        <v/>
      </c>
      <c r="CC50" s="172" t="str">
        <f>IF(CC$47="","",Underwriting!CH47)</f>
        <v/>
      </c>
      <c r="CD50" s="172" t="str">
        <f>IF(CD$47="","",Underwriting!CI47)</f>
        <v/>
      </c>
      <c r="CE50" s="172" t="str">
        <f>IF(CE$47="","",Underwriting!CJ47)</f>
        <v/>
      </c>
      <c r="CF50" s="172" t="str">
        <f>IF(CF$47="","",Underwriting!CK47)</f>
        <v/>
      </c>
      <c r="CG50" s="172" t="str">
        <f>IF(CG$47="","",Underwriting!CL47)</f>
        <v/>
      </c>
      <c r="CH50" s="172" t="str">
        <f>IF(CH$47="","",Underwriting!CM47)</f>
        <v/>
      </c>
      <c r="CI50" s="172" t="str">
        <f>IF(CI$47="","",Underwriting!CN47)</f>
        <v/>
      </c>
      <c r="CJ50" s="172" t="str">
        <f>IF(CJ$47="","",Underwriting!CO47)</f>
        <v/>
      </c>
      <c r="CK50" s="172" t="str">
        <f>IF(CK$47="","",Underwriting!CP47)</f>
        <v/>
      </c>
      <c r="CL50" s="172" t="str">
        <f>IF(CL$47="","",Underwriting!CQ47)</f>
        <v/>
      </c>
      <c r="CM50" s="172" t="str">
        <f>IF(CM$47="","",Underwriting!CR47)</f>
        <v/>
      </c>
      <c r="CN50" s="172" t="str">
        <f>IF(CN$47="","",Underwriting!CS47)</f>
        <v/>
      </c>
      <c r="CO50" s="172" t="str">
        <f>IF(CO$47="","",Underwriting!CT47)</f>
        <v/>
      </c>
      <c r="CP50" s="172" t="str">
        <f>IF(CP$47="","",Underwriting!CU47)</f>
        <v/>
      </c>
      <c r="CQ50" s="172" t="str">
        <f>IF(CQ$47="","",Underwriting!CV47)</f>
        <v/>
      </c>
      <c r="CR50" s="172" t="str">
        <f>IF(CR$47="","",Underwriting!CW47)</f>
        <v/>
      </c>
      <c r="CS50" s="172" t="str">
        <f>IF(CS$47="","",Underwriting!CX47)</f>
        <v/>
      </c>
      <c r="CT50" s="172" t="str">
        <f>IF(CT$47="","",Underwriting!CY47)</f>
        <v/>
      </c>
      <c r="CU50" s="172" t="str">
        <f>IF(CU$47="","",Underwriting!CZ47)</f>
        <v/>
      </c>
      <c r="CV50" s="172" t="str">
        <f>IF(CV$47="","",Underwriting!DA47)</f>
        <v/>
      </c>
      <c r="CW50" s="172" t="str">
        <f>IF(CW$47="","",Underwriting!DB47)</f>
        <v/>
      </c>
      <c r="CX50" s="172" t="str">
        <f>IF(CX$47="","",Underwriting!DC47)</f>
        <v/>
      </c>
      <c r="CY50" s="172" t="str">
        <f>IF(CY$47="","",Underwriting!DD47)</f>
        <v/>
      </c>
      <c r="CZ50" s="172" t="str">
        <f>IF(CZ$47="","",Underwriting!DE47)</f>
        <v/>
      </c>
      <c r="DA50" s="172" t="str">
        <f>IF(DA$47="","",Underwriting!DF47)</f>
        <v/>
      </c>
      <c r="DB50" s="172" t="str">
        <f>IF(DB$47="","",Underwriting!DG47)</f>
        <v/>
      </c>
      <c r="DC50" s="172" t="str">
        <f>IF(DC$47="","",Underwriting!DH47)</f>
        <v/>
      </c>
      <c r="DD50" s="172" t="str">
        <f>IF(DD$47="","",Underwriting!DI47)</f>
        <v/>
      </c>
      <c r="DE50" s="172" t="str">
        <f>IF(DE$47="","",Underwriting!DJ47)</f>
        <v/>
      </c>
      <c r="DF50" s="172" t="str">
        <f>IF(DF$47="","",Underwriting!DK47)</f>
        <v/>
      </c>
      <c r="DG50" s="172" t="str">
        <f>IF(DG$47="","",Underwriting!DL47)</f>
        <v/>
      </c>
      <c r="DH50" s="172" t="str">
        <f>IF(DH$47="","",Underwriting!DM47)</f>
        <v/>
      </c>
      <c r="DI50" s="172" t="str">
        <f>IF(DI$47="","",Underwriting!DN47)</f>
        <v/>
      </c>
      <c r="DJ50" s="172" t="str">
        <f>IF(DJ$47="","",Underwriting!DO47)</f>
        <v/>
      </c>
      <c r="DK50" s="172" t="str">
        <f>IF(DK$47="","",Underwriting!DP47)</f>
        <v/>
      </c>
      <c r="DL50" s="172" t="str">
        <f>IF(DL$47="","",Underwriting!DQ47)</f>
        <v/>
      </c>
      <c r="DM50" s="172" t="str">
        <f>IF(DM$47="","",Underwriting!DR47)</f>
        <v/>
      </c>
      <c r="DN50" s="172" t="str">
        <f>IF(DN$47="","",Underwriting!DS47)</f>
        <v/>
      </c>
      <c r="DO50" s="172" t="str">
        <f>IF(DO$47="","",Underwriting!DT47)</f>
        <v/>
      </c>
      <c r="DP50" s="172" t="str">
        <f>IF(DP$47="","",Underwriting!DU47)</f>
        <v/>
      </c>
      <c r="DQ50" s="172" t="str">
        <f>IF(DQ$47="","",Underwriting!DV47)</f>
        <v/>
      </c>
      <c r="DR50" s="172" t="str">
        <f>IF(DR$47="","",Underwriting!DW47)</f>
        <v/>
      </c>
      <c r="DS50" s="172" t="str">
        <f>IF(DS$47="","",Underwriting!DX47)</f>
        <v/>
      </c>
      <c r="DT50" s="172" t="str">
        <f>IF(DT$47="","",Underwriting!DY47)</f>
        <v/>
      </c>
      <c r="DU50" s="172" t="str">
        <f>IF(DU$47="","",Underwriting!DZ47)</f>
        <v/>
      </c>
      <c r="DV50" s="172" t="str">
        <f>IF(DV$47="","",Underwriting!EA47)</f>
        <v/>
      </c>
      <c r="DW50" s="172" t="str">
        <f>IF(DW$47="","",Underwriting!EB47)</f>
        <v/>
      </c>
      <c r="DX50" s="172" t="str">
        <f>IF(DX$47="","",Underwriting!EC47)</f>
        <v/>
      </c>
      <c r="DY50" s="172" t="str">
        <f>IF(DY$47="","",Underwriting!ED47)</f>
        <v/>
      </c>
      <c r="DZ50" s="172" t="str">
        <f>IF(DZ$47="","",Underwriting!EE47)</f>
        <v/>
      </c>
      <c r="EA50" s="172" t="str">
        <f>IF(EA$47="","",Underwriting!EF47)</f>
        <v/>
      </c>
      <c r="EB50" s="172" t="str">
        <f>IF(EB$47="","",Underwriting!EG47)</f>
        <v/>
      </c>
      <c r="EC50" s="172" t="str">
        <f>IF(EC$47="","",Underwriting!EH47)</f>
        <v/>
      </c>
      <c r="ED50" s="172" t="str">
        <f>IF(ED$47="","",Underwriting!EI47)</f>
        <v/>
      </c>
      <c r="EE50" s="172" t="str">
        <f>IF(EE$47="","",Underwriting!EJ47)</f>
        <v/>
      </c>
      <c r="EF50" s="172" t="str">
        <f>IF(EF$47="","",Underwriting!EK47)</f>
        <v/>
      </c>
      <c r="EG50" s="172" t="str">
        <f>IF(EG$47="","",Underwriting!EL47)</f>
        <v/>
      </c>
      <c r="EH50" s="172" t="str">
        <f>IF(EH$47="","",Underwriting!EM47)</f>
        <v/>
      </c>
      <c r="EI50" s="172" t="str">
        <f>IF(EI$47="","",Underwriting!EN47)</f>
        <v/>
      </c>
    </row>
    <row r="51" spans="2:139" x14ac:dyDescent="0.35">
      <c r="B51" s="4" t="s">
        <v>499</v>
      </c>
      <c r="C51" s="4"/>
      <c r="D51" s="4"/>
      <c r="E51" s="4"/>
      <c r="F51" s="4"/>
      <c r="G51" s="171">
        <f>IF(G$47="","",SUM(G48:G50))</f>
        <v>93017714.091035873</v>
      </c>
      <c r="H51" s="171">
        <f t="shared" ref="H51:BS51" si="28">IF(H$47="","",SUM(H48:H50))</f>
        <v>882028.36212584306</v>
      </c>
      <c r="I51" s="171">
        <f t="shared" si="28"/>
        <v>1153238.7592138182</v>
      </c>
      <c r="J51" s="171">
        <f t="shared" si="28"/>
        <v>1540571.8400115801</v>
      </c>
      <c r="K51" s="171">
        <f t="shared" si="28"/>
        <v>2077208.6703043352</v>
      </c>
      <c r="L51" s="171">
        <f t="shared" si="28"/>
        <v>2798042.1575110573</v>
      </c>
      <c r="M51" s="171">
        <f t="shared" si="28"/>
        <v>3736098.8558910517</v>
      </c>
      <c r="N51" s="171">
        <f t="shared" si="28"/>
        <v>4917681.2983414307</v>
      </c>
      <c r="O51" s="171">
        <f t="shared" si="28"/>
        <v>6356585.443407244</v>
      </c>
      <c r="P51" s="171">
        <f t="shared" si="28"/>
        <v>8048084.8374454733</v>
      </c>
      <c r="Q51" s="171">
        <f t="shared" si="28"/>
        <v>9963673.1491933651</v>
      </c>
      <c r="R51" s="171">
        <f t="shared" si="28"/>
        <v>12047726.791351493</v>
      </c>
      <c r="S51" s="171">
        <f t="shared" si="28"/>
        <v>14217202.323856961</v>
      </c>
      <c r="T51" s="171">
        <f t="shared" si="28"/>
        <v>16365167.698586643</v>
      </c>
      <c r="U51" s="171">
        <f t="shared" si="28"/>
        <v>18368392.667920161</v>
      </c>
      <c r="V51" s="171">
        <f t="shared" si="28"/>
        <v>20098477.243874725</v>
      </c>
      <c r="W51" s="171">
        <f t="shared" si="28"/>
        <v>21435229.253932979</v>
      </c>
      <c r="X51" s="171">
        <f t="shared" si="28"/>
        <v>22280397.403045714</v>
      </c>
      <c r="Y51" s="171">
        <f t="shared" si="28"/>
        <v>22569593.467381995</v>
      </c>
      <c r="Z51" s="171">
        <f t="shared" si="28"/>
        <v>22280397.403045733</v>
      </c>
      <c r="AA51" s="171">
        <f t="shared" si="28"/>
        <v>21435229.253932942</v>
      </c>
      <c r="AB51" s="171">
        <f t="shared" si="28"/>
        <v>20098477.243874762</v>
      </c>
      <c r="AC51" s="171">
        <f t="shared" si="28"/>
        <v>18368392.667920135</v>
      </c>
      <c r="AD51" s="171">
        <f t="shared" si="28"/>
        <v>16365167.698586643</v>
      </c>
      <c r="AE51" s="171">
        <f t="shared" si="28"/>
        <v>14217202.323856987</v>
      </c>
      <c r="AF51" s="171">
        <f t="shared" si="28"/>
        <v>12047726.791351464</v>
      </c>
      <c r="AG51" s="171">
        <f t="shared" si="28"/>
        <v>9963673.1491933651</v>
      </c>
      <c r="AH51" s="171">
        <f t="shared" si="28"/>
        <v>8048084.8374454975</v>
      </c>
      <c r="AI51" s="171">
        <f t="shared" si="28"/>
        <v>6356585.4434072273</v>
      </c>
      <c r="AJ51" s="171">
        <f t="shared" si="28"/>
        <v>4917681.2983414317</v>
      </c>
      <c r="AK51" s="171">
        <f t="shared" si="28"/>
        <v>3736098.8558910657</v>
      </c>
      <c r="AL51" s="171">
        <f t="shared" si="28"/>
        <v>2798042.157511042</v>
      </c>
      <c r="AM51" s="171">
        <f t="shared" si="28"/>
        <v>2077208.670304341</v>
      </c>
      <c r="AN51" s="171">
        <f t="shared" si="28"/>
        <v>1540571.8400115611</v>
      </c>
      <c r="AO51" s="171">
        <f t="shared" si="28"/>
        <v>1153238.7592138406</v>
      </c>
      <c r="AP51" s="171">
        <f t="shared" si="28"/>
        <v>882028.36212582723</v>
      </c>
      <c r="AQ51" s="171">
        <f t="shared" si="28"/>
        <v>697714.0910358784</v>
      </c>
      <c r="AR51" s="171">
        <f t="shared" si="28"/>
        <v>0</v>
      </c>
      <c r="AS51" s="171">
        <f t="shared" si="28"/>
        <v>0</v>
      </c>
      <c r="AT51" s="171">
        <f t="shared" si="28"/>
        <v>0</v>
      </c>
      <c r="AU51" s="171">
        <f t="shared" si="28"/>
        <v>0</v>
      </c>
      <c r="AV51" s="171">
        <f t="shared" si="28"/>
        <v>0</v>
      </c>
      <c r="AW51" s="171">
        <f t="shared" si="28"/>
        <v>0</v>
      </c>
      <c r="AX51" s="171">
        <f t="shared" si="28"/>
        <v>0</v>
      </c>
      <c r="AY51" s="171">
        <f t="shared" si="28"/>
        <v>0</v>
      </c>
      <c r="AZ51" s="171">
        <f t="shared" si="28"/>
        <v>0</v>
      </c>
      <c r="BA51" s="171">
        <f t="shared" si="28"/>
        <v>0</v>
      </c>
      <c r="BB51" s="171">
        <f t="shared" si="28"/>
        <v>0</v>
      </c>
      <c r="BC51" s="171">
        <f t="shared" si="28"/>
        <v>0</v>
      </c>
      <c r="BD51" s="171">
        <f t="shared" si="28"/>
        <v>0</v>
      </c>
      <c r="BE51" s="171">
        <f t="shared" si="28"/>
        <v>0</v>
      </c>
      <c r="BF51" s="171">
        <f t="shared" si="28"/>
        <v>0</v>
      </c>
      <c r="BG51" s="171">
        <f t="shared" si="28"/>
        <v>0</v>
      </c>
      <c r="BH51" s="171">
        <f t="shared" si="28"/>
        <v>0</v>
      </c>
      <c r="BI51" s="171">
        <f t="shared" si="28"/>
        <v>0</v>
      </c>
      <c r="BJ51" s="171">
        <f t="shared" si="28"/>
        <v>0</v>
      </c>
      <c r="BK51" s="171">
        <f t="shared" si="28"/>
        <v>0</v>
      </c>
      <c r="BL51" s="171">
        <f t="shared" si="28"/>
        <v>0</v>
      </c>
      <c r="BM51" s="171">
        <f t="shared" si="28"/>
        <v>0</v>
      </c>
      <c r="BN51" s="171">
        <f t="shared" si="28"/>
        <v>0</v>
      </c>
      <c r="BO51" s="171">
        <f t="shared" si="28"/>
        <v>0</v>
      </c>
      <c r="BP51" s="171">
        <f t="shared" si="28"/>
        <v>0</v>
      </c>
      <c r="BQ51" s="171" t="str">
        <f t="shared" si="28"/>
        <v/>
      </c>
      <c r="BR51" s="171" t="str">
        <f t="shared" si="28"/>
        <v/>
      </c>
      <c r="BS51" s="171" t="str">
        <f t="shared" si="28"/>
        <v/>
      </c>
      <c r="BT51" s="171" t="str">
        <f t="shared" ref="BT51:EE51" si="29">IF(BT$47="","",SUM(BT48:BT50))</f>
        <v/>
      </c>
      <c r="BU51" s="171" t="str">
        <f t="shared" si="29"/>
        <v/>
      </c>
      <c r="BV51" s="171" t="str">
        <f t="shared" si="29"/>
        <v/>
      </c>
      <c r="BW51" s="171" t="str">
        <f t="shared" si="29"/>
        <v/>
      </c>
      <c r="BX51" s="171" t="str">
        <f t="shared" si="29"/>
        <v/>
      </c>
      <c r="BY51" s="171" t="str">
        <f t="shared" si="29"/>
        <v/>
      </c>
      <c r="BZ51" s="171" t="str">
        <f t="shared" si="29"/>
        <v/>
      </c>
      <c r="CA51" s="171" t="str">
        <f t="shared" si="29"/>
        <v/>
      </c>
      <c r="CB51" s="171" t="str">
        <f t="shared" si="29"/>
        <v/>
      </c>
      <c r="CC51" s="171" t="str">
        <f t="shared" si="29"/>
        <v/>
      </c>
      <c r="CD51" s="171" t="str">
        <f t="shared" si="29"/>
        <v/>
      </c>
      <c r="CE51" s="171" t="str">
        <f t="shared" si="29"/>
        <v/>
      </c>
      <c r="CF51" s="171" t="str">
        <f t="shared" si="29"/>
        <v/>
      </c>
      <c r="CG51" s="171" t="str">
        <f t="shared" si="29"/>
        <v/>
      </c>
      <c r="CH51" s="171" t="str">
        <f t="shared" si="29"/>
        <v/>
      </c>
      <c r="CI51" s="171" t="str">
        <f t="shared" si="29"/>
        <v/>
      </c>
      <c r="CJ51" s="171" t="str">
        <f t="shared" si="29"/>
        <v/>
      </c>
      <c r="CK51" s="171" t="str">
        <f t="shared" si="29"/>
        <v/>
      </c>
      <c r="CL51" s="171" t="str">
        <f t="shared" si="29"/>
        <v/>
      </c>
      <c r="CM51" s="171" t="str">
        <f t="shared" si="29"/>
        <v/>
      </c>
      <c r="CN51" s="171" t="str">
        <f t="shared" si="29"/>
        <v/>
      </c>
      <c r="CO51" s="171" t="str">
        <f t="shared" si="29"/>
        <v/>
      </c>
      <c r="CP51" s="171" t="str">
        <f t="shared" si="29"/>
        <v/>
      </c>
      <c r="CQ51" s="171" t="str">
        <f t="shared" si="29"/>
        <v/>
      </c>
      <c r="CR51" s="171" t="str">
        <f t="shared" si="29"/>
        <v/>
      </c>
      <c r="CS51" s="171" t="str">
        <f t="shared" si="29"/>
        <v/>
      </c>
      <c r="CT51" s="171" t="str">
        <f t="shared" si="29"/>
        <v/>
      </c>
      <c r="CU51" s="171" t="str">
        <f t="shared" si="29"/>
        <v/>
      </c>
      <c r="CV51" s="171" t="str">
        <f t="shared" si="29"/>
        <v/>
      </c>
      <c r="CW51" s="171" t="str">
        <f t="shared" si="29"/>
        <v/>
      </c>
      <c r="CX51" s="171" t="str">
        <f t="shared" si="29"/>
        <v/>
      </c>
      <c r="CY51" s="171" t="str">
        <f t="shared" si="29"/>
        <v/>
      </c>
      <c r="CZ51" s="171" t="str">
        <f t="shared" si="29"/>
        <v/>
      </c>
      <c r="DA51" s="171" t="str">
        <f t="shared" si="29"/>
        <v/>
      </c>
      <c r="DB51" s="171" t="str">
        <f t="shared" si="29"/>
        <v/>
      </c>
      <c r="DC51" s="171" t="str">
        <f t="shared" si="29"/>
        <v/>
      </c>
      <c r="DD51" s="171" t="str">
        <f t="shared" si="29"/>
        <v/>
      </c>
      <c r="DE51" s="171" t="str">
        <f t="shared" si="29"/>
        <v/>
      </c>
      <c r="DF51" s="171" t="str">
        <f t="shared" si="29"/>
        <v/>
      </c>
      <c r="DG51" s="171" t="str">
        <f t="shared" si="29"/>
        <v/>
      </c>
      <c r="DH51" s="171" t="str">
        <f t="shared" si="29"/>
        <v/>
      </c>
      <c r="DI51" s="171" t="str">
        <f t="shared" si="29"/>
        <v/>
      </c>
      <c r="DJ51" s="171" t="str">
        <f t="shared" si="29"/>
        <v/>
      </c>
      <c r="DK51" s="171" t="str">
        <f t="shared" si="29"/>
        <v/>
      </c>
      <c r="DL51" s="171" t="str">
        <f t="shared" si="29"/>
        <v/>
      </c>
      <c r="DM51" s="171" t="str">
        <f t="shared" si="29"/>
        <v/>
      </c>
      <c r="DN51" s="171" t="str">
        <f t="shared" si="29"/>
        <v/>
      </c>
      <c r="DO51" s="171" t="str">
        <f t="shared" si="29"/>
        <v/>
      </c>
      <c r="DP51" s="171" t="str">
        <f t="shared" si="29"/>
        <v/>
      </c>
      <c r="DQ51" s="171" t="str">
        <f t="shared" si="29"/>
        <v/>
      </c>
      <c r="DR51" s="171" t="str">
        <f t="shared" si="29"/>
        <v/>
      </c>
      <c r="DS51" s="171" t="str">
        <f t="shared" si="29"/>
        <v/>
      </c>
      <c r="DT51" s="171" t="str">
        <f t="shared" si="29"/>
        <v/>
      </c>
      <c r="DU51" s="171" t="str">
        <f t="shared" si="29"/>
        <v/>
      </c>
      <c r="DV51" s="171" t="str">
        <f t="shared" si="29"/>
        <v/>
      </c>
      <c r="DW51" s="171" t="str">
        <f t="shared" si="29"/>
        <v/>
      </c>
      <c r="DX51" s="171" t="str">
        <f t="shared" si="29"/>
        <v/>
      </c>
      <c r="DY51" s="171" t="str">
        <f t="shared" si="29"/>
        <v/>
      </c>
      <c r="DZ51" s="171" t="str">
        <f t="shared" si="29"/>
        <v/>
      </c>
      <c r="EA51" s="171" t="str">
        <f t="shared" si="29"/>
        <v/>
      </c>
      <c r="EB51" s="171" t="str">
        <f t="shared" si="29"/>
        <v/>
      </c>
      <c r="EC51" s="171" t="str">
        <f t="shared" si="29"/>
        <v/>
      </c>
      <c r="ED51" s="171" t="str">
        <f t="shared" si="29"/>
        <v/>
      </c>
      <c r="EE51" s="171" t="str">
        <f t="shared" si="29"/>
        <v/>
      </c>
      <c r="EF51" s="171" t="str">
        <f>IF(EF$47="","",SUM(EF48:EF50))</f>
        <v/>
      </c>
      <c r="EG51" s="171" t="str">
        <f>IF(EG$47="","",SUM(EG48:EG50))</f>
        <v/>
      </c>
      <c r="EH51" s="171" t="str">
        <f>IF(EH$47="","",SUM(EH48:EH50))</f>
        <v/>
      </c>
      <c r="EI51" s="171" t="str">
        <f>IF(EI$47="","",SUM(EI48:EI50))</f>
        <v/>
      </c>
    </row>
    <row r="52" spans="2:139" x14ac:dyDescent="0.35">
      <c r="B52" s="4"/>
      <c r="C52" s="4"/>
      <c r="D52" s="4"/>
      <c r="E52" s="4"/>
      <c r="F52" s="4"/>
      <c r="G52" s="171"/>
      <c r="H52" s="171"/>
      <c r="I52" s="171"/>
      <c r="J52" s="171"/>
      <c r="K52" s="171"/>
      <c r="L52" s="171"/>
      <c r="M52" s="171"/>
      <c r="N52" s="171"/>
      <c r="O52" s="171"/>
      <c r="P52" s="171"/>
      <c r="Q52" s="171"/>
      <c r="R52" s="171"/>
      <c r="S52" s="171"/>
      <c r="T52" s="171"/>
      <c r="U52" s="171"/>
      <c r="V52" s="171"/>
      <c r="W52" s="171"/>
      <c r="X52" s="171"/>
      <c r="Y52" s="171"/>
      <c r="Z52" s="171"/>
      <c r="AA52" s="171"/>
      <c r="AB52" s="171"/>
      <c r="AC52" s="171"/>
      <c r="AD52" s="171"/>
      <c r="AE52" s="171"/>
      <c r="AF52" s="171"/>
      <c r="AG52" s="171"/>
      <c r="AH52" s="171"/>
      <c r="AI52" s="171"/>
      <c r="AJ52" s="171"/>
      <c r="AK52" s="171"/>
      <c r="AL52" s="171"/>
      <c r="AM52" s="171"/>
      <c r="AN52" s="171"/>
      <c r="AO52" s="171"/>
      <c r="AP52" s="171"/>
      <c r="AQ52" s="171"/>
      <c r="AR52" s="171"/>
      <c r="AS52" s="171"/>
      <c r="AT52" s="171"/>
      <c r="AU52" s="171"/>
      <c r="AV52" s="171"/>
      <c r="AW52" s="171"/>
      <c r="AX52" s="171"/>
      <c r="AY52" s="171"/>
      <c r="AZ52" s="171"/>
      <c r="BA52" s="171"/>
      <c r="BB52" s="171"/>
      <c r="BC52" s="171"/>
      <c r="BD52" s="171"/>
      <c r="BE52" s="171"/>
      <c r="BF52" s="171"/>
      <c r="BG52" s="171"/>
      <c r="BH52" s="171"/>
      <c r="BI52" s="171"/>
      <c r="BJ52" s="171"/>
      <c r="BK52" s="171"/>
      <c r="BL52" s="171"/>
      <c r="BM52" s="171"/>
      <c r="BN52" s="171"/>
      <c r="BO52" s="171"/>
      <c r="BP52" s="171"/>
      <c r="BQ52" s="171"/>
      <c r="BR52" s="171"/>
      <c r="BS52" s="171"/>
      <c r="BT52" s="171"/>
      <c r="BU52" s="171"/>
      <c r="BV52" s="171"/>
      <c r="BW52" s="171"/>
      <c r="BX52" s="171"/>
      <c r="BY52" s="171"/>
      <c r="BZ52" s="171"/>
      <c r="CA52" s="171"/>
      <c r="CB52" s="171"/>
      <c r="CC52" s="171"/>
      <c r="CD52" s="171"/>
      <c r="CE52" s="171"/>
      <c r="CF52" s="171"/>
      <c r="CG52" s="171"/>
      <c r="CH52" s="171"/>
      <c r="CI52" s="171"/>
      <c r="CJ52" s="171"/>
      <c r="CK52" s="171"/>
      <c r="CL52" s="171"/>
      <c r="CM52" s="171"/>
      <c r="CN52" s="171"/>
      <c r="CO52" s="171"/>
      <c r="CP52" s="171"/>
      <c r="CQ52" s="171"/>
      <c r="CR52" s="171"/>
      <c r="CS52" s="171"/>
      <c r="CT52" s="171"/>
      <c r="CU52" s="171"/>
      <c r="CV52" s="171"/>
      <c r="CW52" s="171"/>
      <c r="CX52" s="171"/>
      <c r="CY52" s="171"/>
      <c r="CZ52" s="171"/>
      <c r="DA52" s="171"/>
      <c r="DB52" s="171"/>
      <c r="DC52" s="171"/>
      <c r="DD52" s="171"/>
      <c r="DE52" s="171"/>
      <c r="DF52" s="171"/>
      <c r="DG52" s="171"/>
      <c r="DH52" s="171"/>
      <c r="DI52" s="171"/>
      <c r="DJ52" s="171"/>
      <c r="DK52" s="171"/>
      <c r="DL52" s="171"/>
      <c r="DM52" s="171"/>
      <c r="DN52" s="171"/>
      <c r="DO52" s="171"/>
      <c r="DP52" s="171"/>
      <c r="DQ52" s="171"/>
      <c r="DR52" s="171"/>
      <c r="DS52" s="171"/>
      <c r="DT52" s="171"/>
      <c r="DU52" s="171"/>
      <c r="DV52" s="171"/>
      <c r="DW52" s="171"/>
      <c r="DX52" s="171"/>
      <c r="DY52" s="171"/>
      <c r="DZ52" s="171"/>
      <c r="EA52" s="171"/>
      <c r="EB52" s="171"/>
      <c r="EC52" s="171"/>
      <c r="ED52" s="171"/>
      <c r="EE52" s="171"/>
      <c r="EF52" s="171"/>
      <c r="EG52" s="171"/>
      <c r="EH52" s="171"/>
      <c r="EI52" s="171"/>
    </row>
    <row r="53" spans="2:139" x14ac:dyDescent="0.35">
      <c r="B53" s="163" t="s">
        <v>162</v>
      </c>
      <c r="C53" s="4"/>
      <c r="D53" s="4"/>
      <c r="E53" s="4"/>
      <c r="F53" s="4"/>
      <c r="G53" s="171">
        <f>IF(G$47="","",Underwriting!L55)</f>
        <v>0</v>
      </c>
      <c r="H53" s="171">
        <f>IF(H$47="","",Underwriting!M55)</f>
        <v>0</v>
      </c>
      <c r="I53" s="171">
        <f>IF(I$47="","",Underwriting!N55)</f>
        <v>0</v>
      </c>
      <c r="J53" s="171">
        <f>IF(J$47="","",Underwriting!O55)</f>
        <v>0</v>
      </c>
      <c r="K53" s="171">
        <f>IF(K$47="","",Underwriting!P55)</f>
        <v>0</v>
      </c>
      <c r="L53" s="171">
        <f>IF(L$47="","",Underwriting!Q55)</f>
        <v>0</v>
      </c>
      <c r="M53" s="171">
        <f>IF(M$47="","",Underwriting!R55)</f>
        <v>0</v>
      </c>
      <c r="N53" s="171">
        <f>IF(N$47="","",Underwriting!S55)</f>
        <v>0</v>
      </c>
      <c r="O53" s="171">
        <f>IF(O$47="","",Underwriting!T55)</f>
        <v>0</v>
      </c>
      <c r="P53" s="171">
        <f>IF(P$47="","",Underwriting!U55)</f>
        <v>0</v>
      </c>
      <c r="Q53" s="171">
        <f>IF(Q$47="","",Underwriting!V55)</f>
        <v>0</v>
      </c>
      <c r="R53" s="171">
        <f>IF(R$47="","",Underwriting!W55)</f>
        <v>0</v>
      </c>
      <c r="S53" s="171">
        <f>IF(S$47="","",Underwriting!X55)</f>
        <v>0</v>
      </c>
      <c r="T53" s="171">
        <f>IF(T$47="","",Underwriting!Y55)</f>
        <v>0</v>
      </c>
      <c r="U53" s="171">
        <f>IF(U$47="","",Underwriting!Z55)</f>
        <v>0</v>
      </c>
      <c r="V53" s="171">
        <f>IF(V$47="","",Underwriting!AA55)</f>
        <v>0</v>
      </c>
      <c r="W53" s="171">
        <f>IF(W$47="","",Underwriting!AB55)</f>
        <v>0</v>
      </c>
      <c r="X53" s="171">
        <f>IF(X$47="","",Underwriting!AC55)</f>
        <v>0</v>
      </c>
      <c r="Y53" s="171">
        <f>IF(Y$47="","",Underwriting!AD55)</f>
        <v>0</v>
      </c>
      <c r="Z53" s="171">
        <f>IF(Z$47="","",Underwriting!AE55)</f>
        <v>0</v>
      </c>
      <c r="AA53" s="171">
        <f>IF(AA$47="","",Underwriting!AF55)</f>
        <v>0</v>
      </c>
      <c r="AB53" s="171">
        <f>IF(AB$47="","",Underwriting!AG55)</f>
        <v>0</v>
      </c>
      <c r="AC53" s="171">
        <f>IF(AC$47="","",Underwriting!AH55)</f>
        <v>0</v>
      </c>
      <c r="AD53" s="171">
        <f>IF(AD$47="","",Underwriting!AI55)</f>
        <v>0</v>
      </c>
      <c r="AE53" s="171">
        <f>IF(AE$47="","",Underwriting!AJ55)</f>
        <v>0</v>
      </c>
      <c r="AF53" s="171">
        <f>IF(AF$47="","",Underwriting!AK55)</f>
        <v>0</v>
      </c>
      <c r="AG53" s="171">
        <f>IF(AG$47="","",Underwriting!AL55)</f>
        <v>0</v>
      </c>
      <c r="AH53" s="171">
        <f>IF(AH$47="","",Underwriting!AM55)</f>
        <v>0</v>
      </c>
      <c r="AI53" s="171">
        <f>IF(AI$47="","",Underwriting!AN55)</f>
        <v>0</v>
      </c>
      <c r="AJ53" s="171">
        <f>IF(AJ$47="","",Underwriting!AO55)</f>
        <v>0</v>
      </c>
      <c r="AK53" s="171">
        <f>IF(AK$47="","",Underwriting!AP55)</f>
        <v>0</v>
      </c>
      <c r="AL53" s="171">
        <f>IF(AL$47="","",Underwriting!AQ55)</f>
        <v>0</v>
      </c>
      <c r="AM53" s="171">
        <f>IF(AM$47="","",Underwriting!AR55)</f>
        <v>0</v>
      </c>
      <c r="AN53" s="171">
        <f>IF(AN$47="","",Underwriting!AS55)</f>
        <v>0</v>
      </c>
      <c r="AO53" s="171">
        <f>IF(AO$47="","",Underwriting!AT55)</f>
        <v>0</v>
      </c>
      <c r="AP53" s="171">
        <f>IF(AP$47="","",Underwriting!AU55)</f>
        <v>0</v>
      </c>
      <c r="AQ53" s="171">
        <f>IF(AQ$47="","",Underwriting!AV55)</f>
        <v>0</v>
      </c>
      <c r="AR53" s="171">
        <f>IF(AR$47="","",Underwriting!AW55)</f>
        <v>0</v>
      </c>
      <c r="AS53" s="171">
        <f>IF(AS$47="","",Underwriting!AX55)</f>
        <v>0</v>
      </c>
      <c r="AT53" s="171">
        <f>IF(AT$47="","",Underwriting!AY55)</f>
        <v>0</v>
      </c>
      <c r="AU53" s="171">
        <f>IF(AU$47="","",Underwriting!AZ55)</f>
        <v>0</v>
      </c>
      <c r="AV53" s="171">
        <f>IF(AV$47="","",Underwriting!BA55)</f>
        <v>0</v>
      </c>
      <c r="AW53" s="171">
        <f>IF(AW$47="","",Underwriting!BB55)</f>
        <v>0</v>
      </c>
      <c r="AX53" s="171">
        <f>IF(AX$47="","",Underwriting!BC55)</f>
        <v>0</v>
      </c>
      <c r="AY53" s="171">
        <f>IF(AY$47="","",Underwriting!BD55)</f>
        <v>0</v>
      </c>
      <c r="AZ53" s="171">
        <f>IF(AZ$47="","",Underwriting!BE55)</f>
        <v>0</v>
      </c>
      <c r="BA53" s="171">
        <f>IF(BA$47="","",Underwriting!BF55)</f>
        <v>0</v>
      </c>
      <c r="BB53" s="171">
        <f>IF(BB$47="","",Underwriting!BG55)</f>
        <v>0</v>
      </c>
      <c r="BC53" s="171">
        <f>IF(BC$47="","",Underwriting!BH55)</f>
        <v>0</v>
      </c>
      <c r="BD53" s="171">
        <f>IF(BD$47="","",Underwriting!BI55)</f>
        <v>0</v>
      </c>
      <c r="BE53" s="171">
        <f>IF(BE$47="","",Underwriting!BJ55)</f>
        <v>0</v>
      </c>
      <c r="BF53" s="171">
        <f>IF(BF$47="","",Underwriting!BK55)</f>
        <v>0</v>
      </c>
      <c r="BG53" s="171">
        <f>IF(BG$47="","",Underwriting!BL55)</f>
        <v>0</v>
      </c>
      <c r="BH53" s="171">
        <f>IF(BH$47="","",Underwriting!BM55)</f>
        <v>0</v>
      </c>
      <c r="BI53" s="171">
        <f>IF(BI$47="","",Underwriting!BN55)</f>
        <v>0</v>
      </c>
      <c r="BJ53" s="171">
        <f>IF(BJ$47="","",Underwriting!BO55)</f>
        <v>0</v>
      </c>
      <c r="BK53" s="171">
        <f>IF(BK$47="","",Underwriting!BP55)</f>
        <v>0</v>
      </c>
      <c r="BL53" s="171">
        <f>IF(BL$47="","",Underwriting!BQ55)</f>
        <v>0</v>
      </c>
      <c r="BM53" s="171">
        <f>IF(BM$47="","",Underwriting!BR55)</f>
        <v>0</v>
      </c>
      <c r="BN53" s="171">
        <f>IF(BN$47="","",Underwriting!BS55)</f>
        <v>0</v>
      </c>
      <c r="BO53" s="171">
        <f>IF(BO$47="","",Underwriting!BT55)</f>
        <v>0</v>
      </c>
      <c r="BP53" s="171">
        <f>IF(BP$47="","",Underwriting!BU55)</f>
        <v>0</v>
      </c>
      <c r="BQ53" s="171" t="str">
        <f>IF(BQ$47="","",Underwriting!BV55)</f>
        <v/>
      </c>
      <c r="BR53" s="171" t="str">
        <f>IF(BR$47="","",Underwriting!BW55)</f>
        <v/>
      </c>
      <c r="BS53" s="171" t="str">
        <f>IF(BS$47="","",Underwriting!BX55)</f>
        <v/>
      </c>
      <c r="BT53" s="171" t="str">
        <f>IF(BT$47="","",Underwriting!BY55)</f>
        <v/>
      </c>
      <c r="BU53" s="171" t="str">
        <f>IF(BU$47="","",Underwriting!BZ55)</f>
        <v/>
      </c>
      <c r="BV53" s="171" t="str">
        <f>IF(BV$47="","",Underwriting!CA55)</f>
        <v/>
      </c>
      <c r="BW53" s="171" t="str">
        <f>IF(BW$47="","",Underwriting!CB55)</f>
        <v/>
      </c>
      <c r="BX53" s="171" t="str">
        <f>IF(BX$47="","",Underwriting!CC55)</f>
        <v/>
      </c>
      <c r="BY53" s="171" t="str">
        <f>IF(BY$47="","",Underwriting!CD55)</f>
        <v/>
      </c>
      <c r="BZ53" s="171" t="str">
        <f>IF(BZ$47="","",Underwriting!CE55)</f>
        <v/>
      </c>
      <c r="CA53" s="171" t="str">
        <f>IF(CA$47="","",Underwriting!CF55)</f>
        <v/>
      </c>
      <c r="CB53" s="171" t="str">
        <f>IF(CB$47="","",Underwriting!CG55)</f>
        <v/>
      </c>
      <c r="CC53" s="171" t="str">
        <f>IF(CC$47="","",Underwriting!CH55)</f>
        <v/>
      </c>
      <c r="CD53" s="171" t="str">
        <f>IF(CD$47="","",Underwriting!CI55)</f>
        <v/>
      </c>
      <c r="CE53" s="171" t="str">
        <f>IF(CE$47="","",Underwriting!CJ55)</f>
        <v/>
      </c>
      <c r="CF53" s="171" t="str">
        <f>IF(CF$47="","",Underwriting!CK55)</f>
        <v/>
      </c>
      <c r="CG53" s="171" t="str">
        <f>IF(CG$47="","",Underwriting!CL55)</f>
        <v/>
      </c>
      <c r="CH53" s="171" t="str">
        <f>IF(CH$47="","",Underwriting!CM55)</f>
        <v/>
      </c>
      <c r="CI53" s="171" t="str">
        <f>IF(CI$47="","",Underwriting!CN55)</f>
        <v/>
      </c>
      <c r="CJ53" s="171" t="str">
        <f>IF(CJ$47="","",Underwriting!CO55)</f>
        <v/>
      </c>
      <c r="CK53" s="171" t="str">
        <f>IF(CK$47="","",Underwriting!CP55)</f>
        <v/>
      </c>
      <c r="CL53" s="171" t="str">
        <f>IF(CL$47="","",Underwriting!CQ55)</f>
        <v/>
      </c>
      <c r="CM53" s="171" t="str">
        <f>IF(CM$47="","",Underwriting!CR55)</f>
        <v/>
      </c>
      <c r="CN53" s="171" t="str">
        <f>IF(CN$47="","",Underwriting!CS55)</f>
        <v/>
      </c>
      <c r="CO53" s="171" t="str">
        <f>IF(CO$47="","",Underwriting!CT55)</f>
        <v/>
      </c>
      <c r="CP53" s="171" t="str">
        <f>IF(CP$47="","",Underwriting!CU55)</f>
        <v/>
      </c>
      <c r="CQ53" s="171" t="str">
        <f>IF(CQ$47="","",Underwriting!CV55)</f>
        <v/>
      </c>
      <c r="CR53" s="171" t="str">
        <f>IF(CR$47="","",Underwriting!CW55)</f>
        <v/>
      </c>
      <c r="CS53" s="171" t="str">
        <f>IF(CS$47="","",Underwriting!CX55)</f>
        <v/>
      </c>
      <c r="CT53" s="171" t="str">
        <f>IF(CT$47="","",Underwriting!CY55)</f>
        <v/>
      </c>
      <c r="CU53" s="171" t="str">
        <f>IF(CU$47="","",Underwriting!CZ55)</f>
        <v/>
      </c>
      <c r="CV53" s="171" t="str">
        <f>IF(CV$47="","",Underwriting!DA55)</f>
        <v/>
      </c>
      <c r="CW53" s="171" t="str">
        <f>IF(CW$47="","",Underwriting!DB55)</f>
        <v/>
      </c>
      <c r="CX53" s="171" t="str">
        <f>IF(CX$47="","",Underwriting!DC55)</f>
        <v/>
      </c>
      <c r="CY53" s="171" t="str">
        <f>IF(CY$47="","",Underwriting!DD55)</f>
        <v/>
      </c>
      <c r="CZ53" s="171" t="str">
        <f>IF(CZ$47="","",Underwriting!DE55)</f>
        <v/>
      </c>
      <c r="DA53" s="171" t="str">
        <f>IF(DA$47="","",Underwriting!DF55)</f>
        <v/>
      </c>
      <c r="DB53" s="171" t="str">
        <f>IF(DB$47="","",Underwriting!DG55)</f>
        <v/>
      </c>
      <c r="DC53" s="171" t="str">
        <f>IF(DC$47="","",Underwriting!DH55)</f>
        <v/>
      </c>
      <c r="DD53" s="171" t="str">
        <f>IF(DD$47="","",Underwriting!DI55)</f>
        <v/>
      </c>
      <c r="DE53" s="171" t="str">
        <f>IF(DE$47="","",Underwriting!DJ55)</f>
        <v/>
      </c>
      <c r="DF53" s="171" t="str">
        <f>IF(DF$47="","",Underwriting!DK55)</f>
        <v/>
      </c>
      <c r="DG53" s="171" t="str">
        <f>IF(DG$47="","",Underwriting!DL55)</f>
        <v/>
      </c>
      <c r="DH53" s="171" t="str">
        <f>IF(DH$47="","",Underwriting!DM55)</f>
        <v/>
      </c>
      <c r="DI53" s="171" t="str">
        <f>IF(DI$47="","",Underwriting!DN55)</f>
        <v/>
      </c>
      <c r="DJ53" s="171" t="str">
        <f>IF(DJ$47="","",Underwriting!DO55)</f>
        <v/>
      </c>
      <c r="DK53" s="171" t="str">
        <f>IF(DK$47="","",Underwriting!DP55)</f>
        <v/>
      </c>
      <c r="DL53" s="171" t="str">
        <f>IF(DL$47="","",Underwriting!DQ55)</f>
        <v/>
      </c>
      <c r="DM53" s="171" t="str">
        <f>IF(DM$47="","",Underwriting!DR55)</f>
        <v/>
      </c>
      <c r="DN53" s="171" t="str">
        <f>IF(DN$47="","",Underwriting!DS55)</f>
        <v/>
      </c>
      <c r="DO53" s="171" t="str">
        <f>IF(DO$47="","",Underwriting!DT55)</f>
        <v/>
      </c>
      <c r="DP53" s="171" t="str">
        <f>IF(DP$47="","",Underwriting!DU55)</f>
        <v/>
      </c>
      <c r="DQ53" s="171" t="str">
        <f>IF(DQ$47="","",Underwriting!DV55)</f>
        <v/>
      </c>
      <c r="DR53" s="171" t="str">
        <f>IF(DR$47="","",Underwriting!DW55)</f>
        <v/>
      </c>
      <c r="DS53" s="171" t="str">
        <f>IF(DS$47="","",Underwriting!DX55)</f>
        <v/>
      </c>
      <c r="DT53" s="171" t="str">
        <f>IF(DT$47="","",Underwriting!DY55)</f>
        <v/>
      </c>
      <c r="DU53" s="171" t="str">
        <f>IF(DU$47="","",Underwriting!DZ55)</f>
        <v/>
      </c>
      <c r="DV53" s="171" t="str">
        <f>IF(DV$47="","",Underwriting!EA55)</f>
        <v/>
      </c>
      <c r="DW53" s="171" t="str">
        <f>IF(DW$47="","",Underwriting!EB55)</f>
        <v/>
      </c>
      <c r="DX53" s="171" t="str">
        <f>IF(DX$47="","",Underwriting!EC55)</f>
        <v/>
      </c>
      <c r="DY53" s="171" t="str">
        <f>IF(DY$47="","",Underwriting!ED55)</f>
        <v/>
      </c>
      <c r="DZ53" s="171" t="str">
        <f>IF(DZ$47="","",Underwriting!EE55)</f>
        <v/>
      </c>
      <c r="EA53" s="171" t="str">
        <f>IF(EA$47="","",Underwriting!EF55)</f>
        <v/>
      </c>
      <c r="EB53" s="171" t="str">
        <f>IF(EB$47="","",Underwriting!EG55)</f>
        <v/>
      </c>
      <c r="EC53" s="171" t="str">
        <f>IF(EC$47="","",Underwriting!EH55)</f>
        <v/>
      </c>
      <c r="ED53" s="171" t="str">
        <f>IF(ED$47="","",Underwriting!EI55)</f>
        <v/>
      </c>
      <c r="EE53" s="171" t="str">
        <f>IF(EE$47="","",Underwriting!EJ55)</f>
        <v/>
      </c>
      <c r="EF53" s="171" t="str">
        <f>IF(EF$47="","",Underwriting!EK55)</f>
        <v/>
      </c>
      <c r="EG53" s="171" t="str">
        <f>IF(EG$47="","",Underwriting!EL55)</f>
        <v/>
      </c>
      <c r="EH53" s="171" t="str">
        <f>IF(EH$47="","",Underwriting!EM55)</f>
        <v/>
      </c>
      <c r="EI53" s="171" t="str">
        <f>IF(EI$47="","",Underwriting!EN55)</f>
        <v/>
      </c>
    </row>
    <row r="54" spans="2:139" x14ac:dyDescent="0.35">
      <c r="B54" s="4"/>
      <c r="C54" s="4"/>
      <c r="D54" s="4"/>
      <c r="E54" s="4"/>
      <c r="F54" s="4"/>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1"/>
      <c r="BN54" s="171"/>
      <c r="BO54" s="171"/>
      <c r="BP54" s="171"/>
      <c r="BQ54" s="171"/>
      <c r="BR54" s="171"/>
      <c r="BS54" s="171"/>
      <c r="BT54" s="171"/>
      <c r="BU54" s="171"/>
      <c r="BV54" s="171"/>
      <c r="BW54" s="171"/>
      <c r="BX54" s="171"/>
      <c r="BY54" s="171"/>
      <c r="BZ54" s="171"/>
      <c r="CA54" s="171"/>
      <c r="CB54" s="171"/>
      <c r="CC54" s="171"/>
      <c r="CD54" s="171"/>
      <c r="CE54" s="171"/>
      <c r="CF54" s="171"/>
      <c r="CG54" s="171"/>
      <c r="CH54" s="171"/>
      <c r="CI54" s="171"/>
      <c r="CJ54" s="171"/>
      <c r="CK54" s="171"/>
      <c r="CL54" s="171"/>
      <c r="CM54" s="171"/>
      <c r="CN54" s="171"/>
      <c r="CO54" s="171"/>
      <c r="CP54" s="171"/>
      <c r="CQ54" s="171"/>
      <c r="CR54" s="171"/>
      <c r="CS54" s="171"/>
      <c r="CT54" s="171"/>
      <c r="CU54" s="171"/>
      <c r="CV54" s="171"/>
      <c r="CW54" s="171"/>
      <c r="CX54" s="171"/>
      <c r="CY54" s="171"/>
      <c r="CZ54" s="171"/>
      <c r="DA54" s="171"/>
      <c r="DB54" s="171"/>
      <c r="DC54" s="171"/>
      <c r="DD54" s="171"/>
      <c r="DE54" s="171"/>
      <c r="DF54" s="171"/>
      <c r="DG54" s="171"/>
      <c r="DH54" s="171"/>
      <c r="DI54" s="171"/>
      <c r="DJ54" s="171"/>
      <c r="DK54" s="171"/>
      <c r="DL54" s="171"/>
      <c r="DM54" s="171"/>
      <c r="DN54" s="171"/>
      <c r="DO54" s="171"/>
      <c r="DP54" s="171"/>
      <c r="DQ54" s="171"/>
      <c r="DR54" s="171"/>
      <c r="DS54" s="171"/>
      <c r="DT54" s="171"/>
      <c r="DU54" s="171"/>
      <c r="DV54" s="171"/>
      <c r="DW54" s="171"/>
      <c r="DX54" s="171"/>
      <c r="DY54" s="171"/>
      <c r="DZ54" s="171"/>
      <c r="EA54" s="171"/>
      <c r="EB54" s="171"/>
      <c r="EC54" s="171"/>
      <c r="ED54" s="171"/>
      <c r="EE54" s="171"/>
      <c r="EF54" s="171"/>
      <c r="EG54" s="171"/>
      <c r="EH54" s="171"/>
      <c r="EI54" s="171"/>
    </row>
    <row r="55" spans="2:139" x14ac:dyDescent="0.35">
      <c r="B55" s="4" t="s">
        <v>500</v>
      </c>
      <c r="C55" s="4"/>
      <c r="D55" s="4"/>
      <c r="E55" s="4"/>
      <c r="F55" s="4"/>
      <c r="G55" s="171">
        <f>IF(G$47="","",G53+G51)</f>
        <v>93017714.091035873</v>
      </c>
      <c r="H55" s="171">
        <f t="shared" ref="H55:BS55" si="30">IF(H$47="","",H53+H51)</f>
        <v>882028.36212584306</v>
      </c>
      <c r="I55" s="171">
        <f t="shared" si="30"/>
        <v>1153238.7592138182</v>
      </c>
      <c r="J55" s="171">
        <f t="shared" si="30"/>
        <v>1540571.8400115801</v>
      </c>
      <c r="K55" s="171">
        <f t="shared" si="30"/>
        <v>2077208.6703043352</v>
      </c>
      <c r="L55" s="171">
        <f t="shared" si="30"/>
        <v>2798042.1575110573</v>
      </c>
      <c r="M55" s="171">
        <f t="shared" si="30"/>
        <v>3736098.8558910517</v>
      </c>
      <c r="N55" s="171">
        <f t="shared" si="30"/>
        <v>4917681.2983414307</v>
      </c>
      <c r="O55" s="171">
        <f t="shared" si="30"/>
        <v>6356585.443407244</v>
      </c>
      <c r="P55" s="171">
        <f t="shared" si="30"/>
        <v>8048084.8374454733</v>
      </c>
      <c r="Q55" s="171">
        <f t="shared" si="30"/>
        <v>9963673.1491933651</v>
      </c>
      <c r="R55" s="171">
        <f t="shared" si="30"/>
        <v>12047726.791351493</v>
      </c>
      <c r="S55" s="171">
        <f t="shared" si="30"/>
        <v>14217202.323856961</v>
      </c>
      <c r="T55" s="171">
        <f t="shared" si="30"/>
        <v>16365167.698586643</v>
      </c>
      <c r="U55" s="171">
        <f t="shared" si="30"/>
        <v>18368392.667920161</v>
      </c>
      <c r="V55" s="171">
        <f t="shared" si="30"/>
        <v>20098477.243874725</v>
      </c>
      <c r="W55" s="171">
        <f t="shared" si="30"/>
        <v>21435229.253932979</v>
      </c>
      <c r="X55" s="171">
        <f t="shared" si="30"/>
        <v>22280397.403045714</v>
      </c>
      <c r="Y55" s="171">
        <f t="shared" si="30"/>
        <v>22569593.467381995</v>
      </c>
      <c r="Z55" s="171">
        <f t="shared" si="30"/>
        <v>22280397.403045733</v>
      </c>
      <c r="AA55" s="171">
        <f t="shared" si="30"/>
        <v>21435229.253932942</v>
      </c>
      <c r="AB55" s="171">
        <f t="shared" si="30"/>
        <v>20098477.243874762</v>
      </c>
      <c r="AC55" s="171">
        <f t="shared" si="30"/>
        <v>18368392.667920135</v>
      </c>
      <c r="AD55" s="171">
        <f t="shared" si="30"/>
        <v>16365167.698586643</v>
      </c>
      <c r="AE55" s="171">
        <f t="shared" si="30"/>
        <v>14217202.323856987</v>
      </c>
      <c r="AF55" s="171">
        <f t="shared" si="30"/>
        <v>12047726.791351464</v>
      </c>
      <c r="AG55" s="171">
        <f t="shared" si="30"/>
        <v>9963673.1491933651</v>
      </c>
      <c r="AH55" s="171">
        <f t="shared" si="30"/>
        <v>8048084.8374454975</v>
      </c>
      <c r="AI55" s="171">
        <f t="shared" si="30"/>
        <v>6356585.4434072273</v>
      </c>
      <c r="AJ55" s="171">
        <f t="shared" si="30"/>
        <v>4917681.2983414317</v>
      </c>
      <c r="AK55" s="171">
        <f t="shared" si="30"/>
        <v>3736098.8558910657</v>
      </c>
      <c r="AL55" s="171">
        <f t="shared" si="30"/>
        <v>2798042.157511042</v>
      </c>
      <c r="AM55" s="171">
        <f t="shared" si="30"/>
        <v>2077208.670304341</v>
      </c>
      <c r="AN55" s="171">
        <f t="shared" si="30"/>
        <v>1540571.8400115611</v>
      </c>
      <c r="AO55" s="171">
        <f t="shared" si="30"/>
        <v>1153238.7592138406</v>
      </c>
      <c r="AP55" s="171">
        <f t="shared" si="30"/>
        <v>882028.36212582723</v>
      </c>
      <c r="AQ55" s="171">
        <f t="shared" si="30"/>
        <v>697714.0910358784</v>
      </c>
      <c r="AR55" s="171">
        <f t="shared" si="30"/>
        <v>0</v>
      </c>
      <c r="AS55" s="171">
        <f t="shared" si="30"/>
        <v>0</v>
      </c>
      <c r="AT55" s="171">
        <f t="shared" si="30"/>
        <v>0</v>
      </c>
      <c r="AU55" s="171">
        <f t="shared" si="30"/>
        <v>0</v>
      </c>
      <c r="AV55" s="171">
        <f t="shared" si="30"/>
        <v>0</v>
      </c>
      <c r="AW55" s="171">
        <f t="shared" si="30"/>
        <v>0</v>
      </c>
      <c r="AX55" s="171">
        <f t="shared" si="30"/>
        <v>0</v>
      </c>
      <c r="AY55" s="171">
        <f t="shared" si="30"/>
        <v>0</v>
      </c>
      <c r="AZ55" s="171">
        <f t="shared" si="30"/>
        <v>0</v>
      </c>
      <c r="BA55" s="171">
        <f t="shared" si="30"/>
        <v>0</v>
      </c>
      <c r="BB55" s="171">
        <f t="shared" si="30"/>
        <v>0</v>
      </c>
      <c r="BC55" s="171">
        <f t="shared" si="30"/>
        <v>0</v>
      </c>
      <c r="BD55" s="171">
        <f t="shared" si="30"/>
        <v>0</v>
      </c>
      <c r="BE55" s="171">
        <f t="shared" si="30"/>
        <v>0</v>
      </c>
      <c r="BF55" s="171">
        <f t="shared" si="30"/>
        <v>0</v>
      </c>
      <c r="BG55" s="171">
        <f t="shared" si="30"/>
        <v>0</v>
      </c>
      <c r="BH55" s="171">
        <f t="shared" si="30"/>
        <v>0</v>
      </c>
      <c r="BI55" s="171">
        <f t="shared" si="30"/>
        <v>0</v>
      </c>
      <c r="BJ55" s="171">
        <f t="shared" si="30"/>
        <v>0</v>
      </c>
      <c r="BK55" s="171">
        <f t="shared" si="30"/>
        <v>0</v>
      </c>
      <c r="BL55" s="171">
        <f t="shared" si="30"/>
        <v>0</v>
      </c>
      <c r="BM55" s="171">
        <f t="shared" si="30"/>
        <v>0</v>
      </c>
      <c r="BN55" s="171">
        <f t="shared" si="30"/>
        <v>0</v>
      </c>
      <c r="BO55" s="171">
        <f t="shared" si="30"/>
        <v>0</v>
      </c>
      <c r="BP55" s="171">
        <f t="shared" si="30"/>
        <v>0</v>
      </c>
      <c r="BQ55" s="171" t="str">
        <f t="shared" si="30"/>
        <v/>
      </c>
      <c r="BR55" s="171" t="str">
        <f t="shared" si="30"/>
        <v/>
      </c>
      <c r="BS55" s="171" t="str">
        <f t="shared" si="30"/>
        <v/>
      </c>
      <c r="BT55" s="171" t="str">
        <f t="shared" ref="BT55:EE55" si="31">IF(BT$47="","",BT53+BT51)</f>
        <v/>
      </c>
      <c r="BU55" s="171" t="str">
        <f t="shared" si="31"/>
        <v/>
      </c>
      <c r="BV55" s="171" t="str">
        <f t="shared" si="31"/>
        <v/>
      </c>
      <c r="BW55" s="171" t="str">
        <f t="shared" si="31"/>
        <v/>
      </c>
      <c r="BX55" s="171" t="str">
        <f t="shared" si="31"/>
        <v/>
      </c>
      <c r="BY55" s="171" t="str">
        <f t="shared" si="31"/>
        <v/>
      </c>
      <c r="BZ55" s="171" t="str">
        <f t="shared" si="31"/>
        <v/>
      </c>
      <c r="CA55" s="171" t="str">
        <f t="shared" si="31"/>
        <v/>
      </c>
      <c r="CB55" s="171" t="str">
        <f t="shared" si="31"/>
        <v/>
      </c>
      <c r="CC55" s="171" t="str">
        <f t="shared" si="31"/>
        <v/>
      </c>
      <c r="CD55" s="171" t="str">
        <f t="shared" si="31"/>
        <v/>
      </c>
      <c r="CE55" s="171" t="str">
        <f t="shared" si="31"/>
        <v/>
      </c>
      <c r="CF55" s="171" t="str">
        <f t="shared" si="31"/>
        <v/>
      </c>
      <c r="CG55" s="171" t="str">
        <f t="shared" si="31"/>
        <v/>
      </c>
      <c r="CH55" s="171" t="str">
        <f t="shared" si="31"/>
        <v/>
      </c>
      <c r="CI55" s="171" t="str">
        <f t="shared" si="31"/>
        <v/>
      </c>
      <c r="CJ55" s="171" t="str">
        <f t="shared" si="31"/>
        <v/>
      </c>
      <c r="CK55" s="171" t="str">
        <f t="shared" si="31"/>
        <v/>
      </c>
      <c r="CL55" s="171" t="str">
        <f t="shared" si="31"/>
        <v/>
      </c>
      <c r="CM55" s="171" t="str">
        <f t="shared" si="31"/>
        <v/>
      </c>
      <c r="CN55" s="171" t="str">
        <f t="shared" si="31"/>
        <v/>
      </c>
      <c r="CO55" s="171" t="str">
        <f t="shared" si="31"/>
        <v/>
      </c>
      <c r="CP55" s="171" t="str">
        <f t="shared" si="31"/>
        <v/>
      </c>
      <c r="CQ55" s="171" t="str">
        <f t="shared" si="31"/>
        <v/>
      </c>
      <c r="CR55" s="171" t="str">
        <f t="shared" si="31"/>
        <v/>
      </c>
      <c r="CS55" s="171" t="str">
        <f t="shared" si="31"/>
        <v/>
      </c>
      <c r="CT55" s="171" t="str">
        <f t="shared" si="31"/>
        <v/>
      </c>
      <c r="CU55" s="171" t="str">
        <f t="shared" si="31"/>
        <v/>
      </c>
      <c r="CV55" s="171" t="str">
        <f t="shared" si="31"/>
        <v/>
      </c>
      <c r="CW55" s="171" t="str">
        <f t="shared" si="31"/>
        <v/>
      </c>
      <c r="CX55" s="171" t="str">
        <f t="shared" si="31"/>
        <v/>
      </c>
      <c r="CY55" s="171" t="str">
        <f t="shared" si="31"/>
        <v/>
      </c>
      <c r="CZ55" s="171" t="str">
        <f t="shared" si="31"/>
        <v/>
      </c>
      <c r="DA55" s="171" t="str">
        <f t="shared" si="31"/>
        <v/>
      </c>
      <c r="DB55" s="171" t="str">
        <f t="shared" si="31"/>
        <v/>
      </c>
      <c r="DC55" s="171" t="str">
        <f t="shared" si="31"/>
        <v/>
      </c>
      <c r="DD55" s="171" t="str">
        <f t="shared" si="31"/>
        <v/>
      </c>
      <c r="DE55" s="171" t="str">
        <f t="shared" si="31"/>
        <v/>
      </c>
      <c r="DF55" s="171" t="str">
        <f t="shared" si="31"/>
        <v/>
      </c>
      <c r="DG55" s="171" t="str">
        <f t="shared" si="31"/>
        <v/>
      </c>
      <c r="DH55" s="171" t="str">
        <f t="shared" si="31"/>
        <v/>
      </c>
      <c r="DI55" s="171" t="str">
        <f t="shared" si="31"/>
        <v/>
      </c>
      <c r="DJ55" s="171" t="str">
        <f t="shared" si="31"/>
        <v/>
      </c>
      <c r="DK55" s="171" t="str">
        <f t="shared" si="31"/>
        <v/>
      </c>
      <c r="DL55" s="171" t="str">
        <f t="shared" si="31"/>
        <v/>
      </c>
      <c r="DM55" s="171" t="str">
        <f t="shared" si="31"/>
        <v/>
      </c>
      <c r="DN55" s="171" t="str">
        <f t="shared" si="31"/>
        <v/>
      </c>
      <c r="DO55" s="171" t="str">
        <f t="shared" si="31"/>
        <v/>
      </c>
      <c r="DP55" s="171" t="str">
        <f t="shared" si="31"/>
        <v/>
      </c>
      <c r="DQ55" s="171" t="str">
        <f t="shared" si="31"/>
        <v/>
      </c>
      <c r="DR55" s="171" t="str">
        <f t="shared" si="31"/>
        <v/>
      </c>
      <c r="DS55" s="171" t="str">
        <f t="shared" si="31"/>
        <v/>
      </c>
      <c r="DT55" s="171" t="str">
        <f t="shared" si="31"/>
        <v/>
      </c>
      <c r="DU55" s="171" t="str">
        <f t="shared" si="31"/>
        <v/>
      </c>
      <c r="DV55" s="171" t="str">
        <f t="shared" si="31"/>
        <v/>
      </c>
      <c r="DW55" s="171" t="str">
        <f t="shared" si="31"/>
        <v/>
      </c>
      <c r="DX55" s="171" t="str">
        <f t="shared" si="31"/>
        <v/>
      </c>
      <c r="DY55" s="171" t="str">
        <f t="shared" si="31"/>
        <v/>
      </c>
      <c r="DZ55" s="171" t="str">
        <f t="shared" si="31"/>
        <v/>
      </c>
      <c r="EA55" s="171" t="str">
        <f t="shared" si="31"/>
        <v/>
      </c>
      <c r="EB55" s="171" t="str">
        <f t="shared" si="31"/>
        <v/>
      </c>
      <c r="EC55" s="171" t="str">
        <f t="shared" si="31"/>
        <v/>
      </c>
      <c r="ED55" s="171" t="str">
        <f t="shared" si="31"/>
        <v/>
      </c>
      <c r="EE55" s="171" t="str">
        <f t="shared" si="31"/>
        <v/>
      </c>
      <c r="EF55" s="171" t="str">
        <f>IF(EF$47="","",EF53+EF51)</f>
        <v/>
      </c>
      <c r="EG55" s="171" t="str">
        <f>IF(EG$47="","",EG53+EG51)</f>
        <v/>
      </c>
      <c r="EH55" s="171" t="str">
        <f>IF(EH$47="","",EH53+EH51)</f>
        <v/>
      </c>
      <c r="EI55" s="171" t="str">
        <f>IF(EI$47="","",EI53+EI51)</f>
        <v/>
      </c>
    </row>
    <row r="56" spans="2:139" x14ac:dyDescent="0.35">
      <c r="B56" s="4"/>
      <c r="C56" s="4"/>
      <c r="D56" s="4"/>
      <c r="E56" s="4"/>
      <c r="F56" s="4"/>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71"/>
      <c r="AM56" s="171"/>
      <c r="AN56" s="171"/>
      <c r="AO56" s="171"/>
      <c r="AP56" s="171"/>
      <c r="AQ56" s="171"/>
      <c r="AR56" s="171"/>
      <c r="AS56" s="171"/>
      <c r="AT56" s="171"/>
      <c r="AU56" s="171"/>
      <c r="AV56" s="171"/>
      <c r="AW56" s="171"/>
      <c r="AX56" s="171"/>
      <c r="AY56" s="171"/>
      <c r="AZ56" s="171"/>
      <c r="BA56" s="171"/>
      <c r="BB56" s="171"/>
      <c r="BC56" s="171"/>
      <c r="BD56" s="171"/>
      <c r="BE56" s="171"/>
      <c r="BF56" s="171"/>
      <c r="BG56" s="171"/>
      <c r="BH56" s="171"/>
      <c r="BI56" s="171"/>
      <c r="BJ56" s="171"/>
      <c r="BK56" s="171"/>
      <c r="BL56" s="171"/>
      <c r="BM56" s="171"/>
      <c r="BN56" s="171"/>
      <c r="BO56" s="171"/>
      <c r="BP56" s="171"/>
      <c r="BQ56" s="171"/>
      <c r="BR56" s="171"/>
      <c r="BS56" s="171"/>
      <c r="BT56" s="171"/>
      <c r="BU56" s="171"/>
      <c r="BV56" s="171"/>
      <c r="BW56" s="171"/>
      <c r="BX56" s="171"/>
      <c r="BY56" s="171"/>
      <c r="BZ56" s="171"/>
      <c r="CA56" s="171"/>
      <c r="CB56" s="171"/>
      <c r="CC56" s="171"/>
      <c r="CD56" s="171"/>
      <c r="CE56" s="171"/>
      <c r="CF56" s="171"/>
      <c r="CG56" s="171"/>
      <c r="CH56" s="171"/>
      <c r="CI56" s="171"/>
      <c r="CJ56" s="171"/>
      <c r="CK56" s="171"/>
      <c r="CL56" s="171"/>
      <c r="CM56" s="171"/>
      <c r="CN56" s="171"/>
      <c r="CO56" s="171"/>
      <c r="CP56" s="171"/>
      <c r="CQ56" s="171"/>
      <c r="CR56" s="171"/>
      <c r="CS56" s="171"/>
      <c r="CT56" s="171"/>
      <c r="CU56" s="171"/>
      <c r="CV56" s="171"/>
      <c r="CW56" s="171"/>
      <c r="CX56" s="171"/>
      <c r="CY56" s="171"/>
      <c r="CZ56" s="171"/>
      <c r="DA56" s="171"/>
      <c r="DB56" s="171"/>
      <c r="DC56" s="171"/>
      <c r="DD56" s="171"/>
      <c r="DE56" s="171"/>
      <c r="DF56" s="171"/>
      <c r="DG56" s="171"/>
      <c r="DH56" s="171"/>
      <c r="DI56" s="171"/>
      <c r="DJ56" s="171"/>
      <c r="DK56" s="171"/>
      <c r="DL56" s="171"/>
      <c r="DM56" s="171"/>
      <c r="DN56" s="171"/>
      <c r="DO56" s="171"/>
      <c r="DP56" s="171"/>
      <c r="DQ56" s="171"/>
      <c r="DR56" s="171"/>
      <c r="DS56" s="171"/>
      <c r="DT56" s="171"/>
      <c r="DU56" s="171"/>
      <c r="DV56" s="171"/>
      <c r="DW56" s="171"/>
      <c r="DX56" s="171"/>
      <c r="DY56" s="171"/>
      <c r="DZ56" s="171"/>
      <c r="EA56" s="171"/>
      <c r="EB56" s="171"/>
      <c r="EC56" s="171"/>
      <c r="ED56" s="171"/>
      <c r="EE56" s="171"/>
      <c r="EF56" s="171"/>
      <c r="EG56" s="171"/>
      <c r="EH56" s="171"/>
      <c r="EI56" s="171"/>
    </row>
    <row r="57" spans="2:139" x14ac:dyDescent="0.35">
      <c r="B57" s="4" t="s">
        <v>511</v>
      </c>
      <c r="C57" s="4"/>
      <c r="D57" s="4"/>
      <c r="E57" s="4"/>
      <c r="F57" s="4"/>
      <c r="G57" s="171">
        <f>IF(G$47="","",Underwriting!L77)</f>
        <v>93017714.091035873</v>
      </c>
      <c r="H57" s="171">
        <f>IF(H$47="","",Underwriting!M77)</f>
        <v>952590.63109591056</v>
      </c>
      <c r="I57" s="171">
        <f>IF(I$47="","",Underwriting!N77)</f>
        <v>1153238.7592138182</v>
      </c>
      <c r="J57" s="171">
        <f>IF(J$47="","",Underwriting!O77)</f>
        <v>1593255.3182424391</v>
      </c>
      <c r="K57" s="171">
        <f>IF(K$47="","",Underwriting!P77)</f>
        <v>2151126.2631915766</v>
      </c>
      <c r="L57" s="171">
        <f>IF(L$47="","",Underwriting!Q77)</f>
        <v>2898639.7829110157</v>
      </c>
      <c r="M57" s="171">
        <f>IF(M$47="","",Underwriting!R77)</f>
        <v>3868810.0707379892</v>
      </c>
      <c r="N57" s="171">
        <f>IF(N$47="","",Underwriting!S77)</f>
        <v>5087252.4296078607</v>
      </c>
      <c r="O57" s="171">
        <f>IF(O$47="","",Underwriting!T77)</f>
        <v>6566224.3704085397</v>
      </c>
      <c r="P57" s="171">
        <f>IF(P$47="","",Underwriting!U77)</f>
        <v>8298517.1205737963</v>
      </c>
      <c r="Q57" s="171">
        <f>IF(Q$47="","",Underwriting!V77)</f>
        <v>10252240.165656256</v>
      </c>
      <c r="R57" s="171">
        <f>IF(R$47="","",Underwriting!W77)</f>
        <v>12367698.147663975</v>
      </c>
      <c r="S57" s="171">
        <f>IF(S$47="","",Underwriting!X77)</f>
        <v>14557484.657830048</v>
      </c>
      <c r="T57" s="171">
        <f>IF(T$47="","",Underwriting!Y77)</f>
        <v>16365167.698586643</v>
      </c>
      <c r="U57" s="171">
        <f>IF(U$47="","",Underwriting!Z77)</f>
        <v>18368392.667920161</v>
      </c>
      <c r="V57" s="171">
        <f>IF(V$47="","",Underwriting!AA77)</f>
        <v>20098477.243874725</v>
      </c>
      <c r="W57" s="171">
        <f>IF(W$47="","",Underwriting!AB77)</f>
        <v>21435229.253932979</v>
      </c>
      <c r="X57" s="171">
        <f>IF(X$47="","",Underwriting!AC77)</f>
        <v>22280397.403045714</v>
      </c>
      <c r="Y57" s="171">
        <f>IF(Y$47="","",Underwriting!AD77)</f>
        <v>22569593.467381995</v>
      </c>
      <c r="Z57" s="171">
        <f>IF(Z$47="","",Underwriting!AE77)</f>
        <v>22280397.403045733</v>
      </c>
      <c r="AA57" s="171">
        <f>IF(AA$47="","",Underwriting!AF77)</f>
        <v>21435229.253932942</v>
      </c>
      <c r="AB57" s="171">
        <f>IF(AB$47="","",Underwriting!AG77)</f>
        <v>20098477.243874762</v>
      </c>
      <c r="AC57" s="171">
        <f>IF(AC$47="","",Underwriting!AH77)</f>
        <v>18368392.667920135</v>
      </c>
      <c r="AD57" s="171">
        <f>IF(AD$47="","",Underwriting!AI77)</f>
        <v>16365167.698586643</v>
      </c>
      <c r="AE57" s="171">
        <f>IF(AE$47="","",Underwriting!AJ77)</f>
        <v>14217202.323856987</v>
      </c>
      <c r="AF57" s="171">
        <f>IF(AF$47="","",Underwriting!AK77)</f>
        <v>12047726.791351464</v>
      </c>
      <c r="AG57" s="171">
        <f>IF(AG$47="","",Underwriting!AL77)</f>
        <v>9963673.1491933651</v>
      </c>
      <c r="AH57" s="171">
        <f>IF(AH$47="","",Underwriting!AM77)</f>
        <v>8048084.8374454975</v>
      </c>
      <c r="AI57" s="171">
        <f>IF(AI$47="","",Underwriting!AN77)</f>
        <v>6356585.4434072273</v>
      </c>
      <c r="AJ57" s="171">
        <f>IF(AJ$47="","",Underwriting!AO77)</f>
        <v>4917681.2983414317</v>
      </c>
      <c r="AK57" s="171">
        <f>IF(AK$47="","",Underwriting!AP77)</f>
        <v>3736098.8558910657</v>
      </c>
      <c r="AL57" s="171">
        <f>IF(AL$47="","",Underwriting!AQ77)</f>
        <v>2798042.157511042</v>
      </c>
      <c r="AM57" s="171">
        <f>IF(AM$47="","",Underwriting!AR77)</f>
        <v>2077208.670304341</v>
      </c>
      <c r="AN57" s="171">
        <f>IF(AN$47="","",Underwriting!AS77)</f>
        <v>1540571.8400115611</v>
      </c>
      <c r="AO57" s="171">
        <f>IF(AO$47="","",Underwriting!AT77)</f>
        <v>1153238.7592138406</v>
      </c>
      <c r="AP57" s="171">
        <f>IF(AP$47="","",Underwriting!AU77)</f>
        <v>882028.36212582723</v>
      </c>
      <c r="AQ57" s="171">
        <f>IF(AQ$47="","",Underwriting!AV77)</f>
        <v>697714.0910358784</v>
      </c>
      <c r="AR57" s="171">
        <f>IF(AR$47="","",Underwriting!AW77)</f>
        <v>0</v>
      </c>
      <c r="AS57" s="171">
        <f>IF(AS$47="","",Underwriting!AX77)</f>
        <v>0</v>
      </c>
      <c r="AT57" s="171">
        <f>IF(AT$47="","",Underwriting!AY77)</f>
        <v>0</v>
      </c>
      <c r="AU57" s="171">
        <f>IF(AU$47="","",Underwriting!AZ77)</f>
        <v>0</v>
      </c>
      <c r="AV57" s="171">
        <f>IF(AV$47="","",Underwriting!BA77)</f>
        <v>0</v>
      </c>
      <c r="AW57" s="171">
        <f>IF(AW$47="","",Underwriting!BB77)</f>
        <v>0</v>
      </c>
      <c r="AX57" s="171">
        <f>IF(AX$47="","",Underwriting!BC77)</f>
        <v>0</v>
      </c>
      <c r="AY57" s="171">
        <f>IF(AY$47="","",Underwriting!BD77)</f>
        <v>0</v>
      </c>
      <c r="AZ57" s="171">
        <f>IF(AZ$47="","",Underwriting!BE77)</f>
        <v>0</v>
      </c>
      <c r="BA57" s="171">
        <f>IF(BA$47="","",Underwriting!BF77)</f>
        <v>0</v>
      </c>
      <c r="BB57" s="171">
        <f>IF(BB$47="","",Underwriting!BG77)</f>
        <v>0</v>
      </c>
      <c r="BC57" s="171">
        <f>IF(BC$47="","",Underwriting!BH77)</f>
        <v>0</v>
      </c>
      <c r="BD57" s="171">
        <f>IF(BD$47="","",Underwriting!BI77)</f>
        <v>0</v>
      </c>
      <c r="BE57" s="171">
        <f>IF(BE$47="","",Underwriting!BJ77)</f>
        <v>0</v>
      </c>
      <c r="BF57" s="171">
        <f>IF(BF$47="","",Underwriting!BK77)</f>
        <v>0</v>
      </c>
      <c r="BG57" s="171">
        <f>IF(BG$47="","",Underwriting!BL77)</f>
        <v>0</v>
      </c>
      <c r="BH57" s="171">
        <f>IF(BH$47="","",Underwriting!BM77)</f>
        <v>0</v>
      </c>
      <c r="BI57" s="171">
        <f>IF(BI$47="","",Underwriting!BN77)</f>
        <v>0</v>
      </c>
      <c r="BJ57" s="171">
        <f>IF(BJ$47="","",Underwriting!BO77)</f>
        <v>0</v>
      </c>
      <c r="BK57" s="171">
        <f>IF(BK$47="","",Underwriting!BP77)</f>
        <v>0</v>
      </c>
      <c r="BL57" s="171">
        <f>IF(BL$47="","",Underwriting!BQ77)</f>
        <v>0</v>
      </c>
      <c r="BM57" s="171">
        <f>IF(BM$47="","",Underwriting!BR77)</f>
        <v>0</v>
      </c>
      <c r="BN57" s="171">
        <f>IF(BN$47="","",Underwriting!BS77)</f>
        <v>0</v>
      </c>
      <c r="BO57" s="171">
        <f>IF(BO$47="","",Underwriting!BT77)</f>
        <v>0</v>
      </c>
      <c r="BP57" s="171">
        <f>IF(BP$47="","",Underwriting!BU77)</f>
        <v>0</v>
      </c>
      <c r="BQ57" s="171" t="str">
        <f>IF(BQ$47="","",Underwriting!BV77)</f>
        <v/>
      </c>
      <c r="BR57" s="171" t="str">
        <f>IF(BR$47="","",Underwriting!BW77)</f>
        <v/>
      </c>
      <c r="BS57" s="171" t="str">
        <f>IF(BS$47="","",Underwriting!BX77)</f>
        <v/>
      </c>
      <c r="BT57" s="171" t="str">
        <f>IF(BT$47="","",Underwriting!BY77)</f>
        <v/>
      </c>
      <c r="BU57" s="171" t="str">
        <f>IF(BU$47="","",Underwriting!BZ77)</f>
        <v/>
      </c>
      <c r="BV57" s="171" t="str">
        <f>IF(BV$47="","",Underwriting!CA77)</f>
        <v/>
      </c>
      <c r="BW57" s="171" t="str">
        <f>IF(BW$47="","",Underwriting!CB77)</f>
        <v/>
      </c>
      <c r="BX57" s="171" t="str">
        <f>IF(BX$47="","",Underwriting!CC77)</f>
        <v/>
      </c>
      <c r="BY57" s="171" t="str">
        <f>IF(BY$47="","",Underwriting!CD77)</f>
        <v/>
      </c>
      <c r="BZ57" s="171" t="str">
        <f>IF(BZ$47="","",Underwriting!CE77)</f>
        <v/>
      </c>
      <c r="CA57" s="171" t="str">
        <f>IF(CA$47="","",Underwriting!CF77)</f>
        <v/>
      </c>
      <c r="CB57" s="171" t="str">
        <f>IF(CB$47="","",Underwriting!CG77)</f>
        <v/>
      </c>
      <c r="CC57" s="171" t="str">
        <f>IF(CC$47="","",Underwriting!CH77)</f>
        <v/>
      </c>
      <c r="CD57" s="171" t="str">
        <f>IF(CD$47="","",Underwriting!CI77)</f>
        <v/>
      </c>
      <c r="CE57" s="171" t="str">
        <f>IF(CE$47="","",Underwriting!CJ77)</f>
        <v/>
      </c>
      <c r="CF57" s="171" t="str">
        <f>IF(CF$47="","",Underwriting!CK77)</f>
        <v/>
      </c>
      <c r="CG57" s="171" t="str">
        <f>IF(CG$47="","",Underwriting!CL77)</f>
        <v/>
      </c>
      <c r="CH57" s="171" t="str">
        <f>IF(CH$47="","",Underwriting!CM77)</f>
        <v/>
      </c>
      <c r="CI57" s="171" t="str">
        <f>IF(CI$47="","",Underwriting!CN77)</f>
        <v/>
      </c>
      <c r="CJ57" s="171" t="str">
        <f>IF(CJ$47="","",Underwriting!CO77)</f>
        <v/>
      </c>
      <c r="CK57" s="171" t="str">
        <f>IF(CK$47="","",Underwriting!CP77)</f>
        <v/>
      </c>
      <c r="CL57" s="171" t="str">
        <f>IF(CL$47="","",Underwriting!CQ77)</f>
        <v/>
      </c>
      <c r="CM57" s="171" t="str">
        <f>IF(CM$47="","",Underwriting!CR77)</f>
        <v/>
      </c>
      <c r="CN57" s="171" t="str">
        <f>IF(CN$47="","",Underwriting!CS77)</f>
        <v/>
      </c>
      <c r="CO57" s="171" t="str">
        <f>IF(CO$47="","",Underwriting!CT77)</f>
        <v/>
      </c>
      <c r="CP57" s="171" t="str">
        <f>IF(CP$47="","",Underwriting!CU77)</f>
        <v/>
      </c>
      <c r="CQ57" s="171" t="str">
        <f>IF(CQ$47="","",Underwriting!CV77)</f>
        <v/>
      </c>
      <c r="CR57" s="171" t="str">
        <f>IF(CR$47="","",Underwriting!CW77)</f>
        <v/>
      </c>
      <c r="CS57" s="171" t="str">
        <f>IF(CS$47="","",Underwriting!CX77)</f>
        <v/>
      </c>
      <c r="CT57" s="171" t="str">
        <f>IF(CT$47="","",Underwriting!CY77)</f>
        <v/>
      </c>
      <c r="CU57" s="171" t="str">
        <f>IF(CU$47="","",Underwriting!CZ77)</f>
        <v/>
      </c>
      <c r="CV57" s="171" t="str">
        <f>IF(CV$47="","",Underwriting!DA77)</f>
        <v/>
      </c>
      <c r="CW57" s="171" t="str">
        <f>IF(CW$47="","",Underwriting!DB77)</f>
        <v/>
      </c>
      <c r="CX57" s="171" t="str">
        <f>IF(CX$47="","",Underwriting!DC77)</f>
        <v/>
      </c>
      <c r="CY57" s="171" t="str">
        <f>IF(CY$47="","",Underwriting!DD77)</f>
        <v/>
      </c>
      <c r="CZ57" s="171" t="str">
        <f>IF(CZ$47="","",Underwriting!DE77)</f>
        <v/>
      </c>
      <c r="DA57" s="171" t="str">
        <f>IF(DA$47="","",Underwriting!DF77)</f>
        <v/>
      </c>
      <c r="DB57" s="171" t="str">
        <f>IF(DB$47="","",Underwriting!DG77)</f>
        <v/>
      </c>
      <c r="DC57" s="171" t="str">
        <f>IF(DC$47="","",Underwriting!DH77)</f>
        <v/>
      </c>
      <c r="DD57" s="171" t="str">
        <f>IF(DD$47="","",Underwriting!DI77)</f>
        <v/>
      </c>
      <c r="DE57" s="171" t="str">
        <f>IF(DE$47="","",Underwriting!DJ77)</f>
        <v/>
      </c>
      <c r="DF57" s="171" t="str">
        <f>IF(DF$47="","",Underwriting!DK77)</f>
        <v/>
      </c>
      <c r="DG57" s="171" t="str">
        <f>IF(DG$47="","",Underwriting!DL77)</f>
        <v/>
      </c>
      <c r="DH57" s="171" t="str">
        <f>IF(DH$47="","",Underwriting!DM77)</f>
        <v/>
      </c>
      <c r="DI57" s="171" t="str">
        <f>IF(DI$47="","",Underwriting!DN77)</f>
        <v/>
      </c>
      <c r="DJ57" s="171" t="str">
        <f>IF(DJ$47="","",Underwriting!DO77)</f>
        <v/>
      </c>
      <c r="DK57" s="171" t="str">
        <f>IF(DK$47="","",Underwriting!DP77)</f>
        <v/>
      </c>
      <c r="DL57" s="171" t="str">
        <f>IF(DL$47="","",Underwriting!DQ77)</f>
        <v/>
      </c>
      <c r="DM57" s="171" t="str">
        <f>IF(DM$47="","",Underwriting!DR77)</f>
        <v/>
      </c>
      <c r="DN57" s="171" t="str">
        <f>IF(DN$47="","",Underwriting!DS77)</f>
        <v/>
      </c>
      <c r="DO57" s="171" t="str">
        <f>IF(DO$47="","",Underwriting!DT77)</f>
        <v/>
      </c>
      <c r="DP57" s="171" t="str">
        <f>IF(DP$47="","",Underwriting!DU77)</f>
        <v/>
      </c>
      <c r="DQ57" s="171" t="str">
        <f>IF(DQ$47="","",Underwriting!DV77)</f>
        <v/>
      </c>
      <c r="DR57" s="171" t="str">
        <f>IF(DR$47="","",Underwriting!DW77)</f>
        <v/>
      </c>
      <c r="DS57" s="171" t="str">
        <f>IF(DS$47="","",Underwriting!DX77)</f>
        <v/>
      </c>
      <c r="DT57" s="171" t="str">
        <f>IF(DT$47="","",Underwriting!DY77)</f>
        <v/>
      </c>
      <c r="DU57" s="171" t="str">
        <f>IF(DU$47="","",Underwriting!DZ77)</f>
        <v/>
      </c>
      <c r="DV57" s="171" t="str">
        <f>IF(DV$47="","",Underwriting!EA77)</f>
        <v/>
      </c>
      <c r="DW57" s="171" t="str">
        <f>IF(DW$47="","",Underwriting!EB77)</f>
        <v/>
      </c>
      <c r="DX57" s="171" t="str">
        <f>IF(DX$47="","",Underwriting!EC77)</f>
        <v/>
      </c>
      <c r="DY57" s="171" t="str">
        <f>IF(DY$47="","",Underwriting!ED77)</f>
        <v/>
      </c>
      <c r="DZ57" s="171" t="str">
        <f>IF(DZ$47="","",Underwriting!EE77)</f>
        <v/>
      </c>
      <c r="EA57" s="171" t="str">
        <f>IF(EA$47="","",Underwriting!EF77)</f>
        <v/>
      </c>
      <c r="EB57" s="171" t="str">
        <f>IF(EB$47="","",Underwriting!EG77)</f>
        <v/>
      </c>
      <c r="EC57" s="171" t="str">
        <f>IF(EC$47="","",Underwriting!EH77)</f>
        <v/>
      </c>
      <c r="ED57" s="171" t="str">
        <f>IF(ED$47="","",Underwriting!EI77)</f>
        <v/>
      </c>
      <c r="EE57" s="171" t="str">
        <f>IF(EE$47="","",Underwriting!EJ77)</f>
        <v/>
      </c>
      <c r="EF57" s="171" t="str">
        <f>IF(EF$47="","",Underwriting!EK77)</f>
        <v/>
      </c>
      <c r="EG57" s="171" t="str">
        <f>IF(EG$47="","",Underwriting!EL77)</f>
        <v/>
      </c>
      <c r="EH57" s="171" t="str">
        <f>IF(EH$47="","",Underwriting!EM77)</f>
        <v/>
      </c>
      <c r="EI57" s="171" t="str">
        <f>IF(EI$47="","",Underwriting!EN77)</f>
        <v/>
      </c>
    </row>
    <row r="58" spans="2:139" x14ac:dyDescent="0.35">
      <c r="B58" s="4" t="s">
        <v>86</v>
      </c>
      <c r="C58" s="4"/>
      <c r="D58" s="4"/>
      <c r="E58" s="4"/>
      <c r="F58" s="4"/>
      <c r="G58" s="171">
        <f>IF(G$47="","",Underwriting!L57)</f>
        <v>93017714.091035873</v>
      </c>
      <c r="H58" s="171">
        <f>IF(H$47="","",Underwriting!M57)</f>
        <v>882028.36212584306</v>
      </c>
      <c r="I58" s="171">
        <f>IF(I$47="","",Underwriting!N57)</f>
        <v>1153238.7592138182</v>
      </c>
      <c r="J58" s="171">
        <f>IF(J$47="","",Underwriting!O57)</f>
        <v>1540571.8400115801</v>
      </c>
      <c r="K58" s="171">
        <f>IF(K$47="","",Underwriting!P57)</f>
        <v>2077208.6703043352</v>
      </c>
      <c r="L58" s="171">
        <f>IF(L$47="","",Underwriting!Q57)</f>
        <v>2798042.1575110573</v>
      </c>
      <c r="M58" s="171">
        <f>IF(M$47="","",Underwriting!R57)</f>
        <v>3736098.8558910517</v>
      </c>
      <c r="N58" s="171">
        <f>IF(N$47="","",Underwriting!S57)</f>
        <v>4917681.2983414307</v>
      </c>
      <c r="O58" s="171">
        <f>IF(O$47="","",Underwriting!T57)</f>
        <v>6356585.443407244</v>
      </c>
      <c r="P58" s="171">
        <f>IF(P$47="","",Underwriting!U57)</f>
        <v>8048084.8374454733</v>
      </c>
      <c r="Q58" s="171">
        <f>IF(Q$47="","",Underwriting!V57)</f>
        <v>9963673.1491933651</v>
      </c>
      <c r="R58" s="171">
        <f>IF(R$47="","",Underwriting!W57)</f>
        <v>12047726.791351493</v>
      </c>
      <c r="S58" s="171">
        <f>IF(S$47="","",Underwriting!X57)</f>
        <v>14217202.323856961</v>
      </c>
      <c r="T58" s="171">
        <f>IF(T$47="","",Underwriting!Y57)</f>
        <v>16365167.698586643</v>
      </c>
      <c r="U58" s="171">
        <f>IF(U$47="","",Underwriting!Z57)</f>
        <v>18368392.667920161</v>
      </c>
      <c r="V58" s="171">
        <f>IF(V$47="","",Underwriting!AA57)</f>
        <v>20098477.243874725</v>
      </c>
      <c r="W58" s="171">
        <f>IF(W$47="","",Underwriting!AB57)</f>
        <v>21435229.253932979</v>
      </c>
      <c r="X58" s="171">
        <f>IF(X$47="","",Underwriting!AC57)</f>
        <v>22280397.403045714</v>
      </c>
      <c r="Y58" s="171">
        <f>IF(Y$47="","",Underwriting!AD57)</f>
        <v>22569593.467381995</v>
      </c>
      <c r="Z58" s="171">
        <f>IF(Z$47="","",Underwriting!AE57)</f>
        <v>22280397.403045733</v>
      </c>
      <c r="AA58" s="171">
        <f>IF(AA$47="","",Underwriting!AF57)</f>
        <v>21435229.253932942</v>
      </c>
      <c r="AB58" s="171">
        <f>IF(AB$47="","",Underwriting!AG57)</f>
        <v>20098477.243874762</v>
      </c>
      <c r="AC58" s="171">
        <f>IF(AC$47="","",Underwriting!AH57)</f>
        <v>18368392.667920135</v>
      </c>
      <c r="AD58" s="171">
        <f>IF(AD$47="","",Underwriting!AI57)</f>
        <v>16365167.698586643</v>
      </c>
      <c r="AE58" s="171">
        <f>IF(AE$47="","",Underwriting!AJ57)</f>
        <v>14217202.323856987</v>
      </c>
      <c r="AF58" s="171">
        <f>IF(AF$47="","",Underwriting!AK57)</f>
        <v>12047726.791351464</v>
      </c>
      <c r="AG58" s="171">
        <f>IF(AG$47="","",Underwriting!AL57)</f>
        <v>9963673.1491933651</v>
      </c>
      <c r="AH58" s="171">
        <f>IF(AH$47="","",Underwriting!AM57)</f>
        <v>8048084.8374454975</v>
      </c>
      <c r="AI58" s="171">
        <f>IF(AI$47="","",Underwriting!AN57)</f>
        <v>6356585.4434072273</v>
      </c>
      <c r="AJ58" s="171">
        <f>IF(AJ$47="","",Underwriting!AO57)</f>
        <v>4917681.2983414317</v>
      </c>
      <c r="AK58" s="171">
        <f>IF(AK$47="","",Underwriting!AP57)</f>
        <v>3736098.8558910657</v>
      </c>
      <c r="AL58" s="171">
        <f>IF(AL$47="","",Underwriting!AQ57)</f>
        <v>2798042.157511042</v>
      </c>
      <c r="AM58" s="171">
        <f>IF(AM$47="","",Underwriting!AR57)</f>
        <v>2077208.670304341</v>
      </c>
      <c r="AN58" s="171">
        <f>IF(AN$47="","",Underwriting!AS57)</f>
        <v>1540571.8400115611</v>
      </c>
      <c r="AO58" s="171">
        <f>IF(AO$47="","",Underwriting!AT57)</f>
        <v>1153238.7592138406</v>
      </c>
      <c r="AP58" s="171">
        <f>IF(AP$47="","",Underwriting!AU57)</f>
        <v>882028.36212582723</v>
      </c>
      <c r="AQ58" s="171">
        <f>IF(AQ$47="","",Underwriting!AV57)</f>
        <v>697714.0910358784</v>
      </c>
      <c r="AR58" s="171">
        <f>IF(AR$47="","",Underwriting!AW57)</f>
        <v>0</v>
      </c>
      <c r="AS58" s="171">
        <f>IF(AS$47="","",Underwriting!AX57)</f>
        <v>0</v>
      </c>
      <c r="AT58" s="171">
        <f>IF(AT$47="","",Underwriting!AY57)</f>
        <v>0</v>
      </c>
      <c r="AU58" s="171">
        <f>IF(AU$47="","",Underwriting!AZ57)</f>
        <v>0</v>
      </c>
      <c r="AV58" s="171">
        <f>IF(AV$47="","",Underwriting!BA57)</f>
        <v>0</v>
      </c>
      <c r="AW58" s="171">
        <f>IF(AW$47="","",Underwriting!BB57)</f>
        <v>0</v>
      </c>
      <c r="AX58" s="171">
        <f>IF(AX$47="","",Underwriting!BC57)</f>
        <v>0</v>
      </c>
      <c r="AY58" s="171">
        <f>IF(AY$47="","",Underwriting!BD57)</f>
        <v>0</v>
      </c>
      <c r="AZ58" s="171">
        <f>IF(AZ$47="","",Underwriting!BE57)</f>
        <v>0</v>
      </c>
      <c r="BA58" s="171">
        <f>IF(BA$47="","",Underwriting!BF57)</f>
        <v>0</v>
      </c>
      <c r="BB58" s="171">
        <f>IF(BB$47="","",Underwriting!BG57)</f>
        <v>0</v>
      </c>
      <c r="BC58" s="171">
        <f>IF(BC$47="","",Underwriting!BH57)</f>
        <v>0</v>
      </c>
      <c r="BD58" s="171">
        <f>IF(BD$47="","",Underwriting!BI57)</f>
        <v>0</v>
      </c>
      <c r="BE58" s="171">
        <f>IF(BE$47="","",Underwriting!BJ57)</f>
        <v>0</v>
      </c>
      <c r="BF58" s="171">
        <f>IF(BF$47="","",Underwriting!BK57)</f>
        <v>0</v>
      </c>
      <c r="BG58" s="171">
        <f>IF(BG$47="","",Underwriting!BL57)</f>
        <v>0</v>
      </c>
      <c r="BH58" s="171">
        <f>IF(BH$47="","",Underwriting!BM57)</f>
        <v>0</v>
      </c>
      <c r="BI58" s="171">
        <f>IF(BI$47="","",Underwriting!BN57)</f>
        <v>0</v>
      </c>
      <c r="BJ58" s="171">
        <f>IF(BJ$47="","",Underwriting!BO57)</f>
        <v>0</v>
      </c>
      <c r="BK58" s="171">
        <f>IF(BK$47="","",Underwriting!BP57)</f>
        <v>0</v>
      </c>
      <c r="BL58" s="171">
        <f>IF(BL$47="","",Underwriting!BQ57)</f>
        <v>0</v>
      </c>
      <c r="BM58" s="171">
        <f>IF(BM$47="","",Underwriting!BR57)</f>
        <v>0</v>
      </c>
      <c r="BN58" s="171">
        <f>IF(BN$47="","",Underwriting!BS57)</f>
        <v>0</v>
      </c>
      <c r="BO58" s="171">
        <f>IF(BO$47="","",Underwriting!BT57)</f>
        <v>0</v>
      </c>
      <c r="BP58" s="171">
        <f>IF(BP$47="","",Underwriting!BU57)</f>
        <v>0</v>
      </c>
      <c r="BQ58" s="171" t="str">
        <f>IF(BQ$47="","",Underwriting!BV57)</f>
        <v/>
      </c>
      <c r="BR58" s="171" t="str">
        <f>IF(BR$47="","",Underwriting!BW57)</f>
        <v/>
      </c>
      <c r="BS58" s="171" t="str">
        <f>IF(BS$47="","",Underwriting!BX57)</f>
        <v/>
      </c>
      <c r="BT58" s="171" t="str">
        <f>IF(BT$47="","",Underwriting!BY57)</f>
        <v/>
      </c>
      <c r="BU58" s="171" t="str">
        <f>IF(BU$47="","",Underwriting!BZ57)</f>
        <v/>
      </c>
      <c r="BV58" s="171" t="str">
        <f>IF(BV$47="","",Underwriting!CA57)</f>
        <v/>
      </c>
      <c r="BW58" s="171" t="str">
        <f>IF(BW$47="","",Underwriting!CB57)</f>
        <v/>
      </c>
      <c r="BX58" s="171" t="str">
        <f>IF(BX$47="","",Underwriting!CC57)</f>
        <v/>
      </c>
      <c r="BY58" s="171" t="str">
        <f>IF(BY$47="","",Underwriting!CD57)</f>
        <v/>
      </c>
      <c r="BZ58" s="171" t="str">
        <f>IF(BZ$47="","",Underwriting!CE57)</f>
        <v/>
      </c>
      <c r="CA58" s="171" t="str">
        <f>IF(CA$47="","",Underwriting!CF57)</f>
        <v/>
      </c>
      <c r="CB58" s="171" t="str">
        <f>IF(CB$47="","",Underwriting!CG57)</f>
        <v/>
      </c>
      <c r="CC58" s="171" t="str">
        <f>IF(CC$47="","",Underwriting!CH57)</f>
        <v/>
      </c>
      <c r="CD58" s="171" t="str">
        <f>IF(CD$47="","",Underwriting!CI57)</f>
        <v/>
      </c>
      <c r="CE58" s="171" t="str">
        <f>IF(CE$47="","",Underwriting!CJ57)</f>
        <v/>
      </c>
      <c r="CF58" s="171" t="str">
        <f>IF(CF$47="","",Underwriting!CK57)</f>
        <v/>
      </c>
      <c r="CG58" s="171" t="str">
        <f>IF(CG$47="","",Underwriting!CL57)</f>
        <v/>
      </c>
      <c r="CH58" s="171" t="str">
        <f>IF(CH$47="","",Underwriting!CM57)</f>
        <v/>
      </c>
      <c r="CI58" s="171" t="str">
        <f>IF(CI$47="","",Underwriting!CN57)</f>
        <v/>
      </c>
      <c r="CJ58" s="171" t="str">
        <f>IF(CJ$47="","",Underwriting!CO57)</f>
        <v/>
      </c>
      <c r="CK58" s="171" t="str">
        <f>IF(CK$47="","",Underwriting!CP57)</f>
        <v/>
      </c>
      <c r="CL58" s="171" t="str">
        <f>IF(CL$47="","",Underwriting!CQ57)</f>
        <v/>
      </c>
      <c r="CM58" s="171" t="str">
        <f>IF(CM$47="","",Underwriting!CR57)</f>
        <v/>
      </c>
      <c r="CN58" s="171" t="str">
        <f>IF(CN$47="","",Underwriting!CS57)</f>
        <v/>
      </c>
      <c r="CO58" s="171" t="str">
        <f>IF(CO$47="","",Underwriting!CT57)</f>
        <v/>
      </c>
      <c r="CP58" s="171" t="str">
        <f>IF(CP$47="","",Underwriting!CU57)</f>
        <v/>
      </c>
      <c r="CQ58" s="171" t="str">
        <f>IF(CQ$47="","",Underwriting!CV57)</f>
        <v/>
      </c>
      <c r="CR58" s="171" t="str">
        <f>IF(CR$47="","",Underwriting!CW57)</f>
        <v/>
      </c>
      <c r="CS58" s="171" t="str">
        <f>IF(CS$47="","",Underwriting!CX57)</f>
        <v/>
      </c>
      <c r="CT58" s="171" t="str">
        <f>IF(CT$47="","",Underwriting!CY57)</f>
        <v/>
      </c>
      <c r="CU58" s="171" t="str">
        <f>IF(CU$47="","",Underwriting!CZ57)</f>
        <v/>
      </c>
      <c r="CV58" s="171" t="str">
        <f>IF(CV$47="","",Underwriting!DA57)</f>
        <v/>
      </c>
      <c r="CW58" s="171" t="str">
        <f>IF(CW$47="","",Underwriting!DB57)</f>
        <v/>
      </c>
      <c r="CX58" s="171" t="str">
        <f>IF(CX$47="","",Underwriting!DC57)</f>
        <v/>
      </c>
      <c r="CY58" s="171" t="str">
        <f>IF(CY$47="","",Underwriting!DD57)</f>
        <v/>
      </c>
      <c r="CZ58" s="171" t="str">
        <f>IF(CZ$47="","",Underwriting!DE57)</f>
        <v/>
      </c>
      <c r="DA58" s="171" t="str">
        <f>IF(DA$47="","",Underwriting!DF57)</f>
        <v/>
      </c>
      <c r="DB58" s="171" t="str">
        <f>IF(DB$47="","",Underwriting!DG57)</f>
        <v/>
      </c>
      <c r="DC58" s="171" t="str">
        <f>IF(DC$47="","",Underwriting!DH57)</f>
        <v/>
      </c>
      <c r="DD58" s="171" t="str">
        <f>IF(DD$47="","",Underwriting!DI57)</f>
        <v/>
      </c>
      <c r="DE58" s="171" t="str">
        <f>IF(DE$47="","",Underwriting!DJ57)</f>
        <v/>
      </c>
      <c r="DF58" s="171" t="str">
        <f>IF(DF$47="","",Underwriting!DK57)</f>
        <v/>
      </c>
      <c r="DG58" s="171" t="str">
        <f>IF(DG$47="","",Underwriting!DL57)</f>
        <v/>
      </c>
      <c r="DH58" s="171" t="str">
        <f>IF(DH$47="","",Underwriting!DM57)</f>
        <v/>
      </c>
      <c r="DI58" s="171" t="str">
        <f>IF(DI$47="","",Underwriting!DN57)</f>
        <v/>
      </c>
      <c r="DJ58" s="171" t="str">
        <f>IF(DJ$47="","",Underwriting!DO57)</f>
        <v/>
      </c>
      <c r="DK58" s="171" t="str">
        <f>IF(DK$47="","",Underwriting!DP57)</f>
        <v/>
      </c>
      <c r="DL58" s="171" t="str">
        <f>IF(DL$47="","",Underwriting!DQ57)</f>
        <v/>
      </c>
      <c r="DM58" s="171" t="str">
        <f>IF(DM$47="","",Underwriting!DR57)</f>
        <v/>
      </c>
      <c r="DN58" s="171" t="str">
        <f>IF(DN$47="","",Underwriting!DS57)</f>
        <v/>
      </c>
      <c r="DO58" s="171" t="str">
        <f>IF(DO$47="","",Underwriting!DT57)</f>
        <v/>
      </c>
      <c r="DP58" s="171" t="str">
        <f>IF(DP$47="","",Underwriting!DU57)</f>
        <v/>
      </c>
      <c r="DQ58" s="171" t="str">
        <f>IF(DQ$47="","",Underwriting!DV57)</f>
        <v/>
      </c>
      <c r="DR58" s="171" t="str">
        <f>IF(DR$47="","",Underwriting!DW57)</f>
        <v/>
      </c>
      <c r="DS58" s="171" t="str">
        <f>IF(DS$47="","",Underwriting!DX57)</f>
        <v/>
      </c>
      <c r="DT58" s="171" t="str">
        <f>IF(DT$47="","",Underwriting!DY57)</f>
        <v/>
      </c>
      <c r="DU58" s="171" t="str">
        <f>IF(DU$47="","",Underwriting!DZ57)</f>
        <v/>
      </c>
      <c r="DV58" s="171" t="str">
        <f>IF(DV$47="","",Underwriting!EA57)</f>
        <v/>
      </c>
      <c r="DW58" s="171" t="str">
        <f>IF(DW$47="","",Underwriting!EB57)</f>
        <v/>
      </c>
      <c r="DX58" s="171" t="str">
        <f>IF(DX$47="","",Underwriting!EC57)</f>
        <v/>
      </c>
      <c r="DY58" s="171" t="str">
        <f>IF(DY$47="","",Underwriting!ED57)</f>
        <v/>
      </c>
      <c r="DZ58" s="171" t="str">
        <f>IF(DZ$47="","",Underwriting!EE57)</f>
        <v/>
      </c>
      <c r="EA58" s="171" t="str">
        <f>IF(EA$47="","",Underwriting!EF57)</f>
        <v/>
      </c>
      <c r="EB58" s="171" t="str">
        <f>IF(EB$47="","",Underwriting!EG57)</f>
        <v/>
      </c>
      <c r="EC58" s="171" t="str">
        <f>IF(EC$47="","",Underwriting!EH57)</f>
        <v/>
      </c>
      <c r="ED58" s="171" t="str">
        <f>IF(ED$47="","",Underwriting!EI57)</f>
        <v/>
      </c>
      <c r="EE58" s="171" t="str">
        <f>IF(EE$47="","",Underwriting!EJ57)</f>
        <v/>
      </c>
      <c r="EF58" s="171" t="str">
        <f>IF(EF$47="","",Underwriting!EK57)</f>
        <v/>
      </c>
      <c r="EG58" s="171" t="str">
        <f>IF(EG$47="","",Underwriting!EL57)</f>
        <v/>
      </c>
      <c r="EH58" s="171" t="str">
        <f>IF(EH$47="","",Underwriting!EM57)</f>
        <v/>
      </c>
      <c r="EI58" s="171" t="str">
        <f>IF(EI$47="","",Underwriting!EN57)</f>
        <v/>
      </c>
    </row>
    <row r="59" spans="2:139" x14ac:dyDescent="0.35">
      <c r="B59" s="4" t="s">
        <v>512</v>
      </c>
      <c r="C59" s="4"/>
      <c r="D59" s="4"/>
      <c r="E59" s="4"/>
      <c r="F59" s="4"/>
      <c r="G59" s="104">
        <f t="shared" ref="G59:AL59" si="32">IF(G$47="","",G57-G58)</f>
        <v>0</v>
      </c>
      <c r="H59" s="104">
        <f t="shared" si="32"/>
        <v>70562.268970067496</v>
      </c>
      <c r="I59" s="104">
        <f t="shared" si="32"/>
        <v>0</v>
      </c>
      <c r="J59" s="104">
        <f t="shared" si="32"/>
        <v>52683.47823085892</v>
      </c>
      <c r="K59" s="104">
        <f t="shared" si="32"/>
        <v>73917.592887241393</v>
      </c>
      <c r="L59" s="104">
        <f t="shared" si="32"/>
        <v>100597.62539995834</v>
      </c>
      <c r="M59" s="104">
        <f t="shared" si="32"/>
        <v>132711.21484693745</v>
      </c>
      <c r="N59" s="104">
        <f t="shared" si="32"/>
        <v>169571.13126643002</v>
      </c>
      <c r="O59" s="104">
        <f t="shared" si="32"/>
        <v>209638.92700129561</v>
      </c>
      <c r="P59" s="104">
        <f t="shared" si="32"/>
        <v>250432.28312832303</v>
      </c>
      <c r="Q59" s="104">
        <f t="shared" si="32"/>
        <v>288567.01646289043</v>
      </c>
      <c r="R59" s="104">
        <f t="shared" si="32"/>
        <v>319971.35631248169</v>
      </c>
      <c r="S59" s="4">
        <f t="shared" si="32"/>
        <v>340282.33397308737</v>
      </c>
      <c r="T59" s="4">
        <f t="shared" si="32"/>
        <v>0</v>
      </c>
      <c r="U59" s="4">
        <f t="shared" si="32"/>
        <v>0</v>
      </c>
      <c r="V59" s="4">
        <f t="shared" si="32"/>
        <v>0</v>
      </c>
      <c r="W59" s="4">
        <f t="shared" si="32"/>
        <v>0</v>
      </c>
      <c r="X59" s="4">
        <f t="shared" si="32"/>
        <v>0</v>
      </c>
      <c r="Y59" s="4">
        <f t="shared" si="32"/>
        <v>0</v>
      </c>
      <c r="Z59" s="4">
        <f t="shared" si="32"/>
        <v>0</v>
      </c>
      <c r="AA59" s="4">
        <f t="shared" si="32"/>
        <v>0</v>
      </c>
      <c r="AB59" s="4">
        <f t="shared" si="32"/>
        <v>0</v>
      </c>
      <c r="AC59" s="4">
        <f t="shared" si="32"/>
        <v>0</v>
      </c>
      <c r="AD59" s="4">
        <f t="shared" si="32"/>
        <v>0</v>
      </c>
      <c r="AE59" s="4">
        <f t="shared" si="32"/>
        <v>0</v>
      </c>
      <c r="AF59" s="4">
        <f t="shared" si="32"/>
        <v>0</v>
      </c>
      <c r="AG59" s="4">
        <f t="shared" si="32"/>
        <v>0</v>
      </c>
      <c r="AH59" s="4">
        <f t="shared" si="32"/>
        <v>0</v>
      </c>
      <c r="AI59" s="4">
        <f t="shared" si="32"/>
        <v>0</v>
      </c>
      <c r="AJ59" s="4">
        <f t="shared" si="32"/>
        <v>0</v>
      </c>
      <c r="AK59" s="4">
        <f t="shared" si="32"/>
        <v>0</v>
      </c>
      <c r="AL59" s="4">
        <f t="shared" si="32"/>
        <v>0</v>
      </c>
      <c r="AM59" s="4">
        <f t="shared" ref="AM59:BR59" si="33">IF(AM$47="","",AM57-AM58)</f>
        <v>0</v>
      </c>
      <c r="AN59" s="4">
        <f t="shared" si="33"/>
        <v>0</v>
      </c>
      <c r="AO59" s="4">
        <f t="shared" si="33"/>
        <v>0</v>
      </c>
      <c r="AP59" s="4">
        <f t="shared" si="33"/>
        <v>0</v>
      </c>
      <c r="AQ59" s="4">
        <f t="shared" si="33"/>
        <v>0</v>
      </c>
      <c r="AR59" s="4">
        <f t="shared" si="33"/>
        <v>0</v>
      </c>
      <c r="AS59" s="4">
        <f t="shared" si="33"/>
        <v>0</v>
      </c>
      <c r="AT59" s="4">
        <f t="shared" si="33"/>
        <v>0</v>
      </c>
      <c r="AU59" s="4">
        <f t="shared" si="33"/>
        <v>0</v>
      </c>
      <c r="AV59" s="4">
        <f t="shared" si="33"/>
        <v>0</v>
      </c>
      <c r="AW59" s="4">
        <f t="shared" si="33"/>
        <v>0</v>
      </c>
      <c r="AX59" s="4">
        <f t="shared" si="33"/>
        <v>0</v>
      </c>
      <c r="AY59" s="4">
        <f t="shared" si="33"/>
        <v>0</v>
      </c>
      <c r="AZ59" s="4">
        <f t="shared" si="33"/>
        <v>0</v>
      </c>
      <c r="BA59" s="4">
        <f t="shared" si="33"/>
        <v>0</v>
      </c>
      <c r="BB59" s="4">
        <f t="shared" si="33"/>
        <v>0</v>
      </c>
      <c r="BC59" s="4">
        <f t="shared" si="33"/>
        <v>0</v>
      </c>
      <c r="BD59" s="4">
        <f t="shared" si="33"/>
        <v>0</v>
      </c>
      <c r="BE59" s="4">
        <f t="shared" si="33"/>
        <v>0</v>
      </c>
      <c r="BF59" s="4">
        <f t="shared" si="33"/>
        <v>0</v>
      </c>
      <c r="BG59" s="4">
        <f t="shared" si="33"/>
        <v>0</v>
      </c>
      <c r="BH59" s="4">
        <f t="shared" si="33"/>
        <v>0</v>
      </c>
      <c r="BI59" s="4">
        <f t="shared" si="33"/>
        <v>0</v>
      </c>
      <c r="BJ59" s="4">
        <f t="shared" si="33"/>
        <v>0</v>
      </c>
      <c r="BK59" s="4">
        <f t="shared" si="33"/>
        <v>0</v>
      </c>
      <c r="BL59" s="4">
        <f t="shared" si="33"/>
        <v>0</v>
      </c>
      <c r="BM59" s="4">
        <f t="shared" si="33"/>
        <v>0</v>
      </c>
      <c r="BN59" s="4">
        <f t="shared" si="33"/>
        <v>0</v>
      </c>
      <c r="BO59" s="4">
        <f t="shared" si="33"/>
        <v>0</v>
      </c>
      <c r="BP59" s="4">
        <f t="shared" si="33"/>
        <v>0</v>
      </c>
      <c r="BQ59" s="4" t="str">
        <f t="shared" si="33"/>
        <v/>
      </c>
      <c r="BR59" s="4" t="str">
        <f t="shared" si="33"/>
        <v/>
      </c>
      <c r="BS59" s="4" t="str">
        <f t="shared" ref="BS59:CX59" si="34">IF(BS$47="","",BS57-BS58)</f>
        <v/>
      </c>
      <c r="BT59" s="4" t="str">
        <f t="shared" si="34"/>
        <v/>
      </c>
      <c r="BU59" s="4" t="str">
        <f t="shared" si="34"/>
        <v/>
      </c>
      <c r="BV59" s="4" t="str">
        <f t="shared" si="34"/>
        <v/>
      </c>
      <c r="BW59" s="4" t="str">
        <f t="shared" si="34"/>
        <v/>
      </c>
      <c r="BX59" s="4" t="str">
        <f t="shared" si="34"/>
        <v/>
      </c>
      <c r="BY59" s="4" t="str">
        <f t="shared" si="34"/>
        <v/>
      </c>
      <c r="BZ59" s="4" t="str">
        <f t="shared" si="34"/>
        <v/>
      </c>
      <c r="CA59" s="4" t="str">
        <f t="shared" si="34"/>
        <v/>
      </c>
      <c r="CB59" s="4" t="str">
        <f t="shared" si="34"/>
        <v/>
      </c>
      <c r="CC59" s="4" t="str">
        <f t="shared" si="34"/>
        <v/>
      </c>
      <c r="CD59" s="4" t="str">
        <f t="shared" si="34"/>
        <v/>
      </c>
      <c r="CE59" s="4" t="str">
        <f t="shared" si="34"/>
        <v/>
      </c>
      <c r="CF59" s="4" t="str">
        <f t="shared" si="34"/>
        <v/>
      </c>
      <c r="CG59" s="4" t="str">
        <f t="shared" si="34"/>
        <v/>
      </c>
      <c r="CH59" s="4" t="str">
        <f t="shared" si="34"/>
        <v/>
      </c>
      <c r="CI59" s="4" t="str">
        <f t="shared" si="34"/>
        <v/>
      </c>
      <c r="CJ59" s="4" t="str">
        <f t="shared" si="34"/>
        <v/>
      </c>
      <c r="CK59" s="4" t="str">
        <f t="shared" si="34"/>
        <v/>
      </c>
      <c r="CL59" s="4" t="str">
        <f t="shared" si="34"/>
        <v/>
      </c>
      <c r="CM59" s="4" t="str">
        <f t="shared" si="34"/>
        <v/>
      </c>
      <c r="CN59" s="4" t="str">
        <f t="shared" si="34"/>
        <v/>
      </c>
      <c r="CO59" s="4" t="str">
        <f t="shared" si="34"/>
        <v/>
      </c>
      <c r="CP59" s="4" t="str">
        <f t="shared" si="34"/>
        <v/>
      </c>
      <c r="CQ59" s="4" t="str">
        <f t="shared" si="34"/>
        <v/>
      </c>
      <c r="CR59" s="4" t="str">
        <f t="shared" si="34"/>
        <v/>
      </c>
      <c r="CS59" s="4" t="str">
        <f t="shared" si="34"/>
        <v/>
      </c>
      <c r="CT59" s="4" t="str">
        <f t="shared" si="34"/>
        <v/>
      </c>
      <c r="CU59" s="4" t="str">
        <f t="shared" si="34"/>
        <v/>
      </c>
      <c r="CV59" s="4" t="str">
        <f t="shared" si="34"/>
        <v/>
      </c>
      <c r="CW59" s="4" t="str">
        <f t="shared" si="34"/>
        <v/>
      </c>
      <c r="CX59" s="4" t="str">
        <f t="shared" si="34"/>
        <v/>
      </c>
      <c r="CY59" s="4" t="str">
        <f t="shared" ref="CY59:ED59" si="35">IF(CY$47="","",CY57-CY58)</f>
        <v/>
      </c>
      <c r="CZ59" s="4" t="str">
        <f t="shared" si="35"/>
        <v/>
      </c>
      <c r="DA59" s="4" t="str">
        <f t="shared" si="35"/>
        <v/>
      </c>
      <c r="DB59" s="4" t="str">
        <f t="shared" si="35"/>
        <v/>
      </c>
      <c r="DC59" s="4" t="str">
        <f t="shared" si="35"/>
        <v/>
      </c>
      <c r="DD59" s="4" t="str">
        <f t="shared" si="35"/>
        <v/>
      </c>
      <c r="DE59" s="4" t="str">
        <f t="shared" si="35"/>
        <v/>
      </c>
      <c r="DF59" s="4" t="str">
        <f t="shared" si="35"/>
        <v/>
      </c>
      <c r="DG59" s="4" t="str">
        <f t="shared" si="35"/>
        <v/>
      </c>
      <c r="DH59" s="4" t="str">
        <f t="shared" si="35"/>
        <v/>
      </c>
      <c r="DI59" s="4" t="str">
        <f t="shared" si="35"/>
        <v/>
      </c>
      <c r="DJ59" s="4" t="str">
        <f t="shared" si="35"/>
        <v/>
      </c>
      <c r="DK59" s="4" t="str">
        <f t="shared" si="35"/>
        <v/>
      </c>
      <c r="DL59" s="4" t="str">
        <f t="shared" si="35"/>
        <v/>
      </c>
      <c r="DM59" s="4" t="str">
        <f t="shared" si="35"/>
        <v/>
      </c>
      <c r="DN59" s="4" t="str">
        <f t="shared" si="35"/>
        <v/>
      </c>
      <c r="DO59" s="4" t="str">
        <f t="shared" si="35"/>
        <v/>
      </c>
      <c r="DP59" s="4" t="str">
        <f t="shared" si="35"/>
        <v/>
      </c>
      <c r="DQ59" s="4" t="str">
        <f t="shared" si="35"/>
        <v/>
      </c>
      <c r="DR59" s="4" t="str">
        <f t="shared" si="35"/>
        <v/>
      </c>
      <c r="DS59" s="4" t="str">
        <f t="shared" si="35"/>
        <v/>
      </c>
      <c r="DT59" s="4" t="str">
        <f t="shared" si="35"/>
        <v/>
      </c>
      <c r="DU59" s="4" t="str">
        <f t="shared" si="35"/>
        <v/>
      </c>
      <c r="DV59" s="4" t="str">
        <f t="shared" si="35"/>
        <v/>
      </c>
      <c r="DW59" s="4" t="str">
        <f t="shared" si="35"/>
        <v/>
      </c>
      <c r="DX59" s="4" t="str">
        <f t="shared" si="35"/>
        <v/>
      </c>
      <c r="DY59" s="4" t="str">
        <f t="shared" si="35"/>
        <v/>
      </c>
      <c r="DZ59" s="4" t="str">
        <f t="shared" si="35"/>
        <v/>
      </c>
      <c r="EA59" s="4" t="str">
        <f t="shared" si="35"/>
        <v/>
      </c>
      <c r="EB59" s="4" t="str">
        <f t="shared" si="35"/>
        <v/>
      </c>
      <c r="EC59" s="4" t="str">
        <f t="shared" si="35"/>
        <v/>
      </c>
      <c r="ED59" s="4" t="str">
        <f t="shared" si="35"/>
        <v/>
      </c>
      <c r="EE59" s="4" t="str">
        <f>IF(EE$47="","",EE57-EE58)</f>
        <v/>
      </c>
      <c r="EF59" s="4" t="str">
        <f>IF(EF$47="","",EF57-EF58)</f>
        <v/>
      </c>
      <c r="EG59" s="4" t="str">
        <f>IF(EG$47="","",EG57-EG58)</f>
        <v/>
      </c>
      <c r="EH59" s="4" t="str">
        <f>IF(EH$47="","",EH57-EH58)</f>
        <v/>
      </c>
      <c r="EI59" s="4" t="str">
        <f>IF(EI$47="","",EI57-EI58)</f>
        <v/>
      </c>
    </row>
    <row r="60" spans="2:139" x14ac:dyDescent="0.35">
      <c r="B60" s="4" t="s">
        <v>513</v>
      </c>
      <c r="C60" s="4"/>
      <c r="D60" s="4"/>
      <c r="E60" s="4"/>
      <c r="F60" s="4"/>
      <c r="G60" s="247">
        <f>+G47</f>
        <v>46203</v>
      </c>
      <c r="H60" s="247">
        <f t="shared" ref="H60:BS60" si="36">+H47</f>
        <v>46234</v>
      </c>
      <c r="I60" s="247">
        <f t="shared" si="36"/>
        <v>46265</v>
      </c>
      <c r="J60" s="247">
        <f t="shared" si="36"/>
        <v>46295</v>
      </c>
      <c r="K60" s="247">
        <f t="shared" si="36"/>
        <v>46326</v>
      </c>
      <c r="L60" s="247">
        <f t="shared" si="36"/>
        <v>46356</v>
      </c>
      <c r="M60" s="247">
        <f t="shared" si="36"/>
        <v>46387</v>
      </c>
      <c r="N60" s="247">
        <f t="shared" si="36"/>
        <v>46418</v>
      </c>
      <c r="O60" s="247">
        <f t="shared" si="36"/>
        <v>46446</v>
      </c>
      <c r="P60" s="247">
        <f t="shared" si="36"/>
        <v>46477</v>
      </c>
      <c r="Q60" s="247">
        <f t="shared" si="36"/>
        <v>46507</v>
      </c>
      <c r="R60" s="247">
        <f t="shared" si="36"/>
        <v>46538</v>
      </c>
      <c r="S60" s="173">
        <f t="shared" si="36"/>
        <v>46568</v>
      </c>
      <c r="T60" s="173">
        <f t="shared" si="36"/>
        <v>46599</v>
      </c>
      <c r="U60" s="173">
        <f t="shared" si="36"/>
        <v>46630</v>
      </c>
      <c r="V60" s="173">
        <f t="shared" si="36"/>
        <v>46660</v>
      </c>
      <c r="W60" s="173">
        <f t="shared" si="36"/>
        <v>46691</v>
      </c>
      <c r="X60" s="173">
        <f t="shared" si="36"/>
        <v>46721</v>
      </c>
      <c r="Y60" s="173">
        <f t="shared" si="36"/>
        <v>46752</v>
      </c>
      <c r="Z60" s="173">
        <f t="shared" si="36"/>
        <v>46783</v>
      </c>
      <c r="AA60" s="173">
        <f t="shared" si="36"/>
        <v>46812</v>
      </c>
      <c r="AB60" s="173">
        <f t="shared" si="36"/>
        <v>46843</v>
      </c>
      <c r="AC60" s="173">
        <f t="shared" si="36"/>
        <v>46873</v>
      </c>
      <c r="AD60" s="173">
        <f t="shared" si="36"/>
        <v>46904</v>
      </c>
      <c r="AE60" s="173">
        <f t="shared" si="36"/>
        <v>46934</v>
      </c>
      <c r="AF60" s="173">
        <f t="shared" si="36"/>
        <v>46965</v>
      </c>
      <c r="AG60" s="173">
        <f t="shared" si="36"/>
        <v>46996</v>
      </c>
      <c r="AH60" s="173">
        <f t="shared" si="36"/>
        <v>47026</v>
      </c>
      <c r="AI60" s="173">
        <f t="shared" si="36"/>
        <v>47057</v>
      </c>
      <c r="AJ60" s="173">
        <f t="shared" si="36"/>
        <v>47087</v>
      </c>
      <c r="AK60" s="173">
        <f t="shared" si="36"/>
        <v>47118</v>
      </c>
      <c r="AL60" s="173">
        <f t="shared" si="36"/>
        <v>47149</v>
      </c>
      <c r="AM60" s="173">
        <f t="shared" si="36"/>
        <v>47177</v>
      </c>
      <c r="AN60" s="173">
        <f t="shared" si="36"/>
        <v>47208</v>
      </c>
      <c r="AO60" s="173">
        <f t="shared" si="36"/>
        <v>47238</v>
      </c>
      <c r="AP60" s="173">
        <f t="shared" si="36"/>
        <v>47269</v>
      </c>
      <c r="AQ60" s="173">
        <f t="shared" si="36"/>
        <v>47299</v>
      </c>
      <c r="AR60" s="173">
        <f t="shared" si="36"/>
        <v>47330</v>
      </c>
      <c r="AS60" s="173">
        <f t="shared" si="36"/>
        <v>47361</v>
      </c>
      <c r="AT60" s="173">
        <f t="shared" si="36"/>
        <v>47391</v>
      </c>
      <c r="AU60" s="173">
        <f t="shared" si="36"/>
        <v>47422</v>
      </c>
      <c r="AV60" s="173">
        <f t="shared" si="36"/>
        <v>47452</v>
      </c>
      <c r="AW60" s="173">
        <f t="shared" si="36"/>
        <v>47483</v>
      </c>
      <c r="AX60" s="173">
        <f t="shared" si="36"/>
        <v>47514</v>
      </c>
      <c r="AY60" s="173">
        <f t="shared" si="36"/>
        <v>47542</v>
      </c>
      <c r="AZ60" s="173">
        <f t="shared" si="36"/>
        <v>47573</v>
      </c>
      <c r="BA60" s="173">
        <f t="shared" si="36"/>
        <v>47603</v>
      </c>
      <c r="BB60" s="173">
        <f t="shared" si="36"/>
        <v>47634</v>
      </c>
      <c r="BC60" s="173">
        <f t="shared" si="36"/>
        <v>47664</v>
      </c>
      <c r="BD60" s="173">
        <f t="shared" si="36"/>
        <v>47695</v>
      </c>
      <c r="BE60" s="173">
        <f t="shared" si="36"/>
        <v>47726</v>
      </c>
      <c r="BF60" s="173">
        <f t="shared" si="36"/>
        <v>47756</v>
      </c>
      <c r="BG60" s="173">
        <f t="shared" si="36"/>
        <v>47787</v>
      </c>
      <c r="BH60" s="173">
        <f t="shared" si="36"/>
        <v>47817</v>
      </c>
      <c r="BI60" s="173">
        <f t="shared" si="36"/>
        <v>47848</v>
      </c>
      <c r="BJ60" s="173">
        <f t="shared" si="36"/>
        <v>47879</v>
      </c>
      <c r="BK60" s="173">
        <f t="shared" si="36"/>
        <v>47907</v>
      </c>
      <c r="BL60" s="173">
        <f t="shared" si="36"/>
        <v>47938</v>
      </c>
      <c r="BM60" s="173">
        <f t="shared" si="36"/>
        <v>47968</v>
      </c>
      <c r="BN60" s="173">
        <f t="shared" si="36"/>
        <v>47999</v>
      </c>
      <c r="BO60" s="173">
        <f t="shared" si="36"/>
        <v>48029</v>
      </c>
      <c r="BP60" s="173">
        <f t="shared" si="36"/>
        <v>48060</v>
      </c>
      <c r="BQ60" s="173" t="str">
        <f t="shared" si="36"/>
        <v/>
      </c>
      <c r="BR60" s="173" t="str">
        <f t="shared" si="36"/>
        <v/>
      </c>
      <c r="BS60" s="173" t="str">
        <f t="shared" si="36"/>
        <v/>
      </c>
      <c r="BT60" s="173" t="str">
        <f t="shared" ref="BT60:EE60" si="37">+BT47</f>
        <v/>
      </c>
      <c r="BU60" s="173" t="str">
        <f t="shared" si="37"/>
        <v/>
      </c>
      <c r="BV60" s="173" t="str">
        <f t="shared" si="37"/>
        <v/>
      </c>
      <c r="BW60" s="173" t="str">
        <f t="shared" si="37"/>
        <v/>
      </c>
      <c r="BX60" s="173" t="str">
        <f t="shared" si="37"/>
        <v/>
      </c>
      <c r="BY60" s="173" t="str">
        <f t="shared" si="37"/>
        <v/>
      </c>
      <c r="BZ60" s="173" t="str">
        <f t="shared" si="37"/>
        <v/>
      </c>
      <c r="CA60" s="173" t="str">
        <f t="shared" si="37"/>
        <v/>
      </c>
      <c r="CB60" s="173" t="str">
        <f t="shared" si="37"/>
        <v/>
      </c>
      <c r="CC60" s="173" t="str">
        <f t="shared" si="37"/>
        <v/>
      </c>
      <c r="CD60" s="173" t="str">
        <f t="shared" si="37"/>
        <v/>
      </c>
      <c r="CE60" s="173" t="str">
        <f t="shared" si="37"/>
        <v/>
      </c>
      <c r="CF60" s="173" t="str">
        <f t="shared" si="37"/>
        <v/>
      </c>
      <c r="CG60" s="173" t="str">
        <f t="shared" si="37"/>
        <v/>
      </c>
      <c r="CH60" s="173" t="str">
        <f t="shared" si="37"/>
        <v/>
      </c>
      <c r="CI60" s="173" t="str">
        <f t="shared" si="37"/>
        <v/>
      </c>
      <c r="CJ60" s="173" t="str">
        <f t="shared" si="37"/>
        <v/>
      </c>
      <c r="CK60" s="173" t="str">
        <f t="shared" si="37"/>
        <v/>
      </c>
      <c r="CL60" s="173" t="str">
        <f t="shared" si="37"/>
        <v/>
      </c>
      <c r="CM60" s="173" t="str">
        <f t="shared" si="37"/>
        <v/>
      </c>
      <c r="CN60" s="173" t="str">
        <f t="shared" si="37"/>
        <v/>
      </c>
      <c r="CO60" s="173" t="str">
        <f t="shared" si="37"/>
        <v/>
      </c>
      <c r="CP60" s="173" t="str">
        <f t="shared" si="37"/>
        <v/>
      </c>
      <c r="CQ60" s="173" t="str">
        <f t="shared" si="37"/>
        <v/>
      </c>
      <c r="CR60" s="173" t="str">
        <f t="shared" si="37"/>
        <v/>
      </c>
      <c r="CS60" s="173" t="str">
        <f t="shared" si="37"/>
        <v/>
      </c>
      <c r="CT60" s="173" t="str">
        <f t="shared" si="37"/>
        <v/>
      </c>
      <c r="CU60" s="173" t="str">
        <f t="shared" si="37"/>
        <v/>
      </c>
      <c r="CV60" s="173" t="str">
        <f t="shared" si="37"/>
        <v/>
      </c>
      <c r="CW60" s="173" t="str">
        <f t="shared" si="37"/>
        <v/>
      </c>
      <c r="CX60" s="173" t="str">
        <f t="shared" si="37"/>
        <v/>
      </c>
      <c r="CY60" s="173" t="str">
        <f t="shared" si="37"/>
        <v/>
      </c>
      <c r="CZ60" s="173" t="str">
        <f t="shared" si="37"/>
        <v/>
      </c>
      <c r="DA60" s="173" t="str">
        <f t="shared" si="37"/>
        <v/>
      </c>
      <c r="DB60" s="173" t="str">
        <f t="shared" si="37"/>
        <v/>
      </c>
      <c r="DC60" s="173" t="str">
        <f t="shared" si="37"/>
        <v/>
      </c>
      <c r="DD60" s="173" t="str">
        <f t="shared" si="37"/>
        <v/>
      </c>
      <c r="DE60" s="173" t="str">
        <f t="shared" si="37"/>
        <v/>
      </c>
      <c r="DF60" s="173" t="str">
        <f t="shared" si="37"/>
        <v/>
      </c>
      <c r="DG60" s="173" t="str">
        <f t="shared" si="37"/>
        <v/>
      </c>
      <c r="DH60" s="173" t="str">
        <f t="shared" si="37"/>
        <v/>
      </c>
      <c r="DI60" s="173" t="str">
        <f t="shared" si="37"/>
        <v/>
      </c>
      <c r="DJ60" s="173" t="str">
        <f t="shared" si="37"/>
        <v/>
      </c>
      <c r="DK60" s="173" t="str">
        <f t="shared" si="37"/>
        <v/>
      </c>
      <c r="DL60" s="173" t="str">
        <f t="shared" si="37"/>
        <v/>
      </c>
      <c r="DM60" s="173" t="str">
        <f t="shared" si="37"/>
        <v/>
      </c>
      <c r="DN60" s="173" t="str">
        <f t="shared" si="37"/>
        <v/>
      </c>
      <c r="DO60" s="173" t="str">
        <f t="shared" si="37"/>
        <v/>
      </c>
      <c r="DP60" s="173" t="str">
        <f t="shared" si="37"/>
        <v/>
      </c>
      <c r="DQ60" s="173" t="str">
        <f t="shared" si="37"/>
        <v/>
      </c>
      <c r="DR60" s="173" t="str">
        <f t="shared" si="37"/>
        <v/>
      </c>
      <c r="DS60" s="173" t="str">
        <f t="shared" si="37"/>
        <v/>
      </c>
      <c r="DT60" s="173" t="str">
        <f t="shared" si="37"/>
        <v/>
      </c>
      <c r="DU60" s="173" t="str">
        <f t="shared" si="37"/>
        <v/>
      </c>
      <c r="DV60" s="173" t="str">
        <f t="shared" si="37"/>
        <v/>
      </c>
      <c r="DW60" s="173" t="str">
        <f t="shared" si="37"/>
        <v/>
      </c>
      <c r="DX60" s="173" t="str">
        <f t="shared" si="37"/>
        <v/>
      </c>
      <c r="DY60" s="173" t="str">
        <f t="shared" si="37"/>
        <v/>
      </c>
      <c r="DZ60" s="173" t="str">
        <f t="shared" si="37"/>
        <v/>
      </c>
      <c r="EA60" s="173" t="str">
        <f t="shared" si="37"/>
        <v/>
      </c>
      <c r="EB60" s="173" t="str">
        <f t="shared" si="37"/>
        <v/>
      </c>
      <c r="EC60" s="173" t="str">
        <f t="shared" si="37"/>
        <v/>
      </c>
      <c r="ED60" s="173" t="str">
        <f t="shared" si="37"/>
        <v/>
      </c>
      <c r="EE60" s="173" t="str">
        <f t="shared" si="37"/>
        <v/>
      </c>
      <c r="EF60" s="173" t="str">
        <f>+EF47</f>
        <v/>
      </c>
      <c r="EG60" s="173" t="str">
        <f>+EG47</f>
        <v/>
      </c>
      <c r="EH60" s="173" t="str">
        <f>+EH47</f>
        <v/>
      </c>
      <c r="EI60" s="173" t="str">
        <f>+EI47</f>
        <v/>
      </c>
    </row>
    <row r="61" spans="2:139" x14ac:dyDescent="0.35">
      <c r="B61" s="163" t="s">
        <v>349</v>
      </c>
      <c r="C61" s="4"/>
      <c r="D61" s="4"/>
      <c r="E61" s="4"/>
      <c r="F61" s="4"/>
      <c r="G61" s="171">
        <f>IF(G$81="","",Underwriting!L105)</f>
        <v>0</v>
      </c>
      <c r="H61" s="171">
        <f>IF(H$81="","",Underwriting!M105)</f>
        <v>0</v>
      </c>
      <c r="I61" s="171">
        <f>IF(I$81="","",Underwriting!N105)</f>
        <v>0</v>
      </c>
      <c r="J61" s="171">
        <f>IF(J$81="","",Underwriting!O105)</f>
        <v>0</v>
      </c>
      <c r="K61" s="171">
        <f>IF(K$81="","",Underwriting!P105)</f>
        <v>0</v>
      </c>
      <c r="L61" s="171">
        <f>IF(L$81="","",Underwriting!Q105)</f>
        <v>0</v>
      </c>
      <c r="M61" s="171">
        <f>IF(M$81="","",Underwriting!R105)</f>
        <v>0</v>
      </c>
      <c r="N61" s="171">
        <f>IF(N$81="","",Underwriting!S105)</f>
        <v>0</v>
      </c>
      <c r="O61" s="171">
        <f>IF(O$81="","",Underwriting!T105)</f>
        <v>0</v>
      </c>
      <c r="P61" s="171">
        <f>IF(P$81="","",Underwriting!U105)</f>
        <v>0</v>
      </c>
      <c r="Q61" s="171">
        <f>IF(Q$81="","",Underwriting!V105)</f>
        <v>0</v>
      </c>
      <c r="R61" s="171">
        <f>IF(R$81="","",Underwriting!W105)</f>
        <v>0</v>
      </c>
      <c r="S61" s="169">
        <f>IF(S$81="","",Underwriting!X105)</f>
        <v>0</v>
      </c>
      <c r="T61" s="169">
        <f>IF(T$81="","",Underwriting!Y105)</f>
        <v>0</v>
      </c>
      <c r="U61" s="169">
        <f>IF(U$81="","",Underwriting!Z105)</f>
        <v>0</v>
      </c>
      <c r="V61" s="169">
        <f>IF(V$81="","",Underwriting!AA105)</f>
        <v>0</v>
      </c>
      <c r="W61" s="169">
        <f>IF(W$81="","",Underwriting!AB105)</f>
        <v>0</v>
      </c>
      <c r="X61" s="169">
        <f>IF(X$81="","",Underwriting!AC105)</f>
        <v>0</v>
      </c>
      <c r="Y61" s="169">
        <f>IF(Y$81="","",Underwriting!AD105)</f>
        <v>0</v>
      </c>
      <c r="Z61" s="169">
        <f>IF(Z$81="","",Underwriting!AE105)</f>
        <v>0</v>
      </c>
      <c r="AA61" s="169">
        <f>IF(AA$81="","",Underwriting!AF105)</f>
        <v>0</v>
      </c>
      <c r="AB61" s="169">
        <f>IF(AB$81="","",Underwriting!AG105)</f>
        <v>0</v>
      </c>
      <c r="AC61" s="169">
        <f>IF(AC$81="","",Underwriting!AH105)</f>
        <v>716666.66666666663</v>
      </c>
      <c r="AD61" s="169">
        <f>IF(AD$81="","",Underwriting!AI105)</f>
        <v>716666.66666666663</v>
      </c>
      <c r="AE61" s="169">
        <f>IF(AE$81="","",Underwriting!AJ105)</f>
        <v>716666.66666666663</v>
      </c>
      <c r="AF61" s="169">
        <f>IF(AF$81="","",Underwriting!AK105)</f>
        <v>933333.33333333326</v>
      </c>
      <c r="AG61" s="169">
        <f>IF(AG$81="","",Underwriting!AL105)</f>
        <v>933333.33333333326</v>
      </c>
      <c r="AH61" s="169">
        <f>IF(AH$81="","",Underwriting!AM105)</f>
        <v>933333.33333333326</v>
      </c>
      <c r="AI61" s="169">
        <f>IF(AI$81="","",Underwriting!AN105)</f>
        <v>1107500</v>
      </c>
      <c r="AJ61" s="169">
        <f>IF(AJ$81="","",Underwriting!AO105)</f>
        <v>1107500</v>
      </c>
      <c r="AK61" s="169">
        <f>IF(AK$81="","",Underwriting!AP105)</f>
        <v>1107500</v>
      </c>
      <c r="AL61" s="169">
        <f>IF(AL$81="","",Underwriting!AQ105)</f>
        <v>1265833.3333333333</v>
      </c>
      <c r="AM61" s="169">
        <f>IF(AM$81="","",Underwriting!AR105)</f>
        <v>1265833.3333333333</v>
      </c>
      <c r="AN61" s="169">
        <f>IF(AN$81="","",Underwriting!AS105)</f>
        <v>1265833.3333333333</v>
      </c>
      <c r="AO61" s="169">
        <f>IF(AO$81="","",Underwriting!AT105)</f>
        <v>1298416.6666666665</v>
      </c>
      <c r="AP61" s="169">
        <f>IF(AP$81="","",Underwriting!AU105)</f>
        <v>1298416.6666666665</v>
      </c>
      <c r="AQ61" s="169">
        <f>IF(AQ$81="","",Underwriting!AV105)</f>
        <v>1298416.6666666665</v>
      </c>
      <c r="AR61" s="169">
        <f>IF(AR$81="","",Underwriting!AW105)</f>
        <v>1305999.9999999998</v>
      </c>
      <c r="AS61" s="169">
        <f>IF(AS$81="","",Underwriting!AX105)</f>
        <v>1305999.9999999998</v>
      </c>
      <c r="AT61" s="169">
        <f>IF(AT$81="","",Underwriting!AY105)</f>
        <v>1305999.9999999998</v>
      </c>
      <c r="AU61" s="169">
        <f>IF(AU$81="","",Underwriting!AZ105)</f>
        <v>1312095.833333333</v>
      </c>
      <c r="AV61" s="169">
        <f>IF(AV$81="","",Underwriting!BA105)</f>
        <v>1312095.833333333</v>
      </c>
      <c r="AW61" s="169">
        <f>IF(AW$81="","",Underwriting!BB105)</f>
        <v>1312095.833333333</v>
      </c>
      <c r="AX61" s="169">
        <f>IF(AX$81="","",Underwriting!BC105)</f>
        <v>1317637.4999999998</v>
      </c>
      <c r="AY61" s="169">
        <f>IF(AY$81="","",Underwriting!BD105)</f>
        <v>1317637.4999999998</v>
      </c>
      <c r="AZ61" s="169">
        <f>IF(AZ$81="","",Underwriting!BE105)</f>
        <v>1317637.4999999998</v>
      </c>
      <c r="BA61" s="169">
        <f>IF(BA$81="","",Underwriting!BF105)</f>
        <v>1343861.2499999998</v>
      </c>
      <c r="BB61" s="169">
        <f>IF(BB$81="","",Underwriting!BG105)</f>
        <v>1343861.2499999998</v>
      </c>
      <c r="BC61" s="169">
        <f>IF(BC$81="","",Underwriting!BH105)</f>
        <v>1343861.2499999998</v>
      </c>
      <c r="BD61" s="169">
        <f>IF(BD$81="","",Underwriting!BI105)</f>
        <v>1351709.9999999998</v>
      </c>
      <c r="BE61" s="169">
        <f>IF(BE$81="","",Underwriting!BJ105)</f>
        <v>1351709.9999999998</v>
      </c>
      <c r="BF61" s="169">
        <f>IF(BF$81="","",Underwriting!BK105)</f>
        <v>1351709.9999999998</v>
      </c>
      <c r="BG61" s="169">
        <f>IF(BG$81="","",Underwriting!BL105)</f>
        <v>1358019.1874999998</v>
      </c>
      <c r="BH61" s="169">
        <f>IF(BH$81="","",Underwriting!BM105)</f>
        <v>1358019.1874999998</v>
      </c>
      <c r="BI61" s="169">
        <f>IF(BI$81="","",Underwriting!BN105)</f>
        <v>1358019.1874999998</v>
      </c>
      <c r="BJ61" s="169">
        <f>IF(BJ$81="","",Underwriting!BO105)</f>
        <v>1363754.8124999998</v>
      </c>
      <c r="BK61" s="169">
        <f>IF(BK$81="","",Underwriting!BP105)</f>
        <v>1363754.8124999998</v>
      </c>
      <c r="BL61" s="169">
        <f>IF(BL$81="","",Underwriting!BQ105)</f>
        <v>1363754.8124999998</v>
      </c>
      <c r="BM61" s="169">
        <f>IF(BM$81="","",Underwriting!BR105)</f>
        <v>1390896.3937499998</v>
      </c>
      <c r="BN61" s="169">
        <f>IF(BN$81="","",Underwriting!BS105)</f>
        <v>1390896.3937499998</v>
      </c>
      <c r="BO61" s="169">
        <f>IF(BO$81="","",Underwriting!BT105)</f>
        <v>1390896.3937499998</v>
      </c>
      <c r="BP61" s="169">
        <f>IF(BP$81="","",Underwriting!BU105)</f>
        <v>1399019.8499999996</v>
      </c>
      <c r="BQ61" s="169" t="str">
        <f>IF(BQ$81="","",Underwriting!BV105)</f>
        <v/>
      </c>
      <c r="BR61" s="169" t="str">
        <f>IF(BR$81="","",Underwriting!BW105)</f>
        <v/>
      </c>
      <c r="BS61" s="169" t="str">
        <f>IF(BS$81="","",Underwriting!BX105)</f>
        <v/>
      </c>
      <c r="BT61" s="169" t="str">
        <f>IF(BT$81="","",Underwriting!BY105)</f>
        <v/>
      </c>
      <c r="BU61" s="169" t="str">
        <f>IF(BU$81="","",Underwriting!BZ105)</f>
        <v/>
      </c>
      <c r="BV61" s="169" t="str">
        <f>IF(BV$81="","",Underwriting!CA105)</f>
        <v/>
      </c>
      <c r="BW61" s="169" t="str">
        <f>IF(BW$81="","",Underwriting!CB105)</f>
        <v/>
      </c>
      <c r="BX61" s="169" t="str">
        <f>IF(BX$81="","",Underwriting!CC105)</f>
        <v/>
      </c>
      <c r="BY61" s="169" t="str">
        <f>IF(BY$81="","",Underwriting!CD105)</f>
        <v/>
      </c>
      <c r="BZ61" s="169" t="str">
        <f>IF(BZ$81="","",Underwriting!CE105)</f>
        <v/>
      </c>
      <c r="CA61" s="169" t="str">
        <f>IF(CA$81="","",Underwriting!CF105)</f>
        <v/>
      </c>
      <c r="CB61" s="169" t="str">
        <f>IF(CB$81="","",Underwriting!CG105)</f>
        <v/>
      </c>
      <c r="CC61" s="169" t="str">
        <f>IF(CC$81="","",Underwriting!CH105)</f>
        <v/>
      </c>
      <c r="CD61" s="169" t="str">
        <f>IF(CD$81="","",Underwriting!CI105)</f>
        <v/>
      </c>
      <c r="CE61" s="169" t="str">
        <f>IF(CE$81="","",Underwriting!CJ105)</f>
        <v/>
      </c>
      <c r="CF61" s="169" t="str">
        <f>IF(CF$81="","",Underwriting!CK105)</f>
        <v/>
      </c>
      <c r="CG61" s="169" t="str">
        <f>IF(CG$81="","",Underwriting!CL105)</f>
        <v/>
      </c>
      <c r="CH61" s="169" t="str">
        <f>IF(CH$81="","",Underwriting!CM105)</f>
        <v/>
      </c>
      <c r="CI61" s="169" t="str">
        <f>IF(CI$81="","",Underwriting!CN105)</f>
        <v/>
      </c>
      <c r="CJ61" s="169" t="str">
        <f>IF(CJ$81="","",Underwriting!CO105)</f>
        <v/>
      </c>
      <c r="CK61" s="169" t="str">
        <f>IF(CK$81="","",Underwriting!CP105)</f>
        <v/>
      </c>
      <c r="CL61" s="169" t="str">
        <f>IF(CL$81="","",Underwriting!CQ105)</f>
        <v/>
      </c>
      <c r="CM61" s="169" t="str">
        <f>IF(CM$81="","",Underwriting!CR105)</f>
        <v/>
      </c>
      <c r="CN61" s="169" t="str">
        <f>IF(CN$81="","",Underwriting!CS105)</f>
        <v/>
      </c>
      <c r="CO61" s="169" t="str">
        <f>IF(CO$81="","",Underwriting!CT105)</f>
        <v/>
      </c>
      <c r="CP61" s="169" t="str">
        <f>IF(CP$81="","",Underwriting!CU105)</f>
        <v/>
      </c>
      <c r="CQ61" s="169" t="str">
        <f>IF(CQ$81="","",Underwriting!CV105)</f>
        <v/>
      </c>
      <c r="CR61" s="169" t="str">
        <f>IF(CR$81="","",Underwriting!CW105)</f>
        <v/>
      </c>
      <c r="CS61" s="169" t="str">
        <f>IF(CS$81="","",Underwriting!CX105)</f>
        <v/>
      </c>
      <c r="CT61" s="169" t="str">
        <f>IF(CT$81="","",Underwriting!CY105)</f>
        <v/>
      </c>
      <c r="CU61" s="169" t="str">
        <f>IF(CU$81="","",Underwriting!CZ105)</f>
        <v/>
      </c>
      <c r="CV61" s="169" t="str">
        <f>IF(CV$81="","",Underwriting!DA105)</f>
        <v/>
      </c>
      <c r="CW61" s="169" t="str">
        <f>IF(CW$81="","",Underwriting!DB105)</f>
        <v/>
      </c>
      <c r="CX61" s="169" t="str">
        <f>IF(CX$81="","",Underwriting!DC105)</f>
        <v/>
      </c>
      <c r="CY61" s="169" t="str">
        <f>IF(CY$81="","",Underwriting!DD105)</f>
        <v/>
      </c>
      <c r="CZ61" s="169" t="str">
        <f>IF(CZ$81="","",Underwriting!DE105)</f>
        <v/>
      </c>
      <c r="DA61" s="169" t="str">
        <f>IF(DA$81="","",Underwriting!DF105)</f>
        <v/>
      </c>
      <c r="DB61" s="169" t="str">
        <f>IF(DB$81="","",Underwriting!DG105)</f>
        <v/>
      </c>
      <c r="DC61" s="169" t="str">
        <f>IF(DC$81="","",Underwriting!DH105)</f>
        <v/>
      </c>
      <c r="DD61" s="169" t="str">
        <f>IF(DD$81="","",Underwriting!DI105)</f>
        <v/>
      </c>
      <c r="DE61" s="169" t="str">
        <f>IF(DE$81="","",Underwriting!DJ105)</f>
        <v/>
      </c>
      <c r="DF61" s="169" t="str">
        <f>IF(DF$81="","",Underwriting!DK105)</f>
        <v/>
      </c>
      <c r="DG61" s="169" t="str">
        <f>IF(DG$81="","",Underwriting!DL105)</f>
        <v/>
      </c>
      <c r="DH61" s="169" t="str">
        <f>IF(DH$81="","",Underwriting!DM105)</f>
        <v/>
      </c>
      <c r="DI61" s="169" t="str">
        <f>IF(DI$81="","",Underwriting!DN105)</f>
        <v/>
      </c>
      <c r="DJ61" s="169" t="str">
        <f>IF(DJ$81="","",Underwriting!DO105)</f>
        <v/>
      </c>
      <c r="DK61" s="169" t="str">
        <f>IF(DK$81="","",Underwriting!DP105)</f>
        <v/>
      </c>
      <c r="DL61" s="169" t="str">
        <f>IF(DL$81="","",Underwriting!DQ105)</f>
        <v/>
      </c>
      <c r="DM61" s="169" t="str">
        <f>IF(DM$81="","",Underwriting!DR105)</f>
        <v/>
      </c>
      <c r="DN61" s="169" t="str">
        <f>IF(DN$81="","",Underwriting!DS105)</f>
        <v/>
      </c>
      <c r="DO61" s="169" t="str">
        <f>IF(DO$81="","",Underwriting!DT105)</f>
        <v/>
      </c>
      <c r="DP61" s="169" t="str">
        <f>IF(DP$81="","",Underwriting!DU105)</f>
        <v/>
      </c>
      <c r="DQ61" s="169" t="str">
        <f>IF(DQ$81="","",Underwriting!DV105)</f>
        <v/>
      </c>
      <c r="DR61" s="169" t="str">
        <f>IF(DR$81="","",Underwriting!DW105)</f>
        <v/>
      </c>
      <c r="DS61" s="169" t="str">
        <f>IF(DS$81="","",Underwriting!DX105)</f>
        <v/>
      </c>
      <c r="DT61" s="169" t="str">
        <f>IF(DT$81="","",Underwriting!DY105)</f>
        <v/>
      </c>
      <c r="DU61" s="169" t="str">
        <f>IF(DU$81="","",Underwriting!DZ105)</f>
        <v/>
      </c>
      <c r="DV61" s="169" t="str">
        <f>IF(DV$81="","",Underwriting!EA105)</f>
        <v/>
      </c>
      <c r="DW61" s="169" t="str">
        <f>IF(DW$81="","",Underwriting!EB105)</f>
        <v/>
      </c>
      <c r="DX61" s="169" t="str">
        <f>IF(DX$81="","",Underwriting!EC105)</f>
        <v/>
      </c>
      <c r="DY61" s="169" t="str">
        <f>IF(DY$81="","",Underwriting!ED105)</f>
        <v/>
      </c>
      <c r="DZ61" s="169" t="str">
        <f>IF(DZ$81="","",Underwriting!EE105)</f>
        <v/>
      </c>
      <c r="EA61" s="169" t="str">
        <f>IF(EA$81="","",Underwriting!EF105)</f>
        <v/>
      </c>
      <c r="EB61" s="169" t="str">
        <f>IF(EB$81="","",Underwriting!EG105)</f>
        <v/>
      </c>
      <c r="EC61" s="169" t="str">
        <f>IF(EC$81="","",Underwriting!EH105)</f>
        <v/>
      </c>
      <c r="ED61" s="169" t="str">
        <f>IF(ED$81="","",Underwriting!EI105)</f>
        <v/>
      </c>
      <c r="EE61" s="169" t="str">
        <f>IF(EE$81="","",Underwriting!EJ105)</f>
        <v/>
      </c>
      <c r="EF61" s="169" t="str">
        <f>IF(EF$81="","",Underwriting!EK105)</f>
        <v/>
      </c>
      <c r="EG61" s="169" t="str">
        <f>IF(EG$81="","",Underwriting!EL105)</f>
        <v/>
      </c>
      <c r="EH61" s="169" t="str">
        <f>IF(EH$81="","",Underwriting!EM105)</f>
        <v/>
      </c>
      <c r="EI61" s="169" t="str">
        <f>IF(EI$81="","",Underwriting!EN105)</f>
        <v/>
      </c>
    </row>
    <row r="62" spans="2:139" x14ac:dyDescent="0.35">
      <c r="B62" s="163" t="s">
        <v>351</v>
      </c>
      <c r="C62" s="4"/>
      <c r="D62" s="4"/>
      <c r="E62" s="4"/>
      <c r="F62" s="4"/>
      <c r="G62" s="171">
        <f>IF(G$81="","",Underwriting!L120)</f>
        <v>0</v>
      </c>
      <c r="H62" s="171">
        <f>IF(H$81="","",Underwriting!M120)</f>
        <v>0</v>
      </c>
      <c r="I62" s="171">
        <f>IF(I$81="","",Underwriting!N120)</f>
        <v>0</v>
      </c>
      <c r="J62" s="171">
        <f>IF(J$81="","",Underwriting!O120)</f>
        <v>0</v>
      </c>
      <c r="K62" s="171">
        <f>IF(K$81="","",Underwriting!P120)</f>
        <v>0</v>
      </c>
      <c r="L62" s="171">
        <f>IF(L$81="","",Underwriting!Q120)</f>
        <v>0</v>
      </c>
      <c r="M62" s="171">
        <f>IF(M$81="","",Underwriting!R120)</f>
        <v>0</v>
      </c>
      <c r="N62" s="171">
        <f>IF(N$81="","",Underwriting!S120)</f>
        <v>0</v>
      </c>
      <c r="O62" s="171">
        <f>IF(O$81="","",Underwriting!T120)</f>
        <v>0</v>
      </c>
      <c r="P62" s="171">
        <f>IF(P$81="","",Underwriting!U120)</f>
        <v>0</v>
      </c>
      <c r="Q62" s="171">
        <f>IF(Q$81="","",Underwriting!V120)</f>
        <v>0</v>
      </c>
      <c r="R62" s="171">
        <f>IF(R$81="","",Underwriting!W120)</f>
        <v>0</v>
      </c>
      <c r="S62" s="169">
        <f>IF(S$81="","",Underwriting!X120)</f>
        <v>0</v>
      </c>
      <c r="T62" s="169">
        <f>IF(T$81="","",Underwriting!Y120)</f>
        <v>0</v>
      </c>
      <c r="U62" s="169">
        <f>IF(U$81="","",Underwriting!Z120)</f>
        <v>0</v>
      </c>
      <c r="V62" s="169">
        <f>IF(V$81="","",Underwriting!AA120)</f>
        <v>0</v>
      </c>
      <c r="W62" s="169">
        <f>IF(W$81="","",Underwriting!AB120)</f>
        <v>0</v>
      </c>
      <c r="X62" s="169">
        <f>IF(X$81="","",Underwriting!AC120)</f>
        <v>0</v>
      </c>
      <c r="Y62" s="169">
        <f>IF(Y$81="","",Underwriting!AD120)</f>
        <v>0</v>
      </c>
      <c r="Z62" s="169">
        <f>IF(Z$81="","",Underwriting!AE120)</f>
        <v>0</v>
      </c>
      <c r="AA62" s="169">
        <f>IF(AA$81="","",Underwriting!AF120)</f>
        <v>0</v>
      </c>
      <c r="AB62" s="169">
        <f>IF(AB$81="","",Underwriting!AG120)</f>
        <v>0</v>
      </c>
      <c r="AC62" s="169">
        <f>IF(AC$81="","",Underwriting!AH120)</f>
        <v>0</v>
      </c>
      <c r="AD62" s="169">
        <f>IF(AD$81="","",Underwriting!AI120)</f>
        <v>0</v>
      </c>
      <c r="AE62" s="169">
        <f>IF(AE$81="","",Underwriting!AJ120)</f>
        <v>0</v>
      </c>
      <c r="AF62" s="169">
        <f>IF(AF$81="","",Underwriting!AK120)</f>
        <v>0</v>
      </c>
      <c r="AG62" s="169">
        <f>IF(AG$81="","",Underwriting!AL120)</f>
        <v>0</v>
      </c>
      <c r="AH62" s="169">
        <f>IF(AH$81="","",Underwriting!AM120)</f>
        <v>0</v>
      </c>
      <c r="AI62" s="169">
        <f>IF(AI$81="","",Underwriting!AN120)</f>
        <v>0</v>
      </c>
      <c r="AJ62" s="169">
        <f>IF(AJ$81="","",Underwriting!AO120)</f>
        <v>0</v>
      </c>
      <c r="AK62" s="169">
        <f>IF(AK$81="","",Underwriting!AP120)</f>
        <v>0</v>
      </c>
      <c r="AL62" s="169">
        <f>IF(AL$81="","",Underwriting!AQ120)</f>
        <v>0</v>
      </c>
      <c r="AM62" s="169">
        <f>IF(AM$81="","",Underwriting!AR120)</f>
        <v>0</v>
      </c>
      <c r="AN62" s="169">
        <f>IF(AN$81="","",Underwriting!AS120)</f>
        <v>0</v>
      </c>
      <c r="AO62" s="169">
        <f>IF(AO$81="","",Underwriting!AT120)</f>
        <v>0</v>
      </c>
      <c r="AP62" s="169">
        <f>IF(AP$81="","",Underwriting!AU120)</f>
        <v>0</v>
      </c>
      <c r="AQ62" s="169">
        <f>IF(AQ$81="","",Underwriting!AV120)</f>
        <v>0</v>
      </c>
      <c r="AR62" s="169">
        <f>IF(AR$81="","",Underwriting!AW120)</f>
        <v>0</v>
      </c>
      <c r="AS62" s="169">
        <f>IF(AS$81="","",Underwriting!AX120)</f>
        <v>22174.686987491885</v>
      </c>
      <c r="AT62" s="169">
        <f>IF(AT$81="","",Underwriting!AY120)</f>
        <v>44349.37397498377</v>
      </c>
      <c r="AU62" s="169">
        <f>IF(AU$81="","",Underwriting!AZ120)</f>
        <v>68505.80460187509</v>
      </c>
      <c r="AV62" s="169">
        <f>IF(AV$81="","",Underwriting!BA120)</f>
        <v>91341.072802500115</v>
      </c>
      <c r="AW62" s="169">
        <f>IF(AW$81="","",Underwriting!BB120)</f>
        <v>114176.34100312517</v>
      </c>
      <c r="AX62" s="169">
        <f>IF(AX$81="","",Underwriting!BC120)</f>
        <v>137011.60920375018</v>
      </c>
      <c r="AY62" s="169">
        <f>IF(AY$81="","",Underwriting!BD120)</f>
        <v>159846.87740437523</v>
      </c>
      <c r="AZ62" s="169">
        <f>IF(AZ$81="","",Underwriting!BE120)</f>
        <v>182682.14560500023</v>
      </c>
      <c r="BA62" s="169">
        <f>IF(BA$81="","",Underwriting!BF120)</f>
        <v>205517.41380562529</v>
      </c>
      <c r="BB62" s="169">
        <f>IF(BB$81="","",Underwriting!BG120)</f>
        <v>228352.68200625034</v>
      </c>
      <c r="BC62" s="169">
        <f>IF(BC$81="","",Underwriting!BH120)</f>
        <v>251187.95020687528</v>
      </c>
      <c r="BD62" s="169">
        <f>IF(BD$81="","",Underwriting!BI120)</f>
        <v>280873.79886768787</v>
      </c>
      <c r="BE62" s="169">
        <f>IF(BE$81="","",Underwriting!BJ120)</f>
        <v>280873.79886768787</v>
      </c>
      <c r="BF62" s="169">
        <f>IF(BF$81="","",Underwriting!BK120)</f>
        <v>280873.79886768787</v>
      </c>
      <c r="BG62" s="169">
        <f>IF(BG$81="","",Underwriting!BL120)</f>
        <v>280873.79886768787</v>
      </c>
      <c r="BH62" s="169">
        <f>IF(BH$81="","",Underwriting!BM120)</f>
        <v>280873.79886768787</v>
      </c>
      <c r="BI62" s="169">
        <f>IF(BI$81="","",Underwriting!BN120)</f>
        <v>280873.79886768787</v>
      </c>
      <c r="BJ62" s="169">
        <f>IF(BJ$81="","",Underwriting!BO120)</f>
        <v>280873.79886768787</v>
      </c>
      <c r="BK62" s="169">
        <f>IF(BK$81="","",Underwriting!BP120)</f>
        <v>280873.79886768787</v>
      </c>
      <c r="BL62" s="169">
        <f>IF(BL$81="","",Underwriting!BQ120)</f>
        <v>280873.79886768787</v>
      </c>
      <c r="BM62" s="169">
        <f>IF(BM$81="","",Underwriting!BR120)</f>
        <v>280873.79886768787</v>
      </c>
      <c r="BN62" s="169">
        <f>IF(BN$81="","",Underwriting!BS120)</f>
        <v>280873.79886768787</v>
      </c>
      <c r="BO62" s="169">
        <f>IF(BO$81="","",Underwriting!BT120)</f>
        <v>280873.79886768787</v>
      </c>
      <c r="BP62" s="169">
        <f>IF(BP$81="","",Underwriting!BU120)</f>
        <v>287895.64383938012</v>
      </c>
      <c r="BQ62" s="169" t="str">
        <f>IF(BQ$81="","",Underwriting!BV120)</f>
        <v/>
      </c>
      <c r="BR62" s="169" t="str">
        <f>IF(BR$81="","",Underwriting!BW120)</f>
        <v/>
      </c>
      <c r="BS62" s="169" t="str">
        <f>IF(BS$81="","",Underwriting!BX120)</f>
        <v/>
      </c>
      <c r="BT62" s="169" t="str">
        <f>IF(BT$81="","",Underwriting!BY120)</f>
        <v/>
      </c>
      <c r="BU62" s="169" t="str">
        <f>IF(BU$81="","",Underwriting!BZ120)</f>
        <v/>
      </c>
      <c r="BV62" s="169" t="str">
        <f>IF(BV$81="","",Underwriting!CA120)</f>
        <v/>
      </c>
      <c r="BW62" s="169" t="str">
        <f>IF(BW$81="","",Underwriting!CB120)</f>
        <v/>
      </c>
      <c r="BX62" s="169" t="str">
        <f>IF(BX$81="","",Underwriting!CC120)</f>
        <v/>
      </c>
      <c r="BY62" s="169" t="str">
        <f>IF(BY$81="","",Underwriting!CD120)</f>
        <v/>
      </c>
      <c r="BZ62" s="169" t="str">
        <f>IF(BZ$81="","",Underwriting!CE120)</f>
        <v/>
      </c>
      <c r="CA62" s="169" t="str">
        <f>IF(CA$81="","",Underwriting!CF120)</f>
        <v/>
      </c>
      <c r="CB62" s="169" t="str">
        <f>IF(CB$81="","",Underwriting!CG120)</f>
        <v/>
      </c>
      <c r="CC62" s="169" t="str">
        <f>IF(CC$81="","",Underwriting!CH120)</f>
        <v/>
      </c>
      <c r="CD62" s="169" t="str">
        <f>IF(CD$81="","",Underwriting!CI120)</f>
        <v/>
      </c>
      <c r="CE62" s="169" t="str">
        <f>IF(CE$81="","",Underwriting!CJ120)</f>
        <v/>
      </c>
      <c r="CF62" s="169" t="str">
        <f>IF(CF$81="","",Underwriting!CK120)</f>
        <v/>
      </c>
      <c r="CG62" s="169" t="str">
        <f>IF(CG$81="","",Underwriting!CL120)</f>
        <v/>
      </c>
      <c r="CH62" s="169" t="str">
        <f>IF(CH$81="","",Underwriting!CM120)</f>
        <v/>
      </c>
      <c r="CI62" s="169" t="str">
        <f>IF(CI$81="","",Underwriting!CN120)</f>
        <v/>
      </c>
      <c r="CJ62" s="169" t="str">
        <f>IF(CJ$81="","",Underwriting!CO120)</f>
        <v/>
      </c>
      <c r="CK62" s="169" t="str">
        <f>IF(CK$81="","",Underwriting!CP120)</f>
        <v/>
      </c>
      <c r="CL62" s="169" t="str">
        <f>IF(CL$81="","",Underwriting!CQ120)</f>
        <v/>
      </c>
      <c r="CM62" s="169" t="str">
        <f>IF(CM$81="","",Underwriting!CR120)</f>
        <v/>
      </c>
      <c r="CN62" s="169" t="str">
        <f>IF(CN$81="","",Underwriting!CS120)</f>
        <v/>
      </c>
      <c r="CO62" s="169" t="str">
        <f>IF(CO$81="","",Underwriting!CT120)</f>
        <v/>
      </c>
      <c r="CP62" s="169" t="str">
        <f>IF(CP$81="","",Underwriting!CU120)</f>
        <v/>
      </c>
      <c r="CQ62" s="169" t="str">
        <f>IF(CQ$81="","",Underwriting!CV120)</f>
        <v/>
      </c>
      <c r="CR62" s="169" t="str">
        <f>IF(CR$81="","",Underwriting!CW120)</f>
        <v/>
      </c>
      <c r="CS62" s="169" t="str">
        <f>IF(CS$81="","",Underwriting!CX120)</f>
        <v/>
      </c>
      <c r="CT62" s="169" t="str">
        <f>IF(CT$81="","",Underwriting!CY120)</f>
        <v/>
      </c>
      <c r="CU62" s="169" t="str">
        <f>IF(CU$81="","",Underwriting!CZ120)</f>
        <v/>
      </c>
      <c r="CV62" s="169" t="str">
        <f>IF(CV$81="","",Underwriting!DA120)</f>
        <v/>
      </c>
      <c r="CW62" s="169" t="str">
        <f>IF(CW$81="","",Underwriting!DB120)</f>
        <v/>
      </c>
      <c r="CX62" s="169" t="str">
        <f>IF(CX$81="","",Underwriting!DC120)</f>
        <v/>
      </c>
      <c r="CY62" s="169" t="str">
        <f>IF(CY$81="","",Underwriting!DD120)</f>
        <v/>
      </c>
      <c r="CZ62" s="169" t="str">
        <f>IF(CZ$81="","",Underwriting!DE120)</f>
        <v/>
      </c>
      <c r="DA62" s="169" t="str">
        <f>IF(DA$81="","",Underwriting!DF120)</f>
        <v/>
      </c>
      <c r="DB62" s="169" t="str">
        <f>IF(DB$81="","",Underwriting!DG120)</f>
        <v/>
      </c>
      <c r="DC62" s="169" t="str">
        <f>IF(DC$81="","",Underwriting!DH120)</f>
        <v/>
      </c>
      <c r="DD62" s="169" t="str">
        <f>IF(DD$81="","",Underwriting!DI120)</f>
        <v/>
      </c>
      <c r="DE62" s="169" t="str">
        <f>IF(DE$81="","",Underwriting!DJ120)</f>
        <v/>
      </c>
      <c r="DF62" s="169" t="str">
        <f>IF(DF$81="","",Underwriting!DK120)</f>
        <v/>
      </c>
      <c r="DG62" s="169" t="str">
        <f>IF(DG$81="","",Underwriting!DL120)</f>
        <v/>
      </c>
      <c r="DH62" s="169" t="str">
        <f>IF(DH$81="","",Underwriting!DM120)</f>
        <v/>
      </c>
      <c r="DI62" s="169" t="str">
        <f>IF(DI$81="","",Underwriting!DN120)</f>
        <v/>
      </c>
      <c r="DJ62" s="169" t="str">
        <f>IF(DJ$81="","",Underwriting!DO120)</f>
        <v/>
      </c>
      <c r="DK62" s="169" t="str">
        <f>IF(DK$81="","",Underwriting!DP120)</f>
        <v/>
      </c>
      <c r="DL62" s="169" t="str">
        <f>IF(DL$81="","",Underwriting!DQ120)</f>
        <v/>
      </c>
      <c r="DM62" s="169" t="str">
        <f>IF(DM$81="","",Underwriting!DR120)</f>
        <v/>
      </c>
      <c r="DN62" s="169" t="str">
        <f>IF(DN$81="","",Underwriting!DS120)</f>
        <v/>
      </c>
      <c r="DO62" s="169" t="str">
        <f>IF(DO$81="","",Underwriting!DT120)</f>
        <v/>
      </c>
      <c r="DP62" s="169" t="str">
        <f>IF(DP$81="","",Underwriting!DU120)</f>
        <v/>
      </c>
      <c r="DQ62" s="169" t="str">
        <f>IF(DQ$81="","",Underwriting!DV120)</f>
        <v/>
      </c>
      <c r="DR62" s="169" t="str">
        <f>IF(DR$81="","",Underwriting!DW120)</f>
        <v/>
      </c>
      <c r="DS62" s="169" t="str">
        <f>IF(DS$81="","",Underwriting!DX120)</f>
        <v/>
      </c>
      <c r="DT62" s="169" t="str">
        <f>IF(DT$81="","",Underwriting!DY120)</f>
        <v/>
      </c>
      <c r="DU62" s="169" t="str">
        <f>IF(DU$81="","",Underwriting!DZ120)</f>
        <v/>
      </c>
      <c r="DV62" s="169" t="str">
        <f>IF(DV$81="","",Underwriting!EA120)</f>
        <v/>
      </c>
      <c r="DW62" s="169" t="str">
        <f>IF(DW$81="","",Underwriting!EB120)</f>
        <v/>
      </c>
      <c r="DX62" s="169" t="str">
        <f>IF(DX$81="","",Underwriting!EC120)</f>
        <v/>
      </c>
      <c r="DY62" s="169" t="str">
        <f>IF(DY$81="","",Underwriting!ED120)</f>
        <v/>
      </c>
      <c r="DZ62" s="169" t="str">
        <f>IF(DZ$81="","",Underwriting!EE120)</f>
        <v/>
      </c>
      <c r="EA62" s="169" t="str">
        <f>IF(EA$81="","",Underwriting!EF120)</f>
        <v/>
      </c>
      <c r="EB62" s="169" t="str">
        <f>IF(EB$81="","",Underwriting!EG120)</f>
        <v/>
      </c>
      <c r="EC62" s="169" t="str">
        <f>IF(EC$81="","",Underwriting!EH120)</f>
        <v/>
      </c>
      <c r="ED62" s="169" t="str">
        <f>IF(ED$81="","",Underwriting!EI120)</f>
        <v/>
      </c>
      <c r="EE62" s="169" t="str">
        <f>IF(EE$81="","",Underwriting!EJ120)</f>
        <v/>
      </c>
      <c r="EF62" s="169" t="str">
        <f>IF(EF$81="","",Underwriting!EK120)</f>
        <v/>
      </c>
      <c r="EG62" s="169" t="str">
        <f>IF(EG$81="","",Underwriting!EL120)</f>
        <v/>
      </c>
      <c r="EH62" s="169" t="str">
        <f>IF(EH$81="","",Underwriting!EM120)</f>
        <v/>
      </c>
      <c r="EI62" s="169" t="str">
        <f>IF(EI$81="","",Underwriting!EN120)</f>
        <v/>
      </c>
    </row>
    <row r="63" spans="2:139" x14ac:dyDescent="0.35">
      <c r="B63" s="163" t="s">
        <v>352</v>
      </c>
      <c r="C63" s="4"/>
      <c r="D63" s="4"/>
      <c r="E63" s="4"/>
      <c r="F63" s="4"/>
      <c r="G63" s="172">
        <f>IF(G$81="","",Underwriting!L126)</f>
        <v>0</v>
      </c>
      <c r="H63" s="172">
        <f>IF(H$81="","",Underwriting!M126)</f>
        <v>0</v>
      </c>
      <c r="I63" s="172">
        <f>IF(I$81="","",Underwriting!N126)</f>
        <v>0</v>
      </c>
      <c r="J63" s="172">
        <f>IF(J$81="","",Underwriting!O126)</f>
        <v>0</v>
      </c>
      <c r="K63" s="172">
        <f>IF(K$81="","",Underwriting!P126)</f>
        <v>0</v>
      </c>
      <c r="L63" s="172">
        <f>IF(L$81="","",Underwriting!Q126)</f>
        <v>0</v>
      </c>
      <c r="M63" s="172">
        <f>IF(M$81="","",Underwriting!R126)</f>
        <v>0</v>
      </c>
      <c r="N63" s="172">
        <f>IF(N$81="","",Underwriting!S126)</f>
        <v>0</v>
      </c>
      <c r="O63" s="172">
        <f>IF(O$81="","",Underwriting!T126)</f>
        <v>0</v>
      </c>
      <c r="P63" s="172">
        <f>IF(P$81="","",Underwriting!U126)</f>
        <v>0</v>
      </c>
      <c r="Q63" s="172">
        <f>IF(Q$81="","",Underwriting!V126)</f>
        <v>0</v>
      </c>
      <c r="R63" s="172">
        <f>IF(R$81="","",Underwriting!W126)</f>
        <v>0</v>
      </c>
      <c r="S63" s="170">
        <f>IF(S$81="","",Underwriting!X126)</f>
        <v>0</v>
      </c>
      <c r="T63" s="170">
        <f>IF(T$81="","",Underwriting!Y126)</f>
        <v>0</v>
      </c>
      <c r="U63" s="170">
        <f>IF(U$81="","",Underwriting!Z126)</f>
        <v>0</v>
      </c>
      <c r="V63" s="170">
        <f>IF(V$81="","",Underwriting!AA126)</f>
        <v>0</v>
      </c>
      <c r="W63" s="170">
        <f>IF(W$81="","",Underwriting!AB126)</f>
        <v>0</v>
      </c>
      <c r="X63" s="170">
        <f>IF(X$81="","",Underwriting!AC126)</f>
        <v>0</v>
      </c>
      <c r="Y63" s="170">
        <f>IF(Y$81="","",Underwriting!AD126)</f>
        <v>0</v>
      </c>
      <c r="Z63" s="170">
        <f>IF(Z$81="","",Underwriting!AE126)</f>
        <v>0</v>
      </c>
      <c r="AA63" s="170">
        <f>IF(AA$81="","",Underwriting!AF126)</f>
        <v>0</v>
      </c>
      <c r="AB63" s="170">
        <f>IF(AB$81="","",Underwriting!AG126)</f>
        <v>0</v>
      </c>
      <c r="AC63" s="170">
        <f>IF(AC$81="","",Underwriting!AH126)</f>
        <v>0</v>
      </c>
      <c r="AD63" s="170">
        <f>IF(AD$81="","",Underwriting!AI126)</f>
        <v>0</v>
      </c>
      <c r="AE63" s="170">
        <f>IF(AE$81="","",Underwriting!AJ126)</f>
        <v>0</v>
      </c>
      <c r="AF63" s="170">
        <f>IF(AF$81="","",Underwriting!AK126)</f>
        <v>0</v>
      </c>
      <c r="AG63" s="170">
        <f>IF(AG$81="","",Underwriting!AL126)</f>
        <v>0</v>
      </c>
      <c r="AH63" s="170">
        <f>IF(AH$81="","",Underwriting!AM126)</f>
        <v>0</v>
      </c>
      <c r="AI63" s="170">
        <f>IF(AI$81="","",Underwriting!AN126)</f>
        <v>0</v>
      </c>
      <c r="AJ63" s="170">
        <f>IF(AJ$81="","",Underwriting!AO126)</f>
        <v>0</v>
      </c>
      <c r="AK63" s="170">
        <f>IF(AK$81="","",Underwriting!AP126)</f>
        <v>0</v>
      </c>
      <c r="AL63" s="170">
        <f>IF(AL$81="","",Underwriting!AQ126)</f>
        <v>0</v>
      </c>
      <c r="AM63" s="170">
        <f>IF(AM$81="","",Underwriting!AR126)</f>
        <v>0</v>
      </c>
      <c r="AN63" s="170">
        <f>IF(AN$81="","",Underwriting!AS126)</f>
        <v>0</v>
      </c>
      <c r="AO63" s="170">
        <f>IF(AO$81="","",Underwriting!AT126)</f>
        <v>0</v>
      </c>
      <c r="AP63" s="170">
        <f>IF(AP$81="","",Underwriting!AU126)</f>
        <v>0</v>
      </c>
      <c r="AQ63" s="170">
        <f>IF(AQ$81="","",Underwriting!AV126)</f>
        <v>0</v>
      </c>
      <c r="AR63" s="170">
        <f>IF(AR$81="","",Underwriting!AW126)</f>
        <v>23966.833333333332</v>
      </c>
      <c r="AS63" s="170">
        <f>IF(AS$81="","",Underwriting!AX126)</f>
        <v>232121.83157913748</v>
      </c>
      <c r="AT63" s="170">
        <f>IF(AT$81="","",Underwriting!AY126)</f>
        <v>440276.82982494164</v>
      </c>
      <c r="AU63" s="170">
        <f>IF(AU$81="","",Underwriting!AZ126)</f>
        <v>648431.8280707458</v>
      </c>
      <c r="AV63" s="170">
        <f>IF(AV$81="","",Underwriting!BA126)</f>
        <v>856586.82631654991</v>
      </c>
      <c r="AW63" s="170">
        <f>IF(AW$81="","",Underwriting!BB126)</f>
        <v>1064741.8245623542</v>
      </c>
      <c r="AX63" s="170">
        <f>IF(AX$81="","",Underwriting!BC126)</f>
        <v>1272896.8228081584</v>
      </c>
      <c r="AY63" s="170">
        <f>IF(AY$81="","",Underwriting!BD126)</f>
        <v>1481051.8210539625</v>
      </c>
      <c r="AZ63" s="170">
        <f>IF(AZ$81="","",Underwriting!BE126)</f>
        <v>1689206.8192997666</v>
      </c>
      <c r="BA63" s="170">
        <f>IF(BA$81="","",Underwriting!BF126)</f>
        <v>1897361.8175455707</v>
      </c>
      <c r="BB63" s="170">
        <f>IF(BB$81="","",Underwriting!BG126)</f>
        <v>2105516.815791375</v>
      </c>
      <c r="BC63" s="170">
        <f>IF(BC$81="","",Underwriting!BH126)</f>
        <v>2313671.8140371786</v>
      </c>
      <c r="BD63" s="170">
        <f>IF(BD$81="","",Underwriting!BI126)</f>
        <v>2584872.4825900574</v>
      </c>
      <c r="BE63" s="170">
        <f>IF(BE$81="","",Underwriting!BJ126)</f>
        <v>2584872.4825900574</v>
      </c>
      <c r="BF63" s="170">
        <f>IF(BF$81="","",Underwriting!BK126)</f>
        <v>2584872.4825900574</v>
      </c>
      <c r="BG63" s="170">
        <f>IF(BG$81="","",Underwriting!BL126)</f>
        <v>2584872.4825900574</v>
      </c>
      <c r="BH63" s="170">
        <f>IF(BH$81="","",Underwriting!BM126)</f>
        <v>2584872.4825900574</v>
      </c>
      <c r="BI63" s="170">
        <f>IF(BI$81="","",Underwriting!BN126)</f>
        <v>2584872.4825900574</v>
      </c>
      <c r="BJ63" s="170">
        <f>IF(BJ$81="","",Underwriting!BO126)</f>
        <v>2584872.4825900574</v>
      </c>
      <c r="BK63" s="170">
        <f>IF(BK$81="","",Underwriting!BP126)</f>
        <v>2584872.4825900574</v>
      </c>
      <c r="BL63" s="170">
        <f>IF(BL$81="","",Underwriting!BQ126)</f>
        <v>2584872.4825900574</v>
      </c>
      <c r="BM63" s="170">
        <f>IF(BM$81="","",Underwriting!BR126)</f>
        <v>2584872.4825900574</v>
      </c>
      <c r="BN63" s="170">
        <f>IF(BN$81="","",Underwriting!BS126)</f>
        <v>2584872.4825900574</v>
      </c>
      <c r="BO63" s="170">
        <f>IF(BO$81="","",Underwriting!BT126)</f>
        <v>2584872.4825900574</v>
      </c>
      <c r="BP63" s="170">
        <f>IF(BP$81="","",Underwriting!BU126)</f>
        <v>2649494.2946548089</v>
      </c>
      <c r="BQ63" s="170" t="str">
        <f>IF(BQ$81="","",Underwriting!BV126)</f>
        <v/>
      </c>
      <c r="BR63" s="170" t="str">
        <f>IF(BR$81="","",Underwriting!BW126)</f>
        <v/>
      </c>
      <c r="BS63" s="170" t="str">
        <f>IF(BS$81="","",Underwriting!BX126)</f>
        <v/>
      </c>
      <c r="BT63" s="170" t="str">
        <f>IF(BT$81="","",Underwriting!BY126)</f>
        <v/>
      </c>
      <c r="BU63" s="170" t="str">
        <f>IF(BU$81="","",Underwriting!BZ126)</f>
        <v/>
      </c>
      <c r="BV63" s="170" t="str">
        <f>IF(BV$81="","",Underwriting!CA126)</f>
        <v/>
      </c>
      <c r="BW63" s="170" t="str">
        <f>IF(BW$81="","",Underwriting!CB126)</f>
        <v/>
      </c>
      <c r="BX63" s="170" t="str">
        <f>IF(BX$81="","",Underwriting!CC126)</f>
        <v/>
      </c>
      <c r="BY63" s="170" t="str">
        <f>IF(BY$81="","",Underwriting!CD126)</f>
        <v/>
      </c>
      <c r="BZ63" s="170" t="str">
        <f>IF(BZ$81="","",Underwriting!CE126)</f>
        <v/>
      </c>
      <c r="CA63" s="170" t="str">
        <f>IF(CA$81="","",Underwriting!CF126)</f>
        <v/>
      </c>
      <c r="CB63" s="170" t="str">
        <f>IF(CB$81="","",Underwriting!CG126)</f>
        <v/>
      </c>
      <c r="CC63" s="170" t="str">
        <f>IF(CC$81="","",Underwriting!CH126)</f>
        <v/>
      </c>
      <c r="CD63" s="170" t="str">
        <f>IF(CD$81="","",Underwriting!CI126)</f>
        <v/>
      </c>
      <c r="CE63" s="170" t="str">
        <f>IF(CE$81="","",Underwriting!CJ126)</f>
        <v/>
      </c>
      <c r="CF63" s="170" t="str">
        <f>IF(CF$81="","",Underwriting!CK126)</f>
        <v/>
      </c>
      <c r="CG63" s="170" t="str">
        <f>IF(CG$81="","",Underwriting!CL126)</f>
        <v/>
      </c>
      <c r="CH63" s="170" t="str">
        <f>IF(CH$81="","",Underwriting!CM126)</f>
        <v/>
      </c>
      <c r="CI63" s="170" t="str">
        <f>IF(CI$81="","",Underwriting!CN126)</f>
        <v/>
      </c>
      <c r="CJ63" s="170" t="str">
        <f>IF(CJ$81="","",Underwriting!CO126)</f>
        <v/>
      </c>
      <c r="CK63" s="170" t="str">
        <f>IF(CK$81="","",Underwriting!CP126)</f>
        <v/>
      </c>
      <c r="CL63" s="170" t="str">
        <f>IF(CL$81="","",Underwriting!CQ126)</f>
        <v/>
      </c>
      <c r="CM63" s="170" t="str">
        <f>IF(CM$81="","",Underwriting!CR126)</f>
        <v/>
      </c>
      <c r="CN63" s="170" t="str">
        <f>IF(CN$81="","",Underwriting!CS126)</f>
        <v/>
      </c>
      <c r="CO63" s="170" t="str">
        <f>IF(CO$81="","",Underwriting!CT126)</f>
        <v/>
      </c>
      <c r="CP63" s="170" t="str">
        <f>IF(CP$81="","",Underwriting!CU126)</f>
        <v/>
      </c>
      <c r="CQ63" s="170" t="str">
        <f>IF(CQ$81="","",Underwriting!CV126)</f>
        <v/>
      </c>
      <c r="CR63" s="170" t="str">
        <f>IF(CR$81="","",Underwriting!CW126)</f>
        <v/>
      </c>
      <c r="CS63" s="170" t="str">
        <f>IF(CS$81="","",Underwriting!CX126)</f>
        <v/>
      </c>
      <c r="CT63" s="170" t="str">
        <f>IF(CT$81="","",Underwriting!CY126)</f>
        <v/>
      </c>
      <c r="CU63" s="170" t="str">
        <f>IF(CU$81="","",Underwriting!CZ126)</f>
        <v/>
      </c>
      <c r="CV63" s="170" t="str">
        <f>IF(CV$81="","",Underwriting!DA126)</f>
        <v/>
      </c>
      <c r="CW63" s="170" t="str">
        <f>IF(CW$81="","",Underwriting!DB126)</f>
        <v/>
      </c>
      <c r="CX63" s="170" t="str">
        <f>IF(CX$81="","",Underwriting!DC126)</f>
        <v/>
      </c>
      <c r="CY63" s="170" t="str">
        <f>IF(CY$81="","",Underwriting!DD126)</f>
        <v/>
      </c>
      <c r="CZ63" s="170" t="str">
        <f>IF(CZ$81="","",Underwriting!DE126)</f>
        <v/>
      </c>
      <c r="DA63" s="170" t="str">
        <f>IF(DA$81="","",Underwriting!DF126)</f>
        <v/>
      </c>
      <c r="DB63" s="170" t="str">
        <f>IF(DB$81="","",Underwriting!DG126)</f>
        <v/>
      </c>
      <c r="DC63" s="170" t="str">
        <f>IF(DC$81="","",Underwriting!DH126)</f>
        <v/>
      </c>
      <c r="DD63" s="170" t="str">
        <f>IF(DD$81="","",Underwriting!DI126)</f>
        <v/>
      </c>
      <c r="DE63" s="170" t="str">
        <f>IF(DE$81="","",Underwriting!DJ126)</f>
        <v/>
      </c>
      <c r="DF63" s="170" t="str">
        <f>IF(DF$81="","",Underwriting!DK126)</f>
        <v/>
      </c>
      <c r="DG63" s="170" t="str">
        <f>IF(DG$81="","",Underwriting!DL126)</f>
        <v/>
      </c>
      <c r="DH63" s="170" t="str">
        <f>IF(DH$81="","",Underwriting!DM126)</f>
        <v/>
      </c>
      <c r="DI63" s="170" t="str">
        <f>IF(DI$81="","",Underwriting!DN126)</f>
        <v/>
      </c>
      <c r="DJ63" s="170" t="str">
        <f>IF(DJ$81="","",Underwriting!DO126)</f>
        <v/>
      </c>
      <c r="DK63" s="170" t="str">
        <f>IF(DK$81="","",Underwriting!DP126)</f>
        <v/>
      </c>
      <c r="DL63" s="170" t="str">
        <f>IF(DL$81="","",Underwriting!DQ126)</f>
        <v/>
      </c>
      <c r="DM63" s="170" t="str">
        <f>IF(DM$81="","",Underwriting!DR126)</f>
        <v/>
      </c>
      <c r="DN63" s="170" t="str">
        <f>IF(DN$81="","",Underwriting!DS126)</f>
        <v/>
      </c>
      <c r="DO63" s="170" t="str">
        <f>IF(DO$81="","",Underwriting!DT126)</f>
        <v/>
      </c>
      <c r="DP63" s="170" t="str">
        <f>IF(DP$81="","",Underwriting!DU126)</f>
        <v/>
      </c>
      <c r="DQ63" s="170" t="str">
        <f>IF(DQ$81="","",Underwriting!DV126)</f>
        <v/>
      </c>
      <c r="DR63" s="170" t="str">
        <f>IF(DR$81="","",Underwriting!DW126)</f>
        <v/>
      </c>
      <c r="DS63" s="170" t="str">
        <f>IF(DS$81="","",Underwriting!DX126)</f>
        <v/>
      </c>
      <c r="DT63" s="170" t="str">
        <f>IF(DT$81="","",Underwriting!DY126)</f>
        <v/>
      </c>
      <c r="DU63" s="170" t="str">
        <f>IF(DU$81="","",Underwriting!DZ126)</f>
        <v/>
      </c>
      <c r="DV63" s="170" t="str">
        <f>IF(DV$81="","",Underwriting!EA126)</f>
        <v/>
      </c>
      <c r="DW63" s="170" t="str">
        <f>IF(DW$81="","",Underwriting!EB126)</f>
        <v/>
      </c>
      <c r="DX63" s="170" t="str">
        <f>IF(DX$81="","",Underwriting!EC126)</f>
        <v/>
      </c>
      <c r="DY63" s="170" t="str">
        <f>IF(DY$81="","",Underwriting!ED126)</f>
        <v/>
      </c>
      <c r="DZ63" s="170" t="str">
        <f>IF(DZ$81="","",Underwriting!EE126)</f>
        <v/>
      </c>
      <c r="EA63" s="170" t="str">
        <f>IF(EA$81="","",Underwriting!EF126)</f>
        <v/>
      </c>
      <c r="EB63" s="170" t="str">
        <f>IF(EB$81="","",Underwriting!EG126)</f>
        <v/>
      </c>
      <c r="EC63" s="170" t="str">
        <f>IF(EC$81="","",Underwriting!EH126)</f>
        <v/>
      </c>
      <c r="ED63" s="170" t="str">
        <f>IF(ED$81="","",Underwriting!EI126)</f>
        <v/>
      </c>
      <c r="EE63" s="170" t="str">
        <f>IF(EE$81="","",Underwriting!EJ126)</f>
        <v/>
      </c>
      <c r="EF63" s="170" t="str">
        <f>IF(EF$81="","",Underwriting!EK126)</f>
        <v/>
      </c>
      <c r="EG63" s="170" t="str">
        <f>IF(EG$81="","",Underwriting!EL126)</f>
        <v/>
      </c>
      <c r="EH63" s="170" t="str">
        <f>IF(EH$81="","",Underwriting!EM126)</f>
        <v/>
      </c>
      <c r="EI63" s="170" t="str">
        <f>IF(EI$81="","",Underwriting!EN126)</f>
        <v/>
      </c>
    </row>
    <row r="64" spans="2:139" x14ac:dyDescent="0.35">
      <c r="B64" s="4" t="s">
        <v>504</v>
      </c>
      <c r="C64" s="4"/>
      <c r="D64" s="4"/>
      <c r="E64" s="4"/>
      <c r="F64" s="4"/>
      <c r="G64" s="171">
        <f t="shared" ref="G64:AL64" si="38">IF(G$81="","",SUM(G61:G63))</f>
        <v>0</v>
      </c>
      <c r="H64" s="171">
        <f t="shared" si="38"/>
        <v>0</v>
      </c>
      <c r="I64" s="171">
        <f t="shared" si="38"/>
        <v>0</v>
      </c>
      <c r="J64" s="171">
        <f t="shared" si="38"/>
        <v>0</v>
      </c>
      <c r="K64" s="171">
        <f t="shared" si="38"/>
        <v>0</v>
      </c>
      <c r="L64" s="171">
        <f t="shared" si="38"/>
        <v>0</v>
      </c>
      <c r="M64" s="171">
        <f t="shared" si="38"/>
        <v>0</v>
      </c>
      <c r="N64" s="171">
        <f t="shared" si="38"/>
        <v>0</v>
      </c>
      <c r="O64" s="171">
        <f t="shared" si="38"/>
        <v>0</v>
      </c>
      <c r="P64" s="171">
        <f t="shared" si="38"/>
        <v>0</v>
      </c>
      <c r="Q64" s="171">
        <f t="shared" si="38"/>
        <v>0</v>
      </c>
      <c r="R64" s="171">
        <f t="shared" si="38"/>
        <v>0</v>
      </c>
      <c r="S64" s="169">
        <f t="shared" si="38"/>
        <v>0</v>
      </c>
      <c r="T64" s="169">
        <f t="shared" si="38"/>
        <v>0</v>
      </c>
      <c r="U64" s="169">
        <f t="shared" si="38"/>
        <v>0</v>
      </c>
      <c r="V64" s="169">
        <f t="shared" si="38"/>
        <v>0</v>
      </c>
      <c r="W64" s="169">
        <f t="shared" si="38"/>
        <v>0</v>
      </c>
      <c r="X64" s="169">
        <f t="shared" si="38"/>
        <v>0</v>
      </c>
      <c r="Y64" s="169">
        <f t="shared" si="38"/>
        <v>0</v>
      </c>
      <c r="Z64" s="169">
        <f t="shared" si="38"/>
        <v>0</v>
      </c>
      <c r="AA64" s="169">
        <f t="shared" si="38"/>
        <v>0</v>
      </c>
      <c r="AB64" s="169">
        <f t="shared" si="38"/>
        <v>0</v>
      </c>
      <c r="AC64" s="169">
        <f t="shared" si="38"/>
        <v>716666.66666666663</v>
      </c>
      <c r="AD64" s="169">
        <f t="shared" si="38"/>
        <v>716666.66666666663</v>
      </c>
      <c r="AE64" s="169">
        <f t="shared" si="38"/>
        <v>716666.66666666663</v>
      </c>
      <c r="AF64" s="169">
        <f t="shared" si="38"/>
        <v>933333.33333333326</v>
      </c>
      <c r="AG64" s="169">
        <f t="shared" si="38"/>
        <v>933333.33333333326</v>
      </c>
      <c r="AH64" s="169">
        <f t="shared" si="38"/>
        <v>933333.33333333326</v>
      </c>
      <c r="AI64" s="169">
        <f t="shared" si="38"/>
        <v>1107500</v>
      </c>
      <c r="AJ64" s="169">
        <f t="shared" si="38"/>
        <v>1107500</v>
      </c>
      <c r="AK64" s="169">
        <f t="shared" si="38"/>
        <v>1107500</v>
      </c>
      <c r="AL64" s="169">
        <f t="shared" si="38"/>
        <v>1265833.3333333333</v>
      </c>
      <c r="AM64" s="169">
        <f t="shared" ref="AM64:BR64" si="39">IF(AM$81="","",SUM(AM61:AM63))</f>
        <v>1265833.3333333333</v>
      </c>
      <c r="AN64" s="169">
        <f t="shared" si="39"/>
        <v>1265833.3333333333</v>
      </c>
      <c r="AO64" s="169">
        <f t="shared" si="39"/>
        <v>1298416.6666666665</v>
      </c>
      <c r="AP64" s="169">
        <f t="shared" si="39"/>
        <v>1298416.6666666665</v>
      </c>
      <c r="AQ64" s="169">
        <f t="shared" si="39"/>
        <v>1298416.6666666665</v>
      </c>
      <c r="AR64" s="169">
        <f t="shared" si="39"/>
        <v>1329966.833333333</v>
      </c>
      <c r="AS64" s="169">
        <f t="shared" si="39"/>
        <v>1560296.5185666289</v>
      </c>
      <c r="AT64" s="169">
        <f t="shared" si="39"/>
        <v>1790626.2037999253</v>
      </c>
      <c r="AU64" s="169">
        <f t="shared" si="39"/>
        <v>2029033.466005954</v>
      </c>
      <c r="AV64" s="169">
        <f t="shared" si="39"/>
        <v>2260023.7324523833</v>
      </c>
      <c r="AW64" s="169">
        <f t="shared" si="39"/>
        <v>2491013.9988988126</v>
      </c>
      <c r="AX64" s="169">
        <f t="shared" si="39"/>
        <v>2727545.9320119084</v>
      </c>
      <c r="AY64" s="169">
        <f t="shared" si="39"/>
        <v>2958536.1984583372</v>
      </c>
      <c r="AZ64" s="169">
        <f t="shared" si="39"/>
        <v>3189526.4649047665</v>
      </c>
      <c r="BA64" s="169">
        <f t="shared" si="39"/>
        <v>3446740.4813511958</v>
      </c>
      <c r="BB64" s="169">
        <f t="shared" si="39"/>
        <v>3677730.7477976251</v>
      </c>
      <c r="BC64" s="169">
        <f t="shared" si="39"/>
        <v>3908721.0142440535</v>
      </c>
      <c r="BD64" s="169">
        <f t="shared" si="39"/>
        <v>4217456.2814577445</v>
      </c>
      <c r="BE64" s="169">
        <f t="shared" si="39"/>
        <v>4217456.2814577445</v>
      </c>
      <c r="BF64" s="169">
        <f t="shared" si="39"/>
        <v>4217456.2814577445</v>
      </c>
      <c r="BG64" s="169">
        <f t="shared" si="39"/>
        <v>4223765.4689577445</v>
      </c>
      <c r="BH64" s="169">
        <f t="shared" si="39"/>
        <v>4223765.4689577445</v>
      </c>
      <c r="BI64" s="169">
        <f t="shared" si="39"/>
        <v>4223765.4689577445</v>
      </c>
      <c r="BJ64" s="169">
        <f t="shared" si="39"/>
        <v>4229501.0939577445</v>
      </c>
      <c r="BK64" s="169">
        <f t="shared" si="39"/>
        <v>4229501.0939577445</v>
      </c>
      <c r="BL64" s="169">
        <f t="shared" si="39"/>
        <v>4229501.0939577445</v>
      </c>
      <c r="BM64" s="169">
        <f t="shared" si="39"/>
        <v>4256642.6752077453</v>
      </c>
      <c r="BN64" s="169">
        <f t="shared" si="39"/>
        <v>4256642.6752077453</v>
      </c>
      <c r="BO64" s="169">
        <f t="shared" si="39"/>
        <v>4256642.6752077453</v>
      </c>
      <c r="BP64" s="169">
        <f t="shared" si="39"/>
        <v>4336409.7884941883</v>
      </c>
      <c r="BQ64" s="169" t="str">
        <f t="shared" si="39"/>
        <v/>
      </c>
      <c r="BR64" s="169" t="str">
        <f t="shared" si="39"/>
        <v/>
      </c>
      <c r="BS64" s="169" t="str">
        <f t="shared" ref="BS64:CX64" si="40">IF(BS$81="","",SUM(BS61:BS63))</f>
        <v/>
      </c>
      <c r="BT64" s="169" t="str">
        <f t="shared" si="40"/>
        <v/>
      </c>
      <c r="BU64" s="169" t="str">
        <f t="shared" si="40"/>
        <v/>
      </c>
      <c r="BV64" s="169" t="str">
        <f t="shared" si="40"/>
        <v/>
      </c>
      <c r="BW64" s="169" t="str">
        <f t="shared" si="40"/>
        <v/>
      </c>
      <c r="BX64" s="169" t="str">
        <f t="shared" si="40"/>
        <v/>
      </c>
      <c r="BY64" s="169" t="str">
        <f t="shared" si="40"/>
        <v/>
      </c>
      <c r="BZ64" s="169" t="str">
        <f t="shared" si="40"/>
        <v/>
      </c>
      <c r="CA64" s="169" t="str">
        <f t="shared" si="40"/>
        <v/>
      </c>
      <c r="CB64" s="169" t="str">
        <f t="shared" si="40"/>
        <v/>
      </c>
      <c r="CC64" s="169" t="str">
        <f t="shared" si="40"/>
        <v/>
      </c>
      <c r="CD64" s="169" t="str">
        <f t="shared" si="40"/>
        <v/>
      </c>
      <c r="CE64" s="169" t="str">
        <f t="shared" si="40"/>
        <v/>
      </c>
      <c r="CF64" s="169" t="str">
        <f t="shared" si="40"/>
        <v/>
      </c>
      <c r="CG64" s="169" t="str">
        <f t="shared" si="40"/>
        <v/>
      </c>
      <c r="CH64" s="169" t="str">
        <f t="shared" si="40"/>
        <v/>
      </c>
      <c r="CI64" s="169" t="str">
        <f t="shared" si="40"/>
        <v/>
      </c>
      <c r="CJ64" s="169" t="str">
        <f t="shared" si="40"/>
        <v/>
      </c>
      <c r="CK64" s="169" t="str">
        <f t="shared" si="40"/>
        <v/>
      </c>
      <c r="CL64" s="169" t="str">
        <f t="shared" si="40"/>
        <v/>
      </c>
      <c r="CM64" s="169" t="str">
        <f t="shared" si="40"/>
        <v/>
      </c>
      <c r="CN64" s="169" t="str">
        <f t="shared" si="40"/>
        <v/>
      </c>
      <c r="CO64" s="169" t="str">
        <f t="shared" si="40"/>
        <v/>
      </c>
      <c r="CP64" s="169" t="str">
        <f t="shared" si="40"/>
        <v/>
      </c>
      <c r="CQ64" s="169" t="str">
        <f t="shared" si="40"/>
        <v/>
      </c>
      <c r="CR64" s="169" t="str">
        <f t="shared" si="40"/>
        <v/>
      </c>
      <c r="CS64" s="169" t="str">
        <f t="shared" si="40"/>
        <v/>
      </c>
      <c r="CT64" s="169" t="str">
        <f t="shared" si="40"/>
        <v/>
      </c>
      <c r="CU64" s="169" t="str">
        <f t="shared" si="40"/>
        <v/>
      </c>
      <c r="CV64" s="169" t="str">
        <f t="shared" si="40"/>
        <v/>
      </c>
      <c r="CW64" s="169" t="str">
        <f t="shared" si="40"/>
        <v/>
      </c>
      <c r="CX64" s="169" t="str">
        <f t="shared" si="40"/>
        <v/>
      </c>
      <c r="CY64" s="169" t="str">
        <f t="shared" ref="CY64:ED64" si="41">IF(CY$81="","",SUM(CY61:CY63))</f>
        <v/>
      </c>
      <c r="CZ64" s="169" t="str">
        <f t="shared" si="41"/>
        <v/>
      </c>
      <c r="DA64" s="169" t="str">
        <f t="shared" si="41"/>
        <v/>
      </c>
      <c r="DB64" s="169" t="str">
        <f t="shared" si="41"/>
        <v/>
      </c>
      <c r="DC64" s="169" t="str">
        <f t="shared" si="41"/>
        <v/>
      </c>
      <c r="DD64" s="169" t="str">
        <f t="shared" si="41"/>
        <v/>
      </c>
      <c r="DE64" s="169" t="str">
        <f t="shared" si="41"/>
        <v/>
      </c>
      <c r="DF64" s="169" t="str">
        <f t="shared" si="41"/>
        <v/>
      </c>
      <c r="DG64" s="169" t="str">
        <f t="shared" si="41"/>
        <v/>
      </c>
      <c r="DH64" s="169" t="str">
        <f t="shared" si="41"/>
        <v/>
      </c>
      <c r="DI64" s="169" t="str">
        <f t="shared" si="41"/>
        <v/>
      </c>
      <c r="DJ64" s="169" t="str">
        <f t="shared" si="41"/>
        <v/>
      </c>
      <c r="DK64" s="169" t="str">
        <f t="shared" si="41"/>
        <v/>
      </c>
      <c r="DL64" s="169" t="str">
        <f t="shared" si="41"/>
        <v/>
      </c>
      <c r="DM64" s="169" t="str">
        <f t="shared" si="41"/>
        <v/>
      </c>
      <c r="DN64" s="169" t="str">
        <f t="shared" si="41"/>
        <v/>
      </c>
      <c r="DO64" s="169" t="str">
        <f t="shared" si="41"/>
        <v/>
      </c>
      <c r="DP64" s="169" t="str">
        <f t="shared" si="41"/>
        <v/>
      </c>
      <c r="DQ64" s="169" t="str">
        <f t="shared" si="41"/>
        <v/>
      </c>
      <c r="DR64" s="169" t="str">
        <f t="shared" si="41"/>
        <v/>
      </c>
      <c r="DS64" s="169" t="str">
        <f t="shared" si="41"/>
        <v/>
      </c>
      <c r="DT64" s="169" t="str">
        <f t="shared" si="41"/>
        <v/>
      </c>
      <c r="DU64" s="169" t="str">
        <f t="shared" si="41"/>
        <v/>
      </c>
      <c r="DV64" s="169" t="str">
        <f t="shared" si="41"/>
        <v/>
      </c>
      <c r="DW64" s="169" t="str">
        <f t="shared" si="41"/>
        <v/>
      </c>
      <c r="DX64" s="169" t="str">
        <f t="shared" si="41"/>
        <v/>
      </c>
      <c r="DY64" s="169" t="str">
        <f t="shared" si="41"/>
        <v/>
      </c>
      <c r="DZ64" s="169" t="str">
        <f t="shared" si="41"/>
        <v/>
      </c>
      <c r="EA64" s="169" t="str">
        <f t="shared" si="41"/>
        <v/>
      </c>
      <c r="EB64" s="169" t="str">
        <f t="shared" si="41"/>
        <v/>
      </c>
      <c r="EC64" s="169" t="str">
        <f t="shared" si="41"/>
        <v/>
      </c>
      <c r="ED64" s="169" t="str">
        <f t="shared" si="41"/>
        <v/>
      </c>
      <c r="EE64" s="169" t="str">
        <f>IF(EE$81="","",SUM(EE61:EE63))</f>
        <v/>
      </c>
      <c r="EF64" s="169" t="str">
        <f>IF(EF$81="","",SUM(EF61:EF63))</f>
        <v/>
      </c>
      <c r="EG64" s="169" t="str">
        <f>IF(EG$81="","",SUM(EG61:EG63))</f>
        <v/>
      </c>
      <c r="EH64" s="169" t="str">
        <f>IF(EH$81="","",SUM(EH61:EH63))</f>
        <v/>
      </c>
      <c r="EI64" s="169" t="str">
        <f>IF(EI$81="","",SUM(EI61:EI63))</f>
        <v/>
      </c>
    </row>
    <row r="65" spans="2:139" x14ac:dyDescent="0.35">
      <c r="B65" s="163" t="s">
        <v>505</v>
      </c>
      <c r="C65" s="4"/>
      <c r="D65" s="4"/>
      <c r="E65" s="4"/>
      <c r="F65" s="4"/>
      <c r="G65" s="171">
        <f>IF(G$81="","",Underwriting!L129)</f>
        <v>0</v>
      </c>
      <c r="H65" s="171">
        <f>IF(H$81="","",Underwriting!M129)</f>
        <v>0</v>
      </c>
      <c r="I65" s="171">
        <f>IF(I$81="","",Underwriting!N129)</f>
        <v>0</v>
      </c>
      <c r="J65" s="171">
        <f>IF(J$81="","",Underwriting!O129)</f>
        <v>0</v>
      </c>
      <c r="K65" s="171">
        <f>IF(K$81="","",Underwriting!P129)</f>
        <v>0</v>
      </c>
      <c r="L65" s="171">
        <f>IF(L$81="","",Underwriting!Q129)</f>
        <v>0</v>
      </c>
      <c r="M65" s="171">
        <f>IF(M$81="","",Underwriting!R129)</f>
        <v>0</v>
      </c>
      <c r="N65" s="171">
        <f>IF(N$81="","",Underwriting!S129)</f>
        <v>0</v>
      </c>
      <c r="O65" s="171">
        <f>IF(O$81="","",Underwriting!T129)</f>
        <v>0</v>
      </c>
      <c r="P65" s="171">
        <f>IF(P$81="","",Underwriting!U129)</f>
        <v>0</v>
      </c>
      <c r="Q65" s="171">
        <f>IF(Q$81="","",Underwriting!V129)</f>
        <v>0</v>
      </c>
      <c r="R65" s="171">
        <f>IF(R$81="","",Underwriting!W129)</f>
        <v>0</v>
      </c>
      <c r="S65" s="169">
        <f>IF(S$81="","",Underwriting!X129)</f>
        <v>0</v>
      </c>
      <c r="T65" s="169">
        <f>IF(T$81="","",Underwriting!Y129)</f>
        <v>0</v>
      </c>
      <c r="U65" s="169">
        <f>IF(U$81="","",Underwriting!Z129)</f>
        <v>0</v>
      </c>
      <c r="V65" s="169">
        <f>IF(V$81="","",Underwriting!AA129)</f>
        <v>0</v>
      </c>
      <c r="W65" s="169">
        <f>IF(W$81="","",Underwriting!AB129)</f>
        <v>0</v>
      </c>
      <c r="X65" s="169">
        <f>IF(X$81="","",Underwriting!AC129)</f>
        <v>0</v>
      </c>
      <c r="Y65" s="169">
        <f>IF(Y$81="","",Underwriting!AD129)</f>
        <v>0</v>
      </c>
      <c r="Z65" s="169">
        <f>IF(Z$81="","",Underwriting!AE129)</f>
        <v>0</v>
      </c>
      <c r="AA65" s="169">
        <f>IF(AA$81="","",Underwriting!AF129)</f>
        <v>0</v>
      </c>
      <c r="AB65" s="169">
        <f>IF(AB$81="","",Underwriting!AG129)</f>
        <v>0</v>
      </c>
      <c r="AC65" s="169">
        <f>IF(AC$81="","",Underwriting!AH129)</f>
        <v>0</v>
      </c>
      <c r="AD65" s="169">
        <f>IF(AD$81="","",Underwriting!AI129)</f>
        <v>0</v>
      </c>
      <c r="AE65" s="169">
        <f>IF(AE$81="","",Underwriting!AJ129)</f>
        <v>0</v>
      </c>
      <c r="AF65" s="169">
        <f>IF(AF$81="","",Underwriting!AK129)</f>
        <v>0</v>
      </c>
      <c r="AG65" s="169">
        <f>IF(AG$81="","",Underwriting!AL129)</f>
        <v>0</v>
      </c>
      <c r="AH65" s="169">
        <f>IF(AH$81="","",Underwriting!AM129)</f>
        <v>0</v>
      </c>
      <c r="AI65" s="169">
        <f>IF(AI$81="","",Underwriting!AN129)</f>
        <v>0</v>
      </c>
      <c r="AJ65" s="169">
        <f>IF(AJ$81="","",Underwriting!AO129)</f>
        <v>0</v>
      </c>
      <c r="AK65" s="169">
        <f>IF(AK$81="","",Underwriting!AP129)</f>
        <v>0</v>
      </c>
      <c r="AL65" s="169">
        <f>IF(AL$81="","",Underwriting!AQ129)</f>
        <v>0</v>
      </c>
      <c r="AM65" s="169">
        <f>IF(AM$81="","",Underwriting!AR129)</f>
        <v>0</v>
      </c>
      <c r="AN65" s="169">
        <f>IF(AN$81="","",Underwriting!AS129)</f>
        <v>0</v>
      </c>
      <c r="AO65" s="169">
        <f>IF(AO$81="","",Underwriting!AT129)</f>
        <v>0</v>
      </c>
      <c r="AP65" s="169">
        <f>IF(AP$81="","",Underwriting!AU129)</f>
        <v>0</v>
      </c>
      <c r="AQ65" s="169">
        <f>IF(AQ$81="","",Underwriting!AV129)</f>
        <v>0</v>
      </c>
      <c r="AR65" s="169">
        <f>IF(AR$81="","",Underwriting!AW129)</f>
        <v>0</v>
      </c>
      <c r="AS65" s="169">
        <f>IF(AS$81="","",Underwriting!AX129)</f>
        <v>0</v>
      </c>
      <c r="AT65" s="169">
        <f>IF(AT$81="","",Underwriting!AY129)</f>
        <v>0</v>
      </c>
      <c r="AU65" s="169">
        <f>IF(AU$81="","",Underwriting!AZ129)</f>
        <v>0</v>
      </c>
      <c r="AV65" s="169">
        <f>IF(AV$81="","",Underwriting!BA129)</f>
        <v>0</v>
      </c>
      <c r="AW65" s="169">
        <f>IF(AW$81="","",Underwriting!BB129)</f>
        <v>0</v>
      </c>
      <c r="AX65" s="169">
        <f>IF(AX$81="","",Underwriting!BC129)</f>
        <v>0</v>
      </c>
      <c r="AY65" s="169">
        <f>IF(AY$81="","",Underwriting!BD129)</f>
        <v>0</v>
      </c>
      <c r="AZ65" s="169">
        <f>IF(AZ$81="","",Underwriting!BE129)</f>
        <v>0</v>
      </c>
      <c r="BA65" s="169">
        <f>IF(BA$81="","",Underwriting!BF129)</f>
        <v>0</v>
      </c>
      <c r="BB65" s="169">
        <f>IF(BB$81="","",Underwriting!BG129)</f>
        <v>0</v>
      </c>
      <c r="BC65" s="169">
        <f>IF(BC$81="","",Underwriting!BH129)</f>
        <v>0</v>
      </c>
      <c r="BD65" s="169">
        <f>IF(BD$81="","",Underwriting!BI129)</f>
        <v>0</v>
      </c>
      <c r="BE65" s="169">
        <f>IF(BE$81="","",Underwriting!BJ129)</f>
        <v>0</v>
      </c>
      <c r="BF65" s="169">
        <f>IF(BF$81="","",Underwriting!BK129)</f>
        <v>0</v>
      </c>
      <c r="BG65" s="169">
        <f>IF(BG$81="","",Underwriting!BL129)</f>
        <v>0</v>
      </c>
      <c r="BH65" s="169">
        <f>IF(BH$81="","",Underwriting!BM129)</f>
        <v>0</v>
      </c>
      <c r="BI65" s="169">
        <f>IF(BI$81="","",Underwriting!BN129)</f>
        <v>0</v>
      </c>
      <c r="BJ65" s="169">
        <f>IF(BJ$81="","",Underwriting!BO129)</f>
        <v>0</v>
      </c>
      <c r="BK65" s="169">
        <f>IF(BK$81="","",Underwriting!BP129)</f>
        <v>0</v>
      </c>
      <c r="BL65" s="169">
        <f>IF(BL$81="","",Underwriting!BQ129)</f>
        <v>0</v>
      </c>
      <c r="BM65" s="169">
        <f>IF(BM$81="","",Underwriting!BR129)</f>
        <v>0</v>
      </c>
      <c r="BN65" s="169">
        <f>IF(BN$81="","",Underwriting!BS129)</f>
        <v>0</v>
      </c>
      <c r="BO65" s="169">
        <f>IF(BO$81="","",Underwriting!BT129)</f>
        <v>0</v>
      </c>
      <c r="BP65" s="169">
        <f>IF(BP$81="","",Underwriting!BU129)</f>
        <v>0</v>
      </c>
      <c r="BQ65" s="169" t="str">
        <f>IF(BQ$81="","",Underwriting!BV129)</f>
        <v/>
      </c>
      <c r="BR65" s="169" t="str">
        <f>IF(BR$81="","",Underwriting!BW129)</f>
        <v/>
      </c>
      <c r="BS65" s="169" t="str">
        <f>IF(BS$81="","",Underwriting!BX129)</f>
        <v/>
      </c>
      <c r="BT65" s="169" t="str">
        <f>IF(BT$81="","",Underwriting!BY129)</f>
        <v/>
      </c>
      <c r="BU65" s="169" t="str">
        <f>IF(BU$81="","",Underwriting!BZ129)</f>
        <v/>
      </c>
      <c r="BV65" s="169" t="str">
        <f>IF(BV$81="","",Underwriting!CA129)</f>
        <v/>
      </c>
      <c r="BW65" s="169" t="str">
        <f>IF(BW$81="","",Underwriting!CB129)</f>
        <v/>
      </c>
      <c r="BX65" s="169" t="str">
        <f>IF(BX$81="","",Underwriting!CC129)</f>
        <v/>
      </c>
      <c r="BY65" s="169" t="str">
        <f>IF(BY$81="","",Underwriting!CD129)</f>
        <v/>
      </c>
      <c r="BZ65" s="169" t="str">
        <f>IF(BZ$81="","",Underwriting!CE129)</f>
        <v/>
      </c>
      <c r="CA65" s="169" t="str">
        <f>IF(CA$81="","",Underwriting!CF129)</f>
        <v/>
      </c>
      <c r="CB65" s="169" t="str">
        <f>IF(CB$81="","",Underwriting!CG129)</f>
        <v/>
      </c>
      <c r="CC65" s="169" t="str">
        <f>IF(CC$81="","",Underwriting!CH129)</f>
        <v/>
      </c>
      <c r="CD65" s="169" t="str">
        <f>IF(CD$81="","",Underwriting!CI129)</f>
        <v/>
      </c>
      <c r="CE65" s="169" t="str">
        <f>IF(CE$81="","",Underwriting!CJ129)</f>
        <v/>
      </c>
      <c r="CF65" s="169" t="str">
        <f>IF(CF$81="","",Underwriting!CK129)</f>
        <v/>
      </c>
      <c r="CG65" s="169" t="str">
        <f>IF(CG$81="","",Underwriting!CL129)</f>
        <v/>
      </c>
      <c r="CH65" s="169" t="str">
        <f>IF(CH$81="","",Underwriting!CM129)</f>
        <v/>
      </c>
      <c r="CI65" s="169" t="str">
        <f>IF(CI$81="","",Underwriting!CN129)</f>
        <v/>
      </c>
      <c r="CJ65" s="169" t="str">
        <f>IF(CJ$81="","",Underwriting!CO129)</f>
        <v/>
      </c>
      <c r="CK65" s="169" t="str">
        <f>IF(CK$81="","",Underwriting!CP129)</f>
        <v/>
      </c>
      <c r="CL65" s="169" t="str">
        <f>IF(CL$81="","",Underwriting!CQ129)</f>
        <v/>
      </c>
      <c r="CM65" s="169" t="str">
        <f>IF(CM$81="","",Underwriting!CR129)</f>
        <v/>
      </c>
      <c r="CN65" s="169" t="str">
        <f>IF(CN$81="","",Underwriting!CS129)</f>
        <v/>
      </c>
      <c r="CO65" s="169" t="str">
        <f>IF(CO$81="","",Underwriting!CT129)</f>
        <v/>
      </c>
      <c r="CP65" s="169" t="str">
        <f>IF(CP$81="","",Underwriting!CU129)</f>
        <v/>
      </c>
      <c r="CQ65" s="169" t="str">
        <f>IF(CQ$81="","",Underwriting!CV129)</f>
        <v/>
      </c>
      <c r="CR65" s="169" t="str">
        <f>IF(CR$81="","",Underwriting!CW129)</f>
        <v/>
      </c>
      <c r="CS65" s="169" t="str">
        <f>IF(CS$81="","",Underwriting!CX129)</f>
        <v/>
      </c>
      <c r="CT65" s="169" t="str">
        <f>IF(CT$81="","",Underwriting!CY129)</f>
        <v/>
      </c>
      <c r="CU65" s="169" t="str">
        <f>IF(CU$81="","",Underwriting!CZ129)</f>
        <v/>
      </c>
      <c r="CV65" s="169" t="str">
        <f>IF(CV$81="","",Underwriting!DA129)</f>
        <v/>
      </c>
      <c r="CW65" s="169" t="str">
        <f>IF(CW$81="","",Underwriting!DB129)</f>
        <v/>
      </c>
      <c r="CX65" s="169" t="str">
        <f>IF(CX$81="","",Underwriting!DC129)</f>
        <v/>
      </c>
      <c r="CY65" s="169" t="str">
        <f>IF(CY$81="","",Underwriting!DD129)</f>
        <v/>
      </c>
      <c r="CZ65" s="169" t="str">
        <f>IF(CZ$81="","",Underwriting!DE129)</f>
        <v/>
      </c>
      <c r="DA65" s="169" t="str">
        <f>IF(DA$81="","",Underwriting!DF129)</f>
        <v/>
      </c>
      <c r="DB65" s="169" t="str">
        <f>IF(DB$81="","",Underwriting!DG129)</f>
        <v/>
      </c>
      <c r="DC65" s="169" t="str">
        <f>IF(DC$81="","",Underwriting!DH129)</f>
        <v/>
      </c>
      <c r="DD65" s="169" t="str">
        <f>IF(DD$81="","",Underwriting!DI129)</f>
        <v/>
      </c>
      <c r="DE65" s="169" t="str">
        <f>IF(DE$81="","",Underwriting!DJ129)</f>
        <v/>
      </c>
      <c r="DF65" s="169" t="str">
        <f>IF(DF$81="","",Underwriting!DK129)</f>
        <v/>
      </c>
      <c r="DG65" s="169" t="str">
        <f>IF(DG$81="","",Underwriting!DL129)</f>
        <v/>
      </c>
      <c r="DH65" s="169" t="str">
        <f>IF(DH$81="","",Underwriting!DM129)</f>
        <v/>
      </c>
      <c r="DI65" s="169" t="str">
        <f>IF(DI$81="","",Underwriting!DN129)</f>
        <v/>
      </c>
      <c r="DJ65" s="169" t="str">
        <f>IF(DJ$81="","",Underwriting!DO129)</f>
        <v/>
      </c>
      <c r="DK65" s="169" t="str">
        <f>IF(DK$81="","",Underwriting!DP129)</f>
        <v/>
      </c>
      <c r="DL65" s="169" t="str">
        <f>IF(DL$81="","",Underwriting!DQ129)</f>
        <v/>
      </c>
      <c r="DM65" s="169" t="str">
        <f>IF(DM$81="","",Underwriting!DR129)</f>
        <v/>
      </c>
      <c r="DN65" s="169" t="str">
        <f>IF(DN$81="","",Underwriting!DS129)</f>
        <v/>
      </c>
      <c r="DO65" s="169" t="str">
        <f>IF(DO$81="","",Underwriting!DT129)</f>
        <v/>
      </c>
      <c r="DP65" s="169" t="str">
        <f>IF(DP$81="","",Underwriting!DU129)</f>
        <v/>
      </c>
      <c r="DQ65" s="169" t="str">
        <f>IF(DQ$81="","",Underwriting!DV129)</f>
        <v/>
      </c>
      <c r="DR65" s="169" t="str">
        <f>IF(DR$81="","",Underwriting!DW129)</f>
        <v/>
      </c>
      <c r="DS65" s="169" t="str">
        <f>IF(DS$81="","",Underwriting!DX129)</f>
        <v/>
      </c>
      <c r="DT65" s="169" t="str">
        <f>IF(DT$81="","",Underwriting!DY129)</f>
        <v/>
      </c>
      <c r="DU65" s="169" t="str">
        <f>IF(DU$81="","",Underwriting!DZ129)</f>
        <v/>
      </c>
      <c r="DV65" s="169" t="str">
        <f>IF(DV$81="","",Underwriting!EA129)</f>
        <v/>
      </c>
      <c r="DW65" s="169" t="str">
        <f>IF(DW$81="","",Underwriting!EB129)</f>
        <v/>
      </c>
      <c r="DX65" s="169" t="str">
        <f>IF(DX$81="","",Underwriting!EC129)</f>
        <v/>
      </c>
      <c r="DY65" s="169" t="str">
        <f>IF(DY$81="","",Underwriting!ED129)</f>
        <v/>
      </c>
      <c r="DZ65" s="169" t="str">
        <f>IF(DZ$81="","",Underwriting!EE129)</f>
        <v/>
      </c>
      <c r="EA65" s="169" t="str">
        <f>IF(EA$81="","",Underwriting!EF129)</f>
        <v/>
      </c>
      <c r="EB65" s="169" t="str">
        <f>IF(EB$81="","",Underwriting!EG129)</f>
        <v/>
      </c>
      <c r="EC65" s="169" t="str">
        <f>IF(EC$81="","",Underwriting!EH129)</f>
        <v/>
      </c>
      <c r="ED65" s="169" t="str">
        <f>IF(ED$81="","",Underwriting!EI129)</f>
        <v/>
      </c>
      <c r="EE65" s="169" t="str">
        <f>IF(EE$81="","",Underwriting!EJ129)</f>
        <v/>
      </c>
      <c r="EF65" s="169" t="str">
        <f>IF(EF$81="","",Underwriting!EK129)</f>
        <v/>
      </c>
      <c r="EG65" s="169" t="str">
        <f>IF(EG$81="","",Underwriting!EL129)</f>
        <v/>
      </c>
      <c r="EH65" s="169" t="str">
        <f>IF(EH$81="","",Underwriting!EM129)</f>
        <v/>
      </c>
      <c r="EI65" s="169" t="str">
        <f>IF(EI$81="","",Underwriting!EN129)</f>
        <v/>
      </c>
    </row>
    <row r="66" spans="2:139" x14ac:dyDescent="0.35">
      <c r="B66" s="4" t="s">
        <v>356</v>
      </c>
      <c r="C66" s="4"/>
      <c r="D66" s="4"/>
      <c r="E66" s="4"/>
      <c r="F66" s="4"/>
      <c r="G66" s="171">
        <f t="shared" ref="G66:AL66" si="42">IF(G$81="","",SUM(G64:G65))</f>
        <v>0</v>
      </c>
      <c r="H66" s="171">
        <f t="shared" si="42"/>
        <v>0</v>
      </c>
      <c r="I66" s="171">
        <f t="shared" si="42"/>
        <v>0</v>
      </c>
      <c r="J66" s="171">
        <f t="shared" si="42"/>
        <v>0</v>
      </c>
      <c r="K66" s="171">
        <f t="shared" si="42"/>
        <v>0</v>
      </c>
      <c r="L66" s="171">
        <f t="shared" si="42"/>
        <v>0</v>
      </c>
      <c r="M66" s="171">
        <f t="shared" si="42"/>
        <v>0</v>
      </c>
      <c r="N66" s="171">
        <f t="shared" si="42"/>
        <v>0</v>
      </c>
      <c r="O66" s="171">
        <f t="shared" si="42"/>
        <v>0</v>
      </c>
      <c r="P66" s="171">
        <f t="shared" si="42"/>
        <v>0</v>
      </c>
      <c r="Q66" s="171">
        <f t="shared" si="42"/>
        <v>0</v>
      </c>
      <c r="R66" s="171">
        <f t="shared" si="42"/>
        <v>0</v>
      </c>
      <c r="S66" s="169">
        <f t="shared" si="42"/>
        <v>0</v>
      </c>
      <c r="T66" s="169">
        <f t="shared" si="42"/>
        <v>0</v>
      </c>
      <c r="U66" s="169">
        <f t="shared" si="42"/>
        <v>0</v>
      </c>
      <c r="V66" s="169">
        <f t="shared" si="42"/>
        <v>0</v>
      </c>
      <c r="W66" s="169">
        <f t="shared" si="42"/>
        <v>0</v>
      </c>
      <c r="X66" s="169">
        <f t="shared" si="42"/>
        <v>0</v>
      </c>
      <c r="Y66" s="169">
        <f t="shared" si="42"/>
        <v>0</v>
      </c>
      <c r="Z66" s="169">
        <f t="shared" si="42"/>
        <v>0</v>
      </c>
      <c r="AA66" s="169">
        <f t="shared" si="42"/>
        <v>0</v>
      </c>
      <c r="AB66" s="169">
        <f t="shared" si="42"/>
        <v>0</v>
      </c>
      <c r="AC66" s="169">
        <f t="shared" si="42"/>
        <v>716666.66666666663</v>
      </c>
      <c r="AD66" s="169">
        <f t="shared" si="42"/>
        <v>716666.66666666663</v>
      </c>
      <c r="AE66" s="169">
        <f t="shared" si="42"/>
        <v>716666.66666666663</v>
      </c>
      <c r="AF66" s="169">
        <f t="shared" si="42"/>
        <v>933333.33333333326</v>
      </c>
      <c r="AG66" s="169">
        <f t="shared" si="42"/>
        <v>933333.33333333326</v>
      </c>
      <c r="AH66" s="169">
        <f t="shared" si="42"/>
        <v>933333.33333333326</v>
      </c>
      <c r="AI66" s="169">
        <f t="shared" si="42"/>
        <v>1107500</v>
      </c>
      <c r="AJ66" s="169">
        <f t="shared" si="42"/>
        <v>1107500</v>
      </c>
      <c r="AK66" s="169">
        <f t="shared" si="42"/>
        <v>1107500</v>
      </c>
      <c r="AL66" s="169">
        <f t="shared" si="42"/>
        <v>1265833.3333333333</v>
      </c>
      <c r="AM66" s="169">
        <f t="shared" ref="AM66:BR66" si="43">IF(AM$81="","",SUM(AM64:AM65))</f>
        <v>1265833.3333333333</v>
      </c>
      <c r="AN66" s="169">
        <f t="shared" si="43"/>
        <v>1265833.3333333333</v>
      </c>
      <c r="AO66" s="169">
        <f t="shared" si="43"/>
        <v>1298416.6666666665</v>
      </c>
      <c r="AP66" s="169">
        <f t="shared" si="43"/>
        <v>1298416.6666666665</v>
      </c>
      <c r="AQ66" s="169">
        <f t="shared" si="43"/>
        <v>1298416.6666666665</v>
      </c>
      <c r="AR66" s="169">
        <f t="shared" si="43"/>
        <v>1329966.833333333</v>
      </c>
      <c r="AS66" s="169">
        <f t="shared" si="43"/>
        <v>1560296.5185666289</v>
      </c>
      <c r="AT66" s="169">
        <f t="shared" si="43"/>
        <v>1790626.2037999253</v>
      </c>
      <c r="AU66" s="169">
        <f t="shared" si="43"/>
        <v>2029033.466005954</v>
      </c>
      <c r="AV66" s="169">
        <f t="shared" si="43"/>
        <v>2260023.7324523833</v>
      </c>
      <c r="AW66" s="169">
        <f t="shared" si="43"/>
        <v>2491013.9988988126</v>
      </c>
      <c r="AX66" s="169">
        <f t="shared" si="43"/>
        <v>2727545.9320119084</v>
      </c>
      <c r="AY66" s="169">
        <f t="shared" si="43"/>
        <v>2958536.1984583372</v>
      </c>
      <c r="AZ66" s="169">
        <f t="shared" si="43"/>
        <v>3189526.4649047665</v>
      </c>
      <c r="BA66" s="169">
        <f t="shared" si="43"/>
        <v>3446740.4813511958</v>
      </c>
      <c r="BB66" s="169">
        <f t="shared" si="43"/>
        <v>3677730.7477976251</v>
      </c>
      <c r="BC66" s="169">
        <f t="shared" si="43"/>
        <v>3908721.0142440535</v>
      </c>
      <c r="BD66" s="169">
        <f t="shared" si="43"/>
        <v>4217456.2814577445</v>
      </c>
      <c r="BE66" s="169">
        <f t="shared" si="43"/>
        <v>4217456.2814577445</v>
      </c>
      <c r="BF66" s="169">
        <f t="shared" si="43"/>
        <v>4217456.2814577445</v>
      </c>
      <c r="BG66" s="169">
        <f t="shared" si="43"/>
        <v>4223765.4689577445</v>
      </c>
      <c r="BH66" s="169">
        <f t="shared" si="43"/>
        <v>4223765.4689577445</v>
      </c>
      <c r="BI66" s="169">
        <f t="shared" si="43"/>
        <v>4223765.4689577445</v>
      </c>
      <c r="BJ66" s="169">
        <f t="shared" si="43"/>
        <v>4229501.0939577445</v>
      </c>
      <c r="BK66" s="169">
        <f t="shared" si="43"/>
        <v>4229501.0939577445</v>
      </c>
      <c r="BL66" s="169">
        <f t="shared" si="43"/>
        <v>4229501.0939577445</v>
      </c>
      <c r="BM66" s="169">
        <f t="shared" si="43"/>
        <v>4256642.6752077453</v>
      </c>
      <c r="BN66" s="169">
        <f t="shared" si="43"/>
        <v>4256642.6752077453</v>
      </c>
      <c r="BO66" s="169">
        <f t="shared" si="43"/>
        <v>4256642.6752077453</v>
      </c>
      <c r="BP66" s="169">
        <f t="shared" si="43"/>
        <v>4336409.7884941883</v>
      </c>
      <c r="BQ66" s="169" t="str">
        <f t="shared" si="43"/>
        <v/>
      </c>
      <c r="BR66" s="169" t="str">
        <f t="shared" si="43"/>
        <v/>
      </c>
      <c r="BS66" s="169" t="str">
        <f t="shared" ref="BS66:CX66" si="44">IF(BS$81="","",SUM(BS64:BS65))</f>
        <v/>
      </c>
      <c r="BT66" s="169" t="str">
        <f t="shared" si="44"/>
        <v/>
      </c>
      <c r="BU66" s="169" t="str">
        <f t="shared" si="44"/>
        <v/>
      </c>
      <c r="BV66" s="169" t="str">
        <f t="shared" si="44"/>
        <v/>
      </c>
      <c r="BW66" s="169" t="str">
        <f t="shared" si="44"/>
        <v/>
      </c>
      <c r="BX66" s="169" t="str">
        <f t="shared" si="44"/>
        <v/>
      </c>
      <c r="BY66" s="169" t="str">
        <f t="shared" si="44"/>
        <v/>
      </c>
      <c r="BZ66" s="169" t="str">
        <f t="shared" si="44"/>
        <v/>
      </c>
      <c r="CA66" s="169" t="str">
        <f t="shared" si="44"/>
        <v/>
      </c>
      <c r="CB66" s="169" t="str">
        <f t="shared" si="44"/>
        <v/>
      </c>
      <c r="CC66" s="169" t="str">
        <f t="shared" si="44"/>
        <v/>
      </c>
      <c r="CD66" s="169" t="str">
        <f t="shared" si="44"/>
        <v/>
      </c>
      <c r="CE66" s="169" t="str">
        <f t="shared" si="44"/>
        <v/>
      </c>
      <c r="CF66" s="169" t="str">
        <f t="shared" si="44"/>
        <v/>
      </c>
      <c r="CG66" s="169" t="str">
        <f t="shared" si="44"/>
        <v/>
      </c>
      <c r="CH66" s="169" t="str">
        <f t="shared" si="44"/>
        <v/>
      </c>
      <c r="CI66" s="169" t="str">
        <f t="shared" si="44"/>
        <v/>
      </c>
      <c r="CJ66" s="169" t="str">
        <f t="shared" si="44"/>
        <v/>
      </c>
      <c r="CK66" s="169" t="str">
        <f t="shared" si="44"/>
        <v/>
      </c>
      <c r="CL66" s="169" t="str">
        <f t="shared" si="44"/>
        <v/>
      </c>
      <c r="CM66" s="169" t="str">
        <f t="shared" si="44"/>
        <v/>
      </c>
      <c r="CN66" s="169" t="str">
        <f t="shared" si="44"/>
        <v/>
      </c>
      <c r="CO66" s="169" t="str">
        <f t="shared" si="44"/>
        <v/>
      </c>
      <c r="CP66" s="169" t="str">
        <f t="shared" si="44"/>
        <v/>
      </c>
      <c r="CQ66" s="169" t="str">
        <f t="shared" si="44"/>
        <v/>
      </c>
      <c r="CR66" s="169" t="str">
        <f t="shared" si="44"/>
        <v/>
      </c>
      <c r="CS66" s="169" t="str">
        <f t="shared" si="44"/>
        <v/>
      </c>
      <c r="CT66" s="169" t="str">
        <f t="shared" si="44"/>
        <v/>
      </c>
      <c r="CU66" s="169" t="str">
        <f t="shared" si="44"/>
        <v/>
      </c>
      <c r="CV66" s="169" t="str">
        <f t="shared" si="44"/>
        <v/>
      </c>
      <c r="CW66" s="169" t="str">
        <f t="shared" si="44"/>
        <v/>
      </c>
      <c r="CX66" s="169" t="str">
        <f t="shared" si="44"/>
        <v/>
      </c>
      <c r="CY66" s="169" t="str">
        <f t="shared" ref="CY66:ED66" si="45">IF(CY$81="","",SUM(CY64:CY65))</f>
        <v/>
      </c>
      <c r="CZ66" s="169" t="str">
        <f t="shared" si="45"/>
        <v/>
      </c>
      <c r="DA66" s="169" t="str">
        <f t="shared" si="45"/>
        <v/>
      </c>
      <c r="DB66" s="169" t="str">
        <f t="shared" si="45"/>
        <v/>
      </c>
      <c r="DC66" s="169" t="str">
        <f t="shared" si="45"/>
        <v/>
      </c>
      <c r="DD66" s="169" t="str">
        <f t="shared" si="45"/>
        <v/>
      </c>
      <c r="DE66" s="169" t="str">
        <f t="shared" si="45"/>
        <v/>
      </c>
      <c r="DF66" s="169" t="str">
        <f t="shared" si="45"/>
        <v/>
      </c>
      <c r="DG66" s="169" t="str">
        <f t="shared" si="45"/>
        <v/>
      </c>
      <c r="DH66" s="169" t="str">
        <f t="shared" si="45"/>
        <v/>
      </c>
      <c r="DI66" s="169" t="str">
        <f t="shared" si="45"/>
        <v/>
      </c>
      <c r="DJ66" s="169" t="str">
        <f t="shared" si="45"/>
        <v/>
      </c>
      <c r="DK66" s="169" t="str">
        <f t="shared" si="45"/>
        <v/>
      </c>
      <c r="DL66" s="169" t="str">
        <f t="shared" si="45"/>
        <v/>
      </c>
      <c r="DM66" s="169" t="str">
        <f t="shared" si="45"/>
        <v/>
      </c>
      <c r="DN66" s="169" t="str">
        <f t="shared" si="45"/>
        <v/>
      </c>
      <c r="DO66" s="169" t="str">
        <f t="shared" si="45"/>
        <v/>
      </c>
      <c r="DP66" s="169" t="str">
        <f t="shared" si="45"/>
        <v/>
      </c>
      <c r="DQ66" s="169" t="str">
        <f t="shared" si="45"/>
        <v/>
      </c>
      <c r="DR66" s="169" t="str">
        <f t="shared" si="45"/>
        <v/>
      </c>
      <c r="DS66" s="169" t="str">
        <f t="shared" si="45"/>
        <v/>
      </c>
      <c r="DT66" s="169" t="str">
        <f t="shared" si="45"/>
        <v/>
      </c>
      <c r="DU66" s="169" t="str">
        <f t="shared" si="45"/>
        <v/>
      </c>
      <c r="DV66" s="169" t="str">
        <f t="shared" si="45"/>
        <v/>
      </c>
      <c r="DW66" s="169" t="str">
        <f t="shared" si="45"/>
        <v/>
      </c>
      <c r="DX66" s="169" t="str">
        <f t="shared" si="45"/>
        <v/>
      </c>
      <c r="DY66" s="169" t="str">
        <f t="shared" si="45"/>
        <v/>
      </c>
      <c r="DZ66" s="169" t="str">
        <f t="shared" si="45"/>
        <v/>
      </c>
      <c r="EA66" s="169" t="str">
        <f t="shared" si="45"/>
        <v/>
      </c>
      <c r="EB66" s="169" t="str">
        <f t="shared" si="45"/>
        <v/>
      </c>
      <c r="EC66" s="169" t="str">
        <f t="shared" si="45"/>
        <v/>
      </c>
      <c r="ED66" s="169" t="str">
        <f t="shared" si="45"/>
        <v/>
      </c>
      <c r="EE66" s="169" t="str">
        <f>IF(EE$81="","",SUM(EE64:EE65))</f>
        <v/>
      </c>
      <c r="EF66" s="169" t="str">
        <f>IF(EF$81="","",SUM(EF64:EF65))</f>
        <v/>
      </c>
      <c r="EG66" s="169" t="str">
        <f>IF(EG$81="","",SUM(EG64:EG65))</f>
        <v/>
      </c>
      <c r="EH66" s="169" t="str">
        <f>IF(EH$81="","",SUM(EH64:EH65))</f>
        <v/>
      </c>
      <c r="EI66" s="169" t="str">
        <f>IF(EI$81="","",SUM(EI64:EI65))</f>
        <v/>
      </c>
    </row>
    <row r="67" spans="2:139" x14ac:dyDescent="0.35">
      <c r="B67" s="4"/>
      <c r="C67" s="4"/>
      <c r="D67" s="4"/>
      <c r="E67" s="4"/>
      <c r="F67" s="4"/>
      <c r="G67" s="171"/>
      <c r="H67" s="171"/>
      <c r="I67" s="171"/>
      <c r="J67" s="171"/>
      <c r="K67" s="171"/>
      <c r="L67" s="171"/>
      <c r="M67" s="171"/>
      <c r="N67" s="171"/>
      <c r="O67" s="171"/>
      <c r="P67" s="171"/>
      <c r="Q67" s="171"/>
      <c r="R67" s="171"/>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69"/>
      <c r="BT67" s="169"/>
      <c r="BU67" s="169"/>
      <c r="BV67" s="169"/>
      <c r="BW67" s="169"/>
      <c r="BX67" s="169"/>
      <c r="BY67" s="169"/>
      <c r="BZ67" s="169"/>
      <c r="CA67" s="169"/>
      <c r="CB67" s="169"/>
      <c r="CC67" s="169"/>
      <c r="CD67" s="169"/>
      <c r="CE67" s="169"/>
      <c r="CF67" s="169"/>
      <c r="CG67" s="169"/>
      <c r="CH67" s="169"/>
      <c r="CI67" s="169"/>
      <c r="CJ67" s="169"/>
      <c r="CK67" s="169"/>
      <c r="CL67" s="169"/>
      <c r="CM67" s="169"/>
      <c r="CN67" s="169"/>
      <c r="CO67" s="169"/>
      <c r="CP67" s="169"/>
      <c r="CQ67" s="169"/>
      <c r="CR67" s="169"/>
      <c r="CS67" s="169"/>
      <c r="CT67" s="169"/>
      <c r="CU67" s="169"/>
      <c r="CV67" s="169"/>
      <c r="CW67" s="169"/>
      <c r="CX67" s="169"/>
      <c r="CY67" s="169"/>
      <c r="CZ67" s="169"/>
      <c r="DA67" s="169"/>
      <c r="DB67" s="169"/>
      <c r="DC67" s="169"/>
      <c r="DD67" s="169"/>
      <c r="DE67" s="169"/>
      <c r="DF67" s="169"/>
      <c r="DG67" s="169"/>
      <c r="DH67" s="169"/>
      <c r="DI67" s="169"/>
      <c r="DJ67" s="169"/>
      <c r="DK67" s="169"/>
      <c r="DL67" s="169"/>
      <c r="DM67" s="169"/>
      <c r="DN67" s="169"/>
      <c r="DO67" s="169"/>
      <c r="DP67" s="169"/>
      <c r="DQ67" s="169"/>
      <c r="DR67" s="169"/>
      <c r="DS67" s="169"/>
      <c r="DT67" s="169"/>
      <c r="DU67" s="169"/>
      <c r="DV67" s="169"/>
      <c r="DW67" s="169"/>
      <c r="DX67" s="169"/>
      <c r="DY67" s="169"/>
      <c r="DZ67" s="169"/>
      <c r="EA67" s="169"/>
      <c r="EB67" s="169"/>
      <c r="EC67" s="169"/>
      <c r="ED67" s="169"/>
      <c r="EE67" s="169"/>
      <c r="EF67" s="169"/>
      <c r="EG67" s="169"/>
      <c r="EH67" s="169"/>
      <c r="EI67" s="169"/>
    </row>
    <row r="68" spans="2:139" x14ac:dyDescent="0.35">
      <c r="B68" s="4" t="s">
        <v>506</v>
      </c>
      <c r="C68" s="4"/>
      <c r="D68" s="4"/>
      <c r="E68" s="4"/>
      <c r="F68" s="4"/>
      <c r="G68" s="171"/>
      <c r="H68" s="171"/>
      <c r="I68" s="171"/>
      <c r="J68" s="171"/>
      <c r="K68" s="171"/>
      <c r="L68" s="171"/>
      <c r="M68" s="171"/>
      <c r="N68" s="171"/>
      <c r="O68" s="171"/>
      <c r="P68" s="171"/>
      <c r="Q68" s="171"/>
      <c r="R68" s="171"/>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69"/>
      <c r="BT68" s="169"/>
      <c r="BU68" s="169"/>
      <c r="BV68" s="169"/>
      <c r="BW68" s="169"/>
      <c r="BX68" s="169"/>
      <c r="BY68" s="169"/>
      <c r="BZ68" s="169"/>
      <c r="CA68" s="169"/>
      <c r="CB68" s="169"/>
      <c r="CC68" s="169"/>
      <c r="CD68" s="169"/>
      <c r="CE68" s="169"/>
      <c r="CF68" s="169"/>
      <c r="CG68" s="169"/>
      <c r="CH68" s="169"/>
      <c r="CI68" s="169"/>
      <c r="CJ68" s="169"/>
      <c r="CK68" s="169"/>
      <c r="CL68" s="169"/>
      <c r="CM68" s="169"/>
      <c r="CN68" s="169"/>
      <c r="CO68" s="169"/>
      <c r="CP68" s="169"/>
      <c r="CQ68" s="169"/>
      <c r="CR68" s="169"/>
      <c r="CS68" s="169"/>
      <c r="CT68" s="169"/>
      <c r="CU68" s="169"/>
      <c r="CV68" s="169"/>
      <c r="CW68" s="169"/>
      <c r="CX68" s="169"/>
      <c r="CY68" s="169"/>
      <c r="CZ68" s="169"/>
      <c r="DA68" s="169"/>
      <c r="DB68" s="169"/>
      <c r="DC68" s="169"/>
      <c r="DD68" s="169"/>
      <c r="DE68" s="169"/>
      <c r="DF68" s="169"/>
      <c r="DG68" s="169"/>
      <c r="DH68" s="169"/>
      <c r="DI68" s="169"/>
      <c r="DJ68" s="169"/>
      <c r="DK68" s="169"/>
      <c r="DL68" s="169"/>
      <c r="DM68" s="169"/>
      <c r="DN68" s="169"/>
      <c r="DO68" s="169"/>
      <c r="DP68" s="169"/>
      <c r="DQ68" s="169"/>
      <c r="DR68" s="169"/>
      <c r="DS68" s="169"/>
      <c r="DT68" s="169"/>
      <c r="DU68" s="169"/>
      <c r="DV68" s="169"/>
      <c r="DW68" s="169"/>
      <c r="DX68" s="169"/>
      <c r="DY68" s="169"/>
      <c r="DZ68" s="169"/>
      <c r="EA68" s="169"/>
      <c r="EB68" s="169"/>
      <c r="EC68" s="169"/>
      <c r="ED68" s="169"/>
      <c r="EE68" s="169"/>
      <c r="EF68" s="169"/>
      <c r="EG68" s="169"/>
      <c r="EH68" s="169"/>
      <c r="EI68" s="169"/>
    </row>
    <row r="69" spans="2:139" x14ac:dyDescent="0.35">
      <c r="B69" s="163" t="str">
        <f>Underwriting!B134</f>
        <v>Source operating costs</v>
      </c>
      <c r="C69" s="4"/>
      <c r="D69" s="4"/>
      <c r="E69" s="4"/>
      <c r="F69" s="4"/>
      <c r="G69" s="171">
        <f>IF(G$81="","",Underwriting!L134)</f>
        <v>0</v>
      </c>
      <c r="H69" s="171">
        <f>IF(H$81="","",Underwriting!M134)</f>
        <v>0</v>
      </c>
      <c r="I69" s="171">
        <f>IF(I$81="","",Underwriting!N134)</f>
        <v>0</v>
      </c>
      <c r="J69" s="171">
        <f>IF(J$81="","",Underwriting!O134)</f>
        <v>0</v>
      </c>
      <c r="K69" s="171">
        <f>IF(K$81="","",Underwriting!P134)</f>
        <v>0</v>
      </c>
      <c r="L69" s="171">
        <f>IF(L$81="","",Underwriting!Q134)</f>
        <v>0</v>
      </c>
      <c r="M69" s="171">
        <f>IF(M$81="","",Underwriting!R134)</f>
        <v>0</v>
      </c>
      <c r="N69" s="171">
        <f>IF(N$81="","",Underwriting!S134)</f>
        <v>0</v>
      </c>
      <c r="O69" s="171">
        <f>IF(O$81="","",Underwriting!T134)</f>
        <v>0</v>
      </c>
      <c r="P69" s="171">
        <f>IF(P$81="","",Underwriting!U134)</f>
        <v>0</v>
      </c>
      <c r="Q69" s="171">
        <f>IF(Q$81="","",Underwriting!V134)</f>
        <v>0</v>
      </c>
      <c r="R69" s="171">
        <f>IF(R$81="","",Underwriting!W134)</f>
        <v>0</v>
      </c>
      <c r="S69" s="169">
        <f>IF(S$81="","",Underwriting!X134)</f>
        <v>0</v>
      </c>
      <c r="T69" s="169">
        <f>IF(T$81="","",Underwriting!Y134)</f>
        <v>0</v>
      </c>
      <c r="U69" s="169">
        <f>IF(U$81="","",Underwriting!Z134)</f>
        <v>0</v>
      </c>
      <c r="V69" s="169">
        <f>IF(V$81="","",Underwriting!AA134)</f>
        <v>0</v>
      </c>
      <c r="W69" s="169">
        <f>IF(W$81="","",Underwriting!AB134)</f>
        <v>0</v>
      </c>
      <c r="X69" s="169">
        <f>IF(X$81="","",Underwriting!AC134)</f>
        <v>0</v>
      </c>
      <c r="Y69" s="169">
        <f>IF(Y$81="","",Underwriting!AD134)</f>
        <v>0</v>
      </c>
      <c r="Z69" s="169">
        <f>IF(Z$81="","",Underwriting!AE134)</f>
        <v>0</v>
      </c>
      <c r="AA69" s="169">
        <f>IF(AA$81="","",Underwriting!AF134)</f>
        <v>0</v>
      </c>
      <c r="AB69" s="169">
        <f>IF(AB$81="","",Underwriting!AG134)</f>
        <v>0</v>
      </c>
      <c r="AC69" s="169">
        <f>IF(AC$81="","",Underwriting!AH134)</f>
        <v>0</v>
      </c>
      <c r="AD69" s="169">
        <f>IF(AD$81="","",Underwriting!AI134)</f>
        <v>0</v>
      </c>
      <c r="AE69" s="169">
        <f>IF(AE$81="","",Underwriting!AJ134)</f>
        <v>0</v>
      </c>
      <c r="AF69" s="169">
        <f>IF(AF$81="","",Underwriting!AK134)</f>
        <v>0</v>
      </c>
      <c r="AG69" s="169">
        <f>IF(AG$81="","",Underwriting!AL134)</f>
        <v>0</v>
      </c>
      <c r="AH69" s="169">
        <f>IF(AH$81="","",Underwriting!AM134)</f>
        <v>0</v>
      </c>
      <c r="AI69" s="169">
        <f>IF(AI$81="","",Underwriting!AN134)</f>
        <v>0</v>
      </c>
      <c r="AJ69" s="169">
        <f>IF(AJ$81="","",Underwriting!AO134)</f>
        <v>0</v>
      </c>
      <c r="AK69" s="169">
        <f>IF(AK$81="","",Underwriting!AP134)</f>
        <v>0</v>
      </c>
      <c r="AL69" s="169">
        <f>IF(AL$81="","",Underwriting!AQ134)</f>
        <v>0</v>
      </c>
      <c r="AM69" s="169">
        <f>IF(AM$81="","",Underwriting!AR134)</f>
        <v>0</v>
      </c>
      <c r="AN69" s="169">
        <f>IF(AN$81="","",Underwriting!AS134)</f>
        <v>0</v>
      </c>
      <c r="AO69" s="169">
        <f>IF(AO$81="","",Underwriting!AT134)</f>
        <v>0</v>
      </c>
      <c r="AP69" s="169">
        <f>IF(AP$81="","",Underwriting!AU134)</f>
        <v>0</v>
      </c>
      <c r="AQ69" s="169">
        <f>IF(AQ$81="","",Underwriting!AV134)</f>
        <v>0</v>
      </c>
      <c r="AR69" s="169">
        <f>IF(AR$81="","",Underwriting!AW134)</f>
        <v>0</v>
      </c>
      <c r="AS69" s="169">
        <f>IF(AS$81="","",Underwriting!AX134)</f>
        <v>22835.268200625029</v>
      </c>
      <c r="AT69" s="169">
        <f>IF(AT$81="","",Underwriting!AY134)</f>
        <v>45670.536401250058</v>
      </c>
      <c r="AU69" s="169">
        <f>IF(AU$81="","",Underwriting!AZ134)</f>
        <v>68505.80460187509</v>
      </c>
      <c r="AV69" s="169">
        <f>IF(AV$81="","",Underwriting!BA134)</f>
        <v>91341.072802500115</v>
      </c>
      <c r="AW69" s="169">
        <f>IF(AW$81="","",Underwriting!BB134)</f>
        <v>114176.34100312516</v>
      </c>
      <c r="AX69" s="169">
        <f>IF(AX$81="","",Underwriting!BC134)</f>
        <v>137011.60920375018</v>
      </c>
      <c r="AY69" s="169">
        <f>IF(AY$81="","",Underwriting!BD134)</f>
        <v>159846.87740437523</v>
      </c>
      <c r="AZ69" s="169">
        <f>IF(AZ$81="","",Underwriting!BE134)</f>
        <v>182682.14560500023</v>
      </c>
      <c r="BA69" s="169">
        <f>IF(BA$81="","",Underwriting!BF134)</f>
        <v>205517.41380562529</v>
      </c>
      <c r="BB69" s="169">
        <f>IF(BB$81="","",Underwriting!BG134)</f>
        <v>228352.68200625031</v>
      </c>
      <c r="BC69" s="169">
        <f>IF(BC$81="","",Underwriting!BH134)</f>
        <v>251187.95020687531</v>
      </c>
      <c r="BD69" s="169">
        <f>IF(BD$81="","",Underwriting!BI134)</f>
        <v>280873.79886768787</v>
      </c>
      <c r="BE69" s="169">
        <f>IF(BE$81="","",Underwriting!BJ134)</f>
        <v>280873.79886768787</v>
      </c>
      <c r="BF69" s="169">
        <f>IF(BF$81="","",Underwriting!BK134)</f>
        <v>280873.79886768787</v>
      </c>
      <c r="BG69" s="169">
        <f>IF(BG$81="","",Underwriting!BL134)</f>
        <v>280873.79886768787</v>
      </c>
      <c r="BH69" s="169">
        <f>IF(BH$81="","",Underwriting!BM134)</f>
        <v>280873.79886768787</v>
      </c>
      <c r="BI69" s="169">
        <f>IF(BI$81="","",Underwriting!BN134)</f>
        <v>280873.79886768787</v>
      </c>
      <c r="BJ69" s="169">
        <f>IF(BJ$81="","",Underwriting!BO134)</f>
        <v>280873.79886768787</v>
      </c>
      <c r="BK69" s="169">
        <f>IF(BK$81="","",Underwriting!BP134)</f>
        <v>280873.79886768787</v>
      </c>
      <c r="BL69" s="169">
        <f>IF(BL$81="","",Underwriting!BQ134)</f>
        <v>280873.79886768787</v>
      </c>
      <c r="BM69" s="169">
        <f>IF(BM$81="","",Underwriting!BR134)</f>
        <v>280873.79886768787</v>
      </c>
      <c r="BN69" s="169">
        <f>IF(BN$81="","",Underwriting!BS134)</f>
        <v>280873.79886768787</v>
      </c>
      <c r="BO69" s="169">
        <f>IF(BO$81="","",Underwriting!BT134)</f>
        <v>280873.79886768787</v>
      </c>
      <c r="BP69" s="169">
        <f>IF(BP$81="","",Underwriting!BU134)</f>
        <v>287895.64383938006</v>
      </c>
      <c r="BQ69" s="169" t="str">
        <f>IF(BQ$81="","",Underwriting!BV134)</f>
        <v/>
      </c>
      <c r="BR69" s="169" t="str">
        <f>IF(BR$81="","",Underwriting!BW134)</f>
        <v/>
      </c>
      <c r="BS69" s="169" t="str">
        <f>IF(BS$81="","",Underwriting!BX134)</f>
        <v/>
      </c>
      <c r="BT69" s="169" t="str">
        <f>IF(BT$81="","",Underwriting!BY134)</f>
        <v/>
      </c>
      <c r="BU69" s="169" t="str">
        <f>IF(BU$81="","",Underwriting!BZ134)</f>
        <v/>
      </c>
      <c r="BV69" s="169" t="str">
        <f>IF(BV$81="","",Underwriting!CA134)</f>
        <v/>
      </c>
      <c r="BW69" s="169" t="str">
        <f>IF(BW$81="","",Underwriting!CB134)</f>
        <v/>
      </c>
      <c r="BX69" s="169" t="str">
        <f>IF(BX$81="","",Underwriting!CC134)</f>
        <v/>
      </c>
      <c r="BY69" s="169" t="str">
        <f>IF(BY$81="","",Underwriting!CD134)</f>
        <v/>
      </c>
      <c r="BZ69" s="169" t="str">
        <f>IF(BZ$81="","",Underwriting!CE134)</f>
        <v/>
      </c>
      <c r="CA69" s="169" t="str">
        <f>IF(CA$81="","",Underwriting!CF134)</f>
        <v/>
      </c>
      <c r="CB69" s="169" t="str">
        <f>IF(CB$81="","",Underwriting!CG134)</f>
        <v/>
      </c>
      <c r="CC69" s="169" t="str">
        <f>IF(CC$81="","",Underwriting!CH134)</f>
        <v/>
      </c>
      <c r="CD69" s="169" t="str">
        <f>IF(CD$81="","",Underwriting!CI134)</f>
        <v/>
      </c>
      <c r="CE69" s="169" t="str">
        <f>IF(CE$81="","",Underwriting!CJ134)</f>
        <v/>
      </c>
      <c r="CF69" s="169" t="str">
        <f>IF(CF$81="","",Underwriting!CK134)</f>
        <v/>
      </c>
      <c r="CG69" s="169" t="str">
        <f>IF(CG$81="","",Underwriting!CL134)</f>
        <v/>
      </c>
      <c r="CH69" s="169" t="str">
        <f>IF(CH$81="","",Underwriting!CM134)</f>
        <v/>
      </c>
      <c r="CI69" s="169" t="str">
        <f>IF(CI$81="","",Underwriting!CN134)</f>
        <v/>
      </c>
      <c r="CJ69" s="169" t="str">
        <f>IF(CJ$81="","",Underwriting!CO134)</f>
        <v/>
      </c>
      <c r="CK69" s="169" t="str">
        <f>IF(CK$81="","",Underwriting!CP134)</f>
        <v/>
      </c>
      <c r="CL69" s="169" t="str">
        <f>IF(CL$81="","",Underwriting!CQ134)</f>
        <v/>
      </c>
      <c r="CM69" s="169" t="str">
        <f>IF(CM$81="","",Underwriting!CR134)</f>
        <v/>
      </c>
      <c r="CN69" s="169" t="str">
        <f>IF(CN$81="","",Underwriting!CS134)</f>
        <v/>
      </c>
      <c r="CO69" s="169" t="str">
        <f>IF(CO$81="","",Underwriting!CT134)</f>
        <v/>
      </c>
      <c r="CP69" s="169" t="str">
        <f>IF(CP$81="","",Underwriting!CU134)</f>
        <v/>
      </c>
      <c r="CQ69" s="169" t="str">
        <f>IF(CQ$81="","",Underwriting!CV134)</f>
        <v/>
      </c>
      <c r="CR69" s="169" t="str">
        <f>IF(CR$81="","",Underwriting!CW134)</f>
        <v/>
      </c>
      <c r="CS69" s="169" t="str">
        <f>IF(CS$81="","",Underwriting!CX134)</f>
        <v/>
      </c>
      <c r="CT69" s="169" t="str">
        <f>IF(CT$81="","",Underwriting!CY134)</f>
        <v/>
      </c>
      <c r="CU69" s="169" t="str">
        <f>IF(CU$81="","",Underwriting!CZ134)</f>
        <v/>
      </c>
      <c r="CV69" s="169" t="str">
        <f>IF(CV$81="","",Underwriting!DA134)</f>
        <v/>
      </c>
      <c r="CW69" s="169" t="str">
        <f>IF(CW$81="","",Underwriting!DB134)</f>
        <v/>
      </c>
      <c r="CX69" s="169" t="str">
        <f>IF(CX$81="","",Underwriting!DC134)</f>
        <v/>
      </c>
      <c r="CY69" s="169" t="str">
        <f>IF(CY$81="","",Underwriting!DD134)</f>
        <v/>
      </c>
      <c r="CZ69" s="169" t="str">
        <f>IF(CZ$81="","",Underwriting!DE134)</f>
        <v/>
      </c>
      <c r="DA69" s="169" t="str">
        <f>IF(DA$81="","",Underwriting!DF134)</f>
        <v/>
      </c>
      <c r="DB69" s="169" t="str">
        <f>IF(DB$81="","",Underwriting!DG134)</f>
        <v/>
      </c>
      <c r="DC69" s="169" t="str">
        <f>IF(DC$81="","",Underwriting!DH134)</f>
        <v/>
      </c>
      <c r="DD69" s="169" t="str">
        <f>IF(DD$81="","",Underwriting!DI134)</f>
        <v/>
      </c>
      <c r="DE69" s="169" t="str">
        <f>IF(DE$81="","",Underwriting!DJ134)</f>
        <v/>
      </c>
      <c r="DF69" s="169" t="str">
        <f>IF(DF$81="","",Underwriting!DK134)</f>
        <v/>
      </c>
      <c r="DG69" s="169" t="str">
        <f>IF(DG$81="","",Underwriting!DL134)</f>
        <v/>
      </c>
      <c r="DH69" s="169" t="str">
        <f>IF(DH$81="","",Underwriting!DM134)</f>
        <v/>
      </c>
      <c r="DI69" s="169" t="str">
        <f>IF(DI$81="","",Underwriting!DN134)</f>
        <v/>
      </c>
      <c r="DJ69" s="169" t="str">
        <f>IF(DJ$81="","",Underwriting!DO134)</f>
        <v/>
      </c>
      <c r="DK69" s="169" t="str">
        <f>IF(DK$81="","",Underwriting!DP134)</f>
        <v/>
      </c>
      <c r="DL69" s="169" t="str">
        <f>IF(DL$81="","",Underwriting!DQ134)</f>
        <v/>
      </c>
      <c r="DM69" s="169" t="str">
        <f>IF(DM$81="","",Underwriting!DR134)</f>
        <v/>
      </c>
      <c r="DN69" s="169" t="str">
        <f>IF(DN$81="","",Underwriting!DS134)</f>
        <v/>
      </c>
      <c r="DO69" s="169" t="str">
        <f>IF(DO$81="","",Underwriting!DT134)</f>
        <v/>
      </c>
      <c r="DP69" s="169" t="str">
        <f>IF(DP$81="","",Underwriting!DU134)</f>
        <v/>
      </c>
      <c r="DQ69" s="169" t="str">
        <f>IF(DQ$81="","",Underwriting!DV134)</f>
        <v/>
      </c>
      <c r="DR69" s="169" t="str">
        <f>IF(DR$81="","",Underwriting!DW134)</f>
        <v/>
      </c>
      <c r="DS69" s="169" t="str">
        <f>IF(DS$81="","",Underwriting!DX134)</f>
        <v/>
      </c>
      <c r="DT69" s="169" t="str">
        <f>IF(DT$81="","",Underwriting!DY134)</f>
        <v/>
      </c>
      <c r="DU69" s="169" t="str">
        <f>IF(DU$81="","",Underwriting!DZ134)</f>
        <v/>
      </c>
      <c r="DV69" s="169" t="str">
        <f>IF(DV$81="","",Underwriting!EA134)</f>
        <v/>
      </c>
      <c r="DW69" s="169" t="str">
        <f>IF(DW$81="","",Underwriting!EB134)</f>
        <v/>
      </c>
      <c r="DX69" s="169" t="str">
        <f>IF(DX$81="","",Underwriting!EC134)</f>
        <v/>
      </c>
      <c r="DY69" s="169" t="str">
        <f>IF(DY$81="","",Underwriting!ED134)</f>
        <v/>
      </c>
      <c r="DZ69" s="169" t="str">
        <f>IF(DZ$81="","",Underwriting!EE134)</f>
        <v/>
      </c>
      <c r="EA69" s="169" t="str">
        <f>IF(EA$81="","",Underwriting!EF134)</f>
        <v/>
      </c>
      <c r="EB69" s="169" t="str">
        <f>IF(EB$81="","",Underwriting!EG134)</f>
        <v/>
      </c>
      <c r="EC69" s="169" t="str">
        <f>IF(EC$81="","",Underwriting!EH134)</f>
        <v/>
      </c>
      <c r="ED69" s="169" t="str">
        <f>IF(ED$81="","",Underwriting!EI134)</f>
        <v/>
      </c>
      <c r="EE69" s="169" t="str">
        <f>IF(EE$81="","",Underwriting!EJ134)</f>
        <v/>
      </c>
      <c r="EF69" s="169" t="str">
        <f>IF(EF$81="","",Underwriting!EK134)</f>
        <v/>
      </c>
      <c r="EG69" s="169" t="str">
        <f>IF(EG$81="","",Underwriting!EL134)</f>
        <v/>
      </c>
      <c r="EH69" s="169" t="str">
        <f>IF(EH$81="","",Underwriting!EM134)</f>
        <v/>
      </c>
      <c r="EI69" s="169" t="str">
        <f>IF(EI$81="","",Underwriting!EN134)</f>
        <v/>
      </c>
    </row>
    <row r="70" spans="2:139" x14ac:dyDescent="0.35">
      <c r="B70" s="163" t="str">
        <f>Underwriting!B135</f>
        <v>Management fee included in source operating costs</v>
      </c>
      <c r="C70" s="4"/>
      <c r="D70" s="4"/>
      <c r="E70" s="4"/>
      <c r="F70" s="4"/>
      <c r="G70" s="171">
        <f>IF(G$81="","",Underwriting!L135)</f>
        <v>0</v>
      </c>
      <c r="H70" s="171">
        <f>IF(H$81="","",Underwriting!M135)</f>
        <v>0</v>
      </c>
      <c r="I70" s="171">
        <f>IF(I$81="","",Underwriting!N135)</f>
        <v>0</v>
      </c>
      <c r="J70" s="171">
        <f>IF(J$81="","",Underwriting!O135)</f>
        <v>0</v>
      </c>
      <c r="K70" s="171">
        <f>IF(K$81="","",Underwriting!P135)</f>
        <v>0</v>
      </c>
      <c r="L70" s="171">
        <f>IF(L$81="","",Underwriting!Q135)</f>
        <v>0</v>
      </c>
      <c r="M70" s="171">
        <f>IF(M$81="","",Underwriting!R135)</f>
        <v>0</v>
      </c>
      <c r="N70" s="171">
        <f>IF(N$81="","",Underwriting!S135)</f>
        <v>0</v>
      </c>
      <c r="O70" s="171">
        <f>IF(O$81="","",Underwriting!T135)</f>
        <v>0</v>
      </c>
      <c r="P70" s="171">
        <f>IF(P$81="","",Underwriting!U135)</f>
        <v>0</v>
      </c>
      <c r="Q70" s="171">
        <f>IF(Q$81="","",Underwriting!V135)</f>
        <v>0</v>
      </c>
      <c r="R70" s="171">
        <f>IF(R$81="","",Underwriting!W135)</f>
        <v>0</v>
      </c>
      <c r="S70" s="169">
        <f>IF(S$81="","",Underwriting!X135)</f>
        <v>0</v>
      </c>
      <c r="T70" s="169">
        <f>IF(T$81="","",Underwriting!Y135)</f>
        <v>0</v>
      </c>
      <c r="U70" s="169">
        <f>IF(U$81="","",Underwriting!Z135)</f>
        <v>0</v>
      </c>
      <c r="V70" s="169">
        <f>IF(V$81="","",Underwriting!AA135)</f>
        <v>0</v>
      </c>
      <c r="W70" s="169">
        <f>IF(W$81="","",Underwriting!AB135)</f>
        <v>0</v>
      </c>
      <c r="X70" s="169">
        <f>IF(X$81="","",Underwriting!AC135)</f>
        <v>0</v>
      </c>
      <c r="Y70" s="169">
        <f>IF(Y$81="","",Underwriting!AD135)</f>
        <v>0</v>
      </c>
      <c r="Z70" s="169">
        <f>IF(Z$81="","",Underwriting!AE135)</f>
        <v>0</v>
      </c>
      <c r="AA70" s="169">
        <f>IF(AA$81="","",Underwriting!AF135)</f>
        <v>0</v>
      </c>
      <c r="AB70" s="169">
        <f>IF(AB$81="","",Underwriting!AG135)</f>
        <v>0</v>
      </c>
      <c r="AC70" s="169">
        <f>IF(AC$81="","",Underwriting!AH135)</f>
        <v>0</v>
      </c>
      <c r="AD70" s="169">
        <f>IF(AD$81="","",Underwriting!AI135)</f>
        <v>0</v>
      </c>
      <c r="AE70" s="169">
        <f>IF(AE$81="","",Underwriting!AJ135)</f>
        <v>0</v>
      </c>
      <c r="AF70" s="169">
        <f>IF(AF$81="","",Underwriting!AK135)</f>
        <v>0</v>
      </c>
      <c r="AG70" s="169">
        <f>IF(AG$81="","",Underwriting!AL135)</f>
        <v>0</v>
      </c>
      <c r="AH70" s="169">
        <f>IF(AH$81="","",Underwriting!AM135)</f>
        <v>0</v>
      </c>
      <c r="AI70" s="169">
        <f>IF(AI$81="","",Underwriting!AN135)</f>
        <v>0</v>
      </c>
      <c r="AJ70" s="169">
        <f>IF(AJ$81="","",Underwriting!AO135)</f>
        <v>0</v>
      </c>
      <c r="AK70" s="169">
        <f>IF(AK$81="","",Underwriting!AP135)</f>
        <v>0</v>
      </c>
      <c r="AL70" s="169">
        <f>IF(AL$81="","",Underwriting!AQ135)</f>
        <v>0</v>
      </c>
      <c r="AM70" s="169">
        <f>IF(AM$81="","",Underwriting!AR135)</f>
        <v>0</v>
      </c>
      <c r="AN70" s="169">
        <f>IF(AN$81="","",Underwriting!AS135)</f>
        <v>0</v>
      </c>
      <c r="AO70" s="169">
        <f>IF(AO$81="","",Underwriting!AT135)</f>
        <v>0</v>
      </c>
      <c r="AP70" s="169">
        <f>IF(AP$81="","",Underwriting!AU135)</f>
        <v>0</v>
      </c>
      <c r="AQ70" s="169">
        <f>IF(AQ$81="","",Underwriting!AV135)</f>
        <v>0</v>
      </c>
      <c r="AR70" s="169">
        <f>IF(AR$81="","",Underwriting!AW135)</f>
        <v>0</v>
      </c>
      <c r="AS70" s="169">
        <f>IF(AS$81="","",Underwriting!AX135)</f>
        <v>0</v>
      </c>
      <c r="AT70" s="169">
        <f>IF(AT$81="","",Underwriting!AY135)</f>
        <v>0</v>
      </c>
      <c r="AU70" s="169">
        <f>IF(AU$81="","",Underwriting!AZ135)</f>
        <v>0</v>
      </c>
      <c r="AV70" s="169">
        <f>IF(AV$81="","",Underwriting!BA135)</f>
        <v>0</v>
      </c>
      <c r="AW70" s="169">
        <f>IF(AW$81="","",Underwriting!BB135)</f>
        <v>0</v>
      </c>
      <c r="AX70" s="169">
        <f>IF(AX$81="","",Underwriting!BC135)</f>
        <v>0</v>
      </c>
      <c r="AY70" s="169">
        <f>IF(AY$81="","",Underwriting!BD135)</f>
        <v>0</v>
      </c>
      <c r="AZ70" s="169">
        <f>IF(AZ$81="","",Underwriting!BE135)</f>
        <v>0</v>
      </c>
      <c r="BA70" s="169">
        <f>IF(BA$81="","",Underwriting!BF135)</f>
        <v>0</v>
      </c>
      <c r="BB70" s="169">
        <f>IF(BB$81="","",Underwriting!BG135)</f>
        <v>0</v>
      </c>
      <c r="BC70" s="169">
        <f>IF(BC$81="","",Underwriting!BH135)</f>
        <v>0</v>
      </c>
      <c r="BD70" s="169">
        <f>IF(BD$81="","",Underwriting!BI135)</f>
        <v>0</v>
      </c>
      <c r="BE70" s="169">
        <f>IF(BE$81="","",Underwriting!BJ135)</f>
        <v>0</v>
      </c>
      <c r="BF70" s="169">
        <f>IF(BF$81="","",Underwriting!BK135)</f>
        <v>0</v>
      </c>
      <c r="BG70" s="169">
        <f>IF(BG$81="","",Underwriting!BL135)</f>
        <v>0</v>
      </c>
      <c r="BH70" s="169">
        <f>IF(BH$81="","",Underwriting!BM135)</f>
        <v>0</v>
      </c>
      <c r="BI70" s="169">
        <f>IF(BI$81="","",Underwriting!BN135)</f>
        <v>0</v>
      </c>
      <c r="BJ70" s="169">
        <f>IF(BJ$81="","",Underwriting!BO135)</f>
        <v>0</v>
      </c>
      <c r="BK70" s="169">
        <f>IF(BK$81="","",Underwriting!BP135)</f>
        <v>0</v>
      </c>
      <c r="BL70" s="169">
        <f>IF(BL$81="","",Underwriting!BQ135)</f>
        <v>0</v>
      </c>
      <c r="BM70" s="169">
        <f>IF(BM$81="","",Underwriting!BR135)</f>
        <v>0</v>
      </c>
      <c r="BN70" s="169">
        <f>IF(BN$81="","",Underwriting!BS135)</f>
        <v>0</v>
      </c>
      <c r="BO70" s="169">
        <f>IF(BO$81="","",Underwriting!BT135)</f>
        <v>0</v>
      </c>
      <c r="BP70" s="169">
        <f>IF(BP$81="","",Underwriting!BU135)</f>
        <v>0</v>
      </c>
      <c r="BQ70" s="169" t="str">
        <f>IF(BQ$81="","",Underwriting!BV135)</f>
        <v/>
      </c>
      <c r="BR70" s="169" t="str">
        <f>IF(BR$81="","",Underwriting!BW135)</f>
        <v/>
      </c>
      <c r="BS70" s="169" t="str">
        <f>IF(BS$81="","",Underwriting!BX135)</f>
        <v/>
      </c>
      <c r="BT70" s="169" t="str">
        <f>IF(BT$81="","",Underwriting!BY135)</f>
        <v/>
      </c>
      <c r="BU70" s="169" t="str">
        <f>IF(BU$81="","",Underwriting!BZ135)</f>
        <v/>
      </c>
      <c r="BV70" s="169" t="str">
        <f>IF(BV$81="","",Underwriting!CA135)</f>
        <v/>
      </c>
      <c r="BW70" s="169" t="str">
        <f>IF(BW$81="","",Underwriting!CB135)</f>
        <v/>
      </c>
      <c r="BX70" s="169" t="str">
        <f>IF(BX$81="","",Underwriting!CC135)</f>
        <v/>
      </c>
      <c r="BY70" s="169" t="str">
        <f>IF(BY$81="","",Underwriting!CD135)</f>
        <v/>
      </c>
      <c r="BZ70" s="169" t="str">
        <f>IF(BZ$81="","",Underwriting!CE135)</f>
        <v/>
      </c>
      <c r="CA70" s="169" t="str">
        <f>IF(CA$81="","",Underwriting!CF135)</f>
        <v/>
      </c>
      <c r="CB70" s="169" t="str">
        <f>IF(CB$81="","",Underwriting!CG135)</f>
        <v/>
      </c>
      <c r="CC70" s="169" t="str">
        <f>IF(CC$81="","",Underwriting!CH135)</f>
        <v/>
      </c>
      <c r="CD70" s="169" t="str">
        <f>IF(CD$81="","",Underwriting!CI135)</f>
        <v/>
      </c>
      <c r="CE70" s="169" t="str">
        <f>IF(CE$81="","",Underwriting!CJ135)</f>
        <v/>
      </c>
      <c r="CF70" s="169" t="str">
        <f>IF(CF$81="","",Underwriting!CK135)</f>
        <v/>
      </c>
      <c r="CG70" s="169" t="str">
        <f>IF(CG$81="","",Underwriting!CL135)</f>
        <v/>
      </c>
      <c r="CH70" s="169" t="str">
        <f>IF(CH$81="","",Underwriting!CM135)</f>
        <v/>
      </c>
      <c r="CI70" s="169" t="str">
        <f>IF(CI$81="","",Underwriting!CN135)</f>
        <v/>
      </c>
      <c r="CJ70" s="169" t="str">
        <f>IF(CJ$81="","",Underwriting!CO135)</f>
        <v/>
      </c>
      <c r="CK70" s="169" t="str">
        <f>IF(CK$81="","",Underwriting!CP135)</f>
        <v/>
      </c>
      <c r="CL70" s="169" t="str">
        <f>IF(CL$81="","",Underwriting!CQ135)</f>
        <v/>
      </c>
      <c r="CM70" s="169" t="str">
        <f>IF(CM$81="","",Underwriting!CR135)</f>
        <v/>
      </c>
      <c r="CN70" s="169" t="str">
        <f>IF(CN$81="","",Underwriting!CS135)</f>
        <v/>
      </c>
      <c r="CO70" s="169" t="str">
        <f>IF(CO$81="","",Underwriting!CT135)</f>
        <v/>
      </c>
      <c r="CP70" s="169" t="str">
        <f>IF(CP$81="","",Underwriting!CU135)</f>
        <v/>
      </c>
      <c r="CQ70" s="169" t="str">
        <f>IF(CQ$81="","",Underwriting!CV135)</f>
        <v/>
      </c>
      <c r="CR70" s="169" t="str">
        <f>IF(CR$81="","",Underwriting!CW135)</f>
        <v/>
      </c>
      <c r="CS70" s="169" t="str">
        <f>IF(CS$81="","",Underwriting!CX135)</f>
        <v/>
      </c>
      <c r="CT70" s="169" t="str">
        <f>IF(CT$81="","",Underwriting!CY135)</f>
        <v/>
      </c>
      <c r="CU70" s="169" t="str">
        <f>IF(CU$81="","",Underwriting!CZ135)</f>
        <v/>
      </c>
      <c r="CV70" s="169" t="str">
        <f>IF(CV$81="","",Underwriting!DA135)</f>
        <v/>
      </c>
      <c r="CW70" s="169" t="str">
        <f>IF(CW$81="","",Underwriting!DB135)</f>
        <v/>
      </c>
      <c r="CX70" s="169" t="str">
        <f>IF(CX$81="","",Underwriting!DC135)</f>
        <v/>
      </c>
      <c r="CY70" s="169" t="str">
        <f>IF(CY$81="","",Underwriting!DD135)</f>
        <v/>
      </c>
      <c r="CZ70" s="169" t="str">
        <f>IF(CZ$81="","",Underwriting!DE135)</f>
        <v/>
      </c>
      <c r="DA70" s="169" t="str">
        <f>IF(DA$81="","",Underwriting!DF135)</f>
        <v/>
      </c>
      <c r="DB70" s="169" t="str">
        <f>IF(DB$81="","",Underwriting!DG135)</f>
        <v/>
      </c>
      <c r="DC70" s="169" t="str">
        <f>IF(DC$81="","",Underwriting!DH135)</f>
        <v/>
      </c>
      <c r="DD70" s="169" t="str">
        <f>IF(DD$81="","",Underwriting!DI135)</f>
        <v/>
      </c>
      <c r="DE70" s="169" t="str">
        <f>IF(DE$81="","",Underwriting!DJ135)</f>
        <v/>
      </c>
      <c r="DF70" s="169" t="str">
        <f>IF(DF$81="","",Underwriting!DK135)</f>
        <v/>
      </c>
      <c r="DG70" s="169" t="str">
        <f>IF(DG$81="","",Underwriting!DL135)</f>
        <v/>
      </c>
      <c r="DH70" s="169" t="str">
        <f>IF(DH$81="","",Underwriting!DM135)</f>
        <v/>
      </c>
      <c r="DI70" s="169" t="str">
        <f>IF(DI$81="","",Underwriting!DN135)</f>
        <v/>
      </c>
      <c r="DJ70" s="169" t="str">
        <f>IF(DJ$81="","",Underwriting!DO135)</f>
        <v/>
      </c>
      <c r="DK70" s="169" t="str">
        <f>IF(DK$81="","",Underwriting!DP135)</f>
        <v/>
      </c>
      <c r="DL70" s="169" t="str">
        <f>IF(DL$81="","",Underwriting!DQ135)</f>
        <v/>
      </c>
      <c r="DM70" s="169" t="str">
        <f>IF(DM$81="","",Underwriting!DR135)</f>
        <v/>
      </c>
      <c r="DN70" s="169" t="str">
        <f>IF(DN$81="","",Underwriting!DS135)</f>
        <v/>
      </c>
      <c r="DO70" s="169" t="str">
        <f>IF(DO$81="","",Underwriting!DT135)</f>
        <v/>
      </c>
      <c r="DP70" s="169" t="str">
        <f>IF(DP$81="","",Underwriting!DU135)</f>
        <v/>
      </c>
      <c r="DQ70" s="169" t="str">
        <f>IF(DQ$81="","",Underwriting!DV135)</f>
        <v/>
      </c>
      <c r="DR70" s="169" t="str">
        <f>IF(DR$81="","",Underwriting!DW135)</f>
        <v/>
      </c>
      <c r="DS70" s="169" t="str">
        <f>IF(DS$81="","",Underwriting!DX135)</f>
        <v/>
      </c>
      <c r="DT70" s="169" t="str">
        <f>IF(DT$81="","",Underwriting!DY135)</f>
        <v/>
      </c>
      <c r="DU70" s="169" t="str">
        <f>IF(DU$81="","",Underwriting!DZ135)</f>
        <v/>
      </c>
      <c r="DV70" s="169" t="str">
        <f>IF(DV$81="","",Underwriting!EA135)</f>
        <v/>
      </c>
      <c r="DW70" s="169" t="str">
        <f>IF(DW$81="","",Underwriting!EB135)</f>
        <v/>
      </c>
      <c r="DX70" s="169" t="str">
        <f>IF(DX$81="","",Underwriting!EC135)</f>
        <v/>
      </c>
      <c r="DY70" s="169" t="str">
        <f>IF(DY$81="","",Underwriting!ED135)</f>
        <v/>
      </c>
      <c r="DZ70" s="169" t="str">
        <f>IF(DZ$81="","",Underwriting!EE135)</f>
        <v/>
      </c>
      <c r="EA70" s="169" t="str">
        <f>IF(EA$81="","",Underwriting!EF135)</f>
        <v/>
      </c>
      <c r="EB70" s="169" t="str">
        <f>IF(EB$81="","",Underwriting!EG135)</f>
        <v/>
      </c>
      <c r="EC70" s="169" t="str">
        <f>IF(EC$81="","",Underwriting!EH135)</f>
        <v/>
      </c>
      <c r="ED70" s="169" t="str">
        <f>IF(ED$81="","",Underwriting!EI135)</f>
        <v/>
      </c>
      <c r="EE70" s="169" t="str">
        <f>IF(EE$81="","",Underwriting!EJ135)</f>
        <v/>
      </c>
      <c r="EF70" s="169" t="str">
        <f>IF(EF$81="","",Underwriting!EK135)</f>
        <v/>
      </c>
      <c r="EG70" s="169" t="str">
        <f>IF(EG$81="","",Underwriting!EL135)</f>
        <v/>
      </c>
      <c r="EH70" s="169" t="str">
        <f>IF(EH$81="","",Underwriting!EM135)</f>
        <v/>
      </c>
      <c r="EI70" s="169" t="str">
        <f>IF(EI$81="","",Underwriting!EN135)</f>
        <v/>
      </c>
    </row>
    <row r="71" spans="2:139" x14ac:dyDescent="0.35">
      <c r="B71" s="163" t="str">
        <f>Underwriting!B136</f>
        <v>Other operating expenses included in source operating costs</v>
      </c>
      <c r="C71" s="4"/>
      <c r="D71" s="4"/>
      <c r="E71" s="4"/>
      <c r="F71" s="4"/>
      <c r="G71" s="171">
        <f>IF(G$81="","",Underwriting!L136)</f>
        <v>0</v>
      </c>
      <c r="H71" s="171">
        <f>IF(H$81="","",Underwriting!M136)</f>
        <v>0</v>
      </c>
      <c r="I71" s="171">
        <f>IF(I$81="","",Underwriting!N136)</f>
        <v>0</v>
      </c>
      <c r="J71" s="171">
        <f>IF(J$81="","",Underwriting!O136)</f>
        <v>0</v>
      </c>
      <c r="K71" s="171">
        <f>IF(K$81="","",Underwriting!P136)</f>
        <v>0</v>
      </c>
      <c r="L71" s="171">
        <f>IF(L$81="","",Underwriting!Q136)</f>
        <v>0</v>
      </c>
      <c r="M71" s="171">
        <f>IF(M$81="","",Underwriting!R136)</f>
        <v>0</v>
      </c>
      <c r="N71" s="171">
        <f>IF(N$81="","",Underwriting!S136)</f>
        <v>0</v>
      </c>
      <c r="O71" s="171">
        <f>IF(O$81="","",Underwriting!T136)</f>
        <v>0</v>
      </c>
      <c r="P71" s="171">
        <f>IF(P$81="","",Underwriting!U136)</f>
        <v>0</v>
      </c>
      <c r="Q71" s="171">
        <f>IF(Q$81="","",Underwriting!V136)</f>
        <v>0</v>
      </c>
      <c r="R71" s="171">
        <f>IF(R$81="","",Underwriting!W136)</f>
        <v>0</v>
      </c>
      <c r="S71" s="169">
        <f>IF(S$81="","",Underwriting!X136)</f>
        <v>0</v>
      </c>
      <c r="T71" s="169">
        <f>IF(T$81="","",Underwriting!Y136)</f>
        <v>0</v>
      </c>
      <c r="U71" s="169">
        <f>IF(U$81="","",Underwriting!Z136)</f>
        <v>0</v>
      </c>
      <c r="V71" s="169">
        <f>IF(V$81="","",Underwriting!AA136)</f>
        <v>0</v>
      </c>
      <c r="W71" s="169">
        <f>IF(W$81="","",Underwriting!AB136)</f>
        <v>0</v>
      </c>
      <c r="X71" s="169">
        <f>IF(X$81="","",Underwriting!AC136)</f>
        <v>0</v>
      </c>
      <c r="Y71" s="169">
        <f>IF(Y$81="","",Underwriting!AD136)</f>
        <v>0</v>
      </c>
      <c r="Z71" s="169">
        <f>IF(Z$81="","",Underwriting!AE136)</f>
        <v>0</v>
      </c>
      <c r="AA71" s="169">
        <f>IF(AA$81="","",Underwriting!AF136)</f>
        <v>0</v>
      </c>
      <c r="AB71" s="169">
        <f>IF(AB$81="","",Underwriting!AG136)</f>
        <v>0</v>
      </c>
      <c r="AC71" s="169">
        <f>IF(AC$81="","",Underwriting!AH136)</f>
        <v>0</v>
      </c>
      <c r="AD71" s="169">
        <f>IF(AD$81="","",Underwriting!AI136)</f>
        <v>0</v>
      </c>
      <c r="AE71" s="169">
        <f>IF(AE$81="","",Underwriting!AJ136)</f>
        <v>0</v>
      </c>
      <c r="AF71" s="169">
        <f>IF(AF$81="","",Underwriting!AK136)</f>
        <v>0</v>
      </c>
      <c r="AG71" s="169">
        <f>IF(AG$81="","",Underwriting!AL136)</f>
        <v>0</v>
      </c>
      <c r="AH71" s="169">
        <f>IF(AH$81="","",Underwriting!AM136)</f>
        <v>0</v>
      </c>
      <c r="AI71" s="169">
        <f>IF(AI$81="","",Underwriting!AN136)</f>
        <v>0</v>
      </c>
      <c r="AJ71" s="169">
        <f>IF(AJ$81="","",Underwriting!AO136)</f>
        <v>0</v>
      </c>
      <c r="AK71" s="169">
        <f>IF(AK$81="","",Underwriting!AP136)</f>
        <v>0</v>
      </c>
      <c r="AL71" s="169">
        <f>IF(AL$81="","",Underwriting!AQ136)</f>
        <v>0</v>
      </c>
      <c r="AM71" s="169">
        <f>IF(AM$81="","",Underwriting!AR136)</f>
        <v>0</v>
      </c>
      <c r="AN71" s="169">
        <f>IF(AN$81="","",Underwriting!AS136)</f>
        <v>0</v>
      </c>
      <c r="AO71" s="169">
        <f>IF(AO$81="","",Underwriting!AT136)</f>
        <v>0</v>
      </c>
      <c r="AP71" s="169">
        <f>IF(AP$81="","",Underwriting!AU136)</f>
        <v>0</v>
      </c>
      <c r="AQ71" s="169">
        <f>IF(AQ$81="","",Underwriting!AV136)</f>
        <v>0</v>
      </c>
      <c r="AR71" s="169">
        <f>IF(AR$81="","",Underwriting!AW136)</f>
        <v>0</v>
      </c>
      <c r="AS71" s="169">
        <f>IF(AS$81="","",Underwriting!AX136)</f>
        <v>0</v>
      </c>
      <c r="AT71" s="169">
        <f>IF(AT$81="","",Underwriting!AY136)</f>
        <v>0</v>
      </c>
      <c r="AU71" s="169">
        <f>IF(AU$81="","",Underwriting!AZ136)</f>
        <v>0</v>
      </c>
      <c r="AV71" s="169">
        <f>IF(AV$81="","",Underwriting!BA136)</f>
        <v>0</v>
      </c>
      <c r="AW71" s="169">
        <f>IF(AW$81="","",Underwriting!BB136)</f>
        <v>0</v>
      </c>
      <c r="AX71" s="169">
        <f>IF(AX$81="","",Underwriting!BC136)</f>
        <v>0</v>
      </c>
      <c r="AY71" s="169">
        <f>IF(AY$81="","",Underwriting!BD136)</f>
        <v>0</v>
      </c>
      <c r="AZ71" s="169">
        <f>IF(AZ$81="","",Underwriting!BE136)</f>
        <v>0</v>
      </c>
      <c r="BA71" s="169">
        <f>IF(BA$81="","",Underwriting!BF136)</f>
        <v>0</v>
      </c>
      <c r="BB71" s="169">
        <f>IF(BB$81="","",Underwriting!BG136)</f>
        <v>0</v>
      </c>
      <c r="BC71" s="169">
        <f>IF(BC$81="","",Underwriting!BH136)</f>
        <v>0</v>
      </c>
      <c r="BD71" s="169">
        <f>IF(BD$81="","",Underwriting!BI136)</f>
        <v>0</v>
      </c>
      <c r="BE71" s="169">
        <f>IF(BE$81="","",Underwriting!BJ136)</f>
        <v>0</v>
      </c>
      <c r="BF71" s="169">
        <f>IF(BF$81="","",Underwriting!BK136)</f>
        <v>0</v>
      </c>
      <c r="BG71" s="169">
        <f>IF(BG$81="","",Underwriting!BL136)</f>
        <v>0</v>
      </c>
      <c r="BH71" s="169">
        <f>IF(BH$81="","",Underwriting!BM136)</f>
        <v>0</v>
      </c>
      <c r="BI71" s="169">
        <f>IF(BI$81="","",Underwriting!BN136)</f>
        <v>0</v>
      </c>
      <c r="BJ71" s="169">
        <f>IF(BJ$81="","",Underwriting!BO136)</f>
        <v>0</v>
      </c>
      <c r="BK71" s="169">
        <f>IF(BK$81="","",Underwriting!BP136)</f>
        <v>0</v>
      </c>
      <c r="BL71" s="169">
        <f>IF(BL$81="","",Underwriting!BQ136)</f>
        <v>0</v>
      </c>
      <c r="BM71" s="169">
        <f>IF(BM$81="","",Underwriting!BR136)</f>
        <v>0</v>
      </c>
      <c r="BN71" s="169">
        <f>IF(BN$81="","",Underwriting!BS136)</f>
        <v>0</v>
      </c>
      <c r="BO71" s="169">
        <f>IF(BO$81="","",Underwriting!BT136)</f>
        <v>0</v>
      </c>
      <c r="BP71" s="169">
        <f>IF(BP$81="","",Underwriting!BU136)</f>
        <v>0</v>
      </c>
      <c r="BQ71" s="169" t="str">
        <f>IF(BQ$81="","",Underwriting!BV136)</f>
        <v/>
      </c>
      <c r="BR71" s="169" t="str">
        <f>IF(BR$81="","",Underwriting!BW136)</f>
        <v/>
      </c>
      <c r="BS71" s="169" t="str">
        <f>IF(BS$81="","",Underwriting!BX136)</f>
        <v/>
      </c>
      <c r="BT71" s="169" t="str">
        <f>IF(BT$81="","",Underwriting!BY136)</f>
        <v/>
      </c>
      <c r="BU71" s="169" t="str">
        <f>IF(BU$81="","",Underwriting!BZ136)</f>
        <v/>
      </c>
      <c r="BV71" s="169" t="str">
        <f>IF(BV$81="","",Underwriting!CA136)</f>
        <v/>
      </c>
      <c r="BW71" s="169" t="str">
        <f>IF(BW$81="","",Underwriting!CB136)</f>
        <v/>
      </c>
      <c r="BX71" s="169" t="str">
        <f>IF(BX$81="","",Underwriting!CC136)</f>
        <v/>
      </c>
      <c r="BY71" s="169" t="str">
        <f>IF(BY$81="","",Underwriting!CD136)</f>
        <v/>
      </c>
      <c r="BZ71" s="169" t="str">
        <f>IF(BZ$81="","",Underwriting!CE136)</f>
        <v/>
      </c>
      <c r="CA71" s="169" t="str">
        <f>IF(CA$81="","",Underwriting!CF136)</f>
        <v/>
      </c>
      <c r="CB71" s="169" t="str">
        <f>IF(CB$81="","",Underwriting!CG136)</f>
        <v/>
      </c>
      <c r="CC71" s="169" t="str">
        <f>IF(CC$81="","",Underwriting!CH136)</f>
        <v/>
      </c>
      <c r="CD71" s="169" t="str">
        <f>IF(CD$81="","",Underwriting!CI136)</f>
        <v/>
      </c>
      <c r="CE71" s="169" t="str">
        <f>IF(CE$81="","",Underwriting!CJ136)</f>
        <v/>
      </c>
      <c r="CF71" s="169" t="str">
        <f>IF(CF$81="","",Underwriting!CK136)</f>
        <v/>
      </c>
      <c r="CG71" s="169" t="str">
        <f>IF(CG$81="","",Underwriting!CL136)</f>
        <v/>
      </c>
      <c r="CH71" s="169" t="str">
        <f>IF(CH$81="","",Underwriting!CM136)</f>
        <v/>
      </c>
      <c r="CI71" s="169" t="str">
        <f>IF(CI$81="","",Underwriting!CN136)</f>
        <v/>
      </c>
      <c r="CJ71" s="169" t="str">
        <f>IF(CJ$81="","",Underwriting!CO136)</f>
        <v/>
      </c>
      <c r="CK71" s="169" t="str">
        <f>IF(CK$81="","",Underwriting!CP136)</f>
        <v/>
      </c>
      <c r="CL71" s="169" t="str">
        <f>IF(CL$81="","",Underwriting!CQ136)</f>
        <v/>
      </c>
      <c r="CM71" s="169" t="str">
        <f>IF(CM$81="","",Underwriting!CR136)</f>
        <v/>
      </c>
      <c r="CN71" s="169" t="str">
        <f>IF(CN$81="","",Underwriting!CS136)</f>
        <v/>
      </c>
      <c r="CO71" s="169" t="str">
        <f>IF(CO$81="","",Underwriting!CT136)</f>
        <v/>
      </c>
      <c r="CP71" s="169" t="str">
        <f>IF(CP$81="","",Underwriting!CU136)</f>
        <v/>
      </c>
      <c r="CQ71" s="169" t="str">
        <f>IF(CQ$81="","",Underwriting!CV136)</f>
        <v/>
      </c>
      <c r="CR71" s="169" t="str">
        <f>IF(CR$81="","",Underwriting!CW136)</f>
        <v/>
      </c>
      <c r="CS71" s="169" t="str">
        <f>IF(CS$81="","",Underwriting!CX136)</f>
        <v/>
      </c>
      <c r="CT71" s="169" t="str">
        <f>IF(CT$81="","",Underwriting!CY136)</f>
        <v/>
      </c>
      <c r="CU71" s="169" t="str">
        <f>IF(CU$81="","",Underwriting!CZ136)</f>
        <v/>
      </c>
      <c r="CV71" s="169" t="str">
        <f>IF(CV$81="","",Underwriting!DA136)</f>
        <v/>
      </c>
      <c r="CW71" s="169" t="str">
        <f>IF(CW$81="","",Underwriting!DB136)</f>
        <v/>
      </c>
      <c r="CX71" s="169" t="str">
        <f>IF(CX$81="","",Underwriting!DC136)</f>
        <v/>
      </c>
      <c r="CY71" s="169" t="str">
        <f>IF(CY$81="","",Underwriting!DD136)</f>
        <v/>
      </c>
      <c r="CZ71" s="169" t="str">
        <f>IF(CZ$81="","",Underwriting!DE136)</f>
        <v/>
      </c>
      <c r="DA71" s="169" t="str">
        <f>IF(DA$81="","",Underwriting!DF136)</f>
        <v/>
      </c>
      <c r="DB71" s="169" t="str">
        <f>IF(DB$81="","",Underwriting!DG136)</f>
        <v/>
      </c>
      <c r="DC71" s="169" t="str">
        <f>IF(DC$81="","",Underwriting!DH136)</f>
        <v/>
      </c>
      <c r="DD71" s="169" t="str">
        <f>IF(DD$81="","",Underwriting!DI136)</f>
        <v/>
      </c>
      <c r="DE71" s="169" t="str">
        <f>IF(DE$81="","",Underwriting!DJ136)</f>
        <v/>
      </c>
      <c r="DF71" s="169" t="str">
        <f>IF(DF$81="","",Underwriting!DK136)</f>
        <v/>
      </c>
      <c r="DG71" s="169" t="str">
        <f>IF(DG$81="","",Underwriting!DL136)</f>
        <v/>
      </c>
      <c r="DH71" s="169" t="str">
        <f>IF(DH$81="","",Underwriting!DM136)</f>
        <v/>
      </c>
      <c r="DI71" s="169" t="str">
        <f>IF(DI$81="","",Underwriting!DN136)</f>
        <v/>
      </c>
      <c r="DJ71" s="169" t="str">
        <f>IF(DJ$81="","",Underwriting!DO136)</f>
        <v/>
      </c>
      <c r="DK71" s="169" t="str">
        <f>IF(DK$81="","",Underwriting!DP136)</f>
        <v/>
      </c>
      <c r="DL71" s="169" t="str">
        <f>IF(DL$81="","",Underwriting!DQ136)</f>
        <v/>
      </c>
      <c r="DM71" s="169" t="str">
        <f>IF(DM$81="","",Underwriting!DR136)</f>
        <v/>
      </c>
      <c r="DN71" s="169" t="str">
        <f>IF(DN$81="","",Underwriting!DS136)</f>
        <v/>
      </c>
      <c r="DO71" s="169" t="str">
        <f>IF(DO$81="","",Underwriting!DT136)</f>
        <v/>
      </c>
      <c r="DP71" s="169" t="str">
        <f>IF(DP$81="","",Underwriting!DU136)</f>
        <v/>
      </c>
      <c r="DQ71" s="169" t="str">
        <f>IF(DQ$81="","",Underwriting!DV136)</f>
        <v/>
      </c>
      <c r="DR71" s="169" t="str">
        <f>IF(DR$81="","",Underwriting!DW136)</f>
        <v/>
      </c>
      <c r="DS71" s="169" t="str">
        <f>IF(DS$81="","",Underwriting!DX136)</f>
        <v/>
      </c>
      <c r="DT71" s="169" t="str">
        <f>IF(DT$81="","",Underwriting!DY136)</f>
        <v/>
      </c>
      <c r="DU71" s="169" t="str">
        <f>IF(DU$81="","",Underwriting!DZ136)</f>
        <v/>
      </c>
      <c r="DV71" s="169" t="str">
        <f>IF(DV$81="","",Underwriting!EA136)</f>
        <v/>
      </c>
      <c r="DW71" s="169" t="str">
        <f>IF(DW$81="","",Underwriting!EB136)</f>
        <v/>
      </c>
      <c r="DX71" s="169" t="str">
        <f>IF(DX$81="","",Underwriting!EC136)</f>
        <v/>
      </c>
      <c r="DY71" s="169" t="str">
        <f>IF(DY$81="","",Underwriting!ED136)</f>
        <v/>
      </c>
      <c r="DZ71" s="169" t="str">
        <f>IF(DZ$81="","",Underwriting!EE136)</f>
        <v/>
      </c>
      <c r="EA71" s="169" t="str">
        <f>IF(EA$81="","",Underwriting!EF136)</f>
        <v/>
      </c>
      <c r="EB71" s="169" t="str">
        <f>IF(EB$81="","",Underwriting!EG136)</f>
        <v/>
      </c>
      <c r="EC71" s="169" t="str">
        <f>IF(EC$81="","",Underwriting!EH136)</f>
        <v/>
      </c>
      <c r="ED71" s="169" t="str">
        <f>IF(ED$81="","",Underwriting!EI136)</f>
        <v/>
      </c>
      <c r="EE71" s="169" t="str">
        <f>IF(EE$81="","",Underwriting!EJ136)</f>
        <v/>
      </c>
      <c r="EF71" s="169" t="str">
        <f>IF(EF$81="","",Underwriting!EK136)</f>
        <v/>
      </c>
      <c r="EG71" s="169" t="str">
        <f>IF(EG$81="","",Underwriting!EL136)</f>
        <v/>
      </c>
      <c r="EH71" s="169" t="str">
        <f>IF(EH$81="","",Underwriting!EM136)</f>
        <v/>
      </c>
      <c r="EI71" s="169" t="str">
        <f>IF(EI$81="","",Underwriting!EN136)</f>
        <v/>
      </c>
    </row>
    <row r="72" spans="2:139" x14ac:dyDescent="0.35">
      <c r="B72" s="163" t="str">
        <f>Underwriting!B137</f>
        <v>Property taxes / insurance included in source operating costs</v>
      </c>
      <c r="C72" s="4"/>
      <c r="D72" s="4"/>
      <c r="E72" s="4"/>
      <c r="F72" s="4"/>
      <c r="G72" s="172">
        <f>IF(G$81="","",Underwriting!L137)</f>
        <v>0</v>
      </c>
      <c r="H72" s="172">
        <f>IF(H$81="","",Underwriting!M137)</f>
        <v>0</v>
      </c>
      <c r="I72" s="172">
        <f>IF(I$81="","",Underwriting!N137)</f>
        <v>0</v>
      </c>
      <c r="J72" s="172">
        <f>IF(J$81="","",Underwriting!O137)</f>
        <v>0</v>
      </c>
      <c r="K72" s="172">
        <f>IF(K$81="","",Underwriting!P137)</f>
        <v>0</v>
      </c>
      <c r="L72" s="172">
        <f>IF(L$81="","",Underwriting!Q137)</f>
        <v>0</v>
      </c>
      <c r="M72" s="172">
        <f>IF(M$81="","",Underwriting!R137)</f>
        <v>0</v>
      </c>
      <c r="N72" s="172">
        <f>IF(N$81="","",Underwriting!S137)</f>
        <v>0</v>
      </c>
      <c r="O72" s="172">
        <f>IF(O$81="","",Underwriting!T137)</f>
        <v>0</v>
      </c>
      <c r="P72" s="172">
        <f>IF(P$81="","",Underwriting!U137)</f>
        <v>0</v>
      </c>
      <c r="Q72" s="172">
        <f>IF(Q$81="","",Underwriting!V137)</f>
        <v>0</v>
      </c>
      <c r="R72" s="172">
        <f>IF(R$81="","",Underwriting!W137)</f>
        <v>0</v>
      </c>
      <c r="S72" s="170">
        <f>IF(S$81="","",Underwriting!X137)</f>
        <v>0</v>
      </c>
      <c r="T72" s="170">
        <f>IF(T$81="","",Underwriting!Y137)</f>
        <v>0</v>
      </c>
      <c r="U72" s="170">
        <f>IF(U$81="","",Underwriting!Z137)</f>
        <v>0</v>
      </c>
      <c r="V72" s="170">
        <f>IF(V$81="","",Underwriting!AA137)</f>
        <v>0</v>
      </c>
      <c r="W72" s="170">
        <f>IF(W$81="","",Underwriting!AB137)</f>
        <v>0</v>
      </c>
      <c r="X72" s="170">
        <f>IF(X$81="","",Underwriting!AC137)</f>
        <v>0</v>
      </c>
      <c r="Y72" s="170">
        <f>IF(Y$81="","",Underwriting!AD137)</f>
        <v>0</v>
      </c>
      <c r="Z72" s="170">
        <f>IF(Z$81="","",Underwriting!AE137)</f>
        <v>0</v>
      </c>
      <c r="AA72" s="170">
        <f>IF(AA$81="","",Underwriting!AF137)</f>
        <v>0</v>
      </c>
      <c r="AB72" s="170">
        <f>IF(AB$81="","",Underwriting!AG137)</f>
        <v>0</v>
      </c>
      <c r="AC72" s="170">
        <f>IF(AC$81="","",Underwriting!AH137)</f>
        <v>0</v>
      </c>
      <c r="AD72" s="170">
        <f>IF(AD$81="","",Underwriting!AI137)</f>
        <v>0</v>
      </c>
      <c r="AE72" s="170">
        <f>IF(AE$81="","",Underwriting!AJ137)</f>
        <v>0</v>
      </c>
      <c r="AF72" s="170">
        <f>IF(AF$81="","",Underwriting!AK137)</f>
        <v>0</v>
      </c>
      <c r="AG72" s="170">
        <f>IF(AG$81="","",Underwriting!AL137)</f>
        <v>0</v>
      </c>
      <c r="AH72" s="170">
        <f>IF(AH$81="","",Underwriting!AM137)</f>
        <v>0</v>
      </c>
      <c r="AI72" s="170">
        <f>IF(AI$81="","",Underwriting!AN137)</f>
        <v>0</v>
      </c>
      <c r="AJ72" s="170">
        <f>IF(AJ$81="","",Underwriting!AO137)</f>
        <v>0</v>
      </c>
      <c r="AK72" s="170">
        <f>IF(AK$81="","",Underwriting!AP137)</f>
        <v>0</v>
      </c>
      <c r="AL72" s="170">
        <f>IF(AL$81="","",Underwriting!AQ137)</f>
        <v>0</v>
      </c>
      <c r="AM72" s="170">
        <f>IF(AM$81="","",Underwriting!AR137)</f>
        <v>0</v>
      </c>
      <c r="AN72" s="170">
        <f>IF(AN$81="","",Underwriting!AS137)</f>
        <v>0</v>
      </c>
      <c r="AO72" s="170">
        <f>IF(AO$81="","",Underwriting!AT137)</f>
        <v>0</v>
      </c>
      <c r="AP72" s="170">
        <f>IF(AP$81="","",Underwriting!AU137)</f>
        <v>0</v>
      </c>
      <c r="AQ72" s="170">
        <f>IF(AQ$81="","",Underwriting!AV137)</f>
        <v>0</v>
      </c>
      <c r="AR72" s="170">
        <f>IF(AR$81="","",Underwriting!AW137)</f>
        <v>0</v>
      </c>
      <c r="AS72" s="170">
        <f>IF(AS$81="","",Underwriting!AX137)</f>
        <v>0</v>
      </c>
      <c r="AT72" s="170">
        <f>IF(AT$81="","",Underwriting!AY137)</f>
        <v>0</v>
      </c>
      <c r="AU72" s="170">
        <f>IF(AU$81="","",Underwriting!AZ137)</f>
        <v>0</v>
      </c>
      <c r="AV72" s="170">
        <f>IF(AV$81="","",Underwriting!BA137)</f>
        <v>0</v>
      </c>
      <c r="AW72" s="170">
        <f>IF(AW$81="","",Underwriting!BB137)</f>
        <v>0</v>
      </c>
      <c r="AX72" s="170">
        <f>IF(AX$81="","",Underwriting!BC137)</f>
        <v>0</v>
      </c>
      <c r="AY72" s="170">
        <f>IF(AY$81="","",Underwriting!BD137)</f>
        <v>0</v>
      </c>
      <c r="AZ72" s="170">
        <f>IF(AZ$81="","",Underwriting!BE137)</f>
        <v>0</v>
      </c>
      <c r="BA72" s="170">
        <f>IF(BA$81="","",Underwriting!BF137)</f>
        <v>0</v>
      </c>
      <c r="BB72" s="170">
        <f>IF(BB$81="","",Underwriting!BG137)</f>
        <v>0</v>
      </c>
      <c r="BC72" s="170">
        <f>IF(BC$81="","",Underwriting!BH137)</f>
        <v>0</v>
      </c>
      <c r="BD72" s="170">
        <f>IF(BD$81="","",Underwriting!BI137)</f>
        <v>0</v>
      </c>
      <c r="BE72" s="170">
        <f>IF(BE$81="","",Underwriting!BJ137)</f>
        <v>0</v>
      </c>
      <c r="BF72" s="170">
        <f>IF(BF$81="","",Underwriting!BK137)</f>
        <v>0</v>
      </c>
      <c r="BG72" s="170">
        <f>IF(BG$81="","",Underwriting!BL137)</f>
        <v>0</v>
      </c>
      <c r="BH72" s="170">
        <f>IF(BH$81="","",Underwriting!BM137)</f>
        <v>0</v>
      </c>
      <c r="BI72" s="170">
        <f>IF(BI$81="","",Underwriting!BN137)</f>
        <v>0</v>
      </c>
      <c r="BJ72" s="170">
        <f>IF(BJ$81="","",Underwriting!BO137)</f>
        <v>0</v>
      </c>
      <c r="BK72" s="170">
        <f>IF(BK$81="","",Underwriting!BP137)</f>
        <v>0</v>
      </c>
      <c r="BL72" s="170">
        <f>IF(BL$81="","",Underwriting!BQ137)</f>
        <v>0</v>
      </c>
      <c r="BM72" s="170">
        <f>IF(BM$81="","",Underwriting!BR137)</f>
        <v>0</v>
      </c>
      <c r="BN72" s="170">
        <f>IF(BN$81="","",Underwriting!BS137)</f>
        <v>0</v>
      </c>
      <c r="BO72" s="170">
        <f>IF(BO$81="","",Underwriting!BT137)</f>
        <v>0</v>
      </c>
      <c r="BP72" s="170">
        <f>IF(BP$81="","",Underwriting!BU137)</f>
        <v>0</v>
      </c>
      <c r="BQ72" s="170" t="str">
        <f>IF(BQ$81="","",Underwriting!BV137)</f>
        <v/>
      </c>
      <c r="BR72" s="170" t="str">
        <f>IF(BR$81="","",Underwriting!BW137)</f>
        <v/>
      </c>
      <c r="BS72" s="170" t="str">
        <f>IF(BS$81="","",Underwriting!BX137)</f>
        <v/>
      </c>
      <c r="BT72" s="170" t="str">
        <f>IF(BT$81="","",Underwriting!BY137)</f>
        <v/>
      </c>
      <c r="BU72" s="170" t="str">
        <f>IF(BU$81="","",Underwriting!BZ137)</f>
        <v/>
      </c>
      <c r="BV72" s="170" t="str">
        <f>IF(BV$81="","",Underwriting!CA137)</f>
        <v/>
      </c>
      <c r="BW72" s="170" t="str">
        <f>IF(BW$81="","",Underwriting!CB137)</f>
        <v/>
      </c>
      <c r="BX72" s="170" t="str">
        <f>IF(BX$81="","",Underwriting!CC137)</f>
        <v/>
      </c>
      <c r="BY72" s="170" t="str">
        <f>IF(BY$81="","",Underwriting!CD137)</f>
        <v/>
      </c>
      <c r="BZ72" s="170" t="str">
        <f>IF(BZ$81="","",Underwriting!CE137)</f>
        <v/>
      </c>
      <c r="CA72" s="170" t="str">
        <f>IF(CA$81="","",Underwriting!CF137)</f>
        <v/>
      </c>
      <c r="CB72" s="170" t="str">
        <f>IF(CB$81="","",Underwriting!CG137)</f>
        <v/>
      </c>
      <c r="CC72" s="170" t="str">
        <f>IF(CC$81="","",Underwriting!CH137)</f>
        <v/>
      </c>
      <c r="CD72" s="170" t="str">
        <f>IF(CD$81="","",Underwriting!CI137)</f>
        <v/>
      </c>
      <c r="CE72" s="170" t="str">
        <f>IF(CE$81="","",Underwriting!CJ137)</f>
        <v/>
      </c>
      <c r="CF72" s="170" t="str">
        <f>IF(CF$81="","",Underwriting!CK137)</f>
        <v/>
      </c>
      <c r="CG72" s="170" t="str">
        <f>IF(CG$81="","",Underwriting!CL137)</f>
        <v/>
      </c>
      <c r="CH72" s="170" t="str">
        <f>IF(CH$81="","",Underwriting!CM137)</f>
        <v/>
      </c>
      <c r="CI72" s="170" t="str">
        <f>IF(CI$81="","",Underwriting!CN137)</f>
        <v/>
      </c>
      <c r="CJ72" s="170" t="str">
        <f>IF(CJ$81="","",Underwriting!CO137)</f>
        <v/>
      </c>
      <c r="CK72" s="170" t="str">
        <f>IF(CK$81="","",Underwriting!CP137)</f>
        <v/>
      </c>
      <c r="CL72" s="170" t="str">
        <f>IF(CL$81="","",Underwriting!CQ137)</f>
        <v/>
      </c>
      <c r="CM72" s="170" t="str">
        <f>IF(CM$81="","",Underwriting!CR137)</f>
        <v/>
      </c>
      <c r="CN72" s="170" t="str">
        <f>IF(CN$81="","",Underwriting!CS137)</f>
        <v/>
      </c>
      <c r="CO72" s="170" t="str">
        <f>IF(CO$81="","",Underwriting!CT137)</f>
        <v/>
      </c>
      <c r="CP72" s="170" t="str">
        <f>IF(CP$81="","",Underwriting!CU137)</f>
        <v/>
      </c>
      <c r="CQ72" s="170" t="str">
        <f>IF(CQ$81="","",Underwriting!CV137)</f>
        <v/>
      </c>
      <c r="CR72" s="170" t="str">
        <f>IF(CR$81="","",Underwriting!CW137)</f>
        <v/>
      </c>
      <c r="CS72" s="170" t="str">
        <f>IF(CS$81="","",Underwriting!CX137)</f>
        <v/>
      </c>
      <c r="CT72" s="170" t="str">
        <f>IF(CT$81="","",Underwriting!CY137)</f>
        <v/>
      </c>
      <c r="CU72" s="170" t="str">
        <f>IF(CU$81="","",Underwriting!CZ137)</f>
        <v/>
      </c>
      <c r="CV72" s="170" t="str">
        <f>IF(CV$81="","",Underwriting!DA137)</f>
        <v/>
      </c>
      <c r="CW72" s="170" t="str">
        <f>IF(CW$81="","",Underwriting!DB137)</f>
        <v/>
      </c>
      <c r="CX72" s="170" t="str">
        <f>IF(CX$81="","",Underwriting!DC137)</f>
        <v/>
      </c>
      <c r="CY72" s="170" t="str">
        <f>IF(CY$81="","",Underwriting!DD137)</f>
        <v/>
      </c>
      <c r="CZ72" s="170" t="str">
        <f>IF(CZ$81="","",Underwriting!DE137)</f>
        <v/>
      </c>
      <c r="DA72" s="170" t="str">
        <f>IF(DA$81="","",Underwriting!DF137)</f>
        <v/>
      </c>
      <c r="DB72" s="170" t="str">
        <f>IF(DB$81="","",Underwriting!DG137)</f>
        <v/>
      </c>
      <c r="DC72" s="170" t="str">
        <f>IF(DC$81="","",Underwriting!DH137)</f>
        <v/>
      </c>
      <c r="DD72" s="170" t="str">
        <f>IF(DD$81="","",Underwriting!DI137)</f>
        <v/>
      </c>
      <c r="DE72" s="170" t="str">
        <f>IF(DE$81="","",Underwriting!DJ137)</f>
        <v/>
      </c>
      <c r="DF72" s="170" t="str">
        <f>IF(DF$81="","",Underwriting!DK137)</f>
        <v/>
      </c>
      <c r="DG72" s="170" t="str">
        <f>IF(DG$81="","",Underwriting!DL137)</f>
        <v/>
      </c>
      <c r="DH72" s="170" t="str">
        <f>IF(DH$81="","",Underwriting!DM137)</f>
        <v/>
      </c>
      <c r="DI72" s="170" t="str">
        <f>IF(DI$81="","",Underwriting!DN137)</f>
        <v/>
      </c>
      <c r="DJ72" s="170" t="str">
        <f>IF(DJ$81="","",Underwriting!DO137)</f>
        <v/>
      </c>
      <c r="DK72" s="170" t="str">
        <f>IF(DK$81="","",Underwriting!DP137)</f>
        <v/>
      </c>
      <c r="DL72" s="170" t="str">
        <f>IF(DL$81="","",Underwriting!DQ137)</f>
        <v/>
      </c>
      <c r="DM72" s="170" t="str">
        <f>IF(DM$81="","",Underwriting!DR137)</f>
        <v/>
      </c>
      <c r="DN72" s="170" t="str">
        <f>IF(DN$81="","",Underwriting!DS137)</f>
        <v/>
      </c>
      <c r="DO72" s="170" t="str">
        <f>IF(DO$81="","",Underwriting!DT137)</f>
        <v/>
      </c>
      <c r="DP72" s="170" t="str">
        <f>IF(DP$81="","",Underwriting!DU137)</f>
        <v/>
      </c>
      <c r="DQ72" s="170" t="str">
        <f>IF(DQ$81="","",Underwriting!DV137)</f>
        <v/>
      </c>
      <c r="DR72" s="170" t="str">
        <f>IF(DR$81="","",Underwriting!DW137)</f>
        <v/>
      </c>
      <c r="DS72" s="170" t="str">
        <f>IF(DS$81="","",Underwriting!DX137)</f>
        <v/>
      </c>
      <c r="DT72" s="170" t="str">
        <f>IF(DT$81="","",Underwriting!DY137)</f>
        <v/>
      </c>
      <c r="DU72" s="170" t="str">
        <f>IF(DU$81="","",Underwriting!DZ137)</f>
        <v/>
      </c>
      <c r="DV72" s="170" t="str">
        <f>IF(DV$81="","",Underwriting!EA137)</f>
        <v/>
      </c>
      <c r="DW72" s="170" t="str">
        <f>IF(DW$81="","",Underwriting!EB137)</f>
        <v/>
      </c>
      <c r="DX72" s="170" t="str">
        <f>IF(DX$81="","",Underwriting!EC137)</f>
        <v/>
      </c>
      <c r="DY72" s="170" t="str">
        <f>IF(DY$81="","",Underwriting!ED137)</f>
        <v/>
      </c>
      <c r="DZ72" s="170" t="str">
        <f>IF(DZ$81="","",Underwriting!EE137)</f>
        <v/>
      </c>
      <c r="EA72" s="170" t="str">
        <f>IF(EA$81="","",Underwriting!EF137)</f>
        <v/>
      </c>
      <c r="EB72" s="170" t="str">
        <f>IF(EB$81="","",Underwriting!EG137)</f>
        <v/>
      </c>
      <c r="EC72" s="170" t="str">
        <f>IF(EC$81="","",Underwriting!EH137)</f>
        <v/>
      </c>
      <c r="ED72" s="170" t="str">
        <f>IF(ED$81="","",Underwriting!EI137)</f>
        <v/>
      </c>
      <c r="EE72" s="170" t="str">
        <f>IF(EE$81="","",Underwriting!EJ137)</f>
        <v/>
      </c>
      <c r="EF72" s="170" t="str">
        <f>IF(EF$81="","",Underwriting!EK137)</f>
        <v/>
      </c>
      <c r="EG72" s="170" t="str">
        <f>IF(EG$81="","",Underwriting!EL137)</f>
        <v/>
      </c>
      <c r="EH72" s="170" t="str">
        <f>IF(EH$81="","",Underwriting!EM137)</f>
        <v/>
      </c>
      <c r="EI72" s="170" t="str">
        <f>IF(EI$81="","",Underwriting!EN137)</f>
        <v/>
      </c>
    </row>
    <row r="73" spans="2:139" x14ac:dyDescent="0.35">
      <c r="B73" s="4" t="s">
        <v>360</v>
      </c>
      <c r="C73" s="4"/>
      <c r="D73" s="4"/>
      <c r="E73" s="4"/>
      <c r="F73" s="4"/>
      <c r="G73" s="171">
        <f t="shared" ref="G73:AL73" si="46">IF(G$60="","",SUM(G69:G72))</f>
        <v>0</v>
      </c>
      <c r="H73" s="171">
        <f t="shared" si="46"/>
        <v>0</v>
      </c>
      <c r="I73" s="171">
        <f t="shared" si="46"/>
        <v>0</v>
      </c>
      <c r="J73" s="171">
        <f t="shared" si="46"/>
        <v>0</v>
      </c>
      <c r="K73" s="171">
        <f t="shared" si="46"/>
        <v>0</v>
      </c>
      <c r="L73" s="171">
        <f t="shared" si="46"/>
        <v>0</v>
      </c>
      <c r="M73" s="171">
        <f t="shared" si="46"/>
        <v>0</v>
      </c>
      <c r="N73" s="171">
        <f t="shared" si="46"/>
        <v>0</v>
      </c>
      <c r="O73" s="171">
        <f t="shared" si="46"/>
        <v>0</v>
      </c>
      <c r="P73" s="171">
        <f t="shared" si="46"/>
        <v>0</v>
      </c>
      <c r="Q73" s="171">
        <f t="shared" si="46"/>
        <v>0</v>
      </c>
      <c r="R73" s="171">
        <f t="shared" si="46"/>
        <v>0</v>
      </c>
      <c r="S73" s="169">
        <f t="shared" si="46"/>
        <v>0</v>
      </c>
      <c r="T73" s="169">
        <f t="shared" si="46"/>
        <v>0</v>
      </c>
      <c r="U73" s="169">
        <f t="shared" si="46"/>
        <v>0</v>
      </c>
      <c r="V73" s="169">
        <f t="shared" si="46"/>
        <v>0</v>
      </c>
      <c r="W73" s="169">
        <f t="shared" si="46"/>
        <v>0</v>
      </c>
      <c r="X73" s="169">
        <f t="shared" si="46"/>
        <v>0</v>
      </c>
      <c r="Y73" s="169">
        <f t="shared" si="46"/>
        <v>0</v>
      </c>
      <c r="Z73" s="169">
        <f t="shared" si="46"/>
        <v>0</v>
      </c>
      <c r="AA73" s="169">
        <f t="shared" si="46"/>
        <v>0</v>
      </c>
      <c r="AB73" s="169">
        <f t="shared" si="46"/>
        <v>0</v>
      </c>
      <c r="AC73" s="169">
        <f t="shared" si="46"/>
        <v>0</v>
      </c>
      <c r="AD73" s="169">
        <f t="shared" si="46"/>
        <v>0</v>
      </c>
      <c r="AE73" s="169">
        <f t="shared" si="46"/>
        <v>0</v>
      </c>
      <c r="AF73" s="169">
        <f t="shared" si="46"/>
        <v>0</v>
      </c>
      <c r="AG73" s="169">
        <f t="shared" si="46"/>
        <v>0</v>
      </c>
      <c r="AH73" s="169">
        <f t="shared" si="46"/>
        <v>0</v>
      </c>
      <c r="AI73" s="169">
        <f t="shared" si="46"/>
        <v>0</v>
      </c>
      <c r="AJ73" s="169">
        <f t="shared" si="46"/>
        <v>0</v>
      </c>
      <c r="AK73" s="169">
        <f t="shared" si="46"/>
        <v>0</v>
      </c>
      <c r="AL73" s="169">
        <f t="shared" si="46"/>
        <v>0</v>
      </c>
      <c r="AM73" s="169">
        <f t="shared" ref="AM73:BR73" si="47">IF(AM$60="","",SUM(AM69:AM72))</f>
        <v>0</v>
      </c>
      <c r="AN73" s="169">
        <f t="shared" si="47"/>
        <v>0</v>
      </c>
      <c r="AO73" s="169">
        <f t="shared" si="47"/>
        <v>0</v>
      </c>
      <c r="AP73" s="169">
        <f t="shared" si="47"/>
        <v>0</v>
      </c>
      <c r="AQ73" s="169">
        <f t="shared" si="47"/>
        <v>0</v>
      </c>
      <c r="AR73" s="169">
        <f t="shared" si="47"/>
        <v>0</v>
      </c>
      <c r="AS73" s="169">
        <f t="shared" si="47"/>
        <v>22835.268200625029</v>
      </c>
      <c r="AT73" s="169">
        <f t="shared" si="47"/>
        <v>45670.536401250058</v>
      </c>
      <c r="AU73" s="169">
        <f t="shared" si="47"/>
        <v>68505.80460187509</v>
      </c>
      <c r="AV73" s="169">
        <f t="shared" si="47"/>
        <v>91341.072802500115</v>
      </c>
      <c r="AW73" s="169">
        <f t="shared" si="47"/>
        <v>114176.34100312516</v>
      </c>
      <c r="AX73" s="169">
        <f t="shared" si="47"/>
        <v>137011.60920375018</v>
      </c>
      <c r="AY73" s="169">
        <f t="shared" si="47"/>
        <v>159846.87740437523</v>
      </c>
      <c r="AZ73" s="169">
        <f t="shared" si="47"/>
        <v>182682.14560500023</v>
      </c>
      <c r="BA73" s="169">
        <f t="shared" si="47"/>
        <v>205517.41380562529</v>
      </c>
      <c r="BB73" s="169">
        <f t="shared" si="47"/>
        <v>228352.68200625031</v>
      </c>
      <c r="BC73" s="169">
        <f t="shared" si="47"/>
        <v>251187.95020687531</v>
      </c>
      <c r="BD73" s="169">
        <f t="shared" si="47"/>
        <v>280873.79886768787</v>
      </c>
      <c r="BE73" s="169">
        <f t="shared" si="47"/>
        <v>280873.79886768787</v>
      </c>
      <c r="BF73" s="169">
        <f t="shared" si="47"/>
        <v>280873.79886768787</v>
      </c>
      <c r="BG73" s="169">
        <f t="shared" si="47"/>
        <v>280873.79886768787</v>
      </c>
      <c r="BH73" s="169">
        <f t="shared" si="47"/>
        <v>280873.79886768787</v>
      </c>
      <c r="BI73" s="169">
        <f t="shared" si="47"/>
        <v>280873.79886768787</v>
      </c>
      <c r="BJ73" s="169">
        <f t="shared" si="47"/>
        <v>280873.79886768787</v>
      </c>
      <c r="BK73" s="169">
        <f t="shared" si="47"/>
        <v>280873.79886768787</v>
      </c>
      <c r="BL73" s="169">
        <f t="shared" si="47"/>
        <v>280873.79886768787</v>
      </c>
      <c r="BM73" s="169">
        <f t="shared" si="47"/>
        <v>280873.79886768787</v>
      </c>
      <c r="BN73" s="169">
        <f t="shared" si="47"/>
        <v>280873.79886768787</v>
      </c>
      <c r="BO73" s="169">
        <f t="shared" si="47"/>
        <v>280873.79886768787</v>
      </c>
      <c r="BP73" s="169">
        <f t="shared" si="47"/>
        <v>287895.64383938006</v>
      </c>
      <c r="BQ73" s="169" t="str">
        <f t="shared" si="47"/>
        <v/>
      </c>
      <c r="BR73" s="169" t="str">
        <f t="shared" si="47"/>
        <v/>
      </c>
      <c r="BS73" s="169" t="str">
        <f t="shared" ref="BS73:CX73" si="48">IF(BS$60="","",SUM(BS69:BS72))</f>
        <v/>
      </c>
      <c r="BT73" s="169" t="str">
        <f t="shared" si="48"/>
        <v/>
      </c>
      <c r="BU73" s="169" t="str">
        <f t="shared" si="48"/>
        <v/>
      </c>
      <c r="BV73" s="169" t="str">
        <f t="shared" si="48"/>
        <v/>
      </c>
      <c r="BW73" s="169" t="str">
        <f t="shared" si="48"/>
        <v/>
      </c>
      <c r="BX73" s="169" t="str">
        <f t="shared" si="48"/>
        <v/>
      </c>
      <c r="BY73" s="169" t="str">
        <f t="shared" si="48"/>
        <v/>
      </c>
      <c r="BZ73" s="169" t="str">
        <f t="shared" si="48"/>
        <v/>
      </c>
      <c r="CA73" s="169" t="str">
        <f t="shared" si="48"/>
        <v/>
      </c>
      <c r="CB73" s="169" t="str">
        <f t="shared" si="48"/>
        <v/>
      </c>
      <c r="CC73" s="169" t="str">
        <f t="shared" si="48"/>
        <v/>
      </c>
      <c r="CD73" s="169" t="str">
        <f t="shared" si="48"/>
        <v/>
      </c>
      <c r="CE73" s="169" t="str">
        <f t="shared" si="48"/>
        <v/>
      </c>
      <c r="CF73" s="169" t="str">
        <f t="shared" si="48"/>
        <v/>
      </c>
      <c r="CG73" s="169" t="str">
        <f t="shared" si="48"/>
        <v/>
      </c>
      <c r="CH73" s="169" t="str">
        <f t="shared" si="48"/>
        <v/>
      </c>
      <c r="CI73" s="169" t="str">
        <f t="shared" si="48"/>
        <v/>
      </c>
      <c r="CJ73" s="169" t="str">
        <f t="shared" si="48"/>
        <v/>
      </c>
      <c r="CK73" s="169" t="str">
        <f t="shared" si="48"/>
        <v/>
      </c>
      <c r="CL73" s="169" t="str">
        <f t="shared" si="48"/>
        <v/>
      </c>
      <c r="CM73" s="169" t="str">
        <f t="shared" si="48"/>
        <v/>
      </c>
      <c r="CN73" s="169" t="str">
        <f t="shared" si="48"/>
        <v/>
      </c>
      <c r="CO73" s="169" t="str">
        <f t="shared" si="48"/>
        <v/>
      </c>
      <c r="CP73" s="169" t="str">
        <f t="shared" si="48"/>
        <v/>
      </c>
      <c r="CQ73" s="169" t="str">
        <f t="shared" si="48"/>
        <v/>
      </c>
      <c r="CR73" s="169" t="str">
        <f t="shared" si="48"/>
        <v/>
      </c>
      <c r="CS73" s="169" t="str">
        <f t="shared" si="48"/>
        <v/>
      </c>
      <c r="CT73" s="169" t="str">
        <f t="shared" si="48"/>
        <v/>
      </c>
      <c r="CU73" s="169" t="str">
        <f t="shared" si="48"/>
        <v/>
      </c>
      <c r="CV73" s="169" t="str">
        <f t="shared" si="48"/>
        <v/>
      </c>
      <c r="CW73" s="169" t="str">
        <f t="shared" si="48"/>
        <v/>
      </c>
      <c r="CX73" s="169" t="str">
        <f t="shared" si="48"/>
        <v/>
      </c>
      <c r="CY73" s="169" t="str">
        <f t="shared" ref="CY73:ED73" si="49">IF(CY$60="","",SUM(CY69:CY72))</f>
        <v/>
      </c>
      <c r="CZ73" s="169" t="str">
        <f t="shared" si="49"/>
        <v/>
      </c>
      <c r="DA73" s="169" t="str">
        <f t="shared" si="49"/>
        <v/>
      </c>
      <c r="DB73" s="169" t="str">
        <f t="shared" si="49"/>
        <v/>
      </c>
      <c r="DC73" s="169" t="str">
        <f t="shared" si="49"/>
        <v/>
      </c>
      <c r="DD73" s="169" t="str">
        <f t="shared" si="49"/>
        <v/>
      </c>
      <c r="DE73" s="169" t="str">
        <f t="shared" si="49"/>
        <v/>
      </c>
      <c r="DF73" s="169" t="str">
        <f t="shared" si="49"/>
        <v/>
      </c>
      <c r="DG73" s="169" t="str">
        <f t="shared" si="49"/>
        <v/>
      </c>
      <c r="DH73" s="169" t="str">
        <f t="shared" si="49"/>
        <v/>
      </c>
      <c r="DI73" s="169" t="str">
        <f t="shared" si="49"/>
        <v/>
      </c>
      <c r="DJ73" s="169" t="str">
        <f t="shared" si="49"/>
        <v/>
      </c>
      <c r="DK73" s="169" t="str">
        <f t="shared" si="49"/>
        <v/>
      </c>
      <c r="DL73" s="169" t="str">
        <f t="shared" si="49"/>
        <v/>
      </c>
      <c r="DM73" s="169" t="str">
        <f t="shared" si="49"/>
        <v/>
      </c>
      <c r="DN73" s="169" t="str">
        <f t="shared" si="49"/>
        <v/>
      </c>
      <c r="DO73" s="169" t="str">
        <f t="shared" si="49"/>
        <v/>
      </c>
      <c r="DP73" s="169" t="str">
        <f t="shared" si="49"/>
        <v/>
      </c>
      <c r="DQ73" s="169" t="str">
        <f t="shared" si="49"/>
        <v/>
      </c>
      <c r="DR73" s="169" t="str">
        <f t="shared" si="49"/>
        <v/>
      </c>
      <c r="DS73" s="169" t="str">
        <f t="shared" si="49"/>
        <v/>
      </c>
      <c r="DT73" s="169" t="str">
        <f t="shared" si="49"/>
        <v/>
      </c>
      <c r="DU73" s="169" t="str">
        <f t="shared" si="49"/>
        <v/>
      </c>
      <c r="DV73" s="169" t="str">
        <f t="shared" si="49"/>
        <v/>
      </c>
      <c r="DW73" s="169" t="str">
        <f t="shared" si="49"/>
        <v/>
      </c>
      <c r="DX73" s="169" t="str">
        <f t="shared" si="49"/>
        <v/>
      </c>
      <c r="DY73" s="169" t="str">
        <f t="shared" si="49"/>
        <v/>
      </c>
      <c r="DZ73" s="169" t="str">
        <f t="shared" si="49"/>
        <v/>
      </c>
      <c r="EA73" s="169" t="str">
        <f t="shared" si="49"/>
        <v/>
      </c>
      <c r="EB73" s="169" t="str">
        <f t="shared" si="49"/>
        <v/>
      </c>
      <c r="EC73" s="169" t="str">
        <f t="shared" si="49"/>
        <v/>
      </c>
      <c r="ED73" s="169" t="str">
        <f t="shared" si="49"/>
        <v/>
      </c>
      <c r="EE73" s="169" t="str">
        <f>IF(EE$60="","",SUM(EE69:EE72))</f>
        <v/>
      </c>
      <c r="EF73" s="169" t="str">
        <f>IF(EF$60="","",SUM(EF69:EF72))</f>
        <v/>
      </c>
      <c r="EG73" s="169" t="str">
        <f>IF(EG$60="","",SUM(EG69:EG72))</f>
        <v/>
      </c>
      <c r="EH73" s="169" t="str">
        <f>IF(EH$60="","",SUM(EH69:EH72))</f>
        <v/>
      </c>
      <c r="EI73" s="169" t="str">
        <f>IF(EI$60="","",SUM(EI69:EI72))</f>
        <v/>
      </c>
    </row>
    <row r="74" spans="2:139" x14ac:dyDescent="0.35">
      <c r="B74" s="4"/>
      <c r="C74" s="4"/>
      <c r="D74" s="4"/>
      <c r="E74" s="4"/>
      <c r="F74" s="4"/>
      <c r="G74" s="171"/>
      <c r="H74" s="171"/>
      <c r="I74" s="171"/>
      <c r="J74" s="171"/>
      <c r="K74" s="171"/>
      <c r="L74" s="171"/>
      <c r="M74" s="171"/>
      <c r="N74" s="171"/>
      <c r="O74" s="171"/>
      <c r="P74" s="171"/>
      <c r="Q74" s="171"/>
      <c r="R74" s="171"/>
      <c r="S74" s="169"/>
      <c r="T74" s="169"/>
      <c r="U74" s="169"/>
      <c r="V74" s="169"/>
      <c r="W74" s="169"/>
      <c r="X74" s="169"/>
      <c r="Y74" s="169"/>
      <c r="Z74" s="169"/>
      <c r="AA74" s="169"/>
      <c r="AB74" s="169"/>
      <c r="AC74" s="169"/>
      <c r="AD74" s="169"/>
      <c r="AE74" s="169"/>
      <c r="AF74" s="169"/>
      <c r="AG74" s="169"/>
      <c r="AH74" s="169"/>
      <c r="AI74" s="169"/>
      <c r="AJ74" s="169"/>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c r="BL74" s="169"/>
      <c r="BM74" s="169"/>
      <c r="BN74" s="169"/>
      <c r="BO74" s="169"/>
      <c r="BP74" s="169"/>
      <c r="BQ74" s="169"/>
      <c r="BR74" s="169"/>
      <c r="BS74" s="169"/>
      <c r="BT74" s="169"/>
      <c r="BU74" s="169"/>
      <c r="BV74" s="169"/>
      <c r="BW74" s="169"/>
      <c r="BX74" s="169"/>
      <c r="BY74" s="169"/>
      <c r="BZ74" s="169"/>
      <c r="CA74" s="169"/>
      <c r="CB74" s="169"/>
      <c r="CC74" s="169"/>
      <c r="CD74" s="169"/>
      <c r="CE74" s="169"/>
      <c r="CF74" s="169"/>
      <c r="CG74" s="169"/>
      <c r="CH74" s="169"/>
      <c r="CI74" s="169"/>
      <c r="CJ74" s="169"/>
      <c r="CK74" s="169"/>
      <c r="CL74" s="169"/>
      <c r="CM74" s="169"/>
      <c r="CN74" s="169"/>
      <c r="CO74" s="169"/>
      <c r="CP74" s="169"/>
      <c r="CQ74" s="169"/>
      <c r="CR74" s="169"/>
      <c r="CS74" s="169"/>
      <c r="CT74" s="169"/>
      <c r="CU74" s="169"/>
      <c r="CV74" s="169"/>
      <c r="CW74" s="169"/>
      <c r="CX74" s="169"/>
      <c r="CY74" s="169"/>
      <c r="CZ74" s="169"/>
      <c r="DA74" s="169"/>
      <c r="DB74" s="169"/>
      <c r="DC74" s="169"/>
      <c r="DD74" s="169"/>
      <c r="DE74" s="169"/>
      <c r="DF74" s="169"/>
      <c r="DG74" s="169"/>
      <c r="DH74" s="169"/>
      <c r="DI74" s="169"/>
      <c r="DJ74" s="169"/>
      <c r="DK74" s="169"/>
      <c r="DL74" s="169"/>
      <c r="DM74" s="169"/>
      <c r="DN74" s="169"/>
      <c r="DO74" s="169"/>
      <c r="DP74" s="169"/>
      <c r="DQ74" s="169"/>
      <c r="DR74" s="169"/>
      <c r="DS74" s="169"/>
      <c r="DT74" s="169"/>
      <c r="DU74" s="169"/>
      <c r="DV74" s="169"/>
      <c r="DW74" s="169"/>
      <c r="DX74" s="169"/>
      <c r="DY74" s="169"/>
      <c r="DZ74" s="169"/>
      <c r="EA74" s="169"/>
      <c r="EB74" s="169"/>
      <c r="EC74" s="169"/>
      <c r="ED74" s="169"/>
      <c r="EE74" s="169"/>
      <c r="EF74" s="169"/>
      <c r="EG74" s="169"/>
      <c r="EH74" s="169"/>
      <c r="EI74" s="169"/>
    </row>
    <row r="75" spans="2:139" x14ac:dyDescent="0.35">
      <c r="B75" s="4" t="s">
        <v>361</v>
      </c>
      <c r="C75" s="4"/>
      <c r="D75" s="4"/>
      <c r="E75" s="4"/>
      <c r="F75" s="4"/>
      <c r="G75" s="171">
        <f t="shared" ref="G75:AL75" si="50">IF(G$60="","",G66-G73)</f>
        <v>0</v>
      </c>
      <c r="H75" s="171">
        <f t="shared" si="50"/>
        <v>0</v>
      </c>
      <c r="I75" s="171">
        <f t="shared" si="50"/>
        <v>0</v>
      </c>
      <c r="J75" s="171">
        <f t="shared" si="50"/>
        <v>0</v>
      </c>
      <c r="K75" s="171">
        <f t="shared" si="50"/>
        <v>0</v>
      </c>
      <c r="L75" s="171">
        <f t="shared" si="50"/>
        <v>0</v>
      </c>
      <c r="M75" s="171">
        <f t="shared" si="50"/>
        <v>0</v>
      </c>
      <c r="N75" s="171">
        <f t="shared" si="50"/>
        <v>0</v>
      </c>
      <c r="O75" s="171">
        <f t="shared" si="50"/>
        <v>0</v>
      </c>
      <c r="P75" s="171">
        <f t="shared" si="50"/>
        <v>0</v>
      </c>
      <c r="Q75" s="171">
        <f t="shared" si="50"/>
        <v>0</v>
      </c>
      <c r="R75" s="171">
        <f t="shared" si="50"/>
        <v>0</v>
      </c>
      <c r="S75" s="169">
        <f t="shared" si="50"/>
        <v>0</v>
      </c>
      <c r="T75" s="169">
        <f t="shared" si="50"/>
        <v>0</v>
      </c>
      <c r="U75" s="169">
        <f t="shared" si="50"/>
        <v>0</v>
      </c>
      <c r="V75" s="169">
        <f t="shared" si="50"/>
        <v>0</v>
      </c>
      <c r="W75" s="169">
        <f t="shared" si="50"/>
        <v>0</v>
      </c>
      <c r="X75" s="169">
        <f t="shared" si="50"/>
        <v>0</v>
      </c>
      <c r="Y75" s="169">
        <f t="shared" si="50"/>
        <v>0</v>
      </c>
      <c r="Z75" s="169">
        <f t="shared" si="50"/>
        <v>0</v>
      </c>
      <c r="AA75" s="169">
        <f t="shared" si="50"/>
        <v>0</v>
      </c>
      <c r="AB75" s="169">
        <f t="shared" si="50"/>
        <v>0</v>
      </c>
      <c r="AC75" s="169">
        <f t="shared" si="50"/>
        <v>716666.66666666663</v>
      </c>
      <c r="AD75" s="169">
        <f t="shared" si="50"/>
        <v>716666.66666666663</v>
      </c>
      <c r="AE75" s="169">
        <f t="shared" si="50"/>
        <v>716666.66666666663</v>
      </c>
      <c r="AF75" s="169">
        <f t="shared" si="50"/>
        <v>933333.33333333326</v>
      </c>
      <c r="AG75" s="169">
        <f t="shared" si="50"/>
        <v>933333.33333333326</v>
      </c>
      <c r="AH75" s="169">
        <f t="shared" si="50"/>
        <v>933333.33333333326</v>
      </c>
      <c r="AI75" s="169">
        <f t="shared" si="50"/>
        <v>1107500</v>
      </c>
      <c r="AJ75" s="169">
        <f t="shared" si="50"/>
        <v>1107500</v>
      </c>
      <c r="AK75" s="169">
        <f t="shared" si="50"/>
        <v>1107500</v>
      </c>
      <c r="AL75" s="169">
        <f t="shared" si="50"/>
        <v>1265833.3333333333</v>
      </c>
      <c r="AM75" s="169">
        <f t="shared" ref="AM75:BR75" si="51">IF(AM$60="","",AM66-AM73)</f>
        <v>1265833.3333333333</v>
      </c>
      <c r="AN75" s="169">
        <f t="shared" si="51"/>
        <v>1265833.3333333333</v>
      </c>
      <c r="AO75" s="169">
        <f t="shared" si="51"/>
        <v>1298416.6666666665</v>
      </c>
      <c r="AP75" s="169">
        <f t="shared" si="51"/>
        <v>1298416.6666666665</v>
      </c>
      <c r="AQ75" s="169">
        <f t="shared" si="51"/>
        <v>1298416.6666666665</v>
      </c>
      <c r="AR75" s="169">
        <f t="shared" si="51"/>
        <v>1329966.833333333</v>
      </c>
      <c r="AS75" s="169">
        <f t="shared" si="51"/>
        <v>1537461.250366004</v>
      </c>
      <c r="AT75" s="169">
        <f t="shared" si="51"/>
        <v>1744955.6673986751</v>
      </c>
      <c r="AU75" s="169">
        <f t="shared" si="51"/>
        <v>1960527.6614040788</v>
      </c>
      <c r="AV75" s="169">
        <f t="shared" si="51"/>
        <v>2168682.6596498829</v>
      </c>
      <c r="AW75" s="169">
        <f t="shared" si="51"/>
        <v>2376837.6578956875</v>
      </c>
      <c r="AX75" s="169">
        <f t="shared" si="51"/>
        <v>2590534.3228081581</v>
      </c>
      <c r="AY75" s="169">
        <f t="shared" si="51"/>
        <v>2798689.3210539622</v>
      </c>
      <c r="AZ75" s="169">
        <f t="shared" si="51"/>
        <v>3006844.3192997663</v>
      </c>
      <c r="BA75" s="169">
        <f t="shared" si="51"/>
        <v>3241223.0675455704</v>
      </c>
      <c r="BB75" s="169">
        <f t="shared" si="51"/>
        <v>3449378.065791375</v>
      </c>
      <c r="BC75" s="169">
        <f t="shared" si="51"/>
        <v>3657533.0640371782</v>
      </c>
      <c r="BD75" s="169">
        <f t="shared" si="51"/>
        <v>3936582.4825900565</v>
      </c>
      <c r="BE75" s="169">
        <f t="shared" si="51"/>
        <v>3936582.4825900565</v>
      </c>
      <c r="BF75" s="169">
        <f t="shared" si="51"/>
        <v>3936582.4825900565</v>
      </c>
      <c r="BG75" s="169">
        <f t="shared" si="51"/>
        <v>3942891.6700900565</v>
      </c>
      <c r="BH75" s="169">
        <f t="shared" si="51"/>
        <v>3942891.6700900565</v>
      </c>
      <c r="BI75" s="169">
        <f t="shared" si="51"/>
        <v>3942891.6700900565</v>
      </c>
      <c r="BJ75" s="169">
        <f t="shared" si="51"/>
        <v>3948627.2950900565</v>
      </c>
      <c r="BK75" s="169">
        <f t="shared" si="51"/>
        <v>3948627.2950900565</v>
      </c>
      <c r="BL75" s="169">
        <f t="shared" si="51"/>
        <v>3948627.2950900565</v>
      </c>
      <c r="BM75" s="169">
        <f t="shared" si="51"/>
        <v>3975768.8763400572</v>
      </c>
      <c r="BN75" s="169">
        <f t="shared" si="51"/>
        <v>3975768.8763400572</v>
      </c>
      <c r="BO75" s="169">
        <f t="shared" si="51"/>
        <v>3975768.8763400572</v>
      </c>
      <c r="BP75" s="169">
        <f t="shared" si="51"/>
        <v>4048514.1446548081</v>
      </c>
      <c r="BQ75" s="169" t="str">
        <f t="shared" si="51"/>
        <v/>
      </c>
      <c r="BR75" s="169" t="str">
        <f t="shared" si="51"/>
        <v/>
      </c>
      <c r="BS75" s="169" t="str">
        <f t="shared" ref="BS75:CX75" si="52">IF(BS$60="","",BS66-BS73)</f>
        <v/>
      </c>
      <c r="BT75" s="169" t="str">
        <f t="shared" si="52"/>
        <v/>
      </c>
      <c r="BU75" s="169" t="str">
        <f t="shared" si="52"/>
        <v/>
      </c>
      <c r="BV75" s="169" t="str">
        <f t="shared" si="52"/>
        <v/>
      </c>
      <c r="BW75" s="169" t="str">
        <f t="shared" si="52"/>
        <v/>
      </c>
      <c r="BX75" s="169" t="str">
        <f t="shared" si="52"/>
        <v/>
      </c>
      <c r="BY75" s="169" t="str">
        <f t="shared" si="52"/>
        <v/>
      </c>
      <c r="BZ75" s="169" t="str">
        <f t="shared" si="52"/>
        <v/>
      </c>
      <c r="CA75" s="169" t="str">
        <f t="shared" si="52"/>
        <v/>
      </c>
      <c r="CB75" s="169" t="str">
        <f t="shared" si="52"/>
        <v/>
      </c>
      <c r="CC75" s="169" t="str">
        <f t="shared" si="52"/>
        <v/>
      </c>
      <c r="CD75" s="169" t="str">
        <f t="shared" si="52"/>
        <v/>
      </c>
      <c r="CE75" s="169" t="str">
        <f t="shared" si="52"/>
        <v/>
      </c>
      <c r="CF75" s="169" t="str">
        <f t="shared" si="52"/>
        <v/>
      </c>
      <c r="CG75" s="169" t="str">
        <f t="shared" si="52"/>
        <v/>
      </c>
      <c r="CH75" s="169" t="str">
        <f t="shared" si="52"/>
        <v/>
      </c>
      <c r="CI75" s="169" t="str">
        <f t="shared" si="52"/>
        <v/>
      </c>
      <c r="CJ75" s="169" t="str">
        <f t="shared" si="52"/>
        <v/>
      </c>
      <c r="CK75" s="169" t="str">
        <f t="shared" si="52"/>
        <v/>
      </c>
      <c r="CL75" s="169" t="str">
        <f t="shared" si="52"/>
        <v/>
      </c>
      <c r="CM75" s="169" t="str">
        <f t="shared" si="52"/>
        <v/>
      </c>
      <c r="CN75" s="169" t="str">
        <f t="shared" si="52"/>
        <v/>
      </c>
      <c r="CO75" s="169" t="str">
        <f t="shared" si="52"/>
        <v/>
      </c>
      <c r="CP75" s="169" t="str">
        <f t="shared" si="52"/>
        <v/>
      </c>
      <c r="CQ75" s="169" t="str">
        <f t="shared" si="52"/>
        <v/>
      </c>
      <c r="CR75" s="169" t="str">
        <f t="shared" si="52"/>
        <v/>
      </c>
      <c r="CS75" s="169" t="str">
        <f t="shared" si="52"/>
        <v/>
      </c>
      <c r="CT75" s="169" t="str">
        <f t="shared" si="52"/>
        <v/>
      </c>
      <c r="CU75" s="169" t="str">
        <f t="shared" si="52"/>
        <v/>
      </c>
      <c r="CV75" s="169" t="str">
        <f t="shared" si="52"/>
        <v/>
      </c>
      <c r="CW75" s="169" t="str">
        <f t="shared" si="52"/>
        <v/>
      </c>
      <c r="CX75" s="169" t="str">
        <f t="shared" si="52"/>
        <v/>
      </c>
      <c r="CY75" s="169" t="str">
        <f t="shared" ref="CY75:EI75" si="53">IF(CY$60="","",CY66-CY73)</f>
        <v/>
      </c>
      <c r="CZ75" s="169" t="str">
        <f t="shared" si="53"/>
        <v/>
      </c>
      <c r="DA75" s="169" t="str">
        <f t="shared" si="53"/>
        <v/>
      </c>
      <c r="DB75" s="169" t="str">
        <f t="shared" si="53"/>
        <v/>
      </c>
      <c r="DC75" s="169" t="str">
        <f t="shared" si="53"/>
        <v/>
      </c>
      <c r="DD75" s="169" t="str">
        <f t="shared" si="53"/>
        <v/>
      </c>
      <c r="DE75" s="169" t="str">
        <f t="shared" si="53"/>
        <v/>
      </c>
      <c r="DF75" s="169" t="str">
        <f t="shared" si="53"/>
        <v/>
      </c>
      <c r="DG75" s="169" t="str">
        <f t="shared" si="53"/>
        <v/>
      </c>
      <c r="DH75" s="169" t="str">
        <f t="shared" si="53"/>
        <v/>
      </c>
      <c r="DI75" s="169" t="str">
        <f t="shared" si="53"/>
        <v/>
      </c>
      <c r="DJ75" s="169" t="str">
        <f t="shared" si="53"/>
        <v/>
      </c>
      <c r="DK75" s="169" t="str">
        <f t="shared" si="53"/>
        <v/>
      </c>
      <c r="DL75" s="169" t="str">
        <f t="shared" si="53"/>
        <v/>
      </c>
      <c r="DM75" s="169" t="str">
        <f t="shared" si="53"/>
        <v/>
      </c>
      <c r="DN75" s="169" t="str">
        <f t="shared" si="53"/>
        <v/>
      </c>
      <c r="DO75" s="169" t="str">
        <f t="shared" si="53"/>
        <v/>
      </c>
      <c r="DP75" s="169" t="str">
        <f t="shared" si="53"/>
        <v/>
      </c>
      <c r="DQ75" s="169" t="str">
        <f t="shared" si="53"/>
        <v/>
      </c>
      <c r="DR75" s="169" t="str">
        <f t="shared" si="53"/>
        <v/>
      </c>
      <c r="DS75" s="169" t="str">
        <f t="shared" si="53"/>
        <v/>
      </c>
      <c r="DT75" s="169" t="str">
        <f t="shared" si="53"/>
        <v/>
      </c>
      <c r="DU75" s="169" t="str">
        <f t="shared" si="53"/>
        <v/>
      </c>
      <c r="DV75" s="169" t="str">
        <f t="shared" si="53"/>
        <v/>
      </c>
      <c r="DW75" s="169" t="str">
        <f t="shared" si="53"/>
        <v/>
      </c>
      <c r="DX75" s="169" t="str">
        <f t="shared" si="53"/>
        <v/>
      </c>
      <c r="DY75" s="169" t="str">
        <f t="shared" si="53"/>
        <v/>
      </c>
      <c r="DZ75" s="169" t="str">
        <f t="shared" si="53"/>
        <v/>
      </c>
      <c r="EA75" s="169" t="str">
        <f t="shared" si="53"/>
        <v/>
      </c>
      <c r="EB75" s="169" t="str">
        <f t="shared" si="53"/>
        <v/>
      </c>
      <c r="EC75" s="169" t="str">
        <f t="shared" si="53"/>
        <v/>
      </c>
      <c r="ED75" s="169" t="str">
        <f t="shared" si="53"/>
        <v/>
      </c>
      <c r="EE75" s="169" t="str">
        <f t="shared" si="53"/>
        <v/>
      </c>
      <c r="EF75" s="169" t="str">
        <f t="shared" si="53"/>
        <v/>
      </c>
      <c r="EG75" s="169" t="str">
        <f t="shared" si="53"/>
        <v/>
      </c>
      <c r="EH75" s="169" t="str">
        <f t="shared" si="53"/>
        <v/>
      </c>
      <c r="EI75" s="169" t="str">
        <f t="shared" si="53"/>
        <v/>
      </c>
    </row>
    <row r="76" spans="2:139" x14ac:dyDescent="0.35">
      <c r="B76" s="4"/>
      <c r="C76" s="4"/>
      <c r="D76" s="4"/>
      <c r="E76" s="4"/>
      <c r="F76" s="4"/>
      <c r="G76" s="171"/>
      <c r="H76" s="171"/>
      <c r="I76" s="171"/>
      <c r="J76" s="171"/>
      <c r="K76" s="171"/>
      <c r="L76" s="171"/>
      <c r="M76" s="171"/>
      <c r="N76" s="171"/>
      <c r="O76" s="171"/>
      <c r="P76" s="171"/>
      <c r="Q76" s="171"/>
      <c r="R76" s="171"/>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69"/>
      <c r="BT76" s="169"/>
      <c r="BU76" s="169"/>
      <c r="BV76" s="169"/>
      <c r="BW76" s="169"/>
      <c r="BX76" s="169"/>
      <c r="BY76" s="169"/>
      <c r="BZ76" s="169"/>
      <c r="CA76" s="169"/>
      <c r="CB76" s="169"/>
      <c r="CC76" s="169"/>
      <c r="CD76" s="169"/>
      <c r="CE76" s="169"/>
      <c r="CF76" s="169"/>
      <c r="CG76" s="169"/>
      <c r="CH76" s="169"/>
      <c r="CI76" s="169"/>
      <c r="CJ76" s="169"/>
      <c r="CK76" s="169"/>
      <c r="CL76" s="169"/>
      <c r="CM76" s="169"/>
      <c r="CN76" s="169"/>
      <c r="CO76" s="169"/>
      <c r="CP76" s="169"/>
      <c r="CQ76" s="169"/>
      <c r="CR76" s="169"/>
      <c r="CS76" s="169"/>
      <c r="CT76" s="169"/>
      <c r="CU76" s="169"/>
      <c r="CV76" s="169"/>
      <c r="CW76" s="169"/>
      <c r="CX76" s="169"/>
      <c r="CY76" s="169"/>
      <c r="CZ76" s="169"/>
      <c r="DA76" s="169"/>
      <c r="DB76" s="169"/>
      <c r="DC76" s="169"/>
      <c r="DD76" s="169"/>
      <c r="DE76" s="169"/>
      <c r="DF76" s="169"/>
      <c r="DG76" s="169"/>
      <c r="DH76" s="169"/>
      <c r="DI76" s="169"/>
      <c r="DJ76" s="169"/>
      <c r="DK76" s="169"/>
      <c r="DL76" s="169"/>
      <c r="DM76" s="169"/>
      <c r="DN76" s="169"/>
      <c r="DO76" s="169"/>
      <c r="DP76" s="169"/>
      <c r="DQ76" s="169"/>
      <c r="DR76" s="169"/>
      <c r="DS76" s="169"/>
      <c r="DT76" s="169"/>
      <c r="DU76" s="169"/>
      <c r="DV76" s="169"/>
      <c r="DW76" s="169"/>
      <c r="DX76" s="169"/>
      <c r="DY76" s="169"/>
      <c r="DZ76" s="169"/>
      <c r="EA76" s="169"/>
      <c r="EB76" s="169"/>
      <c r="EC76" s="169"/>
      <c r="ED76" s="169"/>
      <c r="EE76" s="169"/>
      <c r="EF76" s="169"/>
      <c r="EG76" s="169"/>
      <c r="EH76" s="169"/>
      <c r="EI76" s="169"/>
    </row>
    <row r="77" spans="2:139" x14ac:dyDescent="0.35">
      <c r="B77" s="4" t="s">
        <v>306</v>
      </c>
      <c r="C77" s="4"/>
      <c r="D77" s="4"/>
      <c r="E77" s="4"/>
      <c r="F77" s="4"/>
      <c r="G77" s="171">
        <f>IF(G$60="","",Underwriting!L153)</f>
        <v>0</v>
      </c>
      <c r="H77" s="171">
        <f>IF(H$60="","",Underwriting!M153)</f>
        <v>0</v>
      </c>
      <c r="I77" s="171">
        <f>IF(I$60="","",Underwriting!N153)</f>
        <v>0</v>
      </c>
      <c r="J77" s="171">
        <f>IF(J$60="","",Underwriting!O153)</f>
        <v>0</v>
      </c>
      <c r="K77" s="171">
        <f>IF(K$60="","",Underwriting!P153)</f>
        <v>0</v>
      </c>
      <c r="L77" s="171">
        <f>IF(L$60="","",Underwriting!Q153)</f>
        <v>0</v>
      </c>
      <c r="M77" s="171">
        <f>IF(M$60="","",Underwriting!R153)</f>
        <v>0</v>
      </c>
      <c r="N77" s="171">
        <f>IF(N$60="","",Underwriting!S153)</f>
        <v>0</v>
      </c>
      <c r="O77" s="171">
        <f>IF(O$60="","",Underwriting!T153)</f>
        <v>0</v>
      </c>
      <c r="P77" s="171">
        <f>IF(P$60="","",Underwriting!U153)</f>
        <v>0</v>
      </c>
      <c r="Q77" s="171">
        <f>IF(Q$60="","",Underwriting!V153)</f>
        <v>0</v>
      </c>
      <c r="R77" s="171">
        <f>IF(R$60="","",Underwriting!W153)</f>
        <v>0</v>
      </c>
      <c r="S77" s="169">
        <f>IF(S$60="","",Underwriting!X153)</f>
        <v>0</v>
      </c>
      <c r="T77" s="169">
        <f>IF(T$60="","",Underwriting!Y153)</f>
        <v>0</v>
      </c>
      <c r="U77" s="169">
        <f>IF(U$60="","",Underwriting!Z153)</f>
        <v>0</v>
      </c>
      <c r="V77" s="169">
        <f>IF(V$60="","",Underwriting!AA153)</f>
        <v>0</v>
      </c>
      <c r="W77" s="169">
        <f>IF(W$60="","",Underwriting!AB153)</f>
        <v>0</v>
      </c>
      <c r="X77" s="169">
        <f>IF(X$60="","",Underwriting!AC153)</f>
        <v>0</v>
      </c>
      <c r="Y77" s="169">
        <f>IF(Y$60="","",Underwriting!AD153)</f>
        <v>0</v>
      </c>
      <c r="Z77" s="169">
        <f>IF(Z$60="","",Underwriting!AE153)</f>
        <v>0</v>
      </c>
      <c r="AA77" s="169">
        <f>IF(AA$60="","",Underwriting!AF153)</f>
        <v>0</v>
      </c>
      <c r="AB77" s="169">
        <f>IF(AB$60="","",Underwriting!AG153)</f>
        <v>0</v>
      </c>
      <c r="AC77" s="169">
        <f>IF(AC$60="","",Underwriting!AH153)</f>
        <v>0</v>
      </c>
      <c r="AD77" s="169">
        <f>IF(AD$60="","",Underwriting!AI153)</f>
        <v>0</v>
      </c>
      <c r="AE77" s="169">
        <f>IF(AE$60="","",Underwriting!AJ153)</f>
        <v>0</v>
      </c>
      <c r="AF77" s="169">
        <f>IF(AF$60="","",Underwriting!AK153)</f>
        <v>0</v>
      </c>
      <c r="AG77" s="169">
        <f>IF(AG$60="","",Underwriting!AL153)</f>
        <v>0</v>
      </c>
      <c r="AH77" s="169">
        <f>IF(AH$60="","",Underwriting!AM153)</f>
        <v>0</v>
      </c>
      <c r="AI77" s="169">
        <f>IF(AI$60="","",Underwriting!AN153)</f>
        <v>0</v>
      </c>
      <c r="AJ77" s="169">
        <f>IF(AJ$60="","",Underwriting!AO153)</f>
        <v>0</v>
      </c>
      <c r="AK77" s="169">
        <f>IF(AK$60="","",Underwriting!AP153)</f>
        <v>0</v>
      </c>
      <c r="AL77" s="169">
        <f>IF(AL$60="","",Underwriting!AQ153)</f>
        <v>0</v>
      </c>
      <c r="AM77" s="169">
        <f>IF(AM$60="","",Underwriting!AR153)</f>
        <v>0</v>
      </c>
      <c r="AN77" s="169">
        <f>IF(AN$60="","",Underwriting!AS153)</f>
        <v>0</v>
      </c>
      <c r="AO77" s="169">
        <f>IF(AO$60="","",Underwriting!AT153)</f>
        <v>0</v>
      </c>
      <c r="AP77" s="169">
        <f>IF(AP$60="","",Underwriting!AU153)</f>
        <v>0</v>
      </c>
      <c r="AQ77" s="169">
        <f>IF(AQ$60="","",Underwriting!AV153)</f>
        <v>0</v>
      </c>
      <c r="AR77" s="169">
        <f>IF(AR$60="","",Underwriting!AW153)</f>
        <v>0</v>
      </c>
      <c r="AS77" s="169">
        <f>IF(AS$60="","",Underwriting!AX153)</f>
        <v>0</v>
      </c>
      <c r="AT77" s="169">
        <f>IF(AT$60="","",Underwriting!AY153)</f>
        <v>0</v>
      </c>
      <c r="AU77" s="169">
        <f>IF(AU$60="","",Underwriting!AZ153)</f>
        <v>0</v>
      </c>
      <c r="AV77" s="169">
        <f>IF(AV$60="","",Underwriting!BA153)</f>
        <v>0</v>
      </c>
      <c r="AW77" s="169">
        <f>IF(AW$60="","",Underwriting!BB153)</f>
        <v>0</v>
      </c>
      <c r="AX77" s="169">
        <f>IF(AX$60="","",Underwriting!BC153)</f>
        <v>0</v>
      </c>
      <c r="AY77" s="169">
        <f>IF(AY$60="","",Underwriting!BD153)</f>
        <v>0</v>
      </c>
      <c r="AZ77" s="169">
        <f>IF(AZ$60="","",Underwriting!BE153)</f>
        <v>0</v>
      </c>
      <c r="BA77" s="169">
        <f>IF(BA$60="","",Underwriting!BF153)</f>
        <v>0</v>
      </c>
      <c r="BB77" s="169">
        <f>IF(BB$60="","",Underwriting!BG153)</f>
        <v>0</v>
      </c>
      <c r="BC77" s="169">
        <f>IF(BC$60="","",Underwriting!BH153)</f>
        <v>0</v>
      </c>
      <c r="BD77" s="169">
        <f>IF(BD$60="","",Underwriting!BI153)</f>
        <v>0</v>
      </c>
      <c r="BE77" s="169">
        <f>IF(BE$60="","",Underwriting!BJ153)</f>
        <v>0</v>
      </c>
      <c r="BF77" s="169">
        <f>IF(BF$60="","",Underwriting!BK153)</f>
        <v>0</v>
      </c>
      <c r="BG77" s="169">
        <f>IF(BG$60="","",Underwriting!BL153)</f>
        <v>0</v>
      </c>
      <c r="BH77" s="169">
        <f>IF(BH$60="","",Underwriting!BM153)</f>
        <v>0</v>
      </c>
      <c r="BI77" s="169">
        <f>IF(BI$60="","",Underwriting!BN153)</f>
        <v>0</v>
      </c>
      <c r="BJ77" s="169">
        <f>IF(BJ$60="","",Underwriting!BO153)</f>
        <v>0</v>
      </c>
      <c r="BK77" s="169">
        <f>IF(BK$60="","",Underwriting!BP153)</f>
        <v>0</v>
      </c>
      <c r="BL77" s="169">
        <f>IF(BL$60="","",Underwriting!BQ153)</f>
        <v>0</v>
      </c>
      <c r="BM77" s="169">
        <f>IF(BM$60="","",Underwriting!BR153)</f>
        <v>0</v>
      </c>
      <c r="BN77" s="169">
        <f>IF(BN$60="","",Underwriting!BS153)</f>
        <v>0</v>
      </c>
      <c r="BO77" s="169">
        <f>IF(BO$60="","",Underwriting!BT153)</f>
        <v>0</v>
      </c>
      <c r="BP77" s="169">
        <f>IF(BP$60="","",Underwriting!BU153)</f>
        <v>0</v>
      </c>
      <c r="BQ77" s="169" t="str">
        <f>IF(BQ$60="","",Underwriting!BV153)</f>
        <v/>
      </c>
      <c r="BR77" s="169" t="str">
        <f>IF(BR$60="","",Underwriting!BW153)</f>
        <v/>
      </c>
      <c r="BS77" s="169" t="str">
        <f>IF(BS$60="","",Underwriting!BX153)</f>
        <v/>
      </c>
      <c r="BT77" s="169" t="str">
        <f>IF(BT$60="","",Underwriting!BY153)</f>
        <v/>
      </c>
      <c r="BU77" s="169" t="str">
        <f>IF(BU$60="","",Underwriting!BZ153)</f>
        <v/>
      </c>
      <c r="BV77" s="169" t="str">
        <f>IF(BV$60="","",Underwriting!CA153)</f>
        <v/>
      </c>
      <c r="BW77" s="169" t="str">
        <f>IF(BW$60="","",Underwriting!CB153)</f>
        <v/>
      </c>
      <c r="BX77" s="169" t="str">
        <f>IF(BX$60="","",Underwriting!CC153)</f>
        <v/>
      </c>
      <c r="BY77" s="169" t="str">
        <f>IF(BY$60="","",Underwriting!CD153)</f>
        <v/>
      </c>
      <c r="BZ77" s="169" t="str">
        <f>IF(BZ$60="","",Underwriting!CE153)</f>
        <v/>
      </c>
      <c r="CA77" s="169" t="str">
        <f>IF(CA$60="","",Underwriting!CF153)</f>
        <v/>
      </c>
      <c r="CB77" s="169" t="str">
        <f>IF(CB$60="","",Underwriting!CG153)</f>
        <v/>
      </c>
      <c r="CC77" s="169" t="str">
        <f>IF(CC$60="","",Underwriting!CH153)</f>
        <v/>
      </c>
      <c r="CD77" s="169" t="str">
        <f>IF(CD$60="","",Underwriting!CI153)</f>
        <v/>
      </c>
      <c r="CE77" s="169" t="str">
        <f>IF(CE$60="","",Underwriting!CJ153)</f>
        <v/>
      </c>
      <c r="CF77" s="169" t="str">
        <f>IF(CF$60="","",Underwriting!CK153)</f>
        <v/>
      </c>
      <c r="CG77" s="169" t="str">
        <f>IF(CG$60="","",Underwriting!CL153)</f>
        <v/>
      </c>
      <c r="CH77" s="169" t="str">
        <f>IF(CH$60="","",Underwriting!CM153)</f>
        <v/>
      </c>
      <c r="CI77" s="169" t="str">
        <f>IF(CI$60="","",Underwriting!CN153)</f>
        <v/>
      </c>
      <c r="CJ77" s="169" t="str">
        <f>IF(CJ$60="","",Underwriting!CO153)</f>
        <v/>
      </c>
      <c r="CK77" s="169" t="str">
        <f>IF(CK$60="","",Underwriting!CP153)</f>
        <v/>
      </c>
      <c r="CL77" s="169" t="str">
        <f>IF(CL$60="","",Underwriting!CQ153)</f>
        <v/>
      </c>
      <c r="CM77" s="169" t="str">
        <f>IF(CM$60="","",Underwriting!CR153)</f>
        <v/>
      </c>
      <c r="CN77" s="169" t="str">
        <f>IF(CN$60="","",Underwriting!CS153)</f>
        <v/>
      </c>
      <c r="CO77" s="169" t="str">
        <f>IF(CO$60="","",Underwriting!CT153)</f>
        <v/>
      </c>
      <c r="CP77" s="169" t="str">
        <f>IF(CP$60="","",Underwriting!CU153)</f>
        <v/>
      </c>
      <c r="CQ77" s="169" t="str">
        <f>IF(CQ$60="","",Underwriting!CV153)</f>
        <v/>
      </c>
      <c r="CR77" s="169" t="str">
        <f>IF(CR$60="","",Underwriting!CW153)</f>
        <v/>
      </c>
      <c r="CS77" s="169" t="str">
        <f>IF(CS$60="","",Underwriting!CX153)</f>
        <v/>
      </c>
      <c r="CT77" s="169" t="str">
        <f>IF(CT$60="","",Underwriting!CY153)</f>
        <v/>
      </c>
      <c r="CU77" s="169" t="str">
        <f>IF(CU$60="","",Underwriting!CZ153)</f>
        <v/>
      </c>
      <c r="CV77" s="169" t="str">
        <f>IF(CV$60="","",Underwriting!DA153)</f>
        <v/>
      </c>
      <c r="CW77" s="169" t="str">
        <f>IF(CW$60="","",Underwriting!DB153)</f>
        <v/>
      </c>
      <c r="CX77" s="169" t="str">
        <f>IF(CX$60="","",Underwriting!DC153)</f>
        <v/>
      </c>
      <c r="CY77" s="169" t="str">
        <f>IF(CY$60="","",Underwriting!DD153)</f>
        <v/>
      </c>
      <c r="CZ77" s="169" t="str">
        <f>IF(CZ$60="","",Underwriting!DE153)</f>
        <v/>
      </c>
      <c r="DA77" s="169" t="str">
        <f>IF(DA$60="","",Underwriting!DF153)</f>
        <v/>
      </c>
      <c r="DB77" s="169" t="str">
        <f>IF(DB$60="","",Underwriting!DG153)</f>
        <v/>
      </c>
      <c r="DC77" s="169" t="str">
        <f>IF(DC$60="","",Underwriting!DH153)</f>
        <v/>
      </c>
      <c r="DD77" s="169" t="str">
        <f>IF(DD$60="","",Underwriting!DI153)</f>
        <v/>
      </c>
      <c r="DE77" s="169" t="str">
        <f>IF(DE$60="","",Underwriting!DJ153)</f>
        <v/>
      </c>
      <c r="DF77" s="169" t="str">
        <f>IF(DF$60="","",Underwriting!DK153)</f>
        <v/>
      </c>
      <c r="DG77" s="169" t="str">
        <f>IF(DG$60="","",Underwriting!DL153)</f>
        <v/>
      </c>
      <c r="DH77" s="169" t="str">
        <f>IF(DH$60="","",Underwriting!DM153)</f>
        <v/>
      </c>
      <c r="DI77" s="169" t="str">
        <f>IF(DI$60="","",Underwriting!DN153)</f>
        <v/>
      </c>
      <c r="DJ77" s="169" t="str">
        <f>IF(DJ$60="","",Underwriting!DO153)</f>
        <v/>
      </c>
      <c r="DK77" s="169" t="str">
        <f>IF(DK$60="","",Underwriting!DP153)</f>
        <v/>
      </c>
      <c r="DL77" s="169" t="str">
        <f>IF(DL$60="","",Underwriting!DQ153)</f>
        <v/>
      </c>
      <c r="DM77" s="169" t="str">
        <f>IF(DM$60="","",Underwriting!DR153)</f>
        <v/>
      </c>
      <c r="DN77" s="169" t="str">
        <f>IF(DN$60="","",Underwriting!DS153)</f>
        <v/>
      </c>
      <c r="DO77" s="169" t="str">
        <f>IF(DO$60="","",Underwriting!DT153)</f>
        <v/>
      </c>
      <c r="DP77" s="169" t="str">
        <f>IF(DP$60="","",Underwriting!DU153)</f>
        <v/>
      </c>
      <c r="DQ77" s="169" t="str">
        <f>IF(DQ$60="","",Underwriting!DV153)</f>
        <v/>
      </c>
      <c r="DR77" s="169" t="str">
        <f>IF(DR$60="","",Underwriting!DW153)</f>
        <v/>
      </c>
      <c r="DS77" s="169" t="str">
        <f>IF(DS$60="","",Underwriting!DX153)</f>
        <v/>
      </c>
      <c r="DT77" s="169" t="str">
        <f>IF(DT$60="","",Underwriting!DY153)</f>
        <v/>
      </c>
      <c r="DU77" s="169" t="str">
        <f>IF(DU$60="","",Underwriting!DZ153)</f>
        <v/>
      </c>
      <c r="DV77" s="169" t="str">
        <f>IF(DV$60="","",Underwriting!EA153)</f>
        <v/>
      </c>
      <c r="DW77" s="169" t="str">
        <f>IF(DW$60="","",Underwriting!EB153)</f>
        <v/>
      </c>
      <c r="DX77" s="169" t="str">
        <f>IF(DX$60="","",Underwriting!EC153)</f>
        <v/>
      </c>
      <c r="DY77" s="169" t="str">
        <f>IF(DY$60="","",Underwriting!ED153)</f>
        <v/>
      </c>
      <c r="DZ77" s="169" t="str">
        <f>IF(DZ$60="","",Underwriting!EE153)</f>
        <v/>
      </c>
      <c r="EA77" s="169" t="str">
        <f>IF(EA$60="","",Underwriting!EF153)</f>
        <v/>
      </c>
      <c r="EB77" s="169" t="str">
        <f>IF(EB$60="","",Underwriting!EG153)</f>
        <v/>
      </c>
      <c r="EC77" s="169" t="str">
        <f>IF(EC$60="","",Underwriting!EH153)</f>
        <v/>
      </c>
      <c r="ED77" s="169" t="str">
        <f>IF(ED$60="","",Underwriting!EI153)</f>
        <v/>
      </c>
      <c r="EE77" s="169" t="str">
        <f>IF(EE$60="","",Underwriting!EJ153)</f>
        <v/>
      </c>
      <c r="EF77" s="169" t="str">
        <f>IF(EF$60="","",Underwriting!EK153)</f>
        <v/>
      </c>
      <c r="EG77" s="169" t="str">
        <f>IF(EG$60="","",Underwriting!EL153)</f>
        <v/>
      </c>
      <c r="EH77" s="169" t="str">
        <f>IF(EH$60="","",Underwriting!EM153)</f>
        <v/>
      </c>
      <c r="EI77" s="169" t="str">
        <f>IF(EI$60="","",Underwriting!EN153)</f>
        <v/>
      </c>
    </row>
    <row r="78" spans="2:139" x14ac:dyDescent="0.35">
      <c r="B78" s="4"/>
      <c r="C78" s="4"/>
      <c r="D78" s="4"/>
      <c r="E78" s="4"/>
      <c r="F78" s="4"/>
      <c r="G78" s="171"/>
      <c r="H78" s="171"/>
      <c r="I78" s="171"/>
      <c r="J78" s="171"/>
      <c r="K78" s="171"/>
      <c r="L78" s="171"/>
      <c r="M78" s="171"/>
      <c r="N78" s="171"/>
      <c r="O78" s="171"/>
      <c r="P78" s="171"/>
      <c r="Q78" s="171"/>
      <c r="R78" s="171"/>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c r="BR78" s="169"/>
      <c r="BS78" s="169"/>
      <c r="BT78" s="169"/>
      <c r="BU78" s="169"/>
      <c r="BV78" s="169"/>
      <c r="BW78" s="169"/>
      <c r="BX78" s="169"/>
      <c r="BY78" s="169"/>
      <c r="BZ78" s="169"/>
      <c r="CA78" s="169"/>
      <c r="CB78" s="169"/>
      <c r="CC78" s="169"/>
      <c r="CD78" s="169"/>
      <c r="CE78" s="169"/>
      <c r="CF78" s="169"/>
      <c r="CG78" s="169"/>
      <c r="CH78" s="169"/>
      <c r="CI78" s="169"/>
      <c r="CJ78" s="169"/>
      <c r="CK78" s="169"/>
      <c r="CL78" s="169"/>
      <c r="CM78" s="169"/>
      <c r="CN78" s="169"/>
      <c r="CO78" s="169"/>
      <c r="CP78" s="169"/>
      <c r="CQ78" s="169"/>
      <c r="CR78" s="169"/>
      <c r="CS78" s="169"/>
      <c r="CT78" s="169"/>
      <c r="CU78" s="169"/>
      <c r="CV78" s="169"/>
      <c r="CW78" s="169"/>
      <c r="CX78" s="169"/>
      <c r="CY78" s="169"/>
      <c r="CZ78" s="169"/>
      <c r="DA78" s="169"/>
      <c r="DB78" s="169"/>
      <c r="DC78" s="169"/>
      <c r="DD78" s="169"/>
      <c r="DE78" s="169"/>
      <c r="DF78" s="169"/>
      <c r="DG78" s="169"/>
      <c r="DH78" s="169"/>
      <c r="DI78" s="169"/>
      <c r="DJ78" s="169"/>
      <c r="DK78" s="169"/>
      <c r="DL78" s="169"/>
      <c r="DM78" s="169"/>
      <c r="DN78" s="169"/>
      <c r="DO78" s="169"/>
      <c r="DP78" s="169"/>
      <c r="DQ78" s="169"/>
      <c r="DR78" s="169"/>
      <c r="DS78" s="169"/>
      <c r="DT78" s="169"/>
      <c r="DU78" s="169"/>
      <c r="DV78" s="169"/>
      <c r="DW78" s="169"/>
      <c r="DX78" s="169"/>
      <c r="DY78" s="169"/>
      <c r="DZ78" s="169"/>
      <c r="EA78" s="169"/>
      <c r="EB78" s="169"/>
      <c r="EC78" s="169"/>
      <c r="ED78" s="169"/>
      <c r="EE78" s="169"/>
      <c r="EF78" s="169"/>
      <c r="EG78" s="169"/>
      <c r="EH78" s="169"/>
      <c r="EI78" s="169"/>
    </row>
    <row r="79" spans="2:139" x14ac:dyDescent="0.35">
      <c r="B79" s="4" t="s">
        <v>324</v>
      </c>
      <c r="C79" s="4"/>
      <c r="D79" s="4"/>
      <c r="E79" s="4"/>
      <c r="F79" s="4"/>
      <c r="G79" s="171">
        <f>IF(G$60="","",G75-G77)</f>
        <v>0</v>
      </c>
      <c r="H79" s="171">
        <f t="shared" ref="H79:BS79" si="54">IF(H$60="","",H75-H77)</f>
        <v>0</v>
      </c>
      <c r="I79" s="171">
        <f t="shared" si="54"/>
        <v>0</v>
      </c>
      <c r="J79" s="171">
        <f t="shared" si="54"/>
        <v>0</v>
      </c>
      <c r="K79" s="171">
        <f t="shared" si="54"/>
        <v>0</v>
      </c>
      <c r="L79" s="171">
        <f t="shared" si="54"/>
        <v>0</v>
      </c>
      <c r="M79" s="171">
        <f t="shared" si="54"/>
        <v>0</v>
      </c>
      <c r="N79" s="171">
        <f t="shared" si="54"/>
        <v>0</v>
      </c>
      <c r="O79" s="171">
        <f t="shared" si="54"/>
        <v>0</v>
      </c>
      <c r="P79" s="171">
        <f t="shared" si="54"/>
        <v>0</v>
      </c>
      <c r="Q79" s="171">
        <f t="shared" si="54"/>
        <v>0</v>
      </c>
      <c r="R79" s="171">
        <f t="shared" si="54"/>
        <v>0</v>
      </c>
      <c r="S79" s="169">
        <f t="shared" si="54"/>
        <v>0</v>
      </c>
      <c r="T79" s="169">
        <f t="shared" si="54"/>
        <v>0</v>
      </c>
      <c r="U79" s="169">
        <f t="shared" si="54"/>
        <v>0</v>
      </c>
      <c r="V79" s="169">
        <f t="shared" si="54"/>
        <v>0</v>
      </c>
      <c r="W79" s="169">
        <f t="shared" si="54"/>
        <v>0</v>
      </c>
      <c r="X79" s="169">
        <f t="shared" si="54"/>
        <v>0</v>
      </c>
      <c r="Y79" s="169">
        <f t="shared" si="54"/>
        <v>0</v>
      </c>
      <c r="Z79" s="169">
        <f t="shared" si="54"/>
        <v>0</v>
      </c>
      <c r="AA79" s="169">
        <f t="shared" si="54"/>
        <v>0</v>
      </c>
      <c r="AB79" s="169">
        <f t="shared" si="54"/>
        <v>0</v>
      </c>
      <c r="AC79" s="169">
        <f t="shared" si="54"/>
        <v>716666.66666666663</v>
      </c>
      <c r="AD79" s="169">
        <f t="shared" si="54"/>
        <v>716666.66666666663</v>
      </c>
      <c r="AE79" s="169">
        <f t="shared" si="54"/>
        <v>716666.66666666663</v>
      </c>
      <c r="AF79" s="169">
        <f t="shared" si="54"/>
        <v>933333.33333333326</v>
      </c>
      <c r="AG79" s="169">
        <f t="shared" si="54"/>
        <v>933333.33333333326</v>
      </c>
      <c r="AH79" s="169">
        <f t="shared" si="54"/>
        <v>933333.33333333326</v>
      </c>
      <c r="AI79" s="169">
        <f t="shared" si="54"/>
        <v>1107500</v>
      </c>
      <c r="AJ79" s="169">
        <f t="shared" si="54"/>
        <v>1107500</v>
      </c>
      <c r="AK79" s="169">
        <f t="shared" si="54"/>
        <v>1107500</v>
      </c>
      <c r="AL79" s="169">
        <f t="shared" si="54"/>
        <v>1265833.3333333333</v>
      </c>
      <c r="AM79" s="169">
        <f t="shared" si="54"/>
        <v>1265833.3333333333</v>
      </c>
      <c r="AN79" s="169">
        <f t="shared" si="54"/>
        <v>1265833.3333333333</v>
      </c>
      <c r="AO79" s="169">
        <f t="shared" si="54"/>
        <v>1298416.6666666665</v>
      </c>
      <c r="AP79" s="169">
        <f t="shared" si="54"/>
        <v>1298416.6666666665</v>
      </c>
      <c r="AQ79" s="169">
        <f t="shared" si="54"/>
        <v>1298416.6666666665</v>
      </c>
      <c r="AR79" s="169">
        <f t="shared" si="54"/>
        <v>1329966.833333333</v>
      </c>
      <c r="AS79" s="169">
        <f t="shared" si="54"/>
        <v>1537461.250366004</v>
      </c>
      <c r="AT79" s="169">
        <f t="shared" si="54"/>
        <v>1744955.6673986751</v>
      </c>
      <c r="AU79" s="169">
        <f t="shared" si="54"/>
        <v>1960527.6614040788</v>
      </c>
      <c r="AV79" s="169">
        <f t="shared" si="54"/>
        <v>2168682.6596498829</v>
      </c>
      <c r="AW79" s="169">
        <f t="shared" si="54"/>
        <v>2376837.6578956875</v>
      </c>
      <c r="AX79" s="169">
        <f t="shared" si="54"/>
        <v>2590534.3228081581</v>
      </c>
      <c r="AY79" s="169">
        <f t="shared" si="54"/>
        <v>2798689.3210539622</v>
      </c>
      <c r="AZ79" s="169">
        <f t="shared" si="54"/>
        <v>3006844.3192997663</v>
      </c>
      <c r="BA79" s="169">
        <f t="shared" si="54"/>
        <v>3241223.0675455704</v>
      </c>
      <c r="BB79" s="169">
        <f t="shared" si="54"/>
        <v>3449378.065791375</v>
      </c>
      <c r="BC79" s="169">
        <f t="shared" si="54"/>
        <v>3657533.0640371782</v>
      </c>
      <c r="BD79" s="169">
        <f t="shared" si="54"/>
        <v>3936582.4825900565</v>
      </c>
      <c r="BE79" s="169">
        <f t="shared" si="54"/>
        <v>3936582.4825900565</v>
      </c>
      <c r="BF79" s="169">
        <f t="shared" si="54"/>
        <v>3936582.4825900565</v>
      </c>
      <c r="BG79" s="169">
        <f t="shared" si="54"/>
        <v>3942891.6700900565</v>
      </c>
      <c r="BH79" s="169">
        <f t="shared" si="54"/>
        <v>3942891.6700900565</v>
      </c>
      <c r="BI79" s="169">
        <f t="shared" si="54"/>
        <v>3942891.6700900565</v>
      </c>
      <c r="BJ79" s="169">
        <f t="shared" si="54"/>
        <v>3948627.2950900565</v>
      </c>
      <c r="BK79" s="169">
        <f t="shared" si="54"/>
        <v>3948627.2950900565</v>
      </c>
      <c r="BL79" s="169">
        <f t="shared" si="54"/>
        <v>3948627.2950900565</v>
      </c>
      <c r="BM79" s="169">
        <f t="shared" si="54"/>
        <v>3975768.8763400572</v>
      </c>
      <c r="BN79" s="169">
        <f t="shared" si="54"/>
        <v>3975768.8763400572</v>
      </c>
      <c r="BO79" s="169">
        <f t="shared" si="54"/>
        <v>3975768.8763400572</v>
      </c>
      <c r="BP79" s="169">
        <f t="shared" si="54"/>
        <v>4048514.1446548081</v>
      </c>
      <c r="BQ79" s="169" t="str">
        <f t="shared" si="54"/>
        <v/>
      </c>
      <c r="BR79" s="169" t="str">
        <f t="shared" si="54"/>
        <v/>
      </c>
      <c r="BS79" s="169" t="str">
        <f t="shared" si="54"/>
        <v/>
      </c>
      <c r="BT79" s="169" t="str">
        <f t="shared" ref="BT79:EE79" si="55">IF(BT$60="","",BT75-BT77)</f>
        <v/>
      </c>
      <c r="BU79" s="169" t="str">
        <f t="shared" si="55"/>
        <v/>
      </c>
      <c r="BV79" s="169" t="str">
        <f t="shared" si="55"/>
        <v/>
      </c>
      <c r="BW79" s="169" t="str">
        <f t="shared" si="55"/>
        <v/>
      </c>
      <c r="BX79" s="169" t="str">
        <f t="shared" si="55"/>
        <v/>
      </c>
      <c r="BY79" s="169" t="str">
        <f t="shared" si="55"/>
        <v/>
      </c>
      <c r="BZ79" s="169" t="str">
        <f t="shared" si="55"/>
        <v/>
      </c>
      <c r="CA79" s="169" t="str">
        <f t="shared" si="55"/>
        <v/>
      </c>
      <c r="CB79" s="169" t="str">
        <f t="shared" si="55"/>
        <v/>
      </c>
      <c r="CC79" s="169" t="str">
        <f t="shared" si="55"/>
        <v/>
      </c>
      <c r="CD79" s="169" t="str">
        <f t="shared" si="55"/>
        <v/>
      </c>
      <c r="CE79" s="169" t="str">
        <f t="shared" si="55"/>
        <v/>
      </c>
      <c r="CF79" s="169" t="str">
        <f t="shared" si="55"/>
        <v/>
      </c>
      <c r="CG79" s="169" t="str">
        <f t="shared" si="55"/>
        <v/>
      </c>
      <c r="CH79" s="169" t="str">
        <f t="shared" si="55"/>
        <v/>
      </c>
      <c r="CI79" s="169" t="str">
        <f t="shared" si="55"/>
        <v/>
      </c>
      <c r="CJ79" s="169" t="str">
        <f t="shared" si="55"/>
        <v/>
      </c>
      <c r="CK79" s="169" t="str">
        <f t="shared" si="55"/>
        <v/>
      </c>
      <c r="CL79" s="169" t="str">
        <f t="shared" si="55"/>
        <v/>
      </c>
      <c r="CM79" s="169" t="str">
        <f t="shared" si="55"/>
        <v/>
      </c>
      <c r="CN79" s="169" t="str">
        <f t="shared" si="55"/>
        <v/>
      </c>
      <c r="CO79" s="169" t="str">
        <f t="shared" si="55"/>
        <v/>
      </c>
      <c r="CP79" s="169" t="str">
        <f t="shared" si="55"/>
        <v/>
      </c>
      <c r="CQ79" s="169" t="str">
        <f t="shared" si="55"/>
        <v/>
      </c>
      <c r="CR79" s="169" t="str">
        <f t="shared" si="55"/>
        <v/>
      </c>
      <c r="CS79" s="169" t="str">
        <f t="shared" si="55"/>
        <v/>
      </c>
      <c r="CT79" s="169" t="str">
        <f t="shared" si="55"/>
        <v/>
      </c>
      <c r="CU79" s="169" t="str">
        <f t="shared" si="55"/>
        <v/>
      </c>
      <c r="CV79" s="169" t="str">
        <f t="shared" si="55"/>
        <v/>
      </c>
      <c r="CW79" s="169" t="str">
        <f t="shared" si="55"/>
        <v/>
      </c>
      <c r="CX79" s="169" t="str">
        <f t="shared" si="55"/>
        <v/>
      </c>
      <c r="CY79" s="169" t="str">
        <f t="shared" si="55"/>
        <v/>
      </c>
      <c r="CZ79" s="169" t="str">
        <f t="shared" si="55"/>
        <v/>
      </c>
      <c r="DA79" s="169" t="str">
        <f t="shared" si="55"/>
        <v/>
      </c>
      <c r="DB79" s="169" t="str">
        <f t="shared" si="55"/>
        <v/>
      </c>
      <c r="DC79" s="169" t="str">
        <f t="shared" si="55"/>
        <v/>
      </c>
      <c r="DD79" s="169" t="str">
        <f t="shared" si="55"/>
        <v/>
      </c>
      <c r="DE79" s="169" t="str">
        <f t="shared" si="55"/>
        <v/>
      </c>
      <c r="DF79" s="169" t="str">
        <f t="shared" si="55"/>
        <v/>
      </c>
      <c r="DG79" s="169" t="str">
        <f t="shared" si="55"/>
        <v/>
      </c>
      <c r="DH79" s="169" t="str">
        <f t="shared" si="55"/>
        <v/>
      </c>
      <c r="DI79" s="169" t="str">
        <f t="shared" si="55"/>
        <v/>
      </c>
      <c r="DJ79" s="169" t="str">
        <f t="shared" si="55"/>
        <v/>
      </c>
      <c r="DK79" s="169" t="str">
        <f t="shared" si="55"/>
        <v/>
      </c>
      <c r="DL79" s="169" t="str">
        <f t="shared" si="55"/>
        <v/>
      </c>
      <c r="DM79" s="169" t="str">
        <f t="shared" si="55"/>
        <v/>
      </c>
      <c r="DN79" s="169" t="str">
        <f t="shared" si="55"/>
        <v/>
      </c>
      <c r="DO79" s="169" t="str">
        <f t="shared" si="55"/>
        <v/>
      </c>
      <c r="DP79" s="169" t="str">
        <f t="shared" si="55"/>
        <v/>
      </c>
      <c r="DQ79" s="169" t="str">
        <f t="shared" si="55"/>
        <v/>
      </c>
      <c r="DR79" s="169" t="str">
        <f t="shared" si="55"/>
        <v/>
      </c>
      <c r="DS79" s="169" t="str">
        <f t="shared" si="55"/>
        <v/>
      </c>
      <c r="DT79" s="169" t="str">
        <f t="shared" si="55"/>
        <v/>
      </c>
      <c r="DU79" s="169" t="str">
        <f t="shared" si="55"/>
        <v/>
      </c>
      <c r="DV79" s="169" t="str">
        <f t="shared" si="55"/>
        <v/>
      </c>
      <c r="DW79" s="169" t="str">
        <f t="shared" si="55"/>
        <v/>
      </c>
      <c r="DX79" s="169" t="str">
        <f t="shared" si="55"/>
        <v/>
      </c>
      <c r="DY79" s="169" t="str">
        <f t="shared" si="55"/>
        <v/>
      </c>
      <c r="DZ79" s="169" t="str">
        <f t="shared" si="55"/>
        <v/>
      </c>
      <c r="EA79" s="169" t="str">
        <f t="shared" si="55"/>
        <v/>
      </c>
      <c r="EB79" s="169" t="str">
        <f t="shared" si="55"/>
        <v/>
      </c>
      <c r="EC79" s="169" t="str">
        <f t="shared" si="55"/>
        <v/>
      </c>
      <c r="ED79" s="169" t="str">
        <f t="shared" si="55"/>
        <v/>
      </c>
      <c r="EE79" s="169" t="str">
        <f t="shared" si="55"/>
        <v/>
      </c>
      <c r="EF79" s="169" t="str">
        <f>IF(EF$60="","",EF75-EF77)</f>
        <v/>
      </c>
      <c r="EG79" s="169" t="str">
        <f>IF(EG$60="","",EG75-EG77)</f>
        <v/>
      </c>
      <c r="EH79" s="169" t="str">
        <f>IF(EH$60="","",EH75-EH77)</f>
        <v/>
      </c>
      <c r="EI79" s="169" t="str">
        <f>IF(EI$60="","",EI75-EI77)</f>
        <v/>
      </c>
    </row>
    <row r="80" spans="2:139" x14ac:dyDescent="0.35">
      <c r="B80" s="4"/>
      <c r="C80" s="4"/>
      <c r="D80" s="4"/>
      <c r="E80" s="4"/>
      <c r="F80" s="4"/>
      <c r="G80" s="171"/>
      <c r="H80" s="171"/>
      <c r="I80" s="171"/>
      <c r="J80" s="171"/>
      <c r="K80" s="171"/>
      <c r="L80" s="171"/>
      <c r="M80" s="171"/>
      <c r="N80" s="171"/>
      <c r="O80" s="171"/>
      <c r="P80" s="171"/>
      <c r="Q80" s="171"/>
      <c r="R80" s="171"/>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c r="BL80" s="169"/>
      <c r="BM80" s="169"/>
      <c r="BN80" s="169"/>
      <c r="BO80" s="169"/>
      <c r="BP80" s="169"/>
      <c r="BQ80" s="169"/>
      <c r="BR80" s="169"/>
      <c r="BS80" s="169"/>
      <c r="BT80" s="169"/>
      <c r="BU80" s="169"/>
      <c r="BV80" s="169"/>
      <c r="BW80" s="169"/>
      <c r="BX80" s="169"/>
      <c r="BY80" s="169"/>
      <c r="BZ80" s="169"/>
      <c r="CA80" s="169"/>
      <c r="CB80" s="169"/>
      <c r="CC80" s="169"/>
      <c r="CD80" s="169"/>
      <c r="CE80" s="169"/>
      <c r="CF80" s="169"/>
      <c r="CG80" s="169"/>
      <c r="CH80" s="169"/>
      <c r="CI80" s="169"/>
      <c r="CJ80" s="169"/>
      <c r="CK80" s="169"/>
      <c r="CL80" s="169"/>
      <c r="CM80" s="169"/>
      <c r="CN80" s="169"/>
      <c r="CO80" s="169"/>
      <c r="CP80" s="169"/>
      <c r="CQ80" s="169"/>
      <c r="CR80" s="169"/>
      <c r="CS80" s="169"/>
      <c r="CT80" s="169"/>
      <c r="CU80" s="169"/>
      <c r="CV80" s="169"/>
      <c r="CW80" s="169"/>
      <c r="CX80" s="169"/>
      <c r="CY80" s="169"/>
      <c r="CZ80" s="169"/>
      <c r="DA80" s="169"/>
      <c r="DB80" s="169"/>
      <c r="DC80" s="169"/>
      <c r="DD80" s="169"/>
      <c r="DE80" s="169"/>
      <c r="DF80" s="169"/>
      <c r="DG80" s="169"/>
      <c r="DH80" s="169"/>
      <c r="DI80" s="169"/>
      <c r="DJ80" s="169"/>
      <c r="DK80" s="169"/>
      <c r="DL80" s="169"/>
      <c r="DM80" s="169"/>
      <c r="DN80" s="169"/>
      <c r="DO80" s="169"/>
      <c r="DP80" s="169"/>
      <c r="DQ80" s="169"/>
      <c r="DR80" s="169"/>
      <c r="DS80" s="169"/>
      <c r="DT80" s="169"/>
      <c r="DU80" s="169"/>
      <c r="DV80" s="169"/>
      <c r="DW80" s="169"/>
      <c r="DX80" s="169"/>
      <c r="DY80" s="169"/>
      <c r="DZ80" s="169"/>
      <c r="EA80" s="169"/>
      <c r="EB80" s="169"/>
      <c r="EC80" s="169"/>
      <c r="ED80" s="169"/>
      <c r="EE80" s="169"/>
      <c r="EF80" s="169"/>
      <c r="EG80" s="169"/>
      <c r="EH80" s="169"/>
      <c r="EI80" s="169"/>
    </row>
    <row r="81" spans="2:139" x14ac:dyDescent="0.35">
      <c r="B81" s="4" t="s">
        <v>514</v>
      </c>
      <c r="C81" s="4"/>
      <c r="D81" s="4"/>
      <c r="E81" s="4"/>
      <c r="F81" s="4"/>
      <c r="G81" s="247">
        <f t="shared" ref="G81:AL81" si="56">+G60</f>
        <v>46203</v>
      </c>
      <c r="H81" s="247">
        <f t="shared" si="56"/>
        <v>46234</v>
      </c>
      <c r="I81" s="247">
        <f t="shared" si="56"/>
        <v>46265</v>
      </c>
      <c r="J81" s="247">
        <f t="shared" si="56"/>
        <v>46295</v>
      </c>
      <c r="K81" s="247">
        <f t="shared" si="56"/>
        <v>46326</v>
      </c>
      <c r="L81" s="247">
        <f t="shared" si="56"/>
        <v>46356</v>
      </c>
      <c r="M81" s="247">
        <f t="shared" si="56"/>
        <v>46387</v>
      </c>
      <c r="N81" s="247">
        <f t="shared" si="56"/>
        <v>46418</v>
      </c>
      <c r="O81" s="247">
        <f t="shared" si="56"/>
        <v>46446</v>
      </c>
      <c r="P81" s="247">
        <f t="shared" si="56"/>
        <v>46477</v>
      </c>
      <c r="Q81" s="247">
        <f t="shared" si="56"/>
        <v>46507</v>
      </c>
      <c r="R81" s="247">
        <f t="shared" si="56"/>
        <v>46538</v>
      </c>
      <c r="S81" s="173">
        <f t="shared" si="56"/>
        <v>46568</v>
      </c>
      <c r="T81" s="173">
        <f t="shared" si="56"/>
        <v>46599</v>
      </c>
      <c r="U81" s="173">
        <f t="shared" si="56"/>
        <v>46630</v>
      </c>
      <c r="V81" s="173">
        <f t="shared" si="56"/>
        <v>46660</v>
      </c>
      <c r="W81" s="173">
        <f t="shared" si="56"/>
        <v>46691</v>
      </c>
      <c r="X81" s="173">
        <f t="shared" si="56"/>
        <v>46721</v>
      </c>
      <c r="Y81" s="173">
        <f t="shared" si="56"/>
        <v>46752</v>
      </c>
      <c r="Z81" s="173">
        <f t="shared" si="56"/>
        <v>46783</v>
      </c>
      <c r="AA81" s="173">
        <f t="shared" si="56"/>
        <v>46812</v>
      </c>
      <c r="AB81" s="173">
        <f t="shared" si="56"/>
        <v>46843</v>
      </c>
      <c r="AC81" s="173">
        <f t="shared" si="56"/>
        <v>46873</v>
      </c>
      <c r="AD81" s="173">
        <f t="shared" si="56"/>
        <v>46904</v>
      </c>
      <c r="AE81" s="173">
        <f t="shared" si="56"/>
        <v>46934</v>
      </c>
      <c r="AF81" s="173">
        <f t="shared" si="56"/>
        <v>46965</v>
      </c>
      <c r="AG81" s="173">
        <f t="shared" si="56"/>
        <v>46996</v>
      </c>
      <c r="AH81" s="173">
        <f t="shared" si="56"/>
        <v>47026</v>
      </c>
      <c r="AI81" s="173">
        <f t="shared" si="56"/>
        <v>47057</v>
      </c>
      <c r="AJ81" s="173">
        <f t="shared" si="56"/>
        <v>47087</v>
      </c>
      <c r="AK81" s="173">
        <f t="shared" si="56"/>
        <v>47118</v>
      </c>
      <c r="AL81" s="173">
        <f t="shared" si="56"/>
        <v>47149</v>
      </c>
      <c r="AM81" s="173">
        <f t="shared" ref="AM81:BR81" si="57">+AM60</f>
        <v>47177</v>
      </c>
      <c r="AN81" s="173">
        <f t="shared" si="57"/>
        <v>47208</v>
      </c>
      <c r="AO81" s="173">
        <f t="shared" si="57"/>
        <v>47238</v>
      </c>
      <c r="AP81" s="173">
        <f t="shared" si="57"/>
        <v>47269</v>
      </c>
      <c r="AQ81" s="173">
        <f t="shared" si="57"/>
        <v>47299</v>
      </c>
      <c r="AR81" s="173">
        <f t="shared" si="57"/>
        <v>47330</v>
      </c>
      <c r="AS81" s="173">
        <f t="shared" si="57"/>
        <v>47361</v>
      </c>
      <c r="AT81" s="173">
        <f t="shared" si="57"/>
        <v>47391</v>
      </c>
      <c r="AU81" s="173">
        <f t="shared" si="57"/>
        <v>47422</v>
      </c>
      <c r="AV81" s="173">
        <f t="shared" si="57"/>
        <v>47452</v>
      </c>
      <c r="AW81" s="173">
        <f t="shared" si="57"/>
        <v>47483</v>
      </c>
      <c r="AX81" s="173">
        <f t="shared" si="57"/>
        <v>47514</v>
      </c>
      <c r="AY81" s="173">
        <f t="shared" si="57"/>
        <v>47542</v>
      </c>
      <c r="AZ81" s="173">
        <f t="shared" si="57"/>
        <v>47573</v>
      </c>
      <c r="BA81" s="173">
        <f t="shared" si="57"/>
        <v>47603</v>
      </c>
      <c r="BB81" s="173">
        <f t="shared" si="57"/>
        <v>47634</v>
      </c>
      <c r="BC81" s="173">
        <f t="shared" si="57"/>
        <v>47664</v>
      </c>
      <c r="BD81" s="173">
        <f t="shared" si="57"/>
        <v>47695</v>
      </c>
      <c r="BE81" s="173">
        <f t="shared" si="57"/>
        <v>47726</v>
      </c>
      <c r="BF81" s="173">
        <f t="shared" si="57"/>
        <v>47756</v>
      </c>
      <c r="BG81" s="173">
        <f t="shared" si="57"/>
        <v>47787</v>
      </c>
      <c r="BH81" s="173">
        <f t="shared" si="57"/>
        <v>47817</v>
      </c>
      <c r="BI81" s="173">
        <f t="shared" si="57"/>
        <v>47848</v>
      </c>
      <c r="BJ81" s="173">
        <f t="shared" si="57"/>
        <v>47879</v>
      </c>
      <c r="BK81" s="173">
        <f t="shared" si="57"/>
        <v>47907</v>
      </c>
      <c r="BL81" s="173">
        <f t="shared" si="57"/>
        <v>47938</v>
      </c>
      <c r="BM81" s="173">
        <f t="shared" si="57"/>
        <v>47968</v>
      </c>
      <c r="BN81" s="173">
        <f t="shared" si="57"/>
        <v>47999</v>
      </c>
      <c r="BO81" s="173">
        <f t="shared" si="57"/>
        <v>48029</v>
      </c>
      <c r="BP81" s="173">
        <f t="shared" si="57"/>
        <v>48060</v>
      </c>
      <c r="BQ81" s="173" t="str">
        <f t="shared" si="57"/>
        <v/>
      </c>
      <c r="BR81" s="173" t="str">
        <f t="shared" si="57"/>
        <v/>
      </c>
      <c r="BS81" s="173" t="str">
        <f t="shared" ref="BS81:CX81" si="58">+BS60</f>
        <v/>
      </c>
      <c r="BT81" s="173" t="str">
        <f t="shared" si="58"/>
        <v/>
      </c>
      <c r="BU81" s="173" t="str">
        <f t="shared" si="58"/>
        <v/>
      </c>
      <c r="BV81" s="173" t="str">
        <f t="shared" si="58"/>
        <v/>
      </c>
      <c r="BW81" s="173" t="str">
        <f t="shared" si="58"/>
        <v/>
      </c>
      <c r="BX81" s="173" t="str">
        <f t="shared" si="58"/>
        <v/>
      </c>
      <c r="BY81" s="173" t="str">
        <f t="shared" si="58"/>
        <v/>
      </c>
      <c r="BZ81" s="173" t="str">
        <f t="shared" si="58"/>
        <v/>
      </c>
      <c r="CA81" s="173" t="str">
        <f t="shared" si="58"/>
        <v/>
      </c>
      <c r="CB81" s="173" t="str">
        <f t="shared" si="58"/>
        <v/>
      </c>
      <c r="CC81" s="173" t="str">
        <f t="shared" si="58"/>
        <v/>
      </c>
      <c r="CD81" s="173" t="str">
        <f t="shared" si="58"/>
        <v/>
      </c>
      <c r="CE81" s="173" t="str">
        <f t="shared" si="58"/>
        <v/>
      </c>
      <c r="CF81" s="173" t="str">
        <f t="shared" si="58"/>
        <v/>
      </c>
      <c r="CG81" s="173" t="str">
        <f t="shared" si="58"/>
        <v/>
      </c>
      <c r="CH81" s="173" t="str">
        <f t="shared" si="58"/>
        <v/>
      </c>
      <c r="CI81" s="173" t="str">
        <f t="shared" si="58"/>
        <v/>
      </c>
      <c r="CJ81" s="173" t="str">
        <f t="shared" si="58"/>
        <v/>
      </c>
      <c r="CK81" s="173" t="str">
        <f t="shared" si="58"/>
        <v/>
      </c>
      <c r="CL81" s="173" t="str">
        <f t="shared" si="58"/>
        <v/>
      </c>
      <c r="CM81" s="173" t="str">
        <f t="shared" si="58"/>
        <v/>
      </c>
      <c r="CN81" s="173" t="str">
        <f t="shared" si="58"/>
        <v/>
      </c>
      <c r="CO81" s="173" t="str">
        <f t="shared" si="58"/>
        <v/>
      </c>
      <c r="CP81" s="173" t="str">
        <f t="shared" si="58"/>
        <v/>
      </c>
      <c r="CQ81" s="173" t="str">
        <f t="shared" si="58"/>
        <v/>
      </c>
      <c r="CR81" s="173" t="str">
        <f t="shared" si="58"/>
        <v/>
      </c>
      <c r="CS81" s="173" t="str">
        <f t="shared" si="58"/>
        <v/>
      </c>
      <c r="CT81" s="173" t="str">
        <f t="shared" si="58"/>
        <v/>
      </c>
      <c r="CU81" s="173" t="str">
        <f t="shared" si="58"/>
        <v/>
      </c>
      <c r="CV81" s="173" t="str">
        <f t="shared" si="58"/>
        <v/>
      </c>
      <c r="CW81" s="173" t="str">
        <f t="shared" si="58"/>
        <v/>
      </c>
      <c r="CX81" s="173" t="str">
        <f t="shared" si="58"/>
        <v/>
      </c>
      <c r="CY81" s="173" t="str">
        <f t="shared" ref="CY81:EI81" si="59">+CY60</f>
        <v/>
      </c>
      <c r="CZ81" s="173" t="str">
        <f t="shared" si="59"/>
        <v/>
      </c>
      <c r="DA81" s="173" t="str">
        <f t="shared" si="59"/>
        <v/>
      </c>
      <c r="DB81" s="173" t="str">
        <f t="shared" si="59"/>
        <v/>
      </c>
      <c r="DC81" s="173" t="str">
        <f t="shared" si="59"/>
        <v/>
      </c>
      <c r="DD81" s="173" t="str">
        <f t="shared" si="59"/>
        <v/>
      </c>
      <c r="DE81" s="173" t="str">
        <f t="shared" si="59"/>
        <v/>
      </c>
      <c r="DF81" s="173" t="str">
        <f t="shared" si="59"/>
        <v/>
      </c>
      <c r="DG81" s="173" t="str">
        <f t="shared" si="59"/>
        <v/>
      </c>
      <c r="DH81" s="173" t="str">
        <f t="shared" si="59"/>
        <v/>
      </c>
      <c r="DI81" s="173" t="str">
        <f t="shared" si="59"/>
        <v/>
      </c>
      <c r="DJ81" s="173" t="str">
        <f t="shared" si="59"/>
        <v/>
      </c>
      <c r="DK81" s="173" t="str">
        <f t="shared" si="59"/>
        <v/>
      </c>
      <c r="DL81" s="173" t="str">
        <f t="shared" si="59"/>
        <v/>
      </c>
      <c r="DM81" s="173" t="str">
        <f t="shared" si="59"/>
        <v/>
      </c>
      <c r="DN81" s="173" t="str">
        <f t="shared" si="59"/>
        <v/>
      </c>
      <c r="DO81" s="173" t="str">
        <f t="shared" si="59"/>
        <v/>
      </c>
      <c r="DP81" s="173" t="str">
        <f t="shared" si="59"/>
        <v/>
      </c>
      <c r="DQ81" s="173" t="str">
        <f t="shared" si="59"/>
        <v/>
      </c>
      <c r="DR81" s="173" t="str">
        <f t="shared" si="59"/>
        <v/>
      </c>
      <c r="DS81" s="173" t="str">
        <f t="shared" si="59"/>
        <v/>
      </c>
      <c r="DT81" s="173" t="str">
        <f t="shared" si="59"/>
        <v/>
      </c>
      <c r="DU81" s="173" t="str">
        <f t="shared" si="59"/>
        <v/>
      </c>
      <c r="DV81" s="173" t="str">
        <f t="shared" si="59"/>
        <v/>
      </c>
      <c r="DW81" s="173" t="str">
        <f t="shared" si="59"/>
        <v/>
      </c>
      <c r="DX81" s="173" t="str">
        <f t="shared" si="59"/>
        <v/>
      </c>
      <c r="DY81" s="173" t="str">
        <f t="shared" si="59"/>
        <v/>
      </c>
      <c r="DZ81" s="173" t="str">
        <f t="shared" si="59"/>
        <v/>
      </c>
      <c r="EA81" s="173" t="str">
        <f t="shared" si="59"/>
        <v/>
      </c>
      <c r="EB81" s="173" t="str">
        <f t="shared" si="59"/>
        <v/>
      </c>
      <c r="EC81" s="173" t="str">
        <f t="shared" si="59"/>
        <v/>
      </c>
      <c r="ED81" s="173" t="str">
        <f t="shared" si="59"/>
        <v/>
      </c>
      <c r="EE81" s="173" t="str">
        <f t="shared" si="59"/>
        <v/>
      </c>
      <c r="EF81" s="173" t="str">
        <f t="shared" si="59"/>
        <v/>
      </c>
      <c r="EG81" s="173" t="str">
        <f t="shared" si="59"/>
        <v/>
      </c>
      <c r="EH81" s="173" t="str">
        <f t="shared" si="59"/>
        <v/>
      </c>
      <c r="EI81" s="173" t="str">
        <f t="shared" si="59"/>
        <v/>
      </c>
    </row>
    <row r="82" spans="2:139" x14ac:dyDescent="0.35">
      <c r="B82" s="34" t="s">
        <v>374</v>
      </c>
      <c r="C82" s="4"/>
      <c r="D82" s="4"/>
      <c r="E82" s="4"/>
      <c r="F82" s="4"/>
      <c r="G82" s="171">
        <f>IF(G$81="","",Underwriting!L196)</f>
        <v>93017714.091035873</v>
      </c>
      <c r="H82" s="171">
        <f>IF(H$81="","",Underwriting!M196)</f>
        <v>882028.36212584306</v>
      </c>
      <c r="I82" s="171">
        <f>IF(I$81="","",Underwriting!N196)</f>
        <v>1153238.7592138182</v>
      </c>
      <c r="J82" s="171">
        <f>IF(J$81="","",Underwriting!O196)</f>
        <v>1540571.8400115801</v>
      </c>
      <c r="K82" s="171">
        <f>IF(K$81="","",Underwriting!P196)</f>
        <v>2077208.6703043352</v>
      </c>
      <c r="L82" s="171">
        <f>IF(L$81="","",Underwriting!Q196)</f>
        <v>2798042.1575110573</v>
      </c>
      <c r="M82" s="171">
        <f>IF(M$81="","",Underwriting!R196)</f>
        <v>3736098.8558910517</v>
      </c>
      <c r="N82" s="171">
        <f>IF(N$81="","",Underwriting!S196)</f>
        <v>4917681.2983414307</v>
      </c>
      <c r="O82" s="171">
        <f>IF(O$81="","",Underwriting!T196)</f>
        <v>6356585.443407244</v>
      </c>
      <c r="P82" s="171">
        <f>IF(P$81="","",Underwriting!U196)</f>
        <v>8048084.8374454733</v>
      </c>
      <c r="Q82" s="171">
        <f>IF(Q$81="","",Underwriting!V196)</f>
        <v>9963673.1491933651</v>
      </c>
      <c r="R82" s="171">
        <f>IF(R$81="","",Underwriting!W196)</f>
        <v>12047726.791351493</v>
      </c>
      <c r="S82" s="169">
        <f>IF(S$81="","",Underwriting!X196)</f>
        <v>14217202.323856961</v>
      </c>
      <c r="T82" s="169">
        <f>IF(T$81="","",Underwriting!Y196)</f>
        <v>16365167.698586643</v>
      </c>
      <c r="U82" s="169">
        <f>IF(U$81="","",Underwriting!Z196)</f>
        <v>18368392.667920161</v>
      </c>
      <c r="V82" s="169">
        <f>IF(V$81="","",Underwriting!AA196)</f>
        <v>20098477.243874725</v>
      </c>
      <c r="W82" s="169">
        <f>IF(W$81="","",Underwriting!AB196)</f>
        <v>21435229.253932979</v>
      </c>
      <c r="X82" s="169">
        <f>IF(X$81="","",Underwriting!AC196)</f>
        <v>22280397.403045714</v>
      </c>
      <c r="Y82" s="169">
        <f>IF(Y$81="","",Underwriting!AD196)</f>
        <v>22569593.467381995</v>
      </c>
      <c r="Z82" s="169">
        <f>IF(Z$81="","",Underwriting!AE196)</f>
        <v>22280397.403045733</v>
      </c>
      <c r="AA82" s="169">
        <f>IF(AA$81="","",Underwriting!AF196)</f>
        <v>21435229.253932942</v>
      </c>
      <c r="AB82" s="169">
        <f>IF(AB$81="","",Underwriting!AG196)</f>
        <v>20098477.243874762</v>
      </c>
      <c r="AC82" s="169">
        <f>IF(AC$81="","",Underwriting!AH196)</f>
        <v>18368392.667920135</v>
      </c>
      <c r="AD82" s="169">
        <f>IF(AD$81="","",Underwriting!AI196)</f>
        <v>16365167.698586643</v>
      </c>
      <c r="AE82" s="169">
        <f>IF(AE$81="","",Underwriting!AJ196)</f>
        <v>14217202.323856987</v>
      </c>
      <c r="AF82" s="169">
        <f>IF(AF$81="","",Underwriting!AK196)</f>
        <v>12047726.791351464</v>
      </c>
      <c r="AG82" s="169">
        <f>IF(AG$81="","",Underwriting!AL196)</f>
        <v>9963673.1491933651</v>
      </c>
      <c r="AH82" s="169">
        <f>IF(AH$81="","",Underwriting!AM196)</f>
        <v>8048084.8374454975</v>
      </c>
      <c r="AI82" s="169">
        <f>IF(AI$81="","",Underwriting!AN196)</f>
        <v>6356585.4434072273</v>
      </c>
      <c r="AJ82" s="169">
        <f>IF(AJ$81="","",Underwriting!AO196)</f>
        <v>4917681.2983414317</v>
      </c>
      <c r="AK82" s="169">
        <f>IF(AK$81="","",Underwriting!AP196)</f>
        <v>3736098.8558910657</v>
      </c>
      <c r="AL82" s="169">
        <f>IF(AL$81="","",Underwriting!AQ196)</f>
        <v>2798042.157511042</v>
      </c>
      <c r="AM82" s="169">
        <f>IF(AM$81="","",Underwriting!AR196)</f>
        <v>2077208.670304341</v>
      </c>
      <c r="AN82" s="169">
        <f>IF(AN$81="","",Underwriting!AS196)</f>
        <v>1540571.8400115611</v>
      </c>
      <c r="AO82" s="169">
        <f>IF(AO$81="","",Underwriting!AT196)</f>
        <v>1153238.7592138406</v>
      </c>
      <c r="AP82" s="169">
        <f>IF(AP$81="","",Underwriting!AU196)</f>
        <v>882028.36212582723</v>
      </c>
      <c r="AQ82" s="169">
        <f>IF(AQ$81="","",Underwriting!AV196)</f>
        <v>697714.0910358784</v>
      </c>
      <c r="AR82" s="169">
        <f>IF(AR$81="","",Underwriting!AW196)</f>
        <v>0</v>
      </c>
      <c r="AS82" s="169">
        <f>IF(AS$81="","",Underwriting!AX196)</f>
        <v>0</v>
      </c>
      <c r="AT82" s="169">
        <f>IF(AT$81="","",Underwriting!AY196)</f>
        <v>0</v>
      </c>
      <c r="AU82" s="169">
        <f>IF(AU$81="","",Underwriting!AZ196)</f>
        <v>0</v>
      </c>
      <c r="AV82" s="169">
        <f>IF(AV$81="","",Underwriting!BA196)</f>
        <v>0</v>
      </c>
      <c r="AW82" s="169">
        <f>IF(AW$81="","",Underwriting!BB196)</f>
        <v>0</v>
      </c>
      <c r="AX82" s="169">
        <f>IF(AX$81="","",Underwriting!BC196)</f>
        <v>0</v>
      </c>
      <c r="AY82" s="169">
        <f>IF(AY$81="","",Underwriting!BD196)</f>
        <v>0</v>
      </c>
      <c r="AZ82" s="169">
        <f>IF(AZ$81="","",Underwriting!BE196)</f>
        <v>0</v>
      </c>
      <c r="BA82" s="169">
        <f>IF(BA$81="","",Underwriting!BF196)</f>
        <v>0</v>
      </c>
      <c r="BB82" s="169">
        <f>IF(BB$81="","",Underwriting!BG196)</f>
        <v>0</v>
      </c>
      <c r="BC82" s="169">
        <f>IF(BC$81="","",Underwriting!BH196)</f>
        <v>0</v>
      </c>
      <c r="BD82" s="169">
        <f>IF(BD$81="","",Underwriting!BI196)</f>
        <v>0</v>
      </c>
      <c r="BE82" s="169">
        <f>IF(BE$81="","",Underwriting!BJ196)</f>
        <v>0</v>
      </c>
      <c r="BF82" s="169">
        <f>IF(BF$81="","",Underwriting!BK196)</f>
        <v>0</v>
      </c>
      <c r="BG82" s="169">
        <f>IF(BG$81="","",Underwriting!BL196)</f>
        <v>0</v>
      </c>
      <c r="BH82" s="169">
        <f>IF(BH$81="","",Underwriting!BM196)</f>
        <v>0</v>
      </c>
      <c r="BI82" s="169">
        <f>IF(BI$81="","",Underwriting!BN196)</f>
        <v>0</v>
      </c>
      <c r="BJ82" s="169">
        <f>IF(BJ$81="","",Underwriting!BO196)</f>
        <v>0</v>
      </c>
      <c r="BK82" s="169">
        <f>IF(BK$81="","",Underwriting!BP196)</f>
        <v>0</v>
      </c>
      <c r="BL82" s="169">
        <f>IF(BL$81="","",Underwriting!BQ196)</f>
        <v>0</v>
      </c>
      <c r="BM82" s="169">
        <f>IF(BM$81="","",Underwriting!BR196)</f>
        <v>0</v>
      </c>
      <c r="BN82" s="169">
        <f>IF(BN$81="","",Underwriting!BS196)</f>
        <v>0</v>
      </c>
      <c r="BO82" s="169">
        <f>IF(BO$81="","",Underwriting!BT196)</f>
        <v>0</v>
      </c>
      <c r="BP82" s="169">
        <f>IF(BP$81="","",Underwriting!BU196)</f>
        <v>0</v>
      </c>
      <c r="BQ82" s="169" t="str">
        <f>IF(BQ$81="","",Underwriting!BV196)</f>
        <v/>
      </c>
      <c r="BR82" s="169" t="str">
        <f>IF(BR$81="","",Underwriting!BW196)</f>
        <v/>
      </c>
      <c r="BS82" s="169" t="str">
        <f>IF(BS$81="","",Underwriting!BX196)</f>
        <v/>
      </c>
      <c r="BT82" s="169" t="str">
        <f>IF(BT$81="","",Underwriting!BY196)</f>
        <v/>
      </c>
      <c r="BU82" s="169" t="str">
        <f>IF(BU$81="","",Underwriting!BZ196)</f>
        <v/>
      </c>
      <c r="BV82" s="169" t="str">
        <f>IF(BV$81="","",Underwriting!CA196)</f>
        <v/>
      </c>
      <c r="BW82" s="169" t="str">
        <f>IF(BW$81="","",Underwriting!CB196)</f>
        <v/>
      </c>
      <c r="BX82" s="169" t="str">
        <f>IF(BX$81="","",Underwriting!CC196)</f>
        <v/>
      </c>
      <c r="BY82" s="169" t="str">
        <f>IF(BY$81="","",Underwriting!CD196)</f>
        <v/>
      </c>
      <c r="BZ82" s="169" t="str">
        <f>IF(BZ$81="","",Underwriting!CE196)</f>
        <v/>
      </c>
      <c r="CA82" s="169" t="str">
        <f>IF(CA$81="","",Underwriting!CF196)</f>
        <v/>
      </c>
      <c r="CB82" s="169" t="str">
        <f>IF(CB$81="","",Underwriting!CG196)</f>
        <v/>
      </c>
      <c r="CC82" s="169" t="str">
        <f>IF(CC$81="","",Underwriting!CH196)</f>
        <v/>
      </c>
      <c r="CD82" s="169" t="str">
        <f>IF(CD$81="","",Underwriting!CI196)</f>
        <v/>
      </c>
      <c r="CE82" s="169" t="str">
        <f>IF(CE$81="","",Underwriting!CJ196)</f>
        <v/>
      </c>
      <c r="CF82" s="169" t="str">
        <f>IF(CF$81="","",Underwriting!CK196)</f>
        <v/>
      </c>
      <c r="CG82" s="169" t="str">
        <f>IF(CG$81="","",Underwriting!CL196)</f>
        <v/>
      </c>
      <c r="CH82" s="169" t="str">
        <f>IF(CH$81="","",Underwriting!CM196)</f>
        <v/>
      </c>
      <c r="CI82" s="169" t="str">
        <f>IF(CI$81="","",Underwriting!CN196)</f>
        <v/>
      </c>
      <c r="CJ82" s="169" t="str">
        <f>IF(CJ$81="","",Underwriting!CO196)</f>
        <v/>
      </c>
      <c r="CK82" s="169" t="str">
        <f>IF(CK$81="","",Underwriting!CP196)</f>
        <v/>
      </c>
      <c r="CL82" s="169" t="str">
        <f>IF(CL$81="","",Underwriting!CQ196)</f>
        <v/>
      </c>
      <c r="CM82" s="169" t="str">
        <f>IF(CM$81="","",Underwriting!CR196)</f>
        <v/>
      </c>
      <c r="CN82" s="169" t="str">
        <f>IF(CN$81="","",Underwriting!CS196)</f>
        <v/>
      </c>
      <c r="CO82" s="169" t="str">
        <f>IF(CO$81="","",Underwriting!CT196)</f>
        <v/>
      </c>
      <c r="CP82" s="169" t="str">
        <f>IF(CP$81="","",Underwriting!CU196)</f>
        <v/>
      </c>
      <c r="CQ82" s="169" t="str">
        <f>IF(CQ$81="","",Underwriting!CV196)</f>
        <v/>
      </c>
      <c r="CR82" s="169" t="str">
        <f>IF(CR$81="","",Underwriting!CW196)</f>
        <v/>
      </c>
      <c r="CS82" s="169" t="str">
        <f>IF(CS$81="","",Underwriting!CX196)</f>
        <v/>
      </c>
      <c r="CT82" s="169" t="str">
        <f>IF(CT$81="","",Underwriting!CY196)</f>
        <v/>
      </c>
      <c r="CU82" s="169" t="str">
        <f>IF(CU$81="","",Underwriting!CZ196)</f>
        <v/>
      </c>
      <c r="CV82" s="169" t="str">
        <f>IF(CV$81="","",Underwriting!DA196)</f>
        <v/>
      </c>
      <c r="CW82" s="169" t="str">
        <f>IF(CW$81="","",Underwriting!DB196)</f>
        <v/>
      </c>
      <c r="CX82" s="169" t="str">
        <f>IF(CX$81="","",Underwriting!DC196)</f>
        <v/>
      </c>
      <c r="CY82" s="169" t="str">
        <f>IF(CY$81="","",Underwriting!DD196)</f>
        <v/>
      </c>
      <c r="CZ82" s="169" t="str">
        <f>IF(CZ$81="","",Underwriting!DE196)</f>
        <v/>
      </c>
      <c r="DA82" s="169" t="str">
        <f>IF(DA$81="","",Underwriting!DF196)</f>
        <v/>
      </c>
      <c r="DB82" s="169" t="str">
        <f>IF(DB$81="","",Underwriting!DG196)</f>
        <v/>
      </c>
      <c r="DC82" s="169" t="str">
        <f>IF(DC$81="","",Underwriting!DH196)</f>
        <v/>
      </c>
      <c r="DD82" s="169" t="str">
        <f>IF(DD$81="","",Underwriting!DI196)</f>
        <v/>
      </c>
      <c r="DE82" s="169" t="str">
        <f>IF(DE$81="","",Underwriting!DJ196)</f>
        <v/>
      </c>
      <c r="DF82" s="169" t="str">
        <f>IF(DF$81="","",Underwriting!DK196)</f>
        <v/>
      </c>
      <c r="DG82" s="169" t="str">
        <f>IF(DG$81="","",Underwriting!DL196)</f>
        <v/>
      </c>
      <c r="DH82" s="169" t="str">
        <f>IF(DH$81="","",Underwriting!DM196)</f>
        <v/>
      </c>
      <c r="DI82" s="169" t="str">
        <f>IF(DI$81="","",Underwriting!DN196)</f>
        <v/>
      </c>
      <c r="DJ82" s="169" t="str">
        <f>IF(DJ$81="","",Underwriting!DO196)</f>
        <v/>
      </c>
      <c r="DK82" s="169" t="str">
        <f>IF(DK$81="","",Underwriting!DP196)</f>
        <v/>
      </c>
      <c r="DL82" s="169" t="str">
        <f>IF(DL$81="","",Underwriting!DQ196)</f>
        <v/>
      </c>
      <c r="DM82" s="169" t="str">
        <f>IF(DM$81="","",Underwriting!DR196)</f>
        <v/>
      </c>
      <c r="DN82" s="169" t="str">
        <f>IF(DN$81="","",Underwriting!DS196)</f>
        <v/>
      </c>
      <c r="DO82" s="169" t="str">
        <f>IF(DO$81="","",Underwriting!DT196)</f>
        <v/>
      </c>
      <c r="DP82" s="169" t="str">
        <f>IF(DP$81="","",Underwriting!DU196)</f>
        <v/>
      </c>
      <c r="DQ82" s="169" t="str">
        <f>IF(DQ$81="","",Underwriting!DV196)</f>
        <v/>
      </c>
      <c r="DR82" s="169" t="str">
        <f>IF(DR$81="","",Underwriting!DW196)</f>
        <v/>
      </c>
      <c r="DS82" s="169" t="str">
        <f>IF(DS$81="","",Underwriting!DX196)</f>
        <v/>
      </c>
      <c r="DT82" s="169" t="str">
        <f>IF(DT$81="","",Underwriting!DY196)</f>
        <v/>
      </c>
      <c r="DU82" s="169" t="str">
        <f>IF(DU$81="","",Underwriting!DZ196)</f>
        <v/>
      </c>
      <c r="DV82" s="169" t="str">
        <f>IF(DV$81="","",Underwriting!EA196)</f>
        <v/>
      </c>
      <c r="DW82" s="169" t="str">
        <f>IF(DW$81="","",Underwriting!EB196)</f>
        <v/>
      </c>
      <c r="DX82" s="169" t="str">
        <f>IF(DX$81="","",Underwriting!EC196)</f>
        <v/>
      </c>
      <c r="DY82" s="169" t="str">
        <f>IF(DY$81="","",Underwriting!ED196)</f>
        <v/>
      </c>
      <c r="DZ82" s="169" t="str">
        <f>IF(DZ$81="","",Underwriting!EE196)</f>
        <v/>
      </c>
      <c r="EA82" s="169" t="str">
        <f>IF(EA$81="","",Underwriting!EF196)</f>
        <v/>
      </c>
      <c r="EB82" s="169" t="str">
        <f>IF(EB$81="","",Underwriting!EG196)</f>
        <v/>
      </c>
      <c r="EC82" s="169" t="str">
        <f>IF(EC$81="","",Underwriting!EH196)</f>
        <v/>
      </c>
      <c r="ED82" s="169" t="str">
        <f>IF(ED$81="","",Underwriting!EI196)</f>
        <v/>
      </c>
      <c r="EE82" s="169" t="str">
        <f>IF(EE$81="","",Underwriting!EJ196)</f>
        <v/>
      </c>
      <c r="EF82" s="169" t="str">
        <f>IF(EF$81="","",Underwriting!EK196)</f>
        <v/>
      </c>
      <c r="EG82" s="169" t="str">
        <f>IF(EG$81="","",Underwriting!EL196)</f>
        <v/>
      </c>
      <c r="EH82" s="169" t="str">
        <f>IF(EH$81="","",Underwriting!EM196)</f>
        <v/>
      </c>
      <c r="EI82" s="169" t="str">
        <f>IF(EI$81="","",Underwriting!EN196)</f>
        <v/>
      </c>
    </row>
    <row r="83" spans="2:139" x14ac:dyDescent="0.35">
      <c r="B83" s="34" t="s">
        <v>377</v>
      </c>
      <c r="C83" s="4"/>
      <c r="D83" s="4"/>
      <c r="E83" s="4"/>
      <c r="F83" s="4"/>
      <c r="G83" s="171">
        <f>IF(G$81="","",Underwriting!L197)</f>
        <v>0</v>
      </c>
      <c r="H83" s="171">
        <f>IF(H$81="","",Underwriting!M197)</f>
        <v>0</v>
      </c>
      <c r="I83" s="171">
        <f>IF(I$81="","",Underwriting!N197)</f>
        <v>0</v>
      </c>
      <c r="J83" s="171">
        <f>IF(J$81="","",Underwriting!O197)</f>
        <v>0</v>
      </c>
      <c r="K83" s="171">
        <f>IF(K$81="","",Underwriting!P197)</f>
        <v>0</v>
      </c>
      <c r="L83" s="171">
        <f>IF(L$81="","",Underwriting!Q197)</f>
        <v>0</v>
      </c>
      <c r="M83" s="171">
        <f>IF(M$81="","",Underwriting!R197)</f>
        <v>0</v>
      </c>
      <c r="N83" s="171">
        <f>IF(N$81="","",Underwriting!S197)</f>
        <v>0</v>
      </c>
      <c r="O83" s="171">
        <f>IF(O$81="","",Underwriting!T197)</f>
        <v>0</v>
      </c>
      <c r="P83" s="171">
        <f>IF(P$81="","",Underwriting!U197)</f>
        <v>0</v>
      </c>
      <c r="Q83" s="171">
        <f>IF(Q$81="","",Underwriting!V197)</f>
        <v>0</v>
      </c>
      <c r="R83" s="171">
        <f>IF(R$81="","",Underwriting!W197)</f>
        <v>0</v>
      </c>
      <c r="S83" s="169">
        <f>IF(S$81="","",Underwriting!X197)</f>
        <v>0</v>
      </c>
      <c r="T83" s="169">
        <f>IF(T$81="","",Underwriting!Y197)</f>
        <v>0</v>
      </c>
      <c r="U83" s="169">
        <f>IF(U$81="","",Underwriting!Z197)</f>
        <v>0</v>
      </c>
      <c r="V83" s="169">
        <f>IF(V$81="","",Underwriting!AA197)</f>
        <v>0</v>
      </c>
      <c r="W83" s="169">
        <f>IF(W$81="","",Underwriting!AB197)</f>
        <v>0</v>
      </c>
      <c r="X83" s="169">
        <f>IF(X$81="","",Underwriting!AC197)</f>
        <v>115701.11887347278</v>
      </c>
      <c r="Y83" s="169">
        <f>IF(Y$81="","",Underwriting!AD197)</f>
        <v>237013.31920053504</v>
      </c>
      <c r="Z83" s="169">
        <f>IF(Z$81="","",Underwriting!AE197)</f>
        <v>360549.10596119048</v>
      </c>
      <c r="AA83" s="169">
        <f>IF(AA$81="","",Underwriting!AF197)</f>
        <v>483187.56621831126</v>
      </c>
      <c r="AB83" s="169">
        <f>IF(AB$81="","",Underwriting!AG197)</f>
        <v>601912.32399413048</v>
      </c>
      <c r="AC83" s="169">
        <f>IF(AC$81="","",Underwriting!AH197)</f>
        <v>714039.43415342038</v>
      </c>
      <c r="AD83" s="169">
        <f>IF(AD$81="","",Underwriting!AI197)</f>
        <v>817402.60803965235</v>
      </c>
      <c r="AE83" s="169">
        <f>IF(AE$81="","",Underwriting!AJ197)</f>
        <v>910474.86386721127</v>
      </c>
      <c r="AF83" s="169">
        <f>IF(AF$81="","",Underwriting!AK197)</f>
        <v>992416.44863405079</v>
      </c>
      <c r="AG83" s="169">
        <f>IF(AG$81="","",Underwriting!AL197)</f>
        <v>1063050.5578506391</v>
      </c>
      <c r="AH83" s="169">
        <f>IF(AH$81="","",Underwriting!AM197)</f>
        <v>1122778.6445971273</v>
      </c>
      <c r="AI83" s="169">
        <f>IF(AI$81="","",Underwriting!AN197)</f>
        <v>1172454.1551248583</v>
      </c>
      <c r="AJ83" s="169">
        <f>IF(AJ$81="","",Underwriting!AO197)</f>
        <v>1213236.4529502403</v>
      </c>
      <c r="AK83" s="169">
        <f>IF(AK$81="","",Underwriting!AP197)</f>
        <v>1246445.590769737</v>
      </c>
      <c r="AL83" s="169">
        <f>IF(AL$81="","",Underwriting!AQ197)</f>
        <v>1273434.3731891497</v>
      </c>
      <c r="AM83" s="169">
        <f>IF(AM$81="","",Underwriting!AR197)</f>
        <v>1295488.2043971091</v>
      </c>
      <c r="AN83" s="169">
        <f>IF(AN$81="","",Underwriting!AS197)</f>
        <v>1313756.9791350754</v>
      </c>
      <c r="AO83" s="169">
        <f>IF(AO$81="","",Underwriting!AT197)</f>
        <v>1329217.926905453</v>
      </c>
      <c r="AP83" s="169">
        <f>IF(AP$81="","",Underwriting!AU197)</f>
        <v>1342664.5672885992</v>
      </c>
      <c r="AQ83" s="169">
        <f>IF(AQ$81="","",Underwriting!AV197)</f>
        <v>1354714.9873229272</v>
      </c>
      <c r="AR83" s="169">
        <f>IF(AR$81="","",Underwriting!AW197)</f>
        <v>1365832.3114973707</v>
      </c>
      <c r="AS83" s="169">
        <f>IF(AS$81="","",Underwriting!AX197)</f>
        <v>1373230.5698513146</v>
      </c>
      <c r="AT83" s="169">
        <f>IF(AT$81="","",Underwriting!AY197)</f>
        <v>1380668.902104676</v>
      </c>
      <c r="AU83" s="169">
        <f>IF(AU$81="","",Underwriting!AZ197)</f>
        <v>1388147.5253244096</v>
      </c>
      <c r="AV83" s="169">
        <f>IF(AV$81="","",Underwriting!BA197)</f>
        <v>1395666.6577532501</v>
      </c>
      <c r="AW83" s="169">
        <f>IF(AW$81="","",Underwriting!BB197)</f>
        <v>1403226.5188160802</v>
      </c>
      <c r="AX83" s="169">
        <f>IF(AX$81="","",Underwriting!BC197)</f>
        <v>1410827.3291263341</v>
      </c>
      <c r="AY83" s="169">
        <f>IF(AY$81="","",Underwriting!BD197)</f>
        <v>1418469.3104924352</v>
      </c>
      <c r="AZ83" s="169">
        <f>IF(AZ$81="","",Underwriting!BE197)</f>
        <v>1426152.685924269</v>
      </c>
      <c r="BA83" s="169">
        <f>IF(BA$81="","",Underwriting!BF197)</f>
        <v>1433877.6796396922</v>
      </c>
      <c r="BB83" s="169">
        <f>IF(BB$81="","",Underwriting!BG197)</f>
        <v>1441644.5170710739</v>
      </c>
      <c r="BC83" s="169">
        <f>IF(BC$81="","",Underwriting!BH197)</f>
        <v>1449453.4248718752</v>
      </c>
      <c r="BD83" s="169">
        <f>IF(BD$81="","",Underwriting!BI197)</f>
        <v>1457304.6309232647</v>
      </c>
      <c r="BE83" s="169">
        <f>IF(BE$81="","",Underwriting!BJ197)</f>
        <v>1465198.3643407656</v>
      </c>
      <c r="BF83" s="169">
        <f>IF(BF$81="","",Underwriting!BK197)</f>
        <v>1473134.855480945</v>
      </c>
      <c r="BG83" s="169">
        <f>IF(BG$81="","",Underwriting!BL197)</f>
        <v>1481114.3359481336</v>
      </c>
      <c r="BH83" s="169">
        <f>IF(BH$81="","",Underwriting!BM197)</f>
        <v>1489137.0386011859</v>
      </c>
      <c r="BI83" s="169">
        <f>IF(BI$81="","",Underwriting!BN197)</f>
        <v>1497203.1975602752</v>
      </c>
      <c r="BJ83" s="169">
        <f>IF(BJ$81="","",Underwriting!BO197)</f>
        <v>1505313.0482137268</v>
      </c>
      <c r="BK83" s="169">
        <f>IF(BK$81="","",Underwriting!BP197)</f>
        <v>1513466.8272248844</v>
      </c>
      <c r="BL83" s="169">
        <f>IF(BL$81="","",Underwriting!BQ197)</f>
        <v>1521664.7725390194</v>
      </c>
      <c r="BM83" s="169">
        <f>IF(BM$81="","",Underwriting!BR197)</f>
        <v>1529907.1233902723</v>
      </c>
      <c r="BN83" s="169">
        <f>IF(BN$81="","",Underwriting!BS197)</f>
        <v>1538194.1203086365</v>
      </c>
      <c r="BO83" s="169">
        <f>IF(BO$81="","",Underwriting!BT197)</f>
        <v>1546526.0051269748</v>
      </c>
      <c r="BP83" s="169">
        <f>IF(BP$81="","",Underwriting!BU197)</f>
        <v>1554903.020988079</v>
      </c>
      <c r="BQ83" s="169" t="str">
        <f>IF(BQ$81="","",Underwriting!BV197)</f>
        <v/>
      </c>
      <c r="BR83" s="169" t="str">
        <f>IF(BR$81="","",Underwriting!BW197)</f>
        <v/>
      </c>
      <c r="BS83" s="169" t="str">
        <f>IF(BS$81="","",Underwriting!BX197)</f>
        <v/>
      </c>
      <c r="BT83" s="169" t="str">
        <f>IF(BT$81="","",Underwriting!BY197)</f>
        <v/>
      </c>
      <c r="BU83" s="169" t="str">
        <f>IF(BU$81="","",Underwriting!BZ197)</f>
        <v/>
      </c>
      <c r="BV83" s="169" t="str">
        <f>IF(BV$81="","",Underwriting!CA197)</f>
        <v/>
      </c>
      <c r="BW83" s="169" t="str">
        <f>IF(BW$81="","",Underwriting!CB197)</f>
        <v/>
      </c>
      <c r="BX83" s="169" t="str">
        <f>IF(BX$81="","",Underwriting!CC197)</f>
        <v/>
      </c>
      <c r="BY83" s="169" t="str">
        <f>IF(BY$81="","",Underwriting!CD197)</f>
        <v/>
      </c>
      <c r="BZ83" s="169" t="str">
        <f>IF(BZ$81="","",Underwriting!CE197)</f>
        <v/>
      </c>
      <c r="CA83" s="169" t="str">
        <f>IF(CA$81="","",Underwriting!CF197)</f>
        <v/>
      </c>
      <c r="CB83" s="169" t="str">
        <f>IF(CB$81="","",Underwriting!CG197)</f>
        <v/>
      </c>
      <c r="CC83" s="169" t="str">
        <f>IF(CC$81="","",Underwriting!CH197)</f>
        <v/>
      </c>
      <c r="CD83" s="169" t="str">
        <f>IF(CD$81="","",Underwriting!CI197)</f>
        <v/>
      </c>
      <c r="CE83" s="169" t="str">
        <f>IF(CE$81="","",Underwriting!CJ197)</f>
        <v/>
      </c>
      <c r="CF83" s="169" t="str">
        <f>IF(CF$81="","",Underwriting!CK197)</f>
        <v/>
      </c>
      <c r="CG83" s="169" t="str">
        <f>IF(CG$81="","",Underwriting!CL197)</f>
        <v/>
      </c>
      <c r="CH83" s="169" t="str">
        <f>IF(CH$81="","",Underwriting!CM197)</f>
        <v/>
      </c>
      <c r="CI83" s="169" t="str">
        <f>IF(CI$81="","",Underwriting!CN197)</f>
        <v/>
      </c>
      <c r="CJ83" s="169" t="str">
        <f>IF(CJ$81="","",Underwriting!CO197)</f>
        <v/>
      </c>
      <c r="CK83" s="169" t="str">
        <f>IF(CK$81="","",Underwriting!CP197)</f>
        <v/>
      </c>
      <c r="CL83" s="169" t="str">
        <f>IF(CL$81="","",Underwriting!CQ197)</f>
        <v/>
      </c>
      <c r="CM83" s="169" t="str">
        <f>IF(CM$81="","",Underwriting!CR197)</f>
        <v/>
      </c>
      <c r="CN83" s="169" t="str">
        <f>IF(CN$81="","",Underwriting!CS197)</f>
        <v/>
      </c>
      <c r="CO83" s="169" t="str">
        <f>IF(CO$81="","",Underwriting!CT197)</f>
        <v/>
      </c>
      <c r="CP83" s="169" t="str">
        <f>IF(CP$81="","",Underwriting!CU197)</f>
        <v/>
      </c>
      <c r="CQ83" s="169" t="str">
        <f>IF(CQ$81="","",Underwriting!CV197)</f>
        <v/>
      </c>
      <c r="CR83" s="169" t="str">
        <f>IF(CR$81="","",Underwriting!CW197)</f>
        <v/>
      </c>
      <c r="CS83" s="169" t="str">
        <f>IF(CS$81="","",Underwriting!CX197)</f>
        <v/>
      </c>
      <c r="CT83" s="169" t="str">
        <f>IF(CT$81="","",Underwriting!CY197)</f>
        <v/>
      </c>
      <c r="CU83" s="169" t="str">
        <f>IF(CU$81="","",Underwriting!CZ197)</f>
        <v/>
      </c>
      <c r="CV83" s="169" t="str">
        <f>IF(CV$81="","",Underwriting!DA197)</f>
        <v/>
      </c>
      <c r="CW83" s="169" t="str">
        <f>IF(CW$81="","",Underwriting!DB197)</f>
        <v/>
      </c>
      <c r="CX83" s="169" t="str">
        <f>IF(CX$81="","",Underwriting!DC197)</f>
        <v/>
      </c>
      <c r="CY83" s="169" t="str">
        <f>IF(CY$81="","",Underwriting!DD197)</f>
        <v/>
      </c>
      <c r="CZ83" s="169" t="str">
        <f>IF(CZ$81="","",Underwriting!DE197)</f>
        <v/>
      </c>
      <c r="DA83" s="169" t="str">
        <f>IF(DA$81="","",Underwriting!DF197)</f>
        <v/>
      </c>
      <c r="DB83" s="169" t="str">
        <f>IF(DB$81="","",Underwriting!DG197)</f>
        <v/>
      </c>
      <c r="DC83" s="169" t="str">
        <f>IF(DC$81="","",Underwriting!DH197)</f>
        <v/>
      </c>
      <c r="DD83" s="169" t="str">
        <f>IF(DD$81="","",Underwriting!DI197)</f>
        <v/>
      </c>
      <c r="DE83" s="169" t="str">
        <f>IF(DE$81="","",Underwriting!DJ197)</f>
        <v/>
      </c>
      <c r="DF83" s="169" t="str">
        <f>IF(DF$81="","",Underwriting!DK197)</f>
        <v/>
      </c>
      <c r="DG83" s="169" t="str">
        <f>IF(DG$81="","",Underwriting!DL197)</f>
        <v/>
      </c>
      <c r="DH83" s="169" t="str">
        <f>IF(DH$81="","",Underwriting!DM197)</f>
        <v/>
      </c>
      <c r="DI83" s="169" t="str">
        <f>IF(DI$81="","",Underwriting!DN197)</f>
        <v/>
      </c>
      <c r="DJ83" s="169" t="str">
        <f>IF(DJ$81="","",Underwriting!DO197)</f>
        <v/>
      </c>
      <c r="DK83" s="169" t="str">
        <f>IF(DK$81="","",Underwriting!DP197)</f>
        <v/>
      </c>
      <c r="DL83" s="169" t="str">
        <f>IF(DL$81="","",Underwriting!DQ197)</f>
        <v/>
      </c>
      <c r="DM83" s="169" t="str">
        <f>IF(DM$81="","",Underwriting!DR197)</f>
        <v/>
      </c>
      <c r="DN83" s="169" t="str">
        <f>IF(DN$81="","",Underwriting!DS197)</f>
        <v/>
      </c>
      <c r="DO83" s="169" t="str">
        <f>IF(DO$81="","",Underwriting!DT197)</f>
        <v/>
      </c>
      <c r="DP83" s="169" t="str">
        <f>IF(DP$81="","",Underwriting!DU197)</f>
        <v/>
      </c>
      <c r="DQ83" s="169" t="str">
        <f>IF(DQ$81="","",Underwriting!DV197)</f>
        <v/>
      </c>
      <c r="DR83" s="169" t="str">
        <f>IF(DR$81="","",Underwriting!DW197)</f>
        <v/>
      </c>
      <c r="DS83" s="169" t="str">
        <f>IF(DS$81="","",Underwriting!DX197)</f>
        <v/>
      </c>
      <c r="DT83" s="169" t="str">
        <f>IF(DT$81="","",Underwriting!DY197)</f>
        <v/>
      </c>
      <c r="DU83" s="169" t="str">
        <f>IF(DU$81="","",Underwriting!DZ197)</f>
        <v/>
      </c>
      <c r="DV83" s="169" t="str">
        <f>IF(DV$81="","",Underwriting!EA197)</f>
        <v/>
      </c>
      <c r="DW83" s="169" t="str">
        <f>IF(DW$81="","",Underwriting!EB197)</f>
        <v/>
      </c>
      <c r="DX83" s="169" t="str">
        <f>IF(DX$81="","",Underwriting!EC197)</f>
        <v/>
      </c>
      <c r="DY83" s="169" t="str">
        <f>IF(DY$81="","",Underwriting!ED197)</f>
        <v/>
      </c>
      <c r="DZ83" s="169" t="str">
        <f>IF(DZ$81="","",Underwriting!EE197)</f>
        <v/>
      </c>
      <c r="EA83" s="169" t="str">
        <f>IF(EA$81="","",Underwriting!EF197)</f>
        <v/>
      </c>
      <c r="EB83" s="169" t="str">
        <f>IF(EB$81="","",Underwriting!EG197)</f>
        <v/>
      </c>
      <c r="EC83" s="169" t="str">
        <f>IF(EC$81="","",Underwriting!EH197)</f>
        <v/>
      </c>
      <c r="ED83" s="169" t="str">
        <f>IF(ED$81="","",Underwriting!EI197)</f>
        <v/>
      </c>
      <c r="EE83" s="169" t="str">
        <f>IF(EE$81="","",Underwriting!EJ197)</f>
        <v/>
      </c>
      <c r="EF83" s="169" t="str">
        <f>IF(EF$81="","",Underwriting!EK197)</f>
        <v/>
      </c>
      <c r="EG83" s="169" t="str">
        <f>IF(EG$81="","",Underwriting!EL197)</f>
        <v/>
      </c>
      <c r="EH83" s="169" t="str">
        <f>IF(EH$81="","",Underwriting!EM197)</f>
        <v/>
      </c>
      <c r="EI83" s="169" t="str">
        <f>IF(EI$81="","",Underwriting!EN197)</f>
        <v/>
      </c>
    </row>
    <row r="84" spans="2:139" x14ac:dyDescent="0.35">
      <c r="B84" s="34"/>
      <c r="C84" s="4"/>
      <c r="D84" s="4"/>
      <c r="E84" s="4"/>
      <c r="F84" s="4"/>
      <c r="G84" s="171"/>
      <c r="H84" s="171"/>
      <c r="I84" s="171"/>
      <c r="J84" s="171"/>
      <c r="K84" s="171"/>
      <c r="L84" s="171"/>
      <c r="M84" s="171"/>
      <c r="N84" s="171"/>
      <c r="O84" s="171"/>
      <c r="P84" s="171"/>
      <c r="Q84" s="171"/>
      <c r="R84" s="171"/>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c r="BL84" s="169"/>
      <c r="BM84" s="169"/>
      <c r="BN84" s="169"/>
      <c r="BO84" s="169"/>
      <c r="BP84" s="169"/>
      <c r="BQ84" s="169"/>
      <c r="BR84" s="169"/>
      <c r="BS84" s="169"/>
      <c r="BT84" s="169"/>
      <c r="BU84" s="169"/>
      <c r="BV84" s="169"/>
      <c r="BW84" s="169"/>
      <c r="BX84" s="169"/>
      <c r="BY84" s="169"/>
      <c r="BZ84" s="169"/>
      <c r="CA84" s="169"/>
      <c r="CB84" s="169"/>
      <c r="CC84" s="169"/>
      <c r="CD84" s="169"/>
      <c r="CE84" s="169"/>
      <c r="CF84" s="169"/>
      <c r="CG84" s="169"/>
      <c r="CH84" s="169"/>
      <c r="CI84" s="169"/>
      <c r="CJ84" s="169"/>
      <c r="CK84" s="169"/>
      <c r="CL84" s="169"/>
      <c r="CM84" s="169"/>
      <c r="CN84" s="169"/>
      <c r="CO84" s="169"/>
      <c r="CP84" s="169"/>
      <c r="CQ84" s="169"/>
      <c r="CR84" s="169"/>
      <c r="CS84" s="169"/>
      <c r="CT84" s="169"/>
      <c r="CU84" s="169"/>
      <c r="CV84" s="169"/>
      <c r="CW84" s="169"/>
      <c r="CX84" s="169"/>
      <c r="CY84" s="169"/>
      <c r="CZ84" s="169"/>
      <c r="DA84" s="169"/>
      <c r="DB84" s="169"/>
      <c r="DC84" s="169"/>
      <c r="DD84" s="169"/>
      <c r="DE84" s="169"/>
      <c r="DF84" s="169"/>
      <c r="DG84" s="169"/>
      <c r="DH84" s="169"/>
      <c r="DI84" s="169"/>
      <c r="DJ84" s="169"/>
      <c r="DK84" s="169"/>
      <c r="DL84" s="169"/>
      <c r="DM84" s="169"/>
      <c r="DN84" s="169"/>
      <c r="DO84" s="169"/>
      <c r="DP84" s="169"/>
      <c r="DQ84" s="169"/>
      <c r="DR84" s="169"/>
      <c r="DS84" s="169"/>
      <c r="DT84" s="169"/>
      <c r="DU84" s="169"/>
      <c r="DV84" s="169"/>
      <c r="DW84" s="169"/>
      <c r="DX84" s="169"/>
      <c r="DY84" s="169"/>
      <c r="DZ84" s="169"/>
      <c r="EA84" s="169"/>
      <c r="EB84" s="169"/>
      <c r="EC84" s="169"/>
      <c r="ED84" s="169"/>
      <c r="EE84" s="169"/>
      <c r="EF84" s="169"/>
      <c r="EG84" s="169"/>
      <c r="EH84" s="169"/>
      <c r="EI84" s="169"/>
    </row>
    <row r="85" spans="2:139" x14ac:dyDescent="0.35">
      <c r="B85" s="34" t="s">
        <v>515</v>
      </c>
      <c r="C85" s="4"/>
      <c r="D85" s="4"/>
      <c r="E85" s="4"/>
      <c r="F85" s="4"/>
      <c r="G85" s="171">
        <f>IF(G$81="","",Underwriting!L199)</f>
        <v>16628131.21831876</v>
      </c>
      <c r="H85" s="171">
        <f>IF(H$81="","",Underwriting!M199)</f>
        <v>952590.63109591056</v>
      </c>
      <c r="I85" s="171">
        <f>IF(I$81="","",Underwriting!N199)</f>
        <v>1153238.7592138182</v>
      </c>
      <c r="J85" s="171">
        <f>IF(J$81="","",Underwriting!O199)</f>
        <v>1593255.3182424391</v>
      </c>
      <c r="K85" s="171">
        <f>IF(K$81="","",Underwriting!P199)</f>
        <v>2151126.2631915766</v>
      </c>
      <c r="L85" s="171">
        <f>IF(L$81="","",Underwriting!Q199)</f>
        <v>2898639.7829110157</v>
      </c>
      <c r="M85" s="171">
        <f>IF(M$81="","",Underwriting!R199)</f>
        <v>3868810.0707379892</v>
      </c>
      <c r="N85" s="171">
        <f>IF(N$81="","",Underwriting!S199)</f>
        <v>5087252.4296078607</v>
      </c>
      <c r="O85" s="171">
        <f>IF(O$81="","",Underwriting!T199)</f>
        <v>6566224.3704085397</v>
      </c>
      <c r="P85" s="171">
        <f>IF(P$81="","",Underwriting!U199)</f>
        <v>8298517.1205737963</v>
      </c>
      <c r="Q85" s="171">
        <f>IF(Q$81="","",Underwriting!V199)</f>
        <v>10252240.165656256</v>
      </c>
      <c r="R85" s="171">
        <f>IF(R$81="","",Underwriting!W199)</f>
        <v>12367698.147663975</v>
      </c>
      <c r="S85" s="169">
        <f>IF(S$81="","",Underwriting!X199)</f>
        <v>14557484.657830048</v>
      </c>
      <c r="T85" s="169">
        <f>IF(T$81="","",Underwriting!Y199)</f>
        <v>14432335.04440251</v>
      </c>
      <c r="U85" s="169">
        <f>IF(U$81="","",Underwriting!Z199)</f>
        <v>9350243.9477226138</v>
      </c>
      <c r="V85" s="169">
        <f>IF(V$81="","",Underwriting!AA199)</f>
        <v>10198571.003748894</v>
      </c>
      <c r="W85" s="169">
        <f>IF(W$81="","",Underwriting!AB199)</f>
        <v>10840288.090406999</v>
      </c>
      <c r="X85" s="169">
        <f>IF(X$81="","",Underwriting!AC199)</f>
        <v>11227475.507889703</v>
      </c>
      <c r="Y85" s="169">
        <f>IF(Y$81="","",Underwriting!AD199)</f>
        <v>11330171.302228957</v>
      </c>
      <c r="Z85" s="169">
        <f>IF(Z$81="","",Underwriting!AE199)</f>
        <v>11140198.701522857</v>
      </c>
      <c r="AA85" s="169">
        <f>IF(AA$81="","",Underwriting!AF199)</f>
        <v>10717614.626966476</v>
      </c>
      <c r="AB85" s="169">
        <f>IF(AB$81="","",Underwriting!AG199)</f>
        <v>10139987.759013325</v>
      </c>
      <c r="AC85" s="169">
        <f>IF(AC$81="","",Underwriting!AH199)</f>
        <v>9358749.9466937482</v>
      </c>
      <c r="AD85" s="169">
        <f>IF(AD$81="","",Underwriting!AI199)</f>
        <v>8427930.7761743367</v>
      </c>
      <c r="AE85" s="169">
        <f>IF(AE$81="","",Underwriting!AJ199)</f>
        <v>7407265.9255515635</v>
      </c>
      <c r="AF85" s="169">
        <f>IF(AF$81="","",Underwriting!AK199)</f>
        <v>6355958.6232007742</v>
      </c>
      <c r="AG85" s="169">
        <f>IF(AG$81="","",Underwriting!AL199)</f>
        <v>5327231.8471754789</v>
      </c>
      <c r="AH85" s="169">
        <f>IF(AH$81="","",Underwriting!AM199)</f>
        <v>4364324.7526958287</v>
      </c>
      <c r="AI85" s="169">
        <f>IF(AI$81="","",Underwriting!AN199)</f>
        <v>3498264.0780161023</v>
      </c>
      <c r="AJ85" s="169">
        <f>IF(AJ$81="","",Underwriting!AO199)</f>
        <v>2747407.6656336188</v>
      </c>
      <c r="AK85" s="169">
        <f>IF(AK$81="","",Underwriting!AP199)</f>
        <v>1224305.0030850768</v>
      </c>
      <c r="AL85" s="169">
        <f>IF(AL$81="","",Underwriting!AQ199)</f>
        <v>209638.92700129747</v>
      </c>
      <c r="AM85" s="169">
        <f>IF(AM$81="","",Underwriting!AR199)</f>
        <v>169571.13126644492</v>
      </c>
      <c r="AN85" s="169">
        <f>IF(AN$81="","",Underwriting!AS199)</f>
        <v>132711.21484693885</v>
      </c>
      <c r="AO85" s="169">
        <f>IF(AO$81="","",Underwriting!AT199)</f>
        <v>100597.62539994717</v>
      </c>
      <c r="AP85" s="169">
        <f>IF(AP$81="","",Underwriting!AU199)</f>
        <v>73917.592887252569</v>
      </c>
      <c r="AQ85" s="169">
        <f>IF(AQ$81="","",Underwriting!AV199)</f>
        <v>52683.47823086381</v>
      </c>
      <c r="AR85" s="169">
        <f>IF(AR$81="","",Underwriting!AW199)</f>
        <v>0</v>
      </c>
      <c r="AS85" s="169">
        <f>IF(AS$81="","",Underwriting!AX199)</f>
        <v>0</v>
      </c>
      <c r="AT85" s="169">
        <f>IF(AT$81="","",Underwriting!AY199)</f>
        <v>0</v>
      </c>
      <c r="AU85" s="169">
        <f>IF(AU$81="","",Underwriting!AZ199)</f>
        <v>0</v>
      </c>
      <c r="AV85" s="169">
        <f>IF(AV$81="","",Underwriting!BA199)</f>
        <v>0</v>
      </c>
      <c r="AW85" s="169">
        <f>IF(AW$81="","",Underwriting!BB199)</f>
        <v>0</v>
      </c>
      <c r="AX85" s="169">
        <f>IF(AX$81="","",Underwriting!BC199)</f>
        <v>0</v>
      </c>
      <c r="AY85" s="169">
        <f>IF(AY$81="","",Underwriting!BD199)</f>
        <v>0</v>
      </c>
      <c r="AZ85" s="169">
        <f>IF(AZ$81="","",Underwriting!BE199)</f>
        <v>0</v>
      </c>
      <c r="BA85" s="169">
        <f>IF(BA$81="","",Underwriting!BF199)</f>
        <v>0</v>
      </c>
      <c r="BB85" s="169">
        <f>IF(BB$81="","",Underwriting!BG199)</f>
        <v>0</v>
      </c>
      <c r="BC85" s="169">
        <f>IF(BC$81="","",Underwriting!BH199)</f>
        <v>0</v>
      </c>
      <c r="BD85" s="169">
        <f>IF(BD$81="","",Underwriting!BI199)</f>
        <v>0</v>
      </c>
      <c r="BE85" s="169">
        <f>IF(BE$81="","",Underwriting!BJ199)</f>
        <v>0</v>
      </c>
      <c r="BF85" s="169">
        <f>IF(BF$81="","",Underwriting!BK199)</f>
        <v>0</v>
      </c>
      <c r="BG85" s="169">
        <f>IF(BG$81="","",Underwriting!BL199)</f>
        <v>0</v>
      </c>
      <c r="BH85" s="169">
        <f>IF(BH$81="","",Underwriting!BM199)</f>
        <v>0</v>
      </c>
      <c r="BI85" s="169">
        <f>IF(BI$81="","",Underwriting!BN199)</f>
        <v>0</v>
      </c>
      <c r="BJ85" s="169">
        <f>IF(BJ$81="","",Underwriting!BO199)</f>
        <v>0</v>
      </c>
      <c r="BK85" s="169">
        <f>IF(BK$81="","",Underwriting!BP199)</f>
        <v>0</v>
      </c>
      <c r="BL85" s="169">
        <f>IF(BL$81="","",Underwriting!BQ199)</f>
        <v>0</v>
      </c>
      <c r="BM85" s="169">
        <f>IF(BM$81="","",Underwriting!BR199)</f>
        <v>0</v>
      </c>
      <c r="BN85" s="169">
        <f>IF(BN$81="","",Underwriting!BS199)</f>
        <v>0</v>
      </c>
      <c r="BO85" s="169">
        <f>IF(BO$81="","",Underwriting!BT199)</f>
        <v>0</v>
      </c>
      <c r="BP85" s="169">
        <f>IF(BP$81="","",Underwriting!BU199)</f>
        <v>0</v>
      </c>
      <c r="BQ85" s="169" t="str">
        <f>IF(BQ$81="","",Underwriting!BV199)</f>
        <v/>
      </c>
      <c r="BR85" s="169" t="str">
        <f>IF(BR$81="","",Underwriting!BW199)</f>
        <v/>
      </c>
      <c r="BS85" s="169" t="str">
        <f>IF(BS$81="","",Underwriting!BX199)</f>
        <v/>
      </c>
      <c r="BT85" s="169" t="str">
        <f>IF(BT$81="","",Underwriting!BY199)</f>
        <v/>
      </c>
      <c r="BU85" s="169" t="str">
        <f>IF(BU$81="","",Underwriting!BZ199)</f>
        <v/>
      </c>
      <c r="BV85" s="169" t="str">
        <f>IF(BV$81="","",Underwriting!CA199)</f>
        <v/>
      </c>
      <c r="BW85" s="169" t="str">
        <f>IF(BW$81="","",Underwriting!CB199)</f>
        <v/>
      </c>
      <c r="BX85" s="169" t="str">
        <f>IF(BX$81="","",Underwriting!CC199)</f>
        <v/>
      </c>
      <c r="BY85" s="169" t="str">
        <f>IF(BY$81="","",Underwriting!CD199)</f>
        <v/>
      </c>
      <c r="BZ85" s="169" t="str">
        <f>IF(BZ$81="","",Underwriting!CE199)</f>
        <v/>
      </c>
      <c r="CA85" s="169" t="str">
        <f>IF(CA$81="","",Underwriting!CF199)</f>
        <v/>
      </c>
      <c r="CB85" s="169" t="str">
        <f>IF(CB$81="","",Underwriting!CG199)</f>
        <v/>
      </c>
      <c r="CC85" s="169" t="str">
        <f>IF(CC$81="","",Underwriting!CH199)</f>
        <v/>
      </c>
      <c r="CD85" s="169" t="str">
        <f>IF(CD$81="","",Underwriting!CI199)</f>
        <v/>
      </c>
      <c r="CE85" s="169" t="str">
        <f>IF(CE$81="","",Underwriting!CJ199)</f>
        <v/>
      </c>
      <c r="CF85" s="169" t="str">
        <f>IF(CF$81="","",Underwriting!CK199)</f>
        <v/>
      </c>
      <c r="CG85" s="169" t="str">
        <f>IF(CG$81="","",Underwriting!CL199)</f>
        <v/>
      </c>
      <c r="CH85" s="169" t="str">
        <f>IF(CH$81="","",Underwriting!CM199)</f>
        <v/>
      </c>
      <c r="CI85" s="169" t="str">
        <f>IF(CI$81="","",Underwriting!CN199)</f>
        <v/>
      </c>
      <c r="CJ85" s="169" t="str">
        <f>IF(CJ$81="","",Underwriting!CO199)</f>
        <v/>
      </c>
      <c r="CK85" s="169" t="str">
        <f>IF(CK$81="","",Underwriting!CP199)</f>
        <v/>
      </c>
      <c r="CL85" s="169" t="str">
        <f>IF(CL$81="","",Underwriting!CQ199)</f>
        <v/>
      </c>
      <c r="CM85" s="169" t="str">
        <f>IF(CM$81="","",Underwriting!CR199)</f>
        <v/>
      </c>
      <c r="CN85" s="169" t="str">
        <f>IF(CN$81="","",Underwriting!CS199)</f>
        <v/>
      </c>
      <c r="CO85" s="169" t="str">
        <f>IF(CO$81="","",Underwriting!CT199)</f>
        <v/>
      </c>
      <c r="CP85" s="169" t="str">
        <f>IF(CP$81="","",Underwriting!CU199)</f>
        <v/>
      </c>
      <c r="CQ85" s="169" t="str">
        <f>IF(CQ$81="","",Underwriting!CV199)</f>
        <v/>
      </c>
      <c r="CR85" s="169" t="str">
        <f>IF(CR$81="","",Underwriting!CW199)</f>
        <v/>
      </c>
      <c r="CS85" s="169" t="str">
        <f>IF(CS$81="","",Underwriting!CX199)</f>
        <v/>
      </c>
      <c r="CT85" s="169" t="str">
        <f>IF(CT$81="","",Underwriting!CY199)</f>
        <v/>
      </c>
      <c r="CU85" s="169" t="str">
        <f>IF(CU$81="","",Underwriting!CZ199)</f>
        <v/>
      </c>
      <c r="CV85" s="169" t="str">
        <f>IF(CV$81="","",Underwriting!DA199)</f>
        <v/>
      </c>
      <c r="CW85" s="169" t="str">
        <f>IF(CW$81="","",Underwriting!DB199)</f>
        <v/>
      </c>
      <c r="CX85" s="169" t="str">
        <f>IF(CX$81="","",Underwriting!DC199)</f>
        <v/>
      </c>
      <c r="CY85" s="169" t="str">
        <f>IF(CY$81="","",Underwriting!DD199)</f>
        <v/>
      </c>
      <c r="CZ85" s="169" t="str">
        <f>IF(CZ$81="","",Underwriting!DE199)</f>
        <v/>
      </c>
      <c r="DA85" s="169" t="str">
        <f>IF(DA$81="","",Underwriting!DF199)</f>
        <v/>
      </c>
      <c r="DB85" s="169" t="str">
        <f>IF(DB$81="","",Underwriting!DG199)</f>
        <v/>
      </c>
      <c r="DC85" s="169" t="str">
        <f>IF(DC$81="","",Underwriting!DH199)</f>
        <v/>
      </c>
      <c r="DD85" s="169" t="str">
        <f>IF(DD$81="","",Underwriting!DI199)</f>
        <v/>
      </c>
      <c r="DE85" s="169" t="str">
        <f>IF(DE$81="","",Underwriting!DJ199)</f>
        <v/>
      </c>
      <c r="DF85" s="169" t="str">
        <f>IF(DF$81="","",Underwriting!DK199)</f>
        <v/>
      </c>
      <c r="DG85" s="169" t="str">
        <f>IF(DG$81="","",Underwriting!DL199)</f>
        <v/>
      </c>
      <c r="DH85" s="169" t="str">
        <f>IF(DH$81="","",Underwriting!DM199)</f>
        <v/>
      </c>
      <c r="DI85" s="169" t="str">
        <f>IF(DI$81="","",Underwriting!DN199)</f>
        <v/>
      </c>
      <c r="DJ85" s="169" t="str">
        <f>IF(DJ$81="","",Underwriting!DO199)</f>
        <v/>
      </c>
      <c r="DK85" s="169" t="str">
        <f>IF(DK$81="","",Underwriting!DP199)</f>
        <v/>
      </c>
      <c r="DL85" s="169" t="str">
        <f>IF(DL$81="","",Underwriting!DQ199)</f>
        <v/>
      </c>
      <c r="DM85" s="169" t="str">
        <f>IF(DM$81="","",Underwriting!DR199)</f>
        <v/>
      </c>
      <c r="DN85" s="169" t="str">
        <f>IF(DN$81="","",Underwriting!DS199)</f>
        <v/>
      </c>
      <c r="DO85" s="169" t="str">
        <f>IF(DO$81="","",Underwriting!DT199)</f>
        <v/>
      </c>
      <c r="DP85" s="169" t="str">
        <f>IF(DP$81="","",Underwriting!DU199)</f>
        <v/>
      </c>
      <c r="DQ85" s="169" t="str">
        <f>IF(DQ$81="","",Underwriting!DV199)</f>
        <v/>
      </c>
      <c r="DR85" s="169" t="str">
        <f>IF(DR$81="","",Underwriting!DW199)</f>
        <v/>
      </c>
      <c r="DS85" s="169" t="str">
        <f>IF(DS$81="","",Underwriting!DX199)</f>
        <v/>
      </c>
      <c r="DT85" s="169" t="str">
        <f>IF(DT$81="","",Underwriting!DY199)</f>
        <v/>
      </c>
      <c r="DU85" s="169" t="str">
        <f>IF(DU$81="","",Underwriting!DZ199)</f>
        <v/>
      </c>
      <c r="DV85" s="169" t="str">
        <f>IF(DV$81="","",Underwriting!EA199)</f>
        <v/>
      </c>
      <c r="DW85" s="169" t="str">
        <f>IF(DW$81="","",Underwriting!EB199)</f>
        <v/>
      </c>
      <c r="DX85" s="169" t="str">
        <f>IF(DX$81="","",Underwriting!EC199)</f>
        <v/>
      </c>
      <c r="DY85" s="169" t="str">
        <f>IF(DY$81="","",Underwriting!ED199)</f>
        <v/>
      </c>
      <c r="DZ85" s="169" t="str">
        <f>IF(DZ$81="","",Underwriting!EE199)</f>
        <v/>
      </c>
      <c r="EA85" s="169" t="str">
        <f>IF(EA$81="","",Underwriting!EF199)</f>
        <v/>
      </c>
      <c r="EB85" s="169" t="str">
        <f>IF(EB$81="","",Underwriting!EG199)</f>
        <v/>
      </c>
      <c r="EC85" s="169" t="str">
        <f>IF(EC$81="","",Underwriting!EH199)</f>
        <v/>
      </c>
      <c r="ED85" s="169" t="str">
        <f>IF(ED$81="","",Underwriting!EI199)</f>
        <v/>
      </c>
      <c r="EE85" s="169" t="str">
        <f>IF(EE$81="","",Underwriting!EJ199)</f>
        <v/>
      </c>
      <c r="EF85" s="169" t="str">
        <f>IF(EF$81="","",Underwriting!EK199)</f>
        <v/>
      </c>
      <c r="EG85" s="169" t="str">
        <f>IF(EG$81="","",Underwriting!EL199)</f>
        <v/>
      </c>
      <c r="EH85" s="169" t="str">
        <f>IF(EH$81="","",Underwriting!EM199)</f>
        <v/>
      </c>
      <c r="EI85" s="169" t="str">
        <f>IF(EI$81="","",Underwriting!EN199)</f>
        <v/>
      </c>
    </row>
    <row r="86" spans="2:139" x14ac:dyDescent="0.35">
      <c r="B86" s="34" t="s">
        <v>516</v>
      </c>
      <c r="C86" s="4"/>
      <c r="D86" s="4"/>
      <c r="E86" s="4"/>
      <c r="F86" s="4"/>
      <c r="G86" s="171">
        <f>IF(G$81="","",Underwriting!L53)</f>
        <v>0</v>
      </c>
      <c r="H86" s="171">
        <f>IF(H$81="","",Underwriting!M53)</f>
        <v>0</v>
      </c>
      <c r="I86" s="171">
        <f>IF(I$81="","",Underwriting!N53)</f>
        <v>0</v>
      </c>
      <c r="J86" s="171">
        <f>IF(J$81="","",Underwriting!O53)</f>
        <v>0</v>
      </c>
      <c r="K86" s="171">
        <f>IF(K$81="","",Underwriting!P53)</f>
        <v>0</v>
      </c>
      <c r="L86" s="171">
        <f>IF(L$81="","",Underwriting!Q53)</f>
        <v>0</v>
      </c>
      <c r="M86" s="171">
        <f>IF(M$81="","",Underwriting!R53)</f>
        <v>0</v>
      </c>
      <c r="N86" s="171">
        <f>IF(N$81="","",Underwriting!S53)</f>
        <v>0</v>
      </c>
      <c r="O86" s="171">
        <f>IF(O$81="","",Underwriting!T53)</f>
        <v>0</v>
      </c>
      <c r="P86" s="171">
        <f>IF(P$81="","",Underwriting!U53)</f>
        <v>0</v>
      </c>
      <c r="Q86" s="171">
        <f>IF(Q$81="","",Underwriting!V53)</f>
        <v>0</v>
      </c>
      <c r="R86" s="171">
        <f>IF(R$81="","",Underwriting!W53)</f>
        <v>0</v>
      </c>
      <c r="S86" s="169">
        <f>IF(S$81="","",Underwriting!X53)</f>
        <v>0</v>
      </c>
      <c r="T86" s="169">
        <f>IF(T$81="","",Underwriting!Y53)</f>
        <v>0</v>
      </c>
      <c r="U86" s="169">
        <f>IF(U$81="","",Underwriting!Z53)</f>
        <v>0</v>
      </c>
      <c r="V86" s="169">
        <f>IF(V$81="","",Underwriting!AA53)</f>
        <v>0</v>
      </c>
      <c r="W86" s="169">
        <f>IF(W$81="","",Underwriting!AB53)</f>
        <v>0</v>
      </c>
      <c r="X86" s="169">
        <f>IF(X$81="","",Underwriting!AC53)</f>
        <v>0</v>
      </c>
      <c r="Y86" s="169">
        <f>IF(Y$81="","",Underwriting!AD53)</f>
        <v>0</v>
      </c>
      <c r="Z86" s="169">
        <f>IF(Z$81="","",Underwriting!AE53)</f>
        <v>0</v>
      </c>
      <c r="AA86" s="169">
        <f>IF(AA$81="","",Underwriting!AF53)</f>
        <v>0</v>
      </c>
      <c r="AB86" s="169">
        <f>IF(AB$81="","",Underwriting!AG53)</f>
        <v>0</v>
      </c>
      <c r="AC86" s="169">
        <f>IF(AC$81="","",Underwriting!AH53)</f>
        <v>0</v>
      </c>
      <c r="AD86" s="169">
        <f>IF(AD$81="","",Underwriting!AI53)</f>
        <v>0</v>
      </c>
      <c r="AE86" s="169">
        <f>IF(AE$81="","",Underwriting!AJ53)</f>
        <v>0</v>
      </c>
      <c r="AF86" s="169">
        <f>IF(AF$81="","",Underwriting!AK53)</f>
        <v>0</v>
      </c>
      <c r="AG86" s="169">
        <f>IF(AG$81="","",Underwriting!AL53)</f>
        <v>0</v>
      </c>
      <c r="AH86" s="169">
        <f>IF(AH$81="","",Underwriting!AM53)</f>
        <v>0</v>
      </c>
      <c r="AI86" s="169">
        <f>IF(AI$81="","",Underwriting!AN53)</f>
        <v>0</v>
      </c>
      <c r="AJ86" s="169">
        <f>IF(AJ$81="","",Underwriting!AO53)</f>
        <v>0</v>
      </c>
      <c r="AK86" s="169">
        <f>IF(AK$81="","",Underwriting!AP53)</f>
        <v>0</v>
      </c>
      <c r="AL86" s="169">
        <f>IF(AL$81="","",Underwriting!AQ53)</f>
        <v>0</v>
      </c>
      <c r="AM86" s="169">
        <f>IF(AM$81="","",Underwriting!AR53)</f>
        <v>0</v>
      </c>
      <c r="AN86" s="169">
        <f>IF(AN$81="","",Underwriting!AS53)</f>
        <v>0</v>
      </c>
      <c r="AO86" s="169">
        <f>IF(AO$81="","",Underwriting!AT53)</f>
        <v>0</v>
      </c>
      <c r="AP86" s="169">
        <f>IF(AP$81="","",Underwriting!AU53)</f>
        <v>0</v>
      </c>
      <c r="AQ86" s="169">
        <f>IF(AQ$81="","",Underwriting!AV53)</f>
        <v>0</v>
      </c>
      <c r="AR86" s="169">
        <f>IF(AR$81="","",Underwriting!AW53)</f>
        <v>0</v>
      </c>
      <c r="AS86" s="169">
        <f>IF(AS$81="","",Underwriting!AX53)</f>
        <v>0</v>
      </c>
      <c r="AT86" s="169">
        <f>IF(AT$81="","",Underwriting!AY53)</f>
        <v>0</v>
      </c>
      <c r="AU86" s="169">
        <f>IF(AU$81="","",Underwriting!AZ53)</f>
        <v>0</v>
      </c>
      <c r="AV86" s="169">
        <f>IF(AV$81="","",Underwriting!BA53)</f>
        <v>0</v>
      </c>
      <c r="AW86" s="169">
        <f>IF(AW$81="","",Underwriting!BB53)</f>
        <v>0</v>
      </c>
      <c r="AX86" s="169">
        <f>IF(AX$81="","",Underwriting!BC53)</f>
        <v>0</v>
      </c>
      <c r="AY86" s="169">
        <f>IF(AY$81="","",Underwriting!BD53)</f>
        <v>0</v>
      </c>
      <c r="AZ86" s="169">
        <f>IF(AZ$81="","",Underwriting!BE53)</f>
        <v>0</v>
      </c>
      <c r="BA86" s="169">
        <f>IF(BA$81="","",Underwriting!BF53)</f>
        <v>0</v>
      </c>
      <c r="BB86" s="169">
        <f>IF(BB$81="","",Underwriting!BG53)</f>
        <v>0</v>
      </c>
      <c r="BC86" s="169">
        <f>IF(BC$81="","",Underwriting!BH53)</f>
        <v>0</v>
      </c>
      <c r="BD86" s="169">
        <f>IF(BD$81="","",Underwriting!BI53)</f>
        <v>0</v>
      </c>
      <c r="BE86" s="169">
        <f>IF(BE$81="","",Underwriting!BJ53)</f>
        <v>0</v>
      </c>
      <c r="BF86" s="169">
        <f>IF(BF$81="","",Underwriting!BK53)</f>
        <v>0</v>
      </c>
      <c r="BG86" s="169">
        <f>IF(BG$81="","",Underwriting!BL53)</f>
        <v>0</v>
      </c>
      <c r="BH86" s="169">
        <f>IF(BH$81="","",Underwriting!BM53)</f>
        <v>0</v>
      </c>
      <c r="BI86" s="169">
        <f>IF(BI$81="","",Underwriting!BN53)</f>
        <v>0</v>
      </c>
      <c r="BJ86" s="169">
        <f>IF(BJ$81="","",Underwriting!BO53)</f>
        <v>0</v>
      </c>
      <c r="BK86" s="169">
        <f>IF(BK$81="","",Underwriting!BP53)</f>
        <v>0</v>
      </c>
      <c r="BL86" s="169">
        <f>IF(BL$81="","",Underwriting!BQ53)</f>
        <v>0</v>
      </c>
      <c r="BM86" s="169">
        <f>IF(BM$81="","",Underwriting!BR53)</f>
        <v>0</v>
      </c>
      <c r="BN86" s="169">
        <f>IF(BN$81="","",Underwriting!BS53)</f>
        <v>0</v>
      </c>
      <c r="BO86" s="169">
        <f>IF(BO$81="","",Underwriting!BT53)</f>
        <v>0</v>
      </c>
      <c r="BP86" s="169">
        <f>IF(BP$81="","",Underwriting!BU53)</f>
        <v>0</v>
      </c>
      <c r="BQ86" s="169" t="str">
        <f>IF(BQ$81="","",Underwriting!BV53)</f>
        <v/>
      </c>
      <c r="BR86" s="169" t="str">
        <f>IF(BR$81="","",Underwriting!BW53)</f>
        <v/>
      </c>
      <c r="BS86" s="169" t="str">
        <f>IF(BS$81="","",Underwriting!BX53)</f>
        <v/>
      </c>
      <c r="BT86" s="169" t="str">
        <f>IF(BT$81="","",Underwriting!BY53)</f>
        <v/>
      </c>
      <c r="BU86" s="169" t="str">
        <f>IF(BU$81="","",Underwriting!BZ53)</f>
        <v/>
      </c>
      <c r="BV86" s="169" t="str">
        <f>IF(BV$81="","",Underwriting!CA53)</f>
        <v/>
      </c>
      <c r="BW86" s="169" t="str">
        <f>IF(BW$81="","",Underwriting!CB53)</f>
        <v/>
      </c>
      <c r="BX86" s="169" t="str">
        <f>IF(BX$81="","",Underwriting!CC53)</f>
        <v/>
      </c>
      <c r="BY86" s="169" t="str">
        <f>IF(BY$81="","",Underwriting!CD53)</f>
        <v/>
      </c>
      <c r="BZ86" s="169" t="str">
        <f>IF(BZ$81="","",Underwriting!CE53)</f>
        <v/>
      </c>
      <c r="CA86" s="169" t="str">
        <f>IF(CA$81="","",Underwriting!CF53)</f>
        <v/>
      </c>
      <c r="CB86" s="169" t="str">
        <f>IF(CB$81="","",Underwriting!CG53)</f>
        <v/>
      </c>
      <c r="CC86" s="169" t="str">
        <f>IF(CC$81="","",Underwriting!CH53)</f>
        <v/>
      </c>
      <c r="CD86" s="169" t="str">
        <f>IF(CD$81="","",Underwriting!CI53)</f>
        <v/>
      </c>
      <c r="CE86" s="169" t="str">
        <f>IF(CE$81="","",Underwriting!CJ53)</f>
        <v/>
      </c>
      <c r="CF86" s="169" t="str">
        <f>IF(CF$81="","",Underwriting!CK53)</f>
        <v/>
      </c>
      <c r="CG86" s="169" t="str">
        <f>IF(CG$81="","",Underwriting!CL53)</f>
        <v/>
      </c>
      <c r="CH86" s="169" t="str">
        <f>IF(CH$81="","",Underwriting!CM53)</f>
        <v/>
      </c>
      <c r="CI86" s="169" t="str">
        <f>IF(CI$81="","",Underwriting!CN53)</f>
        <v/>
      </c>
      <c r="CJ86" s="169" t="str">
        <f>IF(CJ$81="","",Underwriting!CO53)</f>
        <v/>
      </c>
      <c r="CK86" s="169" t="str">
        <f>IF(CK$81="","",Underwriting!CP53)</f>
        <v/>
      </c>
      <c r="CL86" s="169" t="str">
        <f>IF(CL$81="","",Underwriting!CQ53)</f>
        <v/>
      </c>
      <c r="CM86" s="169" t="str">
        <f>IF(CM$81="","",Underwriting!CR53)</f>
        <v/>
      </c>
      <c r="CN86" s="169" t="str">
        <f>IF(CN$81="","",Underwriting!CS53)</f>
        <v/>
      </c>
      <c r="CO86" s="169" t="str">
        <f>IF(CO$81="","",Underwriting!CT53)</f>
        <v/>
      </c>
      <c r="CP86" s="169" t="str">
        <f>IF(CP$81="","",Underwriting!CU53)</f>
        <v/>
      </c>
      <c r="CQ86" s="169" t="str">
        <f>IF(CQ$81="","",Underwriting!CV53)</f>
        <v/>
      </c>
      <c r="CR86" s="169" t="str">
        <f>IF(CR$81="","",Underwriting!CW53)</f>
        <v/>
      </c>
      <c r="CS86" s="169" t="str">
        <f>IF(CS$81="","",Underwriting!CX53)</f>
        <v/>
      </c>
      <c r="CT86" s="169" t="str">
        <f>IF(CT$81="","",Underwriting!CY53)</f>
        <v/>
      </c>
      <c r="CU86" s="169" t="str">
        <f>IF(CU$81="","",Underwriting!CZ53)</f>
        <v/>
      </c>
      <c r="CV86" s="169" t="str">
        <f>IF(CV$81="","",Underwriting!DA53)</f>
        <v/>
      </c>
      <c r="CW86" s="169" t="str">
        <f>IF(CW$81="","",Underwriting!DB53)</f>
        <v/>
      </c>
      <c r="CX86" s="169" t="str">
        <f>IF(CX$81="","",Underwriting!DC53)</f>
        <v/>
      </c>
      <c r="CY86" s="169" t="str">
        <f>IF(CY$81="","",Underwriting!DD53)</f>
        <v/>
      </c>
      <c r="CZ86" s="169" t="str">
        <f>IF(CZ$81="","",Underwriting!DE53)</f>
        <v/>
      </c>
      <c r="DA86" s="169" t="str">
        <f>IF(DA$81="","",Underwriting!DF53)</f>
        <v/>
      </c>
      <c r="DB86" s="169" t="str">
        <f>IF(DB$81="","",Underwriting!DG53)</f>
        <v/>
      </c>
      <c r="DC86" s="169" t="str">
        <f>IF(DC$81="","",Underwriting!DH53)</f>
        <v/>
      </c>
      <c r="DD86" s="169" t="str">
        <f>IF(DD$81="","",Underwriting!DI53)</f>
        <v/>
      </c>
      <c r="DE86" s="169" t="str">
        <f>IF(DE$81="","",Underwriting!DJ53)</f>
        <v/>
      </c>
      <c r="DF86" s="169" t="str">
        <f>IF(DF$81="","",Underwriting!DK53)</f>
        <v/>
      </c>
      <c r="DG86" s="169" t="str">
        <f>IF(DG$81="","",Underwriting!DL53)</f>
        <v/>
      </c>
      <c r="DH86" s="169" t="str">
        <f>IF(DH$81="","",Underwriting!DM53)</f>
        <v/>
      </c>
      <c r="DI86" s="169" t="str">
        <f>IF(DI$81="","",Underwriting!DN53)</f>
        <v/>
      </c>
      <c r="DJ86" s="169" t="str">
        <f>IF(DJ$81="","",Underwriting!DO53)</f>
        <v/>
      </c>
      <c r="DK86" s="169" t="str">
        <f>IF(DK$81="","",Underwriting!DP53)</f>
        <v/>
      </c>
      <c r="DL86" s="169" t="str">
        <f>IF(DL$81="","",Underwriting!DQ53)</f>
        <v/>
      </c>
      <c r="DM86" s="169" t="str">
        <f>IF(DM$81="","",Underwriting!DR53)</f>
        <v/>
      </c>
      <c r="DN86" s="169" t="str">
        <f>IF(DN$81="","",Underwriting!DS53)</f>
        <v/>
      </c>
      <c r="DO86" s="169" t="str">
        <f>IF(DO$81="","",Underwriting!DT53)</f>
        <v/>
      </c>
      <c r="DP86" s="169" t="str">
        <f>IF(DP$81="","",Underwriting!DU53)</f>
        <v/>
      </c>
      <c r="DQ86" s="169" t="str">
        <f>IF(DQ$81="","",Underwriting!DV53)</f>
        <v/>
      </c>
      <c r="DR86" s="169" t="str">
        <f>IF(DR$81="","",Underwriting!DW53)</f>
        <v/>
      </c>
      <c r="DS86" s="169" t="str">
        <f>IF(DS$81="","",Underwriting!DX53)</f>
        <v/>
      </c>
      <c r="DT86" s="169" t="str">
        <f>IF(DT$81="","",Underwriting!DY53)</f>
        <v/>
      </c>
      <c r="DU86" s="169" t="str">
        <f>IF(DU$81="","",Underwriting!DZ53)</f>
        <v/>
      </c>
      <c r="DV86" s="169" t="str">
        <f>IF(DV$81="","",Underwriting!EA53)</f>
        <v/>
      </c>
      <c r="DW86" s="169" t="str">
        <f>IF(DW$81="","",Underwriting!EB53)</f>
        <v/>
      </c>
      <c r="DX86" s="169" t="str">
        <f>IF(DX$81="","",Underwriting!EC53)</f>
        <v/>
      </c>
      <c r="DY86" s="169" t="str">
        <f>IF(DY$81="","",Underwriting!ED53)</f>
        <v/>
      </c>
      <c r="DZ86" s="169" t="str">
        <f>IF(DZ$81="","",Underwriting!EE53)</f>
        <v/>
      </c>
      <c r="EA86" s="169" t="str">
        <f>IF(EA$81="","",Underwriting!EF53)</f>
        <v/>
      </c>
      <c r="EB86" s="169" t="str">
        <f>IF(EB$81="","",Underwriting!EG53)</f>
        <v/>
      </c>
      <c r="EC86" s="169" t="str">
        <f>IF(EC$81="","",Underwriting!EH53)</f>
        <v/>
      </c>
      <c r="ED86" s="169" t="str">
        <f>IF(ED$81="","",Underwriting!EI53)</f>
        <v/>
      </c>
      <c r="EE86" s="169" t="str">
        <f>IF(EE$81="","",Underwriting!EJ53)</f>
        <v/>
      </c>
      <c r="EF86" s="169" t="str">
        <f>IF(EF$81="","",Underwriting!EK53)</f>
        <v/>
      </c>
      <c r="EG86" s="169" t="str">
        <f>IF(EG$81="","",Underwriting!EL53)</f>
        <v/>
      </c>
      <c r="EH86" s="169" t="str">
        <f>IF(EH$81="","",Underwriting!EM53)</f>
        <v/>
      </c>
      <c r="EI86" s="169" t="str">
        <f>IF(EI$81="","",Underwriting!EN53)</f>
        <v/>
      </c>
    </row>
    <row r="87" spans="2:139" x14ac:dyDescent="0.35">
      <c r="B87" s="34" t="s">
        <v>73</v>
      </c>
      <c r="C87" s="4"/>
      <c r="D87" s="4"/>
      <c r="E87" s="4"/>
      <c r="F87" s="4"/>
      <c r="G87" s="171">
        <f>IF(G$81="","",G79)</f>
        <v>0</v>
      </c>
      <c r="H87" s="171">
        <f t="shared" ref="H87:BS87" si="60">IF(H$81="","",H79)</f>
        <v>0</v>
      </c>
      <c r="I87" s="171">
        <f t="shared" si="60"/>
        <v>0</v>
      </c>
      <c r="J87" s="171">
        <f t="shared" si="60"/>
        <v>0</v>
      </c>
      <c r="K87" s="171">
        <f t="shared" si="60"/>
        <v>0</v>
      </c>
      <c r="L87" s="171">
        <f t="shared" si="60"/>
        <v>0</v>
      </c>
      <c r="M87" s="171">
        <f t="shared" si="60"/>
        <v>0</v>
      </c>
      <c r="N87" s="171">
        <f t="shared" si="60"/>
        <v>0</v>
      </c>
      <c r="O87" s="171">
        <f t="shared" si="60"/>
        <v>0</v>
      </c>
      <c r="P87" s="171">
        <f t="shared" si="60"/>
        <v>0</v>
      </c>
      <c r="Q87" s="171">
        <f t="shared" si="60"/>
        <v>0</v>
      </c>
      <c r="R87" s="171">
        <f t="shared" si="60"/>
        <v>0</v>
      </c>
      <c r="S87" s="169">
        <f t="shared" si="60"/>
        <v>0</v>
      </c>
      <c r="T87" s="169">
        <f t="shared" si="60"/>
        <v>0</v>
      </c>
      <c r="U87" s="169">
        <f t="shared" si="60"/>
        <v>0</v>
      </c>
      <c r="V87" s="169">
        <f t="shared" si="60"/>
        <v>0</v>
      </c>
      <c r="W87" s="169">
        <f t="shared" si="60"/>
        <v>0</v>
      </c>
      <c r="X87" s="169">
        <f t="shared" si="60"/>
        <v>0</v>
      </c>
      <c r="Y87" s="169">
        <f t="shared" si="60"/>
        <v>0</v>
      </c>
      <c r="Z87" s="169">
        <f t="shared" si="60"/>
        <v>0</v>
      </c>
      <c r="AA87" s="169">
        <f t="shared" si="60"/>
        <v>0</v>
      </c>
      <c r="AB87" s="169">
        <f t="shared" si="60"/>
        <v>0</v>
      </c>
      <c r="AC87" s="169">
        <f t="shared" si="60"/>
        <v>716666.66666666663</v>
      </c>
      <c r="AD87" s="169">
        <f t="shared" si="60"/>
        <v>716666.66666666663</v>
      </c>
      <c r="AE87" s="169">
        <f t="shared" si="60"/>
        <v>716666.66666666663</v>
      </c>
      <c r="AF87" s="169">
        <f t="shared" si="60"/>
        <v>933333.33333333326</v>
      </c>
      <c r="AG87" s="169">
        <f t="shared" si="60"/>
        <v>933333.33333333326</v>
      </c>
      <c r="AH87" s="169">
        <f t="shared" si="60"/>
        <v>933333.33333333326</v>
      </c>
      <c r="AI87" s="169">
        <f t="shared" si="60"/>
        <v>1107500</v>
      </c>
      <c r="AJ87" s="169">
        <f t="shared" si="60"/>
        <v>1107500</v>
      </c>
      <c r="AK87" s="169">
        <f t="shared" si="60"/>
        <v>1107500</v>
      </c>
      <c r="AL87" s="169">
        <f t="shared" si="60"/>
        <v>1265833.3333333333</v>
      </c>
      <c r="AM87" s="169">
        <f t="shared" si="60"/>
        <v>1265833.3333333333</v>
      </c>
      <c r="AN87" s="169">
        <f t="shared" si="60"/>
        <v>1265833.3333333333</v>
      </c>
      <c r="AO87" s="169">
        <f t="shared" si="60"/>
        <v>1298416.6666666665</v>
      </c>
      <c r="AP87" s="169">
        <f t="shared" si="60"/>
        <v>1298416.6666666665</v>
      </c>
      <c r="AQ87" s="169">
        <f t="shared" si="60"/>
        <v>1298416.6666666665</v>
      </c>
      <c r="AR87" s="169">
        <f t="shared" si="60"/>
        <v>1329966.833333333</v>
      </c>
      <c r="AS87" s="169">
        <f t="shared" si="60"/>
        <v>1537461.250366004</v>
      </c>
      <c r="AT87" s="169">
        <f t="shared" si="60"/>
        <v>1744955.6673986751</v>
      </c>
      <c r="AU87" s="169">
        <f t="shared" si="60"/>
        <v>1960527.6614040788</v>
      </c>
      <c r="AV87" s="169">
        <f t="shared" si="60"/>
        <v>2168682.6596498829</v>
      </c>
      <c r="AW87" s="169">
        <f t="shared" si="60"/>
        <v>2376837.6578956875</v>
      </c>
      <c r="AX87" s="169">
        <f t="shared" si="60"/>
        <v>2590534.3228081581</v>
      </c>
      <c r="AY87" s="169">
        <f t="shared" si="60"/>
        <v>2798689.3210539622</v>
      </c>
      <c r="AZ87" s="169">
        <f t="shared" si="60"/>
        <v>3006844.3192997663</v>
      </c>
      <c r="BA87" s="169">
        <f t="shared" si="60"/>
        <v>3241223.0675455704</v>
      </c>
      <c r="BB87" s="169">
        <f t="shared" si="60"/>
        <v>3449378.065791375</v>
      </c>
      <c r="BC87" s="169">
        <f t="shared" si="60"/>
        <v>3657533.0640371782</v>
      </c>
      <c r="BD87" s="169">
        <f t="shared" si="60"/>
        <v>3936582.4825900565</v>
      </c>
      <c r="BE87" s="169">
        <f t="shared" si="60"/>
        <v>3936582.4825900565</v>
      </c>
      <c r="BF87" s="169">
        <f t="shared" si="60"/>
        <v>3936582.4825900565</v>
      </c>
      <c r="BG87" s="169">
        <f t="shared" si="60"/>
        <v>3942891.6700900565</v>
      </c>
      <c r="BH87" s="169">
        <f t="shared" si="60"/>
        <v>3942891.6700900565</v>
      </c>
      <c r="BI87" s="169">
        <f t="shared" si="60"/>
        <v>3942891.6700900565</v>
      </c>
      <c r="BJ87" s="169">
        <f t="shared" si="60"/>
        <v>3948627.2950900565</v>
      </c>
      <c r="BK87" s="169">
        <f t="shared" si="60"/>
        <v>3948627.2950900565</v>
      </c>
      <c r="BL87" s="169">
        <f t="shared" si="60"/>
        <v>3948627.2950900565</v>
      </c>
      <c r="BM87" s="169">
        <f t="shared" si="60"/>
        <v>3975768.8763400572</v>
      </c>
      <c r="BN87" s="169">
        <f t="shared" si="60"/>
        <v>3975768.8763400572</v>
      </c>
      <c r="BO87" s="169">
        <f t="shared" si="60"/>
        <v>3975768.8763400572</v>
      </c>
      <c r="BP87" s="169">
        <f t="shared" si="60"/>
        <v>4048514.1446548081</v>
      </c>
      <c r="BQ87" s="169" t="str">
        <f t="shared" si="60"/>
        <v/>
      </c>
      <c r="BR87" s="169" t="str">
        <f t="shared" si="60"/>
        <v/>
      </c>
      <c r="BS87" s="169" t="str">
        <f t="shared" si="60"/>
        <v/>
      </c>
      <c r="BT87" s="169" t="str">
        <f t="shared" ref="BT87:EE87" si="61">IF(BT$81="","",BT79)</f>
        <v/>
      </c>
      <c r="BU87" s="169" t="str">
        <f t="shared" si="61"/>
        <v/>
      </c>
      <c r="BV87" s="169" t="str">
        <f t="shared" si="61"/>
        <v/>
      </c>
      <c r="BW87" s="169" t="str">
        <f t="shared" si="61"/>
        <v/>
      </c>
      <c r="BX87" s="169" t="str">
        <f t="shared" si="61"/>
        <v/>
      </c>
      <c r="BY87" s="169" t="str">
        <f t="shared" si="61"/>
        <v/>
      </c>
      <c r="BZ87" s="169" t="str">
        <f t="shared" si="61"/>
        <v/>
      </c>
      <c r="CA87" s="169" t="str">
        <f t="shared" si="61"/>
        <v/>
      </c>
      <c r="CB87" s="169" t="str">
        <f t="shared" si="61"/>
        <v/>
      </c>
      <c r="CC87" s="169" t="str">
        <f t="shared" si="61"/>
        <v/>
      </c>
      <c r="CD87" s="169" t="str">
        <f t="shared" si="61"/>
        <v/>
      </c>
      <c r="CE87" s="169" t="str">
        <f t="shared" si="61"/>
        <v/>
      </c>
      <c r="CF87" s="169" t="str">
        <f t="shared" si="61"/>
        <v/>
      </c>
      <c r="CG87" s="169" t="str">
        <f t="shared" si="61"/>
        <v/>
      </c>
      <c r="CH87" s="169" t="str">
        <f t="shared" si="61"/>
        <v/>
      </c>
      <c r="CI87" s="169" t="str">
        <f t="shared" si="61"/>
        <v/>
      </c>
      <c r="CJ87" s="169" t="str">
        <f t="shared" si="61"/>
        <v/>
      </c>
      <c r="CK87" s="169" t="str">
        <f t="shared" si="61"/>
        <v/>
      </c>
      <c r="CL87" s="169" t="str">
        <f t="shared" si="61"/>
        <v/>
      </c>
      <c r="CM87" s="169" t="str">
        <f t="shared" si="61"/>
        <v/>
      </c>
      <c r="CN87" s="169" t="str">
        <f t="shared" si="61"/>
        <v/>
      </c>
      <c r="CO87" s="169" t="str">
        <f t="shared" si="61"/>
        <v/>
      </c>
      <c r="CP87" s="169" t="str">
        <f t="shared" si="61"/>
        <v/>
      </c>
      <c r="CQ87" s="169" t="str">
        <f t="shared" si="61"/>
        <v/>
      </c>
      <c r="CR87" s="169" t="str">
        <f t="shared" si="61"/>
        <v/>
      </c>
      <c r="CS87" s="169" t="str">
        <f t="shared" si="61"/>
        <v/>
      </c>
      <c r="CT87" s="169" t="str">
        <f t="shared" si="61"/>
        <v/>
      </c>
      <c r="CU87" s="169" t="str">
        <f t="shared" si="61"/>
        <v/>
      </c>
      <c r="CV87" s="169" t="str">
        <f t="shared" si="61"/>
        <v/>
      </c>
      <c r="CW87" s="169" t="str">
        <f t="shared" si="61"/>
        <v/>
      </c>
      <c r="CX87" s="169" t="str">
        <f t="shared" si="61"/>
        <v/>
      </c>
      <c r="CY87" s="169" t="str">
        <f t="shared" si="61"/>
        <v/>
      </c>
      <c r="CZ87" s="169" t="str">
        <f t="shared" si="61"/>
        <v/>
      </c>
      <c r="DA87" s="169" t="str">
        <f t="shared" si="61"/>
        <v/>
      </c>
      <c r="DB87" s="169" t="str">
        <f t="shared" si="61"/>
        <v/>
      </c>
      <c r="DC87" s="169" t="str">
        <f t="shared" si="61"/>
        <v/>
      </c>
      <c r="DD87" s="169" t="str">
        <f t="shared" si="61"/>
        <v/>
      </c>
      <c r="DE87" s="169" t="str">
        <f t="shared" si="61"/>
        <v/>
      </c>
      <c r="DF87" s="169" t="str">
        <f t="shared" si="61"/>
        <v/>
      </c>
      <c r="DG87" s="169" t="str">
        <f t="shared" si="61"/>
        <v/>
      </c>
      <c r="DH87" s="169" t="str">
        <f t="shared" si="61"/>
        <v/>
      </c>
      <c r="DI87" s="169" t="str">
        <f t="shared" si="61"/>
        <v/>
      </c>
      <c r="DJ87" s="169" t="str">
        <f t="shared" si="61"/>
        <v/>
      </c>
      <c r="DK87" s="169" t="str">
        <f t="shared" si="61"/>
        <v/>
      </c>
      <c r="DL87" s="169" t="str">
        <f t="shared" si="61"/>
        <v/>
      </c>
      <c r="DM87" s="169" t="str">
        <f t="shared" si="61"/>
        <v/>
      </c>
      <c r="DN87" s="169" t="str">
        <f t="shared" si="61"/>
        <v/>
      </c>
      <c r="DO87" s="169" t="str">
        <f t="shared" si="61"/>
        <v/>
      </c>
      <c r="DP87" s="169" t="str">
        <f t="shared" si="61"/>
        <v/>
      </c>
      <c r="DQ87" s="169" t="str">
        <f t="shared" si="61"/>
        <v/>
      </c>
      <c r="DR87" s="169" t="str">
        <f t="shared" si="61"/>
        <v/>
      </c>
      <c r="DS87" s="169" t="str">
        <f t="shared" si="61"/>
        <v/>
      </c>
      <c r="DT87" s="169" t="str">
        <f t="shared" si="61"/>
        <v/>
      </c>
      <c r="DU87" s="169" t="str">
        <f t="shared" si="61"/>
        <v/>
      </c>
      <c r="DV87" s="169" t="str">
        <f t="shared" si="61"/>
        <v/>
      </c>
      <c r="DW87" s="169" t="str">
        <f t="shared" si="61"/>
        <v/>
      </c>
      <c r="DX87" s="169" t="str">
        <f t="shared" si="61"/>
        <v/>
      </c>
      <c r="DY87" s="169" t="str">
        <f t="shared" si="61"/>
        <v/>
      </c>
      <c r="DZ87" s="169" t="str">
        <f t="shared" si="61"/>
        <v/>
      </c>
      <c r="EA87" s="169" t="str">
        <f t="shared" si="61"/>
        <v/>
      </c>
      <c r="EB87" s="169" t="str">
        <f t="shared" si="61"/>
        <v/>
      </c>
      <c r="EC87" s="169" t="str">
        <f t="shared" si="61"/>
        <v/>
      </c>
      <c r="ED87" s="169" t="str">
        <f t="shared" si="61"/>
        <v/>
      </c>
      <c r="EE87" s="169" t="str">
        <f t="shared" si="61"/>
        <v/>
      </c>
      <c r="EF87" s="169" t="str">
        <f>IF(EF$81="","",EF79)</f>
        <v/>
      </c>
      <c r="EG87" s="169" t="str">
        <f>IF(EG$81="","",EG79)</f>
        <v/>
      </c>
      <c r="EH87" s="169" t="str">
        <f>IF(EH$81="","",EH79)</f>
        <v/>
      </c>
      <c r="EI87" s="169" t="str">
        <f>IF(EI$81="","",EI79)</f>
        <v/>
      </c>
    </row>
    <row r="88" spans="2:139" x14ac:dyDescent="0.35">
      <c r="B88" s="34"/>
      <c r="C88" s="4"/>
      <c r="D88" s="4"/>
      <c r="E88" s="4"/>
      <c r="F88" s="4"/>
      <c r="G88" s="171"/>
      <c r="H88" s="171"/>
      <c r="I88" s="171"/>
      <c r="J88" s="171"/>
      <c r="K88" s="171"/>
      <c r="L88" s="171"/>
      <c r="M88" s="171"/>
      <c r="N88" s="171"/>
      <c r="O88" s="171"/>
      <c r="P88" s="171"/>
      <c r="Q88" s="171"/>
      <c r="R88" s="171"/>
      <c r="S88" s="169"/>
      <c r="T88" s="169"/>
      <c r="U88" s="169"/>
      <c r="V88" s="169"/>
      <c r="W88" s="169"/>
      <c r="X88" s="169"/>
      <c r="Y88" s="169"/>
      <c r="Z88" s="169"/>
      <c r="AA88" s="169"/>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169"/>
      <c r="BI88" s="169"/>
      <c r="BJ88" s="169"/>
      <c r="BK88" s="169"/>
      <c r="BL88" s="169"/>
      <c r="BM88" s="169"/>
      <c r="BN88" s="169"/>
      <c r="BO88" s="169"/>
      <c r="BP88" s="169"/>
      <c r="BQ88" s="169"/>
      <c r="BR88" s="169"/>
      <c r="BS88" s="169"/>
      <c r="BT88" s="169"/>
      <c r="BU88" s="169"/>
      <c r="BV88" s="169"/>
      <c r="BW88" s="169"/>
      <c r="BX88" s="169"/>
      <c r="BY88" s="169"/>
      <c r="BZ88" s="169"/>
      <c r="CA88" s="169"/>
      <c r="CB88" s="169"/>
      <c r="CC88" s="169"/>
      <c r="CD88" s="169"/>
      <c r="CE88" s="169"/>
      <c r="CF88" s="169"/>
      <c r="CG88" s="169"/>
      <c r="CH88" s="169"/>
      <c r="CI88" s="169"/>
      <c r="CJ88" s="169"/>
      <c r="CK88" s="169"/>
      <c r="CL88" s="169"/>
      <c r="CM88" s="169"/>
      <c r="CN88" s="169"/>
      <c r="CO88" s="169"/>
      <c r="CP88" s="169"/>
      <c r="CQ88" s="169"/>
      <c r="CR88" s="169"/>
      <c r="CS88" s="169"/>
      <c r="CT88" s="169"/>
      <c r="CU88" s="169"/>
      <c r="CV88" s="169"/>
      <c r="CW88" s="169"/>
      <c r="CX88" s="169"/>
      <c r="CY88" s="169"/>
      <c r="CZ88" s="169"/>
      <c r="DA88" s="169"/>
      <c r="DB88" s="169"/>
      <c r="DC88" s="169"/>
      <c r="DD88" s="169"/>
      <c r="DE88" s="169"/>
      <c r="DF88" s="169"/>
      <c r="DG88" s="169"/>
      <c r="DH88" s="169"/>
      <c r="DI88" s="169"/>
      <c r="DJ88" s="169"/>
      <c r="DK88" s="169"/>
      <c r="DL88" s="169"/>
      <c r="DM88" s="169"/>
      <c r="DN88" s="169"/>
      <c r="DO88" s="169"/>
      <c r="DP88" s="169"/>
      <c r="DQ88" s="169"/>
      <c r="DR88" s="169"/>
      <c r="DS88" s="169"/>
      <c r="DT88" s="169"/>
      <c r="DU88" s="169"/>
      <c r="DV88" s="169"/>
      <c r="DW88" s="169"/>
      <c r="DX88" s="169"/>
      <c r="DY88" s="169"/>
      <c r="DZ88" s="169"/>
      <c r="EA88" s="169"/>
      <c r="EB88" s="169"/>
      <c r="EC88" s="169"/>
      <c r="ED88" s="169"/>
      <c r="EE88" s="169"/>
      <c r="EF88" s="169"/>
      <c r="EG88" s="169"/>
      <c r="EH88" s="169"/>
      <c r="EI88" s="169"/>
    </row>
    <row r="89" spans="2:139" x14ac:dyDescent="0.35">
      <c r="B89" s="34" t="s">
        <v>366</v>
      </c>
      <c r="C89" s="4"/>
      <c r="D89" s="4"/>
      <c r="E89" s="4"/>
      <c r="F89" s="4"/>
      <c r="G89" s="171">
        <f>IF(G$81="","",Underwriting!L205)</f>
        <v>0</v>
      </c>
      <c r="H89" s="171">
        <f>IF(H$81="","",Underwriting!M205)</f>
        <v>0</v>
      </c>
      <c r="I89" s="171">
        <f>IF(I$81="","",Underwriting!N205)</f>
        <v>0</v>
      </c>
      <c r="J89" s="171">
        <f>IF(J$81="","",Underwriting!O205)</f>
        <v>0</v>
      </c>
      <c r="K89" s="171">
        <f>IF(K$81="","",Underwriting!P205)</f>
        <v>0</v>
      </c>
      <c r="L89" s="171">
        <f>IF(L$81="","",Underwriting!Q205)</f>
        <v>0</v>
      </c>
      <c r="M89" s="171">
        <f>IF(M$81="","",Underwriting!R205)</f>
        <v>0</v>
      </c>
      <c r="N89" s="171">
        <f>IF(N$81="","",Underwriting!S205)</f>
        <v>0</v>
      </c>
      <c r="O89" s="171">
        <f>IF(O$81="","",Underwriting!T205)</f>
        <v>0</v>
      </c>
      <c r="P89" s="171">
        <f>IF(P$81="","",Underwriting!U205)</f>
        <v>0</v>
      </c>
      <c r="Q89" s="171">
        <f>IF(Q$81="","",Underwriting!V205)</f>
        <v>0</v>
      </c>
      <c r="R89" s="171">
        <f>IF(R$81="","",Underwriting!W205)</f>
        <v>0</v>
      </c>
      <c r="S89" s="169">
        <f>IF(S$81="","",Underwriting!X205)</f>
        <v>0</v>
      </c>
      <c r="T89" s="169">
        <f>IF(T$81="","",Underwriting!Y205)</f>
        <v>0</v>
      </c>
      <c r="U89" s="169">
        <f>IF(U$81="","",Underwriting!Z205)</f>
        <v>0</v>
      </c>
      <c r="V89" s="169">
        <f>IF(V$81="","",Underwriting!AA205)</f>
        <v>0</v>
      </c>
      <c r="W89" s="169">
        <f>IF(W$81="","",Underwriting!AB205)</f>
        <v>0</v>
      </c>
      <c r="X89" s="169">
        <f>IF(X$81="","",Underwriting!AC205)</f>
        <v>0</v>
      </c>
      <c r="Y89" s="169">
        <f>IF(Y$81="","",Underwriting!AD205)</f>
        <v>0</v>
      </c>
      <c r="Z89" s="169">
        <f>IF(Z$81="","",Underwriting!AE205)</f>
        <v>0</v>
      </c>
      <c r="AA89" s="169">
        <f>IF(AA$81="","",Underwriting!AF205)</f>
        <v>0</v>
      </c>
      <c r="AB89" s="169">
        <f>IF(AB$81="","",Underwriting!AG205)</f>
        <v>0</v>
      </c>
      <c r="AC89" s="169">
        <f>IF(AC$81="","",Underwriting!AH205)</f>
        <v>0</v>
      </c>
      <c r="AD89" s="169">
        <f>IF(AD$81="","",Underwriting!AI205)</f>
        <v>0</v>
      </c>
      <c r="AE89" s="169">
        <f>IF(AE$81="","",Underwriting!AJ205)</f>
        <v>0</v>
      </c>
      <c r="AF89" s="169">
        <f>IF(AF$81="","",Underwriting!AK205)</f>
        <v>0</v>
      </c>
      <c r="AG89" s="169">
        <f>IF(AG$81="","",Underwriting!AL205)</f>
        <v>0</v>
      </c>
      <c r="AH89" s="169">
        <f>IF(AH$81="","",Underwriting!AM205)</f>
        <v>0</v>
      </c>
      <c r="AI89" s="169">
        <f>IF(AI$81="","",Underwriting!AN205)</f>
        <v>0</v>
      </c>
      <c r="AJ89" s="169">
        <f>IF(AJ$81="","",Underwriting!AO205)</f>
        <v>0</v>
      </c>
      <c r="AK89" s="169">
        <f>IF(AK$81="","",Underwriting!AP205)</f>
        <v>0</v>
      </c>
      <c r="AL89" s="169">
        <f>IF(AL$81="","",Underwriting!AQ205)</f>
        <v>0</v>
      </c>
      <c r="AM89" s="169">
        <f>IF(AM$81="","",Underwriting!AR205)</f>
        <v>0</v>
      </c>
      <c r="AN89" s="169">
        <f>IF(AN$81="","",Underwriting!AS205)</f>
        <v>0</v>
      </c>
      <c r="AO89" s="169">
        <f>IF(AO$81="","",Underwriting!AT205)</f>
        <v>0</v>
      </c>
      <c r="AP89" s="169">
        <f>IF(AP$81="","",Underwriting!AU205)</f>
        <v>0</v>
      </c>
      <c r="AQ89" s="169">
        <f>IF(AQ$81="","",Underwriting!AV205)</f>
        <v>0</v>
      </c>
      <c r="AR89" s="169">
        <f>IF(AR$81="","",Underwriting!AW205)</f>
        <v>0</v>
      </c>
      <c r="AS89" s="169">
        <f>IF(AS$81="","",Underwriting!AX205)</f>
        <v>0</v>
      </c>
      <c r="AT89" s="169">
        <f>IF(AT$81="","",Underwriting!AY205)</f>
        <v>0</v>
      </c>
      <c r="AU89" s="169">
        <f>IF(AU$81="","",Underwriting!AZ205)</f>
        <v>0</v>
      </c>
      <c r="AV89" s="169">
        <f>IF(AV$81="","",Underwriting!BA205)</f>
        <v>0</v>
      </c>
      <c r="AW89" s="169">
        <f>IF(AW$81="","",Underwriting!BB205)</f>
        <v>0</v>
      </c>
      <c r="AX89" s="169">
        <f>IF(AX$81="","",Underwriting!BC205)</f>
        <v>0</v>
      </c>
      <c r="AY89" s="169">
        <f>IF(AY$81="","",Underwriting!BD205)</f>
        <v>0</v>
      </c>
      <c r="AZ89" s="169">
        <f>IF(AZ$81="","",Underwriting!BE205)</f>
        <v>0</v>
      </c>
      <c r="BA89" s="169">
        <f>IF(BA$81="","",Underwriting!BF205)</f>
        <v>0</v>
      </c>
      <c r="BB89" s="169">
        <f>IF(BB$81="","",Underwriting!BG205)</f>
        <v>0</v>
      </c>
      <c r="BC89" s="169">
        <f>IF(BC$81="","",Underwriting!BH205)</f>
        <v>0</v>
      </c>
      <c r="BD89" s="169">
        <f>IF(BD$81="","",Underwriting!BI205)</f>
        <v>0</v>
      </c>
      <c r="BE89" s="169">
        <f>IF(BE$81="","",Underwriting!BJ205)</f>
        <v>0</v>
      </c>
      <c r="BF89" s="169">
        <f>IF(BF$81="","",Underwriting!BK205)</f>
        <v>0</v>
      </c>
      <c r="BG89" s="169">
        <f>IF(BG$81="","",Underwriting!BL205)</f>
        <v>0</v>
      </c>
      <c r="BH89" s="169">
        <f>IF(BH$81="","",Underwriting!BM205)</f>
        <v>0</v>
      </c>
      <c r="BI89" s="169">
        <f>IF(BI$81="","",Underwriting!BN205)</f>
        <v>0</v>
      </c>
      <c r="BJ89" s="169">
        <f>IF(BJ$81="","",Underwriting!BO205)</f>
        <v>0</v>
      </c>
      <c r="BK89" s="169">
        <f>IF(BK$81="","",Underwriting!BP205)</f>
        <v>0</v>
      </c>
      <c r="BL89" s="169">
        <f>IF(BL$81="","",Underwriting!BQ205)</f>
        <v>0</v>
      </c>
      <c r="BM89" s="169">
        <f>IF(BM$81="","",Underwriting!BR205)</f>
        <v>0</v>
      </c>
      <c r="BN89" s="169">
        <f>IF(BN$81="","",Underwriting!BS205)</f>
        <v>0</v>
      </c>
      <c r="BO89" s="169">
        <f>IF(BO$81="","",Underwriting!BT205)</f>
        <v>0</v>
      </c>
      <c r="BP89" s="169">
        <f>IF(BP$81="","",Underwriting!BU205)</f>
        <v>707935051.93010986</v>
      </c>
      <c r="BQ89" s="169" t="str">
        <f>IF(BQ$81="","",Underwriting!BV205)</f>
        <v/>
      </c>
      <c r="BR89" s="169" t="str">
        <f>IF(BR$81="","",Underwriting!BW205)</f>
        <v/>
      </c>
      <c r="BS89" s="169" t="str">
        <f>IF(BS$81="","",Underwriting!BX205)</f>
        <v/>
      </c>
      <c r="BT89" s="169" t="str">
        <f>IF(BT$81="","",Underwriting!BY205)</f>
        <v/>
      </c>
      <c r="BU89" s="169" t="str">
        <f>IF(BU$81="","",Underwriting!BZ205)</f>
        <v/>
      </c>
      <c r="BV89" s="169" t="str">
        <f>IF(BV$81="","",Underwriting!CA205)</f>
        <v/>
      </c>
      <c r="BW89" s="169" t="str">
        <f>IF(BW$81="","",Underwriting!CB205)</f>
        <v/>
      </c>
      <c r="BX89" s="169" t="str">
        <f>IF(BX$81="","",Underwriting!CC205)</f>
        <v/>
      </c>
      <c r="BY89" s="169" t="str">
        <f>IF(BY$81="","",Underwriting!CD205)</f>
        <v/>
      </c>
      <c r="BZ89" s="169" t="str">
        <f>IF(BZ$81="","",Underwriting!CE205)</f>
        <v/>
      </c>
      <c r="CA89" s="169" t="str">
        <f>IF(CA$81="","",Underwriting!CF205)</f>
        <v/>
      </c>
      <c r="CB89" s="169" t="str">
        <f>IF(CB$81="","",Underwriting!CG205)</f>
        <v/>
      </c>
      <c r="CC89" s="169" t="str">
        <f>IF(CC$81="","",Underwriting!CH205)</f>
        <v/>
      </c>
      <c r="CD89" s="169" t="str">
        <f>IF(CD$81="","",Underwriting!CI205)</f>
        <v/>
      </c>
      <c r="CE89" s="169" t="str">
        <f>IF(CE$81="","",Underwriting!CJ205)</f>
        <v/>
      </c>
      <c r="CF89" s="169" t="str">
        <f>IF(CF$81="","",Underwriting!CK205)</f>
        <v/>
      </c>
      <c r="CG89" s="169" t="str">
        <f>IF(CG$81="","",Underwriting!CL205)</f>
        <v/>
      </c>
      <c r="CH89" s="169" t="str">
        <f>IF(CH$81="","",Underwriting!CM205)</f>
        <v/>
      </c>
      <c r="CI89" s="169" t="str">
        <f>IF(CI$81="","",Underwriting!CN205)</f>
        <v/>
      </c>
      <c r="CJ89" s="169" t="str">
        <f>IF(CJ$81="","",Underwriting!CO205)</f>
        <v/>
      </c>
      <c r="CK89" s="169" t="str">
        <f>IF(CK$81="","",Underwriting!CP205)</f>
        <v/>
      </c>
      <c r="CL89" s="169" t="str">
        <f>IF(CL$81="","",Underwriting!CQ205)</f>
        <v/>
      </c>
      <c r="CM89" s="169" t="str">
        <f>IF(CM$81="","",Underwriting!CR205)</f>
        <v/>
      </c>
      <c r="CN89" s="169" t="str">
        <f>IF(CN$81="","",Underwriting!CS205)</f>
        <v/>
      </c>
      <c r="CO89" s="169" t="str">
        <f>IF(CO$81="","",Underwriting!CT205)</f>
        <v/>
      </c>
      <c r="CP89" s="169" t="str">
        <f>IF(CP$81="","",Underwriting!CU205)</f>
        <v/>
      </c>
      <c r="CQ89" s="169" t="str">
        <f>IF(CQ$81="","",Underwriting!CV205)</f>
        <v/>
      </c>
      <c r="CR89" s="169" t="str">
        <f>IF(CR$81="","",Underwriting!CW205)</f>
        <v/>
      </c>
      <c r="CS89" s="169" t="str">
        <f>IF(CS$81="","",Underwriting!CX205)</f>
        <v/>
      </c>
      <c r="CT89" s="169" t="str">
        <f>IF(CT$81="","",Underwriting!CY205)</f>
        <v/>
      </c>
      <c r="CU89" s="169" t="str">
        <f>IF(CU$81="","",Underwriting!CZ205)</f>
        <v/>
      </c>
      <c r="CV89" s="169" t="str">
        <f>IF(CV$81="","",Underwriting!DA205)</f>
        <v/>
      </c>
      <c r="CW89" s="169" t="str">
        <f>IF(CW$81="","",Underwriting!DB205)</f>
        <v/>
      </c>
      <c r="CX89" s="169" t="str">
        <f>IF(CX$81="","",Underwriting!DC205)</f>
        <v/>
      </c>
      <c r="CY89" s="169" t="str">
        <f>IF(CY$81="","",Underwriting!DD205)</f>
        <v/>
      </c>
      <c r="CZ89" s="169" t="str">
        <f>IF(CZ$81="","",Underwriting!DE205)</f>
        <v/>
      </c>
      <c r="DA89" s="169" t="str">
        <f>IF(DA$81="","",Underwriting!DF205)</f>
        <v/>
      </c>
      <c r="DB89" s="169" t="str">
        <f>IF(DB$81="","",Underwriting!DG205)</f>
        <v/>
      </c>
      <c r="DC89" s="169" t="str">
        <f>IF(DC$81="","",Underwriting!DH205)</f>
        <v/>
      </c>
      <c r="DD89" s="169" t="str">
        <f>IF(DD$81="","",Underwriting!DI205)</f>
        <v/>
      </c>
      <c r="DE89" s="169" t="str">
        <f>IF(DE$81="","",Underwriting!DJ205)</f>
        <v/>
      </c>
      <c r="DF89" s="169" t="str">
        <f>IF(DF$81="","",Underwriting!DK205)</f>
        <v/>
      </c>
      <c r="DG89" s="169" t="str">
        <f>IF(DG$81="","",Underwriting!DL205)</f>
        <v/>
      </c>
      <c r="DH89" s="169" t="str">
        <f>IF(DH$81="","",Underwriting!DM205)</f>
        <v/>
      </c>
      <c r="DI89" s="169" t="str">
        <f>IF(DI$81="","",Underwriting!DN205)</f>
        <v/>
      </c>
      <c r="DJ89" s="169" t="str">
        <f>IF(DJ$81="","",Underwriting!DO205)</f>
        <v/>
      </c>
      <c r="DK89" s="169" t="str">
        <f>IF(DK$81="","",Underwriting!DP205)</f>
        <v/>
      </c>
      <c r="DL89" s="169" t="str">
        <f>IF(DL$81="","",Underwriting!DQ205)</f>
        <v/>
      </c>
      <c r="DM89" s="169" t="str">
        <f>IF(DM$81="","",Underwriting!DR205)</f>
        <v/>
      </c>
      <c r="DN89" s="169" t="str">
        <f>IF(DN$81="","",Underwriting!DS205)</f>
        <v/>
      </c>
      <c r="DO89" s="169" t="str">
        <f>IF(DO$81="","",Underwriting!DT205)</f>
        <v/>
      </c>
      <c r="DP89" s="169" t="str">
        <f>IF(DP$81="","",Underwriting!DU205)</f>
        <v/>
      </c>
      <c r="DQ89" s="169" t="str">
        <f>IF(DQ$81="","",Underwriting!DV205)</f>
        <v/>
      </c>
      <c r="DR89" s="169" t="str">
        <f>IF(DR$81="","",Underwriting!DW205)</f>
        <v/>
      </c>
      <c r="DS89" s="169" t="str">
        <f>IF(DS$81="","",Underwriting!DX205)</f>
        <v/>
      </c>
      <c r="DT89" s="169" t="str">
        <f>IF(DT$81="","",Underwriting!DY205)</f>
        <v/>
      </c>
      <c r="DU89" s="169" t="str">
        <f>IF(DU$81="","",Underwriting!DZ205)</f>
        <v/>
      </c>
      <c r="DV89" s="169" t="str">
        <f>IF(DV$81="","",Underwriting!EA205)</f>
        <v/>
      </c>
      <c r="DW89" s="169" t="str">
        <f>IF(DW$81="","",Underwriting!EB205)</f>
        <v/>
      </c>
      <c r="DX89" s="169" t="str">
        <f>IF(DX$81="","",Underwriting!EC205)</f>
        <v/>
      </c>
      <c r="DY89" s="169" t="str">
        <f>IF(DY$81="","",Underwriting!ED205)</f>
        <v/>
      </c>
      <c r="DZ89" s="169" t="str">
        <f>IF(DZ$81="","",Underwriting!EE205)</f>
        <v/>
      </c>
      <c r="EA89" s="169" t="str">
        <f>IF(EA$81="","",Underwriting!EF205)</f>
        <v/>
      </c>
      <c r="EB89" s="169" t="str">
        <f>IF(EB$81="","",Underwriting!EG205)</f>
        <v/>
      </c>
      <c r="EC89" s="169" t="str">
        <f>IF(EC$81="","",Underwriting!EH205)</f>
        <v/>
      </c>
      <c r="ED89" s="169" t="str">
        <f>IF(ED$81="","",Underwriting!EI205)</f>
        <v/>
      </c>
      <c r="EE89" s="169" t="str">
        <f>IF(EE$81="","",Underwriting!EJ205)</f>
        <v/>
      </c>
      <c r="EF89" s="169" t="str">
        <f>IF(EF$81="","",Underwriting!EK205)</f>
        <v/>
      </c>
      <c r="EG89" s="169" t="str">
        <f>IF(EG$81="","",Underwriting!EL205)</f>
        <v/>
      </c>
      <c r="EH89" s="169" t="str">
        <f>IF(EH$81="","",Underwriting!EM205)</f>
        <v/>
      </c>
      <c r="EI89" s="169" t="str">
        <f>IF(EI$81="","",Underwriting!EN205)</f>
        <v/>
      </c>
    </row>
    <row r="90" spans="2:139" x14ac:dyDescent="0.35">
      <c r="B90" s="34" t="s">
        <v>517</v>
      </c>
      <c r="C90" s="4"/>
      <c r="D90" s="4"/>
      <c r="E90" s="4"/>
      <c r="F90" s="4"/>
      <c r="G90" s="248">
        <f>IF(G$81="","",Underwriting!L206)</f>
        <v>0</v>
      </c>
      <c r="H90" s="248">
        <f>IF(H$81="","",Underwriting!M206)</f>
        <v>0</v>
      </c>
      <c r="I90" s="248">
        <f>IF(I$81="","",Underwriting!N206)</f>
        <v>0</v>
      </c>
      <c r="J90" s="248">
        <f>IF(J$81="","",Underwriting!O206)</f>
        <v>0</v>
      </c>
      <c r="K90" s="248">
        <f>IF(K$81="","",Underwriting!P206)</f>
        <v>0</v>
      </c>
      <c r="L90" s="248">
        <f>IF(L$81="","",Underwriting!Q206)</f>
        <v>0</v>
      </c>
      <c r="M90" s="248">
        <f>IF(M$81="","",Underwriting!R206)</f>
        <v>0</v>
      </c>
      <c r="N90" s="248">
        <f>IF(N$81="","",Underwriting!S206)</f>
        <v>0</v>
      </c>
      <c r="O90" s="248">
        <f>IF(O$81="","",Underwriting!T206)</f>
        <v>0</v>
      </c>
      <c r="P90" s="248">
        <f>IF(P$81="","",Underwriting!U206)</f>
        <v>0</v>
      </c>
      <c r="Q90" s="248">
        <f>IF(Q$81="","",Underwriting!V206)</f>
        <v>0</v>
      </c>
      <c r="R90" s="248">
        <f>IF(R$81="","",Underwriting!W206)</f>
        <v>0</v>
      </c>
      <c r="S90" s="174">
        <f>IF(S$81="","",Underwriting!X206)</f>
        <v>0</v>
      </c>
      <c r="T90" s="174">
        <f>IF(T$81="","",Underwriting!Y206)</f>
        <v>0</v>
      </c>
      <c r="U90" s="174">
        <f>IF(U$81="","",Underwriting!Z206)</f>
        <v>0</v>
      </c>
      <c r="V90" s="174">
        <f>IF(V$81="","",Underwriting!AA206)</f>
        <v>0</v>
      </c>
      <c r="W90" s="174">
        <f>IF(W$81="","",Underwriting!AB206)</f>
        <v>0</v>
      </c>
      <c r="X90" s="174">
        <f>IF(X$81="","",Underwriting!AC206)</f>
        <v>0</v>
      </c>
      <c r="Y90" s="174">
        <f>IF(Y$81="","",Underwriting!AD206)</f>
        <v>0</v>
      </c>
      <c r="Z90" s="174">
        <f>IF(Z$81="","",Underwriting!AE206)</f>
        <v>0</v>
      </c>
      <c r="AA90" s="174">
        <f>IF(AA$81="","",Underwriting!AF206)</f>
        <v>0</v>
      </c>
      <c r="AB90" s="174">
        <f>IF(AB$81="","",Underwriting!AG206)</f>
        <v>0</v>
      </c>
      <c r="AC90" s="174">
        <f>IF(AC$81="","",Underwriting!AH206)</f>
        <v>0</v>
      </c>
      <c r="AD90" s="174">
        <f>IF(AD$81="","",Underwriting!AI206)</f>
        <v>0</v>
      </c>
      <c r="AE90" s="174">
        <f>IF(AE$81="","",Underwriting!AJ206)</f>
        <v>0</v>
      </c>
      <c r="AF90" s="174">
        <f>IF(AF$81="","",Underwriting!AK206)</f>
        <v>0</v>
      </c>
      <c r="AG90" s="174">
        <f>IF(AG$81="","",Underwriting!AL206)</f>
        <v>0</v>
      </c>
      <c r="AH90" s="174">
        <f>IF(AH$81="","",Underwriting!AM206)</f>
        <v>0</v>
      </c>
      <c r="AI90" s="174">
        <f>IF(AI$81="","",Underwriting!AN206)</f>
        <v>0</v>
      </c>
      <c r="AJ90" s="174">
        <f>IF(AJ$81="","",Underwriting!AO206)</f>
        <v>0</v>
      </c>
      <c r="AK90" s="174">
        <f>IF(AK$81="","",Underwriting!AP206)</f>
        <v>0</v>
      </c>
      <c r="AL90" s="174">
        <f>IF(AL$81="","",Underwriting!AQ206)</f>
        <v>0</v>
      </c>
      <c r="AM90" s="174">
        <f>IF(AM$81="","",Underwriting!AR206)</f>
        <v>0</v>
      </c>
      <c r="AN90" s="174">
        <f>IF(AN$81="","",Underwriting!AS206)</f>
        <v>0</v>
      </c>
      <c r="AO90" s="174">
        <f>IF(AO$81="","",Underwriting!AT206)</f>
        <v>0</v>
      </c>
      <c r="AP90" s="174">
        <f>IF(AP$81="","",Underwriting!AU206)</f>
        <v>0</v>
      </c>
      <c r="AQ90" s="174">
        <f>IF(AQ$81="","",Underwriting!AV206)</f>
        <v>0</v>
      </c>
      <c r="AR90" s="174">
        <f>IF(AR$81="","",Underwriting!AW206)</f>
        <v>0</v>
      </c>
      <c r="AS90" s="174">
        <f>IF(AS$81="","",Underwriting!AX206)</f>
        <v>0</v>
      </c>
      <c r="AT90" s="174">
        <f>IF(AT$81="","",Underwriting!AY206)</f>
        <v>0</v>
      </c>
      <c r="AU90" s="174">
        <f>IF(AU$81="","",Underwriting!AZ206)</f>
        <v>0</v>
      </c>
      <c r="AV90" s="174">
        <f>IF(AV$81="","",Underwriting!BA206)</f>
        <v>0</v>
      </c>
      <c r="AW90" s="174">
        <f>IF(AW$81="","",Underwriting!BB206)</f>
        <v>0</v>
      </c>
      <c r="AX90" s="174">
        <f>IF(AX$81="","",Underwriting!BC206)</f>
        <v>0</v>
      </c>
      <c r="AY90" s="174">
        <f>IF(AY$81="","",Underwriting!BD206)</f>
        <v>0</v>
      </c>
      <c r="AZ90" s="174">
        <f>IF(AZ$81="","",Underwriting!BE206)</f>
        <v>0</v>
      </c>
      <c r="BA90" s="174">
        <f>IF(BA$81="","",Underwriting!BF206)</f>
        <v>0</v>
      </c>
      <c r="BB90" s="174">
        <f>IF(BB$81="","",Underwriting!BG206)</f>
        <v>0</v>
      </c>
      <c r="BC90" s="174">
        <f>IF(BC$81="","",Underwriting!BH206)</f>
        <v>0</v>
      </c>
      <c r="BD90" s="174">
        <f>IF(BD$81="","",Underwriting!BI206)</f>
        <v>0</v>
      </c>
      <c r="BE90" s="174">
        <f>IF(BE$81="","",Underwriting!BJ206)</f>
        <v>0</v>
      </c>
      <c r="BF90" s="174">
        <f>IF(BF$81="","",Underwriting!BK206)</f>
        <v>0</v>
      </c>
      <c r="BG90" s="174">
        <f>IF(BG$81="","",Underwriting!BL206)</f>
        <v>0</v>
      </c>
      <c r="BH90" s="174">
        <f>IF(BH$81="","",Underwriting!BM206)</f>
        <v>0</v>
      </c>
      <c r="BI90" s="174">
        <f>IF(BI$81="","",Underwriting!BN206)</f>
        <v>0</v>
      </c>
      <c r="BJ90" s="174">
        <f>IF(BJ$81="","",Underwriting!BO206)</f>
        <v>0</v>
      </c>
      <c r="BK90" s="174">
        <f>IF(BK$81="","",Underwriting!BP206)</f>
        <v>0</v>
      </c>
      <c r="BL90" s="174">
        <f>IF(BL$81="","",Underwriting!BQ206)</f>
        <v>0</v>
      </c>
      <c r="BM90" s="174">
        <f>IF(BM$81="","",Underwriting!BR206)</f>
        <v>0</v>
      </c>
      <c r="BN90" s="174">
        <f>IF(BN$81="","",Underwriting!BS206)</f>
        <v>0</v>
      </c>
      <c r="BO90" s="174">
        <f>IF(BO$81="","",Underwriting!BT206)</f>
        <v>0</v>
      </c>
      <c r="BP90" s="174">
        <f>IF(BP$81="","",Underwriting!BU206)</f>
        <v>-235202653.50721359</v>
      </c>
      <c r="BQ90" s="174" t="str">
        <f>IF(BQ$81="","",Underwriting!BV206)</f>
        <v/>
      </c>
      <c r="BR90" s="174" t="str">
        <f>IF(BR$81="","",Underwriting!BW206)</f>
        <v/>
      </c>
      <c r="BS90" s="174" t="str">
        <f>IF(BS$81="","",Underwriting!BX206)</f>
        <v/>
      </c>
      <c r="BT90" s="174" t="str">
        <f>IF(BT$81="","",Underwriting!BY206)</f>
        <v/>
      </c>
      <c r="BU90" s="174" t="str">
        <f>IF(BU$81="","",Underwriting!BZ206)</f>
        <v/>
      </c>
      <c r="BV90" s="174" t="str">
        <f>IF(BV$81="","",Underwriting!CA206)</f>
        <v/>
      </c>
      <c r="BW90" s="174" t="str">
        <f>IF(BW$81="","",Underwriting!CB206)</f>
        <v/>
      </c>
      <c r="BX90" s="174" t="str">
        <f>IF(BX$81="","",Underwriting!CC206)</f>
        <v/>
      </c>
      <c r="BY90" s="174" t="str">
        <f>IF(BY$81="","",Underwriting!CD206)</f>
        <v/>
      </c>
      <c r="BZ90" s="174" t="str">
        <f>IF(BZ$81="","",Underwriting!CE206)</f>
        <v/>
      </c>
      <c r="CA90" s="174" t="str">
        <f>IF(CA$81="","",Underwriting!CF206)</f>
        <v/>
      </c>
      <c r="CB90" s="174" t="str">
        <f>IF(CB$81="","",Underwriting!CG206)</f>
        <v/>
      </c>
      <c r="CC90" s="174" t="str">
        <f>IF(CC$81="","",Underwriting!CH206)</f>
        <v/>
      </c>
      <c r="CD90" s="174" t="str">
        <f>IF(CD$81="","",Underwriting!CI206)</f>
        <v/>
      </c>
      <c r="CE90" s="174" t="str">
        <f>IF(CE$81="","",Underwriting!CJ206)</f>
        <v/>
      </c>
      <c r="CF90" s="174" t="str">
        <f>IF(CF$81="","",Underwriting!CK206)</f>
        <v/>
      </c>
      <c r="CG90" s="174" t="str">
        <f>IF(CG$81="","",Underwriting!CL206)</f>
        <v/>
      </c>
      <c r="CH90" s="174" t="str">
        <f>IF(CH$81="","",Underwriting!CM206)</f>
        <v/>
      </c>
      <c r="CI90" s="174" t="str">
        <f>IF(CI$81="","",Underwriting!CN206)</f>
        <v/>
      </c>
      <c r="CJ90" s="174" t="str">
        <f>IF(CJ$81="","",Underwriting!CO206)</f>
        <v/>
      </c>
      <c r="CK90" s="174" t="str">
        <f>IF(CK$81="","",Underwriting!CP206)</f>
        <v/>
      </c>
      <c r="CL90" s="174" t="str">
        <f>IF(CL$81="","",Underwriting!CQ206)</f>
        <v/>
      </c>
      <c r="CM90" s="174" t="str">
        <f>IF(CM$81="","",Underwriting!CR206)</f>
        <v/>
      </c>
      <c r="CN90" s="174" t="str">
        <f>IF(CN$81="","",Underwriting!CS206)</f>
        <v/>
      </c>
      <c r="CO90" s="174" t="str">
        <f>IF(CO$81="","",Underwriting!CT206)</f>
        <v/>
      </c>
      <c r="CP90" s="174" t="str">
        <f>IF(CP$81="","",Underwriting!CU206)</f>
        <v/>
      </c>
      <c r="CQ90" s="174" t="str">
        <f>IF(CQ$81="","",Underwriting!CV206)</f>
        <v/>
      </c>
      <c r="CR90" s="174" t="str">
        <f>IF(CR$81="","",Underwriting!CW206)</f>
        <v/>
      </c>
      <c r="CS90" s="174" t="str">
        <f>IF(CS$81="","",Underwriting!CX206)</f>
        <v/>
      </c>
      <c r="CT90" s="174" t="str">
        <f>IF(CT$81="","",Underwriting!CY206)</f>
        <v/>
      </c>
      <c r="CU90" s="174" t="str">
        <f>IF(CU$81="","",Underwriting!CZ206)</f>
        <v/>
      </c>
      <c r="CV90" s="174" t="str">
        <f>IF(CV$81="","",Underwriting!DA206)</f>
        <v/>
      </c>
      <c r="CW90" s="174" t="str">
        <f>IF(CW$81="","",Underwriting!DB206)</f>
        <v/>
      </c>
      <c r="CX90" s="174" t="str">
        <f>IF(CX$81="","",Underwriting!DC206)</f>
        <v/>
      </c>
      <c r="CY90" s="174" t="str">
        <f>IF(CY$81="","",Underwriting!DD206)</f>
        <v/>
      </c>
      <c r="CZ90" s="174" t="str">
        <f>IF(CZ$81="","",Underwriting!DE206)</f>
        <v/>
      </c>
      <c r="DA90" s="174" t="str">
        <f>IF(DA$81="","",Underwriting!DF206)</f>
        <v/>
      </c>
      <c r="DB90" s="174" t="str">
        <f>IF(DB$81="","",Underwriting!DG206)</f>
        <v/>
      </c>
      <c r="DC90" s="174" t="str">
        <f>IF(DC$81="","",Underwriting!DH206)</f>
        <v/>
      </c>
      <c r="DD90" s="174" t="str">
        <f>IF(DD$81="","",Underwriting!DI206)</f>
        <v/>
      </c>
      <c r="DE90" s="174" t="str">
        <f>IF(DE$81="","",Underwriting!DJ206)</f>
        <v/>
      </c>
      <c r="DF90" s="174" t="str">
        <f>IF(DF$81="","",Underwriting!DK206)</f>
        <v/>
      </c>
      <c r="DG90" s="174" t="str">
        <f>IF(DG$81="","",Underwriting!DL206)</f>
        <v/>
      </c>
      <c r="DH90" s="174" t="str">
        <f>IF(DH$81="","",Underwriting!DM206)</f>
        <v/>
      </c>
      <c r="DI90" s="174" t="str">
        <f>IF(DI$81="","",Underwriting!DN206)</f>
        <v/>
      </c>
      <c r="DJ90" s="174" t="str">
        <f>IF(DJ$81="","",Underwriting!DO206)</f>
        <v/>
      </c>
      <c r="DK90" s="174" t="str">
        <f>IF(DK$81="","",Underwriting!DP206)</f>
        <v/>
      </c>
      <c r="DL90" s="174" t="str">
        <f>IF(DL$81="","",Underwriting!DQ206)</f>
        <v/>
      </c>
      <c r="DM90" s="174" t="str">
        <f>IF(DM$81="","",Underwriting!DR206)</f>
        <v/>
      </c>
      <c r="DN90" s="174" t="str">
        <f>IF(DN$81="","",Underwriting!DS206)</f>
        <v/>
      </c>
      <c r="DO90" s="174" t="str">
        <f>IF(DO$81="","",Underwriting!DT206)</f>
        <v/>
      </c>
      <c r="DP90" s="174" t="str">
        <f>IF(DP$81="","",Underwriting!DU206)</f>
        <v/>
      </c>
      <c r="DQ90" s="174" t="str">
        <f>IF(DQ$81="","",Underwriting!DV206)</f>
        <v/>
      </c>
      <c r="DR90" s="174" t="str">
        <f>IF(DR$81="","",Underwriting!DW206)</f>
        <v/>
      </c>
      <c r="DS90" s="174" t="str">
        <f>IF(DS$81="","",Underwriting!DX206)</f>
        <v/>
      </c>
      <c r="DT90" s="174" t="str">
        <f>IF(DT$81="","",Underwriting!DY206)</f>
        <v/>
      </c>
      <c r="DU90" s="174" t="str">
        <f>IF(DU$81="","",Underwriting!DZ206)</f>
        <v/>
      </c>
      <c r="DV90" s="174" t="str">
        <f>IF(DV$81="","",Underwriting!EA206)</f>
        <v/>
      </c>
      <c r="DW90" s="174" t="str">
        <f>IF(DW$81="","",Underwriting!EB206)</f>
        <v/>
      </c>
      <c r="DX90" s="174" t="str">
        <f>IF(DX$81="","",Underwriting!EC206)</f>
        <v/>
      </c>
      <c r="DY90" s="174" t="str">
        <f>IF(DY$81="","",Underwriting!ED206)</f>
        <v/>
      </c>
      <c r="DZ90" s="174" t="str">
        <f>IF(DZ$81="","",Underwriting!EE206)</f>
        <v/>
      </c>
      <c r="EA90" s="174" t="str">
        <f>IF(EA$81="","",Underwriting!EF206)</f>
        <v/>
      </c>
      <c r="EB90" s="174" t="str">
        <f>IF(EB$81="","",Underwriting!EG206)</f>
        <v/>
      </c>
      <c r="EC90" s="174" t="str">
        <f>IF(EC$81="","",Underwriting!EH206)</f>
        <v/>
      </c>
      <c r="ED90" s="174" t="str">
        <f>IF(ED$81="","",Underwriting!EI206)</f>
        <v/>
      </c>
      <c r="EE90" s="174" t="str">
        <f>IF(EE$81="","",Underwriting!EJ206)</f>
        <v/>
      </c>
      <c r="EF90" s="174" t="str">
        <f>IF(EF$81="","",Underwriting!EK206)</f>
        <v/>
      </c>
      <c r="EG90" s="174" t="str">
        <f>IF(EG$81="","",Underwriting!EL206)</f>
        <v/>
      </c>
      <c r="EH90" s="174" t="str">
        <f>IF(EH$81="","",Underwriting!EM206)</f>
        <v/>
      </c>
      <c r="EI90" s="174" t="str">
        <f>IF(EI$81="","",Underwriting!EN206)</f>
        <v/>
      </c>
    </row>
    <row r="91" spans="2:139" x14ac:dyDescent="0.35">
      <c r="B91" s="34" t="s">
        <v>81</v>
      </c>
      <c r="C91" s="4"/>
      <c r="D91" s="4"/>
      <c r="E91" s="4"/>
      <c r="F91" s="4"/>
      <c r="G91" s="171">
        <f>SUM(G89:G90)</f>
        <v>0</v>
      </c>
      <c r="H91" s="171">
        <f t="shared" ref="H91:BS91" si="62">SUM(H89:H90)</f>
        <v>0</v>
      </c>
      <c r="I91" s="171">
        <f t="shared" si="62"/>
        <v>0</v>
      </c>
      <c r="J91" s="171">
        <f t="shared" si="62"/>
        <v>0</v>
      </c>
      <c r="K91" s="171">
        <f t="shared" si="62"/>
        <v>0</v>
      </c>
      <c r="L91" s="171">
        <f t="shared" si="62"/>
        <v>0</v>
      </c>
      <c r="M91" s="171">
        <f t="shared" si="62"/>
        <v>0</v>
      </c>
      <c r="N91" s="171">
        <f t="shared" si="62"/>
        <v>0</v>
      </c>
      <c r="O91" s="171">
        <f t="shared" si="62"/>
        <v>0</v>
      </c>
      <c r="P91" s="171">
        <f t="shared" si="62"/>
        <v>0</v>
      </c>
      <c r="Q91" s="171">
        <f t="shared" si="62"/>
        <v>0</v>
      </c>
      <c r="R91" s="171">
        <f t="shared" si="62"/>
        <v>0</v>
      </c>
      <c r="S91" s="169">
        <f t="shared" si="62"/>
        <v>0</v>
      </c>
      <c r="T91" s="169">
        <f t="shared" si="62"/>
        <v>0</v>
      </c>
      <c r="U91" s="169">
        <f t="shared" si="62"/>
        <v>0</v>
      </c>
      <c r="V91" s="169">
        <f t="shared" si="62"/>
        <v>0</v>
      </c>
      <c r="W91" s="169">
        <f t="shared" si="62"/>
        <v>0</v>
      </c>
      <c r="X91" s="169">
        <f t="shared" si="62"/>
        <v>0</v>
      </c>
      <c r="Y91" s="169">
        <f t="shared" si="62"/>
        <v>0</v>
      </c>
      <c r="Z91" s="169">
        <f t="shared" si="62"/>
        <v>0</v>
      </c>
      <c r="AA91" s="169">
        <f t="shared" si="62"/>
        <v>0</v>
      </c>
      <c r="AB91" s="169">
        <f t="shared" si="62"/>
        <v>0</v>
      </c>
      <c r="AC91" s="169">
        <f t="shared" si="62"/>
        <v>0</v>
      </c>
      <c r="AD91" s="169">
        <f t="shared" si="62"/>
        <v>0</v>
      </c>
      <c r="AE91" s="169">
        <f t="shared" si="62"/>
        <v>0</v>
      </c>
      <c r="AF91" s="169">
        <f t="shared" si="62"/>
        <v>0</v>
      </c>
      <c r="AG91" s="169">
        <f t="shared" si="62"/>
        <v>0</v>
      </c>
      <c r="AH91" s="169">
        <f t="shared" si="62"/>
        <v>0</v>
      </c>
      <c r="AI91" s="169">
        <f t="shared" si="62"/>
        <v>0</v>
      </c>
      <c r="AJ91" s="169">
        <f t="shared" si="62"/>
        <v>0</v>
      </c>
      <c r="AK91" s="169">
        <f t="shared" si="62"/>
        <v>0</v>
      </c>
      <c r="AL91" s="169">
        <f t="shared" si="62"/>
        <v>0</v>
      </c>
      <c r="AM91" s="169">
        <f t="shared" si="62"/>
        <v>0</v>
      </c>
      <c r="AN91" s="169">
        <f t="shared" si="62"/>
        <v>0</v>
      </c>
      <c r="AO91" s="169">
        <f t="shared" si="62"/>
        <v>0</v>
      </c>
      <c r="AP91" s="169">
        <f t="shared" si="62"/>
        <v>0</v>
      </c>
      <c r="AQ91" s="169">
        <f t="shared" si="62"/>
        <v>0</v>
      </c>
      <c r="AR91" s="169">
        <f t="shared" si="62"/>
        <v>0</v>
      </c>
      <c r="AS91" s="169">
        <f t="shared" si="62"/>
        <v>0</v>
      </c>
      <c r="AT91" s="169">
        <f t="shared" si="62"/>
        <v>0</v>
      </c>
      <c r="AU91" s="169">
        <f t="shared" si="62"/>
        <v>0</v>
      </c>
      <c r="AV91" s="169">
        <f t="shared" si="62"/>
        <v>0</v>
      </c>
      <c r="AW91" s="169">
        <f t="shared" si="62"/>
        <v>0</v>
      </c>
      <c r="AX91" s="169">
        <f t="shared" si="62"/>
        <v>0</v>
      </c>
      <c r="AY91" s="169">
        <f t="shared" si="62"/>
        <v>0</v>
      </c>
      <c r="AZ91" s="169">
        <f t="shared" si="62"/>
        <v>0</v>
      </c>
      <c r="BA91" s="169">
        <f t="shared" si="62"/>
        <v>0</v>
      </c>
      <c r="BB91" s="169">
        <f t="shared" si="62"/>
        <v>0</v>
      </c>
      <c r="BC91" s="169">
        <f t="shared" si="62"/>
        <v>0</v>
      </c>
      <c r="BD91" s="169">
        <f t="shared" si="62"/>
        <v>0</v>
      </c>
      <c r="BE91" s="169">
        <f t="shared" si="62"/>
        <v>0</v>
      </c>
      <c r="BF91" s="169">
        <f t="shared" si="62"/>
        <v>0</v>
      </c>
      <c r="BG91" s="169">
        <f t="shared" si="62"/>
        <v>0</v>
      </c>
      <c r="BH91" s="169">
        <f t="shared" si="62"/>
        <v>0</v>
      </c>
      <c r="BI91" s="169">
        <f t="shared" si="62"/>
        <v>0</v>
      </c>
      <c r="BJ91" s="169">
        <f t="shared" si="62"/>
        <v>0</v>
      </c>
      <c r="BK91" s="169">
        <f t="shared" si="62"/>
        <v>0</v>
      </c>
      <c r="BL91" s="169">
        <f t="shared" si="62"/>
        <v>0</v>
      </c>
      <c r="BM91" s="169">
        <f t="shared" si="62"/>
        <v>0</v>
      </c>
      <c r="BN91" s="169">
        <f t="shared" si="62"/>
        <v>0</v>
      </c>
      <c r="BO91" s="169">
        <f t="shared" si="62"/>
        <v>0</v>
      </c>
      <c r="BP91" s="169">
        <f t="shared" si="62"/>
        <v>472732398.42289627</v>
      </c>
      <c r="BQ91" s="169">
        <f t="shared" si="62"/>
        <v>0</v>
      </c>
      <c r="BR91" s="169">
        <f t="shared" si="62"/>
        <v>0</v>
      </c>
      <c r="BS91" s="169">
        <f t="shared" si="62"/>
        <v>0</v>
      </c>
      <c r="BT91" s="169">
        <f t="shared" ref="BT91:EE91" si="63">SUM(BT89:BT90)</f>
        <v>0</v>
      </c>
      <c r="BU91" s="169">
        <f t="shared" si="63"/>
        <v>0</v>
      </c>
      <c r="BV91" s="169">
        <f t="shared" si="63"/>
        <v>0</v>
      </c>
      <c r="BW91" s="169">
        <f t="shared" si="63"/>
        <v>0</v>
      </c>
      <c r="BX91" s="169">
        <f t="shared" si="63"/>
        <v>0</v>
      </c>
      <c r="BY91" s="169">
        <f t="shared" si="63"/>
        <v>0</v>
      </c>
      <c r="BZ91" s="169">
        <f t="shared" si="63"/>
        <v>0</v>
      </c>
      <c r="CA91" s="169">
        <f t="shared" si="63"/>
        <v>0</v>
      </c>
      <c r="CB91" s="169">
        <f t="shared" si="63"/>
        <v>0</v>
      </c>
      <c r="CC91" s="169">
        <f t="shared" si="63"/>
        <v>0</v>
      </c>
      <c r="CD91" s="169">
        <f t="shared" si="63"/>
        <v>0</v>
      </c>
      <c r="CE91" s="169">
        <f t="shared" si="63"/>
        <v>0</v>
      </c>
      <c r="CF91" s="169">
        <f t="shared" si="63"/>
        <v>0</v>
      </c>
      <c r="CG91" s="169">
        <f t="shared" si="63"/>
        <v>0</v>
      </c>
      <c r="CH91" s="169">
        <f t="shared" si="63"/>
        <v>0</v>
      </c>
      <c r="CI91" s="169">
        <f t="shared" si="63"/>
        <v>0</v>
      </c>
      <c r="CJ91" s="169">
        <f t="shared" si="63"/>
        <v>0</v>
      </c>
      <c r="CK91" s="169">
        <f t="shared" si="63"/>
        <v>0</v>
      </c>
      <c r="CL91" s="169">
        <f t="shared" si="63"/>
        <v>0</v>
      </c>
      <c r="CM91" s="169">
        <f t="shared" si="63"/>
        <v>0</v>
      </c>
      <c r="CN91" s="169">
        <f t="shared" si="63"/>
        <v>0</v>
      </c>
      <c r="CO91" s="169">
        <f t="shared" si="63"/>
        <v>0</v>
      </c>
      <c r="CP91" s="169">
        <f t="shared" si="63"/>
        <v>0</v>
      </c>
      <c r="CQ91" s="169">
        <f t="shared" si="63"/>
        <v>0</v>
      </c>
      <c r="CR91" s="169">
        <f t="shared" si="63"/>
        <v>0</v>
      </c>
      <c r="CS91" s="169">
        <f t="shared" si="63"/>
        <v>0</v>
      </c>
      <c r="CT91" s="169">
        <f t="shared" si="63"/>
        <v>0</v>
      </c>
      <c r="CU91" s="169">
        <f t="shared" si="63"/>
        <v>0</v>
      </c>
      <c r="CV91" s="169">
        <f t="shared" si="63"/>
        <v>0</v>
      </c>
      <c r="CW91" s="169">
        <f t="shared" si="63"/>
        <v>0</v>
      </c>
      <c r="CX91" s="169">
        <f t="shared" si="63"/>
        <v>0</v>
      </c>
      <c r="CY91" s="169">
        <f t="shared" si="63"/>
        <v>0</v>
      </c>
      <c r="CZ91" s="169">
        <f t="shared" si="63"/>
        <v>0</v>
      </c>
      <c r="DA91" s="169">
        <f t="shared" si="63"/>
        <v>0</v>
      </c>
      <c r="DB91" s="169">
        <f t="shared" si="63"/>
        <v>0</v>
      </c>
      <c r="DC91" s="169">
        <f t="shared" si="63"/>
        <v>0</v>
      </c>
      <c r="DD91" s="169">
        <f t="shared" si="63"/>
        <v>0</v>
      </c>
      <c r="DE91" s="169">
        <f t="shared" si="63"/>
        <v>0</v>
      </c>
      <c r="DF91" s="169">
        <f t="shared" si="63"/>
        <v>0</v>
      </c>
      <c r="DG91" s="169">
        <f t="shared" si="63"/>
        <v>0</v>
      </c>
      <c r="DH91" s="169">
        <f t="shared" si="63"/>
        <v>0</v>
      </c>
      <c r="DI91" s="169">
        <f t="shared" si="63"/>
        <v>0</v>
      </c>
      <c r="DJ91" s="169">
        <f t="shared" si="63"/>
        <v>0</v>
      </c>
      <c r="DK91" s="169">
        <f t="shared" si="63"/>
        <v>0</v>
      </c>
      <c r="DL91" s="169">
        <f t="shared" si="63"/>
        <v>0</v>
      </c>
      <c r="DM91" s="169">
        <f t="shared" si="63"/>
        <v>0</v>
      </c>
      <c r="DN91" s="169">
        <f t="shared" si="63"/>
        <v>0</v>
      </c>
      <c r="DO91" s="169">
        <f t="shared" si="63"/>
        <v>0</v>
      </c>
      <c r="DP91" s="169">
        <f t="shared" si="63"/>
        <v>0</v>
      </c>
      <c r="DQ91" s="169">
        <f t="shared" si="63"/>
        <v>0</v>
      </c>
      <c r="DR91" s="169">
        <f t="shared" si="63"/>
        <v>0</v>
      </c>
      <c r="DS91" s="169">
        <f t="shared" si="63"/>
        <v>0</v>
      </c>
      <c r="DT91" s="169">
        <f t="shared" si="63"/>
        <v>0</v>
      </c>
      <c r="DU91" s="169">
        <f t="shared" si="63"/>
        <v>0</v>
      </c>
      <c r="DV91" s="169">
        <f t="shared" si="63"/>
        <v>0</v>
      </c>
      <c r="DW91" s="169">
        <f t="shared" si="63"/>
        <v>0</v>
      </c>
      <c r="DX91" s="169">
        <f t="shared" si="63"/>
        <v>0</v>
      </c>
      <c r="DY91" s="169">
        <f t="shared" si="63"/>
        <v>0</v>
      </c>
      <c r="DZ91" s="169">
        <f t="shared" si="63"/>
        <v>0</v>
      </c>
      <c r="EA91" s="169">
        <f t="shared" si="63"/>
        <v>0</v>
      </c>
      <c r="EB91" s="169">
        <f t="shared" si="63"/>
        <v>0</v>
      </c>
      <c r="EC91" s="169">
        <f t="shared" si="63"/>
        <v>0</v>
      </c>
      <c r="ED91" s="169">
        <f t="shared" si="63"/>
        <v>0</v>
      </c>
      <c r="EE91" s="169">
        <f t="shared" si="63"/>
        <v>0</v>
      </c>
      <c r="EF91" s="169">
        <f>SUM(EF89:EF90)</f>
        <v>0</v>
      </c>
      <c r="EG91" s="169">
        <f>SUM(EG89:EG90)</f>
        <v>0</v>
      </c>
      <c r="EH91" s="169">
        <f>SUM(EH89:EH90)</f>
        <v>0</v>
      </c>
      <c r="EI91" s="169">
        <f>SUM(EI89:EI90)</f>
        <v>0</v>
      </c>
    </row>
    <row r="92" spans="2:139" x14ac:dyDescent="0.35">
      <c r="B92" s="34"/>
      <c r="C92" s="4"/>
      <c r="D92" s="4"/>
      <c r="E92" s="4"/>
      <c r="F92" s="4"/>
      <c r="G92" s="171"/>
      <c r="H92" s="171"/>
      <c r="I92" s="171"/>
      <c r="J92" s="171"/>
      <c r="K92" s="171"/>
      <c r="L92" s="171"/>
      <c r="M92" s="171"/>
      <c r="N92" s="171"/>
      <c r="O92" s="171"/>
      <c r="P92" s="171"/>
      <c r="Q92" s="171"/>
      <c r="R92" s="171"/>
      <c r="S92" s="169"/>
      <c r="T92" s="169"/>
      <c r="U92" s="169"/>
      <c r="V92" s="169"/>
      <c r="W92" s="169"/>
      <c r="X92" s="169"/>
      <c r="Y92" s="169"/>
      <c r="Z92" s="169"/>
      <c r="AA92" s="169"/>
      <c r="AB92" s="169"/>
      <c r="AC92" s="169"/>
      <c r="AD92" s="169"/>
      <c r="AE92" s="169"/>
      <c r="AF92" s="169"/>
      <c r="AG92" s="169"/>
      <c r="AH92" s="169"/>
      <c r="AI92" s="169"/>
      <c r="AJ92" s="169"/>
      <c r="AK92" s="169"/>
      <c r="AL92" s="169"/>
      <c r="AM92" s="169"/>
      <c r="AN92" s="169"/>
      <c r="AO92" s="169"/>
      <c r="AP92" s="169"/>
      <c r="AQ92" s="169"/>
      <c r="AR92" s="169"/>
      <c r="AS92" s="169"/>
      <c r="AT92" s="169"/>
      <c r="AU92" s="169"/>
      <c r="AV92" s="169"/>
      <c r="AW92" s="169"/>
      <c r="AX92" s="169"/>
      <c r="AY92" s="169"/>
      <c r="AZ92" s="169"/>
      <c r="BA92" s="169"/>
      <c r="BB92" s="169"/>
      <c r="BC92" s="169"/>
      <c r="BD92" s="169"/>
      <c r="BE92" s="169"/>
      <c r="BF92" s="169"/>
      <c r="BG92" s="169"/>
      <c r="BH92" s="169"/>
      <c r="BI92" s="169"/>
      <c r="BJ92" s="169"/>
      <c r="BK92" s="169"/>
      <c r="BL92" s="169"/>
      <c r="BM92" s="169"/>
      <c r="BN92" s="169"/>
      <c r="BO92" s="169"/>
      <c r="BP92" s="169"/>
      <c r="BQ92" s="169"/>
      <c r="BR92" s="169"/>
      <c r="BS92" s="169"/>
      <c r="BT92" s="169"/>
      <c r="BU92" s="169"/>
      <c r="BV92" s="169"/>
      <c r="BW92" s="169"/>
      <c r="BX92" s="169"/>
      <c r="BY92" s="169"/>
      <c r="BZ92" s="169"/>
      <c r="CA92" s="169"/>
      <c r="CB92" s="169"/>
      <c r="CC92" s="169"/>
      <c r="CD92" s="169"/>
      <c r="CE92" s="169"/>
      <c r="CF92" s="169"/>
      <c r="CG92" s="169"/>
      <c r="CH92" s="169"/>
      <c r="CI92" s="169"/>
      <c r="CJ92" s="169"/>
      <c r="CK92" s="169"/>
      <c r="CL92" s="169"/>
      <c r="CM92" s="169"/>
      <c r="CN92" s="169"/>
      <c r="CO92" s="169"/>
      <c r="CP92" s="169"/>
      <c r="CQ92" s="169"/>
      <c r="CR92" s="169"/>
      <c r="CS92" s="169"/>
      <c r="CT92" s="169"/>
      <c r="CU92" s="169"/>
      <c r="CV92" s="169"/>
      <c r="CW92" s="169"/>
      <c r="CX92" s="169"/>
      <c r="CY92" s="169"/>
      <c r="CZ92" s="169"/>
      <c r="DA92" s="169"/>
      <c r="DB92" s="169"/>
      <c r="DC92" s="169"/>
      <c r="DD92" s="169"/>
      <c r="DE92" s="169"/>
      <c r="DF92" s="169"/>
      <c r="DG92" s="169"/>
      <c r="DH92" s="169"/>
      <c r="DI92" s="169"/>
      <c r="DJ92" s="169"/>
      <c r="DK92" s="169"/>
      <c r="DL92" s="169"/>
      <c r="DM92" s="169"/>
      <c r="DN92" s="169"/>
      <c r="DO92" s="169"/>
      <c r="DP92" s="169"/>
      <c r="DQ92" s="169"/>
      <c r="DR92" s="169"/>
      <c r="DS92" s="169"/>
      <c r="DT92" s="169"/>
      <c r="DU92" s="169"/>
      <c r="DV92" s="169"/>
      <c r="DW92" s="169"/>
      <c r="DX92" s="169"/>
      <c r="DY92" s="169"/>
      <c r="DZ92" s="169"/>
      <c r="EA92" s="169"/>
      <c r="EB92" s="169"/>
      <c r="EC92" s="169"/>
      <c r="ED92" s="169"/>
      <c r="EE92" s="169"/>
      <c r="EF92" s="169"/>
      <c r="EG92" s="169"/>
      <c r="EH92" s="169"/>
      <c r="EI92" s="169"/>
    </row>
    <row r="93" spans="2:139" x14ac:dyDescent="0.35">
      <c r="B93" s="61" t="s">
        <v>402</v>
      </c>
      <c r="C93" s="4"/>
      <c r="D93" s="4"/>
      <c r="E93" s="4"/>
      <c r="F93" s="4"/>
      <c r="G93" s="171">
        <f>IF(G$81="","",Underwriting!L211)</f>
        <v>-93017714.091035873</v>
      </c>
      <c r="H93" s="171">
        <f>IF(H$81="","",Underwriting!M211)</f>
        <v>-882028.36212584306</v>
      </c>
      <c r="I93" s="171">
        <f>IF(I$81="","",Underwriting!N211)</f>
        <v>-1153238.7592138182</v>
      </c>
      <c r="J93" s="171">
        <f>IF(J$81="","",Underwriting!O211)</f>
        <v>-1540571.8400115801</v>
      </c>
      <c r="K93" s="171">
        <f>IF(K$81="","",Underwriting!P211)</f>
        <v>-2077208.6703043352</v>
      </c>
      <c r="L93" s="171">
        <f>IF(L$81="","",Underwriting!Q211)</f>
        <v>-2798042.1575110573</v>
      </c>
      <c r="M93" s="171">
        <f>IF(M$81="","",Underwriting!R211)</f>
        <v>-3736098.8558910517</v>
      </c>
      <c r="N93" s="171">
        <f>IF(N$81="","",Underwriting!S211)</f>
        <v>-4917681.2983414307</v>
      </c>
      <c r="O93" s="171">
        <f>IF(O$81="","",Underwriting!T211)</f>
        <v>-6356585.443407244</v>
      </c>
      <c r="P93" s="171">
        <f>IF(P$81="","",Underwriting!U211)</f>
        <v>-8048084.8374454733</v>
      </c>
      <c r="Q93" s="171">
        <f>IF(Q$81="","",Underwriting!V211)</f>
        <v>-9963673.1491933651</v>
      </c>
      <c r="R93" s="171">
        <f>IF(R$81="","",Underwriting!W211)</f>
        <v>-12047726.791351493</v>
      </c>
      <c r="S93" s="169">
        <f>IF(S$81="","",Underwriting!X211)</f>
        <v>-14217202.323856961</v>
      </c>
      <c r="T93" s="169">
        <f>IF(T$81="","",Underwriting!Y211)</f>
        <v>-16365167.698586643</v>
      </c>
      <c r="U93" s="169">
        <f>IF(U$81="","",Underwriting!Z211)</f>
        <v>-18368392.667920161</v>
      </c>
      <c r="V93" s="169">
        <f>IF(V$81="","",Underwriting!AA211)</f>
        <v>-20098477.243874725</v>
      </c>
      <c r="W93" s="169">
        <f>IF(W$81="","",Underwriting!AB211)</f>
        <v>-21435229.253932979</v>
      </c>
      <c r="X93" s="169">
        <f>IF(X$81="","",Underwriting!AC211)</f>
        <v>-22280397.403045714</v>
      </c>
      <c r="Y93" s="169">
        <f>IF(Y$81="","",Underwriting!AD211)</f>
        <v>-22569593.467381995</v>
      </c>
      <c r="Z93" s="169">
        <f>IF(Z$81="","",Underwriting!AE211)</f>
        <v>-22280397.403045733</v>
      </c>
      <c r="AA93" s="169">
        <f>IF(AA$81="","",Underwriting!AF211)</f>
        <v>-21435229.253932942</v>
      </c>
      <c r="AB93" s="169">
        <f>IF(AB$81="","",Underwriting!AG211)</f>
        <v>-20098477.243874762</v>
      </c>
      <c r="AC93" s="169">
        <f>IF(AC$81="","",Underwriting!AH211)</f>
        <v>-17651726.001253467</v>
      </c>
      <c r="AD93" s="169">
        <f>IF(AD$81="","",Underwriting!AI211)</f>
        <v>-15648501.031919977</v>
      </c>
      <c r="AE93" s="169">
        <f>IF(AE$81="","",Underwriting!AJ211)</f>
        <v>-13500535.657190321</v>
      </c>
      <c r="AF93" s="169">
        <f>IF(AF$81="","",Underwriting!AK211)</f>
        <v>-11114393.45801813</v>
      </c>
      <c r="AG93" s="169">
        <f>IF(AG$81="","",Underwriting!AL211)</f>
        <v>-9030339.8158600312</v>
      </c>
      <c r="AH93" s="169">
        <f>IF(AH$81="","",Underwriting!AM211)</f>
        <v>-7114751.5041121645</v>
      </c>
      <c r="AI93" s="169">
        <f>IF(AI$81="","",Underwriting!AN211)</f>
        <v>-5249085.4434072273</v>
      </c>
      <c r="AJ93" s="169">
        <f>IF(AJ$81="","",Underwriting!AO211)</f>
        <v>-3810181.2983414317</v>
      </c>
      <c r="AK93" s="169">
        <f>IF(AK$81="","",Underwriting!AP211)</f>
        <v>-2628598.8558910657</v>
      </c>
      <c r="AL93" s="169">
        <f>IF(AL$81="","",Underwriting!AQ211)</f>
        <v>-1532208.8241777087</v>
      </c>
      <c r="AM93" s="169">
        <f>IF(AM$81="","",Underwriting!AR211)</f>
        <v>-811375.33697100775</v>
      </c>
      <c r="AN93" s="169">
        <f>IF(AN$81="","",Underwriting!AS211)</f>
        <v>-274738.5066782278</v>
      </c>
      <c r="AO93" s="169">
        <f>IF(AO$81="","",Underwriting!AT211)</f>
        <v>145177.90745282592</v>
      </c>
      <c r="AP93" s="169">
        <f>IF(AP$81="","",Underwriting!AU211)</f>
        <v>416388.30454083928</v>
      </c>
      <c r="AQ93" s="169">
        <f>IF(AQ$81="","",Underwriting!AV211)</f>
        <v>600702.57563078811</v>
      </c>
      <c r="AR93" s="169">
        <f>IF(AR$81="","",Underwriting!AW211)</f>
        <v>1329966.833333333</v>
      </c>
      <c r="AS93" s="169">
        <f>IF(AS$81="","",Underwriting!AX211)</f>
        <v>1537461.250366004</v>
      </c>
      <c r="AT93" s="169">
        <f>IF(AT$81="","",Underwriting!AY211)</f>
        <v>1744955.6673986751</v>
      </c>
      <c r="AU93" s="169">
        <f>IF(AU$81="","",Underwriting!AZ211)</f>
        <v>1960527.6614040788</v>
      </c>
      <c r="AV93" s="169">
        <f>IF(AV$81="","",Underwriting!BA211)</f>
        <v>2168682.6596498829</v>
      </c>
      <c r="AW93" s="169">
        <f>IF(AW$81="","",Underwriting!BB211)</f>
        <v>2376837.6578956875</v>
      </c>
      <c r="AX93" s="169">
        <f>IF(AX$81="","",Underwriting!BC211)</f>
        <v>2590534.3228081581</v>
      </c>
      <c r="AY93" s="169">
        <f>IF(AY$81="","",Underwriting!BD211)</f>
        <v>2798689.3210539622</v>
      </c>
      <c r="AZ93" s="169">
        <f>IF(AZ$81="","",Underwriting!BE211)</f>
        <v>3006844.3192997663</v>
      </c>
      <c r="BA93" s="169">
        <f>IF(BA$81="","",Underwriting!BF211)</f>
        <v>3241223.0675455704</v>
      </c>
      <c r="BB93" s="169">
        <f>IF(BB$81="","",Underwriting!BG211)</f>
        <v>3449378.065791375</v>
      </c>
      <c r="BC93" s="169">
        <f>IF(BC$81="","",Underwriting!BH211)</f>
        <v>3657533.0640371782</v>
      </c>
      <c r="BD93" s="169">
        <f>IF(BD$81="","",Underwriting!BI211)</f>
        <v>3936582.4825900565</v>
      </c>
      <c r="BE93" s="169">
        <f>IF(BE$81="","",Underwriting!BJ211)</f>
        <v>3936582.4825900565</v>
      </c>
      <c r="BF93" s="169">
        <f>IF(BF$81="","",Underwriting!BK211)</f>
        <v>3936582.4825900565</v>
      </c>
      <c r="BG93" s="169">
        <f>IF(BG$81="","",Underwriting!BL211)</f>
        <v>3942891.6700900565</v>
      </c>
      <c r="BH93" s="169">
        <f>IF(BH$81="","",Underwriting!BM211)</f>
        <v>3942891.6700900565</v>
      </c>
      <c r="BI93" s="169">
        <f>IF(BI$81="","",Underwriting!BN211)</f>
        <v>3942891.6700900565</v>
      </c>
      <c r="BJ93" s="169">
        <f>IF(BJ$81="","",Underwriting!BO211)</f>
        <v>3948627.2950900565</v>
      </c>
      <c r="BK93" s="169">
        <f>IF(BK$81="","",Underwriting!BP211)</f>
        <v>3948627.2950900565</v>
      </c>
      <c r="BL93" s="169">
        <f>IF(BL$81="","",Underwriting!BQ211)</f>
        <v>3948627.2950900565</v>
      </c>
      <c r="BM93" s="169">
        <f>IF(BM$81="","",Underwriting!BR211)</f>
        <v>3975768.8763400572</v>
      </c>
      <c r="BN93" s="169">
        <f>IF(BN$81="","",Underwriting!BS211)</f>
        <v>3975768.8763400572</v>
      </c>
      <c r="BO93" s="169">
        <f>IF(BO$81="","",Underwriting!BT211)</f>
        <v>3975768.8763400572</v>
      </c>
      <c r="BP93" s="169">
        <f>IF(BP$81="","",Underwriting!BU211)</f>
        <v>711983566.07476461</v>
      </c>
      <c r="BQ93" s="169" t="str">
        <f>IF(BQ$81="","",Underwriting!BV211)</f>
        <v/>
      </c>
      <c r="BR93" s="169" t="str">
        <f>IF(BR$81="","",Underwriting!BW211)</f>
        <v/>
      </c>
      <c r="BS93" s="169" t="str">
        <f>IF(BS$81="","",Underwriting!BX211)</f>
        <v/>
      </c>
      <c r="BT93" s="169" t="str">
        <f>IF(BT$81="","",Underwriting!BY211)</f>
        <v/>
      </c>
      <c r="BU93" s="169" t="str">
        <f>IF(BU$81="","",Underwriting!BZ211)</f>
        <v/>
      </c>
      <c r="BV93" s="169" t="str">
        <f>IF(BV$81="","",Underwriting!CA211)</f>
        <v/>
      </c>
      <c r="BW93" s="169" t="str">
        <f>IF(BW$81="","",Underwriting!CB211)</f>
        <v/>
      </c>
      <c r="BX93" s="169" t="str">
        <f>IF(BX$81="","",Underwriting!CC211)</f>
        <v/>
      </c>
      <c r="BY93" s="169" t="str">
        <f>IF(BY$81="","",Underwriting!CD211)</f>
        <v/>
      </c>
      <c r="BZ93" s="169" t="str">
        <f>IF(BZ$81="","",Underwriting!CE211)</f>
        <v/>
      </c>
      <c r="CA93" s="169" t="str">
        <f>IF(CA$81="","",Underwriting!CF211)</f>
        <v/>
      </c>
      <c r="CB93" s="169" t="str">
        <f>IF(CB$81="","",Underwriting!CG211)</f>
        <v/>
      </c>
      <c r="CC93" s="169" t="str">
        <f>IF(CC$81="","",Underwriting!CH211)</f>
        <v/>
      </c>
      <c r="CD93" s="169" t="str">
        <f>IF(CD$81="","",Underwriting!CI211)</f>
        <v/>
      </c>
      <c r="CE93" s="169" t="str">
        <f>IF(CE$81="","",Underwriting!CJ211)</f>
        <v/>
      </c>
      <c r="CF93" s="169" t="str">
        <f>IF(CF$81="","",Underwriting!CK211)</f>
        <v/>
      </c>
      <c r="CG93" s="169" t="str">
        <f>IF(CG$81="","",Underwriting!CL211)</f>
        <v/>
      </c>
      <c r="CH93" s="169" t="str">
        <f>IF(CH$81="","",Underwriting!CM211)</f>
        <v/>
      </c>
      <c r="CI93" s="169" t="str">
        <f>IF(CI$81="","",Underwriting!CN211)</f>
        <v/>
      </c>
      <c r="CJ93" s="169" t="str">
        <f>IF(CJ$81="","",Underwriting!CO211)</f>
        <v/>
      </c>
      <c r="CK93" s="169" t="str">
        <f>IF(CK$81="","",Underwriting!CP211)</f>
        <v/>
      </c>
      <c r="CL93" s="169" t="str">
        <f>IF(CL$81="","",Underwriting!CQ211)</f>
        <v/>
      </c>
      <c r="CM93" s="169" t="str">
        <f>IF(CM$81="","",Underwriting!CR211)</f>
        <v/>
      </c>
      <c r="CN93" s="169" t="str">
        <f>IF(CN$81="","",Underwriting!CS211)</f>
        <v/>
      </c>
      <c r="CO93" s="169" t="str">
        <f>IF(CO$81="","",Underwriting!CT211)</f>
        <v/>
      </c>
      <c r="CP93" s="169" t="str">
        <f>IF(CP$81="","",Underwriting!CU211)</f>
        <v/>
      </c>
      <c r="CQ93" s="169" t="str">
        <f>IF(CQ$81="","",Underwriting!CV211)</f>
        <v/>
      </c>
      <c r="CR93" s="169" t="str">
        <f>IF(CR$81="","",Underwriting!CW211)</f>
        <v/>
      </c>
      <c r="CS93" s="169" t="str">
        <f>IF(CS$81="","",Underwriting!CX211)</f>
        <v/>
      </c>
      <c r="CT93" s="169" t="str">
        <f>IF(CT$81="","",Underwriting!CY211)</f>
        <v/>
      </c>
      <c r="CU93" s="169" t="str">
        <f>IF(CU$81="","",Underwriting!CZ211)</f>
        <v/>
      </c>
      <c r="CV93" s="169" t="str">
        <f>IF(CV$81="","",Underwriting!DA211)</f>
        <v/>
      </c>
      <c r="CW93" s="169" t="str">
        <f>IF(CW$81="","",Underwriting!DB211)</f>
        <v/>
      </c>
      <c r="CX93" s="169" t="str">
        <f>IF(CX$81="","",Underwriting!DC211)</f>
        <v/>
      </c>
      <c r="CY93" s="169" t="str">
        <f>IF(CY$81="","",Underwriting!DD211)</f>
        <v/>
      </c>
      <c r="CZ93" s="169" t="str">
        <f>IF(CZ$81="","",Underwriting!DE211)</f>
        <v/>
      </c>
      <c r="DA93" s="169" t="str">
        <f>IF(DA$81="","",Underwriting!DF211)</f>
        <v/>
      </c>
      <c r="DB93" s="169" t="str">
        <f>IF(DB$81="","",Underwriting!DG211)</f>
        <v/>
      </c>
      <c r="DC93" s="169" t="str">
        <f>IF(DC$81="","",Underwriting!DH211)</f>
        <v/>
      </c>
      <c r="DD93" s="169" t="str">
        <f>IF(DD$81="","",Underwriting!DI211)</f>
        <v/>
      </c>
      <c r="DE93" s="169" t="str">
        <f>IF(DE$81="","",Underwriting!DJ211)</f>
        <v/>
      </c>
      <c r="DF93" s="169" t="str">
        <f>IF(DF$81="","",Underwriting!DK211)</f>
        <v/>
      </c>
      <c r="DG93" s="169" t="str">
        <f>IF(DG$81="","",Underwriting!DL211)</f>
        <v/>
      </c>
      <c r="DH93" s="169" t="str">
        <f>IF(DH$81="","",Underwriting!DM211)</f>
        <v/>
      </c>
      <c r="DI93" s="169" t="str">
        <f>IF(DI$81="","",Underwriting!DN211)</f>
        <v/>
      </c>
      <c r="DJ93" s="169" t="str">
        <f>IF(DJ$81="","",Underwriting!DO211)</f>
        <v/>
      </c>
      <c r="DK93" s="169" t="str">
        <f>IF(DK$81="","",Underwriting!DP211)</f>
        <v/>
      </c>
      <c r="DL93" s="169" t="str">
        <f>IF(DL$81="","",Underwriting!DQ211)</f>
        <v/>
      </c>
      <c r="DM93" s="169" t="str">
        <f>IF(DM$81="","",Underwriting!DR211)</f>
        <v/>
      </c>
      <c r="DN93" s="169" t="str">
        <f>IF(DN$81="","",Underwriting!DS211)</f>
        <v/>
      </c>
      <c r="DO93" s="169" t="str">
        <f>IF(DO$81="","",Underwriting!DT211)</f>
        <v/>
      </c>
      <c r="DP93" s="169" t="str">
        <f>IF(DP$81="","",Underwriting!DU211)</f>
        <v/>
      </c>
      <c r="DQ93" s="169" t="str">
        <f>IF(DQ$81="","",Underwriting!DV211)</f>
        <v/>
      </c>
      <c r="DR93" s="169" t="str">
        <f>IF(DR$81="","",Underwriting!DW211)</f>
        <v/>
      </c>
      <c r="DS93" s="169" t="str">
        <f>IF(DS$81="","",Underwriting!DX211)</f>
        <v/>
      </c>
      <c r="DT93" s="169" t="str">
        <f>IF(DT$81="","",Underwriting!DY211)</f>
        <v/>
      </c>
      <c r="DU93" s="169" t="str">
        <f>IF(DU$81="","",Underwriting!DZ211)</f>
        <v/>
      </c>
      <c r="DV93" s="169" t="str">
        <f>IF(DV$81="","",Underwriting!EA211)</f>
        <v/>
      </c>
      <c r="DW93" s="169" t="str">
        <f>IF(DW$81="","",Underwriting!EB211)</f>
        <v/>
      </c>
      <c r="DX93" s="169" t="str">
        <f>IF(DX$81="","",Underwriting!EC211)</f>
        <v/>
      </c>
      <c r="DY93" s="169" t="str">
        <f>IF(DY$81="","",Underwriting!ED211)</f>
        <v/>
      </c>
      <c r="DZ93" s="169" t="str">
        <f>IF(DZ$81="","",Underwriting!EE211)</f>
        <v/>
      </c>
      <c r="EA93" s="169" t="str">
        <f>IF(EA$81="","",Underwriting!EF211)</f>
        <v/>
      </c>
      <c r="EB93" s="169" t="str">
        <f>IF(EB$81="","",Underwriting!EG211)</f>
        <v/>
      </c>
      <c r="EC93" s="169" t="str">
        <f>IF(EC$81="","",Underwriting!EH211)</f>
        <v/>
      </c>
      <c r="ED93" s="169" t="str">
        <f>IF(ED$81="","",Underwriting!EI211)</f>
        <v/>
      </c>
      <c r="EE93" s="169" t="str">
        <f>IF(EE$81="","",Underwriting!EJ211)</f>
        <v/>
      </c>
      <c r="EF93" s="169" t="str">
        <f>IF(EF$81="","",Underwriting!EK211)</f>
        <v/>
      </c>
      <c r="EG93" s="169" t="str">
        <f>IF(EG$81="","",Underwriting!EL211)</f>
        <v/>
      </c>
      <c r="EH93" s="169" t="str">
        <f>IF(EH$81="","",Underwriting!EM211)</f>
        <v/>
      </c>
      <c r="EI93" s="169" t="str">
        <f>IF(EI$81="","",Underwriting!EN211)</f>
        <v/>
      </c>
    </row>
    <row r="94" spans="2:139" x14ac:dyDescent="0.35">
      <c r="B94" s="61" t="s">
        <v>404</v>
      </c>
      <c r="C94" s="4"/>
      <c r="D94" s="4"/>
      <c r="E94" s="4"/>
      <c r="F94" s="4"/>
      <c r="G94" s="171">
        <f>IF(G$81="","",Underwriting!L212)</f>
        <v>-76389582.872717112</v>
      </c>
      <c r="H94" s="171">
        <f>IF(H$81="","",Underwriting!M212)</f>
        <v>70562.268970067496</v>
      </c>
      <c r="I94" s="171">
        <f>IF(I$81="","",Underwriting!N212)</f>
        <v>0</v>
      </c>
      <c r="J94" s="171">
        <f>IF(J$81="","",Underwriting!O212)</f>
        <v>52683.47823085892</v>
      </c>
      <c r="K94" s="171">
        <f>IF(K$81="","",Underwriting!P212)</f>
        <v>73917.592887241393</v>
      </c>
      <c r="L94" s="171">
        <f>IF(L$81="","",Underwriting!Q212)</f>
        <v>100597.62539995834</v>
      </c>
      <c r="M94" s="171">
        <f>IF(M$81="","",Underwriting!R212)</f>
        <v>132711.21484693745</v>
      </c>
      <c r="N94" s="171">
        <f>IF(N$81="","",Underwriting!S212)</f>
        <v>169571.13126643002</v>
      </c>
      <c r="O94" s="171">
        <f>IF(O$81="","",Underwriting!T212)</f>
        <v>209638.92700129561</v>
      </c>
      <c r="P94" s="171">
        <f>IF(P$81="","",Underwriting!U212)</f>
        <v>250432.28312832303</v>
      </c>
      <c r="Q94" s="171">
        <f>IF(Q$81="","",Underwriting!V212)</f>
        <v>288567.01646289043</v>
      </c>
      <c r="R94" s="171">
        <f>IF(R$81="","",Underwriting!W212)</f>
        <v>319971.35631248169</v>
      </c>
      <c r="S94" s="169">
        <f>IF(S$81="","",Underwriting!X212)</f>
        <v>340282.33397308737</v>
      </c>
      <c r="T94" s="169">
        <f>IF(T$81="","",Underwriting!Y212)</f>
        <v>-1932832.6541841328</v>
      </c>
      <c r="U94" s="169">
        <f>IF(U$81="","",Underwriting!Z212)</f>
        <v>-9018148.7201975472</v>
      </c>
      <c r="V94" s="169">
        <f>IF(V$81="","",Underwriting!AA212)</f>
        <v>-9899906.2401258312</v>
      </c>
      <c r="W94" s="169">
        <f>IF(W$81="","",Underwriting!AB212)</f>
        <v>-10594941.16352598</v>
      </c>
      <c r="X94" s="169">
        <f>IF(X$81="","",Underwriting!AC212)</f>
        <v>-11168623.014029484</v>
      </c>
      <c r="Y94" s="169">
        <f>IF(Y$81="","",Underwriting!AD212)</f>
        <v>-11476435.484353572</v>
      </c>
      <c r="Z94" s="169">
        <f>IF(Z$81="","",Underwriting!AE212)</f>
        <v>-11500747.807484064</v>
      </c>
      <c r="AA94" s="169">
        <f>IF(AA$81="","",Underwriting!AF212)</f>
        <v>-11200802.193184778</v>
      </c>
      <c r="AB94" s="169">
        <f>IF(AB$81="","",Underwriting!AG212)</f>
        <v>-10560401.808855567</v>
      </c>
      <c r="AC94" s="169">
        <f>IF(AC$81="","",Underwriting!AH212)</f>
        <v>-9007015.4887131397</v>
      </c>
      <c r="AD94" s="169">
        <f>IF(AD$81="","",Underwriting!AI212)</f>
        <v>-8037972.8637852902</v>
      </c>
      <c r="AE94" s="169">
        <f>IF(AE$81="","",Underwriting!AJ212)</f>
        <v>-7003744.5955059687</v>
      </c>
      <c r="AF94" s="169">
        <f>IF(AF$81="","",Underwriting!AK212)</f>
        <v>-5750851.2834514072</v>
      </c>
      <c r="AG94" s="169">
        <f>IF(AG$81="","",Underwriting!AL212)</f>
        <v>-4766158.5265351916</v>
      </c>
      <c r="AH94" s="169">
        <f>IF(AH$81="","",Underwriting!AM212)</f>
        <v>-3873205.3960134638</v>
      </c>
      <c r="AI94" s="169">
        <f>IF(AI$81="","",Underwriting!AN212)</f>
        <v>-2923275.520515983</v>
      </c>
      <c r="AJ94" s="169">
        <f>IF(AJ$81="","",Underwriting!AO212)</f>
        <v>-2276010.0856580529</v>
      </c>
      <c r="AK94" s="169">
        <f>IF(AK$81="","",Underwriting!AP212)</f>
        <v>-2650739.4435757259</v>
      </c>
      <c r="AL94" s="169">
        <f>IF(AL$81="","",Underwriting!AQ212)</f>
        <v>-2596004.2703655614</v>
      </c>
      <c r="AM94" s="169">
        <f>IF(AM$81="","",Underwriting!AR212)</f>
        <v>-1937292.4101016719</v>
      </c>
      <c r="AN94" s="169">
        <f>IF(AN$81="","",Underwriting!AS212)</f>
        <v>-1455784.2709663643</v>
      </c>
      <c r="AO94" s="169">
        <f>IF(AO$81="","",Underwriting!AT212)</f>
        <v>-1083442.3940526801</v>
      </c>
      <c r="AP94" s="169">
        <f>IF(AP$81="","",Underwriting!AU212)</f>
        <v>-852358.66986050736</v>
      </c>
      <c r="AQ94" s="169">
        <f>IF(AQ$81="","",Underwriting!AV212)</f>
        <v>-701328.93346127542</v>
      </c>
      <c r="AR94" s="169">
        <f>IF(AR$81="","",Underwriting!AW212)</f>
        <v>-35865.47816403769</v>
      </c>
      <c r="AS94" s="169">
        <f>IF(AS$81="","",Underwriting!AX212)</f>
        <v>164230.6805146893</v>
      </c>
      <c r="AT94" s="169">
        <f>IF(AT$81="","",Underwriting!AY212)</f>
        <v>364286.76529399911</v>
      </c>
      <c r="AU94" s="169">
        <f>IF(AU$81="","",Underwriting!AZ212)</f>
        <v>572380.13607966923</v>
      </c>
      <c r="AV94" s="169">
        <f>IF(AV$81="","",Underwriting!BA212)</f>
        <v>773016.00189663284</v>
      </c>
      <c r="AW94" s="169">
        <f>IF(AW$81="","",Underwriting!BB212)</f>
        <v>973611.13907960732</v>
      </c>
      <c r="AX94" s="169">
        <f>IF(AX$81="","",Underwriting!BC212)</f>
        <v>1179706.9936818241</v>
      </c>
      <c r="AY94" s="169">
        <f>IF(AY$81="","",Underwriting!BD212)</f>
        <v>1380220.010561527</v>
      </c>
      <c r="AZ94" s="169">
        <f>IF(AZ$81="","",Underwriting!BE212)</f>
        <v>1580691.6333754973</v>
      </c>
      <c r="BA94" s="169">
        <f>IF(BA$81="","",Underwriting!BF212)</f>
        <v>1807345.3879058782</v>
      </c>
      <c r="BB94" s="169">
        <f>IF(BB$81="","",Underwriting!BG212)</f>
        <v>2007733.5487203011</v>
      </c>
      <c r="BC94" s="169">
        <f>IF(BC$81="","",Underwriting!BH212)</f>
        <v>2208079.6391653027</v>
      </c>
      <c r="BD94" s="169">
        <f>IF(BD$81="","",Underwriting!BI212)</f>
        <v>2479277.8516667918</v>
      </c>
      <c r="BE94" s="169">
        <f>IF(BE$81="","",Underwriting!BJ212)</f>
        <v>2471384.1182492906</v>
      </c>
      <c r="BF94" s="169">
        <f>IF(BF$81="","",Underwriting!BK212)</f>
        <v>2463447.6271091113</v>
      </c>
      <c r="BG94" s="169">
        <f>IF(BG$81="","",Underwriting!BL212)</f>
        <v>2461777.3341419231</v>
      </c>
      <c r="BH94" s="169">
        <f>IF(BH$81="","",Underwriting!BM212)</f>
        <v>2453754.6314888708</v>
      </c>
      <c r="BI94" s="169">
        <f>IF(BI$81="","",Underwriting!BN212)</f>
        <v>2445688.4725297811</v>
      </c>
      <c r="BJ94" s="169">
        <f>IF(BJ$81="","",Underwriting!BO212)</f>
        <v>2443314.2468763296</v>
      </c>
      <c r="BK94" s="169">
        <f>IF(BK$81="","",Underwriting!BP212)</f>
        <v>2435160.4678651718</v>
      </c>
      <c r="BL94" s="169">
        <f>IF(BL$81="","",Underwriting!BQ212)</f>
        <v>2426962.5225510374</v>
      </c>
      <c r="BM94" s="169">
        <f>IF(BM$81="","",Underwriting!BR212)</f>
        <v>2445861.752949785</v>
      </c>
      <c r="BN94" s="169">
        <f>IF(BN$81="","",Underwriting!BS212)</f>
        <v>2437574.756031421</v>
      </c>
      <c r="BO94" s="169">
        <f>IF(BO$81="","",Underwriting!BT212)</f>
        <v>2429242.8712130822</v>
      </c>
      <c r="BP94" s="169">
        <f>IF(BP$81="","",Underwriting!BU212)</f>
        <v>475226009.54656303</v>
      </c>
      <c r="BQ94" s="169" t="str">
        <f>IF(BQ$81="","",Underwriting!BV212)</f>
        <v/>
      </c>
      <c r="BR94" s="169" t="str">
        <f>IF(BR$81="","",Underwriting!BW212)</f>
        <v/>
      </c>
      <c r="BS94" s="169" t="str">
        <f>IF(BS$81="","",Underwriting!BX212)</f>
        <v/>
      </c>
      <c r="BT94" s="169" t="str">
        <f>IF(BT$81="","",Underwriting!BY212)</f>
        <v/>
      </c>
      <c r="BU94" s="169" t="str">
        <f>IF(BU$81="","",Underwriting!BZ212)</f>
        <v/>
      </c>
      <c r="BV94" s="169" t="str">
        <f>IF(BV$81="","",Underwriting!CA212)</f>
        <v/>
      </c>
      <c r="BW94" s="169" t="str">
        <f>IF(BW$81="","",Underwriting!CB212)</f>
        <v/>
      </c>
      <c r="BX94" s="169" t="str">
        <f>IF(BX$81="","",Underwriting!CC212)</f>
        <v/>
      </c>
      <c r="BY94" s="169" t="str">
        <f>IF(BY$81="","",Underwriting!CD212)</f>
        <v/>
      </c>
      <c r="BZ94" s="169" t="str">
        <f>IF(BZ$81="","",Underwriting!CE212)</f>
        <v/>
      </c>
      <c r="CA94" s="169" t="str">
        <f>IF(CA$81="","",Underwriting!CF212)</f>
        <v/>
      </c>
      <c r="CB94" s="169" t="str">
        <f>IF(CB$81="","",Underwriting!CG212)</f>
        <v/>
      </c>
      <c r="CC94" s="169" t="str">
        <f>IF(CC$81="","",Underwriting!CH212)</f>
        <v/>
      </c>
      <c r="CD94" s="169" t="str">
        <f>IF(CD$81="","",Underwriting!CI212)</f>
        <v/>
      </c>
      <c r="CE94" s="169" t="str">
        <f>IF(CE$81="","",Underwriting!CJ212)</f>
        <v/>
      </c>
      <c r="CF94" s="169" t="str">
        <f>IF(CF$81="","",Underwriting!CK212)</f>
        <v/>
      </c>
      <c r="CG94" s="169" t="str">
        <f>IF(CG$81="","",Underwriting!CL212)</f>
        <v/>
      </c>
      <c r="CH94" s="169" t="str">
        <f>IF(CH$81="","",Underwriting!CM212)</f>
        <v/>
      </c>
      <c r="CI94" s="169" t="str">
        <f>IF(CI$81="","",Underwriting!CN212)</f>
        <v/>
      </c>
      <c r="CJ94" s="169" t="str">
        <f>IF(CJ$81="","",Underwriting!CO212)</f>
        <v/>
      </c>
      <c r="CK94" s="169" t="str">
        <f>IF(CK$81="","",Underwriting!CP212)</f>
        <v/>
      </c>
      <c r="CL94" s="169" t="str">
        <f>IF(CL$81="","",Underwriting!CQ212)</f>
        <v/>
      </c>
      <c r="CM94" s="169" t="str">
        <f>IF(CM$81="","",Underwriting!CR212)</f>
        <v/>
      </c>
      <c r="CN94" s="169" t="str">
        <f>IF(CN$81="","",Underwriting!CS212)</f>
        <v/>
      </c>
      <c r="CO94" s="169" t="str">
        <f>IF(CO$81="","",Underwriting!CT212)</f>
        <v/>
      </c>
      <c r="CP94" s="169" t="str">
        <f>IF(CP$81="","",Underwriting!CU212)</f>
        <v/>
      </c>
      <c r="CQ94" s="169" t="str">
        <f>IF(CQ$81="","",Underwriting!CV212)</f>
        <v/>
      </c>
      <c r="CR94" s="169" t="str">
        <f>IF(CR$81="","",Underwriting!CW212)</f>
        <v/>
      </c>
      <c r="CS94" s="169" t="str">
        <f>IF(CS$81="","",Underwriting!CX212)</f>
        <v/>
      </c>
      <c r="CT94" s="169" t="str">
        <f>IF(CT$81="","",Underwriting!CY212)</f>
        <v/>
      </c>
      <c r="CU94" s="169" t="str">
        <f>IF(CU$81="","",Underwriting!CZ212)</f>
        <v/>
      </c>
      <c r="CV94" s="169" t="str">
        <f>IF(CV$81="","",Underwriting!DA212)</f>
        <v/>
      </c>
      <c r="CW94" s="169" t="str">
        <f>IF(CW$81="","",Underwriting!DB212)</f>
        <v/>
      </c>
      <c r="CX94" s="169" t="str">
        <f>IF(CX$81="","",Underwriting!DC212)</f>
        <v/>
      </c>
      <c r="CY94" s="169" t="str">
        <f>IF(CY$81="","",Underwriting!DD212)</f>
        <v/>
      </c>
      <c r="CZ94" s="169" t="str">
        <f>IF(CZ$81="","",Underwriting!DE212)</f>
        <v/>
      </c>
      <c r="DA94" s="169" t="str">
        <f>IF(DA$81="","",Underwriting!DF212)</f>
        <v/>
      </c>
      <c r="DB94" s="169" t="str">
        <f>IF(DB$81="","",Underwriting!DG212)</f>
        <v/>
      </c>
      <c r="DC94" s="169" t="str">
        <f>IF(DC$81="","",Underwriting!DH212)</f>
        <v/>
      </c>
      <c r="DD94" s="169" t="str">
        <f>IF(DD$81="","",Underwriting!DI212)</f>
        <v/>
      </c>
      <c r="DE94" s="169" t="str">
        <f>IF(DE$81="","",Underwriting!DJ212)</f>
        <v/>
      </c>
      <c r="DF94" s="169" t="str">
        <f>IF(DF$81="","",Underwriting!DK212)</f>
        <v/>
      </c>
      <c r="DG94" s="169" t="str">
        <f>IF(DG$81="","",Underwriting!DL212)</f>
        <v/>
      </c>
      <c r="DH94" s="169" t="str">
        <f>IF(DH$81="","",Underwriting!DM212)</f>
        <v/>
      </c>
      <c r="DI94" s="169" t="str">
        <f>IF(DI$81="","",Underwriting!DN212)</f>
        <v/>
      </c>
      <c r="DJ94" s="169" t="str">
        <f>IF(DJ$81="","",Underwriting!DO212)</f>
        <v/>
      </c>
      <c r="DK94" s="169" t="str">
        <f>IF(DK$81="","",Underwriting!DP212)</f>
        <v/>
      </c>
      <c r="DL94" s="169" t="str">
        <f>IF(DL$81="","",Underwriting!DQ212)</f>
        <v/>
      </c>
      <c r="DM94" s="169" t="str">
        <f>IF(DM$81="","",Underwriting!DR212)</f>
        <v/>
      </c>
      <c r="DN94" s="169" t="str">
        <f>IF(DN$81="","",Underwriting!DS212)</f>
        <v/>
      </c>
      <c r="DO94" s="169" t="str">
        <f>IF(DO$81="","",Underwriting!DT212)</f>
        <v/>
      </c>
      <c r="DP94" s="169" t="str">
        <f>IF(DP$81="","",Underwriting!DU212)</f>
        <v/>
      </c>
      <c r="DQ94" s="169" t="str">
        <f>IF(DQ$81="","",Underwriting!DV212)</f>
        <v/>
      </c>
      <c r="DR94" s="169" t="str">
        <f>IF(DR$81="","",Underwriting!DW212)</f>
        <v/>
      </c>
      <c r="DS94" s="169" t="str">
        <f>IF(DS$81="","",Underwriting!DX212)</f>
        <v/>
      </c>
      <c r="DT94" s="169" t="str">
        <f>IF(DT$81="","",Underwriting!DY212)</f>
        <v/>
      </c>
      <c r="DU94" s="169" t="str">
        <f>IF(DU$81="","",Underwriting!DZ212)</f>
        <v/>
      </c>
      <c r="DV94" s="169" t="str">
        <f>IF(DV$81="","",Underwriting!EA212)</f>
        <v/>
      </c>
      <c r="DW94" s="169" t="str">
        <f>IF(DW$81="","",Underwriting!EB212)</f>
        <v/>
      </c>
      <c r="DX94" s="169" t="str">
        <f>IF(DX$81="","",Underwriting!EC212)</f>
        <v/>
      </c>
      <c r="DY94" s="169" t="str">
        <f>IF(DY$81="","",Underwriting!ED212)</f>
        <v/>
      </c>
      <c r="DZ94" s="169" t="str">
        <f>IF(DZ$81="","",Underwriting!EE212)</f>
        <v/>
      </c>
      <c r="EA94" s="169" t="str">
        <f>IF(EA$81="","",Underwriting!EF212)</f>
        <v/>
      </c>
      <c r="EB94" s="169" t="str">
        <f>IF(EB$81="","",Underwriting!EG212)</f>
        <v/>
      </c>
      <c r="EC94" s="169" t="str">
        <f>IF(EC$81="","",Underwriting!EH212)</f>
        <v/>
      </c>
      <c r="ED94" s="169" t="str">
        <f>IF(ED$81="","",Underwriting!EI212)</f>
        <v/>
      </c>
      <c r="EE94" s="169" t="str">
        <f>IF(EE$81="","",Underwriting!EJ212)</f>
        <v/>
      </c>
      <c r="EF94" s="169" t="str">
        <f>IF(EF$81="","",Underwriting!EK212)</f>
        <v/>
      </c>
      <c r="EG94" s="169" t="str">
        <f>IF(EG$81="","",Underwriting!EL212)</f>
        <v/>
      </c>
      <c r="EH94" s="169" t="str">
        <f>IF(EH$81="","",Underwriting!EM212)</f>
        <v/>
      </c>
      <c r="EI94" s="169" t="str">
        <f>IF(EI$81="","",Underwriting!EN212)</f>
        <v/>
      </c>
    </row>
  </sheetData>
  <conditionalFormatting sqref="B5:B6">
    <cfRule type="expression" dxfId="22" priority="2">
      <formula>B5="Incomplete"</formula>
    </cfRule>
  </conditionalFormatting>
  <conditionalFormatting sqref="G5:R45">
    <cfRule type="expression" dxfId="21" priority="1">
      <formula>G$4="EXIT"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6E0C4"/>
  </sheetPr>
  <dimension ref="B1:DR92"/>
  <sheetViews>
    <sheetView showGridLines="0" workbookViewId="0"/>
  </sheetViews>
  <sheetFormatPr defaultColWidth="9" defaultRowHeight="14.5" x14ac:dyDescent="0.35"/>
  <cols>
    <col min="1" max="1" width="0.9140625" customWidth="1"/>
    <col min="2" max="2" width="25.83203125" customWidth="1"/>
    <col min="3" max="3" width="31.6640625" customWidth="1"/>
    <col min="4" max="4" width="20" customWidth="1"/>
    <col min="5" max="5" width="19.58203125" customWidth="1"/>
    <col min="6" max="6" width="22.83203125" customWidth="1"/>
    <col min="7" max="7" width="19.08203125" customWidth="1"/>
    <col min="8" max="8" width="18.25" customWidth="1"/>
    <col min="9" max="9" width="23.58203125" customWidth="1"/>
    <col min="10" max="10" width="26.25" customWidth="1"/>
    <col min="11" max="11" width="13.75" customWidth="1"/>
    <col min="12" max="12" width="16.1640625" customWidth="1"/>
    <col min="13" max="13" width="20" customWidth="1"/>
    <col min="14" max="14" width="41.25" customWidth="1"/>
    <col min="15" max="15" width="20" customWidth="1"/>
    <col min="16" max="16" width="30" customWidth="1"/>
    <col min="17" max="17" width="33.33203125" customWidth="1"/>
    <col min="18" max="20" width="2.83203125" customWidth="1"/>
    <col min="21" max="122" width="6" customWidth="1"/>
  </cols>
  <sheetData>
    <row r="1" spans="2:18" ht="5.15" customHeight="1" x14ac:dyDescent="0.35">
      <c r="G1" s="208"/>
      <c r="H1" s="208"/>
      <c r="I1" s="208"/>
      <c r="J1" s="208"/>
      <c r="K1" s="208"/>
      <c r="L1" s="208"/>
      <c r="M1" s="208"/>
      <c r="N1" s="208"/>
      <c r="O1" s="208"/>
      <c r="P1" s="208"/>
      <c r="Q1" s="208"/>
      <c r="R1" s="208"/>
    </row>
    <row r="2" spans="2:18" ht="15.5" x14ac:dyDescent="0.35">
      <c r="B2" s="115" t="str">
        <f>Underwriting!B2</f>
        <v>THE BEND ENTERTAINMENT PRECINCT</v>
      </c>
      <c r="C2" s="116"/>
      <c r="D2" s="116"/>
      <c r="E2" s="116"/>
      <c r="F2" s="116"/>
      <c r="G2" s="225"/>
      <c r="H2" s="225"/>
      <c r="I2" s="225"/>
      <c r="J2" s="225"/>
      <c r="K2" s="225"/>
      <c r="L2" s="225"/>
      <c r="M2" s="225"/>
      <c r="N2" s="117" t="str">
        <f>UPPER(Underwriting!I2)</f>
        <v>MAYABAY ACTIVE (MELBOURNE) PTY LTD</v>
      </c>
    </row>
    <row r="3" spans="2:18" s="4" customFormat="1" x14ac:dyDescent="0.35">
      <c r="B3" s="279" t="s">
        <v>518</v>
      </c>
      <c r="C3" s="6"/>
      <c r="D3" s="6"/>
      <c r="E3" s="6"/>
      <c r="F3" s="6"/>
      <c r="G3" s="226"/>
      <c r="H3" s="226"/>
      <c r="I3" s="226"/>
      <c r="J3" s="227"/>
      <c r="K3" s="227"/>
      <c r="L3" s="227"/>
      <c r="M3" s="227"/>
      <c r="N3" s="119" t="str">
        <f>Summary!S3</f>
        <v>ANALYSIS START - JUL 2026</v>
      </c>
    </row>
    <row r="4" spans="2:18" s="4" customFormat="1" ht="13.5" x14ac:dyDescent="0.35">
      <c r="B4" s="120" t="s">
        <v>519</v>
      </c>
      <c r="C4" s="121"/>
      <c r="D4" s="121"/>
      <c r="E4" s="121"/>
      <c r="F4" s="121"/>
      <c r="G4" s="122"/>
      <c r="H4" s="122"/>
      <c r="I4" s="122"/>
      <c r="J4" s="123"/>
      <c r="K4" s="123"/>
      <c r="L4" s="123"/>
      <c r="M4" s="123"/>
      <c r="N4" s="124"/>
    </row>
    <row r="5" spans="2:18" x14ac:dyDescent="0.35">
      <c r="B5" s="282"/>
      <c r="C5" s="282"/>
      <c r="D5" s="282"/>
      <c r="E5" s="283">
        <f>B87</f>
        <v>1</v>
      </c>
      <c r="F5" s="283">
        <f t="shared" ref="F5:N5" si="0">C87</f>
        <v>2</v>
      </c>
      <c r="G5" s="283">
        <f t="shared" si="0"/>
        <v>3</v>
      </c>
      <c r="H5" s="283">
        <f t="shared" si="0"/>
        <v>4</v>
      </c>
      <c r="I5" s="283">
        <f t="shared" si="0"/>
        <v>5</v>
      </c>
      <c r="J5" s="283">
        <f t="shared" si="0"/>
        <v>6</v>
      </c>
      <c r="K5" s="283" t="str">
        <f t="shared" si="0"/>
        <v/>
      </c>
      <c r="L5" s="283" t="str">
        <f t="shared" si="0"/>
        <v/>
      </c>
      <c r="M5" s="283" t="str">
        <f t="shared" si="0"/>
        <v/>
      </c>
      <c r="N5" s="283" t="str">
        <f t="shared" si="0"/>
        <v/>
      </c>
    </row>
    <row r="6" spans="2:18" x14ac:dyDescent="0.35">
      <c r="B6" s="282" t="s">
        <v>520</v>
      </c>
      <c r="C6" s="282"/>
      <c r="D6" s="282"/>
      <c r="E6" s="284">
        <f>B90</f>
        <v>0</v>
      </c>
      <c r="F6" s="284">
        <f t="shared" ref="F6:N6" si="1">C90</f>
        <v>0</v>
      </c>
      <c r="G6" s="284">
        <f t="shared" si="1"/>
        <v>0</v>
      </c>
      <c r="H6" s="284">
        <f t="shared" si="1"/>
        <v>65391.983333333337</v>
      </c>
      <c r="I6" s="284">
        <f t="shared" si="1"/>
        <v>13078.396666666667</v>
      </c>
      <c r="J6" s="284">
        <f t="shared" si="1"/>
        <v>0</v>
      </c>
      <c r="K6" s="284" t="str">
        <f t="shared" si="1"/>
        <v/>
      </c>
      <c r="L6" s="284" t="str">
        <f t="shared" si="1"/>
        <v/>
      </c>
      <c r="M6" s="284" t="str">
        <f t="shared" si="1"/>
        <v/>
      </c>
      <c r="N6" s="284" t="str">
        <f t="shared" si="1"/>
        <v/>
      </c>
    </row>
    <row r="7" spans="2:18" x14ac:dyDescent="0.35">
      <c r="B7" s="282" t="s">
        <v>521</v>
      </c>
      <c r="C7" s="282"/>
      <c r="D7" s="282"/>
      <c r="E7" s="285">
        <f t="shared" ref="E7:N7" si="2">IF(E5="","",E6/Units_SF_M2)</f>
        <v>0</v>
      </c>
      <c r="F7" s="285">
        <f t="shared" si="2"/>
        <v>0</v>
      </c>
      <c r="G7" s="285">
        <f t="shared" si="2"/>
        <v>0</v>
      </c>
      <c r="H7" s="285">
        <f t="shared" si="2"/>
        <v>0.83333333333333337</v>
      </c>
      <c r="I7" s="285">
        <f t="shared" si="2"/>
        <v>0.16666666666666666</v>
      </c>
      <c r="J7" s="285">
        <f t="shared" si="2"/>
        <v>0</v>
      </c>
      <c r="K7" s="285" t="str">
        <f t="shared" si="2"/>
        <v/>
      </c>
      <c r="L7" s="285" t="str">
        <f t="shared" si="2"/>
        <v/>
      </c>
      <c r="M7" s="285" t="str">
        <f t="shared" si="2"/>
        <v/>
      </c>
      <c r="N7" s="285" t="str">
        <f t="shared" si="2"/>
        <v/>
      </c>
    </row>
    <row r="8" spans="2:18" x14ac:dyDescent="0.35">
      <c r="B8" s="282" t="s">
        <v>522</v>
      </c>
      <c r="C8" s="282"/>
      <c r="D8" s="282"/>
      <c r="E8" s="285">
        <f>B88</f>
        <v>0</v>
      </c>
      <c r="F8" s="285">
        <f t="shared" ref="F8:N8" si="3">C88</f>
        <v>0</v>
      </c>
      <c r="G8" s="285">
        <f t="shared" si="3"/>
        <v>0</v>
      </c>
      <c r="H8" s="285">
        <f t="shared" si="3"/>
        <v>0.83333333333333337</v>
      </c>
      <c r="I8" s="285">
        <f t="shared" si="3"/>
        <v>1</v>
      </c>
      <c r="J8" s="285">
        <f t="shared" si="3"/>
        <v>1</v>
      </c>
      <c r="K8" s="285" t="str">
        <f t="shared" si="3"/>
        <v/>
      </c>
      <c r="L8" s="285" t="str">
        <f t="shared" si="3"/>
        <v/>
      </c>
      <c r="M8" s="285" t="str">
        <f t="shared" si="3"/>
        <v/>
      </c>
      <c r="N8" s="285" t="str">
        <f t="shared" si="3"/>
        <v/>
      </c>
    </row>
    <row r="9" spans="2:18" x14ac:dyDescent="0.35">
      <c r="B9" s="282"/>
      <c r="C9" s="282"/>
      <c r="D9" s="282"/>
      <c r="E9" s="282"/>
      <c r="F9" s="282"/>
      <c r="G9" s="282"/>
      <c r="H9" s="282"/>
      <c r="I9" s="282"/>
      <c r="J9" s="282"/>
      <c r="K9" s="282"/>
      <c r="L9" s="282"/>
      <c r="M9" s="282"/>
      <c r="N9" s="282"/>
    </row>
    <row r="10" spans="2:18" x14ac:dyDescent="0.35">
      <c r="B10" s="282"/>
      <c r="C10" s="282"/>
      <c r="D10" s="282"/>
      <c r="E10" s="282"/>
      <c r="F10" s="282"/>
      <c r="G10" s="282"/>
      <c r="H10" s="282"/>
      <c r="I10" s="282"/>
      <c r="J10" s="282"/>
      <c r="K10" s="282"/>
      <c r="L10" s="282"/>
      <c r="M10" s="282"/>
      <c r="N10" s="282"/>
    </row>
    <row r="11" spans="2:18" x14ac:dyDescent="0.35">
      <c r="B11" s="282"/>
      <c r="C11" s="282"/>
      <c r="D11" s="282"/>
      <c r="E11" s="282"/>
      <c r="F11" s="282"/>
      <c r="G11" s="282"/>
      <c r="H11" s="282"/>
      <c r="I11" s="282"/>
      <c r="J11" s="282"/>
      <c r="K11" s="282"/>
      <c r="L11" s="282"/>
      <c r="M11" s="282"/>
      <c r="N11" s="282"/>
    </row>
    <row r="12" spans="2:18" x14ac:dyDescent="0.35">
      <c r="B12" s="282"/>
      <c r="C12" s="282"/>
      <c r="D12" s="282"/>
      <c r="E12" s="282"/>
      <c r="F12" s="282"/>
      <c r="G12" s="282"/>
      <c r="H12" s="282"/>
      <c r="I12" s="282"/>
      <c r="J12" s="282"/>
      <c r="K12" s="282"/>
      <c r="L12" s="282"/>
      <c r="M12" s="282"/>
      <c r="N12" s="282"/>
    </row>
    <row r="13" spans="2:18" x14ac:dyDescent="0.35">
      <c r="B13" s="282"/>
      <c r="C13" s="282"/>
      <c r="D13" s="282"/>
      <c r="E13" s="282"/>
      <c r="F13" s="282"/>
      <c r="G13" s="282"/>
      <c r="H13" s="282"/>
      <c r="I13" s="282"/>
      <c r="J13" s="282"/>
      <c r="K13" s="282"/>
      <c r="L13" s="282"/>
      <c r="M13" s="282"/>
      <c r="N13" s="282"/>
    </row>
    <row r="14" spans="2:18" x14ac:dyDescent="0.35">
      <c r="B14" s="282"/>
      <c r="C14" s="282"/>
      <c r="D14" s="282"/>
      <c r="E14" s="282"/>
      <c r="F14" s="282"/>
      <c r="G14" s="282"/>
      <c r="H14" s="282"/>
      <c r="I14" s="282"/>
      <c r="J14" s="282"/>
      <c r="K14" s="282"/>
      <c r="L14" s="282"/>
      <c r="M14" s="282"/>
      <c r="N14" s="282"/>
    </row>
    <row r="15" spans="2:18" x14ac:dyDescent="0.35">
      <c r="B15" s="282"/>
      <c r="C15" s="282"/>
      <c r="D15" s="282"/>
      <c r="E15" s="282"/>
      <c r="F15" s="282"/>
      <c r="G15" s="282"/>
      <c r="H15" s="282"/>
      <c r="I15" s="282"/>
      <c r="J15" s="282"/>
      <c r="K15" s="282"/>
      <c r="L15" s="282"/>
      <c r="M15" s="282"/>
      <c r="N15" s="282"/>
    </row>
    <row r="16" spans="2:18" x14ac:dyDescent="0.35">
      <c r="B16" s="282"/>
      <c r="C16" s="282"/>
      <c r="D16" s="282"/>
      <c r="E16" s="282"/>
      <c r="F16" s="282"/>
      <c r="G16" s="282"/>
      <c r="H16" s="282"/>
      <c r="I16" s="282"/>
      <c r="J16" s="282"/>
      <c r="K16" s="282"/>
      <c r="L16" s="282"/>
      <c r="M16" s="282"/>
      <c r="N16" s="282"/>
    </row>
    <row r="17" spans="2:17" x14ac:dyDescent="0.35">
      <c r="B17" s="282"/>
      <c r="C17" s="282"/>
      <c r="D17" s="282"/>
      <c r="E17" s="282"/>
      <c r="F17" s="282"/>
      <c r="G17" s="282"/>
      <c r="H17" s="282"/>
      <c r="I17" s="282"/>
      <c r="J17" s="282"/>
      <c r="K17" s="282"/>
      <c r="L17" s="282"/>
      <c r="M17" s="282"/>
      <c r="N17" s="282"/>
    </row>
    <row r="18" spans="2:17" x14ac:dyDescent="0.35">
      <c r="B18" s="282"/>
      <c r="C18" s="282"/>
      <c r="D18" s="282"/>
      <c r="E18" s="282"/>
      <c r="F18" s="282"/>
      <c r="G18" s="282"/>
      <c r="H18" s="282"/>
      <c r="I18" s="282"/>
      <c r="J18" s="282"/>
      <c r="K18" s="282"/>
      <c r="L18" s="282"/>
      <c r="M18" s="282"/>
      <c r="N18" s="282"/>
    </row>
    <row r="19" spans="2:17" x14ac:dyDescent="0.35">
      <c r="B19" s="282"/>
      <c r="C19" s="282"/>
      <c r="D19" s="282"/>
      <c r="E19" s="282"/>
      <c r="F19" s="282"/>
      <c r="G19" s="282"/>
      <c r="H19" s="282"/>
      <c r="I19" s="282"/>
      <c r="J19" s="282"/>
      <c r="K19" s="282"/>
      <c r="L19" s="282"/>
      <c r="M19" s="282"/>
      <c r="N19" s="282"/>
    </row>
    <row r="20" spans="2:17" x14ac:dyDescent="0.35">
      <c r="B20" s="282"/>
      <c r="C20" s="282"/>
      <c r="D20" s="282"/>
      <c r="E20" s="282"/>
      <c r="F20" s="282"/>
      <c r="G20" s="282"/>
      <c r="H20" s="282"/>
      <c r="I20" s="282"/>
      <c r="J20" s="282"/>
      <c r="K20" s="282"/>
      <c r="L20" s="282"/>
      <c r="M20" s="282"/>
      <c r="N20" s="282"/>
    </row>
    <row r="21" spans="2:17" x14ac:dyDescent="0.35">
      <c r="B21" s="282"/>
      <c r="C21" s="282"/>
      <c r="D21" s="282"/>
      <c r="E21" s="282"/>
      <c r="F21" s="282"/>
      <c r="G21" s="282"/>
      <c r="H21" s="282"/>
      <c r="I21" s="282"/>
      <c r="J21" s="282"/>
      <c r="K21" s="282"/>
      <c r="L21" s="282"/>
      <c r="M21" s="282"/>
      <c r="N21" s="282"/>
    </row>
    <row r="22" spans="2:17" x14ac:dyDescent="0.35">
      <c r="B22" s="282"/>
      <c r="C22" s="282"/>
      <c r="D22" s="282"/>
      <c r="E22" s="282"/>
      <c r="F22" s="282"/>
      <c r="G22" s="282"/>
      <c r="H22" s="282"/>
      <c r="I22" s="282"/>
      <c r="J22" s="282"/>
      <c r="K22" s="282"/>
      <c r="L22" s="282"/>
      <c r="M22" s="282"/>
      <c r="N22" s="282"/>
    </row>
    <row r="23" spans="2:17" x14ac:dyDescent="0.35">
      <c r="B23" s="282"/>
      <c r="C23" s="282"/>
      <c r="D23" s="282"/>
      <c r="E23" s="282"/>
      <c r="F23" s="282"/>
      <c r="G23" s="282"/>
      <c r="H23" s="282"/>
      <c r="I23" s="282"/>
      <c r="J23" s="282"/>
      <c r="K23" s="282"/>
      <c r="L23" s="282"/>
      <c r="M23" s="282"/>
      <c r="N23" s="282"/>
    </row>
    <row r="24" spans="2:17" x14ac:dyDescent="0.35">
      <c r="B24" s="282"/>
      <c r="C24" s="282"/>
      <c r="D24" s="282"/>
      <c r="E24" s="282"/>
      <c r="F24" s="282"/>
      <c r="G24" s="282"/>
      <c r="H24" s="282"/>
      <c r="I24" s="282"/>
      <c r="J24" s="282"/>
      <c r="K24" s="282"/>
      <c r="L24" s="282"/>
      <c r="M24" s="282"/>
      <c r="N24" s="282"/>
    </row>
    <row r="25" spans="2:17" x14ac:dyDescent="0.35">
      <c r="B25" s="282"/>
      <c r="C25" s="282"/>
      <c r="D25" s="282"/>
      <c r="E25" s="282"/>
      <c r="F25" s="282"/>
      <c r="G25" s="282"/>
      <c r="H25" s="282"/>
      <c r="I25" s="282"/>
      <c r="J25" s="282"/>
      <c r="K25" s="282"/>
      <c r="L25" s="282"/>
      <c r="M25" s="282"/>
      <c r="N25" s="282"/>
    </row>
    <row r="26" spans="2:17" x14ac:dyDescent="0.35">
      <c r="B26" s="282"/>
      <c r="C26" s="282"/>
      <c r="D26" s="282"/>
      <c r="E26" s="282"/>
      <c r="F26" s="282"/>
      <c r="G26" s="282"/>
      <c r="H26" s="282"/>
      <c r="I26" s="282"/>
      <c r="J26" s="282"/>
      <c r="K26" s="282"/>
      <c r="L26" s="282"/>
      <c r="M26" s="282"/>
      <c r="N26" s="282"/>
    </row>
    <row r="27" spans="2:17" x14ac:dyDescent="0.35">
      <c r="B27" s="939" t="s">
        <v>523</v>
      </c>
      <c r="C27" s="939"/>
      <c r="D27" s="939"/>
      <c r="E27" s="939"/>
      <c r="F27" s="939"/>
      <c r="G27" s="939"/>
      <c r="H27" s="939"/>
      <c r="I27" s="939"/>
      <c r="J27" s="939"/>
      <c r="K27" s="939"/>
      <c r="L27" s="939"/>
      <c r="M27" s="939"/>
      <c r="N27" s="939"/>
      <c r="O27" s="939"/>
      <c r="P27" s="939"/>
      <c r="Q27" s="939"/>
    </row>
    <row r="28" spans="2:17" x14ac:dyDescent="0.35">
      <c r="B28" s="307" t="s">
        <v>524</v>
      </c>
      <c r="D28" s="308" t="s">
        <v>525</v>
      </c>
      <c r="F28" s="307" t="s">
        <v>526</v>
      </c>
      <c r="H28" s="308" t="s">
        <v>525</v>
      </c>
      <c r="J28" s="307" t="s">
        <v>527</v>
      </c>
      <c r="L28" s="308" t="s">
        <v>525</v>
      </c>
      <c r="N28" s="307" t="s">
        <v>528</v>
      </c>
      <c r="O28" s="962" t="str">
        <f>IF(ABS(K28)&lt;0.01,"OK","RECONCILIATION REQUIRED")</f>
        <v>OK</v>
      </c>
      <c r="P28" s="962"/>
      <c r="Q28" s="962"/>
    </row>
    <row r="29" spans="2:17" x14ac:dyDescent="0.35">
      <c r="B29" s="307" t="s">
        <v>529</v>
      </c>
      <c r="D29" s="308" t="s">
        <v>530</v>
      </c>
      <c r="F29" s="307" t="s">
        <v>531</v>
      </c>
      <c r="H29" s="308" t="s">
        <v>532</v>
      </c>
      <c r="J29" s="307" t="s">
        <v>533</v>
      </c>
      <c r="L29" s="308" t="s">
        <v>83</v>
      </c>
      <c r="N29" s="307" t="s">
        <v>534</v>
      </c>
      <c r="P29" s="308" t="s">
        <v>83</v>
      </c>
    </row>
    <row r="30" spans="2:17" x14ac:dyDescent="0.35">
      <c r="B30" s="307" t="s">
        <v>535</v>
      </c>
      <c r="D30" s="308" t="s">
        <v>536</v>
      </c>
      <c r="F30" s="307" t="s">
        <v>537</v>
      </c>
      <c r="H30" s="308" t="s">
        <v>536</v>
      </c>
      <c r="J30" s="307" t="s">
        <v>538</v>
      </c>
      <c r="L30" s="308" t="s">
        <v>539</v>
      </c>
      <c r="N30" s="307" t="s">
        <v>540</v>
      </c>
      <c r="P30" s="308" t="s">
        <v>539</v>
      </c>
    </row>
    <row r="32" spans="2:17" x14ac:dyDescent="0.35">
      <c r="B32" s="939" t="s">
        <v>541</v>
      </c>
      <c r="C32" s="939"/>
      <c r="D32" s="939"/>
      <c r="E32" s="939"/>
      <c r="F32" s="939"/>
      <c r="G32" s="939"/>
      <c r="H32" s="939"/>
      <c r="I32" s="939"/>
      <c r="J32" s="939"/>
      <c r="K32" s="939"/>
      <c r="L32" s="939"/>
      <c r="M32" s="939"/>
      <c r="N32" s="939"/>
      <c r="O32" s="939"/>
      <c r="P32" s="939"/>
      <c r="Q32" s="939"/>
    </row>
    <row r="33" spans="2:17" ht="27" x14ac:dyDescent="0.35">
      <c r="B33" s="306" t="s">
        <v>542</v>
      </c>
      <c r="C33" s="306" t="s">
        <v>543</v>
      </c>
      <c r="D33" s="306" t="s">
        <v>544</v>
      </c>
      <c r="E33" s="306" t="s">
        <v>545</v>
      </c>
      <c r="F33" s="306" t="s">
        <v>546</v>
      </c>
      <c r="G33" s="306" t="s">
        <v>547</v>
      </c>
      <c r="H33" s="306" t="s">
        <v>548</v>
      </c>
      <c r="I33" s="306" t="s">
        <v>549</v>
      </c>
      <c r="J33" s="306" t="s">
        <v>550</v>
      </c>
      <c r="K33" s="306" t="s">
        <v>551</v>
      </c>
      <c r="L33" s="306" t="s">
        <v>552</v>
      </c>
      <c r="M33" s="306" t="s">
        <v>553</v>
      </c>
      <c r="N33" s="306" t="s">
        <v>554</v>
      </c>
      <c r="O33" s="306" t="s">
        <v>555</v>
      </c>
      <c r="P33" s="306" t="s">
        <v>556</v>
      </c>
      <c r="Q33" s="306" t="s">
        <v>557</v>
      </c>
    </row>
    <row r="34" spans="2:17" ht="24" x14ac:dyDescent="0.35">
      <c r="B34" s="307" t="str">
        <f>Underwriting!$B$93</f>
        <v>URWLD</v>
      </c>
      <c r="C34" s="308" t="str">
        <f>Underwriting!$C$93</f>
        <v>URWLD</v>
      </c>
      <c r="D34" s="307" t="s">
        <v>558</v>
      </c>
      <c r="E34" s="311">
        <f>Underwriting!$E$93</f>
        <v>21500</v>
      </c>
      <c r="F34" s="312">
        <f t="shared" ref="F34:F45" si="4">IFERROR(E34/$C$28,0)</f>
        <v>0</v>
      </c>
      <c r="G34" s="311">
        <f>Underwriting!$D$93</f>
        <v>19</v>
      </c>
      <c r="H34" s="311">
        <f>Underwriting!$F$93</f>
        <v>22</v>
      </c>
      <c r="I34" s="311">
        <f>Underwriting!$H$93</f>
        <v>400</v>
      </c>
      <c r="J34" s="311">
        <f>Underwriting!$I$93/1000000</f>
        <v>8.6</v>
      </c>
      <c r="K34" s="313">
        <f>Underwriting!$G$93</f>
        <v>3.5000000000000003E-2</v>
      </c>
      <c r="L34" s="307" t="str">
        <f>Underwriting!$K$93</f>
        <v>Annual</v>
      </c>
      <c r="M34" s="311">
        <f>IF('URWLD COMPANY INPUTS'!$F$134="","",'URWLD COMPANY INPUTS'!$F$134)</f>
        <v>21500</v>
      </c>
      <c r="N34" s="309">
        <f t="shared" ref="N34:N45" si="5">IF(E34="","",M34-E34)</f>
        <v>0</v>
      </c>
      <c r="O34" s="310">
        <v>7.6196171969476696</v>
      </c>
      <c r="P34" s="323" t="s">
        <v>559</v>
      </c>
      <c r="Q34" s="308" t="s">
        <v>560</v>
      </c>
    </row>
    <row r="35" spans="2:17" ht="36" x14ac:dyDescent="0.35">
      <c r="B35" s="307" t="str">
        <f>Underwriting!$B$94</f>
        <v>Student Accommodation</v>
      </c>
      <c r="C35" s="308" t="str">
        <f>Underwriting!$C$94</f>
        <v>Macquarie/IGLU; Brookfield/Journal</v>
      </c>
      <c r="D35" s="307" t="s">
        <v>561</v>
      </c>
      <c r="E35" s="311">
        <f>Underwriting!$E$94</f>
        <v>20000</v>
      </c>
      <c r="F35" s="312">
        <f t="shared" si="4"/>
        <v>0</v>
      </c>
      <c r="G35" s="311">
        <f>Underwriting!$D$94</f>
        <v>22</v>
      </c>
      <c r="H35" s="311">
        <f>Underwriting!$F$94</f>
        <v>25</v>
      </c>
      <c r="I35" s="311">
        <f>Underwriting!$H$94</f>
        <v>0</v>
      </c>
      <c r="J35" s="311">
        <f>Underwriting!$I$94/1000000</f>
        <v>0</v>
      </c>
      <c r="K35" s="313">
        <f>Underwriting!$G$94</f>
        <v>3.5000000000000003E-2</v>
      </c>
      <c r="L35" s="307" t="str">
        <f>Underwriting!$K$94</f>
        <v>Annual</v>
      </c>
      <c r="M35" s="311">
        <f>IF('URWLD COMPANY INPUTS'!$F$409="","",'URWLD COMPANY INPUTS'!$F$409)</f>
        <v>20000</v>
      </c>
      <c r="N35" s="309">
        <f t="shared" si="5"/>
        <v>0</v>
      </c>
      <c r="O35" s="310">
        <v>7.2625349999999997</v>
      </c>
      <c r="P35" s="323" t="s">
        <v>559</v>
      </c>
      <c r="Q35" s="308" t="s">
        <v>562</v>
      </c>
    </row>
    <row r="36" spans="2:17" ht="24" x14ac:dyDescent="0.35">
      <c r="B36" s="307" t="str">
        <f>Underwriting!$B$95</f>
        <v>LiveHouse</v>
      </c>
      <c r="C36" s="308" t="str">
        <f>Underwriting!$C$95</f>
        <v>LiveHouse</v>
      </c>
      <c r="D36" s="307" t="s">
        <v>558</v>
      </c>
      <c r="E36" s="311">
        <f>Underwriting!$E$95</f>
        <v>6500</v>
      </c>
      <c r="F36" s="312">
        <f t="shared" si="4"/>
        <v>0</v>
      </c>
      <c r="G36" s="311">
        <f>Underwriting!$D$95</f>
        <v>22</v>
      </c>
      <c r="H36" s="311">
        <f>Underwriting!$F$95</f>
        <v>25</v>
      </c>
      <c r="I36" s="311">
        <f>Underwriting!$H$95</f>
        <v>400</v>
      </c>
      <c r="J36" s="311">
        <f>Underwriting!$I$95/1000000</f>
        <v>2.6</v>
      </c>
      <c r="K36" s="313">
        <f>Underwriting!$G$95</f>
        <v>3.5000000000000003E-2</v>
      </c>
      <c r="L36" s="307" t="str">
        <f>Underwriting!$K$95</f>
        <v>Annual</v>
      </c>
      <c r="M36" s="311">
        <f>IF('URWLD COMPANY INPUTS'!$F$595="","",'URWLD COMPANY INPUTS'!$F$595)</f>
        <v>6500</v>
      </c>
      <c r="N36" s="309">
        <f t="shared" si="5"/>
        <v>0</v>
      </c>
      <c r="O36" s="310">
        <v>2.9884063473837199</v>
      </c>
      <c r="P36" s="323" t="s">
        <v>559</v>
      </c>
      <c r="Q36" s="308" t="s">
        <v>563</v>
      </c>
    </row>
    <row r="37" spans="2:17" ht="24" x14ac:dyDescent="0.35">
      <c r="B37" s="307" t="str">
        <f>Underwriting!$B$96</f>
        <v>Flexible Retail/F&amp;B</v>
      </c>
      <c r="C37" s="308" t="str">
        <f>Underwriting!$C$96</f>
        <v>Food Truck Park</v>
      </c>
      <c r="D37" s="307" t="s">
        <v>558</v>
      </c>
      <c r="E37" s="311">
        <f>Underwriting!$E$96</f>
        <v>150</v>
      </c>
      <c r="F37" s="312">
        <f t="shared" si="4"/>
        <v>0</v>
      </c>
      <c r="G37" s="311">
        <f>Underwriting!$D$96</f>
        <v>25</v>
      </c>
      <c r="H37" s="311">
        <f>Underwriting!$F$96</f>
        <v>28</v>
      </c>
      <c r="I37" s="311">
        <f>Underwriting!$H$96</f>
        <v>600</v>
      </c>
      <c r="J37" s="311">
        <f>Underwriting!$I$96/1000000</f>
        <v>0.09</v>
      </c>
      <c r="K37" s="313">
        <f>Underwriting!$G$96</f>
        <v>3.5000000000000003E-2</v>
      </c>
      <c r="L37" s="307" t="str">
        <f>Underwriting!$K$96</f>
        <v>Annual</v>
      </c>
      <c r="M37" s="311">
        <f>IF('URWLD COMPANY INPUTS'!$F$626="","",'URWLD COMPANY INPUTS'!$F$626)</f>
        <v>150</v>
      </c>
      <c r="N37" s="309">
        <f t="shared" si="5"/>
        <v>0</v>
      </c>
      <c r="O37" s="310">
        <v>0.14156985741279099</v>
      </c>
      <c r="P37" s="323" t="s">
        <v>559</v>
      </c>
      <c r="Q37" s="308" t="s">
        <v>564</v>
      </c>
    </row>
    <row r="38" spans="2:17" ht="24" x14ac:dyDescent="0.35">
      <c r="B38" s="307" t="str">
        <f>Underwriting!$B$97</f>
        <v>Genesis Health &amp; Fitness</v>
      </c>
      <c r="C38" s="308" t="str">
        <f>Underwriting!$C$97</f>
        <v>Genesis Health &amp; Fitness</v>
      </c>
      <c r="D38" s="307" t="s">
        <v>558</v>
      </c>
      <c r="E38" s="311">
        <f>Underwriting!$E$97</f>
        <v>4000</v>
      </c>
      <c r="F38" s="312">
        <f t="shared" si="4"/>
        <v>0</v>
      </c>
      <c r="G38" s="311">
        <f>Underwriting!$D$97</f>
        <v>25</v>
      </c>
      <c r="H38" s="311">
        <f>Underwriting!$F$97</f>
        <v>28</v>
      </c>
      <c r="I38" s="311">
        <f>Underwriting!$H$97</f>
        <v>500</v>
      </c>
      <c r="J38" s="311">
        <f>Underwriting!$I$97/1000000</f>
        <v>2</v>
      </c>
      <c r="K38" s="313">
        <f>Underwriting!$G$97</f>
        <v>3.5000000000000003E-2</v>
      </c>
      <c r="L38" s="307" t="str">
        <f>Underwriting!$K$97</f>
        <v>Annual</v>
      </c>
      <c r="M38" s="311">
        <f>IF('URWLD COMPANY INPUTS'!$F$398="","",'URWLD COMPANY INPUTS'!$F$398)</f>
        <v>4000</v>
      </c>
      <c r="N38" s="309">
        <f t="shared" si="5"/>
        <v>0</v>
      </c>
      <c r="O38" s="310">
        <v>1.53517752994186</v>
      </c>
      <c r="P38" s="323" t="s">
        <v>559</v>
      </c>
      <c r="Q38" s="308" t="s">
        <v>565</v>
      </c>
    </row>
    <row r="39" spans="2:17" ht="24" x14ac:dyDescent="0.35">
      <c r="B39" s="307" t="str">
        <f>Underwriting!$B$98</f>
        <v>Car Park</v>
      </c>
      <c r="C39" s="308" t="str">
        <f>Underwriting!$C$98</f>
        <v>Secure (Preferred)</v>
      </c>
      <c r="D39" s="307" t="s">
        <v>561</v>
      </c>
      <c r="E39" s="311">
        <f>Underwriting!$E$98</f>
        <v>19500.38</v>
      </c>
      <c r="F39" s="312">
        <f t="shared" si="4"/>
        <v>0</v>
      </c>
      <c r="G39" s="311">
        <f>Underwriting!$D$98</f>
        <v>28</v>
      </c>
      <c r="H39" s="311">
        <f>Underwriting!$F$98</f>
        <v>31</v>
      </c>
      <c r="I39" s="311">
        <f>Underwriting!$H$98</f>
        <v>0</v>
      </c>
      <c r="J39" s="311">
        <f>Underwriting!$I$98/1000000</f>
        <v>0</v>
      </c>
      <c r="K39" s="313">
        <f>Underwriting!$G$98</f>
        <v>3.5000000000000003E-2</v>
      </c>
      <c r="L39" s="307" t="str">
        <f>Underwriting!$K$98</f>
        <v>Annual</v>
      </c>
      <c r="M39" s="311">
        <f>IF('URWLD COMPANY INPUTS'!$F$421="","",'URWLD COMPANY INPUTS'!$F$421)</f>
        <v>19500.38</v>
      </c>
      <c r="N39" s="309">
        <f t="shared" si="5"/>
        <v>0</v>
      </c>
      <c r="O39" s="310">
        <v>5.9670367701540696</v>
      </c>
      <c r="P39" s="323" t="s">
        <v>559</v>
      </c>
      <c r="Q39" s="308" t="s">
        <v>566</v>
      </c>
    </row>
    <row r="40" spans="2:17" ht="24" x14ac:dyDescent="0.35">
      <c r="B40" s="307" t="str">
        <f>Underwriting!$B$99</f>
        <v>Snowtunnel</v>
      </c>
      <c r="C40" s="308" t="str">
        <f>Underwriting!$C$99</f>
        <v>Snowtunnel</v>
      </c>
      <c r="D40" s="307" t="s">
        <v>558</v>
      </c>
      <c r="E40" s="311">
        <f>Underwriting!$E$99</f>
        <v>3800</v>
      </c>
      <c r="F40" s="312">
        <f t="shared" si="4"/>
        <v>0</v>
      </c>
      <c r="G40" s="311">
        <f>Underwriting!$D$99</f>
        <v>28</v>
      </c>
      <c r="H40" s="311">
        <f>Underwriting!$F$99</f>
        <v>31</v>
      </c>
      <c r="I40" s="311">
        <f>Underwriting!$H$99</f>
        <v>500</v>
      </c>
      <c r="J40" s="311">
        <f>Underwriting!$I$99/1000000</f>
        <v>1.9</v>
      </c>
      <c r="K40" s="313">
        <f>Underwriting!$G$99</f>
        <v>3.5000000000000003E-2</v>
      </c>
      <c r="L40" s="307" t="str">
        <f>Underwriting!$K$99</f>
        <v>Annual</v>
      </c>
      <c r="M40" s="311">
        <f>IF('URWLD COMPANY INPUTS'!$F$602="","",'URWLD COMPANY INPUTS'!$F$602)</f>
        <v>3800</v>
      </c>
      <c r="N40" s="309">
        <f t="shared" si="5"/>
        <v>0</v>
      </c>
      <c r="O40" s="310">
        <v>1.47792304491279</v>
      </c>
      <c r="P40" s="323" t="s">
        <v>559</v>
      </c>
      <c r="Q40" s="308" t="s">
        <v>567</v>
      </c>
    </row>
    <row r="41" spans="2:17" ht="24" x14ac:dyDescent="0.35">
      <c r="B41" s="307" t="str">
        <f>Underwriting!$B$100</f>
        <v>Go Kart</v>
      </c>
      <c r="C41" s="308" t="str">
        <f>Underwriting!$C$100</f>
        <v>Funtime Group</v>
      </c>
      <c r="D41" s="307" t="s">
        <v>558</v>
      </c>
      <c r="E41" s="311" t="str">
        <f>Underwriting!$E$100</f>
        <v/>
      </c>
      <c r="F41" s="312">
        <f t="shared" si="4"/>
        <v>0</v>
      </c>
      <c r="G41" s="311">
        <f>Underwriting!$D$100</f>
        <v>31</v>
      </c>
      <c r="H41" s="311">
        <f>Underwriting!$F$100</f>
        <v>34</v>
      </c>
      <c r="I41" s="311">
        <f>Underwriting!$H$100</f>
        <v>500</v>
      </c>
      <c r="J41" s="311">
        <f>Underwriting!$I$100/1000000</f>
        <v>0</v>
      </c>
      <c r="K41" s="313">
        <f>Underwriting!$G$100</f>
        <v>3.5000000000000003E-2</v>
      </c>
      <c r="L41" s="307" t="str">
        <f>Underwriting!$K$100</f>
        <v>Annual</v>
      </c>
      <c r="M41" s="310">
        <v>2000</v>
      </c>
      <c r="N41" s="309" t="str">
        <f t="shared" si="5"/>
        <v/>
      </c>
      <c r="O41" s="310">
        <v>0.99956502994186003</v>
      </c>
      <c r="P41" s="323" t="s">
        <v>559</v>
      </c>
      <c r="Q41" s="308" t="s">
        <v>568</v>
      </c>
    </row>
    <row r="42" spans="2:17" ht="24" x14ac:dyDescent="0.35">
      <c r="B42" s="307" t="str">
        <f>Underwriting!$B$101</f>
        <v>Landscape-Based Attraction</v>
      </c>
      <c r="C42" s="308" t="str">
        <f>Underwriting!$C$101</f>
        <v>Operating Group</v>
      </c>
      <c r="D42" s="307" t="s">
        <v>558</v>
      </c>
      <c r="E42" s="311">
        <f>Underwriting!$E$101</f>
        <v>150</v>
      </c>
      <c r="F42" s="312">
        <f t="shared" si="4"/>
        <v>0</v>
      </c>
      <c r="G42" s="311">
        <f>Underwriting!$D$101</f>
        <v>31</v>
      </c>
      <c r="H42" s="311">
        <f>Underwriting!$F$101</f>
        <v>34</v>
      </c>
      <c r="I42" s="311">
        <f>Underwriting!$H$101</f>
        <v>600</v>
      </c>
      <c r="J42" s="311">
        <f>Underwriting!$I$101/1000000</f>
        <v>0.09</v>
      </c>
      <c r="K42" s="313">
        <f>Underwriting!$G$101</f>
        <v>3.5000000000000003E-2</v>
      </c>
      <c r="L42" s="307" t="str">
        <f>Underwriting!$K$101</f>
        <v>Annual</v>
      </c>
      <c r="M42" s="311">
        <f>IF('URWLD COMPANY INPUTS'!$F$611="","",'URWLD COMPANY INPUTS'!$F$611)</f>
        <v>150</v>
      </c>
      <c r="N42" s="309">
        <f t="shared" si="5"/>
        <v>0</v>
      </c>
      <c r="O42" s="310">
        <v>9.3364732412790696E-2</v>
      </c>
      <c r="P42" s="323" t="s">
        <v>559</v>
      </c>
      <c r="Q42" s="308" t="s">
        <v>569</v>
      </c>
    </row>
    <row r="43" spans="2:17" ht="24" x14ac:dyDescent="0.35">
      <c r="B43" s="307" t="str">
        <f>Underwriting!$B$102</f>
        <v>Self-Storage Facility</v>
      </c>
      <c r="C43" s="308" t="str">
        <f>Underwriting!$C$102</f>
        <v>Storage King</v>
      </c>
      <c r="D43" s="307" t="s">
        <v>561</v>
      </c>
      <c r="E43" s="311">
        <f>Underwriting!$E$102</f>
        <v>600</v>
      </c>
      <c r="F43" s="312">
        <f t="shared" si="4"/>
        <v>0</v>
      </c>
      <c r="G43" s="311">
        <f>Underwriting!$D$102</f>
        <v>31</v>
      </c>
      <c r="H43" s="311">
        <f>Underwriting!$F$102</f>
        <v>34</v>
      </c>
      <c r="I43" s="311">
        <f>Underwriting!$H$102</f>
        <v>0</v>
      </c>
      <c r="J43" s="311">
        <f>Underwriting!$I$102/1000000</f>
        <v>0</v>
      </c>
      <c r="K43" s="313">
        <f>Underwriting!$G$102</f>
        <v>3.5000000000000003E-2</v>
      </c>
      <c r="L43" s="307" t="str">
        <f>Underwriting!$K$102</f>
        <v>Annual</v>
      </c>
      <c r="M43" s="311">
        <f>IF('URWLD COMPANY INPUTS'!$F$618="","",'URWLD COMPANY INPUTS'!$F$618)</f>
        <v>600</v>
      </c>
      <c r="N43" s="309">
        <f t="shared" si="5"/>
        <v>0</v>
      </c>
      <c r="O43" s="310">
        <v>0.5</v>
      </c>
      <c r="P43" s="323" t="s">
        <v>559</v>
      </c>
      <c r="Q43" s="308" t="s">
        <v>570</v>
      </c>
    </row>
    <row r="44" spans="2:17" ht="24" x14ac:dyDescent="0.35">
      <c r="B44" s="307" t="str">
        <f>Underwriting!$B$103</f>
        <v>Convenience Store / Laundromat</v>
      </c>
      <c r="C44" s="308" t="str">
        <f>Underwriting!$C$103</f>
        <v>7-Eleven / App Automation</v>
      </c>
      <c r="D44" s="307" t="s">
        <v>561</v>
      </c>
      <c r="E44" s="311">
        <f>Underwriting!$E$103</f>
        <v>2120</v>
      </c>
      <c r="F44" s="312">
        <f t="shared" si="4"/>
        <v>0</v>
      </c>
      <c r="G44" s="311">
        <f>Underwriting!$D$103</f>
        <v>37</v>
      </c>
      <c r="H44" s="311">
        <f>Underwriting!$F$103</f>
        <v>40</v>
      </c>
      <c r="I44" s="311">
        <f>Underwriting!$H$103</f>
        <v>0</v>
      </c>
      <c r="J44" s="311">
        <f>Underwriting!$I$103/1000000</f>
        <v>0</v>
      </c>
      <c r="K44" s="313">
        <f>Underwriting!$G$103</f>
        <v>3.5000000000000003E-2</v>
      </c>
      <c r="L44" s="307" t="str">
        <f>Underwriting!$K$103</f>
        <v>Annual</v>
      </c>
      <c r="M44" s="311">
        <f>IF('URWLD COMPANY INPUTS'!$F$632="","",'URWLD COMPANY INPUTS'!$F$632)</f>
        <v>2000</v>
      </c>
      <c r="N44" s="309">
        <f t="shared" si="5"/>
        <v>-120</v>
      </c>
      <c r="O44" s="310">
        <v>0.61171929941860503</v>
      </c>
      <c r="P44" s="323" t="s">
        <v>559</v>
      </c>
      <c r="Q44" s="308" t="s">
        <v>571</v>
      </c>
    </row>
    <row r="45" spans="2:17" ht="24" x14ac:dyDescent="0.35">
      <c r="B45" s="307" t="str">
        <f>Underwriting!$B$104</f>
        <v>eBike / eScooter Storage</v>
      </c>
      <c r="C45" s="308" t="str">
        <f>Underwriting!$C$104</f>
        <v>App Automation</v>
      </c>
      <c r="D45" s="307" t="s">
        <v>561</v>
      </c>
      <c r="E45" s="311">
        <f>Underwriting!$E$104</f>
        <v>150</v>
      </c>
      <c r="F45" s="312">
        <f t="shared" si="4"/>
        <v>0</v>
      </c>
      <c r="G45" s="311">
        <f>Underwriting!$D$104</f>
        <v>37</v>
      </c>
      <c r="H45" s="311">
        <f>Underwriting!$F$104</f>
        <v>40</v>
      </c>
      <c r="I45" s="311">
        <f>Underwriting!$H$104</f>
        <v>0</v>
      </c>
      <c r="J45" s="311">
        <f>Underwriting!$I$104/1000000</f>
        <v>0</v>
      </c>
      <c r="K45" s="313">
        <f>Underwriting!$G$104</f>
        <v>3.5000000000000003E-2</v>
      </c>
      <c r="L45" s="307" t="str">
        <f>Underwriting!$K$104</f>
        <v>Annual</v>
      </c>
      <c r="M45" s="311">
        <f>IF('URWLD COMPANY INPUTS'!$F$633="","",'URWLD COMPANY INPUTS'!$F$633)</f>
        <v>120</v>
      </c>
      <c r="N45" s="309">
        <f t="shared" si="5"/>
        <v>-30</v>
      </c>
      <c r="O45" s="310">
        <v>0.15</v>
      </c>
      <c r="P45" s="323" t="s">
        <v>559</v>
      </c>
      <c r="Q45" s="308" t="s">
        <v>572</v>
      </c>
    </row>
    <row r="46" spans="2:17" ht="27" x14ac:dyDescent="0.35">
      <c r="B46" s="305" t="s">
        <v>573</v>
      </c>
      <c r="C46" s="305"/>
      <c r="D46" s="305"/>
      <c r="G46" s="305"/>
      <c r="H46" s="305"/>
      <c r="L46" s="305"/>
      <c r="M46" s="319">
        <f>SUM(M34:M45)</f>
        <v>80320.38</v>
      </c>
      <c r="N46" s="319">
        <f>SUM(N34:N45)</f>
        <v>-150</v>
      </c>
      <c r="O46" s="319">
        <f>SUM(O34:O45)</f>
        <v>29.346914808526151</v>
      </c>
      <c r="P46" s="324" t="s">
        <v>574</v>
      </c>
      <c r="Q46" s="324" t="s">
        <v>575</v>
      </c>
    </row>
    <row r="47" spans="2:17" x14ac:dyDescent="0.35">
      <c r="P47" s="325"/>
      <c r="Q47" s="325"/>
    </row>
    <row r="48" spans="2:17" x14ac:dyDescent="0.35">
      <c r="B48" s="939" t="s">
        <v>576</v>
      </c>
      <c r="C48" s="939"/>
      <c r="D48" s="939"/>
      <c r="E48" s="939"/>
      <c r="F48" s="939"/>
      <c r="G48" s="939"/>
      <c r="H48" s="939"/>
      <c r="I48" s="939"/>
      <c r="J48" s="939"/>
      <c r="K48" s="939"/>
      <c r="L48" s="939"/>
      <c r="M48" s="939"/>
      <c r="N48" s="939"/>
      <c r="O48" s="939"/>
      <c r="P48" s="940"/>
      <c r="Q48" s="940"/>
    </row>
    <row r="49" spans="2:17" ht="27" x14ac:dyDescent="0.35">
      <c r="B49" s="306" t="s">
        <v>542</v>
      </c>
      <c r="C49" s="306" t="s">
        <v>577</v>
      </c>
      <c r="D49" s="306" t="s">
        <v>578</v>
      </c>
      <c r="E49" s="306" t="s">
        <v>579</v>
      </c>
      <c r="F49" s="306" t="s">
        <v>580</v>
      </c>
      <c r="G49" s="306" t="s">
        <v>581</v>
      </c>
      <c r="H49" s="306" t="s">
        <v>582</v>
      </c>
      <c r="I49" s="306" t="s">
        <v>583</v>
      </c>
      <c r="J49" s="306" t="s">
        <v>584</v>
      </c>
      <c r="K49" s="306" t="s">
        <v>585</v>
      </c>
      <c r="L49" s="306" t="s">
        <v>586</v>
      </c>
      <c r="M49" s="306" t="s">
        <v>587</v>
      </c>
      <c r="N49" s="306" t="s">
        <v>588</v>
      </c>
      <c r="O49" s="306" t="s">
        <v>589</v>
      </c>
      <c r="P49" s="306" t="s">
        <v>590</v>
      </c>
      <c r="Q49" s="306" t="s">
        <v>591</v>
      </c>
    </row>
    <row r="50" spans="2:17" ht="24" x14ac:dyDescent="0.35">
      <c r="B50" s="307" t="str">
        <f>Underwriting!$B$93</f>
        <v>URWLD</v>
      </c>
      <c r="C50" s="918" t="str">
        <f>IF('INPUT REGISTER'!$F$220="","",'INPUT REGISTER'!$F$220)</f>
        <v>Monthly</v>
      </c>
      <c r="D50" s="918" t="str">
        <f>IF('INPUT REGISTER'!$F$221="","",'INPUT REGISTER'!$F$221)</f>
        <v>NO</v>
      </c>
      <c r="E50" s="311">
        <f>IF('INPUT REGISTER'!$F$224="","",'INPUT REGISTER'!$F$224)</f>
        <v>10</v>
      </c>
      <c r="F50" s="311">
        <f>IF('INPUT REGISTER'!$F$225="","",'INPUT REGISTER'!$F$225)</f>
        <v>30</v>
      </c>
      <c r="G50" s="311">
        <f>IF('INPUT REGISTER'!$F$226="","",'INPUT REGISTER'!$F$226)</f>
        <v>20</v>
      </c>
      <c r="H50" s="311">
        <f>IF('INPUT REGISTER'!$F$227="","",'INPUT REGISTER'!$F$227)</f>
        <v>20</v>
      </c>
      <c r="I50" s="919">
        <f>IF('INPUT REGISTER'!$F$229="","",'INPUT REGISTER'!$F$229)</f>
        <v>46508</v>
      </c>
      <c r="J50" s="919">
        <f>IF('INPUT REGISTER'!$F$230="","",'INPUT REGISTER'!$F$230)</f>
        <v>46813</v>
      </c>
      <c r="K50" s="311">
        <f>IF('INPUT REGISTER'!$F$232="","",'INPUT REGISTER'!$F$232)</f>
        <v>18</v>
      </c>
      <c r="L50" s="311">
        <f>IF('INPUT REGISTER'!$F$233="","",'INPUT REGISTER'!$F$233)</f>
        <v>4</v>
      </c>
      <c r="M50" s="313">
        <f>IF('INPUT REGISTER'!$F$234="","",'INPUT REGISTER'!$F$234)</f>
        <v>0.5</v>
      </c>
      <c r="N50" s="308" t="s">
        <v>592</v>
      </c>
      <c r="O50" s="308" t="s">
        <v>593</v>
      </c>
      <c r="P50" s="308" t="s">
        <v>594</v>
      </c>
      <c r="Q50" s="323" t="str">
        <f>Underwriting!$B$93</f>
        <v>URWLD</v>
      </c>
    </row>
    <row r="51" spans="2:17" ht="24" x14ac:dyDescent="0.35">
      <c r="B51" s="307" t="str">
        <f>Underwriting!$B$94</f>
        <v>Student Accommodation</v>
      </c>
      <c r="K51" s="311">
        <f>IF('INPUT REGISTER'!$F$335="","",'INPUT REGISTER'!$F$335)</f>
        <v>0</v>
      </c>
      <c r="M51" s="312">
        <v>0</v>
      </c>
      <c r="N51" s="308" t="s">
        <v>595</v>
      </c>
      <c r="O51" s="308" t="s">
        <v>596</v>
      </c>
      <c r="P51" s="308" t="s">
        <v>597</v>
      </c>
      <c r="Q51" s="323" t="str">
        <f>Underwriting!$B$94</f>
        <v>Student Accommodation</v>
      </c>
    </row>
    <row r="52" spans="2:17" ht="36" x14ac:dyDescent="0.35">
      <c r="B52" s="307" t="str">
        <f>Underwriting!$B$95</f>
        <v>LiveHouse</v>
      </c>
      <c r="C52" s="918" t="str">
        <f>IF('INPUT REGISTER'!$F$371="","",'INPUT REGISTER'!$F$371)</f>
        <v>Monthly</v>
      </c>
      <c r="D52" s="918" t="str">
        <f>IF('INPUT REGISTER'!$F$372="","",'INPUT REGISTER'!$F$372)</f>
        <v>NO</v>
      </c>
      <c r="E52" s="311">
        <f>IF('INPUT REGISTER'!$F$375="","",'INPUT REGISTER'!$F$375)</f>
        <v>10</v>
      </c>
      <c r="F52" s="311">
        <f>IF('INPUT REGISTER'!$F$376="","",'INPUT REGISTER'!$F$376)</f>
        <v>20</v>
      </c>
      <c r="G52" s="311">
        <f>IF('INPUT REGISTER'!$F$377="","",'INPUT REGISTER'!$F$377)</f>
        <v>20</v>
      </c>
      <c r="H52" s="311">
        <f>IF('INPUT REGISTER'!$F$378="","",'INPUT REGISTER'!$F$378)</f>
        <v>20</v>
      </c>
      <c r="I52" s="919">
        <f>IF('INPUT REGISTER'!$F$380="","",'INPUT REGISTER'!$F$380)</f>
        <v>46508</v>
      </c>
      <c r="J52" s="919">
        <f>IF('INPUT REGISTER'!$F$381="","",'INPUT REGISTER'!$F$381)</f>
        <v>46539</v>
      </c>
      <c r="K52" s="311">
        <f>IF('INPUT REGISTER'!$F$383="","",'INPUT REGISTER'!$F$383)</f>
        <v>18</v>
      </c>
      <c r="L52" s="311">
        <f>IF('INPUT REGISTER'!$F$384="","",'INPUT REGISTER'!$F$384)</f>
        <v>4</v>
      </c>
      <c r="M52" s="313">
        <f>IF('INPUT REGISTER'!$F$385="","",'INPUT REGISTER'!$F$385)</f>
        <v>0.5</v>
      </c>
      <c r="N52" s="308" t="s">
        <v>592</v>
      </c>
      <c r="O52" s="308" t="s">
        <v>598</v>
      </c>
      <c r="P52" s="308" t="s">
        <v>599</v>
      </c>
      <c r="Q52" s="323" t="str">
        <f>Underwriting!$B$95</f>
        <v>LiveHouse</v>
      </c>
    </row>
    <row r="53" spans="2:17" ht="24" x14ac:dyDescent="0.35">
      <c r="B53" s="307" t="str">
        <f>Underwriting!$B$96</f>
        <v>Flexible Retail/F&amp;B</v>
      </c>
      <c r="C53" s="918" t="str">
        <f>IF('INPUT REGISTER'!$F$478="","",'INPUT REGISTER'!$F$478)</f>
        <v>Monthly</v>
      </c>
      <c r="D53" s="918" t="str">
        <f>IF('INPUT REGISTER'!$F$479="","",'INPUT REGISTER'!$F$479)</f>
        <v>NO</v>
      </c>
      <c r="E53" s="311">
        <f>IF('INPUT REGISTER'!$F$482="","",'INPUT REGISTER'!$F$482)</f>
        <v>3</v>
      </c>
      <c r="F53" s="311">
        <f>IF('INPUT REGISTER'!$F$483="","",'INPUT REGISTER'!$F$483)</f>
        <v>3</v>
      </c>
      <c r="G53" s="311">
        <f>IF('INPUT REGISTER'!$F$484="","",'INPUT REGISTER'!$F$484)</f>
        <v>3</v>
      </c>
      <c r="H53" s="311">
        <f>IF('INPUT REGISTER'!$F$485="","",'INPUT REGISTER'!$F$485)</f>
        <v>3</v>
      </c>
      <c r="K53" s="311">
        <f>IF('INPUT REGISTER'!$F$487="","",'INPUT REGISTER'!$F$487)</f>
        <v>0</v>
      </c>
      <c r="M53" s="312">
        <v>0</v>
      </c>
      <c r="N53" s="308" t="s">
        <v>600</v>
      </c>
      <c r="O53" s="308" t="s">
        <v>601</v>
      </c>
      <c r="P53" s="308" t="s">
        <v>602</v>
      </c>
      <c r="Q53" s="323" t="str">
        <f>Underwriting!$B$96</f>
        <v>Flexible Retail/F&amp;B</v>
      </c>
    </row>
    <row r="54" spans="2:17" ht="24" x14ac:dyDescent="0.35">
      <c r="B54" s="307" t="str">
        <f>Underwriting!$B$97</f>
        <v>Genesis Health &amp; Fitness</v>
      </c>
      <c r="C54" s="918" t="str">
        <f>IF('INPUT REGISTER'!$F$287="","",'INPUT REGISTER'!$F$287)</f>
        <v>Monthly</v>
      </c>
      <c r="D54" s="918" t="str">
        <f>IF('INPUT REGISTER'!$F$288="","",'INPUT REGISTER'!$F$288)</f>
        <v>NO</v>
      </c>
      <c r="E54" s="311">
        <f>IF('INPUT REGISTER'!$F$291="","",'INPUT REGISTER'!$F$291)</f>
        <v>5</v>
      </c>
      <c r="F54" s="311">
        <f>IF('INPUT REGISTER'!$F$292="","",'INPUT REGISTER'!$F$292)</f>
        <v>5</v>
      </c>
      <c r="G54" s="311">
        <f>IF('INPUT REGISTER'!$F$293="","",'INPUT REGISTER'!$F$293)</f>
        <v>5</v>
      </c>
      <c r="H54" s="311">
        <f>IF('INPUT REGISTER'!$F$294="","",'INPUT REGISTER'!$F$294)</f>
        <v>5</v>
      </c>
      <c r="I54" s="919">
        <f>IF('INPUT REGISTER'!$F$296="","",'INPUT REGISTER'!$F$296)</f>
        <v>46508</v>
      </c>
      <c r="J54" s="919">
        <f>IF('INPUT REGISTER'!$F$297="","",'INPUT REGISTER'!$F$297)</f>
        <v>46813</v>
      </c>
      <c r="K54" s="311">
        <f>IF('INPUT REGISTER'!$F$299="","",'INPUT REGISTER'!$F$299)</f>
        <v>6</v>
      </c>
      <c r="L54" s="311">
        <f>IF('INPUT REGISTER'!$F$300="","",'INPUT REGISTER'!$F$300)</f>
        <v>4</v>
      </c>
      <c r="M54" s="313">
        <f>IF('INPUT REGISTER'!$F$301="","",'INPUT REGISTER'!$F$301)</f>
        <v>0.5</v>
      </c>
      <c r="N54" s="308" t="s">
        <v>592</v>
      </c>
      <c r="O54" s="308" t="s">
        <v>603</v>
      </c>
      <c r="P54" s="308" t="s">
        <v>604</v>
      </c>
      <c r="Q54" s="323" t="str">
        <f>Underwriting!$B$97</f>
        <v>Genesis Health &amp; Fitness</v>
      </c>
    </row>
    <row r="55" spans="2:17" ht="24" x14ac:dyDescent="0.35">
      <c r="B55" s="307" t="str">
        <f>Underwriting!$B$98</f>
        <v>Car Park</v>
      </c>
      <c r="K55" s="311">
        <f>IF('INPUT REGISTER'!$F$357="","",'INPUT REGISTER'!$F$357)</f>
        <v>0</v>
      </c>
      <c r="M55" s="312">
        <v>0</v>
      </c>
      <c r="N55" s="308" t="s">
        <v>595</v>
      </c>
      <c r="O55" s="308" t="s">
        <v>605</v>
      </c>
      <c r="P55" s="308" t="s">
        <v>597</v>
      </c>
      <c r="Q55" s="323" t="str">
        <f>Underwriting!$B$98</f>
        <v>Car Park</v>
      </c>
    </row>
    <row r="56" spans="2:17" ht="24" x14ac:dyDescent="0.35">
      <c r="B56" s="307" t="str">
        <f>Underwriting!$B$99</f>
        <v>Snowtunnel</v>
      </c>
      <c r="C56" s="918" t="str">
        <f>IF('INPUT REGISTER'!$F$392="","",'INPUT REGISTER'!$F$392)</f>
        <v>Monthly</v>
      </c>
      <c r="D56" s="918" t="str">
        <f>IF('INPUT REGISTER'!$F$393="","",'INPUT REGISTER'!$F$393)</f>
        <v>NO</v>
      </c>
      <c r="E56" s="311">
        <f>IF('INPUT REGISTER'!$F$396="","",'INPUT REGISTER'!$F$396)</f>
        <v>10</v>
      </c>
      <c r="F56" s="311">
        <f>IF('INPUT REGISTER'!$F$397="","",'INPUT REGISTER'!$F$397)</f>
        <v>10</v>
      </c>
      <c r="G56" s="311">
        <f>IF('INPUT REGISTER'!$F$398="","",'INPUT REGISTER'!$F$398)</f>
        <v>10</v>
      </c>
      <c r="H56" s="311">
        <f>IF('INPUT REGISTER'!$F$399="","",'INPUT REGISTER'!$F$399)</f>
        <v>10</v>
      </c>
      <c r="I56" s="919">
        <f>IF('INPUT REGISTER'!$F$401="","",'INPUT REGISTER'!$F$401)</f>
        <v>46508</v>
      </c>
      <c r="J56" s="919">
        <f>IF('INPUT REGISTER'!$F$402="","",'INPUT REGISTER'!$F$402)</f>
        <v>46813</v>
      </c>
      <c r="K56" s="311">
        <f>IF('INPUT REGISTER'!$F$404="","",'INPUT REGISTER'!$F$404)</f>
        <v>9</v>
      </c>
      <c r="L56" s="311">
        <f>IF('INPUT REGISTER'!$F$405="","",'INPUT REGISTER'!$F$405)</f>
        <v>4</v>
      </c>
      <c r="M56" s="313">
        <f>IF('INPUT REGISTER'!$F$406="","",'INPUT REGISTER'!$F$406)</f>
        <v>0.5</v>
      </c>
      <c r="N56" s="308" t="s">
        <v>592</v>
      </c>
      <c r="O56" s="308" t="s">
        <v>606</v>
      </c>
      <c r="P56" s="308" t="s">
        <v>604</v>
      </c>
      <c r="Q56" s="323" t="str">
        <f>Underwriting!$B$99</f>
        <v>Snowtunnel</v>
      </c>
    </row>
    <row r="57" spans="2:17" ht="24" x14ac:dyDescent="0.35">
      <c r="B57" s="307" t="str">
        <f>Underwriting!$B$100</f>
        <v>Go Kart</v>
      </c>
      <c r="C57" s="918" t="str">
        <f>IF('INPUT REGISTER'!$F$413="","",'INPUT REGISTER'!$F$413)</f>
        <v>Monthly</v>
      </c>
      <c r="D57" s="918" t="str">
        <f>IF('INPUT REGISTER'!$F$414="","",'INPUT REGISTER'!$F$414)</f>
        <v>NO</v>
      </c>
      <c r="E57" s="311">
        <f>IF('INPUT REGISTER'!$F$417="","",'INPUT REGISTER'!$F$417)</f>
        <v>5</v>
      </c>
      <c r="F57" s="311">
        <f>IF('INPUT REGISTER'!$F$418="","",'INPUT REGISTER'!$F$418)</f>
        <v>5</v>
      </c>
      <c r="G57" s="311">
        <f>IF('INPUT REGISTER'!$F$419="","",'INPUT REGISTER'!$F$419)</f>
        <v>5</v>
      </c>
      <c r="H57" s="311">
        <f>IF('INPUT REGISTER'!$F$420="","",'INPUT REGISTER'!$F$420)</f>
        <v>5</v>
      </c>
      <c r="I57" s="919">
        <f>IF('INPUT REGISTER'!$F$422="","",'INPUT REGISTER'!$F$422)</f>
        <v>46508</v>
      </c>
      <c r="J57" s="919">
        <f>IF('INPUT REGISTER'!$F$423="","",'INPUT REGISTER'!$F$423)</f>
        <v>46813</v>
      </c>
      <c r="K57" s="311">
        <f>IF('INPUT REGISTER'!$F$425="","",'INPUT REGISTER'!$F$425)</f>
        <v>6</v>
      </c>
      <c r="L57" s="311">
        <f>IF('INPUT REGISTER'!$F$426="","",'INPUT REGISTER'!$F$426)</f>
        <v>2</v>
      </c>
      <c r="M57" s="313">
        <f>IF('INPUT REGISTER'!$F$427="","",'INPUT REGISTER'!$F$427)</f>
        <v>0.25</v>
      </c>
      <c r="N57" s="308" t="s">
        <v>607</v>
      </c>
      <c r="O57" s="308" t="s">
        <v>608</v>
      </c>
      <c r="P57" s="308" t="s">
        <v>609</v>
      </c>
      <c r="Q57" s="323" t="str">
        <f>Underwriting!$B$100</f>
        <v>Go Kart</v>
      </c>
    </row>
    <row r="58" spans="2:17" ht="24" x14ac:dyDescent="0.35">
      <c r="B58" s="307" t="str">
        <f>Underwriting!$B$101</f>
        <v>Landscape-Based Attraction</v>
      </c>
      <c r="C58" s="918" t="str">
        <f>IF('INPUT REGISTER'!$F$434="","",'INPUT REGISTER'!$F$434)</f>
        <v>Monthly</v>
      </c>
      <c r="D58" s="918" t="str">
        <f>IF('INPUT REGISTER'!$F$435="","",'INPUT REGISTER'!$F$435)</f>
        <v>NO</v>
      </c>
      <c r="E58" s="311">
        <f>IF('INPUT REGISTER'!$F$438="","",'INPUT REGISTER'!$F$438)</f>
        <v>5</v>
      </c>
      <c r="F58" s="311">
        <f>IF('INPUT REGISTER'!$F$439="","",'INPUT REGISTER'!$F$439)</f>
        <v>5</v>
      </c>
      <c r="G58" s="311">
        <f>IF('INPUT REGISTER'!$F$440="","",'INPUT REGISTER'!$F$440)</f>
        <v>5</v>
      </c>
      <c r="H58" s="311">
        <f>IF('INPUT REGISTER'!$F$441="","",'INPUT REGISTER'!$F$441)</f>
        <v>5</v>
      </c>
      <c r="I58" s="919">
        <f>IF('INPUT REGISTER'!$F$443="","",'INPUT REGISTER'!$F$443)</f>
        <v>46508</v>
      </c>
      <c r="J58" s="919">
        <f>IF('INPUT REGISTER'!$F$444="","",'INPUT REGISTER'!$F$444)</f>
        <v>46813</v>
      </c>
      <c r="K58" s="311">
        <f>IF('INPUT REGISTER'!$F$446="","",'INPUT REGISTER'!$F$446)</f>
        <v>3</v>
      </c>
      <c r="L58" s="311">
        <f>IF('INPUT REGISTER'!$F$447="","",'INPUT REGISTER'!$F$447)</f>
        <v>2</v>
      </c>
      <c r="M58" s="313">
        <f>IF('INPUT REGISTER'!$F$448="","",'INPUT REGISTER'!$F$448)</f>
        <v>0.25</v>
      </c>
      <c r="N58" s="308" t="s">
        <v>610</v>
      </c>
      <c r="O58" s="308" t="s">
        <v>611</v>
      </c>
      <c r="P58" s="308" t="s">
        <v>612</v>
      </c>
      <c r="Q58" s="323" t="str">
        <f>Underwriting!$B$101</f>
        <v>Landscape-Based Attraction</v>
      </c>
    </row>
    <row r="59" spans="2:17" ht="24" x14ac:dyDescent="0.35">
      <c r="B59" s="307" t="str">
        <f>Underwriting!$B$102</f>
        <v>Self-Storage Facility</v>
      </c>
      <c r="K59" s="311">
        <f>IF('INPUT REGISTER'!$F$471="","",'INPUT REGISTER'!$F$471)</f>
        <v>0</v>
      </c>
      <c r="M59" s="312">
        <v>0</v>
      </c>
      <c r="N59" s="308" t="s">
        <v>595</v>
      </c>
      <c r="O59" s="308" t="s">
        <v>613</v>
      </c>
      <c r="P59" s="308" t="s">
        <v>597</v>
      </c>
      <c r="Q59" s="323" t="str">
        <f>Underwriting!$B$102</f>
        <v>Self-Storage Facility</v>
      </c>
    </row>
    <row r="60" spans="2:17" ht="24" x14ac:dyDescent="0.35">
      <c r="B60" s="307" t="str">
        <f>Underwriting!$B$103</f>
        <v>Convenience Store / Laundromat</v>
      </c>
      <c r="K60" s="311">
        <f>IF('INPUT REGISTER'!$F$501="","",'INPUT REGISTER'!$F$501)</f>
        <v>0</v>
      </c>
      <c r="M60" s="312">
        <v>0</v>
      </c>
      <c r="N60" s="308" t="s">
        <v>595</v>
      </c>
      <c r="O60" s="308" t="s">
        <v>614</v>
      </c>
      <c r="P60" s="308" t="s">
        <v>615</v>
      </c>
      <c r="Q60" s="323" t="str">
        <f>Underwriting!$B$103</f>
        <v>Convenience Store / Laundromat</v>
      </c>
    </row>
    <row r="61" spans="2:17" ht="24" x14ac:dyDescent="0.35">
      <c r="B61" s="307" t="str">
        <f>Underwriting!$B$104</f>
        <v>eBike / eScooter Storage</v>
      </c>
      <c r="K61" s="311">
        <f>IF('INPUT REGISTER'!$F$509="","",'INPUT REGISTER'!$F$509)</f>
        <v>0</v>
      </c>
      <c r="M61" s="312">
        <v>0</v>
      </c>
      <c r="N61" s="308" t="s">
        <v>595</v>
      </c>
      <c r="O61" s="308" t="s">
        <v>616</v>
      </c>
      <c r="P61" s="308" t="s">
        <v>615</v>
      </c>
      <c r="Q61" s="323" t="str">
        <f>Underwriting!$B$104</f>
        <v>eBike / eScooter Storage</v>
      </c>
    </row>
    <row r="62" spans="2:17" x14ac:dyDescent="0.35">
      <c r="B62" s="305" t="s">
        <v>617</v>
      </c>
      <c r="C62" s="305" t="s">
        <v>618</v>
      </c>
      <c r="D62" s="319">
        <v>7</v>
      </c>
      <c r="F62" s="305" t="s">
        <v>619</v>
      </c>
      <c r="G62" s="319">
        <v>2</v>
      </c>
      <c r="I62" s="305" t="s">
        <v>620</v>
      </c>
      <c r="J62" s="319">
        <v>2</v>
      </c>
      <c r="L62" s="305" t="s">
        <v>621</v>
      </c>
      <c r="M62" s="319">
        <v>5</v>
      </c>
      <c r="O62" s="305" t="s">
        <v>622</v>
      </c>
      <c r="P62" s="962" t="s">
        <v>623</v>
      </c>
      <c r="Q62" s="962"/>
    </row>
    <row r="64" spans="2:17" x14ac:dyDescent="0.35">
      <c r="B64" s="939" t="s">
        <v>624</v>
      </c>
      <c r="C64" s="939"/>
      <c r="D64" s="939"/>
      <c r="E64" s="939"/>
      <c r="F64" s="939"/>
      <c r="G64" s="939"/>
      <c r="H64" s="939"/>
      <c r="I64" s="939"/>
      <c r="J64" s="939"/>
      <c r="K64" s="939"/>
      <c r="L64" s="939"/>
      <c r="M64" s="939"/>
      <c r="N64" s="939"/>
      <c r="O64" s="939"/>
      <c r="P64" s="939"/>
      <c r="Q64" s="939"/>
    </row>
    <row r="65" spans="2:122" x14ac:dyDescent="0.35">
      <c r="B65" s="934" t="s">
        <v>625</v>
      </c>
      <c r="C65" s="934"/>
      <c r="D65" s="934"/>
      <c r="E65" s="934"/>
      <c r="F65" s="934"/>
      <c r="G65" s="934"/>
      <c r="H65" s="934"/>
      <c r="I65" s="934"/>
      <c r="J65" s="934"/>
      <c r="K65" s="934"/>
      <c r="L65" s="934"/>
      <c r="M65" s="934"/>
      <c r="N65" s="934"/>
      <c r="O65" s="934"/>
      <c r="P65" s="934"/>
      <c r="Q65" s="934"/>
    </row>
    <row r="66" spans="2:122" x14ac:dyDescent="0.35">
      <c r="B66" s="934" t="s">
        <v>626</v>
      </c>
      <c r="C66" s="934"/>
      <c r="D66" s="934"/>
      <c r="E66" s="934"/>
      <c r="F66" s="934"/>
      <c r="G66" s="934"/>
      <c r="H66" s="934"/>
      <c r="I66" s="934"/>
      <c r="J66" s="934"/>
      <c r="K66" s="934"/>
      <c r="L66" s="934"/>
      <c r="M66" s="934"/>
      <c r="N66" s="934"/>
      <c r="O66" s="934"/>
      <c r="P66" s="934"/>
      <c r="Q66" s="934"/>
    </row>
    <row r="67" spans="2:122" x14ac:dyDescent="0.35">
      <c r="B67" s="934" t="s">
        <v>627</v>
      </c>
      <c r="C67" s="934"/>
      <c r="D67" s="934"/>
      <c r="E67" s="934"/>
      <c r="F67" s="934"/>
      <c r="G67" s="934"/>
      <c r="H67" s="934"/>
      <c r="I67" s="934"/>
      <c r="J67" s="934"/>
      <c r="K67" s="934"/>
      <c r="L67" s="934"/>
      <c r="M67" s="934"/>
      <c r="N67" s="934"/>
      <c r="O67" s="934"/>
      <c r="P67" s="934"/>
      <c r="Q67" s="934"/>
    </row>
    <row r="68" spans="2:122" x14ac:dyDescent="0.35">
      <c r="B68" s="934" t="s">
        <v>628</v>
      </c>
      <c r="C68" s="934"/>
      <c r="D68" s="934"/>
      <c r="E68" s="934"/>
      <c r="F68" s="934"/>
      <c r="G68" s="934"/>
      <c r="H68" s="934"/>
      <c r="I68" s="934"/>
      <c r="J68" s="934"/>
      <c r="K68" s="934"/>
      <c r="L68" s="934"/>
      <c r="M68" s="934"/>
      <c r="N68" s="934"/>
      <c r="O68" s="934"/>
      <c r="P68" s="934"/>
      <c r="Q68" s="934"/>
    </row>
    <row r="69" spans="2:122" x14ac:dyDescent="0.35">
      <c r="B69" s="934" t="s">
        <v>629</v>
      </c>
      <c r="C69" s="934"/>
      <c r="D69" s="934"/>
      <c r="E69" s="934"/>
      <c r="F69" s="934"/>
      <c r="G69" s="934"/>
      <c r="H69" s="934"/>
      <c r="I69" s="934"/>
      <c r="J69" s="934"/>
      <c r="K69" s="934"/>
      <c r="L69" s="934"/>
      <c r="M69" s="934"/>
      <c r="N69" s="934"/>
      <c r="O69" s="934"/>
      <c r="P69" s="934"/>
      <c r="Q69" s="934"/>
    </row>
    <row r="70" spans="2:122" x14ac:dyDescent="0.35">
      <c r="B70" s="934" t="s">
        <v>630</v>
      </c>
      <c r="C70" s="934"/>
      <c r="D70" s="934"/>
      <c r="E70" s="934"/>
      <c r="F70" s="934"/>
      <c r="G70" s="934"/>
      <c r="H70" s="934"/>
      <c r="I70" s="934"/>
      <c r="J70" s="934"/>
      <c r="K70" s="934"/>
      <c r="L70" s="934"/>
      <c r="M70" s="934"/>
      <c r="N70" s="934"/>
      <c r="O70" s="934"/>
      <c r="P70" s="934"/>
      <c r="Q70" s="934"/>
    </row>
    <row r="71" spans="2:122" x14ac:dyDescent="0.35">
      <c r="B71" s="934" t="s">
        <v>631</v>
      </c>
      <c r="C71" s="934"/>
      <c r="D71" s="934"/>
      <c r="E71" s="934"/>
      <c r="F71" s="934"/>
      <c r="G71" s="934"/>
      <c r="H71" s="934"/>
      <c r="I71" s="934"/>
      <c r="J71" s="934"/>
      <c r="K71" s="934"/>
      <c r="L71" s="934"/>
      <c r="M71" s="934"/>
      <c r="N71" s="934"/>
      <c r="O71" s="934"/>
      <c r="P71" s="934"/>
      <c r="Q71" s="934"/>
    </row>
    <row r="72" spans="2:122" x14ac:dyDescent="0.35">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row>
    <row r="73" spans="2:122" x14ac:dyDescent="0.35">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row>
    <row r="74" spans="2:122" x14ac:dyDescent="0.35">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row>
    <row r="75" spans="2:122" x14ac:dyDescent="0.3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row>
    <row r="76" spans="2:122" x14ac:dyDescent="0.35">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row>
    <row r="77" spans="2:122" x14ac:dyDescent="0.35">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row>
    <row r="78" spans="2:122" x14ac:dyDescent="0.35">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row>
    <row r="79" spans="2:122" x14ac:dyDescent="0.35">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row>
    <row r="80" spans="2:122" x14ac:dyDescent="0.35">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row>
    <row r="81" spans="2:122" x14ac:dyDescent="0.35">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row>
    <row r="82" spans="2:122" x14ac:dyDescent="0.35">
      <c r="B82" s="4">
        <f>Underwriting!L86</f>
        <v>0</v>
      </c>
      <c r="C82" s="4">
        <f>Underwriting!M86</f>
        <v>1</v>
      </c>
      <c r="D82" s="4">
        <f>Underwriting!N86</f>
        <v>2</v>
      </c>
      <c r="E82" s="4">
        <f>Underwriting!O86</f>
        <v>3</v>
      </c>
      <c r="F82" s="4">
        <f>Underwriting!P86</f>
        <v>4</v>
      </c>
      <c r="G82" s="4">
        <f>Underwriting!Q86</f>
        <v>5</v>
      </c>
      <c r="H82" s="4">
        <f>Underwriting!R86</f>
        <v>6</v>
      </c>
      <c r="I82" s="4">
        <f>Underwriting!S86</f>
        <v>7</v>
      </c>
      <c r="J82" s="4">
        <f>Underwriting!T86</f>
        <v>8</v>
      </c>
      <c r="K82" s="4">
        <f>Underwriting!U86</f>
        <v>9</v>
      </c>
      <c r="L82" s="4">
        <f>Underwriting!V86</f>
        <v>10</v>
      </c>
      <c r="M82" s="4">
        <f>Underwriting!W86</f>
        <v>11</v>
      </c>
      <c r="N82" s="4">
        <f>Underwriting!X86</f>
        <v>12</v>
      </c>
      <c r="O82" s="4">
        <f>Underwriting!Y86</f>
        <v>13</v>
      </c>
      <c r="P82" s="4">
        <f>Underwriting!Z86</f>
        <v>14</v>
      </c>
      <c r="Q82" s="4">
        <f>Underwriting!AA86</f>
        <v>15</v>
      </c>
      <c r="R82" s="4">
        <f>Underwriting!AB86</f>
        <v>16</v>
      </c>
      <c r="S82" s="4">
        <f>Underwriting!AC86</f>
        <v>17</v>
      </c>
      <c r="T82" s="4">
        <f>Underwriting!AD86</f>
        <v>18</v>
      </c>
      <c r="U82" s="4">
        <f>Underwriting!AE86</f>
        <v>19</v>
      </c>
      <c r="V82" s="4">
        <f>Underwriting!AF86</f>
        <v>20</v>
      </c>
      <c r="W82" s="4">
        <f>Underwriting!AG86</f>
        <v>21</v>
      </c>
      <c r="X82" s="4">
        <f>Underwriting!AH86</f>
        <v>22</v>
      </c>
      <c r="Y82" s="4">
        <f>Underwriting!AI86</f>
        <v>23</v>
      </c>
      <c r="Z82" s="4">
        <f>Underwriting!AJ86</f>
        <v>24</v>
      </c>
      <c r="AA82" s="4">
        <f>Underwriting!AK86</f>
        <v>25</v>
      </c>
      <c r="AB82" s="4">
        <f>Underwriting!AL86</f>
        <v>26</v>
      </c>
      <c r="AC82" s="4">
        <f>Underwriting!AM86</f>
        <v>27</v>
      </c>
      <c r="AD82" s="4">
        <f>Underwriting!AN86</f>
        <v>28</v>
      </c>
      <c r="AE82" s="4">
        <f>Underwriting!AO86</f>
        <v>29</v>
      </c>
      <c r="AF82" s="4">
        <f>Underwriting!AP86</f>
        <v>30</v>
      </c>
      <c r="AG82" s="4">
        <f>Underwriting!AQ86</f>
        <v>31</v>
      </c>
      <c r="AH82" s="4">
        <f>Underwriting!AR86</f>
        <v>32</v>
      </c>
      <c r="AI82" s="4">
        <f>Underwriting!AS86</f>
        <v>33</v>
      </c>
      <c r="AJ82" s="4">
        <f>Underwriting!AT86</f>
        <v>34</v>
      </c>
      <c r="AK82" s="4">
        <f>Underwriting!AU86</f>
        <v>35</v>
      </c>
      <c r="AL82" s="4">
        <f>Underwriting!AV86</f>
        <v>36</v>
      </c>
      <c r="AM82" s="4">
        <f>Underwriting!AW86</f>
        <v>37</v>
      </c>
      <c r="AN82" s="4">
        <f>Underwriting!AX86</f>
        <v>38</v>
      </c>
      <c r="AO82" s="4">
        <f>Underwriting!AY86</f>
        <v>39</v>
      </c>
      <c r="AP82" s="4">
        <f>Underwriting!AZ86</f>
        <v>40</v>
      </c>
      <c r="AQ82" s="4">
        <f>Underwriting!BA86</f>
        <v>41</v>
      </c>
      <c r="AR82" s="4">
        <f>Underwriting!BB86</f>
        <v>42</v>
      </c>
      <c r="AS82" s="4">
        <f>Underwriting!BC86</f>
        <v>43</v>
      </c>
      <c r="AT82" s="4">
        <f>Underwriting!BD86</f>
        <v>44</v>
      </c>
      <c r="AU82" s="4">
        <f>Underwriting!BE86</f>
        <v>45</v>
      </c>
      <c r="AV82" s="4">
        <f>Underwriting!BF86</f>
        <v>46</v>
      </c>
      <c r="AW82" s="4">
        <f>Underwriting!BG86</f>
        <v>47</v>
      </c>
      <c r="AX82" s="4">
        <f>Underwriting!BH86</f>
        <v>48</v>
      </c>
      <c r="AY82" s="4">
        <f>Underwriting!BI86</f>
        <v>49</v>
      </c>
      <c r="AZ82" s="4">
        <f>Underwriting!BJ86</f>
        <v>50</v>
      </c>
      <c r="BA82" s="4">
        <f>Underwriting!BK86</f>
        <v>51</v>
      </c>
      <c r="BB82" s="4">
        <f>Underwriting!BL86</f>
        <v>52</v>
      </c>
      <c r="BC82" s="4">
        <f>Underwriting!BM86</f>
        <v>53</v>
      </c>
      <c r="BD82" s="4">
        <f>Underwriting!BN86</f>
        <v>54</v>
      </c>
      <c r="BE82" s="4">
        <f>Underwriting!BO86</f>
        <v>55</v>
      </c>
      <c r="BF82" s="4">
        <f>Underwriting!BP86</f>
        <v>56</v>
      </c>
      <c r="BG82" s="4">
        <f>Underwriting!BQ86</f>
        <v>57</v>
      </c>
      <c r="BH82" s="4">
        <f>Underwriting!BR86</f>
        <v>58</v>
      </c>
      <c r="BI82" s="4">
        <f>Underwriting!BS86</f>
        <v>59</v>
      </c>
      <c r="BJ82" s="4">
        <f>Underwriting!BT86</f>
        <v>60</v>
      </c>
      <c r="BK82" s="4">
        <f>Underwriting!BU86</f>
        <v>61</v>
      </c>
      <c r="BL82" s="4">
        <f>Underwriting!BV86</f>
        <v>62</v>
      </c>
      <c r="BM82" s="4">
        <f>Underwriting!BW86</f>
        <v>63</v>
      </c>
      <c r="BN82" s="4">
        <f>Underwriting!BX86</f>
        <v>64</v>
      </c>
      <c r="BO82" s="4">
        <f>Underwriting!BY86</f>
        <v>65</v>
      </c>
      <c r="BP82" s="4">
        <f>Underwriting!BZ86</f>
        <v>66</v>
      </c>
      <c r="BQ82" s="4">
        <f>Underwriting!CA86</f>
        <v>67</v>
      </c>
      <c r="BR82" s="4">
        <f>Underwriting!CB86</f>
        <v>68</v>
      </c>
      <c r="BS82" s="4">
        <f>Underwriting!CC86</f>
        <v>69</v>
      </c>
      <c r="BT82" s="4">
        <f>Underwriting!CD86</f>
        <v>70</v>
      </c>
      <c r="BU82" s="4">
        <f>Underwriting!CE86</f>
        <v>71</v>
      </c>
      <c r="BV82" s="4">
        <f>Underwriting!CF86</f>
        <v>72</v>
      </c>
      <c r="BW82" s="4">
        <f>Underwriting!CG86</f>
        <v>73</v>
      </c>
      <c r="BX82" s="4">
        <f>Underwriting!CH86</f>
        <v>74</v>
      </c>
      <c r="BY82" s="4">
        <f>Underwriting!CI86</f>
        <v>75</v>
      </c>
      <c r="BZ82" s="4">
        <f>Underwriting!CJ86</f>
        <v>76</v>
      </c>
      <c r="CA82" s="4">
        <f>Underwriting!CK86</f>
        <v>77</v>
      </c>
      <c r="CB82" s="4">
        <f>Underwriting!CL86</f>
        <v>78</v>
      </c>
      <c r="CC82" s="4">
        <f>Underwriting!CM86</f>
        <v>79</v>
      </c>
      <c r="CD82" s="4">
        <f>Underwriting!CN86</f>
        <v>80</v>
      </c>
      <c r="CE82" s="4">
        <f>Underwriting!CO86</f>
        <v>81</v>
      </c>
      <c r="CF82" s="4">
        <f>Underwriting!CP86</f>
        <v>82</v>
      </c>
      <c r="CG82" s="4">
        <f>Underwriting!CQ86</f>
        <v>83</v>
      </c>
      <c r="CH82" s="4">
        <f>Underwriting!CR86</f>
        <v>84</v>
      </c>
      <c r="CI82" s="4">
        <f>Underwriting!CS86</f>
        <v>85</v>
      </c>
      <c r="CJ82" s="4">
        <f>Underwriting!CT86</f>
        <v>86</v>
      </c>
      <c r="CK82" s="4">
        <f>Underwriting!CU86</f>
        <v>87</v>
      </c>
      <c r="CL82" s="4">
        <f>Underwriting!CV86</f>
        <v>88</v>
      </c>
      <c r="CM82" s="4">
        <f>Underwriting!CW86</f>
        <v>89</v>
      </c>
      <c r="CN82" s="4">
        <f>Underwriting!CX86</f>
        <v>90</v>
      </c>
      <c r="CO82" s="4">
        <f>Underwriting!CY86</f>
        <v>91</v>
      </c>
      <c r="CP82" s="4">
        <f>Underwriting!CZ86</f>
        <v>92</v>
      </c>
      <c r="CQ82" s="4">
        <f>Underwriting!DA86</f>
        <v>93</v>
      </c>
      <c r="CR82" s="4">
        <f>Underwriting!DB86</f>
        <v>94</v>
      </c>
      <c r="CS82" s="4">
        <f>Underwriting!DC86</f>
        <v>95</v>
      </c>
      <c r="CT82" s="4">
        <f>Underwriting!DD86</f>
        <v>96</v>
      </c>
      <c r="CU82" s="4">
        <f>Underwriting!DE86</f>
        <v>97</v>
      </c>
      <c r="CV82" s="4">
        <f>Underwriting!DF86</f>
        <v>98</v>
      </c>
      <c r="CW82" s="4">
        <f>Underwriting!DG86</f>
        <v>99</v>
      </c>
      <c r="CX82" s="4">
        <f>Underwriting!DH86</f>
        <v>100</v>
      </c>
      <c r="CY82" s="4">
        <f>Underwriting!DI86</f>
        <v>101</v>
      </c>
      <c r="CZ82" s="4">
        <f>Underwriting!DJ86</f>
        <v>102</v>
      </c>
      <c r="DA82" s="4">
        <f>Underwriting!DK86</f>
        <v>103</v>
      </c>
      <c r="DB82" s="4">
        <f>Underwriting!DL86</f>
        <v>104</v>
      </c>
      <c r="DC82" s="4">
        <f>Underwriting!DM86</f>
        <v>105</v>
      </c>
      <c r="DD82" s="4">
        <f>Underwriting!DN86</f>
        <v>106</v>
      </c>
      <c r="DE82" s="4">
        <f>Underwriting!DO86</f>
        <v>107</v>
      </c>
      <c r="DF82" s="4">
        <f>Underwriting!DP86</f>
        <v>108</v>
      </c>
      <c r="DG82" s="4">
        <f>Underwriting!DQ86</f>
        <v>109</v>
      </c>
      <c r="DH82" s="4">
        <f>Underwriting!DR86</f>
        <v>110</v>
      </c>
      <c r="DI82" s="4">
        <f>Underwriting!DS86</f>
        <v>111</v>
      </c>
      <c r="DJ82" s="4">
        <f>Underwriting!DT86</f>
        <v>112</v>
      </c>
      <c r="DK82" s="4">
        <f>Underwriting!DU86</f>
        <v>113</v>
      </c>
      <c r="DL82" s="4">
        <f>Underwriting!DV86</f>
        <v>114</v>
      </c>
      <c r="DM82" s="4">
        <f>Underwriting!DW86</f>
        <v>115</v>
      </c>
      <c r="DN82" s="4">
        <f>Underwriting!DX86</f>
        <v>116</v>
      </c>
      <c r="DO82" s="4">
        <f>Underwriting!DY86</f>
        <v>117</v>
      </c>
      <c r="DP82" s="4">
        <f>Underwriting!DZ86</f>
        <v>118</v>
      </c>
      <c r="DQ82" s="4">
        <f>Underwriting!EA86</f>
        <v>119</v>
      </c>
      <c r="DR82" s="4">
        <f>Underwriting!EB86</f>
        <v>120</v>
      </c>
    </row>
    <row r="83" spans="2:122" x14ac:dyDescent="0.35">
      <c r="B83" s="281">
        <f>Underwriting!L89</f>
        <v>0</v>
      </c>
      <c r="C83" s="281">
        <f>Underwriting!M89</f>
        <v>0</v>
      </c>
      <c r="D83" s="281">
        <f>Underwriting!N89</f>
        <v>0</v>
      </c>
      <c r="E83" s="281">
        <f>Underwriting!O89</f>
        <v>0</v>
      </c>
      <c r="F83" s="281">
        <f>Underwriting!P89</f>
        <v>0</v>
      </c>
      <c r="G83" s="281">
        <f>Underwriting!Q89</f>
        <v>0</v>
      </c>
      <c r="H83" s="281">
        <f>Underwriting!R89</f>
        <v>0</v>
      </c>
      <c r="I83" s="281">
        <f>Underwriting!S89</f>
        <v>0</v>
      </c>
      <c r="J83" s="281">
        <f>Underwriting!T89</f>
        <v>0</v>
      </c>
      <c r="K83" s="281">
        <f>Underwriting!U89</f>
        <v>0</v>
      </c>
      <c r="L83" s="281">
        <f>Underwriting!V89</f>
        <v>0</v>
      </c>
      <c r="M83" s="281">
        <f>Underwriting!W89</f>
        <v>0</v>
      </c>
      <c r="N83" s="281">
        <f>Underwriting!X89</f>
        <v>0</v>
      </c>
      <c r="O83" s="281">
        <f>Underwriting!Y89</f>
        <v>0</v>
      </c>
      <c r="P83" s="281">
        <f>Underwriting!Z89</f>
        <v>0</v>
      </c>
      <c r="Q83" s="281">
        <f>Underwriting!AA89</f>
        <v>0</v>
      </c>
      <c r="R83" s="281">
        <f>Underwriting!AB89</f>
        <v>0</v>
      </c>
      <c r="S83" s="281">
        <f>Underwriting!AC89</f>
        <v>0</v>
      </c>
      <c r="T83" s="281">
        <f>Underwriting!AD89</f>
        <v>0</v>
      </c>
      <c r="U83" s="281">
        <f>Underwriting!AE89</f>
        <v>0</v>
      </c>
      <c r="V83" s="281">
        <f>Underwriting!AF89</f>
        <v>0</v>
      </c>
      <c r="W83" s="281">
        <f>Underwriting!AG89</f>
        <v>0</v>
      </c>
      <c r="X83" s="281">
        <f>Underwriting!AH89</f>
        <v>0</v>
      </c>
      <c r="Y83" s="281">
        <f>Underwriting!AI89</f>
        <v>0</v>
      </c>
      <c r="Z83" s="281">
        <f>Underwriting!AJ89</f>
        <v>0</v>
      </c>
      <c r="AA83" s="281">
        <f>Underwriting!AK89</f>
        <v>0</v>
      </c>
      <c r="AB83" s="281">
        <f>Underwriting!AL89</f>
        <v>0</v>
      </c>
      <c r="AC83" s="281">
        <f>Underwriting!AM89</f>
        <v>0</v>
      </c>
      <c r="AD83" s="281">
        <f>Underwriting!AN89</f>
        <v>0</v>
      </c>
      <c r="AE83" s="281">
        <f>Underwriting!AO89</f>
        <v>0</v>
      </c>
      <c r="AF83" s="281">
        <f>Underwriting!AP89</f>
        <v>0</v>
      </c>
      <c r="AG83" s="281">
        <f>Underwriting!AQ89</f>
        <v>0</v>
      </c>
      <c r="AH83" s="281">
        <f>Underwriting!AR89</f>
        <v>0</v>
      </c>
      <c r="AI83" s="281">
        <f>Underwriting!AS89</f>
        <v>0</v>
      </c>
      <c r="AJ83" s="281">
        <f>Underwriting!AT89</f>
        <v>0</v>
      </c>
      <c r="AK83" s="281">
        <f>Underwriting!AU89</f>
        <v>0</v>
      </c>
      <c r="AL83" s="281">
        <f>Underwriting!AV89</f>
        <v>0</v>
      </c>
      <c r="AM83" s="281">
        <f>Underwriting!AW89</f>
        <v>0</v>
      </c>
      <c r="AN83" s="281">
        <f>Underwriting!AX89</f>
        <v>8.3333333333333329E-2</v>
      </c>
      <c r="AO83" s="281">
        <f>Underwriting!AY89</f>
        <v>0.16666666666666666</v>
      </c>
      <c r="AP83" s="281">
        <f>Underwriting!AZ89</f>
        <v>0.25</v>
      </c>
      <c r="AQ83" s="281">
        <f>Underwriting!BA89</f>
        <v>0.33333333333333331</v>
      </c>
      <c r="AR83" s="281">
        <f>Underwriting!BB89</f>
        <v>0.41666666666666669</v>
      </c>
      <c r="AS83" s="281">
        <f>Underwriting!BC89</f>
        <v>0.5</v>
      </c>
      <c r="AT83" s="281">
        <f>Underwriting!BD89</f>
        <v>0.58333333333333337</v>
      </c>
      <c r="AU83" s="281">
        <f>Underwriting!BE89</f>
        <v>0.66666666666666663</v>
      </c>
      <c r="AV83" s="281">
        <f>Underwriting!BF89</f>
        <v>0.75</v>
      </c>
      <c r="AW83" s="281">
        <f>Underwriting!BG89</f>
        <v>0.83333333333333337</v>
      </c>
      <c r="AX83" s="281">
        <f>Underwriting!BH89</f>
        <v>0.91666666666666663</v>
      </c>
      <c r="AY83" s="281">
        <f>Underwriting!BI89</f>
        <v>1</v>
      </c>
      <c r="AZ83" s="281">
        <f>Underwriting!BJ89</f>
        <v>1</v>
      </c>
      <c r="BA83" s="281">
        <f>Underwriting!BK89</f>
        <v>1</v>
      </c>
      <c r="BB83" s="281">
        <f>Underwriting!BL89</f>
        <v>1</v>
      </c>
      <c r="BC83" s="281">
        <f>Underwriting!BM89</f>
        <v>1</v>
      </c>
      <c r="BD83" s="281">
        <f>Underwriting!BN89</f>
        <v>1</v>
      </c>
      <c r="BE83" s="281">
        <f>Underwriting!BO89</f>
        <v>1</v>
      </c>
      <c r="BF83" s="281">
        <f>Underwriting!BP89</f>
        <v>1</v>
      </c>
      <c r="BG83" s="281">
        <f>Underwriting!BQ89</f>
        <v>1</v>
      </c>
      <c r="BH83" s="281">
        <f>Underwriting!BR89</f>
        <v>1</v>
      </c>
      <c r="BI83" s="281">
        <f>Underwriting!BS89</f>
        <v>1</v>
      </c>
      <c r="BJ83" s="281">
        <f>Underwriting!BT89</f>
        <v>1</v>
      </c>
      <c r="BK83" s="281">
        <f>Underwriting!BU89</f>
        <v>1</v>
      </c>
      <c r="BL83" s="281">
        <f>Underwriting!BV89</f>
        <v>1</v>
      </c>
      <c r="BM83" s="281">
        <f>Underwriting!BW89</f>
        <v>1</v>
      </c>
      <c r="BN83" s="281">
        <f>Underwriting!BX89</f>
        <v>1</v>
      </c>
      <c r="BO83" s="281">
        <f>Underwriting!BY89</f>
        <v>1</v>
      </c>
      <c r="BP83" s="281">
        <f>Underwriting!BZ89</f>
        <v>1</v>
      </c>
      <c r="BQ83" s="281">
        <f>Underwriting!CA89</f>
        <v>1</v>
      </c>
      <c r="BR83" s="281">
        <f>Underwriting!CB89</f>
        <v>1</v>
      </c>
      <c r="BS83" s="281">
        <f>Underwriting!CC89</f>
        <v>1</v>
      </c>
      <c r="BT83" s="281">
        <f>Underwriting!CD89</f>
        <v>1</v>
      </c>
      <c r="BU83" s="281">
        <f>Underwriting!CE89</f>
        <v>1</v>
      </c>
      <c r="BV83" s="281">
        <f>Underwriting!CF89</f>
        <v>1</v>
      </c>
      <c r="BW83" s="281">
        <f>Underwriting!CG89</f>
        <v>1</v>
      </c>
      <c r="BX83" s="281">
        <f>Underwriting!CH89</f>
        <v>1</v>
      </c>
      <c r="BY83" s="281">
        <f>Underwriting!CI89</f>
        <v>1</v>
      </c>
      <c r="BZ83" s="281">
        <f>Underwriting!CJ89</f>
        <v>1</v>
      </c>
      <c r="CA83" s="281">
        <f>Underwriting!CK89</f>
        <v>1</v>
      </c>
      <c r="CB83" s="281">
        <f>Underwriting!CL89</f>
        <v>1</v>
      </c>
      <c r="CC83" s="281">
        <f>Underwriting!CM89</f>
        <v>1</v>
      </c>
      <c r="CD83" s="281">
        <f>Underwriting!CN89</f>
        <v>1</v>
      </c>
      <c r="CE83" s="281">
        <f>Underwriting!CO89</f>
        <v>1</v>
      </c>
      <c r="CF83" s="281">
        <f>Underwriting!CP89</f>
        <v>1</v>
      </c>
      <c r="CG83" s="281">
        <f>Underwriting!CQ89</f>
        <v>1</v>
      </c>
      <c r="CH83" s="281">
        <f>Underwriting!CR89</f>
        <v>1</v>
      </c>
      <c r="CI83" s="281">
        <f>Underwriting!CS89</f>
        <v>1</v>
      </c>
      <c r="CJ83" s="281">
        <f>Underwriting!CT89</f>
        <v>1</v>
      </c>
      <c r="CK83" s="281">
        <f>Underwriting!CU89</f>
        <v>1</v>
      </c>
      <c r="CL83" s="281">
        <f>Underwriting!CV89</f>
        <v>1</v>
      </c>
      <c r="CM83" s="281">
        <f>Underwriting!CW89</f>
        <v>1</v>
      </c>
      <c r="CN83" s="281">
        <f>Underwriting!CX89</f>
        <v>1</v>
      </c>
      <c r="CO83" s="281">
        <f>Underwriting!CY89</f>
        <v>1</v>
      </c>
      <c r="CP83" s="281">
        <f>Underwriting!CZ89</f>
        <v>1</v>
      </c>
      <c r="CQ83" s="281">
        <f>Underwriting!DA89</f>
        <v>1</v>
      </c>
      <c r="CR83" s="281">
        <f>Underwriting!DB89</f>
        <v>1</v>
      </c>
      <c r="CS83" s="281">
        <f>Underwriting!DC89</f>
        <v>1</v>
      </c>
      <c r="CT83" s="281">
        <f>Underwriting!DD89</f>
        <v>1</v>
      </c>
      <c r="CU83" s="281">
        <f>Underwriting!DE89</f>
        <v>1</v>
      </c>
      <c r="CV83" s="281">
        <f>Underwriting!DF89</f>
        <v>1</v>
      </c>
      <c r="CW83" s="281">
        <f>Underwriting!DG89</f>
        <v>1</v>
      </c>
      <c r="CX83" s="281">
        <f>Underwriting!DH89</f>
        <v>1</v>
      </c>
      <c r="CY83" s="281">
        <f>Underwriting!DI89</f>
        <v>1</v>
      </c>
      <c r="CZ83" s="281">
        <f>Underwriting!DJ89</f>
        <v>1</v>
      </c>
      <c r="DA83" s="281">
        <f>Underwriting!DK89</f>
        <v>1</v>
      </c>
      <c r="DB83" s="281">
        <f>Underwriting!DL89</f>
        <v>1</v>
      </c>
      <c r="DC83" s="281">
        <f>Underwriting!DM89</f>
        <v>1</v>
      </c>
      <c r="DD83" s="281">
        <f>Underwriting!DN89</f>
        <v>1</v>
      </c>
      <c r="DE83" s="281">
        <f>Underwriting!DO89</f>
        <v>1</v>
      </c>
      <c r="DF83" s="281">
        <f>Underwriting!DP89</f>
        <v>1</v>
      </c>
      <c r="DG83" s="281">
        <f>Underwriting!DQ89</f>
        <v>1</v>
      </c>
      <c r="DH83" s="281">
        <f>Underwriting!DR89</f>
        <v>1</v>
      </c>
      <c r="DI83" s="281">
        <f>Underwriting!DS89</f>
        <v>1</v>
      </c>
      <c r="DJ83" s="281">
        <f>Underwriting!DT89</f>
        <v>1</v>
      </c>
      <c r="DK83" s="281">
        <f>Underwriting!DU89</f>
        <v>1</v>
      </c>
      <c r="DL83" s="281">
        <f>Underwriting!DV89</f>
        <v>1</v>
      </c>
      <c r="DM83" s="281">
        <f>Underwriting!DW89</f>
        <v>1</v>
      </c>
      <c r="DN83" s="281">
        <f>Underwriting!DX89</f>
        <v>1</v>
      </c>
      <c r="DO83" s="281">
        <f>Underwriting!DY89</f>
        <v>1</v>
      </c>
      <c r="DP83" s="281">
        <f>Underwriting!DZ89</f>
        <v>1</v>
      </c>
      <c r="DQ83" s="281">
        <f>Underwriting!EA89</f>
        <v>1</v>
      </c>
      <c r="DR83" s="281">
        <f>Underwriting!EB89</f>
        <v>1</v>
      </c>
    </row>
    <row r="84" spans="2:122" x14ac:dyDescent="0.35">
      <c r="B84" s="280">
        <f t="shared" ref="B84:AG84" si="6">B83*Units_SF_M2</f>
        <v>0</v>
      </c>
      <c r="C84" s="280">
        <f t="shared" si="6"/>
        <v>0</v>
      </c>
      <c r="D84" s="280">
        <f t="shared" si="6"/>
        <v>0</v>
      </c>
      <c r="E84" s="280">
        <f t="shared" si="6"/>
        <v>0</v>
      </c>
      <c r="F84" s="280">
        <f t="shared" si="6"/>
        <v>0</v>
      </c>
      <c r="G84" s="280">
        <f t="shared" si="6"/>
        <v>0</v>
      </c>
      <c r="H84" s="280">
        <f t="shared" si="6"/>
        <v>0</v>
      </c>
      <c r="I84" s="280">
        <f t="shared" si="6"/>
        <v>0</v>
      </c>
      <c r="J84" s="280">
        <f t="shared" si="6"/>
        <v>0</v>
      </c>
      <c r="K84" s="280">
        <f t="shared" si="6"/>
        <v>0</v>
      </c>
      <c r="L84" s="280">
        <f t="shared" si="6"/>
        <v>0</v>
      </c>
      <c r="M84" s="280">
        <f t="shared" si="6"/>
        <v>0</v>
      </c>
      <c r="N84" s="280">
        <f t="shared" si="6"/>
        <v>0</v>
      </c>
      <c r="O84" s="280">
        <f t="shared" si="6"/>
        <v>0</v>
      </c>
      <c r="P84" s="280">
        <f t="shared" si="6"/>
        <v>0</v>
      </c>
      <c r="Q84" s="280">
        <f t="shared" si="6"/>
        <v>0</v>
      </c>
      <c r="R84" s="280">
        <f t="shared" si="6"/>
        <v>0</v>
      </c>
      <c r="S84" s="280">
        <f t="shared" si="6"/>
        <v>0</v>
      </c>
      <c r="T84" s="280">
        <f t="shared" si="6"/>
        <v>0</v>
      </c>
      <c r="U84" s="280">
        <f t="shared" si="6"/>
        <v>0</v>
      </c>
      <c r="V84" s="280">
        <f t="shared" si="6"/>
        <v>0</v>
      </c>
      <c r="W84" s="280">
        <f t="shared" si="6"/>
        <v>0</v>
      </c>
      <c r="X84" s="280">
        <f t="shared" si="6"/>
        <v>0</v>
      </c>
      <c r="Y84" s="280">
        <f t="shared" si="6"/>
        <v>0</v>
      </c>
      <c r="Z84" s="280">
        <f t="shared" si="6"/>
        <v>0</v>
      </c>
      <c r="AA84" s="280">
        <f t="shared" si="6"/>
        <v>0</v>
      </c>
      <c r="AB84" s="280">
        <f t="shared" si="6"/>
        <v>0</v>
      </c>
      <c r="AC84" s="280">
        <f t="shared" si="6"/>
        <v>0</v>
      </c>
      <c r="AD84" s="280">
        <f t="shared" si="6"/>
        <v>0</v>
      </c>
      <c r="AE84" s="280">
        <f t="shared" si="6"/>
        <v>0</v>
      </c>
      <c r="AF84" s="280">
        <f t="shared" si="6"/>
        <v>0</v>
      </c>
      <c r="AG84" s="280">
        <f t="shared" si="6"/>
        <v>0</v>
      </c>
      <c r="AH84" s="280">
        <f t="shared" ref="AH84:BM84" si="7">AH83*Units_SF_M2</f>
        <v>0</v>
      </c>
      <c r="AI84" s="280">
        <f t="shared" si="7"/>
        <v>0</v>
      </c>
      <c r="AJ84" s="280">
        <f t="shared" si="7"/>
        <v>0</v>
      </c>
      <c r="AK84" s="280">
        <f t="shared" si="7"/>
        <v>0</v>
      </c>
      <c r="AL84" s="280">
        <f t="shared" si="7"/>
        <v>0</v>
      </c>
      <c r="AM84" s="280">
        <f t="shared" si="7"/>
        <v>0</v>
      </c>
      <c r="AN84" s="280">
        <f t="shared" si="7"/>
        <v>6539.1983333333337</v>
      </c>
      <c r="AO84" s="280">
        <f t="shared" si="7"/>
        <v>13078.396666666667</v>
      </c>
      <c r="AP84" s="280">
        <f t="shared" si="7"/>
        <v>19617.595000000001</v>
      </c>
      <c r="AQ84" s="280">
        <f t="shared" si="7"/>
        <v>26156.793333333335</v>
      </c>
      <c r="AR84" s="280">
        <f t="shared" si="7"/>
        <v>32695.991666666669</v>
      </c>
      <c r="AS84" s="280">
        <f t="shared" si="7"/>
        <v>39235.19</v>
      </c>
      <c r="AT84" s="280">
        <f t="shared" si="7"/>
        <v>45774.388333333336</v>
      </c>
      <c r="AU84" s="280">
        <f t="shared" si="7"/>
        <v>52313.58666666667</v>
      </c>
      <c r="AV84" s="280">
        <f t="shared" si="7"/>
        <v>58852.785000000003</v>
      </c>
      <c r="AW84" s="280">
        <f t="shared" si="7"/>
        <v>65391.983333333337</v>
      </c>
      <c r="AX84" s="280">
        <f t="shared" si="7"/>
        <v>71931.181666666671</v>
      </c>
      <c r="AY84" s="280">
        <f t="shared" si="7"/>
        <v>78470.38</v>
      </c>
      <c r="AZ84" s="280">
        <f t="shared" si="7"/>
        <v>78470.38</v>
      </c>
      <c r="BA84" s="280">
        <f t="shared" si="7"/>
        <v>78470.38</v>
      </c>
      <c r="BB84" s="280">
        <f t="shared" si="7"/>
        <v>78470.38</v>
      </c>
      <c r="BC84" s="280">
        <f t="shared" si="7"/>
        <v>78470.38</v>
      </c>
      <c r="BD84" s="280">
        <f t="shared" si="7"/>
        <v>78470.38</v>
      </c>
      <c r="BE84" s="280">
        <f t="shared" si="7"/>
        <v>78470.38</v>
      </c>
      <c r="BF84" s="280">
        <f t="shared" si="7"/>
        <v>78470.38</v>
      </c>
      <c r="BG84" s="280">
        <f t="shared" si="7"/>
        <v>78470.38</v>
      </c>
      <c r="BH84" s="280">
        <f t="shared" si="7"/>
        <v>78470.38</v>
      </c>
      <c r="BI84" s="280">
        <f t="shared" si="7"/>
        <v>78470.38</v>
      </c>
      <c r="BJ84" s="280">
        <f t="shared" si="7"/>
        <v>78470.38</v>
      </c>
      <c r="BK84" s="280">
        <f t="shared" si="7"/>
        <v>78470.38</v>
      </c>
      <c r="BL84" s="280">
        <f t="shared" si="7"/>
        <v>78470.38</v>
      </c>
      <c r="BM84" s="280">
        <f t="shared" si="7"/>
        <v>78470.38</v>
      </c>
      <c r="BN84" s="280">
        <f t="shared" ref="BN84:CS84" si="8">BN83*Units_SF_M2</f>
        <v>78470.38</v>
      </c>
      <c r="BO84" s="280">
        <f t="shared" si="8"/>
        <v>78470.38</v>
      </c>
      <c r="BP84" s="280">
        <f t="shared" si="8"/>
        <v>78470.38</v>
      </c>
      <c r="BQ84" s="280">
        <f t="shared" si="8"/>
        <v>78470.38</v>
      </c>
      <c r="BR84" s="280">
        <f t="shared" si="8"/>
        <v>78470.38</v>
      </c>
      <c r="BS84" s="280">
        <f t="shared" si="8"/>
        <v>78470.38</v>
      </c>
      <c r="BT84" s="280">
        <f t="shared" si="8"/>
        <v>78470.38</v>
      </c>
      <c r="BU84" s="280">
        <f t="shared" si="8"/>
        <v>78470.38</v>
      </c>
      <c r="BV84" s="280">
        <f t="shared" si="8"/>
        <v>78470.38</v>
      </c>
      <c r="BW84" s="280">
        <f t="shared" si="8"/>
        <v>78470.38</v>
      </c>
      <c r="BX84" s="280">
        <f t="shared" si="8"/>
        <v>78470.38</v>
      </c>
      <c r="BY84" s="280">
        <f t="shared" si="8"/>
        <v>78470.38</v>
      </c>
      <c r="BZ84" s="280">
        <f t="shared" si="8"/>
        <v>78470.38</v>
      </c>
      <c r="CA84" s="280">
        <f t="shared" si="8"/>
        <v>78470.38</v>
      </c>
      <c r="CB84" s="280">
        <f t="shared" si="8"/>
        <v>78470.38</v>
      </c>
      <c r="CC84" s="280">
        <f t="shared" si="8"/>
        <v>78470.38</v>
      </c>
      <c r="CD84" s="280">
        <f t="shared" si="8"/>
        <v>78470.38</v>
      </c>
      <c r="CE84" s="280">
        <f t="shared" si="8"/>
        <v>78470.38</v>
      </c>
      <c r="CF84" s="280">
        <f t="shared" si="8"/>
        <v>78470.38</v>
      </c>
      <c r="CG84" s="280">
        <f t="shared" si="8"/>
        <v>78470.38</v>
      </c>
      <c r="CH84" s="280">
        <f t="shared" si="8"/>
        <v>78470.38</v>
      </c>
      <c r="CI84" s="280">
        <f t="shared" si="8"/>
        <v>78470.38</v>
      </c>
      <c r="CJ84" s="280">
        <f t="shared" si="8"/>
        <v>78470.38</v>
      </c>
      <c r="CK84" s="280">
        <f t="shared" si="8"/>
        <v>78470.38</v>
      </c>
      <c r="CL84" s="280">
        <f t="shared" si="8"/>
        <v>78470.38</v>
      </c>
      <c r="CM84" s="280">
        <f t="shared" si="8"/>
        <v>78470.38</v>
      </c>
      <c r="CN84" s="280">
        <f t="shared" si="8"/>
        <v>78470.38</v>
      </c>
      <c r="CO84" s="280">
        <f t="shared" si="8"/>
        <v>78470.38</v>
      </c>
      <c r="CP84" s="280">
        <f t="shared" si="8"/>
        <v>78470.38</v>
      </c>
      <c r="CQ84" s="280">
        <f t="shared" si="8"/>
        <v>78470.38</v>
      </c>
      <c r="CR84" s="280">
        <f t="shared" si="8"/>
        <v>78470.38</v>
      </c>
      <c r="CS84" s="280">
        <f t="shared" si="8"/>
        <v>78470.38</v>
      </c>
      <c r="CT84" s="280">
        <f t="shared" ref="CT84:DR84" si="9">CT83*Units_SF_M2</f>
        <v>78470.38</v>
      </c>
      <c r="CU84" s="280">
        <f t="shared" si="9"/>
        <v>78470.38</v>
      </c>
      <c r="CV84" s="280">
        <f t="shared" si="9"/>
        <v>78470.38</v>
      </c>
      <c r="CW84" s="280">
        <f t="shared" si="9"/>
        <v>78470.38</v>
      </c>
      <c r="CX84" s="280">
        <f t="shared" si="9"/>
        <v>78470.38</v>
      </c>
      <c r="CY84" s="280">
        <f t="shared" si="9"/>
        <v>78470.38</v>
      </c>
      <c r="CZ84" s="280">
        <f t="shared" si="9"/>
        <v>78470.38</v>
      </c>
      <c r="DA84" s="280">
        <f t="shared" si="9"/>
        <v>78470.38</v>
      </c>
      <c r="DB84" s="280">
        <f t="shared" si="9"/>
        <v>78470.38</v>
      </c>
      <c r="DC84" s="280">
        <f t="shared" si="9"/>
        <v>78470.38</v>
      </c>
      <c r="DD84" s="280">
        <f t="shared" si="9"/>
        <v>78470.38</v>
      </c>
      <c r="DE84" s="280">
        <f t="shared" si="9"/>
        <v>78470.38</v>
      </c>
      <c r="DF84" s="280">
        <f t="shared" si="9"/>
        <v>78470.38</v>
      </c>
      <c r="DG84" s="280">
        <f t="shared" si="9"/>
        <v>78470.38</v>
      </c>
      <c r="DH84" s="280">
        <f t="shared" si="9"/>
        <v>78470.38</v>
      </c>
      <c r="DI84" s="280">
        <f t="shared" si="9"/>
        <v>78470.38</v>
      </c>
      <c r="DJ84" s="280">
        <f t="shared" si="9"/>
        <v>78470.38</v>
      </c>
      <c r="DK84" s="280">
        <f t="shared" si="9"/>
        <v>78470.38</v>
      </c>
      <c r="DL84" s="280">
        <f t="shared" si="9"/>
        <v>78470.38</v>
      </c>
      <c r="DM84" s="280">
        <f t="shared" si="9"/>
        <v>78470.38</v>
      </c>
      <c r="DN84" s="280">
        <f t="shared" si="9"/>
        <v>78470.38</v>
      </c>
      <c r="DO84" s="280">
        <f t="shared" si="9"/>
        <v>78470.38</v>
      </c>
      <c r="DP84" s="280">
        <f t="shared" si="9"/>
        <v>78470.38</v>
      </c>
      <c r="DQ84" s="280">
        <f t="shared" si="9"/>
        <v>78470.38</v>
      </c>
      <c r="DR84" s="280">
        <f t="shared" si="9"/>
        <v>78470.38</v>
      </c>
    </row>
    <row r="85" spans="2:122" x14ac:dyDescent="0.3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row>
    <row r="86" spans="2:122" x14ac:dyDescent="0.35">
      <c r="B86" s="4">
        <f>ROUNDUP(Timing_Analysis_End_Month/12,0)</f>
        <v>6</v>
      </c>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row>
    <row r="87" spans="2:122" x14ac:dyDescent="0.35">
      <c r="B87" s="4">
        <v>1</v>
      </c>
      <c r="C87" s="4">
        <f>IF(OR(B87="",B87=$B$86),"",B87+1)</f>
        <v>2</v>
      </c>
      <c r="D87" s="4">
        <f t="shared" ref="D87:K87" si="10">IF(OR(C87="",C87=$B$86),"",C87+1)</f>
        <v>3</v>
      </c>
      <c r="E87" s="4">
        <f t="shared" si="10"/>
        <v>4</v>
      </c>
      <c r="F87" s="4">
        <f t="shared" si="10"/>
        <v>5</v>
      </c>
      <c r="G87" s="4">
        <f t="shared" si="10"/>
        <v>6</v>
      </c>
      <c r="H87" s="4" t="str">
        <f t="shared" si="10"/>
        <v/>
      </c>
      <c r="I87" s="4" t="str">
        <f t="shared" si="10"/>
        <v/>
      </c>
      <c r="J87" s="4" t="str">
        <f t="shared" si="10"/>
        <v/>
      </c>
      <c r="K87" s="4" t="str">
        <f t="shared" si="10"/>
        <v/>
      </c>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row>
    <row r="88" spans="2:122" x14ac:dyDescent="0.35">
      <c r="B88" s="281">
        <f t="shared" ref="B88:K88" si="11">IF(B87="","",B89/Units_SF_M2)</f>
        <v>0</v>
      </c>
      <c r="C88" s="281">
        <f t="shared" si="11"/>
        <v>0</v>
      </c>
      <c r="D88" s="281">
        <f t="shared" si="11"/>
        <v>0</v>
      </c>
      <c r="E88" s="281">
        <f t="shared" si="11"/>
        <v>0.83333333333333337</v>
      </c>
      <c r="F88" s="281">
        <f t="shared" si="11"/>
        <v>1</v>
      </c>
      <c r="G88" s="281">
        <f t="shared" si="11"/>
        <v>1</v>
      </c>
      <c r="H88" s="281" t="str">
        <f t="shared" si="11"/>
        <v/>
      </c>
      <c r="I88" s="281" t="str">
        <f t="shared" si="11"/>
        <v/>
      </c>
      <c r="J88" s="281" t="str">
        <f t="shared" si="11"/>
        <v/>
      </c>
      <c r="K88" s="281" t="str">
        <f t="shared" si="11"/>
        <v/>
      </c>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row>
    <row r="89" spans="2:122" x14ac:dyDescent="0.35">
      <c r="B89" s="280">
        <f t="array" ref="B89">IF(B87="","",INDEX($B$84:$DR$84,1,B87*12))</f>
        <v>0</v>
      </c>
      <c r="C89" s="280">
        <f t="array" ref="C89">IF(C87="","",INDEX($B$84:$DR$84,1,C87*12))</f>
        <v>0</v>
      </c>
      <c r="D89" s="280">
        <f t="array" ref="D89">IF(D87="","",INDEX($B$84:$DR$84,1,D87*12))</f>
        <v>0</v>
      </c>
      <c r="E89" s="280">
        <f t="array" ref="E89">IF(E87="","",INDEX($B$84:$DR$84,1,E87*12))</f>
        <v>65391.983333333337</v>
      </c>
      <c r="F89" s="280">
        <f t="array" ref="F89">IF(F87="","",INDEX($B$84:$DR$84,1,F87*12))</f>
        <v>78470.38</v>
      </c>
      <c r="G89" s="280">
        <f t="array" ref="G89">IF(G87="","",INDEX($B$84:$DR$84,1,G87*12))</f>
        <v>78470.38</v>
      </c>
      <c r="H89" s="280" t="str">
        <f t="array" ref="H89">IF(H87="","",INDEX($B$84:$DR$84,1,H87*12))</f>
        <v/>
      </c>
      <c r="I89" s="280" t="str">
        <f t="array" ref="I89">IF(I87="","",INDEX($B$84:$DR$84,1,I87*12))</f>
        <v/>
      </c>
      <c r="J89" s="280" t="str">
        <f t="array" ref="J89">IF(J87="","",INDEX($B$84:$DR$84,1,J87*12))</f>
        <v/>
      </c>
      <c r="K89" s="280" t="str">
        <f t="array" ref="K89">IF(K87="","",INDEX($B$84:$DR$84,1,K87*12))</f>
        <v/>
      </c>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row>
    <row r="90" spans="2:122" x14ac:dyDescent="0.35">
      <c r="B90" s="280">
        <f>IF(B87="","",B89-A89)</f>
        <v>0</v>
      </c>
      <c r="C90" s="280">
        <f t="shared" ref="C90:K90" si="12">IF(C87="","",C89-B89)</f>
        <v>0</v>
      </c>
      <c r="D90" s="280">
        <f t="shared" si="12"/>
        <v>0</v>
      </c>
      <c r="E90" s="280">
        <f t="shared" si="12"/>
        <v>65391.983333333337</v>
      </c>
      <c r="F90" s="280">
        <f t="shared" si="12"/>
        <v>13078.396666666667</v>
      </c>
      <c r="G90" s="280">
        <f t="shared" si="12"/>
        <v>0</v>
      </c>
      <c r="H90" s="280" t="str">
        <f t="shared" si="12"/>
        <v/>
      </c>
      <c r="I90" s="280" t="str">
        <f t="shared" si="12"/>
        <v/>
      </c>
      <c r="J90" s="280" t="str">
        <f t="shared" si="12"/>
        <v/>
      </c>
      <c r="K90" s="280" t="str">
        <f t="shared" si="12"/>
        <v/>
      </c>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row>
    <row r="91" spans="2:122" x14ac:dyDescent="0.35">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row>
    <row r="92" spans="2:122" x14ac:dyDescent="0.35">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row>
  </sheetData>
  <mergeCells count="13">
    <mergeCell ref="B69:Q69"/>
    <mergeCell ref="B70:Q70"/>
    <mergeCell ref="B71:Q71"/>
    <mergeCell ref="B64:Q64"/>
    <mergeCell ref="B65:Q65"/>
    <mergeCell ref="B66:Q66"/>
    <mergeCell ref="B67:Q67"/>
    <mergeCell ref="B68:Q68"/>
    <mergeCell ref="B27:Q27"/>
    <mergeCell ref="O28:Q28"/>
    <mergeCell ref="B32:Q32"/>
    <mergeCell ref="B48:Q48"/>
    <mergeCell ref="P62:Q6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E0C4"/>
  </sheetPr>
  <dimension ref="B2:AK46"/>
  <sheetViews>
    <sheetView showGridLines="0" workbookViewId="0"/>
  </sheetViews>
  <sheetFormatPr defaultRowHeight="14.5" x14ac:dyDescent="0.35"/>
  <cols>
    <col min="1" max="1" width="2.6640625" customWidth="1"/>
    <col min="2" max="2" width="25.83203125" customWidth="1"/>
    <col min="3" max="3" width="2.83203125" customWidth="1"/>
    <col min="4" max="4" width="11.33203125" customWidth="1"/>
    <col min="5" max="5" width="1.83203125" customWidth="1"/>
    <col min="6" max="6" width="1.4140625" customWidth="1"/>
    <col min="7" max="7" width="22.5" customWidth="1"/>
    <col min="8" max="9" width="9.25" customWidth="1"/>
    <col min="10" max="10" width="3.25" customWidth="1"/>
    <col min="11" max="11" width="7.25" customWidth="1"/>
    <col min="12" max="12" width="11.83203125" customWidth="1"/>
    <col min="13" max="13" width="9.25" customWidth="1"/>
    <col min="14" max="14" width="9.33203125" customWidth="1"/>
    <col min="15" max="15" width="9.5" customWidth="1"/>
    <col min="16" max="16" width="9.25" customWidth="1"/>
    <col min="17" max="17" width="9.58203125" customWidth="1"/>
    <col min="18" max="18" width="9.25" customWidth="1"/>
    <col min="19" max="19" width="8.58203125" customWidth="1"/>
    <col min="20" max="20" width="9.5" customWidth="1"/>
    <col min="21" max="22" width="9.25" customWidth="1"/>
    <col min="23" max="23" width="9.5" customWidth="1"/>
    <col min="24" max="24" width="9.33203125" customWidth="1"/>
    <col min="25" max="25" width="9.25" customWidth="1"/>
    <col min="26" max="26" width="9.33203125" customWidth="1"/>
    <col min="27" max="27" width="9.5" customWidth="1"/>
    <col min="28" max="28" width="9.25" customWidth="1"/>
    <col min="29" max="29" width="9.58203125" customWidth="1"/>
    <col min="30" max="30" width="9.25" customWidth="1"/>
    <col min="31" max="31" width="8.58203125" customWidth="1"/>
    <col min="32" max="32" width="9.5" customWidth="1"/>
    <col min="33" max="34" width="9.25" customWidth="1"/>
    <col min="35" max="35" width="9.5" customWidth="1"/>
    <col min="36" max="36" width="9.33203125" customWidth="1"/>
    <col min="37" max="37" width="9.25" customWidth="1"/>
  </cols>
  <sheetData>
    <row r="2" spans="2:37" x14ac:dyDescent="0.35">
      <c r="B2" s="2" t="s">
        <v>632</v>
      </c>
      <c r="C2" s="1"/>
      <c r="D2" s="1"/>
      <c r="E2" s="1"/>
    </row>
    <row r="3" spans="2:37" x14ac:dyDescent="0.35">
      <c r="B3" s="7" t="str">
        <f>Underwriting!B23</f>
        <v>INVESTMENT PERIOD CASH FLOWS</v>
      </c>
      <c r="C3" s="7"/>
      <c r="D3" s="7"/>
      <c r="E3" s="7"/>
      <c r="G3" s="15" t="s">
        <v>633</v>
      </c>
    </row>
    <row r="4" spans="2:37" x14ac:dyDescent="0.35">
      <c r="B4" t="s">
        <v>634</v>
      </c>
      <c r="E4" s="3">
        <v>6</v>
      </c>
      <c r="F4" s="3"/>
      <c r="M4" s="9">
        <f>H6</f>
        <v>43131</v>
      </c>
      <c r="N4" s="9">
        <f t="shared" ref="N4:U4" si="0">EOMONTH(M4,1)</f>
        <v>43159</v>
      </c>
      <c r="O4" s="9">
        <f t="shared" si="0"/>
        <v>43190</v>
      </c>
      <c r="P4" s="9">
        <f t="shared" si="0"/>
        <v>43220</v>
      </c>
      <c r="Q4" s="9">
        <f t="shared" si="0"/>
        <v>43251</v>
      </c>
      <c r="R4" s="9">
        <f t="shared" si="0"/>
        <v>43281</v>
      </c>
      <c r="S4" s="9">
        <f t="shared" si="0"/>
        <v>43312</v>
      </c>
      <c r="T4" s="9">
        <f t="shared" si="0"/>
        <v>43343</v>
      </c>
      <c r="U4" s="9">
        <f t="shared" si="0"/>
        <v>43373</v>
      </c>
      <c r="V4" s="9">
        <f t="shared" ref="V4:AJ4" si="1">EOMONTH(U4,1)</f>
        <v>43404</v>
      </c>
      <c r="W4" s="9">
        <f t="shared" si="1"/>
        <v>43434</v>
      </c>
      <c r="X4" s="9">
        <f t="shared" si="1"/>
        <v>43465</v>
      </c>
      <c r="Y4" s="9">
        <f t="shared" si="1"/>
        <v>43496</v>
      </c>
      <c r="Z4" s="9">
        <f t="shared" si="1"/>
        <v>43524</v>
      </c>
      <c r="AA4" s="9">
        <f t="shared" si="1"/>
        <v>43555</v>
      </c>
      <c r="AB4" s="9">
        <f t="shared" si="1"/>
        <v>43585</v>
      </c>
      <c r="AC4" s="9">
        <f t="shared" si="1"/>
        <v>43616</v>
      </c>
      <c r="AD4" s="9">
        <f t="shared" si="1"/>
        <v>43646</v>
      </c>
      <c r="AE4" s="9">
        <f t="shared" si="1"/>
        <v>43677</v>
      </c>
      <c r="AF4" s="9">
        <f t="shared" si="1"/>
        <v>43708</v>
      </c>
      <c r="AG4" s="9">
        <f t="shared" si="1"/>
        <v>43738</v>
      </c>
      <c r="AH4" s="9">
        <f t="shared" si="1"/>
        <v>43769</v>
      </c>
      <c r="AI4" s="9">
        <f t="shared" si="1"/>
        <v>43799</v>
      </c>
      <c r="AJ4" s="9">
        <f t="shared" si="1"/>
        <v>43830</v>
      </c>
      <c r="AK4" s="9">
        <f>EOMONTH(AJ4,1)</f>
        <v>43861</v>
      </c>
    </row>
    <row r="5" spans="2:37" x14ac:dyDescent="0.35">
      <c r="B5" s="13">
        <v>10</v>
      </c>
      <c r="C5">
        <v>10</v>
      </c>
      <c r="G5" s="10" t="s">
        <v>85</v>
      </c>
      <c r="H5" s="10" t="s">
        <v>137</v>
      </c>
      <c r="I5" s="10" t="s">
        <v>138</v>
      </c>
      <c r="J5" s="11" t="s">
        <v>635</v>
      </c>
      <c r="K5" s="10" t="s">
        <v>636</v>
      </c>
      <c r="L5" s="10" t="s">
        <v>637</v>
      </c>
      <c r="M5" s="10">
        <v>1</v>
      </c>
      <c r="N5" s="10">
        <f t="shared" ref="N5:U5" si="2">M5+1</f>
        <v>2</v>
      </c>
      <c r="O5" s="10">
        <f t="shared" si="2"/>
        <v>3</v>
      </c>
      <c r="P5" s="10">
        <f t="shared" si="2"/>
        <v>4</v>
      </c>
      <c r="Q5" s="10">
        <f t="shared" si="2"/>
        <v>5</v>
      </c>
      <c r="R5" s="10">
        <f t="shared" si="2"/>
        <v>6</v>
      </c>
      <c r="S5" s="10">
        <f t="shared" si="2"/>
        <v>7</v>
      </c>
      <c r="T5" s="10">
        <f t="shared" si="2"/>
        <v>8</v>
      </c>
      <c r="U5" s="10">
        <f t="shared" si="2"/>
        <v>9</v>
      </c>
      <c r="V5" s="10">
        <f t="shared" ref="V5:AJ5" si="3">U5+1</f>
        <v>10</v>
      </c>
      <c r="W5" s="10">
        <f t="shared" si="3"/>
        <v>11</v>
      </c>
      <c r="X5" s="10">
        <f t="shared" si="3"/>
        <v>12</v>
      </c>
      <c r="Y5" s="10">
        <f t="shared" si="3"/>
        <v>13</v>
      </c>
      <c r="Z5" s="10">
        <f t="shared" si="3"/>
        <v>14</v>
      </c>
      <c r="AA5" s="10">
        <f t="shared" si="3"/>
        <v>15</v>
      </c>
      <c r="AB5" s="10">
        <f t="shared" si="3"/>
        <v>16</v>
      </c>
      <c r="AC5" s="10">
        <f t="shared" si="3"/>
        <v>17</v>
      </c>
      <c r="AD5" s="10">
        <f t="shared" si="3"/>
        <v>18</v>
      </c>
      <c r="AE5" s="10">
        <f t="shared" si="3"/>
        <v>19</v>
      </c>
      <c r="AF5" s="10">
        <f t="shared" si="3"/>
        <v>20</v>
      </c>
      <c r="AG5" s="10">
        <f t="shared" si="3"/>
        <v>21</v>
      </c>
      <c r="AH5" s="10">
        <f t="shared" si="3"/>
        <v>22</v>
      </c>
      <c r="AI5" s="10">
        <f t="shared" si="3"/>
        <v>23</v>
      </c>
      <c r="AJ5" s="10">
        <f t="shared" si="3"/>
        <v>24</v>
      </c>
      <c r="AK5" s="10">
        <f>AJ5+1</f>
        <v>25</v>
      </c>
    </row>
    <row r="6" spans="2:37" x14ac:dyDescent="0.35">
      <c r="B6" s="12">
        <v>9</v>
      </c>
      <c r="C6">
        <v>9</v>
      </c>
      <c r="G6" s="8">
        <v>1000000</v>
      </c>
      <c r="H6" s="9">
        <v>43131</v>
      </c>
      <c r="I6" s="9">
        <f>AK4</f>
        <v>43861</v>
      </c>
      <c r="J6">
        <v>25</v>
      </c>
      <c r="K6" t="s">
        <v>148</v>
      </c>
      <c r="L6">
        <f>J6/E4</f>
        <v>4.166666666666667</v>
      </c>
      <c r="M6" s="8">
        <f>+IF(AND($K6="Flat",M$4&gt;=$H6,M$4&lt;=$I6),$G6/$J6,0)+IF(AND($K6="S-Curve",M$4&gt;=$H6,M$4&lt;=$I6),(NORMDIST((YEAR(M$4)-YEAR($H6))*12+MONTH(M$4)-MONTH($H6)+1,$J6/2,$L6,TRUE)-NORMDIST((YEAR(M$4)-YEAR($H6))*12+MONTH(M$4)-MONTH($H6),$J6/2,$L6,TRUE))/(1-2*NORMDIST(0,$J6/2,$L6,TRUE))*$G6,0)</f>
        <v>1544.3394461531143</v>
      </c>
      <c r="N6" s="8">
        <f>+IF(AND($K6="Flat",N$4&gt;=$H6,N$4&lt;=$I6),$G6/$J6,0)+IF(AND($K6="S-Curve",N$4&gt;=$H6,N$4&lt;=$I6),(NORMDIST((YEAR(N$4)-YEAR($H6))*12+MONTH(N$4)-MONTH($H6)+1,$J6/2,$L6,TRUE)-NORMDIST((YEAR(N$4)-YEAR($H6))*12+MONTH(N$4)-MONTH($H6),$J6/2,$L6,TRUE))/(1-2*NORMDIST(0,$J6/2,$L6,TRUE))*$G6,0)</f>
        <v>2985.7345133916106</v>
      </c>
      <c r="O6" s="8">
        <f>+IF(AND($K6="Flat",O$4&gt;=$H6,O$4&lt;=$I6),$G6/$J6,0)+IF(AND($K6="S-Curve",O$4&gt;=$H6,O$4&lt;=$I6),(NORMDIST((YEAR(O$4)-YEAR($H6))*12+MONTH(O$4)-MONTH($H6)+1,$J6/2,$L6,TRUE)-NORMDIST((YEAR(O$4)-YEAR($H6))*12+MONTH(O$4)-MONTH($H6),$J6/2,$L6,TRUE))/(1-2*NORMDIST(0,$J6/2,$L6,TRUE))*$G6,0)</f>
        <v>5450.8186218771189</v>
      </c>
      <c r="P6" s="8">
        <f>+IF(AND($K6="Flat",P$4&gt;=$H6,P$4&lt;=$I6),$G6/$J6,0)+IF(AND($K6="S-Curve",P$4&gt;=$H6,P$4&lt;=$I6),(NORMDIST((YEAR(P$4)-YEAR($H6))*12+MONTH(P$4)-MONTH($H6)+1,$J6/2,$L6,TRUE)-NORMDIST((YEAR(P$4)-YEAR($H6))*12+MONTH(P$4)-MONTH($H6),$J6/2,$L6,TRUE))/(1-2*NORMDIST(0,$J6/2,$L6,TRUE))*$G6,0)</f>
        <v>9396.6877681614151</v>
      </c>
      <c r="Q6" s="8">
        <f t="shared" ref="Q6:AK6" si="4">+IF(AND($K6="Flat",Q$4&gt;=$H6,Q$4&lt;=$I6),$G6/$J6,0)+IF(AND($K6="S-Curve",Q$4&gt;=$H6,Q$4&lt;=$I6),(NORMDIST((YEAR(Q$4)-YEAR($H6))*12+MONTH(Q$4)-MONTH($H6)+1,$J6/2,$L6,TRUE)-NORMDIST((YEAR(Q$4)-YEAR($H6))*12+MONTH(Q$4)-MONTH($H6),$J6/2,$L6,TRUE))/(1-2*NORMDIST(0,$J6/2,$L6,TRUE))*$G6,0)</f>
        <v>15296.453551937133</v>
      </c>
      <c r="R6" s="8">
        <f t="shared" si="4"/>
        <v>23513.102062249949</v>
      </c>
      <c r="S6" s="8">
        <f t="shared" si="4"/>
        <v>34129.711659858258</v>
      </c>
      <c r="T6" s="8">
        <f t="shared" si="4"/>
        <v>46779.877223665448</v>
      </c>
      <c r="U6" s="8">
        <f t="shared" si="4"/>
        <v>60546.566553706223</v>
      </c>
      <c r="V6" s="8">
        <f t="shared" si="4"/>
        <v>73998.705904511255</v>
      </c>
      <c r="W6" s="8">
        <f t="shared" si="4"/>
        <v>85401.014354287341</v>
      </c>
      <c r="X6" s="8">
        <f t="shared" si="4"/>
        <v>93069.275260365757</v>
      </c>
      <c r="Y6" s="8">
        <f t="shared" si="4"/>
        <v>95775.426159670722</v>
      </c>
      <c r="Z6" s="8">
        <f t="shared" si="4"/>
        <v>93069.275260365815</v>
      </c>
      <c r="AA6" s="8">
        <f t="shared" si="4"/>
        <v>85401.014354287297</v>
      </c>
      <c r="AB6" s="8">
        <f t="shared" si="4"/>
        <v>73998.705904511226</v>
      </c>
      <c r="AC6" s="8">
        <f t="shared" si="4"/>
        <v>60546.566553706223</v>
      </c>
      <c r="AD6" s="8">
        <f t="shared" si="4"/>
        <v>46779.877223665513</v>
      </c>
      <c r="AE6" s="8">
        <f t="shared" si="4"/>
        <v>34129.711659858265</v>
      </c>
      <c r="AF6" s="8">
        <f t="shared" si="4"/>
        <v>23513.102062249942</v>
      </c>
      <c r="AG6" s="8">
        <f t="shared" si="4"/>
        <v>15296.453551937057</v>
      </c>
      <c r="AH6" s="8">
        <f t="shared" si="4"/>
        <v>9396.6877681614442</v>
      </c>
      <c r="AI6" s="8">
        <f t="shared" si="4"/>
        <v>5450.8186218771325</v>
      </c>
      <c r="AJ6" s="8">
        <f t="shared" si="4"/>
        <v>2985.7345133915878</v>
      </c>
      <c r="AK6" s="8">
        <f t="shared" si="4"/>
        <v>1544.3394461531182</v>
      </c>
    </row>
    <row r="7" spans="2:37" x14ac:dyDescent="0.35">
      <c r="B7" s="12">
        <v>8</v>
      </c>
      <c r="C7">
        <v>8</v>
      </c>
    </row>
    <row r="8" spans="2:37" x14ac:dyDescent="0.35">
      <c r="B8" s="12">
        <v>7</v>
      </c>
      <c r="C8">
        <v>7</v>
      </c>
    </row>
    <row r="9" spans="2:37" x14ac:dyDescent="0.35">
      <c r="B9" s="12">
        <v>6</v>
      </c>
      <c r="C9">
        <v>6</v>
      </c>
    </row>
    <row r="10" spans="2:37" x14ac:dyDescent="0.35">
      <c r="B10" s="12">
        <v>5</v>
      </c>
      <c r="C10">
        <v>5</v>
      </c>
    </row>
    <row r="11" spans="2:37" x14ac:dyDescent="0.35">
      <c r="B11" s="12">
        <v>4</v>
      </c>
      <c r="C11">
        <v>4</v>
      </c>
    </row>
    <row r="12" spans="2:37" x14ac:dyDescent="0.35">
      <c r="B12" s="12">
        <v>3</v>
      </c>
      <c r="C12">
        <v>3</v>
      </c>
    </row>
    <row r="13" spans="2:37" x14ac:dyDescent="0.35">
      <c r="B13" s="12">
        <v>2</v>
      </c>
      <c r="C13">
        <v>2</v>
      </c>
    </row>
    <row r="14" spans="2:37" x14ac:dyDescent="0.35">
      <c r="B14" s="14" t="s">
        <v>638</v>
      </c>
      <c r="C14">
        <v>1</v>
      </c>
    </row>
    <row r="17" spans="2:8" x14ac:dyDescent="0.35">
      <c r="B17" s="10" t="s">
        <v>639</v>
      </c>
    </row>
    <row r="18" spans="2:8" x14ac:dyDescent="0.35">
      <c r="B18" t="str">
        <f>+Underwriting!C271</f>
        <v>Vacancy</v>
      </c>
    </row>
    <row r="19" spans="2:8" x14ac:dyDescent="0.35">
      <c r="B19" t="str">
        <f>+Underwriting!G271</f>
        <v>Exit Cap Rate</v>
      </c>
    </row>
    <row r="20" spans="2:8" x14ac:dyDescent="0.35">
      <c r="B20" t="str">
        <f>+Underwriting!C280</f>
        <v>Inc. Growth</v>
      </c>
    </row>
    <row r="21" spans="2:8" x14ac:dyDescent="0.35">
      <c r="B21" t="str">
        <f>+Underwriting!G280</f>
        <v>Exp. Growth</v>
      </c>
    </row>
    <row r="23" spans="2:8" x14ac:dyDescent="0.35">
      <c r="B23" s="7" t="s">
        <v>640</v>
      </c>
      <c r="C23" s="7"/>
      <c r="D23" s="7"/>
      <c r="E23" s="7"/>
      <c r="G23" s="7" t="s">
        <v>641</v>
      </c>
      <c r="H23" s="7"/>
    </row>
    <row r="24" spans="2:8" x14ac:dyDescent="0.35">
      <c r="B24" t="s">
        <v>642</v>
      </c>
      <c r="D24" t="s">
        <v>643</v>
      </c>
      <c r="G24" t="s">
        <v>247</v>
      </c>
      <c r="H24">
        <v>1</v>
      </c>
    </row>
    <row r="25" spans="2:8" x14ac:dyDescent="0.35">
      <c r="B25" s="253" t="s">
        <v>644</v>
      </c>
      <c r="D25" s="253" t="s">
        <v>277</v>
      </c>
      <c r="G25" t="s">
        <v>645</v>
      </c>
      <c r="H25">
        <f>H24+1</f>
        <v>2</v>
      </c>
    </row>
    <row r="26" spans="2:8" x14ac:dyDescent="0.35">
      <c r="B26" s="253" t="s">
        <v>646</v>
      </c>
      <c r="D26" s="253" t="s">
        <v>647</v>
      </c>
      <c r="G26" t="s">
        <v>648</v>
      </c>
      <c r="H26">
        <f t="shared" ref="H26:H33" si="5">H25+1</f>
        <v>3</v>
      </c>
    </row>
    <row r="27" spans="2:8" x14ac:dyDescent="0.35">
      <c r="B27" s="253" t="s">
        <v>649</v>
      </c>
      <c r="D27" s="253" t="s">
        <v>279</v>
      </c>
      <c r="G27" t="s">
        <v>650</v>
      </c>
      <c r="H27">
        <f t="shared" si="5"/>
        <v>4</v>
      </c>
    </row>
    <row r="28" spans="2:8" x14ac:dyDescent="0.35">
      <c r="B28" s="253" t="s">
        <v>651</v>
      </c>
      <c r="D28" s="253" t="s">
        <v>281</v>
      </c>
      <c r="G28" t="s">
        <v>652</v>
      </c>
      <c r="H28">
        <f t="shared" si="5"/>
        <v>5</v>
      </c>
    </row>
    <row r="29" spans="2:8" x14ac:dyDescent="0.35">
      <c r="B29" s="253" t="s">
        <v>653</v>
      </c>
      <c r="D29" s="253" t="s">
        <v>654</v>
      </c>
      <c r="G29" t="s">
        <v>655</v>
      </c>
      <c r="H29">
        <f t="shared" si="5"/>
        <v>6</v>
      </c>
    </row>
    <row r="30" spans="2:8" x14ac:dyDescent="0.35">
      <c r="B30" s="253" t="s">
        <v>656</v>
      </c>
      <c r="D30" s="253"/>
      <c r="G30" t="s">
        <v>657</v>
      </c>
      <c r="H30">
        <f t="shared" si="5"/>
        <v>7</v>
      </c>
    </row>
    <row r="31" spans="2:8" x14ac:dyDescent="0.35">
      <c r="B31" s="253" t="s">
        <v>658</v>
      </c>
      <c r="D31" s="253"/>
      <c r="G31" t="s">
        <v>659</v>
      </c>
      <c r="H31">
        <f t="shared" si="5"/>
        <v>8</v>
      </c>
    </row>
    <row r="32" spans="2:8" x14ac:dyDescent="0.35">
      <c r="B32" s="253" t="s">
        <v>660</v>
      </c>
      <c r="D32" s="253"/>
      <c r="G32" t="s">
        <v>661</v>
      </c>
      <c r="H32">
        <f t="shared" si="5"/>
        <v>9</v>
      </c>
    </row>
    <row r="33" spans="2:8" x14ac:dyDescent="0.35">
      <c r="B33" s="253" t="s">
        <v>653</v>
      </c>
      <c r="D33" s="253"/>
      <c r="G33" t="s">
        <v>662</v>
      </c>
      <c r="H33">
        <f t="shared" si="5"/>
        <v>10</v>
      </c>
    </row>
    <row r="34" spans="2:8" x14ac:dyDescent="0.35">
      <c r="B34" s="253" t="s">
        <v>663</v>
      </c>
      <c r="D34" s="253"/>
    </row>
    <row r="35" spans="2:8" x14ac:dyDescent="0.35">
      <c r="B35" s="253" t="s">
        <v>112</v>
      </c>
      <c r="D35" s="253"/>
    </row>
    <row r="36" spans="2:8" x14ac:dyDescent="0.35">
      <c r="B36" s="253" t="s">
        <v>664</v>
      </c>
      <c r="D36" s="253"/>
    </row>
    <row r="37" spans="2:8" x14ac:dyDescent="0.35">
      <c r="B37" s="253" t="s">
        <v>665</v>
      </c>
      <c r="D37" s="253"/>
    </row>
    <row r="38" spans="2:8" x14ac:dyDescent="0.35">
      <c r="B38" s="253" t="s">
        <v>666</v>
      </c>
      <c r="D38" s="253"/>
    </row>
    <row r="39" spans="2:8" x14ac:dyDescent="0.35">
      <c r="B39" s="253" t="s">
        <v>667</v>
      </c>
      <c r="D39" s="253"/>
    </row>
    <row r="40" spans="2:8" x14ac:dyDescent="0.35">
      <c r="B40" s="253" t="s">
        <v>668</v>
      </c>
      <c r="D40" s="253"/>
    </row>
    <row r="41" spans="2:8" x14ac:dyDescent="0.35">
      <c r="B41" s="253" t="s">
        <v>669</v>
      </c>
      <c r="D41" s="253"/>
    </row>
    <row r="42" spans="2:8" x14ac:dyDescent="0.35">
      <c r="B42" s="253"/>
    </row>
    <row r="43" spans="2:8" x14ac:dyDescent="0.35">
      <c r="B43" s="253"/>
    </row>
    <row r="44" spans="2:8" x14ac:dyDescent="0.35">
      <c r="B44" s="253"/>
    </row>
    <row r="45" spans="2:8" x14ac:dyDescent="0.35">
      <c r="B45" s="253"/>
    </row>
    <row r="46" spans="2:8" x14ac:dyDescent="0.35">
      <c r="B46" s="253"/>
    </row>
  </sheetData>
  <dataValidations count="2">
    <dataValidation type="list" allowBlank="1" showInputMessage="1" showErrorMessage="1" sqref="F4" xr:uid="{00000000-0002-0000-0400-000000000000}">
      <formula1>$B$5:$B$14</formula1>
    </dataValidation>
    <dataValidation type="whole" allowBlank="1" showInputMessage="1" showErrorMessage="1" sqref="E4" xr:uid="{00000000-0002-0000-0400-000001000000}">
      <formula1>1</formula1>
      <formula2>10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D8F42"/>
  </sheetPr>
  <dimension ref="B1:X94"/>
  <sheetViews>
    <sheetView showGridLines="0" workbookViewId="0"/>
  </sheetViews>
  <sheetFormatPr defaultColWidth="9" defaultRowHeight="14.5" x14ac:dyDescent="0.35"/>
  <cols>
    <col min="1" max="1" width="0.9140625" customWidth="1"/>
    <col min="2" max="2" width="45.83203125" customWidth="1"/>
    <col min="3" max="5" width="8.6640625" customWidth="1"/>
    <col min="6" max="6" width="17.5" customWidth="1"/>
    <col min="7" max="7" width="10.08203125" style="208" customWidth="1"/>
    <col min="8" max="8" width="11" style="208" customWidth="1"/>
    <col min="9" max="9" width="10.33203125" style="208" customWidth="1"/>
    <col min="10" max="10" width="11" style="208" customWidth="1"/>
    <col min="11" max="11" width="11.83203125" style="208" customWidth="1"/>
    <col min="12" max="12" width="11.83203125" customWidth="1"/>
  </cols>
  <sheetData>
    <row r="1" spans="2:24" ht="5.15" customHeight="1" x14ac:dyDescent="0.35">
      <c r="G1"/>
      <c r="H1"/>
      <c r="I1"/>
      <c r="J1"/>
      <c r="K1"/>
    </row>
    <row r="2" spans="2:24" ht="15.5" x14ac:dyDescent="0.35">
      <c r="B2" s="115" t="s">
        <v>670</v>
      </c>
      <c r="C2" s="116"/>
      <c r="D2" s="116"/>
      <c r="E2" s="116"/>
      <c r="F2" s="116"/>
      <c r="G2" s="225"/>
      <c r="H2" s="225"/>
      <c r="I2" s="225"/>
      <c r="J2" s="225"/>
      <c r="K2" s="225"/>
      <c r="L2" s="225"/>
      <c r="M2" s="225"/>
      <c r="N2" s="225"/>
      <c r="O2" s="225"/>
      <c r="P2" s="225"/>
      <c r="Q2" s="225"/>
      <c r="R2" s="225"/>
      <c r="S2" s="225"/>
      <c r="T2" s="225"/>
      <c r="U2" s="225"/>
      <c r="V2" s="225"/>
      <c r="W2" s="225"/>
      <c r="X2" s="225"/>
    </row>
    <row r="3" spans="2:24" x14ac:dyDescent="0.35">
      <c r="B3" s="118" t="s">
        <v>671</v>
      </c>
      <c r="C3" s="6"/>
      <c r="D3" s="6"/>
      <c r="E3" s="6"/>
      <c r="F3" s="6"/>
      <c r="G3" s="226"/>
      <c r="H3" s="226"/>
      <c r="I3" s="226"/>
      <c r="J3" s="226"/>
      <c r="K3" s="226"/>
      <c r="L3" s="226"/>
      <c r="M3" s="226"/>
      <c r="N3" s="226"/>
      <c r="O3" s="226"/>
      <c r="P3" s="226"/>
      <c r="Q3" s="226"/>
      <c r="R3" s="226"/>
      <c r="S3" s="226"/>
      <c r="T3" s="226"/>
      <c r="U3" s="226"/>
      <c r="V3" s="226"/>
      <c r="W3" s="226"/>
      <c r="X3" s="226"/>
    </row>
    <row r="4" spans="2:24" x14ac:dyDescent="0.35">
      <c r="B4" s="120" t="s">
        <v>672</v>
      </c>
      <c r="C4" s="121"/>
      <c r="D4" s="121"/>
      <c r="E4" s="121"/>
      <c r="F4" s="121"/>
      <c r="G4" s="122"/>
      <c r="H4" s="122"/>
      <c r="I4" s="122"/>
      <c r="J4" s="122"/>
      <c r="K4" s="122"/>
      <c r="L4" s="122"/>
      <c r="M4" s="122"/>
      <c r="N4" s="122"/>
      <c r="O4" s="122"/>
      <c r="P4" s="122"/>
      <c r="Q4" s="122"/>
      <c r="R4" s="122"/>
      <c r="S4" s="122"/>
      <c r="T4" s="122"/>
      <c r="U4" s="122"/>
      <c r="V4" s="122"/>
      <c r="W4" s="122"/>
      <c r="X4" s="122"/>
    </row>
    <row r="5" spans="2:24" x14ac:dyDescent="0.35">
      <c r="B5" s="177"/>
      <c r="C5" s="94"/>
      <c r="D5" s="94"/>
      <c r="E5" s="94"/>
      <c r="F5" s="178" t="s">
        <v>93</v>
      </c>
      <c r="G5" s="228">
        <v>0</v>
      </c>
      <c r="H5" s="228">
        <v>1</v>
      </c>
      <c r="I5" s="228">
        <v>2</v>
      </c>
      <c r="J5" s="228">
        <v>3</v>
      </c>
      <c r="K5" s="228">
        <v>4</v>
      </c>
      <c r="L5" s="228">
        <v>5</v>
      </c>
      <c r="M5" s="228">
        <v>6</v>
      </c>
      <c r="N5" s="228" t="s">
        <v>673</v>
      </c>
      <c r="O5" s="228"/>
      <c r="P5" s="228"/>
      <c r="Q5" s="228"/>
      <c r="R5" s="228"/>
      <c r="S5" s="228"/>
      <c r="T5" s="228"/>
      <c r="U5" s="228"/>
      <c r="V5" s="228"/>
      <c r="W5" s="228"/>
      <c r="X5" s="228"/>
    </row>
    <row r="6" spans="2:24" x14ac:dyDescent="0.35">
      <c r="B6" s="179"/>
      <c r="C6" s="97"/>
      <c r="D6" s="97"/>
      <c r="E6" s="97"/>
      <c r="F6" s="175" t="s">
        <v>495</v>
      </c>
      <c r="G6" s="232">
        <f>EOMONTH(Underwriting!$E$13,-1)</f>
        <v>46203</v>
      </c>
      <c r="H6" s="232">
        <f>IF(H$5="","",MIN(EOMONTH(G6,12),Underwriting!$I$15))</f>
        <v>46568</v>
      </c>
      <c r="I6" s="232">
        <f>IF(I$5="","",MIN(EOMONTH(H6,12),Underwriting!$I$15))</f>
        <v>46934</v>
      </c>
      <c r="J6" s="232">
        <f>IF(J$5="","",MIN(EOMONTH(I6,12),Underwriting!$I$15))</f>
        <v>47299</v>
      </c>
      <c r="K6" s="232">
        <f>IF(K$5="","",MIN(EOMONTH(J6,12),Underwriting!$I$15))</f>
        <v>47664</v>
      </c>
      <c r="L6" s="232">
        <f>IF(L$5="","",MIN(EOMONTH(K6,12),Underwriting!$I$15))</f>
        <v>48029</v>
      </c>
      <c r="M6" s="232">
        <f>IF(M$5="","",MIN(EOMONTH(L6,12),Underwriting!$I$15))</f>
        <v>48030</v>
      </c>
      <c r="N6" s="232">
        <f>EOMONTH(M6,1)</f>
        <v>48091</v>
      </c>
      <c r="O6" s="232" t="str">
        <f>IF(O$5="","",MIN(EOMONTH(N6,12),Underwriting!$I$15))</f>
        <v/>
      </c>
      <c r="P6" s="232" t="str">
        <f>IF(P$5="","",MIN(EOMONTH(O6,12),Underwriting!$I$15))</f>
        <v/>
      </c>
      <c r="Q6" s="232" t="str">
        <f>IF(Q$5="","",MIN(EOMONTH(P6,12),Underwriting!$I$15))</f>
        <v/>
      </c>
      <c r="R6" s="232" t="str">
        <f>IF(R$5="","",MIN(EOMONTH(Q6,12),Underwriting!$I$15))</f>
        <v/>
      </c>
      <c r="S6" s="232" t="str">
        <f>IF(S$5="","",MIN(EOMONTH(R6,12),Underwriting!$I$15))</f>
        <v/>
      </c>
      <c r="T6" s="232" t="str">
        <f>IF(T$5="","",MIN(EOMONTH(S6,12),Underwriting!$I$15))</f>
        <v/>
      </c>
      <c r="U6" s="232" t="str">
        <f>IF(U$5="","",MIN(EOMONTH(T6,12),Underwriting!$I$15))</f>
        <v/>
      </c>
      <c r="V6" s="232" t="str">
        <f>IF(V$5="","",MIN(EOMONTH(U6,12),Underwriting!$I$15))</f>
        <v/>
      </c>
      <c r="W6" s="232" t="str">
        <f>IF(W$5="","",MIN(EOMONTH(V6,12),Underwriting!$I$15))</f>
        <v/>
      </c>
      <c r="X6" s="232" t="str">
        <f>IF(X$5="","",MIN(EOMONTH(W6,12),Underwriting!$I$15))</f>
        <v/>
      </c>
    </row>
    <row r="7" spans="2:24" x14ac:dyDescent="0.35">
      <c r="B7" s="114" t="s">
        <v>674</v>
      </c>
      <c r="C7" s="164"/>
      <c r="D7" s="164"/>
      <c r="E7" s="164"/>
      <c r="F7" s="27"/>
      <c r="G7" s="236"/>
      <c r="H7" s="166"/>
      <c r="I7" s="166"/>
      <c r="J7" s="166"/>
      <c r="K7" s="166"/>
      <c r="L7" s="166"/>
      <c r="M7" s="166"/>
      <c r="N7" s="166"/>
      <c r="O7" s="166"/>
      <c r="P7" s="166"/>
      <c r="Q7" s="166"/>
      <c r="R7" s="166"/>
      <c r="S7" s="166"/>
      <c r="T7" s="166"/>
      <c r="U7" s="166"/>
      <c r="V7" s="166"/>
      <c r="W7" s="166"/>
      <c r="X7" s="166"/>
    </row>
    <row r="8" spans="2:24" x14ac:dyDescent="0.35">
      <c r="B8" s="180" t="s">
        <v>349</v>
      </c>
      <c r="C8" s="164"/>
      <c r="D8" s="164"/>
      <c r="E8" s="164"/>
      <c r="F8" s="164"/>
      <c r="G8" s="186">
        <f>IF(G$5="","",'Annual Cash Flow'!G21)</f>
        <v>0</v>
      </c>
      <c r="H8" s="186">
        <f>IF(H$5="","",'Annual Cash Flow'!H21)</f>
        <v>0</v>
      </c>
      <c r="I8" s="186">
        <f>IF(I$5="","",'Annual Cash Flow'!I21)</f>
        <v>2150000</v>
      </c>
      <c r="J8" s="186">
        <f>IF(J$5="","",'Annual Cash Flow'!J21)</f>
        <v>13815249.999999998</v>
      </c>
      <c r="K8" s="186">
        <f>IF(K$5="","",'Annual Cash Flow'!K21)</f>
        <v>15838783.749999998</v>
      </c>
      <c r="L8" s="186">
        <f>IF(L$5="","",'Annual Cash Flow'!L21)</f>
        <v>16393141.181249999</v>
      </c>
      <c r="M8" s="186">
        <f>IF(M$5="","",'Annual Cash Flow'!M21)</f>
        <v>1399019.8499999996</v>
      </c>
      <c r="N8" s="186">
        <f>IF(N$5="","",0)</f>
        <v>0</v>
      </c>
      <c r="O8" s="186" t="str">
        <f>IF(O$5="","",'Annual Cash Flow'!O21)</f>
        <v/>
      </c>
      <c r="P8" s="186" t="str">
        <f>IF(P$5="","",'Annual Cash Flow'!P21)</f>
        <v/>
      </c>
      <c r="Q8" s="186" t="str">
        <f>IF(Q$5="","",'Annual Cash Flow'!Q21)</f>
        <v/>
      </c>
      <c r="R8" s="186" t="str">
        <f>IF(R$5="","",'Annual Cash Flow'!R21)</f>
        <v/>
      </c>
      <c r="S8" s="186" t="str">
        <f>IF(S$5="","",'Annual Cash Flow'!S21)</f>
        <v/>
      </c>
      <c r="T8" s="186" t="str">
        <f>IF(T$5="","",'Annual Cash Flow'!T21)</f>
        <v/>
      </c>
      <c r="U8" s="186" t="str">
        <f>IF(U$5="","",'Annual Cash Flow'!U21)</f>
        <v/>
      </c>
      <c r="V8" s="186" t="str">
        <f>IF(V$5="","",'Annual Cash Flow'!V21)</f>
        <v/>
      </c>
      <c r="W8" s="186" t="str">
        <f>IF(W$5="","",'Annual Cash Flow'!W21)</f>
        <v/>
      </c>
      <c r="X8" s="186" t="str">
        <f>IF(X$5="","",'Annual Cash Flow'!X21)</f>
        <v/>
      </c>
    </row>
    <row r="9" spans="2:24" x14ac:dyDescent="0.35">
      <c r="B9" s="180" t="s">
        <v>351</v>
      </c>
      <c r="C9" s="164"/>
      <c r="D9" s="164"/>
      <c r="E9" s="164"/>
      <c r="F9" s="164"/>
      <c r="G9" s="186">
        <f>IF(G$5="","",'Annual Cash Flow'!G22)</f>
        <v>0</v>
      </c>
      <c r="H9" s="186">
        <f>IF(H$5="","",'Annual Cash Flow'!H22)</f>
        <v>0</v>
      </c>
      <c r="I9" s="186">
        <f>IF(I$5="","",'Annual Cash Flow'!I22)</f>
        <v>0</v>
      </c>
      <c r="J9" s="186">
        <f>IF(J$5="","",'Annual Cash Flow'!J22)</f>
        <v>0</v>
      </c>
      <c r="K9" s="186">
        <f>IF(K$5="","",'Annual Cash Flow'!K22)</f>
        <v>1505145.9576018525</v>
      </c>
      <c r="L9" s="186">
        <f>IF(L$5="","",'Annual Cash Flow'!L22)</f>
        <v>3370485.5864122552</v>
      </c>
      <c r="M9" s="186">
        <f>IF(M$5="","",'Annual Cash Flow'!M22)</f>
        <v>287895.64383938012</v>
      </c>
      <c r="N9" s="186">
        <f>IF(N$5="","",0)</f>
        <v>0</v>
      </c>
      <c r="O9" s="186" t="str">
        <f>IF(O$5="","",'Annual Cash Flow'!O22)</f>
        <v/>
      </c>
      <c r="P9" s="186" t="str">
        <f>IF(P$5="","",'Annual Cash Flow'!P22)</f>
        <v/>
      </c>
      <c r="Q9" s="186" t="str">
        <f>IF(Q$5="","",'Annual Cash Flow'!Q22)</f>
        <v/>
      </c>
      <c r="R9" s="186" t="str">
        <f>IF(R$5="","",'Annual Cash Flow'!R22)</f>
        <v/>
      </c>
      <c r="S9" s="186" t="str">
        <f>IF(S$5="","",'Annual Cash Flow'!S22)</f>
        <v/>
      </c>
      <c r="T9" s="186" t="str">
        <f>IF(T$5="","",'Annual Cash Flow'!T22)</f>
        <v/>
      </c>
      <c r="U9" s="186" t="str">
        <f>IF(U$5="","",'Annual Cash Flow'!U22)</f>
        <v/>
      </c>
      <c r="V9" s="186" t="str">
        <f>IF(V$5="","",'Annual Cash Flow'!V22)</f>
        <v/>
      </c>
      <c r="W9" s="186" t="str">
        <f>IF(W$5="","",'Annual Cash Flow'!W22)</f>
        <v/>
      </c>
      <c r="X9" s="186" t="str">
        <f>IF(X$5="","",'Annual Cash Flow'!X22)</f>
        <v/>
      </c>
    </row>
    <row r="10" spans="2:24" x14ac:dyDescent="0.35">
      <c r="B10" s="180" t="s">
        <v>352</v>
      </c>
      <c r="C10" s="164"/>
      <c r="D10" s="164"/>
      <c r="E10" s="164"/>
      <c r="F10" s="164"/>
      <c r="G10" s="186">
        <f>IF(G$5="","",'Annual Cash Flow'!G23)</f>
        <v>0</v>
      </c>
      <c r="H10" s="186">
        <f>IF(H$5="","",'Annual Cash Flow'!H23)</f>
        <v>0</v>
      </c>
      <c r="I10" s="186">
        <f>IF(I$5="","",'Annual Cash Flow'!I23)</f>
        <v>0</v>
      </c>
      <c r="J10" s="186">
        <f>IF(J$5="","",'Annual Cash Flow'!J23)</f>
        <v>0</v>
      </c>
      <c r="K10" s="186">
        <f>IF(K$5="","",'Annual Cash Flow'!K23)</f>
        <v>14025831.884223074</v>
      </c>
      <c r="L10" s="186">
        <f>IF(L$5="","",'Annual Cash Flow'!L23)</f>
        <v>31018469.791080687</v>
      </c>
      <c r="M10" s="186">
        <f>IF(M$5="","",'Annual Cash Flow'!M23)</f>
        <v>2649494.2946548089</v>
      </c>
      <c r="N10" s="186">
        <f>IF(N$5="","",0)</f>
        <v>0</v>
      </c>
      <c r="O10" s="186" t="str">
        <f>IF(O$5="","",'Annual Cash Flow'!O23)</f>
        <v/>
      </c>
      <c r="P10" s="186" t="str">
        <f>IF(P$5="","",'Annual Cash Flow'!P23)</f>
        <v/>
      </c>
      <c r="Q10" s="186" t="str">
        <f>IF(Q$5="","",'Annual Cash Flow'!Q23)</f>
        <v/>
      </c>
      <c r="R10" s="186" t="str">
        <f>IF(R$5="","",'Annual Cash Flow'!R23)</f>
        <v/>
      </c>
      <c r="S10" s="186" t="str">
        <f>IF(S$5="","",'Annual Cash Flow'!S23)</f>
        <v/>
      </c>
      <c r="T10" s="186" t="str">
        <f>IF(T$5="","",'Annual Cash Flow'!T23)</f>
        <v/>
      </c>
      <c r="U10" s="186" t="str">
        <f>IF(U$5="","",'Annual Cash Flow'!U23)</f>
        <v/>
      </c>
      <c r="V10" s="186" t="str">
        <f>IF(V$5="","",'Annual Cash Flow'!V23)</f>
        <v/>
      </c>
      <c r="W10" s="186" t="str">
        <f>IF(W$5="","",'Annual Cash Flow'!W23)</f>
        <v/>
      </c>
      <c r="X10" s="186" t="str">
        <f>IF(X$5="","",'Annual Cash Flow'!X23)</f>
        <v/>
      </c>
    </row>
    <row r="11" spans="2:24" x14ac:dyDescent="0.35">
      <c r="B11" s="95" t="s">
        <v>675</v>
      </c>
      <c r="C11" s="164"/>
      <c r="D11" s="164"/>
      <c r="E11" s="164"/>
      <c r="F11" s="164"/>
      <c r="G11" s="186">
        <f t="shared" ref="G11:L11" si="0">IF(G$5="","",SUM(G8:G10))</f>
        <v>0</v>
      </c>
      <c r="H11" s="186">
        <f t="shared" si="0"/>
        <v>0</v>
      </c>
      <c r="I11" s="186">
        <f t="shared" si="0"/>
        <v>2150000</v>
      </c>
      <c r="J11" s="186">
        <f t="shared" si="0"/>
        <v>13815249.999999998</v>
      </c>
      <c r="K11" s="186">
        <f t="shared" si="0"/>
        <v>31369761.591824923</v>
      </c>
      <c r="L11" s="186">
        <f t="shared" si="0"/>
        <v>50782096.55874294</v>
      </c>
      <c r="M11" s="186">
        <f t="shared" ref="M11:X11" si="1">IF(M$5="","",SUM(M8:M10))</f>
        <v>4336409.7884941883</v>
      </c>
      <c r="N11" s="186">
        <f t="shared" si="1"/>
        <v>0</v>
      </c>
      <c r="O11" s="186" t="str">
        <f t="shared" si="1"/>
        <v/>
      </c>
      <c r="P11" s="186" t="str">
        <f t="shared" si="1"/>
        <v/>
      </c>
      <c r="Q11" s="186" t="str">
        <f t="shared" si="1"/>
        <v/>
      </c>
      <c r="R11" s="186" t="str">
        <f t="shared" si="1"/>
        <v/>
      </c>
      <c r="S11" s="186" t="str">
        <f t="shared" si="1"/>
        <v/>
      </c>
      <c r="T11" s="186" t="str">
        <f t="shared" si="1"/>
        <v/>
      </c>
      <c r="U11" s="186" t="str">
        <f t="shared" si="1"/>
        <v/>
      </c>
      <c r="V11" s="186" t="str">
        <f t="shared" si="1"/>
        <v/>
      </c>
      <c r="W11" s="186" t="str">
        <f t="shared" si="1"/>
        <v/>
      </c>
      <c r="X11" s="186" t="str">
        <f t="shared" si="1"/>
        <v/>
      </c>
    </row>
    <row r="12" spans="2:24" x14ac:dyDescent="0.35">
      <c r="B12" s="95"/>
      <c r="C12" s="164"/>
      <c r="D12" s="164"/>
      <c r="E12" s="164"/>
      <c r="F12" s="27"/>
      <c r="G12" s="186"/>
      <c r="H12" s="243"/>
      <c r="I12" s="186"/>
      <c r="J12" s="186"/>
      <c r="K12" s="186"/>
      <c r="L12" s="186"/>
      <c r="M12" s="186"/>
      <c r="N12" s="186"/>
      <c r="O12" s="186"/>
      <c r="P12" s="186"/>
      <c r="Q12" s="186"/>
      <c r="R12" s="186"/>
      <c r="S12" s="186"/>
      <c r="T12" s="186"/>
      <c r="U12" s="186"/>
      <c r="V12" s="186"/>
      <c r="W12" s="186"/>
      <c r="X12" s="186"/>
    </row>
    <row r="13" spans="2:24" x14ac:dyDescent="0.35">
      <c r="B13" s="180" t="s">
        <v>676</v>
      </c>
      <c r="C13" s="164"/>
      <c r="D13" s="164"/>
      <c r="E13" s="164"/>
      <c r="F13" s="164"/>
      <c r="G13" s="186">
        <f>IF(G$5="","",'Annual Cash Flow'!G25)</f>
        <v>0</v>
      </c>
      <c r="H13" s="186">
        <f>IF(H$5="","",'Annual Cash Flow'!H25)</f>
        <v>0</v>
      </c>
      <c r="I13" s="186">
        <f>IF(I$5="","",'Annual Cash Flow'!I25)</f>
        <v>0</v>
      </c>
      <c r="J13" s="186">
        <f>IF(J$5="","",'Annual Cash Flow'!J25)</f>
        <v>0</v>
      </c>
      <c r="K13" s="186">
        <f>IF(K$5="","",'Annual Cash Flow'!K25)</f>
        <v>0</v>
      </c>
      <c r="L13" s="186">
        <f>IF(L$5="","",'Annual Cash Flow'!L25)</f>
        <v>0</v>
      </c>
      <c r="M13" s="186">
        <f>IF(M$5="","",'Annual Cash Flow'!M25)</f>
        <v>0</v>
      </c>
      <c r="N13" s="186">
        <f>IF(N$5="","",0)</f>
        <v>0</v>
      </c>
      <c r="O13" s="186" t="str">
        <f>IF(O$5="","",'Annual Cash Flow'!O25)</f>
        <v/>
      </c>
      <c r="P13" s="186" t="str">
        <f>IF(P$5="","",'Annual Cash Flow'!P25)</f>
        <v/>
      </c>
      <c r="Q13" s="186" t="str">
        <f>IF(Q$5="","",'Annual Cash Flow'!Q25)</f>
        <v/>
      </c>
      <c r="R13" s="186" t="str">
        <f>IF(R$5="","",'Annual Cash Flow'!R25)</f>
        <v/>
      </c>
      <c r="S13" s="186" t="str">
        <f>IF(S$5="","",'Annual Cash Flow'!S25)</f>
        <v/>
      </c>
      <c r="T13" s="186" t="str">
        <f>IF(T$5="","",'Annual Cash Flow'!T25)</f>
        <v/>
      </c>
      <c r="U13" s="186" t="str">
        <f>IF(U$5="","",'Annual Cash Flow'!U25)</f>
        <v/>
      </c>
      <c r="V13" s="186" t="str">
        <f>IF(V$5="","",'Annual Cash Flow'!V25)</f>
        <v/>
      </c>
      <c r="W13" s="186" t="str">
        <f>IF(W$5="","",'Annual Cash Flow'!W25)</f>
        <v/>
      </c>
      <c r="X13" s="186" t="str">
        <f>IF(X$5="","",'Annual Cash Flow'!X25)</f>
        <v/>
      </c>
    </row>
    <row r="14" spans="2:24" x14ac:dyDescent="0.35">
      <c r="B14" s="95" t="s">
        <v>356</v>
      </c>
      <c r="C14" s="164"/>
      <c r="D14" s="164"/>
      <c r="E14" s="164"/>
      <c r="F14" s="164"/>
      <c r="G14" s="186">
        <f>IF(G$5="","",'Annual Cash Flow'!G26)</f>
        <v>0</v>
      </c>
      <c r="H14" s="186">
        <f>IF(H$5="","",'Annual Cash Flow'!H26)</f>
        <v>0</v>
      </c>
      <c r="I14" s="186">
        <f>IF(I$5="","",'Annual Cash Flow'!I26)</f>
        <v>2150000</v>
      </c>
      <c r="J14" s="186">
        <f>IF(J$5="","",'Annual Cash Flow'!J26)</f>
        <v>13815249.999999998</v>
      </c>
      <c r="K14" s="186">
        <f>IF(K$5="","",'Annual Cash Flow'!K26)</f>
        <v>31369761.591824923</v>
      </c>
      <c r="L14" s="186">
        <f>IF(L$5="","",'Annual Cash Flow'!L26)</f>
        <v>50782096.55874294</v>
      </c>
      <c r="M14" s="186">
        <f>IF(M$5="","",'Annual Cash Flow'!M26)</f>
        <v>4336409.7884941883</v>
      </c>
      <c r="N14" s="186">
        <f>IF(N$5="","",0)</f>
        <v>0</v>
      </c>
      <c r="O14" s="186" t="str">
        <f>IF(O$5="","",'Annual Cash Flow'!O26)</f>
        <v/>
      </c>
      <c r="P14" s="186" t="str">
        <f>IF(P$5="","",'Annual Cash Flow'!P26)</f>
        <v/>
      </c>
      <c r="Q14" s="186" t="str">
        <f>IF(Q$5="","",'Annual Cash Flow'!Q26)</f>
        <v/>
      </c>
      <c r="R14" s="186" t="str">
        <f>IF(R$5="","",'Annual Cash Flow'!R26)</f>
        <v/>
      </c>
      <c r="S14" s="186" t="str">
        <f>IF(S$5="","",'Annual Cash Flow'!S26)</f>
        <v/>
      </c>
      <c r="T14" s="186" t="str">
        <f>IF(T$5="","",'Annual Cash Flow'!T26)</f>
        <v/>
      </c>
      <c r="U14" s="186" t="str">
        <f>IF(U$5="","",'Annual Cash Flow'!U26)</f>
        <v/>
      </c>
      <c r="V14" s="186" t="str">
        <f>IF(V$5="","",'Annual Cash Flow'!V26)</f>
        <v/>
      </c>
      <c r="W14" s="186" t="str">
        <f>IF(W$5="","",'Annual Cash Flow'!W26)</f>
        <v/>
      </c>
      <c r="X14" s="186" t="str">
        <f>IF(X$5="","",'Annual Cash Flow'!X26)</f>
        <v/>
      </c>
    </row>
    <row r="15" spans="2:24" x14ac:dyDescent="0.35">
      <c r="B15" s="114" t="s">
        <v>506</v>
      </c>
      <c r="C15" s="164"/>
      <c r="D15" s="164"/>
      <c r="E15" s="164"/>
      <c r="F15" s="27"/>
      <c r="G15" s="236"/>
      <c r="H15" s="166"/>
      <c r="I15" s="166"/>
      <c r="J15" s="166"/>
      <c r="K15" s="166"/>
      <c r="L15" s="166"/>
      <c r="M15" s="166"/>
      <c r="N15" s="166"/>
      <c r="O15" s="166"/>
      <c r="P15" s="166"/>
      <c r="Q15" s="166"/>
      <c r="R15" s="166"/>
      <c r="S15" s="166"/>
      <c r="T15" s="166"/>
      <c r="U15" s="166"/>
      <c r="V15" s="166"/>
      <c r="W15" s="166"/>
      <c r="X15" s="166"/>
    </row>
    <row r="16" spans="2:24" x14ac:dyDescent="0.35">
      <c r="B16" s="180" t="s">
        <v>677</v>
      </c>
      <c r="C16" s="164"/>
      <c r="D16" s="164"/>
      <c r="E16" s="164"/>
      <c r="F16" s="164"/>
      <c r="G16" s="186">
        <f>IF(G$5="","",'Annual Cash Flow'!G29)</f>
        <v>0</v>
      </c>
      <c r="H16" s="186">
        <f>IF(H$5="","",'Annual Cash Flow'!H29)</f>
        <v>0</v>
      </c>
      <c r="I16" s="186">
        <f>IF(I$5="","",'Annual Cash Flow'!I29)</f>
        <v>0</v>
      </c>
      <c r="J16" s="186">
        <f>IF(J$5="","",'Annual Cash Flow'!J29)</f>
        <v>0</v>
      </c>
      <c r="K16" s="186">
        <f>IF(K$5="","",'Annual Cash Flow'!K29)</f>
        <v>1507127.701241252</v>
      </c>
      <c r="L16" s="186">
        <f>IF(L$5="","",'Annual Cash Flow'!L29)</f>
        <v>3370485.5864122552</v>
      </c>
      <c r="M16" s="186">
        <f>IF(M$5="","",'Annual Cash Flow'!M29)</f>
        <v>287895.64383938006</v>
      </c>
      <c r="N16" s="186">
        <f>IF(N$5="","",0)</f>
        <v>0</v>
      </c>
      <c r="O16" s="186" t="str">
        <f>IF(O$5="","",'Annual Cash Flow'!O29)</f>
        <v/>
      </c>
      <c r="P16" s="186" t="str">
        <f>IF(P$5="","",'Annual Cash Flow'!P29)</f>
        <v/>
      </c>
      <c r="Q16" s="186" t="str">
        <f>IF(Q$5="","",'Annual Cash Flow'!Q29)</f>
        <v/>
      </c>
      <c r="R16" s="186" t="str">
        <f>IF(R$5="","",'Annual Cash Flow'!R29)</f>
        <v/>
      </c>
      <c r="S16" s="186" t="str">
        <f>IF(S$5="","",'Annual Cash Flow'!S29)</f>
        <v/>
      </c>
      <c r="T16" s="186" t="str">
        <f>IF(T$5="","",'Annual Cash Flow'!T29)</f>
        <v/>
      </c>
      <c r="U16" s="186" t="str">
        <f>IF(U$5="","",'Annual Cash Flow'!U29)</f>
        <v/>
      </c>
      <c r="V16" s="186" t="str">
        <f>IF(V$5="","",'Annual Cash Flow'!V29)</f>
        <v/>
      </c>
      <c r="W16" s="186" t="str">
        <f>IF(W$5="","",'Annual Cash Flow'!W29)</f>
        <v/>
      </c>
      <c r="X16" s="186" t="str">
        <f>IF(X$5="","",'Annual Cash Flow'!X29)</f>
        <v/>
      </c>
    </row>
    <row r="17" spans="2:24" x14ac:dyDescent="0.35">
      <c r="B17" s="180" t="s">
        <v>678</v>
      </c>
      <c r="C17" s="164"/>
      <c r="D17" s="164"/>
      <c r="E17" s="164"/>
      <c r="F17" s="164"/>
      <c r="G17" s="186">
        <f>IF(G$5="","",'Annual Cash Flow'!G30)</f>
        <v>0</v>
      </c>
      <c r="H17" s="186">
        <f>IF(H$5="","",'Annual Cash Flow'!H30)</f>
        <v>0</v>
      </c>
      <c r="I17" s="186">
        <f>IF(I$5="","",'Annual Cash Flow'!I30)</f>
        <v>0</v>
      </c>
      <c r="J17" s="186">
        <f>IF(J$5="","",'Annual Cash Flow'!J30)</f>
        <v>0</v>
      </c>
      <c r="K17" s="186">
        <f>IF(K$5="","",'Annual Cash Flow'!K30)</f>
        <v>0</v>
      </c>
      <c r="L17" s="186">
        <f>IF(L$5="","",'Annual Cash Flow'!L30)</f>
        <v>0</v>
      </c>
      <c r="M17" s="186">
        <f>IF(M$5="","",'Annual Cash Flow'!M30)</f>
        <v>0</v>
      </c>
      <c r="N17" s="186">
        <f>IF(N$5="","",0)</f>
        <v>0</v>
      </c>
      <c r="O17" s="186" t="str">
        <f>IF(O$5="","",'Annual Cash Flow'!O30)</f>
        <v/>
      </c>
      <c r="P17" s="186" t="str">
        <f>IF(P$5="","",'Annual Cash Flow'!P30)</f>
        <v/>
      </c>
      <c r="Q17" s="186" t="str">
        <f>IF(Q$5="","",'Annual Cash Flow'!Q30)</f>
        <v/>
      </c>
      <c r="R17" s="186" t="str">
        <f>IF(R$5="","",'Annual Cash Flow'!R30)</f>
        <v/>
      </c>
      <c r="S17" s="186" t="str">
        <f>IF(S$5="","",'Annual Cash Flow'!S30)</f>
        <v/>
      </c>
      <c r="T17" s="186" t="str">
        <f>IF(T$5="","",'Annual Cash Flow'!T30)</f>
        <v/>
      </c>
      <c r="U17" s="186" t="str">
        <f>IF(U$5="","",'Annual Cash Flow'!U30)</f>
        <v/>
      </c>
      <c r="V17" s="186" t="str">
        <f>IF(V$5="","",'Annual Cash Flow'!V30)</f>
        <v/>
      </c>
      <c r="W17" s="186" t="str">
        <f>IF(W$5="","",'Annual Cash Flow'!W30)</f>
        <v/>
      </c>
      <c r="X17" s="186" t="str">
        <f>IF(X$5="","",'Annual Cash Flow'!X30)</f>
        <v/>
      </c>
    </row>
    <row r="18" spans="2:24" x14ac:dyDescent="0.35">
      <c r="B18" s="180" t="s">
        <v>679</v>
      </c>
      <c r="C18" s="164"/>
      <c r="D18" s="164"/>
      <c r="E18" s="164"/>
      <c r="F18" s="164"/>
      <c r="G18" s="186">
        <f>IF(G$5="","",'Annual Cash Flow'!G31)</f>
        <v>0</v>
      </c>
      <c r="H18" s="186">
        <f>IF(H$5="","",'Annual Cash Flow'!H31)</f>
        <v>0</v>
      </c>
      <c r="I18" s="186">
        <f>IF(I$5="","",'Annual Cash Flow'!I31)</f>
        <v>0</v>
      </c>
      <c r="J18" s="186">
        <f>IF(J$5="","",'Annual Cash Flow'!J31)</f>
        <v>0</v>
      </c>
      <c r="K18" s="186">
        <f>IF(K$5="","",'Annual Cash Flow'!K31)</f>
        <v>0</v>
      </c>
      <c r="L18" s="186">
        <f>IF(L$5="","",'Annual Cash Flow'!L31)</f>
        <v>0</v>
      </c>
      <c r="M18" s="186">
        <f>IF(M$5="","",'Annual Cash Flow'!M31)</f>
        <v>0</v>
      </c>
      <c r="N18" s="186">
        <f>IF(N$5="","",0)</f>
        <v>0</v>
      </c>
      <c r="O18" s="186" t="str">
        <f>IF(O$5="","",'Annual Cash Flow'!O31)</f>
        <v/>
      </c>
      <c r="P18" s="186" t="str">
        <f>IF(P$5="","",'Annual Cash Flow'!P31)</f>
        <v/>
      </c>
      <c r="Q18" s="186" t="str">
        <f>IF(Q$5="","",'Annual Cash Flow'!Q31)</f>
        <v/>
      </c>
      <c r="R18" s="186" t="str">
        <f>IF(R$5="","",'Annual Cash Flow'!R31)</f>
        <v/>
      </c>
      <c r="S18" s="186" t="str">
        <f>IF(S$5="","",'Annual Cash Flow'!S31)</f>
        <v/>
      </c>
      <c r="T18" s="186" t="str">
        <f>IF(T$5="","",'Annual Cash Flow'!T31)</f>
        <v/>
      </c>
      <c r="U18" s="186" t="str">
        <f>IF(U$5="","",'Annual Cash Flow'!U31)</f>
        <v/>
      </c>
      <c r="V18" s="186" t="str">
        <f>IF(V$5="","",'Annual Cash Flow'!V31)</f>
        <v/>
      </c>
      <c r="W18" s="186" t="str">
        <f>IF(W$5="","",'Annual Cash Flow'!W31)</f>
        <v/>
      </c>
      <c r="X18" s="186" t="str">
        <f>IF(X$5="","",'Annual Cash Flow'!X31)</f>
        <v/>
      </c>
    </row>
    <row r="19" spans="2:24" x14ac:dyDescent="0.35">
      <c r="B19" s="180" t="s">
        <v>680</v>
      </c>
      <c r="C19" s="164"/>
      <c r="D19" s="164"/>
      <c r="E19" s="164"/>
      <c r="F19" s="164"/>
      <c r="G19" s="186">
        <f>IF(G$5="","",'Annual Cash Flow'!G32)</f>
        <v>0</v>
      </c>
      <c r="H19" s="186">
        <f>IF(H$5="","",'Annual Cash Flow'!H32)</f>
        <v>0</v>
      </c>
      <c r="I19" s="186">
        <f>IF(I$5="","",'Annual Cash Flow'!I32)</f>
        <v>0</v>
      </c>
      <c r="J19" s="186">
        <f>IF(J$5="","",'Annual Cash Flow'!J32)</f>
        <v>0</v>
      </c>
      <c r="K19" s="186">
        <f>IF(K$5="","",'Annual Cash Flow'!K32)</f>
        <v>0</v>
      </c>
      <c r="L19" s="186">
        <f>IF(L$5="","",'Annual Cash Flow'!L32)</f>
        <v>0</v>
      </c>
      <c r="M19" s="186">
        <f>IF(M$5="","",'Annual Cash Flow'!M32)</f>
        <v>0</v>
      </c>
      <c r="N19" s="186">
        <f>IF(N$5="","",0)</f>
        <v>0</v>
      </c>
      <c r="O19" s="186" t="str">
        <f>IF(O$5="","",'Annual Cash Flow'!O32)</f>
        <v/>
      </c>
      <c r="P19" s="186" t="str">
        <f>IF(P$5="","",'Annual Cash Flow'!P32)</f>
        <v/>
      </c>
      <c r="Q19" s="186" t="str">
        <f>IF(Q$5="","",'Annual Cash Flow'!Q32)</f>
        <v/>
      </c>
      <c r="R19" s="186" t="str">
        <f>IF(R$5="","",'Annual Cash Flow'!R32)</f>
        <v/>
      </c>
      <c r="S19" s="186" t="str">
        <f>IF(S$5="","",'Annual Cash Flow'!S32)</f>
        <v/>
      </c>
      <c r="T19" s="186" t="str">
        <f>IF(T$5="","",'Annual Cash Flow'!T32)</f>
        <v/>
      </c>
      <c r="U19" s="186" t="str">
        <f>IF(U$5="","",'Annual Cash Flow'!U32)</f>
        <v/>
      </c>
      <c r="V19" s="186" t="str">
        <f>IF(V$5="","",'Annual Cash Flow'!V32)</f>
        <v/>
      </c>
      <c r="W19" s="186" t="str">
        <f>IF(W$5="","",'Annual Cash Flow'!W32)</f>
        <v/>
      </c>
      <c r="X19" s="186" t="str">
        <f>IF(X$5="","",'Annual Cash Flow'!X32)</f>
        <v/>
      </c>
    </row>
    <row r="20" spans="2:24" x14ac:dyDescent="0.35">
      <c r="B20" s="95" t="s">
        <v>360</v>
      </c>
      <c r="C20" s="164"/>
      <c r="D20" s="164"/>
      <c r="E20" s="164"/>
      <c r="F20" s="164"/>
      <c r="G20" s="186">
        <f>IF(G$5="","",'Annual Cash Flow'!G33)</f>
        <v>0</v>
      </c>
      <c r="H20" s="186">
        <f>IF(H$5="","",'Annual Cash Flow'!H33)</f>
        <v>0</v>
      </c>
      <c r="I20" s="186">
        <f>IF(I$5="","",'Annual Cash Flow'!I33)</f>
        <v>0</v>
      </c>
      <c r="J20" s="186">
        <f>IF(J$5="","",'Annual Cash Flow'!J33)</f>
        <v>0</v>
      </c>
      <c r="K20" s="186">
        <f>IF(K$5="","",'Annual Cash Flow'!K33)</f>
        <v>1507127.701241252</v>
      </c>
      <c r="L20" s="186">
        <f>IF(L$5="","",'Annual Cash Flow'!L33)</f>
        <v>3370485.5864122552</v>
      </c>
      <c r="M20" s="186">
        <f>IF(M$5="","",'Annual Cash Flow'!M33)</f>
        <v>287895.64383938006</v>
      </c>
      <c r="N20" s="186">
        <f>IF(N$5="","",0)</f>
        <v>0</v>
      </c>
      <c r="O20" s="186" t="str">
        <f>IF(O$5="","",'Annual Cash Flow'!O33)</f>
        <v/>
      </c>
      <c r="P20" s="186" t="str">
        <f>IF(P$5="","",'Annual Cash Flow'!P33)</f>
        <v/>
      </c>
      <c r="Q20" s="186" t="str">
        <f>IF(Q$5="","",'Annual Cash Flow'!Q33)</f>
        <v/>
      </c>
      <c r="R20" s="186" t="str">
        <f>IF(R$5="","",'Annual Cash Flow'!R33)</f>
        <v/>
      </c>
      <c r="S20" s="186" t="str">
        <f>IF(S$5="","",'Annual Cash Flow'!S33)</f>
        <v/>
      </c>
      <c r="T20" s="186" t="str">
        <f>IF(T$5="","",'Annual Cash Flow'!T33)</f>
        <v/>
      </c>
      <c r="U20" s="186" t="str">
        <f>IF(U$5="","",'Annual Cash Flow'!U33)</f>
        <v/>
      </c>
      <c r="V20" s="186" t="str">
        <f>IF(V$5="","",'Annual Cash Flow'!V33)</f>
        <v/>
      </c>
      <c r="W20" s="186" t="str">
        <f>IF(W$5="","",'Annual Cash Flow'!W33)</f>
        <v/>
      </c>
      <c r="X20" s="186" t="str">
        <f>IF(X$5="","",'Annual Cash Flow'!X33)</f>
        <v/>
      </c>
    </row>
    <row r="21" spans="2:24" x14ac:dyDescent="0.35">
      <c r="B21" s="95"/>
      <c r="C21" s="164"/>
      <c r="D21" s="164"/>
      <c r="E21" s="164"/>
      <c r="F21" s="27"/>
      <c r="G21" s="186"/>
      <c r="H21" s="243"/>
      <c r="I21" s="186"/>
      <c r="J21" s="186"/>
      <c r="K21" s="186"/>
      <c r="L21" s="186"/>
      <c r="M21" s="186"/>
      <c r="N21" s="186"/>
      <c r="O21" s="186"/>
      <c r="P21" s="186"/>
      <c r="Q21" s="186"/>
      <c r="R21" s="186"/>
      <c r="S21" s="186"/>
      <c r="T21" s="186"/>
      <c r="U21" s="186"/>
      <c r="V21" s="186"/>
      <c r="W21" s="186"/>
      <c r="X21" s="186"/>
    </row>
    <row r="22" spans="2:24" x14ac:dyDescent="0.35">
      <c r="B22" s="180" t="s">
        <v>361</v>
      </c>
      <c r="C22" s="164"/>
      <c r="D22" s="164"/>
      <c r="E22" s="164"/>
      <c r="F22" s="164"/>
      <c r="G22" s="186">
        <f>IF(G$5="","",'Annual Cash Flow'!G35)</f>
        <v>0</v>
      </c>
      <c r="H22" s="186">
        <f>IF(H$5="","",'Annual Cash Flow'!H35)</f>
        <v>0</v>
      </c>
      <c r="I22" s="186">
        <f>IF(I$5="","",'Annual Cash Flow'!I35)</f>
        <v>2150000</v>
      </c>
      <c r="J22" s="186">
        <f>IF(J$5="","",'Annual Cash Flow'!J35)</f>
        <v>13815249.999999998</v>
      </c>
      <c r="K22" s="186">
        <f>IF(K$5="","",'Annual Cash Flow'!K35)</f>
        <v>29862633.890583672</v>
      </c>
      <c r="L22" s="186">
        <f>IF(L$5="","",'Annual Cash Flow'!L35)</f>
        <v>47411610.972330682</v>
      </c>
      <c r="M22" s="186">
        <f>IF(M$5="","",'Annual Cash Flow'!M35)</f>
        <v>4048514.1446548081</v>
      </c>
      <c r="N22" s="186">
        <f>IF(N$5="","",0)</f>
        <v>0</v>
      </c>
      <c r="O22" s="186" t="str">
        <f>IF(O$5="","",'Annual Cash Flow'!O35)</f>
        <v/>
      </c>
      <c r="P22" s="186" t="str">
        <f>IF(P$5="","",'Annual Cash Flow'!P35)</f>
        <v/>
      </c>
      <c r="Q22" s="186" t="str">
        <f>IF(Q$5="","",'Annual Cash Flow'!Q35)</f>
        <v/>
      </c>
      <c r="R22" s="186" t="str">
        <f>IF(R$5="","",'Annual Cash Flow'!R35)</f>
        <v/>
      </c>
      <c r="S22" s="186" t="str">
        <f>IF(S$5="","",'Annual Cash Flow'!S35)</f>
        <v/>
      </c>
      <c r="T22" s="186" t="str">
        <f>IF(T$5="","",'Annual Cash Flow'!T35)</f>
        <v/>
      </c>
      <c r="U22" s="186" t="str">
        <f>IF(U$5="","",'Annual Cash Flow'!U35)</f>
        <v/>
      </c>
      <c r="V22" s="186" t="str">
        <f>IF(V$5="","",'Annual Cash Flow'!V35)</f>
        <v/>
      </c>
      <c r="W22" s="186" t="str">
        <f>IF(W$5="","",'Annual Cash Flow'!W35)</f>
        <v/>
      </c>
      <c r="X22" s="186" t="str">
        <f>IF(X$5="","",'Annual Cash Flow'!X35)</f>
        <v/>
      </c>
    </row>
    <row r="23" spans="2:24" x14ac:dyDescent="0.35">
      <c r="B23" s="95" t="s">
        <v>324</v>
      </c>
      <c r="C23" s="164"/>
      <c r="D23" s="164"/>
      <c r="E23" s="164"/>
      <c r="F23" s="164"/>
      <c r="G23" s="186">
        <f>IF(G$5="","",'Annual Cash Flow'!G39)</f>
        <v>0</v>
      </c>
      <c r="H23" s="186">
        <f>IF(H$5="","",'Annual Cash Flow'!H39)</f>
        <v>0</v>
      </c>
      <c r="I23" s="186">
        <f>IF(I$5="","",'Annual Cash Flow'!I39)</f>
        <v>2150000</v>
      </c>
      <c r="J23" s="186">
        <f>IF(J$5="","",'Annual Cash Flow'!J39)</f>
        <v>13815249.999999998</v>
      </c>
      <c r="K23" s="186">
        <f>IF(K$5="","",'Annual Cash Flow'!K39)</f>
        <v>29862633.890583672</v>
      </c>
      <c r="L23" s="186">
        <f>IF(L$5="","",'Annual Cash Flow'!L39)</f>
        <v>47411610.972330682</v>
      </c>
      <c r="M23" s="186">
        <f>IF(M$5="","",'Annual Cash Flow'!M39)</f>
        <v>4048514.1446548081</v>
      </c>
      <c r="N23" s="186">
        <f>IF(N$5="","",0)</f>
        <v>0</v>
      </c>
      <c r="O23" s="186" t="str">
        <f>IF(O$5="","",'Annual Cash Flow'!O39)</f>
        <v/>
      </c>
      <c r="P23" s="186" t="str">
        <f>IF(P$5="","",'Annual Cash Flow'!P39)</f>
        <v/>
      </c>
      <c r="Q23" s="186" t="str">
        <f>IF(Q$5="","",'Annual Cash Flow'!Q39)</f>
        <v/>
      </c>
      <c r="R23" s="186" t="str">
        <f>IF(R$5="","",'Annual Cash Flow'!R39)</f>
        <v/>
      </c>
      <c r="S23" s="186" t="str">
        <f>IF(S$5="","",'Annual Cash Flow'!S39)</f>
        <v/>
      </c>
      <c r="T23" s="186" t="str">
        <f>IF(T$5="","",'Annual Cash Flow'!T39)</f>
        <v/>
      </c>
      <c r="U23" s="186" t="str">
        <f>IF(U$5="","",'Annual Cash Flow'!U39)</f>
        <v/>
      </c>
      <c r="V23" s="186" t="str">
        <f>IF(V$5="","",'Annual Cash Flow'!V39)</f>
        <v/>
      </c>
      <c r="W23" s="186" t="str">
        <f>IF(W$5="","",'Annual Cash Flow'!W39)</f>
        <v/>
      </c>
      <c r="X23" s="186" t="str">
        <f>IF(X$5="","",'Annual Cash Flow'!X39)</f>
        <v/>
      </c>
    </row>
    <row r="24" spans="2:24" x14ac:dyDescent="0.35">
      <c r="B24" s="95"/>
      <c r="C24" s="164"/>
      <c r="D24" s="164"/>
      <c r="E24" s="164"/>
      <c r="F24" s="27"/>
      <c r="G24" s="186"/>
      <c r="H24" s="243"/>
      <c r="I24" s="186"/>
      <c r="J24" s="186"/>
      <c r="K24" s="186"/>
      <c r="L24" s="186"/>
      <c r="M24" s="186"/>
      <c r="N24" s="186"/>
      <c r="O24" s="186"/>
      <c r="P24" s="186"/>
      <c r="Q24" s="186"/>
      <c r="R24" s="186"/>
      <c r="S24" s="186"/>
      <c r="T24" s="186"/>
      <c r="U24" s="186"/>
      <c r="V24" s="186"/>
      <c r="W24" s="186"/>
      <c r="X24" s="186"/>
    </row>
    <row r="25" spans="2:24" x14ac:dyDescent="0.35">
      <c r="B25" s="180" t="s">
        <v>681</v>
      </c>
      <c r="C25" s="164"/>
      <c r="D25" s="164"/>
      <c r="E25" s="164"/>
      <c r="F25" s="164"/>
      <c r="G25" s="186">
        <f>IF(G$5="","",IFERROR(SUMIF('Annual Cash Flow'!$G$46:$EI$46,G$5,'Annual Cash Flow'!$G$83:$EI$83),0)+IFERROR(SUMIF('Annual Cash Flow'!$G$46:$EI$46,G$5,'Annual Cash Flow'!$G$86:$EI$86),0))</f>
        <v>0</v>
      </c>
      <c r="H25" s="186">
        <f>IF(H$5="","",IFERROR(SUMIF('Annual Cash Flow'!$G$46:$EI$46,H$5,'Annual Cash Flow'!$G$83:$EI$83),0)+IFERROR(SUMIF('Annual Cash Flow'!$G$46:$EI$46,H$5,'Annual Cash Flow'!$G$86:$EI$86),0))</f>
        <v>0</v>
      </c>
      <c r="I25" s="186">
        <f>IF(I$5="","",IFERROR(SUMIF('Annual Cash Flow'!$G$46:$EI$46,I$5,'Annual Cash Flow'!$G$83:$EI$83),0)+IFERROR(SUMIF('Annual Cash Flow'!$G$46:$EI$46,I$5,'Annual Cash Flow'!$G$86:$EI$86),0))</f>
        <v>4240280.340307924</v>
      </c>
      <c r="J25" s="186">
        <f>IF(J$5="","",IFERROR(SUMIF('Annual Cash Flow'!$G$46:$EI$46,J$5,'Annual Cash Flow'!$G$83:$EI$83),0)+IFERROR(SUMIF('Annual Cash Flow'!$G$46:$EI$46,J$5,'Annual Cash Flow'!$G$86:$EI$86),0))</f>
        <v>14719658.888164965</v>
      </c>
      <c r="K25" s="186">
        <f>IF(K$5="","",IFERROR(SUMIF('Annual Cash Flow'!$G$46:$EI$46,K$5,'Annual Cash Flow'!$G$83:$EI$83),0)+IFERROR(SUMIF('Annual Cash Flow'!$G$46:$EI$46,K$5,'Annual Cash Flow'!$G$86:$EI$86),0))</f>
        <v>16887197.43247278</v>
      </c>
      <c r="L25" s="186">
        <f>IF(L$5="","",IFERROR(SUMIF('Annual Cash Flow'!$G$46:$EI$46,L$5,'Annual Cash Flow'!$G$83:$EI$83),0)+IFERROR(SUMIF('Annual Cash Flow'!$G$46:$EI$46,L$5,'Annual Cash Flow'!$G$86:$EI$86),0))</f>
        <v>18018164.319658082</v>
      </c>
      <c r="M25" s="186">
        <f>IF(M$5="","",IFERROR(SUMIF('Annual Cash Flow'!$G$46:$EI$46,M$5,'Annual Cash Flow'!$G$83:$EI$83),0)+IFERROR(SUMIF('Annual Cash Flow'!$G$46:$EI$46,M$5,'Annual Cash Flow'!$G$86:$EI$86),0))</f>
        <v>1554903.020988079</v>
      </c>
      <c r="N25" s="186">
        <f>IF(N$5="","",0)</f>
        <v>0</v>
      </c>
      <c r="O25" s="186" t="str">
        <f>IF(O$5="","",IFERROR(SUMIF('Annual Cash Flow'!$G$46:$EI$46,O$5,'Annual Cash Flow'!$G$83:$EI$83),0)+IFERROR(SUMIF('Annual Cash Flow'!$G$46:$EI$46,O$5,'Annual Cash Flow'!$G$86:$EI$86),0))</f>
        <v/>
      </c>
      <c r="P25" s="186" t="str">
        <f>IF(P$5="","",IFERROR(SUMIF('Annual Cash Flow'!$G$46:$EI$46,P$5,'Annual Cash Flow'!$G$83:$EI$83),0)+IFERROR(SUMIF('Annual Cash Flow'!$G$46:$EI$46,P$5,'Annual Cash Flow'!$G$86:$EI$86),0))</f>
        <v/>
      </c>
      <c r="Q25" s="186" t="str">
        <f>IF(Q$5="","",IFERROR(SUMIF('Annual Cash Flow'!$G$46:$EI$46,Q$5,'Annual Cash Flow'!$G$83:$EI$83),0)+IFERROR(SUMIF('Annual Cash Flow'!$G$46:$EI$46,Q$5,'Annual Cash Flow'!$G$86:$EI$86),0))</f>
        <v/>
      </c>
      <c r="R25" s="186" t="str">
        <f>IF(R$5="","",IFERROR(SUMIF('Annual Cash Flow'!$G$46:$EI$46,R$5,'Annual Cash Flow'!$G$83:$EI$83),0)+IFERROR(SUMIF('Annual Cash Flow'!$G$46:$EI$46,R$5,'Annual Cash Flow'!$G$86:$EI$86),0))</f>
        <v/>
      </c>
      <c r="S25" s="186" t="str">
        <f>IF(S$5="","",IFERROR(SUMIF('Annual Cash Flow'!$G$46:$EI$46,S$5,'Annual Cash Flow'!$G$83:$EI$83),0)+IFERROR(SUMIF('Annual Cash Flow'!$G$46:$EI$46,S$5,'Annual Cash Flow'!$G$86:$EI$86),0))</f>
        <v/>
      </c>
      <c r="T25" s="186" t="str">
        <f>IF(T$5="","",IFERROR(SUMIF('Annual Cash Flow'!$G$46:$EI$46,T$5,'Annual Cash Flow'!$G$83:$EI$83),0)+IFERROR(SUMIF('Annual Cash Flow'!$G$46:$EI$46,T$5,'Annual Cash Flow'!$G$86:$EI$86),0))</f>
        <v/>
      </c>
      <c r="U25" s="186" t="str">
        <f>IF(U$5="","",IFERROR(SUMIF('Annual Cash Flow'!$G$46:$EI$46,U$5,'Annual Cash Flow'!$G$83:$EI$83),0)+IFERROR(SUMIF('Annual Cash Flow'!$G$46:$EI$46,U$5,'Annual Cash Flow'!$G$86:$EI$86),0))</f>
        <v/>
      </c>
      <c r="V25" s="186" t="str">
        <f>IF(V$5="","",IFERROR(SUMIF('Annual Cash Flow'!$G$46:$EI$46,V$5,'Annual Cash Flow'!$G$83:$EI$83),0)+IFERROR(SUMIF('Annual Cash Flow'!$G$46:$EI$46,V$5,'Annual Cash Flow'!$G$86:$EI$86),0))</f>
        <v/>
      </c>
      <c r="W25" s="186" t="str">
        <f>IF(W$5="","",IFERROR(SUMIF('Annual Cash Flow'!$G$46:$EI$46,W$5,'Annual Cash Flow'!$G$83:$EI$83),0)+IFERROR(SUMIF('Annual Cash Flow'!$G$46:$EI$46,W$5,'Annual Cash Flow'!$G$86:$EI$86),0))</f>
        <v/>
      </c>
      <c r="X25" s="186" t="str">
        <f>IF(X$5="","",IFERROR(SUMIF('Annual Cash Flow'!$G$46:$EI$46,X$5,'Annual Cash Flow'!$G$83:$EI$83),0)+IFERROR(SUMIF('Annual Cash Flow'!$G$46:$EI$46,X$5,'Annual Cash Flow'!$G$86:$EI$86),0))</f>
        <v/>
      </c>
    </row>
    <row r="26" spans="2:24" x14ac:dyDescent="0.35">
      <c r="B26" s="95" t="s">
        <v>682</v>
      </c>
      <c r="C26" s="164"/>
      <c r="D26" s="164"/>
      <c r="E26" s="164"/>
      <c r="F26" s="164"/>
      <c r="G26" s="186">
        <f>IF(G$5="","",G23-G25)</f>
        <v>0</v>
      </c>
      <c r="H26" s="186">
        <f>IF(H$5="","",H23-H25)</f>
        <v>0</v>
      </c>
      <c r="I26" s="186">
        <f>IF(I$5="","",I23-I25)</f>
        <v>-2090280.340307924</v>
      </c>
      <c r="J26" s="186">
        <f>IF(J$5="","",J23-J25)</f>
        <v>-904408.8881649673</v>
      </c>
      <c r="K26" s="186">
        <f>IF(K$5="","",K23-K25)</f>
        <v>12975436.458110891</v>
      </c>
      <c r="L26" s="186">
        <f>IF(L$5="","",N(L23)-N(L25))</f>
        <v>29393446.6526726</v>
      </c>
      <c r="M26" s="186">
        <f t="shared" ref="M26:X26" si="2">IF(M$5="","",N(M23)-N(M25))</f>
        <v>2493611.1236667288</v>
      </c>
      <c r="N26" s="186">
        <f t="shared" si="2"/>
        <v>0</v>
      </c>
      <c r="O26" s="186" t="str">
        <f t="shared" si="2"/>
        <v/>
      </c>
      <c r="P26" s="186" t="str">
        <f t="shared" si="2"/>
        <v/>
      </c>
      <c r="Q26" s="186" t="str">
        <f t="shared" si="2"/>
        <v/>
      </c>
      <c r="R26" s="186" t="str">
        <f t="shared" si="2"/>
        <v/>
      </c>
      <c r="S26" s="186" t="str">
        <f t="shared" si="2"/>
        <v/>
      </c>
      <c r="T26" s="186" t="str">
        <f t="shared" si="2"/>
        <v/>
      </c>
      <c r="U26" s="186" t="str">
        <f t="shared" si="2"/>
        <v/>
      </c>
      <c r="V26" s="186" t="str">
        <f t="shared" si="2"/>
        <v/>
      </c>
      <c r="W26" s="186" t="str">
        <f t="shared" si="2"/>
        <v/>
      </c>
      <c r="X26" s="186" t="str">
        <f t="shared" si="2"/>
        <v/>
      </c>
    </row>
    <row r="27" spans="2:24" x14ac:dyDescent="0.35">
      <c r="B27" s="180" t="s">
        <v>683</v>
      </c>
      <c r="C27" s="164"/>
      <c r="D27" s="164"/>
      <c r="E27" s="164"/>
      <c r="F27" s="164"/>
      <c r="G27" s="186">
        <f t="shared" ref="G27:M27" si="3">IF(G$5="","",IF(G66=0,0,G66-(N(F34)-G65-G68)))</f>
        <v>0</v>
      </c>
      <c r="H27" s="186">
        <f t="shared" si="3"/>
        <v>0</v>
      </c>
      <c r="I27" s="186">
        <f t="shared" si="3"/>
        <v>0</v>
      </c>
      <c r="J27" s="186">
        <f t="shared" si="3"/>
        <v>0</v>
      </c>
      <c r="K27" s="186">
        <f t="shared" si="3"/>
        <v>0</v>
      </c>
      <c r="L27" s="186">
        <f t="shared" si="3"/>
        <v>0</v>
      </c>
      <c r="M27" s="186">
        <f t="shared" si="3"/>
        <v>259078416.7686283</v>
      </c>
      <c r="N27" s="186">
        <f t="shared" ref="N27:X27" si="4">IF(N$5="","",IF(N66=0,0,N66-(N(M34)-N65-N68)))</f>
        <v>0</v>
      </c>
      <c r="O27" s="186" t="str">
        <f t="shared" si="4"/>
        <v/>
      </c>
      <c r="P27" s="186" t="str">
        <f t="shared" si="4"/>
        <v/>
      </c>
      <c r="Q27" s="186" t="str">
        <f t="shared" si="4"/>
        <v/>
      </c>
      <c r="R27" s="186" t="str">
        <f t="shared" si="4"/>
        <v/>
      </c>
      <c r="S27" s="186" t="str">
        <f t="shared" si="4"/>
        <v/>
      </c>
      <c r="T27" s="186" t="str">
        <f t="shared" si="4"/>
        <v/>
      </c>
      <c r="U27" s="186" t="str">
        <f t="shared" si="4"/>
        <v/>
      </c>
      <c r="V27" s="186" t="str">
        <f t="shared" si="4"/>
        <v/>
      </c>
      <c r="W27" s="186" t="str">
        <f t="shared" si="4"/>
        <v/>
      </c>
      <c r="X27" s="186" t="str">
        <f t="shared" si="4"/>
        <v/>
      </c>
    </row>
    <row r="28" spans="2:24" x14ac:dyDescent="0.35">
      <c r="B28" s="95" t="s">
        <v>684</v>
      </c>
      <c r="C28" s="164"/>
      <c r="D28" s="164"/>
      <c r="E28" s="164"/>
      <c r="F28" s="164"/>
      <c r="G28" s="186">
        <f t="shared" ref="G28:L28" si="5">IF(G$5="","",G26+G27)</f>
        <v>0</v>
      </c>
      <c r="H28" s="186">
        <f t="shared" si="5"/>
        <v>0</v>
      </c>
      <c r="I28" s="186">
        <f t="shared" si="5"/>
        <v>-2090280.340307924</v>
      </c>
      <c r="J28" s="186">
        <f t="shared" si="5"/>
        <v>-904408.8881649673</v>
      </c>
      <c r="K28" s="186">
        <f t="shared" si="5"/>
        <v>12975436.458110891</v>
      </c>
      <c r="L28" s="186">
        <f t="shared" si="5"/>
        <v>29393446.6526726</v>
      </c>
      <c r="M28" s="186">
        <f t="shared" ref="M28:X28" si="6">IF(M$5="","",M26+M27)</f>
        <v>261572027.89229503</v>
      </c>
      <c r="N28" s="186">
        <f t="shared" si="6"/>
        <v>0</v>
      </c>
      <c r="O28" s="186" t="str">
        <f t="shared" si="6"/>
        <v/>
      </c>
      <c r="P28" s="186" t="str">
        <f t="shared" si="6"/>
        <v/>
      </c>
      <c r="Q28" s="186" t="str">
        <f t="shared" si="6"/>
        <v/>
      </c>
      <c r="R28" s="186" t="str">
        <f t="shared" si="6"/>
        <v/>
      </c>
      <c r="S28" s="186" t="str">
        <f t="shared" si="6"/>
        <v/>
      </c>
      <c r="T28" s="186" t="str">
        <f t="shared" si="6"/>
        <v/>
      </c>
      <c r="U28" s="186" t="str">
        <f t="shared" si="6"/>
        <v/>
      </c>
      <c r="V28" s="186" t="str">
        <f t="shared" si="6"/>
        <v/>
      </c>
      <c r="W28" s="186" t="str">
        <f t="shared" si="6"/>
        <v/>
      </c>
      <c r="X28" s="186" t="str">
        <f t="shared" si="6"/>
        <v/>
      </c>
    </row>
    <row r="29" spans="2:24" ht="14.5" customHeight="1" x14ac:dyDescent="0.35">
      <c r="B29" s="755" t="s">
        <v>685</v>
      </c>
      <c r="C29" s="756"/>
      <c r="D29" s="756"/>
      <c r="E29" s="756"/>
      <c r="F29" s="756"/>
      <c r="G29" s="761">
        <f>IF(G$5="","",-SUMIFS(DEBT!$F$193:$DV$193,DEBT!$F$64:$DV$64,"&gt;"&amp;EOMONTH(G$6,-12),DEBT!$F$64:$DV$64,"&lt;="&amp;G$6))</f>
        <v>0</v>
      </c>
      <c r="H29" s="761">
        <f>IF(H$5="","",-SUMIFS(DEBT!$F$193:$DV$193,DEBT!$F$64:$DV$64,"&gt;"&amp;EOMONTH(H$6,-12),DEBT!$F$64:$DV$64,"&lt;="&amp;H$6))</f>
        <v>0</v>
      </c>
      <c r="I29" s="761">
        <f>IF(I$5="","",-SUMIFS(DEBT!$F$193:$DV$193,DEBT!$F$64:$DV$64,"&gt;"&amp;EOMONTH(I$6,-12),DEBT!$F$64:$DV$64,"&lt;="&amp;I$6))</f>
        <v>0</v>
      </c>
      <c r="J29" s="761">
        <f>IF(J$5="","",-SUMIFS(DEBT!$F$193:$DV$193,DEBT!$F$64:$DV$64,"&gt;"&amp;EOMONTH(J$6,-12),DEBT!$F$64:$DV$64,"&lt;="&amp;J$6))</f>
        <v>0</v>
      </c>
      <c r="K29" s="761">
        <f>IF(K$5="","",-SUMIFS(DEBT!$F$193:$DV$193,DEBT!$F$64:$DV$64,"&gt;"&amp;EOMONTH(K$6,-12),DEBT!$F$64:$DV$64,"&lt;="&amp;K$6))</f>
        <v>0</v>
      </c>
      <c r="L29" s="761">
        <f>IF(L$5="","",-SUMIFS(DEBT!$F$193:$DV$193,DEBT!$F$64:$DV$64,"&gt;"&amp;EOMONTH(L$6,-12),DEBT!$F$64:$DV$64,"&lt;="&amp;L$6))</f>
        <v>0</v>
      </c>
      <c r="M29" s="761">
        <f>IF(M$5="","",-SUMIFS(DEBT!$F$193:$DV$193,DEBT!$F$64:$DV$64,"&gt;"&amp;EOMONTH(M$6,-12),DEBT!$F$64:$DV$64,"&lt;="&amp;M$6))</f>
        <v>0</v>
      </c>
      <c r="N29" s="761">
        <f>IF(N$5="","",-SUMIFS(DEBT!$F$193:$DV$193,DEBT!$F$64:$DV$64,"&gt;"&amp;EOMONTH(N$6,-12),DEBT!$F$64:$DV$64,"&lt;="&amp;N$6))</f>
        <v>0</v>
      </c>
      <c r="O29" s="761" t="str">
        <f>IF(O$5="","",-SUMIFS(DEBT!$F$193:$DV$193,DEBT!$F$64:$DV$64,"&gt;"&amp;EOMONTH(O$6,-12),DEBT!$F$64:$DV$64,"&lt;="&amp;O$6))</f>
        <v/>
      </c>
      <c r="P29" s="761" t="str">
        <f>IF(P$5="","",-SUMIFS(DEBT!$F$193:$DV$193,DEBT!$F$64:$DV$64,"&gt;"&amp;EOMONTH(P$6,-12),DEBT!$F$64:$DV$64,"&lt;="&amp;P$6))</f>
        <v/>
      </c>
      <c r="Q29" s="761" t="str">
        <f>IF(Q$5="","",-SUMIFS(DEBT!$F$193:$DV$193,DEBT!$F$64:$DV$64,"&gt;"&amp;EOMONTH(Q$6,-12),DEBT!$F$64:$DV$64,"&lt;="&amp;Q$6))</f>
        <v/>
      </c>
      <c r="R29" s="761" t="str">
        <f>IF(R$5="","",-SUMIFS(DEBT!$F$193:$DV$193,DEBT!$F$64:$DV$64,"&gt;"&amp;EOMONTH(R$6,-12),DEBT!$F$64:$DV$64,"&lt;="&amp;R$6))</f>
        <v/>
      </c>
      <c r="S29" s="761" t="str">
        <f>IF(S$5="","",-SUMIFS(DEBT!$F$193:$DV$193,DEBT!$F$64:$DV$64,"&gt;"&amp;EOMONTH(S$6,-12),DEBT!$F$64:$DV$64,"&lt;="&amp;S$6))</f>
        <v/>
      </c>
      <c r="T29" s="761" t="str">
        <f>IF(T$5="","",-SUMIFS(DEBT!$F$193:$DV$193,DEBT!$F$64:$DV$64,"&gt;"&amp;EOMONTH(T$6,-12),DEBT!$F$64:$DV$64,"&lt;="&amp;T$6))</f>
        <v/>
      </c>
      <c r="U29" s="761" t="str">
        <f>IF(U$5="","",-SUMIFS(DEBT!$F$193:$DV$193,DEBT!$F$64:$DV$64,"&gt;"&amp;EOMONTH(U$6,-12),DEBT!$F$64:$DV$64,"&lt;="&amp;U$6))</f>
        <v/>
      </c>
      <c r="V29" s="761" t="str">
        <f>IF(V$5="","",-SUMIFS(DEBT!$F$193:$DV$193,DEBT!$F$64:$DV$64,"&gt;"&amp;EOMONTH(V$6,-12),DEBT!$F$64:$DV$64,"&lt;="&amp;V$6))</f>
        <v/>
      </c>
      <c r="W29" s="761" t="str">
        <f>IF(W$5="","",-SUMIFS(DEBT!$F$193:$DV$193,DEBT!$F$64:$DV$64,"&gt;"&amp;EOMONTH(W$6,-12),DEBT!$F$64:$DV$64,"&lt;="&amp;W$6))</f>
        <v/>
      </c>
      <c r="X29" s="761" t="str">
        <f>IF(X$5="","",-SUMIFS(DEBT!$F$193:$DV$193,DEBT!$F$64:$DV$64,"&gt;"&amp;EOMONTH(X$6,-12),DEBT!$F$64:$DV$64,"&lt;="&amp;X$6))</f>
        <v/>
      </c>
    </row>
    <row r="30" spans="2:24" x14ac:dyDescent="0.35">
      <c r="B30" s="758" t="s">
        <v>686</v>
      </c>
      <c r="C30" s="759"/>
      <c r="D30" s="759"/>
      <c r="E30" s="759"/>
      <c r="F30" s="759"/>
      <c r="G30" s="762">
        <f t="shared" ref="G30:X30" si="7">IF(G$5="","",G28+G29)</f>
        <v>0</v>
      </c>
      <c r="H30" s="762">
        <f t="shared" si="7"/>
        <v>0</v>
      </c>
      <c r="I30" s="762">
        <f t="shared" si="7"/>
        <v>-2090280.340307924</v>
      </c>
      <c r="J30" s="762">
        <f t="shared" si="7"/>
        <v>-904408.8881649673</v>
      </c>
      <c r="K30" s="762">
        <f t="shared" si="7"/>
        <v>12975436.458110891</v>
      </c>
      <c r="L30" s="762">
        <f t="shared" si="7"/>
        <v>29393446.6526726</v>
      </c>
      <c r="M30" s="762">
        <f t="shared" si="7"/>
        <v>261572027.89229503</v>
      </c>
      <c r="N30" s="762">
        <f t="shared" si="7"/>
        <v>0</v>
      </c>
      <c r="O30" s="762" t="str">
        <f t="shared" si="7"/>
        <v/>
      </c>
      <c r="P30" s="762" t="str">
        <f t="shared" si="7"/>
        <v/>
      </c>
      <c r="Q30" s="762" t="str">
        <f t="shared" si="7"/>
        <v/>
      </c>
      <c r="R30" s="762" t="str">
        <f t="shared" si="7"/>
        <v/>
      </c>
      <c r="S30" s="762" t="str">
        <f t="shared" si="7"/>
        <v/>
      </c>
      <c r="T30" s="762" t="str">
        <f t="shared" si="7"/>
        <v/>
      </c>
      <c r="U30" s="762" t="str">
        <f t="shared" si="7"/>
        <v/>
      </c>
      <c r="V30" s="762" t="str">
        <f t="shared" si="7"/>
        <v/>
      </c>
      <c r="W30" s="762" t="str">
        <f t="shared" si="7"/>
        <v/>
      </c>
      <c r="X30" s="762" t="str">
        <f t="shared" si="7"/>
        <v/>
      </c>
    </row>
    <row r="31" spans="2:24" x14ac:dyDescent="0.35">
      <c r="B31" s="114" t="s">
        <v>687</v>
      </c>
      <c r="C31" s="164"/>
      <c r="D31" s="164"/>
      <c r="E31" s="164"/>
      <c r="F31" s="27"/>
      <c r="G31" s="763"/>
      <c r="H31" s="763"/>
      <c r="I31" s="763"/>
      <c r="J31" s="763"/>
      <c r="K31" s="763"/>
      <c r="L31" s="763"/>
      <c r="M31" s="763"/>
      <c r="N31" s="763"/>
      <c r="O31" s="763"/>
      <c r="P31" s="763"/>
      <c r="Q31" s="763"/>
      <c r="R31" s="763"/>
      <c r="S31" s="763"/>
      <c r="T31" s="763"/>
      <c r="U31" s="763"/>
      <c r="V31" s="763"/>
      <c r="W31" s="763"/>
      <c r="X31" s="763"/>
    </row>
    <row r="32" spans="2:24" x14ac:dyDescent="0.35">
      <c r="B32" s="95" t="s">
        <v>688</v>
      </c>
      <c r="C32" s="164"/>
      <c r="D32" s="164"/>
      <c r="E32" s="164"/>
      <c r="F32" s="27"/>
      <c r="G32" s="763"/>
      <c r="H32" s="764"/>
      <c r="I32" s="763"/>
      <c r="J32" s="763"/>
      <c r="K32" s="763"/>
      <c r="L32" s="763"/>
      <c r="M32" s="763"/>
      <c r="N32" s="763"/>
      <c r="O32" s="763"/>
      <c r="P32" s="763"/>
      <c r="Q32" s="763"/>
      <c r="R32" s="763"/>
      <c r="S32" s="763"/>
      <c r="T32" s="763"/>
      <c r="U32" s="763"/>
      <c r="V32" s="763"/>
      <c r="W32" s="763"/>
      <c r="X32" s="763"/>
    </row>
    <row r="33" spans="2:24" x14ac:dyDescent="0.35">
      <c r="B33" s="180" t="s">
        <v>689</v>
      </c>
      <c r="C33" s="164"/>
      <c r="D33" s="164"/>
      <c r="E33" s="164"/>
      <c r="F33" s="164"/>
      <c r="G33" s="763">
        <f t="shared" ref="G33:L33" si="8">IF(G$5="","",G81)</f>
        <v>0</v>
      </c>
      <c r="H33" s="763">
        <f t="shared" si="8"/>
        <v>0</v>
      </c>
      <c r="I33" s="763">
        <f t="shared" si="8"/>
        <v>0</v>
      </c>
      <c r="J33" s="763">
        <f t="shared" si="8"/>
        <v>0</v>
      </c>
      <c r="K33" s="763">
        <f t="shared" si="8"/>
        <v>0</v>
      </c>
      <c r="L33" s="763">
        <f t="shared" si="8"/>
        <v>0</v>
      </c>
      <c r="M33" s="763">
        <f t="shared" ref="M33:X33" si="9">IF(M$5="","",M81)</f>
        <v>475216604.81206298</v>
      </c>
      <c r="N33" s="763">
        <f t="shared" si="9"/>
        <v>0</v>
      </c>
      <c r="O33" s="763" t="str">
        <f t="shared" si="9"/>
        <v/>
      </c>
      <c r="P33" s="763" t="str">
        <f t="shared" si="9"/>
        <v/>
      </c>
      <c r="Q33" s="763" t="str">
        <f t="shared" si="9"/>
        <v/>
      </c>
      <c r="R33" s="763" t="str">
        <f t="shared" si="9"/>
        <v/>
      </c>
      <c r="S33" s="763" t="str">
        <f t="shared" si="9"/>
        <v/>
      </c>
      <c r="T33" s="763" t="str">
        <f t="shared" si="9"/>
        <v/>
      </c>
      <c r="U33" s="763" t="str">
        <f t="shared" si="9"/>
        <v/>
      </c>
      <c r="V33" s="763" t="str">
        <f t="shared" si="9"/>
        <v/>
      </c>
      <c r="W33" s="763" t="str">
        <f t="shared" si="9"/>
        <v/>
      </c>
      <c r="X33" s="763" t="str">
        <f t="shared" si="9"/>
        <v/>
      </c>
    </row>
    <row r="34" spans="2:24" x14ac:dyDescent="0.35">
      <c r="B34" s="180" t="s">
        <v>690</v>
      </c>
      <c r="C34" s="164"/>
      <c r="D34" s="164"/>
      <c r="E34" s="164"/>
      <c r="F34" s="164"/>
      <c r="G34" s="763">
        <f t="shared" ref="G34:X34" si="10">IF(G$5="","",MAX(0,F34-G65-G68-IF(G66&lt;&gt;0,F34-G65-G68,0)))</f>
        <v>100459131.21831875</v>
      </c>
      <c r="H34" s="763">
        <f t="shared" si="10"/>
        <v>162857050.90890622</v>
      </c>
      <c r="I34" s="763">
        <f t="shared" si="10"/>
        <v>397084570.5074445</v>
      </c>
      <c r="J34" s="763">
        <f t="shared" si="10"/>
        <v>448983014.55773449</v>
      </c>
      <c r="K34" s="763">
        <f t="shared" si="10"/>
        <v>448856635.16148156</v>
      </c>
      <c r="L34" s="763">
        <f t="shared" si="10"/>
        <v>448856635.16148156</v>
      </c>
      <c r="M34" s="763">
        <f t="shared" si="10"/>
        <v>0</v>
      </c>
      <c r="N34" s="763">
        <f t="shared" si="10"/>
        <v>0</v>
      </c>
      <c r="O34" s="763" t="str">
        <f t="shared" si="10"/>
        <v/>
      </c>
      <c r="P34" s="763" t="str">
        <f t="shared" si="10"/>
        <v/>
      </c>
      <c r="Q34" s="763" t="str">
        <f t="shared" si="10"/>
        <v/>
      </c>
      <c r="R34" s="763" t="str">
        <f t="shared" si="10"/>
        <v/>
      </c>
      <c r="S34" s="763" t="str">
        <f t="shared" si="10"/>
        <v/>
      </c>
      <c r="T34" s="763" t="str">
        <f t="shared" si="10"/>
        <v/>
      </c>
      <c r="U34" s="763" t="str">
        <f t="shared" si="10"/>
        <v/>
      </c>
      <c r="V34" s="763" t="str">
        <f t="shared" si="10"/>
        <v/>
      </c>
      <c r="W34" s="763" t="str">
        <f t="shared" si="10"/>
        <v/>
      </c>
      <c r="X34" s="763" t="str">
        <f t="shared" si="10"/>
        <v/>
      </c>
    </row>
    <row r="35" spans="2:24" x14ac:dyDescent="0.35">
      <c r="B35" s="95" t="s">
        <v>691</v>
      </c>
      <c r="C35" s="164"/>
      <c r="D35" s="164"/>
      <c r="E35" s="164"/>
      <c r="F35" s="164"/>
      <c r="G35" s="763">
        <f t="shared" ref="G35:L35" si="11">IF(G$5="","",SUM(G33:G34))</f>
        <v>100459131.21831875</v>
      </c>
      <c r="H35" s="763">
        <f t="shared" si="11"/>
        <v>162857050.90890622</v>
      </c>
      <c r="I35" s="763">
        <f t="shared" si="11"/>
        <v>397084570.5074445</v>
      </c>
      <c r="J35" s="763">
        <f t="shared" si="11"/>
        <v>448983014.55773449</v>
      </c>
      <c r="K35" s="763">
        <f t="shared" si="11"/>
        <v>448856635.16148156</v>
      </c>
      <c r="L35" s="763">
        <f t="shared" si="11"/>
        <v>448856635.16148156</v>
      </c>
      <c r="M35" s="763">
        <f t="shared" ref="M35:X35" si="12">IF(M$5="","",SUM(M33:M34))</f>
        <v>475216604.81206298</v>
      </c>
      <c r="N35" s="763">
        <f t="shared" si="12"/>
        <v>0</v>
      </c>
      <c r="O35" s="763" t="str">
        <f t="shared" si="12"/>
        <v/>
      </c>
      <c r="P35" s="763" t="str">
        <f t="shared" si="12"/>
        <v/>
      </c>
      <c r="Q35" s="763" t="str">
        <f t="shared" si="12"/>
        <v/>
      </c>
      <c r="R35" s="763" t="str">
        <f t="shared" si="12"/>
        <v/>
      </c>
      <c r="S35" s="763" t="str">
        <f t="shared" si="12"/>
        <v/>
      </c>
      <c r="T35" s="763" t="str">
        <f t="shared" si="12"/>
        <v/>
      </c>
      <c r="U35" s="763" t="str">
        <f t="shared" si="12"/>
        <v/>
      </c>
      <c r="V35" s="763" t="str">
        <f t="shared" si="12"/>
        <v/>
      </c>
      <c r="W35" s="763" t="str">
        <f t="shared" si="12"/>
        <v/>
      </c>
      <c r="X35" s="763" t="str">
        <f t="shared" si="12"/>
        <v/>
      </c>
    </row>
    <row r="36" spans="2:24" x14ac:dyDescent="0.35">
      <c r="B36" s="95"/>
      <c r="C36" s="164"/>
      <c r="D36" s="164"/>
      <c r="E36" s="164"/>
      <c r="F36" s="27"/>
      <c r="G36" s="763"/>
      <c r="H36" s="764"/>
      <c r="I36" s="763"/>
      <c r="J36" s="763"/>
      <c r="K36" s="763"/>
      <c r="L36" s="763"/>
      <c r="M36" s="763"/>
      <c r="N36" s="763"/>
      <c r="O36" s="763"/>
      <c r="P36" s="763"/>
      <c r="Q36" s="763"/>
      <c r="R36" s="763"/>
      <c r="S36" s="763"/>
      <c r="T36" s="763"/>
      <c r="U36" s="763"/>
      <c r="V36" s="763"/>
      <c r="W36" s="763"/>
      <c r="X36" s="763"/>
    </row>
    <row r="37" spans="2:24" x14ac:dyDescent="0.35">
      <c r="B37" s="114" t="s">
        <v>692</v>
      </c>
      <c r="C37" s="164"/>
      <c r="D37" s="164"/>
      <c r="E37" s="164"/>
      <c r="F37" s="27"/>
      <c r="G37" s="763"/>
      <c r="H37" s="763"/>
      <c r="I37" s="763"/>
      <c r="J37" s="763"/>
      <c r="K37" s="763"/>
      <c r="L37" s="763"/>
      <c r="M37" s="763"/>
      <c r="N37" s="763"/>
      <c r="O37" s="763"/>
      <c r="P37" s="763"/>
      <c r="Q37" s="763"/>
      <c r="R37" s="763"/>
      <c r="S37" s="763"/>
      <c r="T37" s="763"/>
      <c r="U37" s="763"/>
      <c r="V37" s="763"/>
      <c r="W37" s="763"/>
      <c r="X37" s="763"/>
    </row>
    <row r="38" spans="2:24" x14ac:dyDescent="0.35">
      <c r="B38" s="180" t="s">
        <v>693</v>
      </c>
      <c r="C38" s="164"/>
      <c r="D38" s="164"/>
      <c r="E38" s="164"/>
      <c r="F38" s="164"/>
      <c r="G38" s="763">
        <f>IF(G$5="","",SUMIFS(DEBT!$F$92:$DV$92,DEBT!$F$64:$DV$64,G$6)+SUMIFS(DEBT!$F$110:$DV$110,DEBT!$F$64:$DV$64,G$6)+SUMIFS(DEBT!$F$128:$DV$128,DEBT!$F$64:$DV$64,G$6))</f>
        <v>16728131.21831876</v>
      </c>
      <c r="H38" s="763">
        <f>IF(H$5="","",SUMIFS(DEBT!$F$92:$DV$92,DEBT!$F$64:$DV$64,H$6)+SUMIFS(DEBT!$F$110:$DV$110,DEBT!$F$64:$DV$64,H$6)+SUMIFS(DEBT!$F$128:$DV$128,DEBT!$F$64:$DV$64,H$6))</f>
        <v>80002654.91627194</v>
      </c>
      <c r="I38" s="763">
        <f>IF(I$5="","",SUMIFS(DEBT!$F$92:$DV$92,DEBT!$F$64:$DV$64,I$6)+SUMIFS(DEBT!$F$110:$DV$110,DEBT!$F$64:$DV$64,I$6)+SUMIFS(DEBT!$F$128:$DV$128,DEBT!$F$64:$DV$64,I$6))</f>
        <v>203432077.88075516</v>
      </c>
      <c r="J38" s="763">
        <f>IF(J$5="","",SUMIFS(DEBT!$F$92:$DV$92,DEBT!$F$64:$DV$64,J$6)+SUMIFS(DEBT!$F$110:$DV$110,DEBT!$F$64:$DV$64,J$6)+SUMIFS(DEBT!$F$128:$DV$128,DEBT!$F$64:$DV$64,J$6))</f>
        <v>224964363.88090926</v>
      </c>
      <c r="K38" s="763">
        <f>IF(K$5="","",SUMIFS(DEBT!$F$92:$DV$92,DEBT!$F$64:$DV$64,K$6)+SUMIFS(DEBT!$F$110:$DV$110,DEBT!$F$64:$DV$64,K$6)+SUMIFS(DEBT!$F$128:$DV$128,DEBT!$F$64:$DV$64,K$6))</f>
        <v>224265496.21103358</v>
      </c>
      <c r="L38" s="763">
        <f>IF(L$5="","",SUMIFS(DEBT!$F$92:$DV$92,DEBT!$F$64:$DV$64,L$6)+SUMIFS(DEBT!$F$110:$DV$110,DEBT!$F$64:$DV$64,L$6)+SUMIFS(DEBT!$F$128:$DV$128,DEBT!$F$64:$DV$64,L$6))</f>
        <v>211308756.6116963</v>
      </c>
      <c r="M38" s="763">
        <f>IF(M$5="","",SUMIFS(DEBT!$F$92:$DV$92,DEBT!$F$64:$DV$64,M$6)+SUMIFS(DEBT!$F$110:$DV$110,DEBT!$F$64:$DV$64,M$6)+SUMIFS(DEBT!$F$128:$DV$128,DEBT!$F$64:$DV$64,M$6))</f>
        <v>0</v>
      </c>
      <c r="N38" s="763">
        <f>IF(N$5="","",SUMIFS(DEBT!$F$92:$DV$92,DEBT!$F$64:$DV$64,N$6)+SUMIFS(DEBT!$F$110:$DV$110,DEBT!$F$64:$DV$64,N$6)+SUMIFS(DEBT!$F$128:$DV$128,DEBT!$F$64:$DV$64,N$6))</f>
        <v>0</v>
      </c>
      <c r="O38" s="763" t="str">
        <f>IF(O$5="","",SUMIFS(DEBT!$F$92:$DV$92,DEBT!$F$64:$DV$64,O$6)+SUMIFS(DEBT!$F$110:$DV$110,DEBT!$F$64:$DV$64,O$6)+SUMIFS(DEBT!$F$128:$DV$128,DEBT!$F$64:$DV$64,O$6))</f>
        <v/>
      </c>
      <c r="P38" s="763" t="str">
        <f>IF(P$5="","",SUMIFS(DEBT!$F$92:$DV$92,DEBT!$F$64:$DV$64,P$6)+SUMIFS(DEBT!$F$110:$DV$110,DEBT!$F$64:$DV$64,P$6)+SUMIFS(DEBT!$F$128:$DV$128,DEBT!$F$64:$DV$64,P$6))</f>
        <v/>
      </c>
      <c r="Q38" s="763" t="str">
        <f>IF(Q$5="","",SUMIFS(DEBT!$F$92:$DV$92,DEBT!$F$64:$DV$64,Q$6)+SUMIFS(DEBT!$F$110:$DV$110,DEBT!$F$64:$DV$64,Q$6)+SUMIFS(DEBT!$F$128:$DV$128,DEBT!$F$64:$DV$64,Q$6))</f>
        <v/>
      </c>
      <c r="R38" s="763" t="str">
        <f>IF(R$5="","",SUMIFS(DEBT!$F$92:$DV$92,DEBT!$F$64:$DV$64,R$6)+SUMIFS(DEBT!$F$110:$DV$110,DEBT!$F$64:$DV$64,R$6)+SUMIFS(DEBT!$F$128:$DV$128,DEBT!$F$64:$DV$64,R$6))</f>
        <v/>
      </c>
      <c r="S38" s="763" t="str">
        <f>IF(S$5="","",SUMIFS(DEBT!$F$92:$DV$92,DEBT!$F$64:$DV$64,S$6)+SUMIFS(DEBT!$F$110:$DV$110,DEBT!$F$64:$DV$64,S$6)+SUMIFS(DEBT!$F$128:$DV$128,DEBT!$F$64:$DV$64,S$6))</f>
        <v/>
      </c>
      <c r="T38" s="763" t="str">
        <f>IF(T$5="","",SUMIFS(DEBT!$F$92:$DV$92,DEBT!$F$64:$DV$64,T$6)+SUMIFS(DEBT!$F$110:$DV$110,DEBT!$F$64:$DV$64,T$6)+SUMIFS(DEBT!$F$128:$DV$128,DEBT!$F$64:$DV$64,T$6))</f>
        <v/>
      </c>
      <c r="U38" s="763" t="str">
        <f>IF(U$5="","",SUMIFS(DEBT!$F$92:$DV$92,DEBT!$F$64:$DV$64,U$6)+SUMIFS(DEBT!$F$110:$DV$110,DEBT!$F$64:$DV$64,U$6)+SUMIFS(DEBT!$F$128:$DV$128,DEBT!$F$64:$DV$64,U$6))</f>
        <v/>
      </c>
      <c r="V38" s="763" t="str">
        <f>IF(V$5="","",SUMIFS(DEBT!$F$92:$DV$92,DEBT!$F$64:$DV$64,V$6)+SUMIFS(DEBT!$F$110:$DV$110,DEBT!$F$64:$DV$64,V$6)+SUMIFS(DEBT!$F$128:$DV$128,DEBT!$F$64:$DV$64,V$6))</f>
        <v/>
      </c>
      <c r="W38" s="763" t="str">
        <f>IF(W$5="","",SUMIFS(DEBT!$F$92:$DV$92,DEBT!$F$64:$DV$64,W$6)+SUMIFS(DEBT!$F$110:$DV$110,DEBT!$F$64:$DV$64,W$6)+SUMIFS(DEBT!$F$128:$DV$128,DEBT!$F$64:$DV$64,W$6))</f>
        <v/>
      </c>
      <c r="X38" s="763" t="str">
        <f>IF(X$5="","",SUMIFS(DEBT!$F$92:$DV$92,DEBT!$F$64:$DV$64,X$6)+SUMIFS(DEBT!$F$110:$DV$110,DEBT!$F$64:$DV$64,X$6)+SUMIFS(DEBT!$F$128:$DV$128,DEBT!$F$64:$DV$64,X$6))</f>
        <v/>
      </c>
    </row>
    <row r="39" spans="2:24" x14ac:dyDescent="0.35">
      <c r="B39" s="95" t="s">
        <v>694</v>
      </c>
      <c r="C39" s="164"/>
      <c r="D39" s="164"/>
      <c r="E39" s="164"/>
      <c r="F39" s="164"/>
      <c r="G39" s="763">
        <f t="shared" ref="G39:L39" si="13">IF(G$5="","",G38)</f>
        <v>16728131.21831876</v>
      </c>
      <c r="H39" s="763">
        <f t="shared" si="13"/>
        <v>80002654.91627194</v>
      </c>
      <c r="I39" s="763">
        <f t="shared" si="13"/>
        <v>203432077.88075516</v>
      </c>
      <c r="J39" s="763">
        <f t="shared" si="13"/>
        <v>224964363.88090926</v>
      </c>
      <c r="K39" s="763">
        <f t="shared" si="13"/>
        <v>224265496.21103358</v>
      </c>
      <c r="L39" s="763">
        <f t="shared" si="13"/>
        <v>211308756.6116963</v>
      </c>
      <c r="M39" s="763">
        <f t="shared" ref="M39:X39" si="14">IF(M$5="","",M38)</f>
        <v>0</v>
      </c>
      <c r="N39" s="763">
        <f t="shared" si="14"/>
        <v>0</v>
      </c>
      <c r="O39" s="763" t="str">
        <f t="shared" si="14"/>
        <v/>
      </c>
      <c r="P39" s="763" t="str">
        <f t="shared" si="14"/>
        <v/>
      </c>
      <c r="Q39" s="763" t="str">
        <f t="shared" si="14"/>
        <v/>
      </c>
      <c r="R39" s="763" t="str">
        <f t="shared" si="14"/>
        <v/>
      </c>
      <c r="S39" s="763" t="str">
        <f t="shared" si="14"/>
        <v/>
      </c>
      <c r="T39" s="763" t="str">
        <f t="shared" si="14"/>
        <v/>
      </c>
      <c r="U39" s="763" t="str">
        <f t="shared" si="14"/>
        <v/>
      </c>
      <c r="V39" s="763" t="str">
        <f t="shared" si="14"/>
        <v/>
      </c>
      <c r="W39" s="763" t="str">
        <f t="shared" si="14"/>
        <v/>
      </c>
      <c r="X39" s="763" t="str">
        <f t="shared" si="14"/>
        <v/>
      </c>
    </row>
    <row r="40" spans="2:24" x14ac:dyDescent="0.35">
      <c r="B40" s="95"/>
      <c r="C40" s="164"/>
      <c r="D40" s="164"/>
      <c r="E40" s="164"/>
      <c r="F40" s="27"/>
      <c r="G40" s="763"/>
      <c r="H40" s="764"/>
      <c r="I40" s="763"/>
      <c r="J40" s="763"/>
      <c r="K40" s="763"/>
      <c r="L40" s="763"/>
      <c r="M40" s="763"/>
      <c r="N40" s="763"/>
      <c r="O40" s="763"/>
      <c r="P40" s="763"/>
      <c r="Q40" s="763"/>
      <c r="R40" s="763"/>
      <c r="S40" s="763"/>
      <c r="T40" s="763"/>
      <c r="U40" s="763"/>
      <c r="V40" s="763"/>
      <c r="W40" s="763"/>
      <c r="X40" s="763"/>
    </row>
    <row r="41" spans="2:24" x14ac:dyDescent="0.35">
      <c r="B41" s="114" t="s">
        <v>695</v>
      </c>
      <c r="C41" s="164"/>
      <c r="D41" s="164"/>
      <c r="E41" s="164"/>
      <c r="F41" s="27"/>
      <c r="G41" s="763"/>
      <c r="H41" s="763"/>
      <c r="I41" s="763"/>
      <c r="J41" s="763"/>
      <c r="K41" s="763"/>
      <c r="L41" s="763"/>
      <c r="M41" s="763"/>
      <c r="N41" s="763"/>
      <c r="O41" s="763"/>
      <c r="P41" s="763"/>
      <c r="Q41" s="763"/>
      <c r="R41" s="763"/>
      <c r="S41" s="763"/>
      <c r="T41" s="763"/>
      <c r="U41" s="763"/>
      <c r="V41" s="763"/>
      <c r="W41" s="763"/>
      <c r="X41" s="763"/>
    </row>
    <row r="42" spans="2:24" x14ac:dyDescent="0.35">
      <c r="B42" s="180" t="s">
        <v>696</v>
      </c>
      <c r="C42" s="164"/>
      <c r="D42" s="164"/>
      <c r="E42" s="164"/>
      <c r="F42" s="164"/>
      <c r="G42" s="763">
        <f>IF(G$5="","",SUM($G73:G73))</f>
        <v>83830999.999999985</v>
      </c>
      <c r="H42" s="763">
        <f>IF(H$5="","",SUM($G73:H73))</f>
        <v>83830999.999999985</v>
      </c>
      <c r="I42" s="763">
        <f>IF(I$5="","",SUM($G73:I73))</f>
        <v>195749967.30652416</v>
      </c>
      <c r="J42" s="763">
        <f>IF(J$5="","",SUM($G73:J73))</f>
        <v>224435828.30553949</v>
      </c>
      <c r="K42" s="763">
        <f>IF(K$5="","",SUM($G73:K73))</f>
        <v>224435828.30553949</v>
      </c>
      <c r="L42" s="763">
        <f>IF(L$5="","",SUM($G73:L73))</f>
        <v>224435828.30553949</v>
      </c>
      <c r="M42" s="763">
        <f>IF(M$5="","",SUM($G73:M73))</f>
        <v>224435828.30553949</v>
      </c>
      <c r="N42" s="763">
        <f>IF(N$5="","",SUM($G73:N73))</f>
        <v>224435828.30553949</v>
      </c>
      <c r="O42" s="763" t="str">
        <f>IF(O$5="","",SUM($G73:O73))</f>
        <v/>
      </c>
      <c r="P42" s="763" t="str">
        <f>IF(P$5="","",SUM($G73:P73))</f>
        <v/>
      </c>
      <c r="Q42" s="763" t="str">
        <f>IF(Q$5="","",SUM($G73:Q73))</f>
        <v/>
      </c>
      <c r="R42" s="763" t="str">
        <f>IF(R$5="","",SUM($G73:R73))</f>
        <v/>
      </c>
      <c r="S42" s="763" t="str">
        <f>IF(S$5="","",SUM($G73:S73))</f>
        <v/>
      </c>
      <c r="T42" s="763" t="str">
        <f>IF(T$5="","",SUM($G73:T73))</f>
        <v/>
      </c>
      <c r="U42" s="763" t="str">
        <f>IF(U$5="","",SUM($G73:U73))</f>
        <v/>
      </c>
      <c r="V42" s="763" t="str">
        <f>IF(V$5="","",SUM($G73:V73))</f>
        <v/>
      </c>
      <c r="W42" s="763" t="str">
        <f>IF(W$5="","",SUM($G73:W73))</f>
        <v/>
      </c>
      <c r="X42" s="763" t="str">
        <f>IF(X$5="","",SUM($G73:X73))</f>
        <v/>
      </c>
    </row>
    <row r="43" spans="2:24" x14ac:dyDescent="0.35">
      <c r="B43" s="180" t="s">
        <v>697</v>
      </c>
      <c r="C43" s="164"/>
      <c r="D43" s="164"/>
      <c r="E43" s="164"/>
      <c r="F43" s="164"/>
      <c r="G43" s="763">
        <f>IF(G$5="","",SUM($G30:G30))</f>
        <v>0</v>
      </c>
      <c r="H43" s="763">
        <f>IF(H$5="","",SUM($G30:H30))</f>
        <v>0</v>
      </c>
      <c r="I43" s="763">
        <f>IF(I$5="","",SUM($G30:I30))</f>
        <v>-2090280.340307924</v>
      </c>
      <c r="J43" s="763">
        <f>IF(J$5="","",SUM($G30:J30))</f>
        <v>-2994689.2284728913</v>
      </c>
      <c r="K43" s="763">
        <f>IF(K$5="","",SUM($G30:K30))</f>
        <v>9980747.2296379991</v>
      </c>
      <c r="L43" s="763">
        <f>IF(L$5="","",SUM($G30:L30))</f>
        <v>39374193.882310599</v>
      </c>
      <c r="M43" s="763">
        <f>IF(M$5="","",SUM($G30:M30))</f>
        <v>300946221.77460563</v>
      </c>
      <c r="N43" s="763">
        <f>IF(N$5="","",SUM($G30:N30))</f>
        <v>300946221.77460563</v>
      </c>
      <c r="O43" s="763" t="str">
        <f>IF(O$5="","",SUM($G30:O30))</f>
        <v/>
      </c>
      <c r="P43" s="763" t="str">
        <f>IF(P$5="","",SUM($G30:P30))</f>
        <v/>
      </c>
      <c r="Q43" s="763" t="str">
        <f>IF(Q$5="","",SUM($G30:Q30))</f>
        <v/>
      </c>
      <c r="R43" s="763" t="str">
        <f>IF(R$5="","",SUM($G30:R30))</f>
        <v/>
      </c>
      <c r="S43" s="763" t="str">
        <f>IF(S$5="","",SUM($G30:S30))</f>
        <v/>
      </c>
      <c r="T43" s="763" t="str">
        <f>IF(T$5="","",SUM($G30:T30))</f>
        <v/>
      </c>
      <c r="U43" s="763" t="str">
        <f>IF(U$5="","",SUM($G30:U30))</f>
        <v/>
      </c>
      <c r="V43" s="763" t="str">
        <f>IF(V$5="","",SUM($G30:V30))</f>
        <v/>
      </c>
      <c r="W43" s="763" t="str">
        <f>IF(W$5="","",SUM($G30:W30))</f>
        <v/>
      </c>
      <c r="X43" s="763" t="str">
        <f>IF(X$5="","",SUM($G30:X30))</f>
        <v/>
      </c>
    </row>
    <row r="44" spans="2:24" x14ac:dyDescent="0.35">
      <c r="B44" s="180" t="s">
        <v>698</v>
      </c>
      <c r="C44" s="164"/>
      <c r="D44" s="164"/>
      <c r="E44" s="164"/>
      <c r="F44" s="164"/>
      <c r="G44" s="763">
        <f>IF(G$5="","",SUM($G74:G74))</f>
        <v>0</v>
      </c>
      <c r="H44" s="763">
        <f>IF(H$5="","",SUM($G74:H74))</f>
        <v>-7349158.0265457556</v>
      </c>
      <c r="I44" s="763">
        <f>IF(I$5="","",SUM($G74:I74))</f>
        <v>-7349158.0265457556</v>
      </c>
      <c r="J44" s="763">
        <f>IF(J$5="","",SUM($G74:J74))</f>
        <v>-7349158.0265457556</v>
      </c>
      <c r="K44" s="763">
        <f>IF(K$5="","",SUM($G74:K74))</f>
        <v>-19824500.837491013</v>
      </c>
      <c r="L44" s="763">
        <f>IF(L$5="","",SUM($G74:L74))</f>
        <v>-49134446.291532323</v>
      </c>
      <c r="M44" s="763">
        <f>IF(M$5="","",SUM($G74:M74))</f>
        <v>-49134446.291532323</v>
      </c>
      <c r="N44" s="763">
        <f>IF(N$5="","",SUM($G74:N74))</f>
        <v>-524322502.26190656</v>
      </c>
      <c r="O44" s="763" t="str">
        <f>IF(O$5="","",SUM($G74:O74))</f>
        <v/>
      </c>
      <c r="P44" s="763" t="str">
        <f>IF(P$5="","",SUM($G74:P74))</f>
        <v/>
      </c>
      <c r="Q44" s="763" t="str">
        <f>IF(Q$5="","",SUM($G74:Q74))</f>
        <v/>
      </c>
      <c r="R44" s="763" t="str">
        <f>IF(R$5="","",SUM($G74:R74))</f>
        <v/>
      </c>
      <c r="S44" s="763" t="str">
        <f>IF(S$5="","",SUM($G74:S74))</f>
        <v/>
      </c>
      <c r="T44" s="763" t="str">
        <f>IF(T$5="","",SUM($G74:T74))</f>
        <v/>
      </c>
      <c r="U44" s="763" t="str">
        <f>IF(U$5="","",SUM($G74:U74))</f>
        <v/>
      </c>
      <c r="V44" s="763" t="str">
        <f>IF(V$5="","",SUM($G74:V74))</f>
        <v/>
      </c>
      <c r="W44" s="763" t="str">
        <f>IF(W$5="","",SUM($G74:W74))</f>
        <v/>
      </c>
      <c r="X44" s="763" t="str">
        <f>IF(X$5="","",SUM($G74:X74))</f>
        <v/>
      </c>
    </row>
    <row r="45" spans="2:24" x14ac:dyDescent="0.35">
      <c r="B45" s="95" t="s">
        <v>699</v>
      </c>
      <c r="C45" s="164"/>
      <c r="D45" s="164"/>
      <c r="E45" s="164"/>
      <c r="F45" s="164"/>
      <c r="G45" s="763">
        <f t="shared" ref="G45:L45" si="15">IF(G$5="","",SUM(G42:G44))</f>
        <v>83830999.999999985</v>
      </c>
      <c r="H45" s="763">
        <f t="shared" si="15"/>
        <v>76481841.973454237</v>
      </c>
      <c r="I45" s="763">
        <f t="shared" si="15"/>
        <v>186310528.93967047</v>
      </c>
      <c r="J45" s="763">
        <f t="shared" si="15"/>
        <v>214091981.05052084</v>
      </c>
      <c r="K45" s="763">
        <f t="shared" si="15"/>
        <v>214592074.69768649</v>
      </c>
      <c r="L45" s="763">
        <f t="shared" si="15"/>
        <v>214675575.89631778</v>
      </c>
      <c r="M45" s="763">
        <f t="shared" ref="M45:X45" si="16">IF(M$5="","",SUM(M42:M44))</f>
        <v>476247603.78861278</v>
      </c>
      <c r="N45" s="763">
        <f t="shared" si="16"/>
        <v>1059547.8182385564</v>
      </c>
      <c r="O45" s="763" t="str">
        <f t="shared" si="16"/>
        <v/>
      </c>
      <c r="P45" s="763" t="str">
        <f t="shared" si="16"/>
        <v/>
      </c>
      <c r="Q45" s="763" t="str">
        <f t="shared" si="16"/>
        <v/>
      </c>
      <c r="R45" s="763" t="str">
        <f t="shared" si="16"/>
        <v/>
      </c>
      <c r="S45" s="763" t="str">
        <f t="shared" si="16"/>
        <v/>
      </c>
      <c r="T45" s="763" t="str">
        <f t="shared" si="16"/>
        <v/>
      </c>
      <c r="U45" s="763" t="str">
        <f t="shared" si="16"/>
        <v/>
      </c>
      <c r="V45" s="763" t="str">
        <f t="shared" si="16"/>
        <v/>
      </c>
      <c r="W45" s="763" t="str">
        <f t="shared" si="16"/>
        <v/>
      </c>
      <c r="X45" s="763" t="str">
        <f t="shared" si="16"/>
        <v/>
      </c>
    </row>
    <row r="46" spans="2:24" x14ac:dyDescent="0.35">
      <c r="B46" s="95" t="s">
        <v>700</v>
      </c>
      <c r="C46" s="164"/>
      <c r="D46" s="164"/>
      <c r="E46" s="164"/>
      <c r="F46" s="164"/>
      <c r="G46" s="763">
        <f t="shared" ref="G46:L46" si="17">IF(G$5="","",G39+G45)</f>
        <v>100559131.21831875</v>
      </c>
      <c r="H46" s="763">
        <f t="shared" si="17"/>
        <v>156484496.88972616</v>
      </c>
      <c r="I46" s="763">
        <f t="shared" si="17"/>
        <v>389742606.82042563</v>
      </c>
      <c r="J46" s="763">
        <f t="shared" si="17"/>
        <v>439056344.9314301</v>
      </c>
      <c r="K46" s="763">
        <f t="shared" si="17"/>
        <v>438857570.90872008</v>
      </c>
      <c r="L46" s="763">
        <f t="shared" si="17"/>
        <v>425984332.50801408</v>
      </c>
      <c r="M46" s="763">
        <f t="shared" ref="M46:X46" si="18">IF(M$5="","",M39+M45)</f>
        <v>476247603.78861278</v>
      </c>
      <c r="N46" s="763">
        <f t="shared" si="18"/>
        <v>1059547.8182385564</v>
      </c>
      <c r="O46" s="763" t="str">
        <f t="shared" si="18"/>
        <v/>
      </c>
      <c r="P46" s="763" t="str">
        <f t="shared" si="18"/>
        <v/>
      </c>
      <c r="Q46" s="763" t="str">
        <f t="shared" si="18"/>
        <v/>
      </c>
      <c r="R46" s="763" t="str">
        <f t="shared" si="18"/>
        <v/>
      </c>
      <c r="S46" s="763" t="str">
        <f t="shared" si="18"/>
        <v/>
      </c>
      <c r="T46" s="763" t="str">
        <f t="shared" si="18"/>
        <v/>
      </c>
      <c r="U46" s="763" t="str">
        <f t="shared" si="18"/>
        <v/>
      </c>
      <c r="V46" s="763" t="str">
        <f t="shared" si="18"/>
        <v/>
      </c>
      <c r="W46" s="763" t="str">
        <f t="shared" si="18"/>
        <v/>
      </c>
      <c r="X46" s="763" t="str">
        <f t="shared" si="18"/>
        <v/>
      </c>
    </row>
    <row r="47" spans="2:24" x14ac:dyDescent="0.35">
      <c r="B47" s="95"/>
      <c r="C47" s="164"/>
      <c r="D47" s="164"/>
      <c r="E47" s="164"/>
      <c r="F47" s="27"/>
      <c r="G47" s="763"/>
      <c r="H47" s="764"/>
      <c r="I47" s="763"/>
      <c r="J47" s="763"/>
      <c r="K47" s="763"/>
      <c r="L47" s="763"/>
      <c r="M47" s="763"/>
      <c r="N47" s="763"/>
      <c r="O47" s="763"/>
      <c r="P47" s="763"/>
      <c r="Q47" s="763"/>
      <c r="R47" s="763"/>
      <c r="S47" s="763"/>
      <c r="T47" s="763"/>
      <c r="U47" s="763"/>
      <c r="V47" s="763"/>
      <c r="W47" s="763"/>
      <c r="X47" s="763"/>
    </row>
    <row r="48" spans="2:24" x14ac:dyDescent="0.35">
      <c r="B48" s="95"/>
      <c r="C48" s="164"/>
      <c r="D48" s="164"/>
      <c r="E48" s="164"/>
      <c r="F48" s="27"/>
      <c r="G48" s="763"/>
      <c r="H48" s="764"/>
      <c r="I48" s="763"/>
      <c r="J48" s="763"/>
      <c r="K48" s="763"/>
      <c r="L48" s="763"/>
      <c r="M48" s="763"/>
      <c r="N48" s="763"/>
      <c r="O48" s="763"/>
      <c r="P48" s="763"/>
      <c r="Q48" s="763"/>
      <c r="R48" s="763"/>
      <c r="S48" s="763"/>
      <c r="T48" s="763"/>
      <c r="U48" s="763"/>
      <c r="V48" s="763"/>
      <c r="W48" s="763"/>
      <c r="X48" s="763"/>
    </row>
    <row r="49" spans="2:24" x14ac:dyDescent="0.35">
      <c r="B49" s="114" t="s">
        <v>701</v>
      </c>
      <c r="C49" s="164"/>
      <c r="D49" s="164"/>
      <c r="E49" s="164"/>
      <c r="F49" s="27"/>
      <c r="G49" s="763"/>
      <c r="H49" s="763"/>
      <c r="I49" s="763"/>
      <c r="J49" s="763"/>
      <c r="K49" s="763"/>
      <c r="L49" s="763"/>
      <c r="M49" s="763"/>
      <c r="N49" s="763"/>
      <c r="O49" s="763"/>
      <c r="P49" s="763"/>
      <c r="Q49" s="763"/>
      <c r="R49" s="763"/>
      <c r="S49" s="763"/>
      <c r="T49" s="763"/>
      <c r="U49" s="763"/>
      <c r="V49" s="763"/>
      <c r="W49" s="763"/>
      <c r="X49" s="763"/>
    </row>
    <row r="50" spans="2:24" x14ac:dyDescent="0.35">
      <c r="B50" s="180" t="s">
        <v>702</v>
      </c>
      <c r="C50" s="164"/>
      <c r="D50" s="164"/>
      <c r="E50" s="164"/>
      <c r="F50" s="164"/>
      <c r="G50" s="763">
        <f t="shared" ref="G50:L50" si="19">IF(G$5="","",G35-G46)</f>
        <v>-100000</v>
      </c>
      <c r="H50" s="763">
        <f t="shared" si="19"/>
        <v>6372554.0191800594</v>
      </c>
      <c r="I50" s="763">
        <f t="shared" si="19"/>
        <v>7341963.6870188713</v>
      </c>
      <c r="J50" s="763">
        <f t="shared" si="19"/>
        <v>9926669.626304388</v>
      </c>
      <c r="K50" s="763">
        <f t="shared" si="19"/>
        <v>9999064.2527614832</v>
      </c>
      <c r="L50" s="763">
        <f t="shared" si="19"/>
        <v>22872302.653467476</v>
      </c>
      <c r="M50" s="763">
        <f t="shared" ref="M50:X50" si="20">IF(M$5="","",M35-M46)</f>
        <v>-1030998.9765498042</v>
      </c>
      <c r="N50" s="763">
        <f t="shared" si="20"/>
        <v>-1059547.8182385564</v>
      </c>
      <c r="O50" s="763" t="str">
        <f t="shared" si="20"/>
        <v/>
      </c>
      <c r="P50" s="763" t="str">
        <f t="shared" si="20"/>
        <v/>
      </c>
      <c r="Q50" s="763" t="str">
        <f t="shared" si="20"/>
        <v/>
      </c>
      <c r="R50" s="763" t="str">
        <f t="shared" si="20"/>
        <v/>
      </c>
      <c r="S50" s="763" t="str">
        <f t="shared" si="20"/>
        <v/>
      </c>
      <c r="T50" s="763" t="str">
        <f t="shared" si="20"/>
        <v/>
      </c>
      <c r="U50" s="763" t="str">
        <f t="shared" si="20"/>
        <v/>
      </c>
      <c r="V50" s="763" t="str">
        <f t="shared" si="20"/>
        <v/>
      </c>
      <c r="W50" s="763" t="str">
        <f t="shared" si="20"/>
        <v/>
      </c>
      <c r="X50" s="763" t="str">
        <f t="shared" si="20"/>
        <v/>
      </c>
    </row>
    <row r="51" spans="2:24" x14ac:dyDescent="0.35">
      <c r="B51" s="180" t="s">
        <v>703</v>
      </c>
      <c r="C51" s="164"/>
      <c r="D51" s="164"/>
      <c r="E51" s="164"/>
      <c r="F51" s="164"/>
      <c r="G51" s="763">
        <f t="shared" ref="G51:L51" si="21">IF(G$5="","",G81-G33)</f>
        <v>0</v>
      </c>
      <c r="H51" s="763">
        <f t="shared" si="21"/>
        <v>0</v>
      </c>
      <c r="I51" s="763">
        <f t="shared" si="21"/>
        <v>0</v>
      </c>
      <c r="J51" s="763">
        <f t="shared" si="21"/>
        <v>0</v>
      </c>
      <c r="K51" s="763">
        <f t="shared" si="21"/>
        <v>0</v>
      </c>
      <c r="L51" s="763">
        <f t="shared" si="21"/>
        <v>0</v>
      </c>
      <c r="M51" s="763">
        <f t="shared" ref="M51:X51" si="22">IF(M$5="","",M81-M33)</f>
        <v>0</v>
      </c>
      <c r="N51" s="763">
        <f t="shared" si="22"/>
        <v>0</v>
      </c>
      <c r="O51" s="763" t="str">
        <f t="shared" si="22"/>
        <v/>
      </c>
      <c r="P51" s="763" t="str">
        <f t="shared" si="22"/>
        <v/>
      </c>
      <c r="Q51" s="763" t="str">
        <f t="shared" si="22"/>
        <v/>
      </c>
      <c r="R51" s="763" t="str">
        <f t="shared" si="22"/>
        <v/>
      </c>
      <c r="S51" s="763" t="str">
        <f t="shared" si="22"/>
        <v/>
      </c>
      <c r="T51" s="763" t="str">
        <f t="shared" si="22"/>
        <v/>
      </c>
      <c r="U51" s="763" t="str">
        <f t="shared" si="22"/>
        <v/>
      </c>
      <c r="V51" s="763" t="str">
        <f t="shared" si="22"/>
        <v/>
      </c>
      <c r="W51" s="763" t="str">
        <f t="shared" si="22"/>
        <v/>
      </c>
      <c r="X51" s="763" t="str">
        <f t="shared" si="22"/>
        <v/>
      </c>
    </row>
    <row r="52" spans="2:24" x14ac:dyDescent="0.35">
      <c r="B52" s="95" t="s">
        <v>704</v>
      </c>
      <c r="C52" s="164"/>
      <c r="D52" s="164"/>
      <c r="E52" s="164"/>
      <c r="F52" s="164"/>
      <c r="G52" s="763">
        <f t="shared" ref="G52:L52" si="23">IF(G$5="","",MAX(ABS(G50),ABS(G51),ABS(G94)))</f>
        <v>100000</v>
      </c>
      <c r="H52" s="763">
        <f t="shared" si="23"/>
        <v>6372554.0191800594</v>
      </c>
      <c r="I52" s="763">
        <f t="shared" si="23"/>
        <v>7341963.6870188713</v>
      </c>
      <c r="J52" s="763">
        <f t="shared" si="23"/>
        <v>9926669.626304388</v>
      </c>
      <c r="K52" s="763">
        <f t="shared" si="23"/>
        <v>9999064.2527614832</v>
      </c>
      <c r="L52" s="763">
        <f t="shared" si="23"/>
        <v>22872302.653467476</v>
      </c>
      <c r="M52" s="763">
        <f t="shared" ref="M52:X52" si="24">IF(M$5="","",MAX(ABS(M50),ABS(M51),ABS(M94)))</f>
        <v>1030998.9765498042</v>
      </c>
      <c r="N52" s="763">
        <f t="shared" si="24"/>
        <v>1059547.8182385564</v>
      </c>
      <c r="O52" s="763" t="str">
        <f t="shared" si="24"/>
        <v/>
      </c>
      <c r="P52" s="763" t="str">
        <f t="shared" si="24"/>
        <v/>
      </c>
      <c r="Q52" s="763" t="str">
        <f t="shared" si="24"/>
        <v/>
      </c>
      <c r="R52" s="763" t="str">
        <f t="shared" si="24"/>
        <v/>
      </c>
      <c r="S52" s="763" t="str">
        <f t="shared" si="24"/>
        <v/>
      </c>
      <c r="T52" s="763" t="str">
        <f t="shared" si="24"/>
        <v/>
      </c>
      <c r="U52" s="763" t="str">
        <f t="shared" si="24"/>
        <v/>
      </c>
      <c r="V52" s="763" t="str">
        <f t="shared" si="24"/>
        <v/>
      </c>
      <c r="W52" s="763" t="str">
        <f t="shared" si="24"/>
        <v/>
      </c>
      <c r="X52" s="763" t="str">
        <f t="shared" si="24"/>
        <v/>
      </c>
    </row>
    <row r="53" spans="2:24" x14ac:dyDescent="0.35">
      <c r="B53" s="95" t="s">
        <v>705</v>
      </c>
      <c r="C53" s="164"/>
      <c r="D53" s="164"/>
      <c r="E53" s="164"/>
      <c r="F53" s="27"/>
      <c r="G53" s="763" t="str">
        <f t="shared" ref="G53:X53" si="25">IF(G$5="","",IF(ABS(G52)&lt;0.01,"OK","EXCEPTION"))</f>
        <v>EXCEPTION</v>
      </c>
      <c r="H53" s="764" t="str">
        <f t="shared" si="25"/>
        <v>EXCEPTION</v>
      </c>
      <c r="I53" s="763" t="str">
        <f t="shared" si="25"/>
        <v>EXCEPTION</v>
      </c>
      <c r="J53" s="763" t="str">
        <f t="shared" si="25"/>
        <v>EXCEPTION</v>
      </c>
      <c r="K53" s="763" t="str">
        <f t="shared" si="25"/>
        <v>EXCEPTION</v>
      </c>
      <c r="L53" s="763" t="str">
        <f t="shared" si="25"/>
        <v>EXCEPTION</v>
      </c>
      <c r="M53" s="763" t="str">
        <f t="shared" si="25"/>
        <v>EXCEPTION</v>
      </c>
      <c r="N53" s="763" t="str">
        <f t="shared" si="25"/>
        <v>EXCEPTION</v>
      </c>
      <c r="O53" s="763" t="str">
        <f t="shared" si="25"/>
        <v/>
      </c>
      <c r="P53" s="763" t="str">
        <f t="shared" si="25"/>
        <v/>
      </c>
      <c r="Q53" s="763" t="str">
        <f t="shared" si="25"/>
        <v/>
      </c>
      <c r="R53" s="763" t="str">
        <f t="shared" si="25"/>
        <v/>
      </c>
      <c r="S53" s="763" t="str">
        <f t="shared" si="25"/>
        <v/>
      </c>
      <c r="T53" s="763" t="str">
        <f t="shared" si="25"/>
        <v/>
      </c>
      <c r="U53" s="763" t="str">
        <f t="shared" si="25"/>
        <v/>
      </c>
      <c r="V53" s="763" t="str">
        <f t="shared" si="25"/>
        <v/>
      </c>
      <c r="W53" s="763" t="str">
        <f t="shared" si="25"/>
        <v/>
      </c>
      <c r="X53" s="763" t="str">
        <f t="shared" si="25"/>
        <v/>
      </c>
    </row>
    <row r="54" spans="2:24" x14ac:dyDescent="0.35">
      <c r="B54" s="95" t="s">
        <v>706</v>
      </c>
      <c r="C54" s="164"/>
      <c r="D54" s="164"/>
      <c r="E54" s="164"/>
      <c r="F54" s="27"/>
      <c r="G54" s="763" t="str">
        <f t="shared" ref="G54:X54" si="26">IF(G$5="","",IF(ABS(G82)&lt;0.01,"OK","EXCEPTION"))</f>
        <v>OK</v>
      </c>
      <c r="H54" s="764" t="str">
        <f t="shared" si="26"/>
        <v>OK</v>
      </c>
      <c r="I54" s="763" t="str">
        <f t="shared" si="26"/>
        <v>OK</v>
      </c>
      <c r="J54" s="763" t="str">
        <f t="shared" si="26"/>
        <v>OK</v>
      </c>
      <c r="K54" s="763" t="str">
        <f t="shared" si="26"/>
        <v>OK</v>
      </c>
      <c r="L54" s="763" t="str">
        <f t="shared" si="26"/>
        <v>OK</v>
      </c>
      <c r="M54" s="763" t="str">
        <f t="shared" si="26"/>
        <v>OK</v>
      </c>
      <c r="N54" s="763" t="str">
        <f t="shared" si="26"/>
        <v>OK</v>
      </c>
      <c r="O54" s="763" t="str">
        <f t="shared" si="26"/>
        <v/>
      </c>
      <c r="P54" s="763" t="str">
        <f t="shared" si="26"/>
        <v/>
      </c>
      <c r="Q54" s="763" t="str">
        <f t="shared" si="26"/>
        <v/>
      </c>
      <c r="R54" s="763" t="str">
        <f t="shared" si="26"/>
        <v/>
      </c>
      <c r="S54" s="763" t="str">
        <f t="shared" si="26"/>
        <v/>
      </c>
      <c r="T54" s="763" t="str">
        <f t="shared" si="26"/>
        <v/>
      </c>
      <c r="U54" s="763" t="str">
        <f t="shared" si="26"/>
        <v/>
      </c>
      <c r="V54" s="763" t="str">
        <f t="shared" si="26"/>
        <v/>
      </c>
      <c r="W54" s="763" t="str">
        <f t="shared" si="26"/>
        <v/>
      </c>
      <c r="X54" s="763" t="str">
        <f t="shared" si="26"/>
        <v/>
      </c>
    </row>
    <row r="55" spans="2:24" x14ac:dyDescent="0.35">
      <c r="B55" s="95" t="s">
        <v>707</v>
      </c>
      <c r="C55" s="164"/>
      <c r="D55" s="164"/>
      <c r="E55" s="164"/>
      <c r="F55" s="27"/>
      <c r="G55" s="763" t="str">
        <f t="shared" ref="G55:X55" si="27">IF(G$5="","",IF(ABS(G94)&lt;0.01,"OK","EXCEPTION"))</f>
        <v>OK</v>
      </c>
      <c r="H55" s="764" t="str">
        <f t="shared" si="27"/>
        <v>OK</v>
      </c>
      <c r="I55" s="763" t="str">
        <f t="shared" si="27"/>
        <v>OK</v>
      </c>
      <c r="J55" s="763" t="str">
        <f t="shared" si="27"/>
        <v>OK</v>
      </c>
      <c r="K55" s="763" t="str">
        <f t="shared" si="27"/>
        <v>OK</v>
      </c>
      <c r="L55" s="763" t="str">
        <f t="shared" si="27"/>
        <v>OK</v>
      </c>
      <c r="M55" s="763" t="str">
        <f t="shared" si="27"/>
        <v>OK</v>
      </c>
      <c r="N55" s="763" t="str">
        <f t="shared" si="27"/>
        <v>OK</v>
      </c>
      <c r="O55" s="763" t="str">
        <f t="shared" si="27"/>
        <v/>
      </c>
      <c r="P55" s="763" t="str">
        <f t="shared" si="27"/>
        <v/>
      </c>
      <c r="Q55" s="763" t="str">
        <f t="shared" si="27"/>
        <v/>
      </c>
      <c r="R55" s="763" t="str">
        <f t="shared" si="27"/>
        <v/>
      </c>
      <c r="S55" s="763" t="str">
        <f t="shared" si="27"/>
        <v/>
      </c>
      <c r="T55" s="763" t="str">
        <f t="shared" si="27"/>
        <v/>
      </c>
      <c r="U55" s="763" t="str">
        <f t="shared" si="27"/>
        <v/>
      </c>
      <c r="V55" s="763" t="str">
        <f t="shared" si="27"/>
        <v/>
      </c>
      <c r="W55" s="763" t="str">
        <f t="shared" si="27"/>
        <v/>
      </c>
      <c r="X55" s="763" t="str">
        <f t="shared" si="27"/>
        <v/>
      </c>
    </row>
    <row r="56" spans="2:24" x14ac:dyDescent="0.35">
      <c r="B56" s="114" t="s">
        <v>708</v>
      </c>
      <c r="C56" s="164"/>
      <c r="D56" s="164"/>
      <c r="E56" s="164"/>
      <c r="F56" s="27"/>
      <c r="G56" s="763"/>
      <c r="H56" s="763"/>
      <c r="I56" s="763"/>
      <c r="J56" s="763"/>
      <c r="K56" s="763"/>
      <c r="L56" s="763"/>
      <c r="M56" s="763"/>
      <c r="N56" s="763"/>
      <c r="O56" s="763"/>
      <c r="P56" s="763"/>
      <c r="Q56" s="763"/>
      <c r="R56" s="763"/>
      <c r="S56" s="763"/>
      <c r="T56" s="763"/>
      <c r="U56" s="763"/>
      <c r="V56" s="763"/>
      <c r="W56" s="763"/>
      <c r="X56" s="763"/>
    </row>
    <row r="57" spans="2:24" x14ac:dyDescent="0.35">
      <c r="B57" s="95"/>
      <c r="C57" s="164"/>
      <c r="D57" s="164"/>
      <c r="E57" s="164"/>
      <c r="F57" s="27"/>
      <c r="G57" s="763"/>
      <c r="H57" s="764"/>
      <c r="I57" s="763"/>
      <c r="J57" s="763"/>
      <c r="K57" s="763"/>
      <c r="L57" s="763"/>
      <c r="M57" s="763"/>
      <c r="N57" s="763"/>
      <c r="O57" s="763"/>
      <c r="P57" s="763"/>
      <c r="Q57" s="763"/>
      <c r="R57" s="763"/>
      <c r="S57" s="763"/>
      <c r="T57" s="763"/>
      <c r="U57" s="763"/>
      <c r="V57" s="763"/>
      <c r="W57" s="763"/>
      <c r="X57" s="763"/>
    </row>
    <row r="58" spans="2:24" x14ac:dyDescent="0.35">
      <c r="B58" s="114" t="s">
        <v>709</v>
      </c>
      <c r="C58" s="164"/>
      <c r="D58" s="164"/>
      <c r="E58" s="164"/>
      <c r="F58" s="27"/>
      <c r="G58" s="763"/>
      <c r="H58" s="763"/>
      <c r="I58" s="763"/>
      <c r="J58" s="763"/>
      <c r="K58" s="763"/>
      <c r="L58" s="763"/>
      <c r="M58" s="763"/>
      <c r="N58" s="763"/>
      <c r="O58" s="763"/>
      <c r="P58" s="763"/>
      <c r="Q58" s="763"/>
      <c r="R58" s="763"/>
      <c r="S58" s="763"/>
      <c r="T58" s="763"/>
      <c r="U58" s="763"/>
      <c r="V58" s="763"/>
      <c r="W58" s="763"/>
      <c r="X58" s="763"/>
    </row>
    <row r="59" spans="2:24" x14ac:dyDescent="0.35">
      <c r="B59" s="180" t="s">
        <v>73</v>
      </c>
      <c r="C59" s="164"/>
      <c r="D59" s="164"/>
      <c r="E59" s="164"/>
      <c r="F59" s="164"/>
      <c r="G59" s="763">
        <f t="shared" ref="G59:L59" si="28">IF(G$5="","",G23)</f>
        <v>0</v>
      </c>
      <c r="H59" s="763">
        <f t="shared" si="28"/>
        <v>0</v>
      </c>
      <c r="I59" s="763">
        <f t="shared" si="28"/>
        <v>2150000</v>
      </c>
      <c r="J59" s="763">
        <f t="shared" si="28"/>
        <v>13815249.999999998</v>
      </c>
      <c r="K59" s="763">
        <f t="shared" si="28"/>
        <v>29862633.890583672</v>
      </c>
      <c r="L59" s="763">
        <f t="shared" si="28"/>
        <v>47411610.972330682</v>
      </c>
      <c r="M59" s="763">
        <f t="shared" ref="M59:X59" si="29">IF(M$5="","",M23)</f>
        <v>4048514.1446548081</v>
      </c>
      <c r="N59" s="763">
        <f t="shared" si="29"/>
        <v>0</v>
      </c>
      <c r="O59" s="763" t="str">
        <f t="shared" si="29"/>
        <v/>
      </c>
      <c r="P59" s="763" t="str">
        <f t="shared" si="29"/>
        <v/>
      </c>
      <c r="Q59" s="763" t="str">
        <f t="shared" si="29"/>
        <v/>
      </c>
      <c r="R59" s="763" t="str">
        <f t="shared" si="29"/>
        <v/>
      </c>
      <c r="S59" s="763" t="str">
        <f t="shared" si="29"/>
        <v/>
      </c>
      <c r="T59" s="763" t="str">
        <f t="shared" si="29"/>
        <v/>
      </c>
      <c r="U59" s="763" t="str">
        <f t="shared" si="29"/>
        <v/>
      </c>
      <c r="V59" s="763" t="str">
        <f t="shared" si="29"/>
        <v/>
      </c>
      <c r="W59" s="763" t="str">
        <f t="shared" si="29"/>
        <v/>
      </c>
      <c r="X59" s="763" t="str">
        <f t="shared" si="29"/>
        <v/>
      </c>
    </row>
    <row r="60" spans="2:24" x14ac:dyDescent="0.35">
      <c r="B60" s="760" t="s">
        <v>710</v>
      </c>
      <c r="C60" s="747"/>
      <c r="D60" s="747"/>
      <c r="E60" s="747"/>
      <c r="F60" s="747"/>
      <c r="G60" s="765">
        <f t="shared" ref="G60:L60" si="30">IF(G$5="","",G29)</f>
        <v>0</v>
      </c>
      <c r="H60" s="765">
        <f t="shared" si="30"/>
        <v>0</v>
      </c>
      <c r="I60" s="765">
        <f t="shared" si="30"/>
        <v>0</v>
      </c>
      <c r="J60" s="765">
        <f t="shared" si="30"/>
        <v>0</v>
      </c>
      <c r="K60" s="765">
        <f t="shared" si="30"/>
        <v>0</v>
      </c>
      <c r="L60" s="765">
        <f t="shared" si="30"/>
        <v>0</v>
      </c>
      <c r="M60" s="765">
        <f t="shared" ref="M60:X60" si="31">IF(M$5="","",M29)</f>
        <v>0</v>
      </c>
      <c r="N60" s="765">
        <f t="shared" si="31"/>
        <v>0</v>
      </c>
      <c r="O60" s="765" t="str">
        <f t="shared" si="31"/>
        <v/>
      </c>
      <c r="P60" s="765" t="str">
        <f t="shared" si="31"/>
        <v/>
      </c>
      <c r="Q60" s="765" t="str">
        <f t="shared" si="31"/>
        <v/>
      </c>
      <c r="R60" s="765" t="str">
        <f t="shared" si="31"/>
        <v/>
      </c>
      <c r="S60" s="765" t="str">
        <f t="shared" si="31"/>
        <v/>
      </c>
      <c r="T60" s="765" t="str">
        <f t="shared" si="31"/>
        <v/>
      </c>
      <c r="U60" s="765" t="str">
        <f t="shared" si="31"/>
        <v/>
      </c>
      <c r="V60" s="765" t="str">
        <f t="shared" si="31"/>
        <v/>
      </c>
      <c r="W60" s="765" t="str">
        <f t="shared" si="31"/>
        <v/>
      </c>
      <c r="X60" s="765" t="str">
        <f t="shared" si="31"/>
        <v/>
      </c>
    </row>
    <row r="61" spans="2:24" x14ac:dyDescent="0.35">
      <c r="B61" s="760" t="s">
        <v>711</v>
      </c>
      <c r="C61" s="747"/>
      <c r="D61" s="747"/>
      <c r="E61" s="747"/>
      <c r="F61" s="747"/>
      <c r="G61" s="765">
        <f>IF(G$5="","",-SUMIFS(DEBT!$F$195:$DV$195,DEBT!$F$64:$DV$64,"&gt;"&amp;EOMONTH(G$6,-12),DEBT!$F$64:$DV$64,"&lt;="&amp;G$6))</f>
        <v>0</v>
      </c>
      <c r="H61" s="765">
        <f>IF(H$5="","",-SUMIFS(DEBT!$F$195:$DV$195,DEBT!$F$64:$DV$64,"&gt;"&amp;EOMONTH(H$6,-12),DEBT!$F$64:$DV$64,"&lt;="&amp;H$6))</f>
        <v>0</v>
      </c>
      <c r="I61" s="765">
        <f>IF(I$5="","",-SUMIFS(DEBT!$F$195:$DV$195,DEBT!$F$64:$DV$64,"&gt;"&amp;EOMONTH(I$6,-12),DEBT!$F$64:$DV$64,"&lt;="&amp;I$6))</f>
        <v>-172000</v>
      </c>
      <c r="J61" s="765">
        <f>IF(J$5="","",-SUMIFS(DEBT!$F$195:$DV$195,DEBT!$F$64:$DV$64,"&gt;"&amp;EOMONTH(J$6,-12),DEBT!$F$64:$DV$64,"&lt;="&amp;J$6))</f>
        <v>-139619.99999999994</v>
      </c>
      <c r="K61" s="765">
        <f>IF(K$5="","",-SUMIFS(DEBT!$F$195:$DV$195,DEBT!$F$64:$DV$64,"&gt;"&amp;EOMONTH(K$6,-12),DEBT!$F$64:$DV$64,"&lt;="&amp;K$6))</f>
        <v>-626473.04341857287</v>
      </c>
      <c r="L61" s="765">
        <f>IF(L$5="","",-SUMIFS(DEBT!$F$195:$DV$195,DEBT!$F$64:$DV$64,"&gt;"&amp;EOMONTH(L$6,-12),DEBT!$F$64:$DV$64,"&lt;="&amp;L$6))</f>
        <v>-83501.198631286039</v>
      </c>
      <c r="M61" s="765">
        <f>IF(M$5="","",-SUMIFS(DEBT!$F$195:$DV$195,DEBT!$F$64:$DV$64,"&gt;"&amp;EOMONTH(M$6,-12),DEBT!$F$64:$DV$64,"&lt;="&amp;M$6))</f>
        <v>-9404.7345000001369</v>
      </c>
      <c r="N61" s="765">
        <f>IF(N$5="","",-SUMIFS(DEBT!$F$195:$DV$195,DEBT!$F$64:$DV$64,"&gt;"&amp;EOMONTH(N$6,-12),DEBT!$F$64:$DV$64,"&lt;="&amp;N$6))</f>
        <v>-28548.84168874647</v>
      </c>
      <c r="O61" s="765" t="str">
        <f>IF(O$5="","",-SUMIFS(DEBT!$F$195:$DV$195,DEBT!$F$64:$DV$64,"&gt;"&amp;EOMONTH(O$6,-12),DEBT!$F$64:$DV$64,"&lt;="&amp;O$6))</f>
        <v/>
      </c>
      <c r="P61" s="765" t="str">
        <f>IF(P$5="","",-SUMIFS(DEBT!$F$195:$DV$195,DEBT!$F$64:$DV$64,"&gt;"&amp;EOMONTH(P$6,-12),DEBT!$F$64:$DV$64,"&lt;="&amp;P$6))</f>
        <v/>
      </c>
      <c r="Q61" s="765" t="str">
        <f>IF(Q$5="","",-SUMIFS(DEBT!$F$195:$DV$195,DEBT!$F$64:$DV$64,"&gt;"&amp;EOMONTH(Q$6,-12),DEBT!$F$64:$DV$64,"&lt;="&amp;Q$6))</f>
        <v/>
      </c>
      <c r="R61" s="765" t="str">
        <f>IF(R$5="","",-SUMIFS(DEBT!$F$195:$DV$195,DEBT!$F$64:$DV$64,"&gt;"&amp;EOMONTH(R$6,-12),DEBT!$F$64:$DV$64,"&lt;="&amp;R$6))</f>
        <v/>
      </c>
      <c r="S61" s="765" t="str">
        <f>IF(S$5="","",-SUMIFS(DEBT!$F$195:$DV$195,DEBT!$F$64:$DV$64,"&gt;"&amp;EOMONTH(S$6,-12),DEBT!$F$64:$DV$64,"&lt;="&amp;S$6))</f>
        <v/>
      </c>
      <c r="T61" s="765" t="str">
        <f>IF(T$5="","",-SUMIFS(DEBT!$F$195:$DV$195,DEBT!$F$64:$DV$64,"&gt;"&amp;EOMONTH(T$6,-12),DEBT!$F$64:$DV$64,"&lt;="&amp;T$6))</f>
        <v/>
      </c>
      <c r="U61" s="765" t="str">
        <f>IF(U$5="","",-SUMIFS(DEBT!$F$195:$DV$195,DEBT!$F$64:$DV$64,"&gt;"&amp;EOMONTH(U$6,-12),DEBT!$F$64:$DV$64,"&lt;="&amp;U$6))</f>
        <v/>
      </c>
      <c r="V61" s="765" t="str">
        <f>IF(V$5="","",-SUMIFS(DEBT!$F$195:$DV$195,DEBT!$F$64:$DV$64,"&gt;"&amp;EOMONTH(V$6,-12),DEBT!$F$64:$DV$64,"&lt;="&amp;V$6))</f>
        <v/>
      </c>
      <c r="W61" s="765" t="str">
        <f>IF(W$5="","",-SUMIFS(DEBT!$F$195:$DV$195,DEBT!$F$64:$DV$64,"&gt;"&amp;EOMONTH(W$6,-12),DEBT!$F$64:$DV$64,"&lt;="&amp;W$6))</f>
        <v/>
      </c>
      <c r="X61" s="765" t="str">
        <f>IF(X$5="","",-SUMIFS(DEBT!$F$195:$DV$195,DEBT!$F$64:$DV$64,"&gt;"&amp;EOMONTH(X$6,-12),DEBT!$F$64:$DV$64,"&lt;="&amp;X$6))</f>
        <v/>
      </c>
    </row>
    <row r="62" spans="2:24" x14ac:dyDescent="0.35">
      <c r="B62" s="758" t="s">
        <v>712</v>
      </c>
      <c r="C62" s="759"/>
      <c r="D62" s="759"/>
      <c r="E62" s="759"/>
      <c r="F62" s="759"/>
      <c r="G62" s="762">
        <f t="shared" ref="G62:X62" si="32">IF(G$5="","",SUM(G59:G61))</f>
        <v>0</v>
      </c>
      <c r="H62" s="762">
        <f t="shared" si="32"/>
        <v>0</v>
      </c>
      <c r="I62" s="762">
        <f t="shared" si="32"/>
        <v>1978000</v>
      </c>
      <c r="J62" s="762">
        <f t="shared" si="32"/>
        <v>13675629.999999998</v>
      </c>
      <c r="K62" s="762">
        <f t="shared" si="32"/>
        <v>29236160.8471651</v>
      </c>
      <c r="L62" s="762">
        <f t="shared" si="32"/>
        <v>47328109.773699395</v>
      </c>
      <c r="M62" s="762">
        <f t="shared" si="32"/>
        <v>4039109.4101548078</v>
      </c>
      <c r="N62" s="762">
        <f t="shared" si="32"/>
        <v>-28548.84168874647</v>
      </c>
      <c r="O62" s="762" t="str">
        <f t="shared" si="32"/>
        <v/>
      </c>
      <c r="P62" s="762" t="str">
        <f t="shared" si="32"/>
        <v/>
      </c>
      <c r="Q62" s="762" t="str">
        <f t="shared" si="32"/>
        <v/>
      </c>
      <c r="R62" s="762" t="str">
        <f t="shared" si="32"/>
        <v/>
      </c>
      <c r="S62" s="762" t="str">
        <f t="shared" si="32"/>
        <v/>
      </c>
      <c r="T62" s="762" t="str">
        <f t="shared" si="32"/>
        <v/>
      </c>
      <c r="U62" s="762" t="str">
        <f t="shared" si="32"/>
        <v/>
      </c>
      <c r="V62" s="762" t="str">
        <f t="shared" si="32"/>
        <v/>
      </c>
      <c r="W62" s="762" t="str">
        <f t="shared" si="32"/>
        <v/>
      </c>
      <c r="X62" s="762" t="str">
        <f t="shared" si="32"/>
        <v/>
      </c>
    </row>
    <row r="63" spans="2:24" x14ac:dyDescent="0.35">
      <c r="B63" s="95"/>
      <c r="C63" s="164"/>
      <c r="D63" s="164"/>
      <c r="E63" s="164"/>
      <c r="F63" s="27"/>
      <c r="G63" s="763"/>
      <c r="H63" s="764"/>
      <c r="I63" s="763"/>
      <c r="J63" s="763"/>
      <c r="K63" s="763"/>
      <c r="L63" s="763"/>
      <c r="M63" s="763"/>
      <c r="N63" s="763"/>
      <c r="O63" s="763"/>
      <c r="P63" s="763"/>
      <c r="Q63" s="763"/>
      <c r="R63" s="763"/>
      <c r="S63" s="763"/>
      <c r="T63" s="763"/>
      <c r="U63" s="763"/>
      <c r="V63" s="763"/>
      <c r="W63" s="763"/>
      <c r="X63" s="763"/>
    </row>
    <row r="64" spans="2:24" x14ac:dyDescent="0.35">
      <c r="B64" s="114" t="s">
        <v>713</v>
      </c>
      <c r="C64" s="164"/>
      <c r="D64" s="164"/>
      <c r="E64" s="164"/>
      <c r="F64" s="27"/>
      <c r="G64" s="763"/>
      <c r="H64" s="763"/>
      <c r="I64" s="763"/>
      <c r="J64" s="763"/>
      <c r="K64" s="763"/>
      <c r="L64" s="763"/>
      <c r="M64" s="763"/>
      <c r="N64" s="763"/>
      <c r="O64" s="763"/>
      <c r="P64" s="763"/>
      <c r="Q64" s="763"/>
      <c r="R64" s="763"/>
      <c r="S64" s="763"/>
      <c r="T64" s="763"/>
      <c r="U64" s="763"/>
      <c r="V64" s="763"/>
      <c r="W64" s="763"/>
      <c r="X64" s="763"/>
    </row>
    <row r="65" spans="2:24" x14ac:dyDescent="0.35">
      <c r="B65" s="180" t="s">
        <v>714</v>
      </c>
      <c r="C65" s="164"/>
      <c r="D65" s="164"/>
      <c r="E65" s="164"/>
      <c r="F65" s="164"/>
      <c r="G65" s="763">
        <f>IF(G$5="","",-(IFERROR(SUMIF('Annual Cash Flow'!$G$46:$EI$46,G$5,'Annual Cash Flow'!$G$82:$EI$82),0)))</f>
        <v>-93017714.091035873</v>
      </c>
      <c r="H65" s="763">
        <f>IF(H$5="","",-(IFERROR(SUMIF('Annual Cash Flow'!$G$46:$EI$46,H$5,'Annual Cash Flow'!$G$82:$EI$82),0)))</f>
        <v>-67738142.48865366</v>
      </c>
      <c r="I65" s="763">
        <f>IF(I$5="","",-(IFERROR(SUMIF('Annual Cash Flow'!$G$46:$EI$46,I$5,'Annual Cash Flow'!$G$82:$EI$82),0)))</f>
        <v>-233882124.32595944</v>
      </c>
      <c r="J65" s="763">
        <f>IF(J$5="","",-(IFERROR(SUMIF('Annual Cash Flow'!$G$46:$EI$46,J$5,'Annual Cash Flow'!$G$82:$EI$82),0)))</f>
        <v>-54218654.255832545</v>
      </c>
      <c r="K65" s="763">
        <f>IF(K$5="","",-(IFERROR(SUMIF('Annual Cash Flow'!$G$46:$EI$46,K$5,'Annual Cash Flow'!$G$82:$EI$82),0)))</f>
        <v>0</v>
      </c>
      <c r="L65" s="763">
        <f>IF(L$5="","",-(IFERROR(SUMIF('Annual Cash Flow'!$G$46:$EI$46,L$5,'Annual Cash Flow'!$G$82:$EI$82),0)))</f>
        <v>0</v>
      </c>
      <c r="M65" s="763">
        <f>IF(M$5="","",-(IFERROR(SUMIF('Annual Cash Flow'!$G$46:$EI$46,M$5,'Annual Cash Flow'!$G$82:$EI$82),0)))</f>
        <v>0</v>
      </c>
      <c r="N65" s="763">
        <f>IF(N$5="","",-(IFERROR(SUMIF('Annual Cash Flow'!$G$46:$EI$46,N$5,'Annual Cash Flow'!$G$82:$EI$82),0)))</f>
        <v>0</v>
      </c>
      <c r="O65" s="763" t="str">
        <f>IF(O$5="","",-(IFERROR(SUMIF('Annual Cash Flow'!$G$46:$EI$46,O$5,'Annual Cash Flow'!$G$82:$EI$82),0)))</f>
        <v/>
      </c>
      <c r="P65" s="763" t="str">
        <f>IF(P$5="","",-(IFERROR(SUMIF('Annual Cash Flow'!$G$46:$EI$46,P$5,'Annual Cash Flow'!$G$82:$EI$82),0)))</f>
        <v/>
      </c>
      <c r="Q65" s="763" t="str">
        <f>IF(Q$5="","",-(IFERROR(SUMIF('Annual Cash Flow'!$G$46:$EI$46,Q$5,'Annual Cash Flow'!$G$82:$EI$82),0)))</f>
        <v/>
      </c>
      <c r="R65" s="763" t="str">
        <f>IF(R$5="","",-(IFERROR(SUMIF('Annual Cash Flow'!$G$46:$EI$46,R$5,'Annual Cash Flow'!$G$82:$EI$82),0)))</f>
        <v/>
      </c>
      <c r="S65" s="763" t="str">
        <f>IF(S$5="","",-(IFERROR(SUMIF('Annual Cash Flow'!$G$46:$EI$46,S$5,'Annual Cash Flow'!$G$82:$EI$82),0)))</f>
        <v/>
      </c>
      <c r="T65" s="763" t="str">
        <f>IF(T$5="","",-(IFERROR(SUMIF('Annual Cash Flow'!$G$46:$EI$46,T$5,'Annual Cash Flow'!$G$82:$EI$82),0)))</f>
        <v/>
      </c>
      <c r="U65" s="763" t="str">
        <f>IF(U$5="","",-(IFERROR(SUMIF('Annual Cash Flow'!$G$46:$EI$46,U$5,'Annual Cash Flow'!$G$82:$EI$82),0)))</f>
        <v/>
      </c>
      <c r="V65" s="763" t="str">
        <f>IF(V$5="","",-(IFERROR(SUMIF('Annual Cash Flow'!$G$46:$EI$46,V$5,'Annual Cash Flow'!$G$82:$EI$82),0)))</f>
        <v/>
      </c>
      <c r="W65" s="763" t="str">
        <f>IF(W$5="","",-(IFERROR(SUMIF('Annual Cash Flow'!$G$46:$EI$46,W$5,'Annual Cash Flow'!$G$82:$EI$82),0)))</f>
        <v/>
      </c>
      <c r="X65" s="763" t="str">
        <f>IF(X$5="","",-(IFERROR(SUMIF('Annual Cash Flow'!$G$46:$EI$46,X$5,'Annual Cash Flow'!$G$82:$EI$82),0)))</f>
        <v/>
      </c>
    </row>
    <row r="66" spans="2:24" x14ac:dyDescent="0.35">
      <c r="B66" s="180" t="s">
        <v>366</v>
      </c>
      <c r="C66" s="164"/>
      <c r="D66" s="164"/>
      <c r="E66" s="164"/>
      <c r="F66" s="164"/>
      <c r="G66" s="763">
        <f>IF(G$5="","",IFERROR(SUMIF('Annual Cash Flow'!$G$46:$EI$46,G$5,'Annual Cash Flow'!$G$89:$EI$89),0))</f>
        <v>0</v>
      </c>
      <c r="H66" s="763">
        <f>IF(H$5="","",IFERROR(SUMIF('Annual Cash Flow'!$G$46:$EI$46,H$5,'Annual Cash Flow'!$G$89:$EI$89),0))</f>
        <v>0</v>
      </c>
      <c r="I66" s="763">
        <f>IF(I$5="","",IFERROR(SUMIF('Annual Cash Flow'!$G$46:$EI$46,I$5,'Annual Cash Flow'!$G$89:$EI$89),0))</f>
        <v>0</v>
      </c>
      <c r="J66" s="763">
        <f>IF(J$5="","",IFERROR(SUMIF('Annual Cash Flow'!$G$46:$EI$46,J$5,'Annual Cash Flow'!$G$89:$EI$89),0))</f>
        <v>0</v>
      </c>
      <c r="K66" s="763">
        <f>IF(K$5="","",IFERROR(SUMIF('Annual Cash Flow'!$G$46:$EI$46,K$5,'Annual Cash Flow'!$G$89:$EI$89),0))</f>
        <v>0</v>
      </c>
      <c r="L66" s="763">
        <f>IF(L$5="","",IFERROR(SUMIF('Annual Cash Flow'!$G$46:$EI$46,L$5,'Annual Cash Flow'!$G$89:$EI$89),0))</f>
        <v>0</v>
      </c>
      <c r="M66" s="763">
        <f>IF(M$5="","",IFERROR(SUMIF('Annual Cash Flow'!$G$46:$EI$46,M$5,'Annual Cash Flow'!$G$89:$EI$89),0))</f>
        <v>707935051.93010986</v>
      </c>
      <c r="N66" s="763">
        <f>IF(N$5="","",IFERROR(SUMIF('Annual Cash Flow'!$G$46:$EI$46,N$5,'Annual Cash Flow'!$G$89:$EI$89),0))</f>
        <v>0</v>
      </c>
      <c r="O66" s="763" t="str">
        <f>IF(O$5="","",IFERROR(SUMIF('Annual Cash Flow'!$G$46:$EI$46,O$5,'Annual Cash Flow'!$G$89:$EI$89),0))</f>
        <v/>
      </c>
      <c r="P66" s="763" t="str">
        <f>IF(P$5="","",IFERROR(SUMIF('Annual Cash Flow'!$G$46:$EI$46,P$5,'Annual Cash Flow'!$G$89:$EI$89),0))</f>
        <v/>
      </c>
      <c r="Q66" s="763" t="str">
        <f>IF(Q$5="","",IFERROR(SUMIF('Annual Cash Flow'!$G$46:$EI$46,Q$5,'Annual Cash Flow'!$G$89:$EI$89),0))</f>
        <v/>
      </c>
      <c r="R66" s="763" t="str">
        <f>IF(R$5="","",IFERROR(SUMIF('Annual Cash Flow'!$G$46:$EI$46,R$5,'Annual Cash Flow'!$G$89:$EI$89),0))</f>
        <v/>
      </c>
      <c r="S66" s="763" t="str">
        <f>IF(S$5="","",IFERROR(SUMIF('Annual Cash Flow'!$G$46:$EI$46,S$5,'Annual Cash Flow'!$G$89:$EI$89),0))</f>
        <v/>
      </c>
      <c r="T66" s="763" t="str">
        <f>IF(T$5="","",IFERROR(SUMIF('Annual Cash Flow'!$G$46:$EI$46,T$5,'Annual Cash Flow'!$G$89:$EI$89),0))</f>
        <v/>
      </c>
      <c r="U66" s="763" t="str">
        <f>IF(U$5="","",IFERROR(SUMIF('Annual Cash Flow'!$G$46:$EI$46,U$5,'Annual Cash Flow'!$G$89:$EI$89),0))</f>
        <v/>
      </c>
      <c r="V66" s="763" t="str">
        <f>IF(V$5="","",IFERROR(SUMIF('Annual Cash Flow'!$G$46:$EI$46,V$5,'Annual Cash Flow'!$G$89:$EI$89),0))</f>
        <v/>
      </c>
      <c r="W66" s="763" t="str">
        <f>IF(W$5="","",IFERROR(SUMIF('Annual Cash Flow'!$G$46:$EI$46,W$5,'Annual Cash Flow'!$G$89:$EI$89),0))</f>
        <v/>
      </c>
      <c r="X66" s="763" t="str">
        <f>IF(X$5="","",IFERROR(SUMIF('Annual Cash Flow'!$G$46:$EI$46,X$5,'Annual Cash Flow'!$G$89:$EI$89),0))</f>
        <v/>
      </c>
    </row>
    <row r="67" spans="2:24" x14ac:dyDescent="0.35">
      <c r="B67" s="95" t="s">
        <v>715</v>
      </c>
      <c r="C67" s="164"/>
      <c r="D67" s="164"/>
      <c r="E67" s="164"/>
      <c r="F67" s="164"/>
      <c r="G67" s="763">
        <f t="shared" ref="G67:L67" si="33">IF(G$5="","",SUM(G65:G66,G68))</f>
        <v>-100459131.21831875</v>
      </c>
      <c r="H67" s="763">
        <f t="shared" si="33"/>
        <v>-62397919.690587468</v>
      </c>
      <c r="I67" s="763">
        <f t="shared" si="33"/>
        <v>-234227519.59853825</v>
      </c>
      <c r="J67" s="763">
        <f t="shared" si="33"/>
        <v>-51898444.050289989</v>
      </c>
      <c r="K67" s="763">
        <f t="shared" si="33"/>
        <v>126379.39625293645</v>
      </c>
      <c r="L67" s="763">
        <f t="shared" si="33"/>
        <v>0</v>
      </c>
      <c r="M67" s="763">
        <f t="shared" ref="M67:X67" si="34">IF(M$5="","",SUM(M65:M66,M68))</f>
        <v>707935051.93010986</v>
      </c>
      <c r="N67" s="763">
        <f t="shared" si="34"/>
        <v>0</v>
      </c>
      <c r="O67" s="763" t="str">
        <f t="shared" si="34"/>
        <v/>
      </c>
      <c r="P67" s="763" t="str">
        <f t="shared" si="34"/>
        <v/>
      </c>
      <c r="Q67" s="763" t="str">
        <f t="shared" si="34"/>
        <v/>
      </c>
      <c r="R67" s="763" t="str">
        <f t="shared" si="34"/>
        <v/>
      </c>
      <c r="S67" s="763" t="str">
        <f t="shared" si="34"/>
        <v/>
      </c>
      <c r="T67" s="763" t="str">
        <f t="shared" si="34"/>
        <v/>
      </c>
      <c r="U67" s="763" t="str">
        <f t="shared" si="34"/>
        <v/>
      </c>
      <c r="V67" s="763" t="str">
        <f t="shared" si="34"/>
        <v/>
      </c>
      <c r="W67" s="763" t="str">
        <f t="shared" si="34"/>
        <v/>
      </c>
      <c r="X67" s="763" t="str">
        <f t="shared" si="34"/>
        <v/>
      </c>
    </row>
    <row r="68" spans="2:24" x14ac:dyDescent="0.35">
      <c r="B68" s="757" t="s">
        <v>716</v>
      </c>
      <c r="C68" s="747"/>
      <c r="D68" s="747"/>
      <c r="E68" s="747"/>
      <c r="F68" s="747"/>
      <c r="G68" s="765">
        <f>IF(G$5="","",-SUMIFS(DEBT!$F$188:$DV$188,DEBT!$F$64:$DV$64,"&gt;"&amp;EOMONTH(G$6,-12),DEBT!$F$64:$DV$64,"&lt;="&amp;G$6))</f>
        <v>-7441417.12728287</v>
      </c>
      <c r="H68" s="762">
        <f>IF(H$5="","",-SUMIFS(DEBT!$F$188:$DV$188,DEBT!$F$64:$DV$64,"&gt;"&amp;EOMONTH(H$6,-12),DEBT!$F$64:$DV$64,"&lt;="&amp;H$6))</f>
        <v>5340222.7980661942</v>
      </c>
      <c r="I68" s="765">
        <f>IF(I$5="","",-SUMIFS(DEBT!$F$188:$DV$188,DEBT!$F$64:$DV$64,"&gt;"&amp;EOMONTH(I$6,-12),DEBT!$F$64:$DV$64,"&lt;="&amp;I$6))</f>
        <v>-345395.27257881267</v>
      </c>
      <c r="J68" s="765">
        <f>IF(J$5="","",-SUMIFS(DEBT!$F$188:$DV$188,DEBT!$F$64:$DV$64,"&gt;"&amp;EOMONTH(J$6,-12),DEBT!$F$64:$DV$64,"&lt;="&amp;J$6))</f>
        <v>2320210.2055425541</v>
      </c>
      <c r="K68" s="765">
        <f>IF(K$5="","",-SUMIFS(DEBT!$F$188:$DV$188,DEBT!$F$64:$DV$64,"&gt;"&amp;EOMONTH(K$6,-12),DEBT!$F$64:$DV$64,"&lt;="&amp;K$6))</f>
        <v>126379.39625293645</v>
      </c>
      <c r="L68" s="765">
        <f>IF(L$5="","",-SUMIFS(DEBT!$F$188:$DV$188,DEBT!$F$64:$DV$64,"&gt;"&amp;EOMONTH(L$6,-12),DEBT!$F$64:$DV$64,"&lt;="&amp;L$6))</f>
        <v>0</v>
      </c>
      <c r="M68" s="765">
        <f>IF(M$5="","",-SUMIFS(DEBT!$F$188:$DV$188,DEBT!$F$64:$DV$64,"&gt;"&amp;EOMONTH(M$6,-12),DEBT!$F$64:$DV$64,"&lt;="&amp;M$6))</f>
        <v>0</v>
      </c>
      <c r="N68" s="765">
        <f>IF(N$5="","",-SUMIFS(DEBT!$F$188:$DV$188,DEBT!$F$64:$DV$64,"&gt;"&amp;EOMONTH(N$6,-12),DEBT!$F$64:$DV$64,"&lt;="&amp;N$6))</f>
        <v>0</v>
      </c>
      <c r="O68" s="765" t="str">
        <f>IF(O$5="","",-SUMIFS(DEBT!$F$188:$DV$188,DEBT!$F$64:$DV$64,"&gt;"&amp;EOMONTH(O$6,-12),DEBT!$F$64:$DV$64,"&lt;="&amp;O$6))</f>
        <v/>
      </c>
      <c r="P68" s="765" t="str">
        <f>IF(P$5="","",-SUMIFS(DEBT!$F$188:$DV$188,DEBT!$F$64:$DV$64,"&gt;"&amp;EOMONTH(P$6,-12),DEBT!$F$64:$DV$64,"&lt;="&amp;P$6))</f>
        <v/>
      </c>
      <c r="Q68" s="765" t="str">
        <f>IF(Q$5="","",-SUMIFS(DEBT!$F$188:$DV$188,DEBT!$F$64:$DV$64,"&gt;"&amp;EOMONTH(Q$6,-12),DEBT!$F$64:$DV$64,"&lt;="&amp;Q$6))</f>
        <v/>
      </c>
      <c r="R68" s="765" t="str">
        <f>IF(R$5="","",-SUMIFS(DEBT!$F$188:$DV$188,DEBT!$F$64:$DV$64,"&gt;"&amp;EOMONTH(R$6,-12),DEBT!$F$64:$DV$64,"&lt;="&amp;R$6))</f>
        <v/>
      </c>
      <c r="S68" s="765" t="str">
        <f>IF(S$5="","",-SUMIFS(DEBT!$F$188:$DV$188,DEBT!$F$64:$DV$64,"&gt;"&amp;EOMONTH(S$6,-12),DEBT!$F$64:$DV$64,"&lt;="&amp;S$6))</f>
        <v/>
      </c>
      <c r="T68" s="765" t="str">
        <f>IF(T$5="","",-SUMIFS(DEBT!$F$188:$DV$188,DEBT!$F$64:$DV$64,"&gt;"&amp;EOMONTH(T$6,-12),DEBT!$F$64:$DV$64,"&lt;="&amp;T$6))</f>
        <v/>
      </c>
      <c r="U68" s="765" t="str">
        <f>IF(U$5="","",-SUMIFS(DEBT!$F$188:$DV$188,DEBT!$F$64:$DV$64,"&gt;"&amp;EOMONTH(U$6,-12),DEBT!$F$64:$DV$64,"&lt;="&amp;U$6))</f>
        <v/>
      </c>
      <c r="V68" s="765" t="str">
        <f>IF(V$5="","",-SUMIFS(DEBT!$F$188:$DV$188,DEBT!$F$64:$DV$64,"&gt;"&amp;EOMONTH(V$6,-12),DEBT!$F$64:$DV$64,"&lt;="&amp;V$6))</f>
        <v/>
      </c>
      <c r="W68" s="765" t="str">
        <f>IF(W$5="","",-SUMIFS(DEBT!$F$188:$DV$188,DEBT!$F$64:$DV$64,"&gt;"&amp;EOMONTH(W$6,-12),DEBT!$F$64:$DV$64,"&lt;="&amp;W$6))</f>
        <v/>
      </c>
      <c r="X68" s="765" t="str">
        <f>IF(X$5="","",-SUMIFS(DEBT!$F$188:$DV$188,DEBT!$F$64:$DV$64,"&gt;"&amp;EOMONTH(X$6,-12),DEBT!$F$64:$DV$64,"&lt;="&amp;X$6))</f>
        <v/>
      </c>
    </row>
    <row r="69" spans="2:24" x14ac:dyDescent="0.35">
      <c r="B69" s="114" t="s">
        <v>717</v>
      </c>
      <c r="C69" s="164"/>
      <c r="D69" s="164"/>
      <c r="E69" s="164"/>
      <c r="F69" s="27"/>
      <c r="G69" s="763"/>
      <c r="H69" s="763">
        <v>0</v>
      </c>
      <c r="I69" s="763">
        <v>0</v>
      </c>
      <c r="J69" s="763">
        <v>0</v>
      </c>
      <c r="K69" s="763">
        <v>0</v>
      </c>
      <c r="L69" s="763">
        <v>1</v>
      </c>
      <c r="M69" s="763">
        <v>2</v>
      </c>
      <c r="N69" s="763">
        <v>3</v>
      </c>
      <c r="O69" s="763">
        <v>4</v>
      </c>
      <c r="P69" s="763">
        <v>5</v>
      </c>
      <c r="Q69" s="763">
        <v>6</v>
      </c>
      <c r="R69" s="763">
        <v>7</v>
      </c>
      <c r="S69" s="763">
        <v>8</v>
      </c>
      <c r="T69" s="763">
        <v>9</v>
      </c>
      <c r="U69" s="763">
        <v>10</v>
      </c>
      <c r="V69" s="763">
        <v>11</v>
      </c>
      <c r="W69" s="763">
        <v>12</v>
      </c>
      <c r="X69" s="763">
        <v>13</v>
      </c>
    </row>
    <row r="70" spans="2:24" x14ac:dyDescent="0.35">
      <c r="B70" s="180" t="s">
        <v>718</v>
      </c>
      <c r="C70" s="164"/>
      <c r="D70" s="164"/>
      <c r="E70" s="164"/>
      <c r="F70" s="164"/>
      <c r="G70" s="763">
        <f>IF(G$5="","",IFERROR(SUMIF('Annual Cash Flow'!$G$46:$EI$46,G$5,'Annual Cash Flow'!$G$85:$EI$85),0))</f>
        <v>16628131.21831876</v>
      </c>
      <c r="H70" s="763">
        <f>IF(H$5="","",IFERROR(SUMIF('Annual Cash Flow'!$G$46:$EI$46,H$5,'Annual Cash Flow'!$G$85:$EI$85),0))</f>
        <v>69747077.717133224</v>
      </c>
      <c r="I70" s="763">
        <f>IF(I$5="","",IFERROR(SUMIF('Annual Cash Flow'!$G$46:$EI$46,I$5,'Annual Cash Flow'!$G$85:$EI$85),0))</f>
        <v>124570832.63232198</v>
      </c>
      <c r="J70" s="763">
        <f>IF(J$5="","",IFERROR(SUMIF('Annual Cash Flow'!$G$46:$EI$46,J$5,'Annual Cash Flow'!$G$85:$EI$85),0))</f>
        <v>24256611.939439625</v>
      </c>
      <c r="K70" s="763">
        <f>IF(K$5="","",IFERROR(SUMIF('Annual Cash Flow'!$G$46:$EI$46,K$5,'Annual Cash Flow'!$G$85:$EI$85),0))</f>
        <v>0</v>
      </c>
      <c r="L70" s="763">
        <f>IF(L$5="","",IFERROR(SUMIF('Annual Cash Flow'!$G$46:$EI$46,L$5,'Annual Cash Flow'!$G$85:$EI$85),0))</f>
        <v>0</v>
      </c>
      <c r="M70" s="763">
        <f>IF(M$5="","",IFERROR(SUMIF('Annual Cash Flow'!$G$46:$EI$46,M$5,'Annual Cash Flow'!$G$85:$EI$85),0))</f>
        <v>0</v>
      </c>
      <c r="N70" s="763">
        <f>IF(N$5="","",IFERROR(SUMIF('Annual Cash Flow'!$G$46:$EI$46,N$5,'Annual Cash Flow'!$G$85:$EI$85),0))</f>
        <v>0</v>
      </c>
      <c r="O70" s="763" t="str">
        <f>IF(O$5="","",IFERROR(SUMIF('Annual Cash Flow'!$G$46:$EI$46,O$5,'Annual Cash Flow'!$G$85:$EI$85),0))</f>
        <v/>
      </c>
      <c r="P70" s="763" t="str">
        <f>IF(P$5="","",IFERROR(SUMIF('Annual Cash Flow'!$G$46:$EI$46,P$5,'Annual Cash Flow'!$G$85:$EI$85),0))</f>
        <v/>
      </c>
      <c r="Q70" s="763" t="str">
        <f>IF(Q$5="","",IFERROR(SUMIF('Annual Cash Flow'!$G$46:$EI$46,Q$5,'Annual Cash Flow'!$G$85:$EI$85),0))</f>
        <v/>
      </c>
      <c r="R70" s="763" t="str">
        <f>IF(R$5="","",IFERROR(SUMIF('Annual Cash Flow'!$G$46:$EI$46,R$5,'Annual Cash Flow'!$G$85:$EI$85),0))</f>
        <v/>
      </c>
      <c r="S70" s="763" t="str">
        <f>IF(S$5="","",IFERROR(SUMIF('Annual Cash Flow'!$G$46:$EI$46,S$5,'Annual Cash Flow'!$G$85:$EI$85),0))</f>
        <v/>
      </c>
      <c r="T70" s="763" t="str">
        <f>IF(T$5="","",IFERROR(SUMIF('Annual Cash Flow'!$G$46:$EI$46,T$5,'Annual Cash Flow'!$G$85:$EI$85),0))</f>
        <v/>
      </c>
      <c r="U70" s="763" t="str">
        <f>IF(U$5="","",IFERROR(SUMIF('Annual Cash Flow'!$G$46:$EI$46,U$5,'Annual Cash Flow'!$G$85:$EI$85),0))</f>
        <v/>
      </c>
      <c r="V70" s="763" t="str">
        <f>IF(V$5="","",IFERROR(SUMIF('Annual Cash Flow'!$G$46:$EI$46,V$5,'Annual Cash Flow'!$G$85:$EI$85),0))</f>
        <v/>
      </c>
      <c r="W70" s="763" t="str">
        <f>IF(W$5="","",IFERROR(SUMIF('Annual Cash Flow'!$G$46:$EI$46,W$5,'Annual Cash Flow'!$G$85:$EI$85),0))</f>
        <v/>
      </c>
      <c r="X70" s="763" t="str">
        <f>IF(X$5="","",IFERROR(SUMIF('Annual Cash Flow'!$G$46:$EI$46,X$5,'Annual Cash Flow'!$G$85:$EI$85),0))</f>
        <v/>
      </c>
    </row>
    <row r="71" spans="2:24" x14ac:dyDescent="0.35">
      <c r="B71" s="180" t="s">
        <v>719</v>
      </c>
      <c r="C71" s="164"/>
      <c r="D71" s="164"/>
      <c r="E71" s="164"/>
      <c r="F71" s="164"/>
      <c r="G71" s="763">
        <f>IF(G$5="","",IFERROR(SUMIF('Annual Cash Flow'!$G$46:$EI$46,G$5,'Annual Cash Flow'!$G$90:$EI$90),0))</f>
        <v>0</v>
      </c>
      <c r="H71" s="763">
        <f>IF(H$5="","",IFERROR(SUMIF('Annual Cash Flow'!$G$46:$EI$46,H$5,'Annual Cash Flow'!$G$90:$EI$90),0))</f>
        <v>0</v>
      </c>
      <c r="I71" s="763">
        <f>IF(I$5="","",IFERROR(SUMIF('Annual Cash Flow'!$G$46:$EI$46,I$5,'Annual Cash Flow'!$G$90:$EI$90),0))</f>
        <v>0</v>
      </c>
      <c r="J71" s="763">
        <f>IF(J$5="","",IFERROR(SUMIF('Annual Cash Flow'!$G$46:$EI$46,J$5,'Annual Cash Flow'!$G$90:$EI$90),0))</f>
        <v>0</v>
      </c>
      <c r="K71" s="763">
        <f>IF(K$5="","",IFERROR(SUMIF('Annual Cash Flow'!$G$46:$EI$46,K$5,'Annual Cash Flow'!$G$90:$EI$90),0))</f>
        <v>0</v>
      </c>
      <c r="L71" s="763">
        <f>IF(L$5="","",IFERROR(SUMIF('Annual Cash Flow'!$G$46:$EI$46,L$5,'Annual Cash Flow'!$G$90:$EI$90),0))</f>
        <v>0</v>
      </c>
      <c r="M71" s="763">
        <f>IF(M$5="","",IFERROR(SUMIF('Annual Cash Flow'!$G$46:$EI$46,M$5,'Annual Cash Flow'!$G$90:$EI$90),0))</f>
        <v>-235202653.50721359</v>
      </c>
      <c r="N71" s="763">
        <f>IF(N$5="","",IFERROR(SUMIF('Annual Cash Flow'!$G$46:$EI$46,N$5,'Annual Cash Flow'!$G$90:$EI$90),0))</f>
        <v>0</v>
      </c>
      <c r="O71" s="763" t="str">
        <f>IF(O$5="","",IFERROR(SUMIF('Annual Cash Flow'!$G$46:$EI$46,O$5,'Annual Cash Flow'!$G$90:$EI$90),0))</f>
        <v/>
      </c>
      <c r="P71" s="763" t="str">
        <f>IF(P$5="","",IFERROR(SUMIF('Annual Cash Flow'!$G$46:$EI$46,P$5,'Annual Cash Flow'!$G$90:$EI$90),0))</f>
        <v/>
      </c>
      <c r="Q71" s="763" t="str">
        <f>IF(Q$5="","",IFERROR(SUMIF('Annual Cash Flow'!$G$46:$EI$46,Q$5,'Annual Cash Flow'!$G$90:$EI$90),0))</f>
        <v/>
      </c>
      <c r="R71" s="763" t="str">
        <f>IF(R$5="","",IFERROR(SUMIF('Annual Cash Flow'!$G$46:$EI$46,R$5,'Annual Cash Flow'!$G$90:$EI$90),0))</f>
        <v/>
      </c>
      <c r="S71" s="763" t="str">
        <f>IF(S$5="","",IFERROR(SUMIF('Annual Cash Flow'!$G$46:$EI$46,S$5,'Annual Cash Flow'!$G$90:$EI$90),0))</f>
        <v/>
      </c>
      <c r="T71" s="763" t="str">
        <f>IF(T$5="","",IFERROR(SUMIF('Annual Cash Flow'!$G$46:$EI$46,T$5,'Annual Cash Flow'!$G$90:$EI$90),0))</f>
        <v/>
      </c>
      <c r="U71" s="763" t="str">
        <f>IF(U$5="","",IFERROR(SUMIF('Annual Cash Flow'!$G$46:$EI$46,U$5,'Annual Cash Flow'!$G$90:$EI$90),0))</f>
        <v/>
      </c>
      <c r="V71" s="763" t="str">
        <f>IF(V$5="","",IFERROR(SUMIF('Annual Cash Flow'!$G$46:$EI$46,V$5,'Annual Cash Flow'!$G$90:$EI$90),0))</f>
        <v/>
      </c>
      <c r="W71" s="763" t="str">
        <f>IF(W$5="","",IFERROR(SUMIF('Annual Cash Flow'!$G$46:$EI$46,W$5,'Annual Cash Flow'!$G$90:$EI$90),0))</f>
        <v/>
      </c>
      <c r="X71" s="763" t="str">
        <f>IF(X$5="","",IFERROR(SUMIF('Annual Cash Flow'!$G$46:$EI$46,X$5,'Annual Cash Flow'!$G$90:$EI$90),0))</f>
        <v/>
      </c>
    </row>
    <row r="72" spans="2:24" x14ac:dyDescent="0.35">
      <c r="B72" s="180" t="s">
        <v>720</v>
      </c>
      <c r="C72" s="164"/>
      <c r="D72" s="164"/>
      <c r="E72" s="164"/>
      <c r="F72" s="164"/>
      <c r="G72" s="763">
        <f t="shared" ref="G72:L72" si="35">IF(G$5="","",-G25)</f>
        <v>0</v>
      </c>
      <c r="H72" s="763">
        <f t="shared" si="35"/>
        <v>0</v>
      </c>
      <c r="I72" s="763">
        <f t="shared" si="35"/>
        <v>-4240280.340307924</v>
      </c>
      <c r="J72" s="763">
        <f t="shared" si="35"/>
        <v>-14719658.888164965</v>
      </c>
      <c r="K72" s="763">
        <f t="shared" si="35"/>
        <v>-16887197.43247278</v>
      </c>
      <c r="L72" s="763">
        <f t="shared" si="35"/>
        <v>-18018164.319658082</v>
      </c>
      <c r="M72" s="763">
        <f t="shared" ref="M72:X72" si="36">IF(M$5="","",-M25)</f>
        <v>-1554903.020988079</v>
      </c>
      <c r="N72" s="763">
        <f t="shared" si="36"/>
        <v>0</v>
      </c>
      <c r="O72" s="763" t="str">
        <f t="shared" si="36"/>
        <v/>
      </c>
      <c r="P72" s="763" t="str">
        <f t="shared" si="36"/>
        <v/>
      </c>
      <c r="Q72" s="763" t="str">
        <f t="shared" si="36"/>
        <v/>
      </c>
      <c r="R72" s="763" t="str">
        <f t="shared" si="36"/>
        <v/>
      </c>
      <c r="S72" s="763" t="str">
        <f t="shared" si="36"/>
        <v/>
      </c>
      <c r="T72" s="763" t="str">
        <f t="shared" si="36"/>
        <v/>
      </c>
      <c r="U72" s="763" t="str">
        <f t="shared" si="36"/>
        <v/>
      </c>
      <c r="V72" s="763" t="str">
        <f t="shared" si="36"/>
        <v/>
      </c>
      <c r="W72" s="763" t="str">
        <f t="shared" si="36"/>
        <v/>
      </c>
      <c r="X72" s="763" t="str">
        <f t="shared" si="36"/>
        <v/>
      </c>
    </row>
    <row r="73" spans="2:24" x14ac:dyDescent="0.35">
      <c r="B73" s="180" t="s">
        <v>721</v>
      </c>
      <c r="C73" s="164"/>
      <c r="D73" s="164"/>
      <c r="E73" s="164"/>
      <c r="F73" s="164"/>
      <c r="G73" s="763">
        <f t="shared" ref="G73:L73" si="37">IF(G$5="","",MAX(0,-(G80+SUM(G62,G67,G70:G72))))</f>
        <v>83830999.999999985</v>
      </c>
      <c r="H73" s="763">
        <f t="shared" si="37"/>
        <v>0</v>
      </c>
      <c r="I73" s="763">
        <f t="shared" si="37"/>
        <v>111918967.30652419</v>
      </c>
      <c r="J73" s="763">
        <f t="shared" si="37"/>
        <v>28685860.999015331</v>
      </c>
      <c r="K73" s="763">
        <f t="shared" si="37"/>
        <v>0</v>
      </c>
      <c r="L73" s="763">
        <f t="shared" si="37"/>
        <v>0</v>
      </c>
      <c r="M73" s="763">
        <f t="shared" ref="M73:X73" si="38">IF(M$5="","",MAX(0,-(M80+SUM(M62,M67,M70:M72))))</f>
        <v>0</v>
      </c>
      <c r="N73" s="763">
        <f t="shared" si="38"/>
        <v>0</v>
      </c>
      <c r="O73" s="763" t="str">
        <f t="shared" si="38"/>
        <v/>
      </c>
      <c r="P73" s="763" t="str">
        <f t="shared" si="38"/>
        <v/>
      </c>
      <c r="Q73" s="763" t="str">
        <f t="shared" si="38"/>
        <v/>
      </c>
      <c r="R73" s="763" t="str">
        <f t="shared" si="38"/>
        <v/>
      </c>
      <c r="S73" s="763" t="str">
        <f t="shared" si="38"/>
        <v/>
      </c>
      <c r="T73" s="763" t="str">
        <f t="shared" si="38"/>
        <v/>
      </c>
      <c r="U73" s="763" t="str">
        <f t="shared" si="38"/>
        <v/>
      </c>
      <c r="V73" s="763" t="str">
        <f t="shared" si="38"/>
        <v/>
      </c>
      <c r="W73" s="763" t="str">
        <f t="shared" si="38"/>
        <v/>
      </c>
      <c r="X73" s="763" t="str">
        <f t="shared" si="38"/>
        <v/>
      </c>
    </row>
    <row r="74" spans="2:24" x14ac:dyDescent="0.35">
      <c r="B74" s="180" t="s">
        <v>722</v>
      </c>
      <c r="C74" s="164"/>
      <c r="D74" s="164"/>
      <c r="E74" s="164"/>
      <c r="F74" s="164"/>
      <c r="G74" s="763">
        <f t="shared" ref="G74:L74" si="39">IF(G$5="","",IF(G66&lt;&gt;0,0,-MAX(0,G80+SUM(G62,G67,G70:G72))))</f>
        <v>0</v>
      </c>
      <c r="H74" s="763">
        <f t="shared" si="39"/>
        <v>-7349158.0265457556</v>
      </c>
      <c r="I74" s="763">
        <f t="shared" si="39"/>
        <v>0</v>
      </c>
      <c r="J74" s="763">
        <f t="shared" si="39"/>
        <v>0</v>
      </c>
      <c r="K74" s="763">
        <f t="shared" si="39"/>
        <v>-12475342.810945258</v>
      </c>
      <c r="L74" s="763">
        <f t="shared" si="39"/>
        <v>-29309945.454041313</v>
      </c>
      <c r="M74" s="763">
        <f t="shared" ref="M74:X74" si="40">IF(M$5="","",IF(M66&lt;&gt;0,0,-MAX(0,M80+SUM(M62,M67,M70:M72))))</f>
        <v>0</v>
      </c>
      <c r="N74" s="763">
        <f t="shared" si="40"/>
        <v>-475188055.97037423</v>
      </c>
      <c r="O74" s="763" t="str">
        <f t="shared" si="40"/>
        <v/>
      </c>
      <c r="P74" s="763" t="str">
        <f t="shared" si="40"/>
        <v/>
      </c>
      <c r="Q74" s="763" t="str">
        <f t="shared" si="40"/>
        <v/>
      </c>
      <c r="R74" s="763" t="str">
        <f t="shared" si="40"/>
        <v/>
      </c>
      <c r="S74" s="763" t="str">
        <f t="shared" si="40"/>
        <v/>
      </c>
      <c r="T74" s="763" t="str">
        <f t="shared" si="40"/>
        <v/>
      </c>
      <c r="U74" s="763" t="str">
        <f t="shared" si="40"/>
        <v/>
      </c>
      <c r="V74" s="763" t="str">
        <f t="shared" si="40"/>
        <v/>
      </c>
      <c r="W74" s="763" t="str">
        <f t="shared" si="40"/>
        <v/>
      </c>
      <c r="X74" s="763" t="str">
        <f t="shared" si="40"/>
        <v/>
      </c>
    </row>
    <row r="75" spans="2:24" x14ac:dyDescent="0.35">
      <c r="B75" s="95" t="s">
        <v>723</v>
      </c>
      <c r="C75" s="164"/>
      <c r="D75" s="164"/>
      <c r="E75" s="164"/>
      <c r="F75" s="164"/>
      <c r="G75" s="763">
        <f t="shared" ref="G75:L75" si="41">IF(G$5="","",SUM(G70:G74))</f>
        <v>100459131.21831875</v>
      </c>
      <c r="H75" s="763">
        <f t="shared" si="41"/>
        <v>62397919.690587468</v>
      </c>
      <c r="I75" s="763">
        <f t="shared" si="41"/>
        <v>232249519.59853825</v>
      </c>
      <c r="J75" s="763">
        <f t="shared" si="41"/>
        <v>38222814.050289989</v>
      </c>
      <c r="K75" s="763">
        <f t="shared" si="41"/>
        <v>-29362540.243418038</v>
      </c>
      <c r="L75" s="763">
        <f t="shared" si="41"/>
        <v>-47328109.773699395</v>
      </c>
      <c r="M75" s="763">
        <f t="shared" ref="M75:X75" si="42">IF(M$5="","",SUM(M70:M74))</f>
        <v>-236757556.52820167</v>
      </c>
      <c r="N75" s="763">
        <f t="shared" si="42"/>
        <v>-475188055.97037423</v>
      </c>
      <c r="O75" s="763" t="str">
        <f t="shared" si="42"/>
        <v/>
      </c>
      <c r="P75" s="763" t="str">
        <f t="shared" si="42"/>
        <v/>
      </c>
      <c r="Q75" s="763" t="str">
        <f t="shared" si="42"/>
        <v/>
      </c>
      <c r="R75" s="763" t="str">
        <f t="shared" si="42"/>
        <v/>
      </c>
      <c r="S75" s="763" t="str">
        <f t="shared" si="42"/>
        <v/>
      </c>
      <c r="T75" s="763" t="str">
        <f t="shared" si="42"/>
        <v/>
      </c>
      <c r="U75" s="763" t="str">
        <f t="shared" si="42"/>
        <v/>
      </c>
      <c r="V75" s="763" t="str">
        <f t="shared" si="42"/>
        <v/>
      </c>
      <c r="W75" s="763" t="str">
        <f t="shared" si="42"/>
        <v/>
      </c>
      <c r="X75" s="763" t="str">
        <f t="shared" si="42"/>
        <v/>
      </c>
    </row>
    <row r="76" spans="2:24" x14ac:dyDescent="0.35">
      <c r="B76" s="95"/>
      <c r="C76" s="164"/>
      <c r="D76" s="164"/>
      <c r="E76" s="164"/>
      <c r="F76" s="27"/>
      <c r="G76" s="763"/>
      <c r="H76" s="764"/>
      <c r="I76" s="763"/>
      <c r="J76" s="763"/>
      <c r="K76" s="763"/>
      <c r="L76" s="763"/>
      <c r="M76" s="763"/>
      <c r="N76" s="763"/>
      <c r="O76" s="763"/>
      <c r="P76" s="763"/>
      <c r="Q76" s="763"/>
      <c r="R76" s="763"/>
      <c r="S76" s="763"/>
      <c r="T76" s="763"/>
      <c r="U76" s="763"/>
      <c r="V76" s="763"/>
      <c r="W76" s="763"/>
      <c r="X76" s="763"/>
    </row>
    <row r="77" spans="2:24" x14ac:dyDescent="0.35">
      <c r="B77" s="180"/>
      <c r="C77" s="164"/>
      <c r="D77" s="164"/>
      <c r="E77" s="164"/>
      <c r="F77" s="164"/>
      <c r="G77" s="763"/>
      <c r="H77" s="763"/>
      <c r="I77" s="763"/>
      <c r="J77" s="763"/>
      <c r="K77" s="763"/>
      <c r="L77" s="763"/>
      <c r="M77" s="763"/>
      <c r="N77" s="763"/>
      <c r="O77" s="763"/>
      <c r="P77" s="763"/>
      <c r="Q77" s="763"/>
      <c r="R77" s="763"/>
      <c r="S77" s="763"/>
      <c r="T77" s="763"/>
      <c r="U77" s="763"/>
      <c r="V77" s="763"/>
      <c r="W77" s="763"/>
      <c r="X77" s="763"/>
    </row>
    <row r="78" spans="2:24" x14ac:dyDescent="0.35">
      <c r="B78" s="95" t="s">
        <v>724</v>
      </c>
      <c r="C78" s="164"/>
      <c r="D78" s="164"/>
      <c r="E78" s="164"/>
      <c r="F78" s="164"/>
      <c r="G78" s="763">
        <f t="shared" ref="G78:L78" si="43">IF(G$5="","",SUM(G62,G67,G75))</f>
        <v>0</v>
      </c>
      <c r="H78" s="763">
        <f t="shared" si="43"/>
        <v>0</v>
      </c>
      <c r="I78" s="763">
        <f t="shared" si="43"/>
        <v>0</v>
      </c>
      <c r="J78" s="763">
        <f t="shared" si="43"/>
        <v>0</v>
      </c>
      <c r="K78" s="763">
        <f t="shared" si="43"/>
        <v>0</v>
      </c>
      <c r="L78" s="763">
        <f t="shared" si="43"/>
        <v>0</v>
      </c>
      <c r="M78" s="763">
        <f t="shared" ref="M78:X78" si="44">IF(M$5="","",SUM(M62,M67,M75))</f>
        <v>475216604.81206298</v>
      </c>
      <c r="N78" s="763">
        <f t="shared" si="44"/>
        <v>-475216604.81206298</v>
      </c>
      <c r="O78" s="763" t="str">
        <f t="shared" si="44"/>
        <v/>
      </c>
      <c r="P78" s="763" t="str">
        <f t="shared" si="44"/>
        <v/>
      </c>
      <c r="Q78" s="763" t="str">
        <f t="shared" si="44"/>
        <v/>
      </c>
      <c r="R78" s="763" t="str">
        <f t="shared" si="44"/>
        <v/>
      </c>
      <c r="S78" s="763" t="str">
        <f t="shared" si="44"/>
        <v/>
      </c>
      <c r="T78" s="763" t="str">
        <f t="shared" si="44"/>
        <v/>
      </c>
      <c r="U78" s="763" t="str">
        <f t="shared" si="44"/>
        <v/>
      </c>
      <c r="V78" s="763" t="str">
        <f t="shared" si="44"/>
        <v/>
      </c>
      <c r="W78" s="763" t="str">
        <f t="shared" si="44"/>
        <v/>
      </c>
      <c r="X78" s="763" t="str">
        <f t="shared" si="44"/>
        <v/>
      </c>
    </row>
    <row r="79" spans="2:24" x14ac:dyDescent="0.35">
      <c r="B79" s="95"/>
      <c r="C79" s="164"/>
      <c r="D79" s="164"/>
      <c r="E79" s="164"/>
      <c r="F79" s="27"/>
      <c r="G79" s="763"/>
      <c r="H79" s="764"/>
      <c r="I79" s="763"/>
      <c r="J79" s="763"/>
      <c r="K79" s="763"/>
      <c r="L79" s="763"/>
      <c r="M79" s="763"/>
      <c r="N79" s="763"/>
      <c r="O79" s="763"/>
      <c r="P79" s="763"/>
      <c r="Q79" s="763"/>
      <c r="R79" s="763"/>
      <c r="S79" s="763"/>
      <c r="T79" s="763"/>
      <c r="U79" s="763"/>
      <c r="V79" s="763"/>
      <c r="W79" s="763"/>
      <c r="X79" s="763"/>
    </row>
    <row r="80" spans="2:24" x14ac:dyDescent="0.35">
      <c r="B80" s="95" t="s">
        <v>725</v>
      </c>
      <c r="C80" s="164"/>
      <c r="D80" s="164"/>
      <c r="E80" s="164"/>
      <c r="F80" s="164"/>
      <c r="G80" s="763">
        <f>IF(G$5="","",0)</f>
        <v>0</v>
      </c>
      <c r="H80" s="763">
        <f>IF(H$5="","",G81)</f>
        <v>0</v>
      </c>
      <c r="I80" s="763">
        <f>IF(I$5="","",H81)</f>
        <v>0</v>
      </c>
      <c r="J80" s="763">
        <f>IF(J$5="","",I81)</f>
        <v>0</v>
      </c>
      <c r="K80" s="763">
        <f>IF(K$5="","",J81)</f>
        <v>0</v>
      </c>
      <c r="L80" s="763">
        <f>IF(L$5="","",K81)</f>
        <v>0</v>
      </c>
      <c r="M80" s="763">
        <f t="shared" ref="M80:X80" si="45">IF(M$5="","",L81)</f>
        <v>0</v>
      </c>
      <c r="N80" s="763">
        <f t="shared" si="45"/>
        <v>475216604.81206298</v>
      </c>
      <c r="O80" s="763" t="str">
        <f t="shared" si="45"/>
        <v/>
      </c>
      <c r="P80" s="763" t="str">
        <f t="shared" si="45"/>
        <v/>
      </c>
      <c r="Q80" s="763" t="str">
        <f t="shared" si="45"/>
        <v/>
      </c>
      <c r="R80" s="763" t="str">
        <f t="shared" si="45"/>
        <v/>
      </c>
      <c r="S80" s="763" t="str">
        <f t="shared" si="45"/>
        <v/>
      </c>
      <c r="T80" s="763" t="str">
        <f t="shared" si="45"/>
        <v/>
      </c>
      <c r="U80" s="763" t="str">
        <f t="shared" si="45"/>
        <v/>
      </c>
      <c r="V80" s="763" t="str">
        <f t="shared" si="45"/>
        <v/>
      </c>
      <c r="W80" s="763" t="str">
        <f t="shared" si="45"/>
        <v/>
      </c>
      <c r="X80" s="763" t="str">
        <f t="shared" si="45"/>
        <v/>
      </c>
    </row>
    <row r="81" spans="2:24" x14ac:dyDescent="0.35">
      <c r="B81" s="180" t="s">
        <v>726</v>
      </c>
      <c r="C81" s="164"/>
      <c r="D81" s="164"/>
      <c r="E81" s="164"/>
      <c r="F81" s="164"/>
      <c r="G81" s="763">
        <f t="shared" ref="G81:L81" si="46">IF(G$5="","",G80+G78)</f>
        <v>0</v>
      </c>
      <c r="H81" s="763">
        <f t="shared" si="46"/>
        <v>0</v>
      </c>
      <c r="I81" s="763">
        <f t="shared" si="46"/>
        <v>0</v>
      </c>
      <c r="J81" s="763">
        <f t="shared" si="46"/>
        <v>0</v>
      </c>
      <c r="K81" s="763">
        <f t="shared" si="46"/>
        <v>0</v>
      </c>
      <c r="L81" s="763">
        <f t="shared" si="46"/>
        <v>0</v>
      </c>
      <c r="M81" s="763">
        <f t="shared" ref="M81:X81" si="47">IF(M$5="","",M80+M78)</f>
        <v>475216604.81206298</v>
      </c>
      <c r="N81" s="763">
        <f t="shared" si="47"/>
        <v>0</v>
      </c>
      <c r="O81" s="763" t="str">
        <f t="shared" si="47"/>
        <v/>
      </c>
      <c r="P81" s="763" t="str">
        <f t="shared" si="47"/>
        <v/>
      </c>
      <c r="Q81" s="763" t="str">
        <f t="shared" si="47"/>
        <v/>
      </c>
      <c r="R81" s="763" t="str">
        <f t="shared" si="47"/>
        <v/>
      </c>
      <c r="S81" s="763" t="str">
        <f t="shared" si="47"/>
        <v/>
      </c>
      <c r="T81" s="763" t="str">
        <f t="shared" si="47"/>
        <v/>
      </c>
      <c r="U81" s="763" t="str">
        <f t="shared" si="47"/>
        <v/>
      </c>
      <c r="V81" s="763" t="str">
        <f t="shared" si="47"/>
        <v/>
      </c>
      <c r="W81" s="763" t="str">
        <f t="shared" si="47"/>
        <v/>
      </c>
      <c r="X81" s="763" t="str">
        <f t="shared" si="47"/>
        <v/>
      </c>
    </row>
    <row r="82" spans="2:24" x14ac:dyDescent="0.35">
      <c r="B82" s="180" t="s">
        <v>727</v>
      </c>
      <c r="C82" s="164"/>
      <c r="D82" s="164"/>
      <c r="E82" s="164"/>
      <c r="F82" s="164"/>
      <c r="G82" s="763">
        <f t="shared" ref="G82:L82" si="48">IF(G$5="","",G81-G33)</f>
        <v>0</v>
      </c>
      <c r="H82" s="763">
        <f t="shared" si="48"/>
        <v>0</v>
      </c>
      <c r="I82" s="763">
        <f t="shared" si="48"/>
        <v>0</v>
      </c>
      <c r="J82" s="763">
        <f t="shared" si="48"/>
        <v>0</v>
      </c>
      <c r="K82" s="763">
        <f t="shared" si="48"/>
        <v>0</v>
      </c>
      <c r="L82" s="763">
        <f t="shared" si="48"/>
        <v>0</v>
      </c>
      <c r="M82" s="763">
        <f t="shared" ref="M82:X82" si="49">IF(M$5="","",M81-M33)</f>
        <v>0</v>
      </c>
      <c r="N82" s="763">
        <f t="shared" si="49"/>
        <v>0</v>
      </c>
      <c r="O82" s="763" t="str">
        <f t="shared" si="49"/>
        <v/>
      </c>
      <c r="P82" s="763" t="str">
        <f t="shared" si="49"/>
        <v/>
      </c>
      <c r="Q82" s="763" t="str">
        <f t="shared" si="49"/>
        <v/>
      </c>
      <c r="R82" s="763" t="str">
        <f t="shared" si="49"/>
        <v/>
      </c>
      <c r="S82" s="763" t="str">
        <f t="shared" si="49"/>
        <v/>
      </c>
      <c r="T82" s="763" t="str">
        <f t="shared" si="49"/>
        <v/>
      </c>
      <c r="U82" s="763" t="str">
        <f t="shared" si="49"/>
        <v/>
      </c>
      <c r="V82" s="763" t="str">
        <f t="shared" si="49"/>
        <v/>
      </c>
      <c r="W82" s="763" t="str">
        <f t="shared" si="49"/>
        <v/>
      </c>
      <c r="X82" s="763" t="str">
        <f t="shared" si="49"/>
        <v/>
      </c>
    </row>
    <row r="83" spans="2:24" x14ac:dyDescent="0.35">
      <c r="B83" s="95"/>
      <c r="C83" s="164"/>
      <c r="D83" s="164"/>
      <c r="E83" s="164"/>
      <c r="F83" s="164"/>
      <c r="G83" s="763"/>
      <c r="H83" s="763"/>
      <c r="I83" s="763"/>
      <c r="J83" s="763"/>
      <c r="K83" s="763"/>
      <c r="L83" s="763"/>
      <c r="M83" s="763"/>
      <c r="N83" s="763"/>
      <c r="O83" s="763"/>
      <c r="P83" s="763"/>
      <c r="Q83" s="763"/>
      <c r="R83" s="763"/>
      <c r="S83" s="763"/>
      <c r="T83" s="763"/>
      <c r="U83" s="763"/>
      <c r="V83" s="763"/>
      <c r="W83" s="763"/>
      <c r="X83" s="763"/>
    </row>
    <row r="84" spans="2:24" x14ac:dyDescent="0.35">
      <c r="B84" s="95"/>
      <c r="C84" s="164"/>
      <c r="D84" s="164"/>
      <c r="E84" s="164"/>
      <c r="F84" s="164"/>
      <c r="G84" s="763"/>
      <c r="H84" s="763"/>
      <c r="I84" s="763"/>
      <c r="J84" s="763"/>
      <c r="K84" s="763"/>
      <c r="L84" s="763"/>
      <c r="M84" s="763"/>
      <c r="N84" s="763"/>
      <c r="O84" s="763"/>
      <c r="P84" s="763"/>
      <c r="Q84" s="763"/>
      <c r="R84" s="763"/>
      <c r="S84" s="763"/>
      <c r="T84" s="763"/>
      <c r="U84" s="763"/>
      <c r="V84" s="763"/>
      <c r="W84" s="763"/>
      <c r="X84" s="763"/>
    </row>
    <row r="85" spans="2:24" x14ac:dyDescent="0.35">
      <c r="B85" s="95"/>
      <c r="C85" s="164"/>
      <c r="D85" s="164"/>
      <c r="E85" s="164"/>
      <c r="F85" s="27"/>
      <c r="G85" s="763"/>
      <c r="H85" s="764"/>
      <c r="I85" s="763"/>
      <c r="J85" s="763"/>
      <c r="K85" s="763"/>
      <c r="L85" s="763"/>
      <c r="M85" s="763"/>
      <c r="N85" s="763"/>
      <c r="O85" s="763"/>
      <c r="P85" s="763"/>
      <c r="Q85" s="763"/>
      <c r="R85" s="763"/>
      <c r="S85" s="763"/>
      <c r="T85" s="763"/>
      <c r="U85" s="763"/>
      <c r="V85" s="763"/>
      <c r="W85" s="763"/>
      <c r="X85" s="763"/>
    </row>
    <row r="86" spans="2:24" x14ac:dyDescent="0.35">
      <c r="B86" s="95"/>
      <c r="C86" s="164"/>
      <c r="D86" s="164"/>
      <c r="E86" s="164"/>
      <c r="F86" s="27"/>
      <c r="G86" s="763"/>
      <c r="H86" s="764"/>
      <c r="I86" s="763"/>
      <c r="J86" s="763"/>
      <c r="K86" s="763"/>
      <c r="L86" s="763"/>
      <c r="M86" s="763"/>
      <c r="N86" s="763"/>
      <c r="O86" s="763"/>
      <c r="P86" s="763"/>
      <c r="Q86" s="763"/>
      <c r="R86" s="763"/>
      <c r="S86" s="763"/>
      <c r="T86" s="763"/>
      <c r="U86" s="763"/>
      <c r="V86" s="763"/>
      <c r="W86" s="763"/>
      <c r="X86" s="763"/>
    </row>
    <row r="87" spans="2:24" x14ac:dyDescent="0.35">
      <c r="B87" s="114" t="s">
        <v>728</v>
      </c>
      <c r="C87" s="164"/>
      <c r="D87" s="164"/>
      <c r="E87" s="164"/>
      <c r="F87" s="27"/>
      <c r="G87" s="763"/>
      <c r="H87" s="763"/>
      <c r="I87" s="763"/>
      <c r="J87" s="763"/>
      <c r="K87" s="763"/>
      <c r="L87" s="763"/>
      <c r="M87" s="763"/>
      <c r="N87" s="763"/>
      <c r="O87" s="763"/>
      <c r="P87" s="763"/>
      <c r="Q87" s="763"/>
      <c r="R87" s="763"/>
      <c r="S87" s="763"/>
      <c r="T87" s="763"/>
      <c r="U87" s="763"/>
      <c r="V87" s="763"/>
      <c r="W87" s="763"/>
      <c r="X87" s="763"/>
    </row>
    <row r="88" spans="2:24" x14ac:dyDescent="0.35">
      <c r="B88" s="180" t="s">
        <v>729</v>
      </c>
      <c r="C88" s="164"/>
      <c r="D88" s="164"/>
      <c r="E88" s="164"/>
      <c r="F88" s="164"/>
      <c r="G88" s="763">
        <f>0</f>
        <v>0</v>
      </c>
      <c r="H88" s="763">
        <f t="shared" ref="H88:X88" si="50">IF(H$5="","",G92)</f>
        <v>83830999.999999985</v>
      </c>
      <c r="I88" s="763">
        <f t="shared" si="50"/>
        <v>76481841.973454237</v>
      </c>
      <c r="J88" s="763">
        <f t="shared" si="50"/>
        <v>186310528.93967047</v>
      </c>
      <c r="K88" s="763">
        <f t="shared" si="50"/>
        <v>214091981.05052084</v>
      </c>
      <c r="L88" s="763">
        <f t="shared" si="50"/>
        <v>214592074.69768649</v>
      </c>
      <c r="M88" s="763">
        <f t="shared" si="50"/>
        <v>214675575.89631778</v>
      </c>
      <c r="N88" s="763">
        <f t="shared" si="50"/>
        <v>476247603.78861284</v>
      </c>
      <c r="O88" s="763" t="str">
        <f t="shared" si="50"/>
        <v/>
      </c>
      <c r="P88" s="763" t="str">
        <f t="shared" si="50"/>
        <v/>
      </c>
      <c r="Q88" s="763" t="str">
        <f t="shared" si="50"/>
        <v/>
      </c>
      <c r="R88" s="763" t="str">
        <f t="shared" si="50"/>
        <v/>
      </c>
      <c r="S88" s="763" t="str">
        <f t="shared" si="50"/>
        <v/>
      </c>
      <c r="T88" s="763" t="str">
        <f t="shared" si="50"/>
        <v/>
      </c>
      <c r="U88" s="763" t="str">
        <f t="shared" si="50"/>
        <v/>
      </c>
      <c r="V88" s="763" t="str">
        <f t="shared" si="50"/>
        <v/>
      </c>
      <c r="W88" s="763" t="str">
        <f t="shared" si="50"/>
        <v/>
      </c>
      <c r="X88" s="763" t="str">
        <f t="shared" si="50"/>
        <v/>
      </c>
    </row>
    <row r="89" spans="2:24" x14ac:dyDescent="0.35">
      <c r="B89" s="180" t="s">
        <v>721</v>
      </c>
      <c r="C89" s="164"/>
      <c r="D89" s="164"/>
      <c r="E89" s="164"/>
      <c r="F89" s="164"/>
      <c r="G89" s="763">
        <f>IF(G$5="","",G42)</f>
        <v>83830999.999999985</v>
      </c>
      <c r="H89" s="763">
        <f t="shared" ref="H89:X89" si="51">IF(H$5="","",H42-G42)</f>
        <v>0</v>
      </c>
      <c r="I89" s="763">
        <f t="shared" si="51"/>
        <v>111918967.30652417</v>
      </c>
      <c r="J89" s="763">
        <f t="shared" si="51"/>
        <v>28685860.999015331</v>
      </c>
      <c r="K89" s="763">
        <f t="shared" si="51"/>
        <v>0</v>
      </c>
      <c r="L89" s="763">
        <f t="shared" si="51"/>
        <v>0</v>
      </c>
      <c r="M89" s="763">
        <f t="shared" si="51"/>
        <v>0</v>
      </c>
      <c r="N89" s="763">
        <f t="shared" si="51"/>
        <v>0</v>
      </c>
      <c r="O89" s="763" t="str">
        <f t="shared" si="51"/>
        <v/>
      </c>
      <c r="P89" s="763" t="str">
        <f t="shared" si="51"/>
        <v/>
      </c>
      <c r="Q89" s="763" t="str">
        <f t="shared" si="51"/>
        <v/>
      </c>
      <c r="R89" s="763" t="str">
        <f t="shared" si="51"/>
        <v/>
      </c>
      <c r="S89" s="763" t="str">
        <f t="shared" si="51"/>
        <v/>
      </c>
      <c r="T89" s="763" t="str">
        <f t="shared" si="51"/>
        <v/>
      </c>
      <c r="U89" s="763" t="str">
        <f t="shared" si="51"/>
        <v/>
      </c>
      <c r="V89" s="763" t="str">
        <f t="shared" si="51"/>
        <v/>
      </c>
      <c r="W89" s="763" t="str">
        <f t="shared" si="51"/>
        <v/>
      </c>
      <c r="X89" s="763" t="str">
        <f t="shared" si="51"/>
        <v/>
      </c>
    </row>
    <row r="90" spans="2:24" x14ac:dyDescent="0.35">
      <c r="B90" s="180" t="s">
        <v>730</v>
      </c>
      <c r="C90" s="164"/>
      <c r="D90" s="164"/>
      <c r="E90" s="164"/>
      <c r="F90" s="164"/>
      <c r="G90" s="763">
        <f>IF(G$5="","",G30)</f>
        <v>0</v>
      </c>
      <c r="H90" s="763">
        <f t="shared" ref="H90:X90" si="52">IF(H$5="","",H30)</f>
        <v>0</v>
      </c>
      <c r="I90" s="763">
        <f t="shared" si="52"/>
        <v>-2090280.340307924</v>
      </c>
      <c r="J90" s="763">
        <f t="shared" si="52"/>
        <v>-904408.8881649673</v>
      </c>
      <c r="K90" s="763">
        <f t="shared" si="52"/>
        <v>12975436.458110891</v>
      </c>
      <c r="L90" s="763">
        <f t="shared" si="52"/>
        <v>29393446.6526726</v>
      </c>
      <c r="M90" s="763">
        <f t="shared" si="52"/>
        <v>261572027.89229503</v>
      </c>
      <c r="N90" s="763">
        <f t="shared" si="52"/>
        <v>0</v>
      </c>
      <c r="O90" s="763" t="str">
        <f t="shared" si="52"/>
        <v/>
      </c>
      <c r="P90" s="763" t="str">
        <f t="shared" si="52"/>
        <v/>
      </c>
      <c r="Q90" s="763" t="str">
        <f t="shared" si="52"/>
        <v/>
      </c>
      <c r="R90" s="763" t="str">
        <f t="shared" si="52"/>
        <v/>
      </c>
      <c r="S90" s="763" t="str">
        <f t="shared" si="52"/>
        <v/>
      </c>
      <c r="T90" s="763" t="str">
        <f t="shared" si="52"/>
        <v/>
      </c>
      <c r="U90" s="763" t="str">
        <f t="shared" si="52"/>
        <v/>
      </c>
      <c r="V90" s="763" t="str">
        <f t="shared" si="52"/>
        <v/>
      </c>
      <c r="W90" s="763" t="str">
        <f t="shared" si="52"/>
        <v/>
      </c>
      <c r="X90" s="763" t="str">
        <f t="shared" si="52"/>
        <v/>
      </c>
    </row>
    <row r="91" spans="2:24" x14ac:dyDescent="0.35">
      <c r="B91" s="180" t="s">
        <v>722</v>
      </c>
      <c r="C91" s="164"/>
      <c r="D91" s="164"/>
      <c r="E91" s="164"/>
      <c r="F91" s="164"/>
      <c r="G91" s="763">
        <f>IF(G$5="","",G44)</f>
        <v>0</v>
      </c>
      <c r="H91" s="763">
        <f t="shared" ref="H91:X91" si="53">IF(H$5="","",H44-G44)</f>
        <v>-7349158.0265457556</v>
      </c>
      <c r="I91" s="763">
        <f t="shared" si="53"/>
        <v>0</v>
      </c>
      <c r="J91" s="763">
        <f t="shared" si="53"/>
        <v>0</v>
      </c>
      <c r="K91" s="763">
        <f t="shared" si="53"/>
        <v>-12475342.810945258</v>
      </c>
      <c r="L91" s="763">
        <f t="shared" si="53"/>
        <v>-29309945.45404131</v>
      </c>
      <c r="M91" s="763">
        <f t="shared" si="53"/>
        <v>0</v>
      </c>
      <c r="N91" s="763">
        <f t="shared" si="53"/>
        <v>-475188055.97037423</v>
      </c>
      <c r="O91" s="763" t="str">
        <f t="shared" si="53"/>
        <v/>
      </c>
      <c r="P91" s="763" t="str">
        <f t="shared" si="53"/>
        <v/>
      </c>
      <c r="Q91" s="763" t="str">
        <f t="shared" si="53"/>
        <v/>
      </c>
      <c r="R91" s="763" t="str">
        <f t="shared" si="53"/>
        <v/>
      </c>
      <c r="S91" s="763" t="str">
        <f t="shared" si="53"/>
        <v/>
      </c>
      <c r="T91" s="763" t="str">
        <f t="shared" si="53"/>
        <v/>
      </c>
      <c r="U91" s="763" t="str">
        <f t="shared" si="53"/>
        <v/>
      </c>
      <c r="V91" s="763" t="str">
        <f t="shared" si="53"/>
        <v/>
      </c>
      <c r="W91" s="763" t="str">
        <f t="shared" si="53"/>
        <v/>
      </c>
      <c r="X91" s="763" t="str">
        <f t="shared" si="53"/>
        <v/>
      </c>
    </row>
    <row r="92" spans="2:24" x14ac:dyDescent="0.35">
      <c r="B92" s="95" t="s">
        <v>731</v>
      </c>
      <c r="C92" s="164"/>
      <c r="D92" s="164"/>
      <c r="E92" s="164"/>
      <c r="F92" s="164"/>
      <c r="G92" s="763">
        <f>IF(G$5="","",SUM(G88:G91))</f>
        <v>83830999.999999985</v>
      </c>
      <c r="H92" s="763">
        <f t="shared" ref="H92:X92" si="54">IF(H$5="","",SUM(H88:H91))</f>
        <v>76481841.973454237</v>
      </c>
      <c r="I92" s="763">
        <f t="shared" si="54"/>
        <v>186310528.93967047</v>
      </c>
      <c r="J92" s="763">
        <f t="shared" si="54"/>
        <v>214091981.05052084</v>
      </c>
      <c r="K92" s="763">
        <f t="shared" si="54"/>
        <v>214592074.69768649</v>
      </c>
      <c r="L92" s="763">
        <f t="shared" si="54"/>
        <v>214675575.89631778</v>
      </c>
      <c r="M92" s="763">
        <f t="shared" si="54"/>
        <v>476247603.78861284</v>
      </c>
      <c r="N92" s="763">
        <f t="shared" si="54"/>
        <v>1059547.818238616</v>
      </c>
      <c r="O92" s="763" t="str">
        <f t="shared" si="54"/>
        <v/>
      </c>
      <c r="P92" s="763" t="str">
        <f t="shared" si="54"/>
        <v/>
      </c>
      <c r="Q92" s="763" t="str">
        <f t="shared" si="54"/>
        <v/>
      </c>
      <c r="R92" s="763" t="str">
        <f t="shared" si="54"/>
        <v/>
      </c>
      <c r="S92" s="763" t="str">
        <f t="shared" si="54"/>
        <v/>
      </c>
      <c r="T92" s="763" t="str">
        <f t="shared" si="54"/>
        <v/>
      </c>
      <c r="U92" s="763" t="str">
        <f t="shared" si="54"/>
        <v/>
      </c>
      <c r="V92" s="763" t="str">
        <f t="shared" si="54"/>
        <v/>
      </c>
      <c r="W92" s="763" t="str">
        <f t="shared" si="54"/>
        <v/>
      </c>
      <c r="X92" s="763" t="str">
        <f t="shared" si="54"/>
        <v/>
      </c>
    </row>
    <row r="93" spans="2:24" x14ac:dyDescent="0.35">
      <c r="B93" s="180" t="s">
        <v>732</v>
      </c>
      <c r="C93" s="164"/>
      <c r="D93" s="164"/>
      <c r="E93" s="164"/>
      <c r="F93" s="164"/>
      <c r="G93" s="763">
        <f>IF(G$5="","",G45)</f>
        <v>83830999.999999985</v>
      </c>
      <c r="H93" s="763">
        <f t="shared" ref="H93:X93" si="55">IF(H$5="","",H45)</f>
        <v>76481841.973454237</v>
      </c>
      <c r="I93" s="763">
        <f t="shared" si="55"/>
        <v>186310528.93967047</v>
      </c>
      <c r="J93" s="763">
        <f t="shared" si="55"/>
        <v>214091981.05052084</v>
      </c>
      <c r="K93" s="763">
        <f t="shared" si="55"/>
        <v>214592074.69768649</v>
      </c>
      <c r="L93" s="763">
        <f t="shared" si="55"/>
        <v>214675575.89631778</v>
      </c>
      <c r="M93" s="763">
        <f t="shared" si="55"/>
        <v>476247603.78861278</v>
      </c>
      <c r="N93" s="763">
        <f t="shared" si="55"/>
        <v>1059547.8182385564</v>
      </c>
      <c r="O93" s="763" t="str">
        <f t="shared" si="55"/>
        <v/>
      </c>
      <c r="P93" s="763" t="str">
        <f t="shared" si="55"/>
        <v/>
      </c>
      <c r="Q93" s="763" t="str">
        <f t="shared" si="55"/>
        <v/>
      </c>
      <c r="R93" s="763" t="str">
        <f t="shared" si="55"/>
        <v/>
      </c>
      <c r="S93" s="763" t="str">
        <f t="shared" si="55"/>
        <v/>
      </c>
      <c r="T93" s="763" t="str">
        <f t="shared" si="55"/>
        <v/>
      </c>
      <c r="U93" s="763" t="str">
        <f t="shared" si="55"/>
        <v/>
      </c>
      <c r="V93" s="763" t="str">
        <f t="shared" si="55"/>
        <v/>
      </c>
      <c r="W93" s="763" t="str">
        <f t="shared" si="55"/>
        <v/>
      </c>
      <c r="X93" s="763" t="str">
        <f t="shared" si="55"/>
        <v/>
      </c>
    </row>
    <row r="94" spans="2:24" x14ac:dyDescent="0.35">
      <c r="B94" s="95" t="s">
        <v>733</v>
      </c>
      <c r="C94" s="164"/>
      <c r="D94" s="164"/>
      <c r="E94" s="164"/>
      <c r="F94" s="164"/>
      <c r="G94" s="763">
        <f>IF(G$5="","",G92-G93)</f>
        <v>0</v>
      </c>
      <c r="H94" s="763">
        <f t="shared" ref="H94:X94" si="56">IF(H$5="","",H92-H93)</f>
        <v>0</v>
      </c>
      <c r="I94" s="763">
        <f t="shared" si="56"/>
        <v>0</v>
      </c>
      <c r="J94" s="763">
        <f t="shared" si="56"/>
        <v>0</v>
      </c>
      <c r="K94" s="763">
        <f t="shared" si="56"/>
        <v>0</v>
      </c>
      <c r="L94" s="763">
        <f t="shared" si="56"/>
        <v>0</v>
      </c>
      <c r="M94" s="763">
        <f t="shared" si="56"/>
        <v>5.9604644775390625E-8</v>
      </c>
      <c r="N94" s="763">
        <f t="shared" si="56"/>
        <v>5.9604644775390625E-8</v>
      </c>
      <c r="O94" s="763" t="str">
        <f t="shared" si="56"/>
        <v/>
      </c>
      <c r="P94" s="763" t="str">
        <f t="shared" si="56"/>
        <v/>
      </c>
      <c r="Q94" s="763" t="str">
        <f t="shared" si="56"/>
        <v/>
      </c>
      <c r="R94" s="763" t="str">
        <f t="shared" si="56"/>
        <v/>
      </c>
      <c r="S94" s="763" t="str">
        <f t="shared" si="56"/>
        <v/>
      </c>
      <c r="T94" s="763" t="str">
        <f t="shared" si="56"/>
        <v/>
      </c>
      <c r="U94" s="763" t="str">
        <f t="shared" si="56"/>
        <v/>
      </c>
      <c r="V94" s="763" t="str">
        <f t="shared" si="56"/>
        <v/>
      </c>
      <c r="W94" s="763" t="str">
        <f t="shared" si="56"/>
        <v/>
      </c>
      <c r="X94" s="763" t="str">
        <f t="shared" si="56"/>
        <v/>
      </c>
    </row>
  </sheetData>
  <conditionalFormatting sqref="G52:X52">
    <cfRule type="expression" dxfId="20" priority="1">
      <formula>ABS(G52)&lt;=1</formula>
    </cfRule>
    <cfRule type="expression" dxfId="19" priority="2">
      <formula>ABS(G52)&gt;1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1B56B"/>
  </sheetPr>
  <dimension ref="A1:GL160"/>
  <sheetViews>
    <sheetView showGridLines="0" workbookViewId="0"/>
  </sheetViews>
  <sheetFormatPr defaultRowHeight="14.5" x14ac:dyDescent="0.35"/>
  <cols>
    <col min="1" max="1" width="2.5" customWidth="1"/>
    <col min="2" max="2" width="14.1640625" customWidth="1"/>
    <col min="3" max="8" width="8.33203125" customWidth="1"/>
    <col min="9" max="9" width="2.5" customWidth="1"/>
    <col min="10" max="10" width="11.6640625" customWidth="1"/>
    <col min="11" max="11" width="8.33203125" customWidth="1"/>
    <col min="12" max="12" width="7.5" customWidth="1"/>
    <col min="13" max="15" width="8.33203125" customWidth="1"/>
    <col min="16" max="16" width="20" customWidth="1"/>
    <col min="24" max="24" width="7.83203125" customWidth="1"/>
    <col min="25" max="25" width="8.5" customWidth="1"/>
    <col min="26" max="26" width="11.83203125" customWidth="1"/>
    <col min="27" max="27" width="7.83203125" customWidth="1"/>
    <col min="28" max="28" width="8.5" customWidth="1"/>
    <col min="29" max="30" width="7.83203125" customWidth="1"/>
    <col min="31" max="31" width="8.5" customWidth="1"/>
    <col min="32" max="32" width="7.83203125" customWidth="1"/>
    <col min="33" max="33" width="12.58203125" customWidth="1"/>
    <col min="34" max="92" width="5.83203125" customWidth="1"/>
    <col min="93" max="93" width="11.83203125" customWidth="1"/>
    <col min="95" max="95" width="47.58203125" customWidth="1"/>
    <col min="96" max="96" width="42.6640625" customWidth="1"/>
    <col min="97" max="97" width="15.5" customWidth="1"/>
    <col min="98" max="98" width="77.5" customWidth="1"/>
    <col min="99" max="99" width="20.08203125" customWidth="1"/>
    <col min="100" max="100" width="10.83203125" customWidth="1"/>
    <col min="101" max="101" width="22.33203125" customWidth="1"/>
    <col min="102" max="102" width="12.9140625" customWidth="1"/>
    <col min="103" max="103" width="16.9140625" customWidth="1"/>
    <col min="104" max="104" width="47" customWidth="1"/>
    <col min="105" max="106" width="10.33203125" customWidth="1"/>
    <col min="107" max="107" width="72.58203125" customWidth="1"/>
    <col min="108" max="108" width="71" customWidth="1"/>
    <col min="109" max="109" width="7.58203125" customWidth="1"/>
    <col min="118" max="118" width="40.33203125" customWidth="1"/>
    <col min="119" max="125" width="12.5" customWidth="1"/>
    <col min="126" max="161" width="13.5" customWidth="1"/>
    <col min="162" max="185" width="11.83203125" customWidth="1"/>
    <col min="192" max="194" width="8.203125E-2" hidden="1" customWidth="1"/>
  </cols>
  <sheetData>
    <row r="1" spans="1:185" x14ac:dyDescent="0.35">
      <c r="A1" s="307"/>
      <c r="B1" s="307"/>
      <c r="C1" s="307"/>
      <c r="D1" s="307"/>
      <c r="E1" s="307"/>
      <c r="F1" s="307"/>
      <c r="G1" s="307"/>
      <c r="H1" s="307"/>
      <c r="I1" s="307"/>
      <c r="J1" s="307"/>
      <c r="K1" s="307"/>
      <c r="L1" s="307"/>
      <c r="M1" s="307"/>
      <c r="N1" s="307"/>
      <c r="O1" s="307"/>
      <c r="P1" s="323"/>
    </row>
    <row r="2" spans="1:185" ht="48" customHeight="1" x14ac:dyDescent="0.35">
      <c r="A2" s="307"/>
      <c r="B2" s="965" t="s">
        <v>670</v>
      </c>
      <c r="C2" s="965"/>
      <c r="D2" s="965"/>
      <c r="E2" s="965"/>
      <c r="F2" s="965"/>
      <c r="G2" s="965"/>
      <c r="H2" s="965"/>
      <c r="I2" s="965"/>
      <c r="J2" s="965"/>
      <c r="K2" s="965"/>
      <c r="L2" s="965"/>
      <c r="M2" s="965"/>
      <c r="N2" s="965"/>
      <c r="O2" s="965"/>
      <c r="P2" s="966"/>
      <c r="CQ2" s="936" t="s">
        <v>670</v>
      </c>
      <c r="CR2" s="937"/>
      <c r="CS2" s="937"/>
      <c r="CT2" s="937"/>
      <c r="CU2" s="937"/>
      <c r="CV2" s="937"/>
      <c r="CW2" s="937"/>
      <c r="CX2" s="937"/>
      <c r="CY2" s="937"/>
      <c r="CZ2" s="937"/>
      <c r="DA2" s="937"/>
      <c r="DB2" s="983" t="str">
        <f>UPPER(Underwriting!$I$2)</f>
        <v>MAYABAY ACTIVE (MELBOURNE) PTY LTD</v>
      </c>
      <c r="DC2" s="937"/>
      <c r="DD2" s="937"/>
      <c r="DE2" s="937"/>
      <c r="DF2" s="937"/>
      <c r="DG2" s="937"/>
      <c r="DH2" s="937"/>
      <c r="DI2" s="937"/>
      <c r="DJ2" s="937"/>
      <c r="DK2" s="937"/>
      <c r="DL2" s="937"/>
      <c r="DN2" s="308">
        <f>Underwriting!$C$228</f>
        <v>0</v>
      </c>
    </row>
    <row r="3" spans="1:185" ht="18" customHeight="1" x14ac:dyDescent="0.35">
      <c r="A3" s="307"/>
      <c r="B3" s="967" t="s">
        <v>671</v>
      </c>
      <c r="C3" s="967"/>
      <c r="D3" s="967"/>
      <c r="E3" s="967"/>
      <c r="F3" s="967"/>
      <c r="G3" s="967"/>
      <c r="H3" s="967"/>
      <c r="I3" s="967"/>
      <c r="J3" s="967"/>
      <c r="K3" s="967"/>
      <c r="L3" s="967"/>
      <c r="M3" s="967"/>
      <c r="N3" s="967"/>
      <c r="O3" s="967"/>
      <c r="P3" s="968"/>
      <c r="CQ3" s="983" t="str">
        <f>Underwriting!$E$11&amp;", "&amp;Underwriting!$I$10</f>
        <v>Port Melbourne, VIC</v>
      </c>
      <c r="CR3" s="937"/>
      <c r="CS3" s="937"/>
      <c r="CT3" s="937"/>
      <c r="CU3" s="937"/>
      <c r="CV3" s="937"/>
      <c r="CW3" s="937"/>
      <c r="CX3" s="937"/>
      <c r="CY3" s="937"/>
      <c r="CZ3" s="937"/>
      <c r="DA3" s="937"/>
      <c r="DB3" s="937"/>
      <c r="DC3" s="937"/>
      <c r="DD3" s="937"/>
      <c r="DE3" s="937"/>
      <c r="DF3" s="937"/>
      <c r="DG3" s="937"/>
      <c r="DH3" s="937"/>
      <c r="DI3" s="937"/>
      <c r="DJ3" s="937"/>
      <c r="DK3" s="937"/>
      <c r="DL3" s="937"/>
      <c r="DN3" s="308">
        <f>Underwriting!$C$229</f>
        <v>1</v>
      </c>
    </row>
    <row r="4" spans="1:185" ht="30" customHeight="1" x14ac:dyDescent="0.35">
      <c r="A4" s="307"/>
      <c r="B4" s="969" t="s">
        <v>734</v>
      </c>
      <c r="C4" s="969"/>
      <c r="D4" s="969"/>
      <c r="E4" s="969"/>
      <c r="F4" s="969"/>
      <c r="G4" s="969"/>
      <c r="H4" s="969"/>
      <c r="I4" s="969"/>
      <c r="J4" s="969"/>
      <c r="K4" s="969"/>
      <c r="L4" s="969"/>
      <c r="M4" s="969"/>
      <c r="N4" s="969"/>
      <c r="O4" s="969"/>
      <c r="P4" s="970"/>
      <c r="CQ4" s="938" t="s">
        <v>735</v>
      </c>
      <c r="CR4" s="937"/>
      <c r="CS4" s="937"/>
      <c r="CT4" s="937"/>
      <c r="CU4" s="937"/>
      <c r="CV4" s="937"/>
      <c r="CW4" s="937"/>
      <c r="CX4" s="937"/>
      <c r="CY4" s="937"/>
      <c r="CZ4" s="937"/>
      <c r="DA4" s="937"/>
      <c r="DB4" s="937"/>
      <c r="DC4" s="937"/>
      <c r="DD4" s="937"/>
      <c r="DE4" s="937"/>
      <c r="DF4" s="937"/>
      <c r="DG4" s="937"/>
      <c r="DH4" s="937"/>
      <c r="DI4" s="937"/>
      <c r="DJ4" s="937"/>
      <c r="DK4" s="937"/>
      <c r="DL4" s="937"/>
    </row>
    <row r="5" spans="1:185" x14ac:dyDescent="0.35">
      <c r="A5" s="307"/>
      <c r="B5" s="659"/>
      <c r="C5" s="659"/>
      <c r="D5" s="659"/>
      <c r="E5" s="659"/>
      <c r="F5" s="659"/>
      <c r="G5" s="659"/>
      <c r="H5" s="659"/>
      <c r="I5" s="659"/>
      <c r="J5" s="659"/>
      <c r="K5" s="659"/>
      <c r="L5" s="659"/>
      <c r="M5" s="659"/>
      <c r="N5" s="659"/>
      <c r="O5" s="659"/>
      <c r="P5" s="660"/>
      <c r="CQ5" s="934" t="s">
        <v>736</v>
      </c>
      <c r="CR5" s="937"/>
      <c r="CS5" s="937"/>
      <c r="CT5" s="937"/>
      <c r="CU5" s="937"/>
      <c r="CV5" s="937"/>
      <c r="CW5" s="937"/>
      <c r="CX5" s="937"/>
      <c r="CY5" s="937"/>
      <c r="CZ5" s="937"/>
      <c r="DA5" s="937"/>
      <c r="DB5" s="937"/>
      <c r="DC5" s="937"/>
      <c r="DD5" s="937"/>
      <c r="DE5" s="937"/>
      <c r="DF5" s="937"/>
      <c r="DG5" s="937"/>
      <c r="DH5" s="937"/>
      <c r="DI5" s="937"/>
      <c r="DJ5" s="937"/>
      <c r="DK5" s="937"/>
      <c r="DL5" s="937"/>
    </row>
    <row r="6" spans="1:185" ht="22" customHeight="1" x14ac:dyDescent="0.35">
      <c r="A6" s="307"/>
      <c r="B6" s="971" t="s">
        <v>737</v>
      </c>
      <c r="C6" s="971"/>
      <c r="D6" s="971"/>
      <c r="E6" s="971"/>
      <c r="F6" s="971"/>
      <c r="G6" s="971"/>
      <c r="H6" s="971"/>
      <c r="I6" s="971"/>
      <c r="J6" s="971"/>
      <c r="K6" s="971"/>
      <c r="L6" s="971"/>
      <c r="M6" s="971"/>
      <c r="N6" s="971"/>
      <c r="O6" s="971"/>
      <c r="P6" s="972"/>
      <c r="CQ6" s="939" t="s">
        <v>738</v>
      </c>
      <c r="CR6" s="937"/>
      <c r="CS6" s="937"/>
      <c r="CT6" s="937"/>
      <c r="CU6" s="937"/>
      <c r="CV6" s="937"/>
      <c r="CW6" s="937"/>
      <c r="CX6" s="937"/>
      <c r="CZ6" s="939" t="s">
        <v>739</v>
      </c>
      <c r="DA6" s="937"/>
      <c r="DB6" s="937"/>
      <c r="DC6" s="937"/>
      <c r="DD6" s="937"/>
      <c r="DE6" s="937"/>
      <c r="DF6" s="937"/>
      <c r="DG6" s="937"/>
      <c r="DH6" s="937"/>
      <c r="DI6" s="937"/>
      <c r="DJ6" s="937"/>
      <c r="DK6" s="937"/>
      <c r="DL6" s="937"/>
    </row>
    <row r="7" spans="1:185" ht="26" x14ac:dyDescent="0.35">
      <c r="A7" s="307"/>
      <c r="B7" s="659" t="s">
        <v>740</v>
      </c>
      <c r="C7" s="719">
        <f>Underwriting!$H$190/1000000</f>
        <v>45.541921747395797</v>
      </c>
      <c r="D7" s="660" t="s">
        <v>741</v>
      </c>
      <c r="E7" s="660" t="s">
        <v>742</v>
      </c>
      <c r="F7" s="659"/>
      <c r="G7" s="659"/>
      <c r="H7" s="659"/>
      <c r="I7" s="659"/>
      <c r="J7" s="659" t="s">
        <v>743</v>
      </c>
      <c r="K7" s="719">
        <f>C7/C8</f>
        <v>679.64702791220634</v>
      </c>
      <c r="L7" s="660" t="s">
        <v>530</v>
      </c>
      <c r="M7" s="963" t="s">
        <v>744</v>
      </c>
      <c r="N7" s="963"/>
      <c r="O7" s="963"/>
      <c r="P7" s="963"/>
      <c r="CQ7" s="307" t="s">
        <v>745</v>
      </c>
      <c r="CR7" s="750" t="str">
        <f>'URWLD COMPANY INPUTS'!$B$766</f>
        <v>Base</v>
      </c>
      <c r="CS7" s="934" t="s">
        <v>746</v>
      </c>
      <c r="CT7" s="937"/>
      <c r="CU7" s="937"/>
      <c r="CV7" s="937"/>
      <c r="CW7" s="937"/>
      <c r="CX7" s="937"/>
      <c r="CZ7" s="307" t="s">
        <v>747</v>
      </c>
      <c r="DA7" s="309">
        <f>SUMIFS($CU$75:$CU$77,$CQ$75:$CQ$77,$CR$7)</f>
        <v>679.64702791220634</v>
      </c>
      <c r="DB7" s="308" t="s">
        <v>530</v>
      </c>
      <c r="DC7" s="934" t="s">
        <v>748</v>
      </c>
      <c r="DD7" s="937"/>
      <c r="DE7" s="937"/>
      <c r="DF7" s="937"/>
      <c r="DG7" s="937"/>
      <c r="DH7" s="937"/>
      <c r="DI7" s="937"/>
      <c r="DJ7" s="937"/>
      <c r="DK7" s="937"/>
      <c r="DL7" s="937"/>
    </row>
    <row r="8" spans="1:185" ht="26" x14ac:dyDescent="0.35">
      <c r="A8" s="307"/>
      <c r="B8" s="659" t="s">
        <v>749</v>
      </c>
      <c r="C8" s="720">
        <f>Underwriting!$H$189</f>
        <v>6.7008196721311475E-2</v>
      </c>
      <c r="D8" s="660" t="s">
        <v>83</v>
      </c>
      <c r="E8" s="660" t="s">
        <v>750</v>
      </c>
      <c r="F8" s="659"/>
      <c r="G8" s="659"/>
      <c r="H8" s="659"/>
      <c r="I8" s="659"/>
      <c r="J8" s="659" t="s">
        <v>751</v>
      </c>
      <c r="K8" s="719">
        <f>-K7*C9</f>
        <v>-13.592940558244127</v>
      </c>
      <c r="L8" s="660" t="s">
        <v>530</v>
      </c>
      <c r="M8" s="963" t="s">
        <v>752</v>
      </c>
      <c r="N8" s="963"/>
      <c r="O8" s="963"/>
      <c r="P8" s="963"/>
      <c r="CQ8" s="307" t="s">
        <v>753</v>
      </c>
      <c r="CR8" s="313">
        <f>'URWLD COMPANY INPUTS'!$F$812</f>
        <v>0.08</v>
      </c>
      <c r="CS8" s="982" t="str">
        <f>"Source: "&amp;'DATA MAP'!$C$112&amp;" | Status: "&amp;'DATA MAP'!$I$112&amp;" | Note: "&amp;'DATA MAP'!$K$112</f>
        <v>Source: ASSUMPTIONS; MODEL DESIGN | Status: Mapped — provisional | Note: The live base/downside/upside discount-rate schedule is the selected model basis; independent evidence remains required. | The live Base/Downside/Upside valuation schedule controls; independent market evidence remains an OWNER DECISION.</v>
      </c>
      <c r="CT8" s="937"/>
      <c r="CU8" s="937"/>
      <c r="CV8" s="937"/>
      <c r="CW8" s="937"/>
      <c r="CX8" s="937"/>
      <c r="CZ8" s="307" t="s">
        <v>754</v>
      </c>
      <c r="DA8" s="309">
        <f>Underwriting!$H$191/1000000</f>
        <v>679.64702791220645</v>
      </c>
      <c r="DB8" s="308" t="s">
        <v>530</v>
      </c>
      <c r="DC8" s="937"/>
      <c r="DD8" s="937"/>
      <c r="DE8" s="937"/>
      <c r="DF8" s="937"/>
      <c r="DG8" s="937"/>
      <c r="DH8" s="937"/>
      <c r="DI8" s="937"/>
      <c r="DJ8" s="937"/>
      <c r="DK8" s="937"/>
      <c r="DL8" s="937"/>
    </row>
    <row r="9" spans="1:185" ht="26" x14ac:dyDescent="0.35">
      <c r="A9" s="307"/>
      <c r="B9" s="659" t="s">
        <v>755</v>
      </c>
      <c r="C9" s="720">
        <f>Underwriting!$I$163</f>
        <v>0.02</v>
      </c>
      <c r="D9" s="660" t="s">
        <v>83</v>
      </c>
      <c r="E9" s="660" t="s">
        <v>756</v>
      </c>
      <c r="F9" s="659"/>
      <c r="G9" s="659"/>
      <c r="H9" s="659"/>
      <c r="I9" s="659"/>
      <c r="J9" s="659" t="s">
        <v>757</v>
      </c>
      <c r="K9" s="719">
        <f>SUM(K7:K8)</f>
        <v>666.05408735396225</v>
      </c>
      <c r="L9" s="660" t="s">
        <v>530</v>
      </c>
      <c r="M9" s="963" t="s">
        <v>758</v>
      </c>
      <c r="N9" s="963"/>
      <c r="O9" s="963"/>
      <c r="P9" s="963"/>
      <c r="CQ9" s="307" t="s">
        <v>759</v>
      </c>
      <c r="CR9" s="313">
        <f>'DATA MAP'!$E$113</f>
        <v>0.2</v>
      </c>
      <c r="CS9" s="982" t="str">
        <f>"Source: "&amp;'DATA MAP'!$C$113&amp;" | Status: "&amp;'DATA MAP'!$I$113&amp;" | Note: "&amp;'DATA MAP'!$K$113</f>
        <v>Source: Target: VALUATIONS | Status: Mapped — provisional | Note: No reliable agreed source input identified. | The management assumption is formula-linked through PROJECTS register and VALUATIONS; independent evidence remains an OWNER DECISION where applicable.</v>
      </c>
      <c r="CT9" s="937"/>
      <c r="CU9" s="937"/>
      <c r="CV9" s="937"/>
      <c r="CW9" s="937"/>
      <c r="CX9" s="937"/>
      <c r="CZ9" s="307" t="s">
        <v>760</v>
      </c>
      <c r="DA9" s="309">
        <f>$DA$14</f>
        <v>198.50843763348701</v>
      </c>
      <c r="DB9" s="308" t="s">
        <v>530</v>
      </c>
      <c r="DC9" s="937"/>
      <c r="DD9" s="937"/>
      <c r="DE9" s="937"/>
      <c r="DF9" s="937"/>
      <c r="DG9" s="937"/>
      <c r="DH9" s="937"/>
      <c r="DI9" s="937"/>
      <c r="DJ9" s="937"/>
      <c r="DK9" s="937"/>
      <c r="DL9" s="937"/>
    </row>
    <row r="10" spans="1:185" ht="26" x14ac:dyDescent="0.35">
      <c r="A10" s="307"/>
      <c r="B10" s="659" t="s">
        <v>761</v>
      </c>
      <c r="C10" s="719">
        <f>-Underwriting!$E$191/1000000</f>
        <v>235.2026535072136</v>
      </c>
      <c r="D10" s="660" t="s">
        <v>530</v>
      </c>
      <c r="E10" s="660" t="s">
        <v>762</v>
      </c>
      <c r="F10" s="659"/>
      <c r="G10" s="659"/>
      <c r="H10" s="659"/>
      <c r="I10" s="659"/>
      <c r="J10" s="659" t="s">
        <v>763</v>
      </c>
      <c r="K10" s="719">
        <f>K9-C10</f>
        <v>430.85143384674865</v>
      </c>
      <c r="L10" s="660" t="s">
        <v>530</v>
      </c>
      <c r="M10" s="963" t="s">
        <v>764</v>
      </c>
      <c r="N10" s="963"/>
      <c r="O10" s="963"/>
      <c r="P10" s="963"/>
      <c r="CQ10" s="307" t="s">
        <v>765</v>
      </c>
      <c r="CR10" s="313" t="str">
        <f>IF('URWLD COMPANY INPUTS'!$F$863="","",'URWLD COMPANY INPUTS'!$F$863)</f>
        <v/>
      </c>
      <c r="CS10" s="982" t="str">
        <f>"Source: "&amp;'DATA MAP'!$C$114&amp;" | Status: "&amp;'DATA MAP'!$I$114&amp;" | Note: "&amp;'DATA MAP'!$K$114</f>
        <v>Source: Target: VALUATIONS | Status: Mapped — provisional | Note: No reliable agreed source input identified. | The management assumption is formula-linked through PROJECTS register and VALUATIONS; independent evidence remains an OWNER DECISION where applicable.</v>
      </c>
      <c r="CT10" s="937"/>
      <c r="CU10" s="937"/>
      <c r="CV10" s="937"/>
      <c r="CW10" s="937"/>
      <c r="CX10" s="937"/>
      <c r="CZ10" s="307" t="s">
        <v>766</v>
      </c>
      <c r="DA10" s="309">
        <f>SUMIFS($CS$75:$CS$77,$CQ$75:$CQ$77,$CR$7)</f>
        <v>45.541921747395797</v>
      </c>
      <c r="DB10" s="308" t="s">
        <v>741</v>
      </c>
      <c r="DC10" s="937"/>
      <c r="DD10" s="937"/>
      <c r="DE10" s="937"/>
      <c r="DF10" s="937"/>
      <c r="DG10" s="937"/>
      <c r="DH10" s="937"/>
      <c r="DI10" s="937"/>
      <c r="DJ10" s="937"/>
      <c r="DK10" s="937"/>
      <c r="DL10" s="937"/>
      <c r="DN10" s="315">
        <f>Underwriting!L24</f>
        <v>46203</v>
      </c>
      <c r="DO10" s="315">
        <f>Underwriting!M24</f>
        <v>46234</v>
      </c>
      <c r="DP10" s="315">
        <f>Underwriting!N24</f>
        <v>46265</v>
      </c>
      <c r="DQ10" s="315">
        <f>Underwriting!O24</f>
        <v>46295</v>
      </c>
      <c r="DR10" s="315">
        <f>Underwriting!P24</f>
        <v>46326</v>
      </c>
      <c r="DS10" s="315">
        <f>Underwriting!Q24</f>
        <v>46356</v>
      </c>
      <c r="DT10" s="315">
        <f>Underwriting!R24</f>
        <v>46387</v>
      </c>
      <c r="DU10" s="315">
        <f>Underwriting!S24</f>
        <v>46418</v>
      </c>
      <c r="DV10" s="315">
        <f>Underwriting!T24</f>
        <v>46446</v>
      </c>
      <c r="DW10" s="315">
        <f>Underwriting!U24</f>
        <v>46477</v>
      </c>
      <c r="DX10" s="315">
        <f>Underwriting!V24</f>
        <v>46507</v>
      </c>
      <c r="DY10" s="315">
        <f>Underwriting!W24</f>
        <v>46538</v>
      </c>
      <c r="DZ10" s="315">
        <f>Underwriting!X24</f>
        <v>46568</v>
      </c>
      <c r="EA10" s="315">
        <f>Underwriting!Y24</f>
        <v>46599</v>
      </c>
      <c r="EB10" s="315">
        <f>Underwriting!Z24</f>
        <v>46630</v>
      </c>
      <c r="EC10" s="315">
        <f>Underwriting!AA24</f>
        <v>46660</v>
      </c>
      <c r="ED10" s="315">
        <f>Underwriting!AB24</f>
        <v>46691</v>
      </c>
      <c r="EE10" s="315">
        <f>Underwriting!AC24</f>
        <v>46721</v>
      </c>
      <c r="EF10" s="315">
        <f>Underwriting!AD24</f>
        <v>46752</v>
      </c>
      <c r="EG10" s="315">
        <f>Underwriting!AE24</f>
        <v>46783</v>
      </c>
      <c r="EH10" s="315">
        <f>Underwriting!AF24</f>
        <v>46812</v>
      </c>
      <c r="EI10" s="315">
        <f>Underwriting!AG24</f>
        <v>46843</v>
      </c>
      <c r="EJ10" s="315">
        <f>Underwriting!AH24</f>
        <v>46873</v>
      </c>
      <c r="EK10" s="315">
        <f>Underwriting!AI24</f>
        <v>46904</v>
      </c>
      <c r="EL10" s="315">
        <f>Underwriting!AJ24</f>
        <v>46934</v>
      </c>
      <c r="EM10" s="315">
        <f>Underwriting!AK24</f>
        <v>46965</v>
      </c>
      <c r="EN10" s="315">
        <f>Underwriting!AL24</f>
        <v>46996</v>
      </c>
      <c r="EO10" s="315">
        <f>Underwriting!AM24</f>
        <v>47026</v>
      </c>
      <c r="EP10" s="315">
        <f>Underwriting!AN24</f>
        <v>47057</v>
      </c>
      <c r="EQ10" s="315">
        <f>Underwriting!AO24</f>
        <v>47087</v>
      </c>
      <c r="ER10" s="315">
        <f>Underwriting!AP24</f>
        <v>47118</v>
      </c>
      <c r="ES10" s="315">
        <f>Underwriting!AQ24</f>
        <v>47149</v>
      </c>
      <c r="ET10" s="315">
        <f>Underwriting!AR24</f>
        <v>47177</v>
      </c>
      <c r="EU10" s="315">
        <f>Underwriting!AS24</f>
        <v>47208</v>
      </c>
      <c r="EV10" s="315">
        <f>Underwriting!AT24</f>
        <v>47238</v>
      </c>
      <c r="EW10" s="315">
        <f>Underwriting!AU24</f>
        <v>47269</v>
      </c>
      <c r="EX10" s="315">
        <f>Underwriting!AV24</f>
        <v>47299</v>
      </c>
      <c r="EY10" s="315">
        <f>Underwriting!AW24</f>
        <v>47330</v>
      </c>
      <c r="EZ10" s="315">
        <f>Underwriting!AX24</f>
        <v>47361</v>
      </c>
      <c r="FA10" s="315">
        <f>Underwriting!AY24</f>
        <v>47391</v>
      </c>
      <c r="FB10" s="315">
        <f>Underwriting!AZ24</f>
        <v>47422</v>
      </c>
      <c r="FC10" s="315">
        <f>Underwriting!BA24</f>
        <v>47452</v>
      </c>
      <c r="FD10" s="315">
        <f>Underwriting!BB24</f>
        <v>47483</v>
      </c>
      <c r="FE10" s="315">
        <f>Underwriting!BC24</f>
        <v>47514</v>
      </c>
      <c r="FF10" s="9">
        <f>Underwriting!BD24</f>
        <v>47542</v>
      </c>
      <c r="FG10" s="9">
        <f>Underwriting!BE24</f>
        <v>47573</v>
      </c>
      <c r="FH10" s="9">
        <f>Underwriting!BF24</f>
        <v>47603</v>
      </c>
      <c r="FI10" s="9">
        <f>Underwriting!BG24</f>
        <v>47634</v>
      </c>
      <c r="FJ10" s="9">
        <f>Underwriting!BH24</f>
        <v>47664</v>
      </c>
      <c r="FK10" s="9">
        <f>Underwriting!BI24</f>
        <v>47695</v>
      </c>
      <c r="FL10" s="9">
        <f>Underwriting!BJ24</f>
        <v>47726</v>
      </c>
      <c r="FM10" s="9">
        <f>Underwriting!BK24</f>
        <v>47756</v>
      </c>
      <c r="FN10" s="9">
        <f>Underwriting!BL24</f>
        <v>47787</v>
      </c>
      <c r="FO10" s="9">
        <f>Underwriting!BM24</f>
        <v>47817</v>
      </c>
      <c r="FP10" s="9">
        <f>Underwriting!BN24</f>
        <v>47848</v>
      </c>
      <c r="FQ10" s="9">
        <f>Underwriting!BO24</f>
        <v>47879</v>
      </c>
      <c r="FR10" s="9">
        <f>Underwriting!BP24</f>
        <v>47907</v>
      </c>
      <c r="FS10" s="9">
        <f>Underwriting!BQ24</f>
        <v>47938</v>
      </c>
      <c r="FT10" s="9">
        <f>Underwriting!BR24</f>
        <v>47968</v>
      </c>
      <c r="FU10" s="9">
        <f>Underwriting!BS24</f>
        <v>47999</v>
      </c>
      <c r="FV10" s="9">
        <f>Underwriting!BT24</f>
        <v>48029</v>
      </c>
      <c r="FW10" s="9">
        <f>Underwriting!BU24</f>
        <v>48060</v>
      </c>
      <c r="FX10" s="619">
        <f t="shared" ref="FX10:GC10" si="0">EOMONTH(FW10,1)</f>
        <v>48091</v>
      </c>
      <c r="FY10" s="619">
        <f t="shared" si="0"/>
        <v>48121</v>
      </c>
      <c r="FZ10" s="619">
        <f t="shared" si="0"/>
        <v>48152</v>
      </c>
      <c r="GA10" s="619">
        <f t="shared" si="0"/>
        <v>48182</v>
      </c>
      <c r="GB10" s="619">
        <f t="shared" si="0"/>
        <v>48213</v>
      </c>
      <c r="GC10" s="619">
        <f t="shared" si="0"/>
        <v>48244</v>
      </c>
    </row>
    <row r="11" spans="1:185" ht="26" x14ac:dyDescent="0.35">
      <c r="A11" s="307"/>
      <c r="B11" s="659" t="s">
        <v>767</v>
      </c>
      <c r="C11" s="719">
        <f>Underwriting!$I$57/1000000</f>
        <v>448.85663516148151</v>
      </c>
      <c r="D11" s="660" t="s">
        <v>530</v>
      </c>
      <c r="E11" s="660" t="s">
        <v>768</v>
      </c>
      <c r="F11" s="659"/>
      <c r="G11" s="659"/>
      <c r="H11" s="659"/>
      <c r="I11" s="659"/>
      <c r="J11" s="659" t="s">
        <v>769</v>
      </c>
      <c r="K11" s="719">
        <f>K9-C11</f>
        <v>217.19745219248074</v>
      </c>
      <c r="L11" s="660" t="s">
        <v>530</v>
      </c>
      <c r="M11" s="963" t="s">
        <v>770</v>
      </c>
      <c r="N11" s="963"/>
      <c r="O11" s="963"/>
      <c r="P11" s="963"/>
      <c r="CQ11" s="307" t="s">
        <v>771</v>
      </c>
      <c r="CR11" s="846" t="str">
        <f>IF('URWLD COMPANY INPUTS'!$F$864="","",'URWLD COMPANY INPUTS'!$F$864)</f>
        <v/>
      </c>
      <c r="CS11" s="982" t="str">
        <f>"Source: "&amp;'DATA MAP'!$C$115&amp;" | Status: "&amp;'DATA MAP'!$I$115&amp;" | Note: "&amp;'DATA MAP'!$K$115</f>
        <v>Source: Target: VALUATIONS | Status: Mapped — provisional | Note: No reliable agreed source input identified. | The management assumption is formula-linked through PROJECTS register and VALUATIONS; independent evidence remains an OWNER DECISION where applicable.</v>
      </c>
      <c r="CT11" s="937"/>
      <c r="CU11" s="937"/>
      <c r="CV11" s="937"/>
      <c r="CW11" s="937"/>
      <c r="CX11" s="937"/>
      <c r="CZ11" s="307" t="s">
        <v>772</v>
      </c>
      <c r="DA11" s="312">
        <f>SUMIFS($CT$75:$CT$77,$CQ$75:$CQ$77,$CR$7)</f>
        <v>6.7008196721311475E-2</v>
      </c>
      <c r="DB11" s="308" t="s">
        <v>83</v>
      </c>
      <c r="DC11" s="937"/>
      <c r="DD11" s="937"/>
      <c r="DE11" s="937"/>
      <c r="DF11" s="937"/>
      <c r="DG11" s="937"/>
      <c r="DH11" s="937"/>
      <c r="DI11" s="937"/>
      <c r="DJ11" s="937"/>
      <c r="DK11" s="937"/>
      <c r="DL11" s="937"/>
      <c r="DN11" s="309">
        <f>Underwriting!$L$211</f>
        <v>-93017714.091035873</v>
      </c>
      <c r="DO11" s="309">
        <f>Underwriting!$M$211</f>
        <v>-882028.36212584306</v>
      </c>
      <c r="DP11" s="309">
        <f>Underwriting!$N$211</f>
        <v>-1153238.7592138182</v>
      </c>
      <c r="DQ11" s="309">
        <f>Underwriting!$O$211</f>
        <v>-1540571.8400115801</v>
      </c>
      <c r="DR11" s="309">
        <f>Underwriting!$P$211</f>
        <v>-2077208.6703043352</v>
      </c>
      <c r="DS11" s="309">
        <f>Underwriting!$Q$211</f>
        <v>-2798042.1575110573</v>
      </c>
      <c r="DT11" s="309">
        <f>Underwriting!$R$211</f>
        <v>-3736098.8558910517</v>
      </c>
      <c r="DU11" s="309">
        <f>Underwriting!$S$211</f>
        <v>-4917681.2983414307</v>
      </c>
      <c r="DV11" s="309">
        <f>Underwriting!$T$211</f>
        <v>-6356585.443407244</v>
      </c>
      <c r="DW11" s="309">
        <f>Underwriting!$U$211</f>
        <v>-8048084.8374454733</v>
      </c>
      <c r="DX11" s="309">
        <f>Underwriting!$V$211</f>
        <v>-9963673.1491933651</v>
      </c>
      <c r="DY11" s="309">
        <f>Underwriting!$W$211</f>
        <v>-12047726.791351493</v>
      </c>
      <c r="DZ11" s="309">
        <f>Underwriting!$X$211</f>
        <v>-14217202.323856961</v>
      </c>
      <c r="EA11" s="309">
        <f>Underwriting!$Y$211</f>
        <v>-16365167.698586643</v>
      </c>
      <c r="EB11" s="309">
        <f>Underwriting!$Z$211</f>
        <v>-18368392.667920161</v>
      </c>
      <c r="EC11" s="309">
        <f>Underwriting!$AA$211</f>
        <v>-20098477.243874725</v>
      </c>
      <c r="ED11" s="309">
        <f>Underwriting!$AB$211</f>
        <v>-21435229.253932979</v>
      </c>
      <c r="EE11" s="309">
        <f>Underwriting!$AC$211</f>
        <v>-22280397.403045714</v>
      </c>
      <c r="EF11" s="309">
        <f>Underwriting!$AD$211</f>
        <v>-22569593.467381995</v>
      </c>
      <c r="EG11" s="309">
        <f>Underwriting!$AE$211</f>
        <v>-22280397.403045733</v>
      </c>
      <c r="EH11" s="309">
        <f>Underwriting!$AF$211</f>
        <v>-21435229.253932942</v>
      </c>
      <c r="EI11" s="309">
        <f>Underwriting!$AG$211</f>
        <v>-20098477.243874762</v>
      </c>
      <c r="EJ11" s="309">
        <f>Underwriting!$AH$211</f>
        <v>-17651726.001253467</v>
      </c>
      <c r="EK11" s="309">
        <f>Underwriting!$AI$211</f>
        <v>-15648501.031919977</v>
      </c>
      <c r="EL11" s="309">
        <f>Underwriting!$AJ$211</f>
        <v>-13500535.657190321</v>
      </c>
      <c r="EM11" s="309">
        <f>Underwriting!$AK$211</f>
        <v>-11114393.45801813</v>
      </c>
      <c r="EN11" s="309">
        <f>Underwriting!$AL$211</f>
        <v>-9030339.8158600312</v>
      </c>
      <c r="EO11" s="309">
        <f>Underwriting!$AM$211</f>
        <v>-7114751.5041121645</v>
      </c>
      <c r="EP11" s="309">
        <f>Underwriting!$AN$211</f>
        <v>-5249085.4434072273</v>
      </c>
      <c r="EQ11" s="309">
        <f>Underwriting!$AO$211</f>
        <v>-3810181.2983414317</v>
      </c>
      <c r="ER11" s="309">
        <f>Underwriting!$AP$211</f>
        <v>-2628598.8558910657</v>
      </c>
      <c r="ES11" s="309">
        <f>Underwriting!$AQ$211</f>
        <v>-1532208.8241777087</v>
      </c>
      <c r="ET11" s="309">
        <f>Underwriting!$AR$211</f>
        <v>-811375.33697100775</v>
      </c>
      <c r="EU11" s="309">
        <f>Underwriting!$AS$211</f>
        <v>-274738.5066782278</v>
      </c>
      <c r="EV11" s="309">
        <f>Underwriting!$AT$211</f>
        <v>145177.90745282592</v>
      </c>
      <c r="EW11" s="309">
        <f>Underwriting!$AU$211</f>
        <v>416388.30454083928</v>
      </c>
      <c r="EX11" s="309">
        <f>Underwriting!$AV$211</f>
        <v>600702.57563078811</v>
      </c>
      <c r="EY11" s="309">
        <f>Underwriting!$AW$211</f>
        <v>1329966.833333333</v>
      </c>
      <c r="EZ11" s="309">
        <f>Underwriting!$AX$211</f>
        <v>1537461.250366004</v>
      </c>
      <c r="FA11" s="309">
        <f>Underwriting!$AY$211</f>
        <v>1744955.6673986751</v>
      </c>
      <c r="FB11" s="309">
        <f>Underwriting!$AZ$211</f>
        <v>1960527.6614040788</v>
      </c>
      <c r="FC11" s="309">
        <f>Underwriting!$BA$211</f>
        <v>2168682.6596498829</v>
      </c>
      <c r="FD11" s="309">
        <f>Underwriting!$BB$211</f>
        <v>2376837.6578956875</v>
      </c>
      <c r="FE11" s="309">
        <f>Underwriting!$BC$211+$DA$7*(1-Underwriting!$I$163)*1000000</f>
        <v>668644621.67677045</v>
      </c>
    </row>
    <row r="12" spans="1:185" ht="26" x14ac:dyDescent="0.35">
      <c r="A12" s="307"/>
      <c r="B12" s="659" t="s">
        <v>773</v>
      </c>
      <c r="C12" s="719">
        <f>Underwriting!$I$69/1000000</f>
        <v>215.66291688274751</v>
      </c>
      <c r="D12" s="660" t="s">
        <v>530</v>
      </c>
      <c r="E12" s="660" t="s">
        <v>774</v>
      </c>
      <c r="F12" s="659"/>
      <c r="G12" s="659"/>
      <c r="H12" s="659"/>
      <c r="I12" s="659"/>
      <c r="J12" s="659" t="s">
        <v>775</v>
      </c>
      <c r="K12" s="720">
        <f>IFERROR(K11/C11,0)</f>
        <v>0.483890479004151</v>
      </c>
      <c r="L12" s="660" t="s">
        <v>83</v>
      </c>
      <c r="M12" s="963" t="s">
        <v>776</v>
      </c>
      <c r="N12" s="963"/>
      <c r="O12" s="963"/>
      <c r="P12" s="963"/>
      <c r="CQ12" s="307" t="s">
        <v>777</v>
      </c>
      <c r="CR12" s="313">
        <f>'DATA MAP'!$E$116</f>
        <v>0</v>
      </c>
      <c r="CS12" s="982" t="str">
        <f>"Source: "&amp;'DATA MAP'!$C$116&amp;" | Status: "&amp;'DATA MAP'!$I$116&amp;" | Note: "&amp;'DATA MAP'!$K$116</f>
        <v>Source: Target: VALUATIONS | Status: Mapped — provisional | Note: No reliable agreed source input identified. | The management assumption is formula-linked through PROJECTS register and VALUATIONS; independent evidence remains an OWNER DECISION where applicable.</v>
      </c>
      <c r="CT12" s="937"/>
      <c r="CU12" s="937"/>
      <c r="CV12" s="937"/>
      <c r="CW12" s="937"/>
      <c r="CX12" s="937"/>
      <c r="CZ12" s="307" t="s">
        <v>778</v>
      </c>
      <c r="DA12" s="309">
        <f>IFERROR(XNPV($CR$8,Underwriting!$M$211:$BB$211,Underwriting!$M$195:$BB$195)/1000000+($DA$7*(1-Underwriting!$I$163)+Underwriting!$BC$202/1000000)/(1+$CR$8)^((Underwriting!$BC$195-Underwriting!$M$195)/365),"")</f>
        <v>213.18637999703282</v>
      </c>
      <c r="DB12" s="308" t="s">
        <v>530</v>
      </c>
      <c r="DC12" s="934" t="s">
        <v>779</v>
      </c>
      <c r="DD12" s="937"/>
      <c r="DE12" s="937"/>
      <c r="DF12" s="937"/>
      <c r="DG12" s="937"/>
      <c r="DH12" s="937"/>
      <c r="DI12" s="937"/>
      <c r="DJ12" s="937"/>
      <c r="DK12" s="937"/>
      <c r="DL12" s="937"/>
      <c r="DN12" s="309">
        <f>Underwriting!$L$212</f>
        <v>-76389582.872717112</v>
      </c>
      <c r="DO12" s="309">
        <f>Underwriting!$M$212</f>
        <v>70562.268970067496</v>
      </c>
      <c r="DP12" s="309">
        <f>Underwriting!$N$212</f>
        <v>0</v>
      </c>
      <c r="DQ12" s="309">
        <f>Underwriting!$O$212</f>
        <v>52683.47823085892</v>
      </c>
      <c r="DR12" s="309">
        <f>Underwriting!$P$212</f>
        <v>73917.592887241393</v>
      </c>
      <c r="DS12" s="309">
        <f>Underwriting!$Q$212</f>
        <v>100597.62539995834</v>
      </c>
      <c r="DT12" s="309">
        <f>Underwriting!$R$212</f>
        <v>132711.21484693745</v>
      </c>
      <c r="DU12" s="309">
        <f>Underwriting!$S$212</f>
        <v>169571.13126643002</v>
      </c>
      <c r="DV12" s="309">
        <f>Underwriting!$T$212</f>
        <v>209638.92700129561</v>
      </c>
      <c r="DW12" s="309">
        <f>Underwriting!$U$212</f>
        <v>250432.28312832303</v>
      </c>
      <c r="DX12" s="309">
        <f>Underwriting!$V$212</f>
        <v>288567.01646289043</v>
      </c>
      <c r="DY12" s="309">
        <f>Underwriting!$W$212</f>
        <v>319971.35631248169</v>
      </c>
      <c r="DZ12" s="309">
        <f>Underwriting!$X$212</f>
        <v>340282.33397308737</v>
      </c>
      <c r="EA12" s="309">
        <f>Underwriting!$Y$212</f>
        <v>-1932832.6541841328</v>
      </c>
      <c r="EB12" s="309">
        <f>Underwriting!$Z$212</f>
        <v>-9018148.7201975472</v>
      </c>
      <c r="EC12" s="309">
        <f>Underwriting!$AA$212</f>
        <v>-9899906.2401258312</v>
      </c>
      <c r="ED12" s="309">
        <f>Underwriting!$AB$212</f>
        <v>-10594941.16352598</v>
      </c>
      <c r="EE12" s="309">
        <f>Underwriting!$AC$212</f>
        <v>-11168623.014029484</v>
      </c>
      <c r="EF12" s="309">
        <f>Underwriting!$AD$212</f>
        <v>-11476435.484353572</v>
      </c>
      <c r="EG12" s="309">
        <f>Underwriting!$AE$212</f>
        <v>-11500747.807484064</v>
      </c>
      <c r="EH12" s="309">
        <f>Underwriting!$AF$212</f>
        <v>-11200802.193184778</v>
      </c>
      <c r="EI12" s="309">
        <f>Underwriting!$AG$212</f>
        <v>-10560401.808855567</v>
      </c>
      <c r="EJ12" s="309">
        <f>Underwriting!$AH$212</f>
        <v>-9007015.4887131397</v>
      </c>
      <c r="EK12" s="309">
        <f>Underwriting!$AI$212</f>
        <v>-8037972.8637852902</v>
      </c>
      <c r="EL12" s="309">
        <f>Underwriting!$AJ$212</f>
        <v>-7003744.5955059687</v>
      </c>
      <c r="EM12" s="309">
        <f>Underwriting!$AK$212</f>
        <v>-5750851.2834514072</v>
      </c>
      <c r="EN12" s="309">
        <f>Underwriting!$AL$212</f>
        <v>-4766158.5265351916</v>
      </c>
      <c r="EO12" s="309">
        <f>Underwriting!$AM$212</f>
        <v>-3873205.3960134638</v>
      </c>
      <c r="EP12" s="309">
        <f>Underwriting!$AN$212</f>
        <v>-2923275.520515983</v>
      </c>
      <c r="EQ12" s="309">
        <f>Underwriting!$AO$212</f>
        <v>-2276010.0856580529</v>
      </c>
      <c r="ER12" s="309">
        <f>Underwriting!$AP$212</f>
        <v>-2650739.4435757259</v>
      </c>
      <c r="ES12" s="309">
        <f>Underwriting!$AQ$212</f>
        <v>-2596004.2703655614</v>
      </c>
      <c r="ET12" s="309">
        <f>Underwriting!$AR$212</f>
        <v>-1937292.4101016719</v>
      </c>
      <c r="EU12" s="309">
        <f>Underwriting!$AS$212</f>
        <v>-1455784.2709663643</v>
      </c>
      <c r="EV12" s="309">
        <f>Underwriting!$AT$212</f>
        <v>-1083442.3940526801</v>
      </c>
      <c r="EW12" s="309">
        <f>Underwriting!$AU$212</f>
        <v>-852358.66986050736</v>
      </c>
      <c r="EX12" s="309">
        <f>Underwriting!$AV$212</f>
        <v>-701328.93346127542</v>
      </c>
      <c r="EY12" s="309">
        <f>Underwriting!$AW$212</f>
        <v>-35865.47816403769</v>
      </c>
      <c r="EZ12" s="309">
        <f>Underwriting!$AX$212</f>
        <v>164230.6805146893</v>
      </c>
      <c r="FA12" s="309">
        <f>Underwriting!$AY$212</f>
        <v>364286.76529399911</v>
      </c>
      <c r="FB12" s="309">
        <f>Underwriting!$AZ$212</f>
        <v>572380.13607966923</v>
      </c>
      <c r="FC12" s="309">
        <f>Underwriting!$BA$212</f>
        <v>773016.00189663284</v>
      </c>
      <c r="FD12" s="309">
        <f>Underwriting!$BB$212</f>
        <v>973611.13907960732</v>
      </c>
      <c r="FE12" s="309">
        <f>Underwriting!$BC$212+$CR$52*1000000</f>
        <v>455925037.73594785</v>
      </c>
    </row>
    <row r="13" spans="1:185" ht="26" x14ac:dyDescent="0.35">
      <c r="A13" s="307"/>
      <c r="B13" s="659" t="s">
        <v>780</v>
      </c>
      <c r="C13" s="721">
        <f>Underwriting!$I$18</f>
        <v>78470.38</v>
      </c>
      <c r="D13" s="660" t="s">
        <v>525</v>
      </c>
      <c r="E13" s="660" t="s">
        <v>781</v>
      </c>
      <c r="F13" s="659"/>
      <c r="G13" s="659"/>
      <c r="H13" s="659"/>
      <c r="I13" s="659"/>
      <c r="J13" s="659" t="s">
        <v>782</v>
      </c>
      <c r="K13" s="720">
        <f>IFERROR(C7/C11,0)</f>
        <v>0.10146206645917477</v>
      </c>
      <c r="L13" s="660" t="s">
        <v>83</v>
      </c>
      <c r="M13" s="963" t="s">
        <v>783</v>
      </c>
      <c r="N13" s="963"/>
      <c r="O13" s="963"/>
      <c r="P13" s="963"/>
      <c r="CQ13" s="307" t="s">
        <v>784</v>
      </c>
      <c r="CR13" s="317">
        <f>'DATA MAP'!$E$117</f>
        <v>1</v>
      </c>
      <c r="CS13" s="982" t="str">
        <f>"Source: "&amp;'DATA MAP'!$C$117&amp;" | Status: "&amp;'DATA MAP'!$I$117&amp;" | Note: "&amp;'DATA MAP'!$K$117</f>
        <v>Source: Target: VALUATIONS | Status: Mapped — provisional | Note: No reliable agreed source input identified. | The management assumption is formula-linked through PROJECTS register and VALUATIONS; independent evidence remains an OWNER DECISION where applicable.</v>
      </c>
      <c r="CT13" s="937"/>
      <c r="CU13" s="937"/>
      <c r="CV13" s="937"/>
      <c r="CW13" s="937"/>
      <c r="CX13" s="937"/>
      <c r="CZ13" s="307" t="s">
        <v>785</v>
      </c>
      <c r="DA13" s="309">
        <f>SUM($CW$38,$DB$38)</f>
        <v>679.64702791220645</v>
      </c>
      <c r="DB13" s="308" t="s">
        <v>530</v>
      </c>
      <c r="DC13" s="937"/>
      <c r="DD13" s="937"/>
      <c r="DE13" s="937"/>
      <c r="DF13" s="937"/>
      <c r="DG13" s="937"/>
      <c r="DH13" s="937"/>
      <c r="DI13" s="937"/>
      <c r="DJ13" s="937"/>
      <c r="DK13" s="937"/>
      <c r="DL13" s="937"/>
      <c r="DN13" s="309">
        <f>Underwriting!$L$244</f>
        <v>0</v>
      </c>
      <c r="DO13" s="309">
        <f>Underwriting!$M$244</f>
        <v>0</v>
      </c>
      <c r="DP13" s="309">
        <f>Underwriting!$N$244</f>
        <v>0</v>
      </c>
      <c r="DQ13" s="309">
        <f>Underwriting!$O$244</f>
        <v>0</v>
      </c>
      <c r="DR13" s="309">
        <f>Underwriting!$P$244</f>
        <v>0</v>
      </c>
      <c r="DS13" s="309">
        <f>Underwriting!$Q$244</f>
        <v>0</v>
      </c>
      <c r="DT13" s="309">
        <f>Underwriting!$R$244</f>
        <v>0</v>
      </c>
      <c r="DU13" s="309">
        <f>Underwriting!$S$244</f>
        <v>0</v>
      </c>
      <c r="DV13" s="309">
        <f>Underwriting!$T$244</f>
        <v>0</v>
      </c>
      <c r="DW13" s="309">
        <f>Underwriting!$U$244</f>
        <v>0</v>
      </c>
      <c r="DX13" s="309">
        <f>Underwriting!$V$244</f>
        <v>0</v>
      </c>
      <c r="DY13" s="309">
        <f>Underwriting!$W$244</f>
        <v>0</v>
      </c>
      <c r="DZ13" s="309">
        <f>Underwriting!$X$244</f>
        <v>0</v>
      </c>
      <c r="EA13" s="309">
        <f>Underwriting!$Y$244</f>
        <v>0</v>
      </c>
      <c r="EB13" s="309">
        <f>Underwriting!$Z$244</f>
        <v>0</v>
      </c>
      <c r="EC13" s="309">
        <f>Underwriting!$AA$244</f>
        <v>0</v>
      </c>
      <c r="ED13" s="309">
        <f>Underwriting!$AB$244</f>
        <v>0</v>
      </c>
      <c r="EE13" s="309">
        <f>Underwriting!$AC$244</f>
        <v>0</v>
      </c>
      <c r="EF13" s="309">
        <f>Underwriting!$AD$244</f>
        <v>0</v>
      </c>
      <c r="EG13" s="309">
        <f>Underwriting!$AE$244</f>
        <v>0</v>
      </c>
      <c r="EH13" s="309">
        <f>Underwriting!$AF$244</f>
        <v>0</v>
      </c>
      <c r="EI13" s="309">
        <f>Underwriting!$AG$244</f>
        <v>0</v>
      </c>
      <c r="EJ13" s="309">
        <f>Underwriting!$AH$244</f>
        <v>0</v>
      </c>
      <c r="EK13" s="309">
        <f>Underwriting!$AI$244</f>
        <v>0</v>
      </c>
      <c r="EL13" s="309">
        <f>Underwriting!$AJ$244</f>
        <v>0</v>
      </c>
      <c r="EM13" s="309">
        <f>Underwriting!$AK$244</f>
        <v>0</v>
      </c>
      <c r="EN13" s="309">
        <f>Underwriting!$AL$244</f>
        <v>0</v>
      </c>
      <c r="EO13" s="309">
        <f>Underwriting!$AM$244</f>
        <v>0</v>
      </c>
      <c r="EP13" s="309">
        <f>Underwriting!$AN$244</f>
        <v>0</v>
      </c>
      <c r="EQ13" s="309">
        <f>Underwriting!$AO$244</f>
        <v>0</v>
      </c>
      <c r="ER13" s="309">
        <f>Underwriting!$AP$244</f>
        <v>0</v>
      </c>
      <c r="ES13" s="309">
        <f>Underwriting!$AQ$244</f>
        <v>0</v>
      </c>
      <c r="ET13" s="309">
        <f>Underwriting!$AR$244</f>
        <v>0</v>
      </c>
      <c r="EU13" s="309">
        <f>Underwriting!$AS$244</f>
        <v>0</v>
      </c>
      <c r="EV13" s="309">
        <f>Underwriting!$AT$244</f>
        <v>0</v>
      </c>
      <c r="EW13" s="309">
        <f>Underwriting!$AU$244</f>
        <v>0</v>
      </c>
      <c r="EX13" s="309">
        <f>Underwriting!$AV$244</f>
        <v>0</v>
      </c>
      <c r="EY13" s="309">
        <f>Underwriting!$AW$244</f>
        <v>0</v>
      </c>
      <c r="EZ13" s="309">
        <f>Underwriting!$AX$244</f>
        <v>0</v>
      </c>
      <c r="FA13" s="309">
        <f>Underwriting!$AY$244</f>
        <v>0</v>
      </c>
      <c r="FB13" s="309">
        <f>Underwriting!$AZ$244</f>
        <v>0</v>
      </c>
      <c r="FC13" s="309">
        <f>Underwriting!$BA$244</f>
        <v>0</v>
      </c>
      <c r="FD13" s="309">
        <f>Underwriting!$BB$244</f>
        <v>0</v>
      </c>
      <c r="FE13" s="309">
        <f>IF(SUM(Underwriting!$BC$239:$BC$240)=0,0,Underwriting!$BC$244+$CR$52*1000000*Underwriting!$BC$239/SUM(Underwriting!$BC$239:$BC$240))</f>
        <v>0</v>
      </c>
    </row>
    <row r="14" spans="1:185" ht="26" x14ac:dyDescent="0.35">
      <c r="A14" s="307"/>
      <c r="B14" s="659" t="s">
        <v>786</v>
      </c>
      <c r="C14" s="722">
        <f>Underwriting!$I$15</f>
        <v>48030</v>
      </c>
      <c r="D14" s="660" t="s">
        <v>787</v>
      </c>
      <c r="E14" s="660" t="s">
        <v>788</v>
      </c>
      <c r="F14" s="659"/>
      <c r="G14" s="659"/>
      <c r="H14" s="659"/>
      <c r="I14" s="659"/>
      <c r="J14" s="659" t="s">
        <v>789</v>
      </c>
      <c r="K14" s="720">
        <f>IFERROR(C10/K7,0)</f>
        <v>0.34606588986304815</v>
      </c>
      <c r="L14" s="660" t="s">
        <v>83</v>
      </c>
      <c r="M14" s="963" t="s">
        <v>790</v>
      </c>
      <c r="N14" s="963"/>
      <c r="O14" s="963"/>
      <c r="P14" s="963"/>
      <c r="CQ14" s="307" t="s">
        <v>791</v>
      </c>
      <c r="CR14" s="311">
        <f>'DATA MAP'!$E$118</f>
        <v>0</v>
      </c>
      <c r="CS14" s="982" t="str">
        <f>"Source: "&amp;'DATA MAP'!$C$118&amp;" | Status: "&amp;'DATA MAP'!$I$118&amp;" | Note: "&amp;'DATA MAP'!$K$118</f>
        <v>Source: Target: VALUATIONS | Status: Mapped — provisional | Note: No reliable agreed source input identified. | The management assumption is formula-linked through PROJECTS register and VALUATIONS; independent evidence remains an OWNER DECISION where applicable.</v>
      </c>
      <c r="CT14" s="937"/>
      <c r="CU14" s="937"/>
      <c r="CV14" s="937"/>
      <c r="CW14" s="937"/>
      <c r="CX14" s="937"/>
      <c r="CZ14" s="307" t="s">
        <v>792</v>
      </c>
      <c r="DA14" s="309">
        <f>MAX(0,($DA$7*(1-Underwriting!$I$163))/(1+$CR$9)-(Underwriting!$I$57-Underwriting!$I$31)/1000000)</f>
        <v>198.50843763348701</v>
      </c>
      <c r="DB14" s="308" t="s">
        <v>530</v>
      </c>
      <c r="DC14" s="934" t="s">
        <v>793</v>
      </c>
      <c r="DD14" s="937"/>
      <c r="DE14" s="937"/>
      <c r="DF14" s="937"/>
      <c r="DG14" s="937"/>
      <c r="DH14" s="937"/>
      <c r="DI14" s="937"/>
      <c r="DJ14" s="937"/>
      <c r="DK14" s="937"/>
      <c r="DL14" s="937"/>
      <c r="DN14" s="309">
        <f>Underwriting!$L$245</f>
        <v>-76389582.872717112</v>
      </c>
      <c r="DO14" s="309">
        <f>Underwriting!$M$245</f>
        <v>70562.268970067496</v>
      </c>
      <c r="DP14" s="309">
        <f>Underwriting!$N$245</f>
        <v>0</v>
      </c>
      <c r="DQ14" s="309">
        <f>Underwriting!$O$245</f>
        <v>52683.47823085892</v>
      </c>
      <c r="DR14" s="309">
        <f>Underwriting!$P$245</f>
        <v>73917.592887241393</v>
      </c>
      <c r="DS14" s="309">
        <f>Underwriting!$Q$245</f>
        <v>100597.62539995834</v>
      </c>
      <c r="DT14" s="309">
        <f>Underwriting!$R$245</f>
        <v>132711.21484693745</v>
      </c>
      <c r="DU14" s="309">
        <f>Underwriting!$S$245</f>
        <v>169571.13126643002</v>
      </c>
      <c r="DV14" s="309">
        <f>Underwriting!$T$245</f>
        <v>209638.92700129561</v>
      </c>
      <c r="DW14" s="309">
        <f>Underwriting!$U$245</f>
        <v>250432.28312832303</v>
      </c>
      <c r="DX14" s="309">
        <f>Underwriting!$V$245</f>
        <v>288567.01646289043</v>
      </c>
      <c r="DY14" s="309">
        <f>Underwriting!$W$245</f>
        <v>319971.35631248169</v>
      </c>
      <c r="DZ14" s="309">
        <f>Underwriting!$X$245</f>
        <v>340282.33397308737</v>
      </c>
      <c r="EA14" s="309">
        <f>Underwriting!$Y$245</f>
        <v>-1932832.6541841328</v>
      </c>
      <c r="EB14" s="309">
        <f>Underwriting!$Z$245</f>
        <v>-9018148.7201975472</v>
      </c>
      <c r="EC14" s="309">
        <f>Underwriting!$AA$245</f>
        <v>-9899906.2401258312</v>
      </c>
      <c r="ED14" s="309">
        <f>Underwriting!$AB$245</f>
        <v>-10594941.16352598</v>
      </c>
      <c r="EE14" s="309">
        <f>Underwriting!$AC$245</f>
        <v>-11168623.014029484</v>
      </c>
      <c r="EF14" s="309">
        <f>Underwriting!$AD$245</f>
        <v>-11476435.484353572</v>
      </c>
      <c r="EG14" s="309">
        <f>Underwriting!$AE$245</f>
        <v>-11500747.807484064</v>
      </c>
      <c r="EH14" s="309">
        <f>Underwriting!$AF$245</f>
        <v>-11200802.193184778</v>
      </c>
      <c r="EI14" s="309">
        <f>Underwriting!$AG$245</f>
        <v>-10560401.808855567</v>
      </c>
      <c r="EJ14" s="309">
        <f>Underwriting!$AH$245</f>
        <v>-9007015.4887131397</v>
      </c>
      <c r="EK14" s="309">
        <f>Underwriting!$AI$245</f>
        <v>-8037972.8637852902</v>
      </c>
      <c r="EL14" s="309">
        <f>Underwriting!$AJ$245</f>
        <v>-7003744.5955059687</v>
      </c>
      <c r="EM14" s="309">
        <f>Underwriting!$AK$245</f>
        <v>-5750851.2834514072</v>
      </c>
      <c r="EN14" s="309">
        <f>Underwriting!$AL$245</f>
        <v>-4766158.5265351916</v>
      </c>
      <c r="EO14" s="309">
        <f>Underwriting!$AM$245</f>
        <v>-3873205.3960134638</v>
      </c>
      <c r="EP14" s="309">
        <f>Underwriting!$AN$245</f>
        <v>-2923275.520515983</v>
      </c>
      <c r="EQ14" s="309">
        <f>Underwriting!$AO$245</f>
        <v>-2276010.0856580529</v>
      </c>
      <c r="ER14" s="309">
        <f>Underwriting!$AP$245</f>
        <v>-2650739.4435757259</v>
      </c>
      <c r="ES14" s="309">
        <f>Underwriting!$AQ$245</f>
        <v>-2596004.2703655614</v>
      </c>
      <c r="ET14" s="309">
        <f>Underwriting!$AR$245</f>
        <v>-1937292.4101016719</v>
      </c>
      <c r="EU14" s="309">
        <f>Underwriting!$AS$245</f>
        <v>-1455784.2709663643</v>
      </c>
      <c r="EV14" s="309">
        <f>Underwriting!$AT$245</f>
        <v>-1083442.3940526801</v>
      </c>
      <c r="EW14" s="309">
        <f>Underwriting!$AU$245</f>
        <v>-852358.66986050736</v>
      </c>
      <c r="EX14" s="309">
        <f>Underwriting!$AV$245</f>
        <v>-701328.93346127542</v>
      </c>
      <c r="EY14" s="309">
        <f>Underwriting!$AW$245</f>
        <v>-35865.47816403769</v>
      </c>
      <c r="EZ14" s="309">
        <f>Underwriting!$AX$245</f>
        <v>164230.6805146893</v>
      </c>
      <c r="FA14" s="309">
        <f>Underwriting!$AY$245</f>
        <v>364286.76529399911</v>
      </c>
      <c r="FB14" s="309">
        <f>Underwriting!$AZ$245</f>
        <v>572380.13607966923</v>
      </c>
      <c r="FC14" s="309">
        <f>Underwriting!$BA$245</f>
        <v>773016.00189663284</v>
      </c>
      <c r="FD14" s="309">
        <f>Underwriting!$BB$245</f>
        <v>973611.13907960732</v>
      </c>
      <c r="FE14" s="309">
        <f>IF(SUM(Underwriting!$BC$239:$BC$240)=0,0,Underwriting!$BC$245+$CR$52*1000000*Underwriting!$BC$240/SUM(Underwriting!$BC$239:$BC$240))</f>
        <v>455925037.73594785</v>
      </c>
    </row>
    <row r="15" spans="1:185" x14ac:dyDescent="0.35">
      <c r="A15" s="308"/>
      <c r="B15" s="660"/>
      <c r="C15" s="660"/>
      <c r="D15" s="660"/>
      <c r="E15" s="660"/>
      <c r="F15" s="660"/>
      <c r="G15" s="660"/>
      <c r="H15" s="660"/>
      <c r="I15" s="660"/>
      <c r="J15" s="659" t="s">
        <v>794</v>
      </c>
      <c r="K15" s="723">
        <f>Underwriting!$G$212</f>
        <v>3.6516197698477049</v>
      </c>
      <c r="L15" s="660" t="s">
        <v>795</v>
      </c>
      <c r="M15" s="963" t="s">
        <v>796</v>
      </c>
      <c r="N15" s="963"/>
      <c r="O15" s="963"/>
      <c r="P15" s="963"/>
      <c r="CQ15" s="307" t="s">
        <v>797</v>
      </c>
      <c r="CR15" s="311">
        <f>'DATA MAP'!$E$119</f>
        <v>0</v>
      </c>
      <c r="CS15" s="982" t="str">
        <f>"Source: "&amp;'DATA MAP'!$C$119&amp;" | Status: "&amp;'DATA MAP'!$I$119&amp;" | Note: "&amp;'DATA MAP'!$K$119</f>
        <v>Source: Target: VALUATIONS | Status: Mapped — provisional | Note: No reliable agreed source input identified. | The management assumption is formula-linked through PROJECTS register and VALUATIONS; independent evidence remains an OWNER DECISION where applicable.</v>
      </c>
      <c r="CT15" s="937"/>
      <c r="CU15" s="937"/>
      <c r="CV15" s="937"/>
      <c r="CW15" s="937"/>
      <c r="CX15" s="937"/>
      <c r="CZ15" s="307" t="s">
        <v>798</v>
      </c>
      <c r="DA15" s="309">
        <f>Underwriting!$I$57/1000000</f>
        <v>448.85663516148151</v>
      </c>
      <c r="DB15" s="308" t="s">
        <v>530</v>
      </c>
      <c r="DC15" s="937"/>
      <c r="DD15" s="937"/>
      <c r="DE15" s="937"/>
      <c r="DF15" s="937"/>
      <c r="DG15" s="937"/>
      <c r="DH15" s="937"/>
      <c r="DI15" s="937"/>
      <c r="DJ15" s="937"/>
      <c r="DK15" s="937"/>
      <c r="DL15" s="937"/>
      <c r="DN15" s="309">
        <f t="shared" ref="DN15:FE15" si="1">IF($CR$17=$CQ$62,DN$13,DN$14)</f>
        <v>-76389582.872717112</v>
      </c>
      <c r="DO15" s="309">
        <f t="shared" si="1"/>
        <v>70562.268970067496</v>
      </c>
      <c r="DP15" s="309">
        <f t="shared" si="1"/>
        <v>0</v>
      </c>
      <c r="DQ15" s="309">
        <f t="shared" si="1"/>
        <v>52683.47823085892</v>
      </c>
      <c r="DR15" s="309">
        <f t="shared" si="1"/>
        <v>73917.592887241393</v>
      </c>
      <c r="DS15" s="309">
        <f t="shared" si="1"/>
        <v>100597.62539995834</v>
      </c>
      <c r="DT15" s="309">
        <f t="shared" si="1"/>
        <v>132711.21484693745</v>
      </c>
      <c r="DU15" s="309">
        <f t="shared" si="1"/>
        <v>169571.13126643002</v>
      </c>
      <c r="DV15" s="309">
        <f t="shared" si="1"/>
        <v>209638.92700129561</v>
      </c>
      <c r="DW15" s="309">
        <f t="shared" si="1"/>
        <v>250432.28312832303</v>
      </c>
      <c r="DX15" s="309">
        <f t="shared" si="1"/>
        <v>288567.01646289043</v>
      </c>
      <c r="DY15" s="309">
        <f t="shared" si="1"/>
        <v>319971.35631248169</v>
      </c>
      <c r="DZ15" s="309">
        <f t="shared" si="1"/>
        <v>340282.33397308737</v>
      </c>
      <c r="EA15" s="309">
        <f t="shared" si="1"/>
        <v>-1932832.6541841328</v>
      </c>
      <c r="EB15" s="309">
        <f t="shared" si="1"/>
        <v>-9018148.7201975472</v>
      </c>
      <c r="EC15" s="309">
        <f t="shared" si="1"/>
        <v>-9899906.2401258312</v>
      </c>
      <c r="ED15" s="309">
        <f t="shared" si="1"/>
        <v>-10594941.16352598</v>
      </c>
      <c r="EE15" s="309">
        <f t="shared" si="1"/>
        <v>-11168623.014029484</v>
      </c>
      <c r="EF15" s="309">
        <f t="shared" si="1"/>
        <v>-11476435.484353572</v>
      </c>
      <c r="EG15" s="309">
        <f t="shared" si="1"/>
        <v>-11500747.807484064</v>
      </c>
      <c r="EH15" s="309">
        <f t="shared" si="1"/>
        <v>-11200802.193184778</v>
      </c>
      <c r="EI15" s="309">
        <f t="shared" si="1"/>
        <v>-10560401.808855567</v>
      </c>
      <c r="EJ15" s="309">
        <f t="shared" si="1"/>
        <v>-9007015.4887131397</v>
      </c>
      <c r="EK15" s="309">
        <f t="shared" si="1"/>
        <v>-8037972.8637852902</v>
      </c>
      <c r="EL15" s="309">
        <f t="shared" si="1"/>
        <v>-7003744.5955059687</v>
      </c>
      <c r="EM15" s="309">
        <f t="shared" si="1"/>
        <v>-5750851.2834514072</v>
      </c>
      <c r="EN15" s="309">
        <f t="shared" si="1"/>
        <v>-4766158.5265351916</v>
      </c>
      <c r="EO15" s="309">
        <f t="shared" si="1"/>
        <v>-3873205.3960134638</v>
      </c>
      <c r="EP15" s="309">
        <f t="shared" si="1"/>
        <v>-2923275.520515983</v>
      </c>
      <c r="EQ15" s="309">
        <f t="shared" si="1"/>
        <v>-2276010.0856580529</v>
      </c>
      <c r="ER15" s="309">
        <f t="shared" si="1"/>
        <v>-2650739.4435757259</v>
      </c>
      <c r="ES15" s="309">
        <f t="shared" si="1"/>
        <v>-2596004.2703655614</v>
      </c>
      <c r="ET15" s="309">
        <f t="shared" si="1"/>
        <v>-1937292.4101016719</v>
      </c>
      <c r="EU15" s="309">
        <f t="shared" si="1"/>
        <v>-1455784.2709663643</v>
      </c>
      <c r="EV15" s="309">
        <f t="shared" si="1"/>
        <v>-1083442.3940526801</v>
      </c>
      <c r="EW15" s="309">
        <f t="shared" si="1"/>
        <v>-852358.66986050736</v>
      </c>
      <c r="EX15" s="309">
        <f t="shared" si="1"/>
        <v>-701328.93346127542</v>
      </c>
      <c r="EY15" s="309">
        <f t="shared" si="1"/>
        <v>-35865.47816403769</v>
      </c>
      <c r="EZ15" s="309">
        <f t="shared" si="1"/>
        <v>164230.6805146893</v>
      </c>
      <c r="FA15" s="309">
        <f t="shared" si="1"/>
        <v>364286.76529399911</v>
      </c>
      <c r="FB15" s="309">
        <f t="shared" si="1"/>
        <v>572380.13607966923</v>
      </c>
      <c r="FC15" s="309">
        <f t="shared" si="1"/>
        <v>773016.00189663284</v>
      </c>
      <c r="FD15" s="309">
        <f t="shared" si="1"/>
        <v>973611.13907960732</v>
      </c>
      <c r="FE15" s="309">
        <f t="shared" si="1"/>
        <v>455925037.73594785</v>
      </c>
    </row>
    <row r="16" spans="1:185" x14ac:dyDescent="0.35">
      <c r="A16" s="307"/>
      <c r="B16" s="659"/>
      <c r="C16" s="659"/>
      <c r="D16" s="659"/>
      <c r="E16" s="659"/>
      <c r="F16" s="659"/>
      <c r="G16" s="659"/>
      <c r="H16" s="659"/>
      <c r="I16" s="659"/>
      <c r="J16" s="659"/>
      <c r="K16" s="659"/>
      <c r="L16" s="659"/>
      <c r="M16" s="659"/>
      <c r="N16" s="659"/>
      <c r="O16" s="659"/>
      <c r="P16" s="660"/>
      <c r="CQ16" s="307" t="s">
        <v>689</v>
      </c>
      <c r="CR16" s="311">
        <f>IFERROR('Financial Statements'!$K$33/1000000,0)</f>
        <v>0</v>
      </c>
      <c r="CS16" s="934" t="s">
        <v>799</v>
      </c>
      <c r="CT16" s="937"/>
      <c r="CU16" s="937"/>
      <c r="CV16" s="937"/>
      <c r="CW16" s="937"/>
      <c r="CX16" s="937"/>
      <c r="CZ16" s="307" t="s">
        <v>800</v>
      </c>
      <c r="DA16" s="309">
        <f>$DA$7*(1-Underwriting!$I$163)-$DA$15</f>
        <v>217.19745219248074</v>
      </c>
      <c r="DB16" s="308" t="s">
        <v>530</v>
      </c>
      <c r="DC16" s="937"/>
      <c r="DD16" s="937"/>
      <c r="DE16" s="937"/>
      <c r="DF16" s="937"/>
      <c r="DG16" s="937"/>
      <c r="DH16" s="937"/>
      <c r="DI16" s="937"/>
      <c r="DJ16" s="937"/>
      <c r="DK16" s="937"/>
      <c r="DL16" s="937"/>
      <c r="DN16" s="309">
        <f>SUM($DN$11:DN$11)</f>
        <v>-93017714.091035873</v>
      </c>
      <c r="DO16" s="309">
        <f>SUM($DN$11:DO$11)</f>
        <v>-93899742.453161716</v>
      </c>
      <c r="DP16" s="309">
        <f>SUM($DN$11:DP$11)</f>
        <v>-95052981.212375537</v>
      </c>
      <c r="DQ16" s="309">
        <f>SUM($DN$11:DQ$11)</f>
        <v>-96593553.052387118</v>
      </c>
      <c r="DR16" s="309">
        <f>SUM($DN$11:DR$11)</f>
        <v>-98670761.722691447</v>
      </c>
      <c r="DS16" s="309">
        <f>SUM($DN$11:DS$11)</f>
        <v>-101468803.8802025</v>
      </c>
      <c r="DT16" s="309">
        <f>SUM($DN$11:DT$11)</f>
        <v>-105204902.73609355</v>
      </c>
      <c r="DU16" s="309">
        <f>SUM($DN$11:DU$11)</f>
        <v>-110122584.03443497</v>
      </c>
      <c r="DV16" s="309">
        <f>SUM($DN$11:DV$11)</f>
        <v>-116479169.47784221</v>
      </c>
      <c r="DW16" s="309">
        <f>SUM($DN$11:DW$11)</f>
        <v>-124527254.31528768</v>
      </c>
      <c r="DX16" s="309">
        <f>SUM($DN$11:DX$11)</f>
        <v>-134490927.46448106</v>
      </c>
      <c r="DY16" s="309">
        <f>SUM($DN$11:DY$11)</f>
        <v>-146538654.25583255</v>
      </c>
      <c r="DZ16" s="309">
        <f>SUM($DN$11:DZ$11)</f>
        <v>-160755856.5796895</v>
      </c>
      <c r="EA16" s="309">
        <f>SUM($DN$11:EA$11)</f>
        <v>-177121024.27827615</v>
      </c>
      <c r="EB16" s="309">
        <f>SUM($DN$11:EB$11)</f>
        <v>-195489416.94619632</v>
      </c>
      <c r="EC16" s="309">
        <f>SUM($DN$11:EC$11)</f>
        <v>-215587894.19007105</v>
      </c>
      <c r="ED16" s="309">
        <f>SUM($DN$11:ED$11)</f>
        <v>-237023123.44400403</v>
      </c>
      <c r="EE16" s="309">
        <f>SUM($DN$11:EE$11)</f>
        <v>-259303520.84704974</v>
      </c>
      <c r="EF16" s="309">
        <f>SUM($DN$11:EF$11)</f>
        <v>-281873114.31443173</v>
      </c>
      <c r="EG16" s="309">
        <f>SUM($DN$11:EG$11)</f>
        <v>-304153511.71747744</v>
      </c>
      <c r="EH16" s="309">
        <f>SUM($DN$11:EH$11)</f>
        <v>-325588740.97141039</v>
      </c>
      <c r="EI16" s="309">
        <f>SUM($DN$11:EI$11)</f>
        <v>-345687218.21528518</v>
      </c>
      <c r="EJ16" s="309">
        <f>SUM($DN$11:EJ$11)</f>
        <v>-363338944.21653867</v>
      </c>
      <c r="EK16" s="309">
        <f>SUM($DN$11:EK$11)</f>
        <v>-378987445.24845862</v>
      </c>
      <c r="EL16" s="309">
        <f>SUM($DN$11:EL$11)</f>
        <v>-392487980.90564895</v>
      </c>
      <c r="EM16" s="309">
        <f>SUM($DN$11:EM$11)</f>
        <v>-403602374.36366707</v>
      </c>
      <c r="EN16" s="309">
        <f>SUM($DN$11:EN$11)</f>
        <v>-412632714.1795271</v>
      </c>
      <c r="EO16" s="309">
        <f>SUM($DN$11:EO$11)</f>
        <v>-419747465.68363929</v>
      </c>
      <c r="EP16" s="309">
        <f>SUM($DN$11:EP$11)</f>
        <v>-424996551.12704653</v>
      </c>
      <c r="EQ16" s="309">
        <f>SUM($DN$11:EQ$11)</f>
        <v>-428806732.42538798</v>
      </c>
      <c r="ER16" s="309">
        <f>SUM($DN$11:ER$11)</f>
        <v>-431435331.28127903</v>
      </c>
      <c r="ES16" s="309">
        <f>SUM($DN$11:ES$11)</f>
        <v>-432967540.10545671</v>
      </c>
      <c r="ET16" s="309">
        <f>SUM($DN$11:ET$11)</f>
        <v>-433778915.44242769</v>
      </c>
      <c r="EU16" s="309">
        <f>SUM($DN$11:EU$11)</f>
        <v>-434053653.94910592</v>
      </c>
      <c r="EV16" s="309">
        <f>SUM($DN$11:EV$11)</f>
        <v>-433908476.0416531</v>
      </c>
      <c r="EW16" s="309">
        <f>SUM($DN$11:EW$11)</f>
        <v>-433492087.73711228</v>
      </c>
      <c r="EX16" s="309">
        <f>SUM($DN$11:EX$11)</f>
        <v>-432891385.1614815</v>
      </c>
      <c r="EY16" s="309">
        <f>SUM($DN$11:EY$11)</f>
        <v>-431561418.32814819</v>
      </c>
      <c r="EZ16" s="309">
        <f>SUM($DN$11:EZ$11)</f>
        <v>-430023957.07778215</v>
      </c>
      <c r="FA16" s="309">
        <f>SUM($DN$11:FA$11)</f>
        <v>-428279001.41038346</v>
      </c>
      <c r="FB16" s="309">
        <f>SUM($DN$11:FB$11)</f>
        <v>-426318473.74897939</v>
      </c>
      <c r="FC16" s="309">
        <f>SUM($DN$11:FC$11)</f>
        <v>-424149791.08932948</v>
      </c>
      <c r="FD16" s="309">
        <f>SUM($DN$11:FD$11)</f>
        <v>-421772953.4314338</v>
      </c>
      <c r="FE16" s="309">
        <f>SUM($DN$11:FE$11)</f>
        <v>246871668.24533665</v>
      </c>
    </row>
    <row r="17" spans="1:191" ht="22" customHeight="1" x14ac:dyDescent="0.35">
      <c r="A17" s="307"/>
      <c r="B17" s="971" t="s">
        <v>801</v>
      </c>
      <c r="C17" s="971"/>
      <c r="D17" s="971"/>
      <c r="E17" s="971"/>
      <c r="F17" s="971"/>
      <c r="G17" s="971"/>
      <c r="H17" s="971"/>
      <c r="I17" s="971"/>
      <c r="J17" s="971"/>
      <c r="K17" s="971"/>
      <c r="L17" s="971"/>
      <c r="M17" s="971"/>
      <c r="N17" s="971"/>
      <c r="O17" s="971"/>
      <c r="P17" s="972"/>
      <c r="CQ17" s="307" t="s">
        <v>802</v>
      </c>
      <c r="CR17" s="323" t="str">
        <f>'INVESTOR REPORT'!$C$3</f>
        <v>Brian Mirfin</v>
      </c>
      <c r="CS17" s="934" t="s">
        <v>803</v>
      </c>
      <c r="CT17" s="937"/>
      <c r="CU17" s="937"/>
      <c r="CV17" s="937"/>
      <c r="CW17" s="937"/>
      <c r="CX17" s="937"/>
      <c r="CZ17" s="307" t="s">
        <v>804</v>
      </c>
      <c r="DA17" s="312">
        <f>IF($DA$15=0,"",$DA$16/$DA$15)</f>
        <v>0.483890479004151</v>
      </c>
      <c r="DB17" s="308" t="s">
        <v>83</v>
      </c>
      <c r="DC17" s="937"/>
      <c r="DD17" s="937"/>
      <c r="DE17" s="937"/>
      <c r="DF17" s="937"/>
      <c r="DG17" s="937"/>
      <c r="DH17" s="937"/>
      <c r="DI17" s="937"/>
      <c r="DJ17" s="937"/>
      <c r="DK17" s="937"/>
      <c r="DL17" s="937"/>
      <c r="DN17" s="309">
        <f>SUM($DN$12:DN$12)</f>
        <v>-76389582.872717112</v>
      </c>
      <c r="DO17" s="309">
        <f>SUM($DN$12:DO$12)</f>
        <v>-76319020.60374704</v>
      </c>
      <c r="DP17" s="309">
        <f>SUM($DN$12:DP$12)</f>
        <v>-76319020.60374704</v>
      </c>
      <c r="DQ17" s="309">
        <f>SUM($DN$12:DQ$12)</f>
        <v>-76266337.125516176</v>
      </c>
      <c r="DR17" s="309">
        <f>SUM($DN$12:DR$12)</f>
        <v>-76192419.532628939</v>
      </c>
      <c r="DS17" s="309">
        <f>SUM($DN$12:DS$12)</f>
        <v>-76091821.907228976</v>
      </c>
      <c r="DT17" s="309">
        <f>SUM($DN$12:DT$12)</f>
        <v>-75959110.692382038</v>
      </c>
      <c r="DU17" s="309">
        <f>SUM($DN$12:DU$12)</f>
        <v>-75789539.561115608</v>
      </c>
      <c r="DV17" s="309">
        <f>SUM($DN$12:DV$12)</f>
        <v>-75579900.63411431</v>
      </c>
      <c r="DW17" s="309">
        <f>SUM($DN$12:DW$12)</f>
        <v>-75329468.350985989</v>
      </c>
      <c r="DX17" s="309">
        <f>SUM($DN$12:DX$12)</f>
        <v>-75040901.334523097</v>
      </c>
      <c r="DY17" s="309">
        <f>SUM($DN$12:DY$12)</f>
        <v>-74720929.978210613</v>
      </c>
      <c r="DZ17" s="309">
        <f>SUM($DN$12:DZ$12)</f>
        <v>-74380647.644237518</v>
      </c>
      <c r="EA17" s="309">
        <f>SUM($DN$12:EA$12)</f>
        <v>-76313480.298421651</v>
      </c>
      <c r="EB17" s="309">
        <f>SUM($DN$12:EB$12)</f>
        <v>-85331629.018619195</v>
      </c>
      <c r="EC17" s="309">
        <f>SUM($DN$12:EC$12)</f>
        <v>-95231535.25874503</v>
      </c>
      <c r="ED17" s="309">
        <f>SUM($DN$12:ED$12)</f>
        <v>-105826476.42227101</v>
      </c>
      <c r="EE17" s="309">
        <f>SUM($DN$12:EE$12)</f>
        <v>-116995099.4363005</v>
      </c>
      <c r="EF17" s="309">
        <f>SUM($DN$12:EF$12)</f>
        <v>-128471534.92065407</v>
      </c>
      <c r="EG17" s="309">
        <f>SUM($DN$12:EG$12)</f>
        <v>-139972282.72813815</v>
      </c>
      <c r="EH17" s="309">
        <f>SUM($DN$12:EH$12)</f>
        <v>-151173084.92132294</v>
      </c>
      <c r="EI17" s="309">
        <f>SUM($DN$12:EI$12)</f>
        <v>-161733486.73017851</v>
      </c>
      <c r="EJ17" s="309">
        <f>SUM($DN$12:EJ$12)</f>
        <v>-170740502.21889165</v>
      </c>
      <c r="EK17" s="309">
        <f>SUM($DN$12:EK$12)</f>
        <v>-178778475.08267695</v>
      </c>
      <c r="EL17" s="309">
        <f>SUM($DN$12:EL$12)</f>
        <v>-185782219.67818293</v>
      </c>
      <c r="EM17" s="309">
        <f>SUM($DN$12:EM$12)</f>
        <v>-191533070.96163434</v>
      </c>
      <c r="EN17" s="309">
        <f>SUM($DN$12:EN$12)</f>
        <v>-196299229.48816952</v>
      </c>
      <c r="EO17" s="309">
        <f>SUM($DN$12:EO$12)</f>
        <v>-200172434.88418299</v>
      </c>
      <c r="EP17" s="309">
        <f>SUM($DN$12:EP$12)</f>
        <v>-203095710.40469897</v>
      </c>
      <c r="EQ17" s="309">
        <f>SUM($DN$12:EQ$12)</f>
        <v>-205371720.49035701</v>
      </c>
      <c r="ER17" s="309">
        <f>SUM($DN$12:ER$12)</f>
        <v>-208022459.93393275</v>
      </c>
      <c r="ES17" s="309">
        <f>SUM($DN$12:ES$12)</f>
        <v>-210618464.20429832</v>
      </c>
      <c r="ET17" s="309">
        <f>SUM($DN$12:ET$12)</f>
        <v>-212555756.6144</v>
      </c>
      <c r="EU17" s="309">
        <f>SUM($DN$12:EU$12)</f>
        <v>-214011540.88536635</v>
      </c>
      <c r="EV17" s="309">
        <f>SUM($DN$12:EV$12)</f>
        <v>-215094983.27941903</v>
      </c>
      <c r="EW17" s="309">
        <f>SUM($DN$12:EW$12)</f>
        <v>-215947341.94927955</v>
      </c>
      <c r="EX17" s="309">
        <f>SUM($DN$12:EX$12)</f>
        <v>-216648670.88274083</v>
      </c>
      <c r="EY17" s="309">
        <f>SUM($DN$12:EY$12)</f>
        <v>-216684536.36090487</v>
      </c>
      <c r="EZ17" s="309">
        <f>SUM($DN$12:EZ$12)</f>
        <v>-216520305.68039018</v>
      </c>
      <c r="FA17" s="309">
        <f>SUM($DN$12:FA$12)</f>
        <v>-216156018.91509619</v>
      </c>
      <c r="FB17" s="309">
        <f>SUM($DN$12:FB$12)</f>
        <v>-215583638.77901652</v>
      </c>
      <c r="FC17" s="309">
        <f>SUM($DN$12:FC$12)</f>
        <v>-214810622.7771199</v>
      </c>
      <c r="FD17" s="309">
        <f>SUM($DN$12:FD$12)</f>
        <v>-213837011.6380403</v>
      </c>
      <c r="FE17" s="309">
        <f>SUM($DN$12:FE$12)</f>
        <v>242088026.09790754</v>
      </c>
    </row>
    <row r="18" spans="1:191" ht="28" customHeight="1" x14ac:dyDescent="0.35">
      <c r="A18" s="307"/>
      <c r="B18" s="663" t="s">
        <v>805</v>
      </c>
      <c r="C18" s="663" t="s">
        <v>806</v>
      </c>
      <c r="D18" s="663" t="s">
        <v>807</v>
      </c>
      <c r="E18" s="663" t="s">
        <v>808</v>
      </c>
      <c r="F18" s="663" t="s">
        <v>809</v>
      </c>
      <c r="G18" s="663" t="s">
        <v>810</v>
      </c>
      <c r="H18" s="663" t="s">
        <v>811</v>
      </c>
      <c r="I18" s="663" t="s">
        <v>812</v>
      </c>
      <c r="J18" s="663" t="s">
        <v>813</v>
      </c>
      <c r="K18" s="663" t="s">
        <v>814</v>
      </c>
      <c r="L18" s="663" t="s">
        <v>815</v>
      </c>
      <c r="M18" s="663" t="s">
        <v>816</v>
      </c>
      <c r="N18" s="663" t="s">
        <v>817</v>
      </c>
      <c r="O18" s="663" t="s">
        <v>818</v>
      </c>
      <c r="P18" s="663" t="s">
        <v>819</v>
      </c>
      <c r="CQ18" s="937" t="s">
        <v>820</v>
      </c>
      <c r="CR18" s="937"/>
      <c r="CS18" s="937"/>
      <c r="CT18" s="937"/>
      <c r="CU18" s="937"/>
      <c r="CV18" s="937"/>
      <c r="CW18" s="937"/>
      <c r="CX18" s="937"/>
      <c r="CZ18" s="307" t="s">
        <v>821</v>
      </c>
      <c r="DA18" s="312">
        <f>IF($DA$7=0,"",$DA$16/$DA$7)</f>
        <v>0.3195739012641387</v>
      </c>
      <c r="DB18" s="308" t="s">
        <v>83</v>
      </c>
      <c r="DC18" s="937"/>
      <c r="DD18" s="937"/>
      <c r="DE18" s="937"/>
      <c r="DF18" s="937"/>
      <c r="DG18" s="937"/>
      <c r="DH18" s="937"/>
      <c r="DI18" s="937"/>
      <c r="DJ18" s="937"/>
      <c r="DK18" s="937"/>
      <c r="DL18" s="937"/>
      <c r="DN18" s="309">
        <f>Underwriting!$L$212/(1+$CR$8)^((Underwriting!$L$195-Underwriting!$L$195)/365)</f>
        <v>-76389582.872717112</v>
      </c>
      <c r="DO18" s="309">
        <f>Underwriting!$M$212/(1+$CR$8)^((Underwriting!$M$195-Underwriting!$L$195)/365)</f>
        <v>70102.548640755238</v>
      </c>
      <c r="DP18" s="309">
        <f>Underwriting!$N$212/(1+$CR$8)^((Underwriting!$N$195-Underwriting!$L$195)/365)</f>
        <v>0</v>
      </c>
      <c r="DQ18" s="309">
        <f>Underwriting!$O$212/(1+$CR$8)^((Underwriting!$O$195-Underwriting!$L$195)/365)</f>
        <v>51671.351634062783</v>
      </c>
      <c r="DR18" s="309">
        <f>Underwriting!$P$212/(1+$CR$8)^((Underwriting!$P$195-Underwriting!$L$195)/365)</f>
        <v>72025.199183665376</v>
      </c>
      <c r="DS18" s="309">
        <f>Underwriting!$Q$212/(1+$CR$8)^((Underwriting!$Q$195-Underwriting!$L$195)/365)</f>
        <v>97404.096801985768</v>
      </c>
      <c r="DT18" s="309">
        <f>Underwriting!$R$212/(1+$CR$8)^((Underwriting!$R$195-Underwriting!$L$195)/365)</f>
        <v>127661.0432300009</v>
      </c>
      <c r="DU18" s="309">
        <f>Underwriting!$S$212/(1+$CR$8)^((Underwriting!$S$195-Underwriting!$L$195)/365)</f>
        <v>162055.56597518045</v>
      </c>
      <c r="DV18" s="309">
        <f>Underwriting!$T$212/(1+$CR$8)^((Underwriting!$T$195-Underwriting!$L$195)/365)</f>
        <v>199168.17711054313</v>
      </c>
      <c r="DW18" s="309">
        <f>Underwriting!$U$212/(1+$CR$8)^((Underwriting!$U$195-Underwriting!$L$195)/365)</f>
        <v>236373.94488921645</v>
      </c>
      <c r="DX18" s="309">
        <f>Underwriting!$V$212/(1+$CR$8)^((Underwriting!$V$195-Underwriting!$L$195)/365)</f>
        <v>270650.49246873957</v>
      </c>
      <c r="DY18" s="309">
        <f>Underwriting!$W$212/(1+$CR$8)^((Underwriting!$W$195-Underwriting!$L$195)/365)</f>
        <v>298149.78789125371</v>
      </c>
      <c r="DZ18" s="309">
        <f>Underwriting!$X$212/(1+$CR$8)^((Underwriting!$X$195-Underwriting!$L$195)/365)</f>
        <v>315076.23516026605</v>
      </c>
      <c r="EA18" s="309">
        <f>Underwriting!$Y$212/(1+$CR$8)^((Underwriting!$Y$195-Underwriting!$L$195)/365)</f>
        <v>-1778000.0496973812</v>
      </c>
      <c r="EB18" s="309">
        <f>Underwriting!$Z$212/(1+$CR$8)^((Underwriting!$Z$195-Underwriting!$L$195)/365)</f>
        <v>-8241688.1525941957</v>
      </c>
      <c r="EC18" s="309">
        <f>Underwriting!$AA$212/(1+$CR$8)^((Underwriting!$AA$195-Underwriting!$L$195)/365)</f>
        <v>-8990476.4589999299</v>
      </c>
      <c r="ED18" s="309">
        <f>Underwriting!$AB$212/(1+$CR$8)^((Underwriting!$AB$195-Underwriting!$L$195)/365)</f>
        <v>-9558977.6477848124</v>
      </c>
      <c r="EE18" s="309">
        <f>Underwriting!$AC$212/(1+$CR$8)^((Underwriting!$AC$195-Underwriting!$L$195)/365)</f>
        <v>-10013026.620752512</v>
      </c>
      <c r="EF18" s="309">
        <f>Underwriting!$AD$212/(1+$CR$8)^((Underwriting!$AD$195-Underwriting!$L$195)/365)</f>
        <v>-10221956.500339255</v>
      </c>
      <c r="EG18" s="309">
        <f>Underwriting!$AE$212/(1+$CR$8)^((Underwriting!$AE$195-Underwriting!$L$195)/365)</f>
        <v>-10176873.100065485</v>
      </c>
      <c r="EH18" s="309">
        <f>Underwriting!$AF$212/(1+$CR$8)^((Underwriting!$AF$195-Underwriting!$L$195)/365)</f>
        <v>-9851034.0574176777</v>
      </c>
      <c r="EI18" s="309">
        <f>Underwriting!$AG$212/(1+$CR$8)^((Underwriting!$AG$195-Underwriting!$L$195)/365)</f>
        <v>-9227295.0088950414</v>
      </c>
      <c r="EJ18" s="309">
        <f>Underwriting!$AH$212/(1+$CR$8)^((Underwriting!$AH$195-Underwriting!$L$195)/365)</f>
        <v>-7820377.4465000769</v>
      </c>
      <c r="EK18" s="309">
        <f>Underwriting!$AI$212/(1+$CR$8)^((Underwriting!$AI$195-Underwriting!$L$195)/365)</f>
        <v>-6933533.3807489695</v>
      </c>
      <c r="EL18" s="309">
        <f>Underwriting!$AJ$212/(1+$CR$8)^((Underwriting!$AJ$195-Underwriting!$L$195)/365)</f>
        <v>-6003316.1835176097</v>
      </c>
      <c r="EM18" s="309">
        <f>Underwriting!$AK$212/(1+$CR$8)^((Underwriting!$AK$195-Underwriting!$L$195)/365)</f>
        <v>-4897273.1074026367</v>
      </c>
      <c r="EN18" s="309">
        <f>Underwriting!$AL$212/(1+$CR$8)^((Underwriting!$AL$195-Underwriting!$L$195)/365)</f>
        <v>-4032291.6874337578</v>
      </c>
      <c r="EO18" s="309">
        <f>Underwriting!$AM$212/(1+$CR$8)^((Underwriting!$AM$195-Underwriting!$L$195)/365)</f>
        <v>-3256168.1765194912</v>
      </c>
      <c r="EP18" s="309">
        <f>Underwriting!$AN$212/(1+$CR$8)^((Underwriting!$AN$195-Underwriting!$L$195)/365)</f>
        <v>-2441559.5382287181</v>
      </c>
      <c r="EQ18" s="309">
        <f>Underwriting!$AO$212/(1+$CR$8)^((Underwriting!$AO$195-Underwriting!$L$195)/365)</f>
        <v>-1888967.9684545193</v>
      </c>
      <c r="ER18" s="309">
        <f>Underwriting!$AP$212/(1+$CR$8)^((Underwriting!$AP$195-Underwriting!$L$195)/365)</f>
        <v>-2185640.4618042493</v>
      </c>
      <c r="ES18" s="309">
        <f>Underwriting!$AQ$212/(1+$CR$8)^((Underwriting!$AQ$195-Underwriting!$L$195)/365)</f>
        <v>-2126563.4932544739</v>
      </c>
      <c r="ET18" s="309">
        <f>Underwriting!$AR$212/(1+$CR$8)^((Underwriting!$AR$195-Underwriting!$L$195)/365)</f>
        <v>-1577626.2157085077</v>
      </c>
      <c r="EU18" s="309">
        <f>Underwriting!$AS$212/(1+$CR$8)^((Underwriting!$AS$195-Underwriting!$L$195)/365)</f>
        <v>-1177788.284940721</v>
      </c>
      <c r="EV18" s="309">
        <f>Underwriting!$AT$212/(1+$CR$8)^((Underwriting!$AT$195-Underwriting!$L$195)/365)</f>
        <v>-871021.49899351131</v>
      </c>
      <c r="EW18" s="309">
        <f>Underwriting!$AU$212/(1+$CR$8)^((Underwriting!$AU$195-Underwriting!$L$195)/365)</f>
        <v>-680779.8652627219</v>
      </c>
      <c r="EX18" s="309">
        <f>Underwriting!$AV$212/(1+$CR$8)^((Underwriting!$AV$195-Underwriting!$L$195)/365)</f>
        <v>-556620.14200428</v>
      </c>
      <c r="EY18" s="309">
        <f>Underwriting!$AW$212/(1+$CR$8)^((Underwriting!$AW$195-Underwriting!$L$195)/365)</f>
        <v>-28279.71686272214</v>
      </c>
      <c r="EZ18" s="309">
        <f>Underwriting!$AX$212/(1+$CR$8)^((Underwriting!$AX$195-Underwriting!$L$195)/365)</f>
        <v>128651.24525068008</v>
      </c>
      <c r="FA18" s="309">
        <f>Underwriting!$AY$212/(1+$CR$8)^((Underwriting!$AY$195-Underwriting!$L$195)/365)</f>
        <v>283567.16231739213</v>
      </c>
      <c r="FB18" s="309">
        <f>Underwriting!$AZ$212/(1+$CR$8)^((Underwriting!$AZ$195-Underwriting!$L$195)/365)</f>
        <v>442647.85845538531</v>
      </c>
      <c r="FC18" s="309">
        <f>Underwriting!$BA$212/(1+$CR$8)^((Underwriting!$BA$195-Underwriting!$L$195)/365)</f>
        <v>594039.24856255599</v>
      </c>
      <c r="FD18" s="309">
        <f>Underwriting!$BB$212/(1+$CR$8)^((Underwriting!$BB$195-Underwriting!$L$195)/365)</f>
        <v>743315.96373321721</v>
      </c>
      <c r="FE18" s="309">
        <f>Underwriting!$BC$212/(1+$CR$8)^((Underwriting!$BC$195-Underwriting!$L$195)/365)</f>
        <v>894794.59093503782</v>
      </c>
    </row>
    <row r="19" spans="1:191" ht="52" x14ac:dyDescent="0.35">
      <c r="A19" s="307"/>
      <c r="B19" s="664" t="s">
        <v>822</v>
      </c>
      <c r="C19" s="665" t="s">
        <v>823</v>
      </c>
      <c r="D19" s="666">
        <f>$C$11</f>
        <v>448.85663516148151</v>
      </c>
      <c r="E19" s="666">
        <f>0</f>
        <v>0</v>
      </c>
      <c r="F19" s="666">
        <f>D19+E19</f>
        <v>448.85663516148151</v>
      </c>
      <c r="G19" s="666">
        <f>$C$10</f>
        <v>235.2026535072136</v>
      </c>
      <c r="H19" s="666">
        <f>MAX(0,F19-G19)</f>
        <v>213.65398165426791</v>
      </c>
      <c r="I19" s="666">
        <f>F19-$C$11</f>
        <v>0</v>
      </c>
      <c r="J19" s="667">
        <f>IFERROR(I19/$C$11,0)</f>
        <v>0</v>
      </c>
      <c r="K19" s="667">
        <f>IFERROR(G19/D19,0)</f>
        <v>0.52400395824069002</v>
      </c>
      <c r="L19" s="668">
        <f>IFERROR(D19*1000000/$C$13,0)</f>
        <v>5720.0772464907332</v>
      </c>
      <c r="M19" s="669">
        <f>IFERROR(H19/$G$34,0)</f>
        <v>0.99068483697838594</v>
      </c>
      <c r="N19" s="669">
        <f>IFERROR(H19/$C$12,0)</f>
        <v>0.99068483697838594</v>
      </c>
      <c r="O19" s="665" t="str">
        <f>"Cost cross-check"</f>
        <v>Cost cross-check</v>
      </c>
      <c r="P19" s="670" t="str">
        <f>"Total project cost is a valuation cross-check, not a market-value conclusion."</f>
        <v>Total project cost is a valuation cross-check, not a market-value conclusion.</v>
      </c>
      <c r="CQ19" t="s">
        <v>824</v>
      </c>
      <c r="CR19">
        <f>$DA$7</f>
        <v>679.64702791220634</v>
      </c>
      <c r="CS19" t="s">
        <v>530</v>
      </c>
      <c r="CT19" t="s">
        <v>825</v>
      </c>
      <c r="CZ19" s="307" t="s">
        <v>782</v>
      </c>
      <c r="DA19" s="312">
        <f>IF($DA$15=0,"",$DA$10/$DA$15)</f>
        <v>0.10146206645917477</v>
      </c>
      <c r="DB19" s="308" t="s">
        <v>83</v>
      </c>
      <c r="DC19" s="937"/>
      <c r="DD19" s="937"/>
      <c r="DE19" s="937"/>
      <c r="DF19" s="937"/>
      <c r="DG19" s="937"/>
      <c r="DH19" s="937"/>
      <c r="DI19" s="937"/>
      <c r="DJ19" s="937"/>
      <c r="DK19" s="937"/>
      <c r="DL19" s="937"/>
      <c r="DN19" s="309">
        <f>SUM($DN$18:DN$18)</f>
        <v>-76389582.872717112</v>
      </c>
      <c r="DO19" s="309">
        <f>SUM($DN$18:DO$18)</f>
        <v>-76319480.324076355</v>
      </c>
      <c r="DP19" s="309">
        <f>SUM($DN$18:DP$18)</f>
        <v>-76319480.324076355</v>
      </c>
      <c r="DQ19" s="309">
        <f>SUM($DN$18:DQ$18)</f>
        <v>-76267808.972442299</v>
      </c>
      <c r="DR19" s="309">
        <f>SUM($DN$18:DR$18)</f>
        <v>-76195783.773258626</v>
      </c>
      <c r="DS19" s="309">
        <f>SUM($DN$18:DS$18)</f>
        <v>-76098379.676456645</v>
      </c>
      <c r="DT19" s="309">
        <f>SUM($DN$18:DT$18)</f>
        <v>-75970718.633226648</v>
      </c>
      <c r="DU19" s="309">
        <f>SUM($DN$18:DU$18)</f>
        <v>-75808663.067251474</v>
      </c>
      <c r="DV19" s="309">
        <f>SUM($DN$18:DV$18)</f>
        <v>-75609494.890140936</v>
      </c>
      <c r="DW19" s="309">
        <f>SUM($DN$18:DW$18)</f>
        <v>-75373120.945251718</v>
      </c>
      <c r="DX19" s="309">
        <f>SUM($DN$18:DX$18)</f>
        <v>-75102470.452782974</v>
      </c>
      <c r="DY19" s="309">
        <f>SUM($DN$18:DY$18)</f>
        <v>-74804320.66489172</v>
      </c>
      <c r="DZ19" s="309">
        <f>SUM($DN$18:DZ$18)</f>
        <v>-74489244.429731458</v>
      </c>
      <c r="EA19" s="309">
        <f>SUM($DN$18:EA$18)</f>
        <v>-76267244.479428843</v>
      </c>
      <c r="EB19" s="309">
        <f>SUM($DN$18:EB$18)</f>
        <v>-84508932.632023036</v>
      </c>
      <c r="EC19" s="309">
        <f>SUM($DN$18:EC$18)</f>
        <v>-93499409.091022968</v>
      </c>
      <c r="ED19" s="309">
        <f>SUM($DN$18:ED$18)</f>
        <v>-103058386.73880778</v>
      </c>
      <c r="EE19" s="309">
        <f>SUM($DN$18:EE$18)</f>
        <v>-113071413.3595603</v>
      </c>
      <c r="EF19" s="309">
        <f>SUM($DN$18:EF$18)</f>
        <v>-123293369.85989955</v>
      </c>
      <c r="EG19" s="309">
        <f>SUM($DN$18:EG$18)</f>
        <v>-133470242.95996504</v>
      </c>
      <c r="EH19" s="309">
        <f>SUM($DN$18:EH$18)</f>
        <v>-143321277.01738271</v>
      </c>
      <c r="EI19" s="309">
        <f>SUM($DN$18:EI$18)</f>
        <v>-152548572.02627775</v>
      </c>
      <c r="EJ19" s="309">
        <f>SUM($DN$18:EJ$18)</f>
        <v>-160368949.47277781</v>
      </c>
      <c r="EK19" s="309">
        <f>SUM($DN$18:EK$18)</f>
        <v>-167302482.85352677</v>
      </c>
      <c r="EL19" s="309">
        <f>SUM($DN$18:EL$18)</f>
        <v>-173305799.03704438</v>
      </c>
      <c r="EM19" s="309">
        <f>SUM($DN$18:EM$18)</f>
        <v>-178203072.144447</v>
      </c>
      <c r="EN19" s="309">
        <f>SUM($DN$18:EN$18)</f>
        <v>-182235363.83188075</v>
      </c>
      <c r="EO19" s="309">
        <f>SUM($DN$18:EO$18)</f>
        <v>-185491532.00840023</v>
      </c>
      <c r="EP19" s="309">
        <f>SUM($DN$18:EP$18)</f>
        <v>-187933091.54662895</v>
      </c>
      <c r="EQ19" s="309">
        <f>SUM($DN$18:EQ$18)</f>
        <v>-189822059.51508346</v>
      </c>
      <c r="ER19" s="309">
        <f>SUM($DN$18:ER$18)</f>
        <v>-192007699.9768877</v>
      </c>
      <c r="ES19" s="309">
        <f>SUM($DN$18:ES$18)</f>
        <v>-194134263.47014219</v>
      </c>
      <c r="ET19" s="309">
        <f>SUM($DN$18:ET$18)</f>
        <v>-195711889.68585068</v>
      </c>
      <c r="EU19" s="309">
        <f>SUM($DN$18:EU$18)</f>
        <v>-196889677.9707914</v>
      </c>
      <c r="EV19" s="309">
        <f>SUM($DN$18:EV$18)</f>
        <v>-197760699.46978492</v>
      </c>
      <c r="EW19" s="309">
        <f>SUM($DN$18:EW$18)</f>
        <v>-198441479.33504763</v>
      </c>
      <c r="EX19" s="309">
        <f>SUM($DN$18:EX$18)</f>
        <v>-198998099.47705191</v>
      </c>
      <c r="EY19" s="309">
        <f>SUM($DN$18:EY$18)</f>
        <v>-199026379.19391462</v>
      </c>
      <c r="EZ19" s="309">
        <f>SUM($DN$18:EZ$18)</f>
        <v>-198897727.94866395</v>
      </c>
      <c r="FA19" s="309">
        <f>SUM($DN$18:FA$18)</f>
        <v>-198614160.78634655</v>
      </c>
      <c r="FB19" s="309">
        <f>SUM($DN$18:FB$18)</f>
        <v>-198171512.92789117</v>
      </c>
      <c r="FC19" s="309">
        <f>SUM($DN$18:FC$18)</f>
        <v>-197577473.67932862</v>
      </c>
      <c r="FD19" s="309">
        <f>SUM($DN$18:FD$18)</f>
        <v>-196834157.71559539</v>
      </c>
      <c r="FE19" s="309">
        <f>SUM($DN$18:FE$18)</f>
        <v>-195939363.12466034</v>
      </c>
    </row>
    <row r="20" spans="1:191" ht="52" x14ac:dyDescent="0.35">
      <c r="A20" s="307"/>
      <c r="B20" s="671" t="s">
        <v>826</v>
      </c>
      <c r="C20" s="672">
        <f>$C$8+0.005</f>
        <v>7.2008196721311479E-2</v>
      </c>
      <c r="D20" s="673">
        <f>IFERROR($C$7/C20,0)</f>
        <v>632.45469017442088</v>
      </c>
      <c r="E20" s="673">
        <f>-D20*$C$9</f>
        <v>-12.649093803488418</v>
      </c>
      <c r="F20" s="673">
        <f>SUM(D20:E20)</f>
        <v>619.80559637093245</v>
      </c>
      <c r="G20" s="673">
        <f>$C$10</f>
        <v>235.2026535072136</v>
      </c>
      <c r="H20" s="673">
        <f>MAX(0,F20-G20)</f>
        <v>384.60294286371885</v>
      </c>
      <c r="I20" s="673">
        <f>F20-$C$11</f>
        <v>170.94896120945094</v>
      </c>
      <c r="J20" s="672">
        <f>IFERROR(I20/$C$11,0)</f>
        <v>0.38085425906191633</v>
      </c>
      <c r="K20" s="672">
        <f>IFERROR(G20/D20,0)</f>
        <v>0.3718885434185783</v>
      </c>
      <c r="L20" s="674">
        <f>IFERROR(D20*1000000/$C$13,0)</f>
        <v>8059.7888040611097</v>
      </c>
      <c r="M20" s="675">
        <f>IFERROR(H20/$G$34,0)</f>
        <v>1.7833522258850896</v>
      </c>
      <c r="N20" s="675">
        <f>IFERROR(H20/$C$12,0)</f>
        <v>1.7833522258850896</v>
      </c>
      <c r="O20" s="676" t="str">
        <f>"Modelled"</f>
        <v>Modelled</v>
      </c>
      <c r="P20" s="677" t="str">
        <f>"Stabilised NOI capitalised at "&amp;TEXT(C20,"0.00%")&amp;"; selling costs and debt deducted to derive equity value."</f>
        <v>Stabilised NOI capitalised at 7.20%; selling costs and debt deducted to derive equity value.</v>
      </c>
      <c r="CQ20" t="s">
        <v>827</v>
      </c>
      <c r="CR20">
        <f>-$DA$7*Underwriting!$I$163</f>
        <v>-13.592940558244127</v>
      </c>
      <c r="CS20" t="s">
        <v>530</v>
      </c>
      <c r="CT20" t="s">
        <v>828</v>
      </c>
      <c r="CZ20" s="307" t="s">
        <v>829</v>
      </c>
      <c r="DA20" s="312">
        <f>$DA$11</f>
        <v>6.7008196721311475E-2</v>
      </c>
      <c r="DB20" s="308" t="s">
        <v>83</v>
      </c>
      <c r="DC20" s="937"/>
      <c r="DD20" s="937"/>
      <c r="DE20" s="937"/>
      <c r="DF20" s="937"/>
      <c r="DG20" s="937"/>
      <c r="DH20" s="937"/>
      <c r="DI20" s="937"/>
      <c r="DJ20" s="937"/>
      <c r="DK20" s="937"/>
      <c r="DL20" s="937"/>
      <c r="DN20" s="309">
        <f>SUM($DN$13:DN$13)</f>
        <v>0</v>
      </c>
      <c r="DO20" s="309">
        <f>SUM($DN$13:DO$13)</f>
        <v>0</v>
      </c>
      <c r="DP20" s="309">
        <f>SUM($DN$13:DP$13)</f>
        <v>0</v>
      </c>
      <c r="DQ20" s="309">
        <f>SUM($DN$13:DQ$13)</f>
        <v>0</v>
      </c>
      <c r="DR20" s="309">
        <f>SUM($DN$13:DR$13)</f>
        <v>0</v>
      </c>
      <c r="DS20" s="309">
        <f>SUM($DN$13:DS$13)</f>
        <v>0</v>
      </c>
      <c r="DT20" s="309">
        <f>SUM($DN$13:DT$13)</f>
        <v>0</v>
      </c>
      <c r="DU20" s="309">
        <f>SUM($DN$13:DU$13)</f>
        <v>0</v>
      </c>
      <c r="DV20" s="309">
        <f>SUM($DN$13:DV$13)</f>
        <v>0</v>
      </c>
      <c r="DW20" s="309">
        <f>SUM($DN$13:DW$13)</f>
        <v>0</v>
      </c>
      <c r="DX20" s="309">
        <f>SUM($DN$13:DX$13)</f>
        <v>0</v>
      </c>
      <c r="DY20" s="309">
        <f>SUM($DN$13:DY$13)</f>
        <v>0</v>
      </c>
      <c r="DZ20" s="309">
        <f>SUM($DN$13:DZ$13)</f>
        <v>0</v>
      </c>
      <c r="EA20" s="309">
        <f>SUM($DN$13:EA$13)</f>
        <v>0</v>
      </c>
      <c r="EB20" s="309">
        <f>SUM($DN$13:EB$13)</f>
        <v>0</v>
      </c>
      <c r="EC20" s="309">
        <f>SUM($DN$13:EC$13)</f>
        <v>0</v>
      </c>
      <c r="ED20" s="309">
        <f>SUM($DN$13:ED$13)</f>
        <v>0</v>
      </c>
      <c r="EE20" s="309">
        <f>SUM($DN$13:EE$13)</f>
        <v>0</v>
      </c>
      <c r="EF20" s="309">
        <f>SUM($DN$13:EF$13)</f>
        <v>0</v>
      </c>
      <c r="EG20" s="309">
        <f>SUM($DN$13:EG$13)</f>
        <v>0</v>
      </c>
      <c r="EH20" s="309">
        <f>SUM($DN$13:EH$13)</f>
        <v>0</v>
      </c>
      <c r="EI20" s="309">
        <f>SUM($DN$13:EI$13)</f>
        <v>0</v>
      </c>
      <c r="EJ20" s="309">
        <f>SUM($DN$13:EJ$13)</f>
        <v>0</v>
      </c>
      <c r="EK20" s="309">
        <f>SUM($DN$13:EK$13)</f>
        <v>0</v>
      </c>
      <c r="EL20" s="309">
        <f>SUM($DN$13:EL$13)</f>
        <v>0</v>
      </c>
      <c r="EM20" s="309">
        <f>SUM($DN$13:EM$13)</f>
        <v>0</v>
      </c>
      <c r="EN20" s="309">
        <f>SUM($DN$13:EN$13)</f>
        <v>0</v>
      </c>
      <c r="EO20" s="309">
        <f>SUM($DN$13:EO$13)</f>
        <v>0</v>
      </c>
      <c r="EP20" s="309">
        <f>SUM($DN$13:EP$13)</f>
        <v>0</v>
      </c>
      <c r="EQ20" s="309">
        <f>SUM($DN$13:EQ$13)</f>
        <v>0</v>
      </c>
      <c r="ER20" s="309">
        <f>SUM($DN$13:ER$13)</f>
        <v>0</v>
      </c>
      <c r="ES20" s="309">
        <f>SUM($DN$13:ES$13)</f>
        <v>0</v>
      </c>
      <c r="ET20" s="309">
        <f>SUM($DN$13:ET$13)</f>
        <v>0</v>
      </c>
      <c r="EU20" s="309">
        <f>SUM($DN$13:EU$13)</f>
        <v>0</v>
      </c>
      <c r="EV20" s="309">
        <f>SUM($DN$13:EV$13)</f>
        <v>0</v>
      </c>
      <c r="EW20" s="309">
        <f>SUM($DN$13:EW$13)</f>
        <v>0</v>
      </c>
      <c r="EX20" s="309">
        <f>SUM($DN$13:EX$13)</f>
        <v>0</v>
      </c>
      <c r="EY20" s="309">
        <f>SUM($DN$13:EY$13)</f>
        <v>0</v>
      </c>
      <c r="EZ20" s="309">
        <f>SUM($DN$13:EZ$13)</f>
        <v>0</v>
      </c>
      <c r="FA20" s="309">
        <f>SUM($DN$13:FA$13)</f>
        <v>0</v>
      </c>
      <c r="FB20" s="309">
        <f>SUM($DN$13:FB$13)</f>
        <v>0</v>
      </c>
      <c r="FC20" s="309">
        <f>SUM($DN$13:FC$13)</f>
        <v>0</v>
      </c>
      <c r="FD20" s="309">
        <f>SUM($DN$13:FD$13)</f>
        <v>0</v>
      </c>
      <c r="FE20" s="309">
        <f>SUM($DN$13:FE$13)</f>
        <v>0</v>
      </c>
    </row>
    <row r="21" spans="1:191" ht="65" x14ac:dyDescent="0.35">
      <c r="A21" s="307"/>
      <c r="B21" s="678" t="s">
        <v>830</v>
      </c>
      <c r="C21" s="679">
        <f>$C$8</f>
        <v>6.7008196721311475E-2</v>
      </c>
      <c r="D21" s="680">
        <f>IFERROR($C$7/C21,0)</f>
        <v>679.64702791220634</v>
      </c>
      <c r="E21" s="680">
        <f>-D21*$C$9</f>
        <v>-13.592940558244127</v>
      </c>
      <c r="F21" s="680">
        <f>SUM(D21:E21)</f>
        <v>666.05408735396225</v>
      </c>
      <c r="G21" s="680">
        <f>$C$10</f>
        <v>235.2026535072136</v>
      </c>
      <c r="H21" s="680">
        <f>MAX(0,F21-G21)</f>
        <v>430.85143384674865</v>
      </c>
      <c r="I21" s="680">
        <f>F21-$C$11</f>
        <v>217.19745219248074</v>
      </c>
      <c r="J21" s="679">
        <f>IFERROR(I21/$C$11,0)</f>
        <v>0.483890479004151</v>
      </c>
      <c r="K21" s="679">
        <f>IFERROR(G21/D21,0)</f>
        <v>0.34606588986304815</v>
      </c>
      <c r="L21" s="680">
        <f>IFERROR(D21*1000000/$C$13,0)</f>
        <v>8661.192005342733</v>
      </c>
      <c r="M21" s="681">
        <f>IFERROR(H21/$G$34,0)</f>
        <v>1.9978002712492093</v>
      </c>
      <c r="N21" s="681">
        <f>IFERROR(H21/$C$12,0)</f>
        <v>1.9978002712492093</v>
      </c>
      <c r="O21" s="682" t="str">
        <f>"Modelled"</f>
        <v>Modelled</v>
      </c>
      <c r="P21" s="683" t="str">
        <f>"Stabilised NOI capitalised at "&amp;TEXT(C21,"0.00%")&amp;"; selling costs and debt deducted to derive equity value."</f>
        <v>Stabilised NOI capitalised at 6.70%; selling costs and debt deducted to derive equity value.</v>
      </c>
      <c r="CQ21" t="s">
        <v>831</v>
      </c>
      <c r="CR21">
        <f>$DA$7*(1-Underwriting!$I$163)/(1+$CR$8)^((Underwriting!$BC$195-Underwriting!$M$195)/365)-$DA$7*(1-Underwriting!$I$163)</f>
        <v>-157.54651593485801</v>
      </c>
      <c r="CS21" t="s">
        <v>530</v>
      </c>
      <c r="CT21" t="s">
        <v>832</v>
      </c>
      <c r="CZ21" s="307" t="s">
        <v>833</v>
      </c>
      <c r="DA21" s="309">
        <f>$DA$7*(1-Underwriting!$I$163)-$DA$15</f>
        <v>217.19745219248074</v>
      </c>
      <c r="DB21" s="308" t="s">
        <v>530</v>
      </c>
      <c r="DC21" s="937"/>
      <c r="DD21" s="937"/>
      <c r="DE21" s="937"/>
      <c r="DF21" s="937"/>
      <c r="DG21" s="937"/>
      <c r="DH21" s="937"/>
      <c r="DI21" s="937"/>
      <c r="DJ21" s="937"/>
      <c r="DK21" s="937"/>
      <c r="DL21" s="937"/>
      <c r="DN21" s="309">
        <f>SUM($DN$14:DN$14)</f>
        <v>-76389582.872717112</v>
      </c>
      <c r="DO21" s="309">
        <f>SUM($DN$14:DO$14)</f>
        <v>-76319020.60374704</v>
      </c>
      <c r="DP21" s="309">
        <f>SUM($DN$14:DP$14)</f>
        <v>-76319020.60374704</v>
      </c>
      <c r="DQ21" s="309">
        <f>SUM($DN$14:DQ$14)</f>
        <v>-76266337.125516176</v>
      </c>
      <c r="DR21" s="309">
        <f>SUM($DN$14:DR$14)</f>
        <v>-76192419.532628939</v>
      </c>
      <c r="DS21" s="309">
        <f>SUM($DN$14:DS$14)</f>
        <v>-76091821.907228976</v>
      </c>
      <c r="DT21" s="309">
        <f>SUM($DN$14:DT$14)</f>
        <v>-75959110.692382038</v>
      </c>
      <c r="DU21" s="309">
        <f>SUM($DN$14:DU$14)</f>
        <v>-75789539.561115608</v>
      </c>
      <c r="DV21" s="309">
        <f>SUM($DN$14:DV$14)</f>
        <v>-75579900.63411431</v>
      </c>
      <c r="DW21" s="309">
        <f>SUM($DN$14:DW$14)</f>
        <v>-75329468.350985989</v>
      </c>
      <c r="DX21" s="309">
        <f>SUM($DN$14:DX$14)</f>
        <v>-75040901.334523097</v>
      </c>
      <c r="DY21" s="309">
        <f>SUM($DN$14:DY$14)</f>
        <v>-74720929.978210613</v>
      </c>
      <c r="DZ21" s="309">
        <f>SUM($DN$14:DZ$14)</f>
        <v>-74380647.644237518</v>
      </c>
      <c r="EA21" s="309">
        <f>SUM($DN$14:EA$14)</f>
        <v>-76313480.298421651</v>
      </c>
      <c r="EB21" s="309">
        <f>SUM($DN$14:EB$14)</f>
        <v>-85331629.018619195</v>
      </c>
      <c r="EC21" s="309">
        <f>SUM($DN$14:EC$14)</f>
        <v>-95231535.25874503</v>
      </c>
      <c r="ED21" s="309">
        <f>SUM($DN$14:ED$14)</f>
        <v>-105826476.42227101</v>
      </c>
      <c r="EE21" s="309">
        <f>SUM($DN$14:EE$14)</f>
        <v>-116995099.4363005</v>
      </c>
      <c r="EF21" s="309">
        <f>SUM($DN$14:EF$14)</f>
        <v>-128471534.92065407</v>
      </c>
      <c r="EG21" s="309">
        <f>SUM($DN$14:EG$14)</f>
        <v>-139972282.72813815</v>
      </c>
      <c r="EH21" s="309">
        <f>SUM($DN$14:EH$14)</f>
        <v>-151173084.92132294</v>
      </c>
      <c r="EI21" s="309">
        <f>SUM($DN$14:EI$14)</f>
        <v>-161733486.73017851</v>
      </c>
      <c r="EJ21" s="309">
        <f>SUM($DN$14:EJ$14)</f>
        <v>-170740502.21889165</v>
      </c>
      <c r="EK21" s="309">
        <f>SUM($DN$14:EK$14)</f>
        <v>-178778475.08267695</v>
      </c>
      <c r="EL21" s="309">
        <f>SUM($DN$14:EL$14)</f>
        <v>-185782219.67818293</v>
      </c>
      <c r="EM21" s="309">
        <f>SUM($DN$14:EM$14)</f>
        <v>-191533070.96163434</v>
      </c>
      <c r="EN21" s="309">
        <f>SUM($DN$14:EN$14)</f>
        <v>-196299229.48816952</v>
      </c>
      <c r="EO21" s="309">
        <f>SUM($DN$14:EO$14)</f>
        <v>-200172434.88418299</v>
      </c>
      <c r="EP21" s="309">
        <f>SUM($DN$14:EP$14)</f>
        <v>-203095710.40469897</v>
      </c>
      <c r="EQ21" s="309">
        <f>SUM($DN$14:EQ$14)</f>
        <v>-205371720.49035701</v>
      </c>
      <c r="ER21" s="309">
        <f>SUM($DN$14:ER$14)</f>
        <v>-208022459.93393275</v>
      </c>
      <c r="ES21" s="309">
        <f>SUM($DN$14:ES$14)</f>
        <v>-210618464.20429832</v>
      </c>
      <c r="ET21" s="309">
        <f>SUM($DN$14:ET$14)</f>
        <v>-212555756.6144</v>
      </c>
      <c r="EU21" s="309">
        <f>SUM($DN$14:EU$14)</f>
        <v>-214011540.88536635</v>
      </c>
      <c r="EV21" s="309">
        <f>SUM($DN$14:EV$14)</f>
        <v>-215094983.27941903</v>
      </c>
      <c r="EW21" s="309">
        <f>SUM($DN$14:EW$14)</f>
        <v>-215947341.94927955</v>
      </c>
      <c r="EX21" s="309">
        <f>SUM($DN$14:EX$14)</f>
        <v>-216648670.88274083</v>
      </c>
      <c r="EY21" s="309">
        <f>SUM($DN$14:EY$14)</f>
        <v>-216684536.36090487</v>
      </c>
      <c r="EZ21" s="309">
        <f>SUM($DN$14:EZ$14)</f>
        <v>-216520305.68039018</v>
      </c>
      <c r="FA21" s="309">
        <f>SUM($DN$14:FA$14)</f>
        <v>-216156018.91509619</v>
      </c>
      <c r="FB21" s="309">
        <f>SUM($DN$14:FB$14)</f>
        <v>-215583638.77901652</v>
      </c>
      <c r="FC21" s="309">
        <f>SUM($DN$14:FC$14)</f>
        <v>-214810622.7771199</v>
      </c>
      <c r="FD21" s="309">
        <f>SUM($DN$14:FD$14)</f>
        <v>-213837011.6380403</v>
      </c>
      <c r="FE21" s="309">
        <f>SUM($DN$14:FE$14)</f>
        <v>242088026.09790754</v>
      </c>
    </row>
    <row r="22" spans="1:191" ht="22" customHeight="1" x14ac:dyDescent="0.35">
      <c r="A22" s="307"/>
      <c r="B22" s="684" t="s">
        <v>834</v>
      </c>
      <c r="C22" s="685">
        <f>MAX($C$8-0.005,0.0001)</f>
        <v>6.2008196721311477E-2</v>
      </c>
      <c r="D22" s="686">
        <f>IFERROR($C$7/C22,0)</f>
        <v>734.45002685820054</v>
      </c>
      <c r="E22" s="686">
        <f>-D22*$C$9</f>
        <v>-14.689000537164011</v>
      </c>
      <c r="F22" s="686">
        <f>SUM(D22:E22)</f>
        <v>719.76102632103652</v>
      </c>
      <c r="G22" s="686">
        <f>$C$10</f>
        <v>235.2026535072136</v>
      </c>
      <c r="H22" s="686">
        <f>MAX(0,F22-G22)</f>
        <v>484.55837281382293</v>
      </c>
      <c r="I22" s="686">
        <f>F22-$C$11</f>
        <v>270.90439115955502</v>
      </c>
      <c r="J22" s="685">
        <f>IFERROR(I22/$C$11,0)</f>
        <v>0.60354324730455178</v>
      </c>
      <c r="K22" s="685">
        <f>IFERROR(G22/D22,0)</f>
        <v>0.32024323630751794</v>
      </c>
      <c r="L22" s="687">
        <f>IFERROR(D22*1000000/$C$13,0)</f>
        <v>9359.582900684316</v>
      </c>
      <c r="M22" s="688">
        <f>IFERROR(H22/$G$34,0)</f>
        <v>2.2468321388663659</v>
      </c>
      <c r="N22" s="688">
        <f>IFERROR(H22/$C$12,0)</f>
        <v>2.2468321388663659</v>
      </c>
      <c r="O22" s="689" t="str">
        <f>"Modelled"</f>
        <v>Modelled</v>
      </c>
      <c r="P22" s="690" t="str">
        <f>"Stabilised NOI capitalised at "&amp;TEXT(C22,"0.00%")&amp;"; selling costs and debt deducted to derive equity value."</f>
        <v>Stabilised NOI capitalised at 6.20%; selling costs and debt deducted to derive equity value.</v>
      </c>
      <c r="CQ22" t="s">
        <v>835</v>
      </c>
      <c r="CR22">
        <f>XNPV($CR$8,Underwriting!$M$211:$BB$211,Underwriting!$M$195:$BB$195)/1000000+(Underwriting!$BC$202/1000000)/(1+$CR$8)^((Underwriting!$BC$195-Underwriting!$M$195)/365)</f>
        <v>-295.32119142207142</v>
      </c>
      <c r="CS22" t="s">
        <v>530</v>
      </c>
      <c r="CT22" t="s">
        <v>836</v>
      </c>
      <c r="CZ22" s="307" t="s">
        <v>837</v>
      </c>
      <c r="DA22" s="309">
        <f>SUM($CW$26:$CW$37)</f>
        <v>679.64702791220645</v>
      </c>
      <c r="DB22" s="308" t="s">
        <v>530</v>
      </c>
      <c r="DC22" s="934" t="s">
        <v>838</v>
      </c>
      <c r="DD22" s="937"/>
      <c r="DE22" s="937"/>
      <c r="DF22" s="937"/>
      <c r="DG22" s="937"/>
      <c r="DH22" s="937"/>
      <c r="DI22" s="937"/>
      <c r="DJ22" s="937"/>
      <c r="DK22" s="937"/>
      <c r="DL22" s="937"/>
      <c r="DN22" s="309">
        <f>SUM(Underwriting!$L$199:$L$199)+SUM(Underwriting!$L$206:$L$206)</f>
        <v>16628131.21831876</v>
      </c>
      <c r="DO22" s="309">
        <f>SUM(Underwriting!$L$199:$M$199)+SUM(Underwriting!$L$206:$M$206)</f>
        <v>17580721.849414673</v>
      </c>
      <c r="DP22" s="309">
        <f>SUM(Underwriting!$L$199:$N$199)+SUM(Underwriting!$L$206:$N$206)</f>
        <v>18733960.608628489</v>
      </c>
      <c r="DQ22" s="309">
        <f>SUM(Underwriting!$L$199:$O$199)+SUM(Underwriting!$L$206:$O$206)</f>
        <v>20327215.926870927</v>
      </c>
      <c r="DR22" s="309">
        <f>SUM(Underwriting!$L$199:$P$199)+SUM(Underwriting!$L$206:$P$206)</f>
        <v>22478342.190062504</v>
      </c>
      <c r="DS22" s="309">
        <f>SUM(Underwriting!$L$199:$Q$199)+SUM(Underwriting!$L$206:$Q$206)</f>
        <v>25376981.972973518</v>
      </c>
      <c r="DT22" s="309">
        <f>SUM(Underwriting!$L$199:$R$199)+SUM(Underwriting!$L$206:$R$206)</f>
        <v>29245792.043711506</v>
      </c>
      <c r="DU22" s="309">
        <f>SUM(Underwriting!$L$199:$S$199)+SUM(Underwriting!$L$206:$S$206)</f>
        <v>34333044.473319367</v>
      </c>
      <c r="DV22" s="309">
        <f>SUM(Underwriting!$L$199:$T$199)+SUM(Underwriting!$L$206:$T$206)</f>
        <v>40899268.843727909</v>
      </c>
      <c r="DW22" s="309">
        <f>SUM(Underwriting!$L$199:$U$199)+SUM(Underwriting!$L$206:$U$206)</f>
        <v>49197785.964301705</v>
      </c>
      <c r="DX22" s="309">
        <f>SUM(Underwriting!$L$199:$V$199)+SUM(Underwriting!$L$206:$V$206)</f>
        <v>59450026.129957959</v>
      </c>
      <c r="DY22" s="309">
        <f>SUM(Underwriting!$L$199:$W$199)+SUM(Underwriting!$L$206:$W$206)</f>
        <v>71817724.27762194</v>
      </c>
      <c r="DZ22" s="309">
        <f>SUM(Underwriting!$L$199:$X$199)+SUM(Underwriting!$L$206:$X$206)</f>
        <v>86375208.935451984</v>
      </c>
      <c r="EA22" s="309">
        <f>SUM(Underwriting!$L$199:$Y$199)+SUM(Underwriting!$L$206:$Y$206)</f>
        <v>100807543.97985449</v>
      </c>
      <c r="EB22" s="309">
        <f>SUM(Underwriting!$L$199:$Z$199)+SUM(Underwriting!$L$206:$Z$206)</f>
        <v>110157787.92757711</v>
      </c>
      <c r="EC22" s="309">
        <f>SUM(Underwriting!$L$199:$AA$199)+SUM(Underwriting!$L$206:$AA$206)</f>
        <v>120356358.931326</v>
      </c>
      <c r="ED22" s="309">
        <f>SUM(Underwriting!$L$199:$AB$199)+SUM(Underwriting!$L$206:$AB$206)</f>
        <v>131196647.021733</v>
      </c>
      <c r="EE22" s="309">
        <f>SUM(Underwriting!$L$199:$AC$199)+SUM(Underwriting!$L$206:$AC$206)</f>
        <v>142424122.5296227</v>
      </c>
      <c r="EF22" s="309">
        <f>SUM(Underwriting!$L$199:$AD$199)+SUM(Underwriting!$L$206:$AD$206)</f>
        <v>153754293.83185166</v>
      </c>
      <c r="EG22" s="309">
        <f>SUM(Underwriting!$L$199:$AE$199)+SUM(Underwriting!$L$206:$AE$206)</f>
        <v>164894492.53337452</v>
      </c>
      <c r="EH22" s="309">
        <f>SUM(Underwriting!$L$199:$AF$199)+SUM(Underwriting!$L$206:$AF$206)</f>
        <v>175612107.16034099</v>
      </c>
      <c r="EI22" s="309">
        <f>SUM(Underwriting!$L$199:$AG$199)+SUM(Underwriting!$L$206:$AG$206)</f>
        <v>185752094.91935432</v>
      </c>
      <c r="EJ22" s="309">
        <f>SUM(Underwriting!$L$199:$AH$199)+SUM(Underwriting!$L$206:$AH$206)</f>
        <v>195110844.86604807</v>
      </c>
      <c r="EK22" s="309">
        <f>SUM(Underwriting!$L$199:$AI$199)+SUM(Underwriting!$L$206:$AI$206)</f>
        <v>203538775.6422224</v>
      </c>
      <c r="EL22" s="309">
        <f>SUM(Underwriting!$L$199:$AJ$199)+SUM(Underwriting!$L$206:$AJ$206)</f>
        <v>210946041.56777397</v>
      </c>
      <c r="EM22" s="309">
        <f>SUM(Underwriting!$L$199:$AK$199)+SUM(Underwriting!$L$206:$AK$206)</f>
        <v>217302000.19097474</v>
      </c>
      <c r="EN22" s="309">
        <f>SUM(Underwriting!$L$199:$AL$199)+SUM(Underwriting!$L$206:$AL$206)</f>
        <v>222629232.03815022</v>
      </c>
      <c r="EO22" s="309">
        <f>SUM(Underwriting!$L$199:$AM$199)+SUM(Underwriting!$L$206:$AM$206)</f>
        <v>226993556.79084605</v>
      </c>
      <c r="EP22" s="309">
        <f>SUM(Underwriting!$L$199:$AN$199)+SUM(Underwriting!$L$206:$AN$206)</f>
        <v>230491820.86886215</v>
      </c>
      <c r="EQ22" s="309">
        <f>SUM(Underwriting!$L$199:$AO$199)+SUM(Underwriting!$L$206:$AO$206)</f>
        <v>233239228.53449577</v>
      </c>
      <c r="ER22" s="309">
        <f>SUM(Underwriting!$L$199:$AP$199)+SUM(Underwriting!$L$206:$AP$206)</f>
        <v>234463533.53758085</v>
      </c>
      <c r="ES22" s="309">
        <f>SUM(Underwriting!$L$199:$AQ$199)+SUM(Underwriting!$L$206:$AQ$206)</f>
        <v>234673172.46458215</v>
      </c>
      <c r="ET22" s="309">
        <f>SUM(Underwriting!$L$199:$AR$199)+SUM(Underwriting!$L$206:$AR$206)</f>
        <v>234842743.59584859</v>
      </c>
      <c r="EU22" s="309">
        <f>SUM(Underwriting!$L$199:$AS$199)+SUM(Underwriting!$L$206:$AS$206)</f>
        <v>234975454.81069553</v>
      </c>
      <c r="EV22" s="309">
        <f>SUM(Underwriting!$L$199:$AT$199)+SUM(Underwriting!$L$206:$AT$206)</f>
        <v>235076052.43609548</v>
      </c>
      <c r="EW22" s="309">
        <f>SUM(Underwriting!$L$199:$AU$199)+SUM(Underwriting!$L$206:$AU$206)</f>
        <v>235149970.02898273</v>
      </c>
      <c r="EX22" s="309">
        <f>SUM(Underwriting!$L$199:$AV$199)+SUM(Underwriting!$L$206:$AV$206)</f>
        <v>235202653.50721359</v>
      </c>
      <c r="EY22" s="309">
        <f>SUM(Underwriting!$L$199:$AW$199)+SUM(Underwriting!$L$206:$AW$206)</f>
        <v>235202653.50721359</v>
      </c>
      <c r="EZ22" s="309">
        <f>SUM(Underwriting!$L$199:$AX$199)+SUM(Underwriting!$L$206:$AX$206)</f>
        <v>235202653.50721359</v>
      </c>
      <c r="FA22" s="309">
        <f>SUM(Underwriting!$L$199:$AY$199)+SUM(Underwriting!$L$206:$AY$206)</f>
        <v>235202653.50721359</v>
      </c>
      <c r="FB22" s="309">
        <f>SUM(Underwriting!$L$199:$AZ$199)+SUM(Underwriting!$L$206:$AZ$206)</f>
        <v>235202653.50721359</v>
      </c>
      <c r="FC22" s="309">
        <f>SUM(Underwriting!$L$199:$BA$199)+SUM(Underwriting!$L$206:$BA$206)</f>
        <v>235202653.50721359</v>
      </c>
      <c r="FD22" s="309">
        <f>SUM(Underwriting!$L$199:$BB$199)+SUM(Underwriting!$L$206:$BB$206)</f>
        <v>235202653.50721359</v>
      </c>
      <c r="FE22" s="309">
        <f>SUM(Underwriting!$L$199:$BC$199)+SUM(Underwriting!$L$206:$BC$206)</f>
        <v>235202653.50721359</v>
      </c>
      <c r="GE22" s="984" t="s">
        <v>839</v>
      </c>
      <c r="GF22" s="984"/>
      <c r="GG22" s="984"/>
      <c r="GH22" s="984"/>
      <c r="GI22" s="984"/>
    </row>
    <row r="23" spans="1:191" ht="43.5" x14ac:dyDescent="0.35">
      <c r="A23" s="307"/>
      <c r="B23" s="659"/>
      <c r="C23" s="659"/>
      <c r="D23" s="659"/>
      <c r="E23" s="659"/>
      <c r="F23" s="659"/>
      <c r="G23" s="659"/>
      <c r="H23" s="659"/>
      <c r="I23" s="659"/>
      <c r="J23" s="659"/>
      <c r="K23" s="659"/>
      <c r="L23" s="659"/>
      <c r="M23" s="659"/>
      <c r="N23" s="659"/>
      <c r="O23" s="659"/>
      <c r="P23" s="660"/>
      <c r="CQ23" t="s">
        <v>840</v>
      </c>
      <c r="CR23">
        <f>SUM(CR19:CR22)</f>
        <v>213.18637999703282</v>
      </c>
      <c r="CS23" t="s">
        <v>530</v>
      </c>
      <c r="CT23" t="s">
        <v>841</v>
      </c>
      <c r="CU23">
        <f>CR23-$DA$12</f>
        <v>0</v>
      </c>
      <c r="CV23" t="s">
        <v>622</v>
      </c>
      <c r="CW23" t="str">
        <f>IF(ABS(CU23)&lt;0.0001,"OK","RECONCILE")</f>
        <v>OK</v>
      </c>
      <c r="GE23" s="739" t="s">
        <v>842</v>
      </c>
      <c r="GF23" s="739" t="s">
        <v>843</v>
      </c>
      <c r="GG23" s="739" t="s">
        <v>844</v>
      </c>
      <c r="GH23" s="739" t="s">
        <v>845</v>
      </c>
      <c r="GI23" s="739" t="s">
        <v>846</v>
      </c>
    </row>
    <row r="24" spans="1:191" ht="34" customHeight="1" x14ac:dyDescent="0.35">
      <c r="A24" s="307"/>
      <c r="B24" s="971" t="s">
        <v>847</v>
      </c>
      <c r="C24" s="971"/>
      <c r="D24" s="971"/>
      <c r="E24" s="971"/>
      <c r="F24" s="971"/>
      <c r="G24" s="971"/>
      <c r="H24" s="971"/>
      <c r="I24" s="971"/>
      <c r="J24" s="971"/>
      <c r="K24" s="971"/>
      <c r="L24" s="971"/>
      <c r="M24" s="971"/>
      <c r="N24" s="971"/>
      <c r="O24" s="971"/>
      <c r="P24" s="972"/>
      <c r="CQ24" s="939" t="s">
        <v>848</v>
      </c>
      <c r="CR24" s="937"/>
      <c r="CS24" s="937"/>
      <c r="CT24" s="937"/>
      <c r="CU24" s="937"/>
      <c r="CV24" s="937"/>
      <c r="CW24" s="937"/>
      <c r="CX24" s="937"/>
      <c r="CY24" s="937"/>
      <c r="CZ24" s="937"/>
      <c r="DA24" s="937"/>
      <c r="DB24" s="937"/>
      <c r="DC24" s="937"/>
      <c r="DD24" s="937"/>
      <c r="DE24" s="937"/>
      <c r="DF24" s="937"/>
      <c r="DG24" s="937"/>
      <c r="DH24" s="937"/>
      <c r="DI24" s="937"/>
      <c r="DJ24" s="937"/>
      <c r="DK24" s="937"/>
      <c r="DL24" s="937"/>
      <c r="DN24" s="309">
        <f>MIN(0,N(Underwriting!L211))*(1+DEBT!$K$31)+MAX(0,0)*DEBT!$N$31*DEBT!$P$31</f>
        <v>-102319485.50013947</v>
      </c>
      <c r="DO24" s="309">
        <f>MIN(0,N(Underwriting!M211))*(1+DEBT!$K$31)+MAX(0,0)*DEBT!$N$31*DEBT!$P$31</f>
        <v>-970231.19833842746</v>
      </c>
      <c r="DP24" s="309">
        <f>MIN(0,N(Underwriting!N211))*(1+DEBT!$K$31)+MAX(0,0)*DEBT!$N$31*DEBT!$P$31</f>
        <v>-1268562.6351352001</v>
      </c>
      <c r="DQ24" s="309">
        <f>MIN(0,N(Underwriting!O211))*(1+DEBT!$K$31)+MAX(0,0)*DEBT!$N$31*DEBT!$P$31</f>
        <v>-1694629.0240127384</v>
      </c>
      <c r="DR24" s="309">
        <f>MIN(0,N(Underwriting!P211))*(1+DEBT!$K$31)+MAX(0,0)*DEBT!$N$31*DEBT!$P$31</f>
        <v>-2284929.537334769</v>
      </c>
      <c r="DS24" s="309">
        <f>MIN(0,N(Underwriting!Q211))*(1+DEBT!$K$31)+MAX(0,0)*DEBT!$N$31*DEBT!$P$31</f>
        <v>-3077846.3732621633</v>
      </c>
      <c r="DT24" s="309">
        <f>MIN(0,N(Underwriting!R211))*(1+DEBT!$K$31)+MAX(0,N(Underwriting!L211))*DEBT!$N$31*DEBT!$P$31</f>
        <v>-4109708.7414801572</v>
      </c>
      <c r="DU24" s="309">
        <f>MIN(0,N(Underwriting!S211))*(1+DEBT!$K$31)+MAX(0,N(Underwriting!M211))*DEBT!$N$31*DEBT!$P$31</f>
        <v>-5409449.4281755742</v>
      </c>
      <c r="DV24" s="309">
        <f>MIN(0,N(Underwriting!T211))*(1+DEBT!$K$31)+MAX(0,N(Underwriting!N211))*DEBT!$N$31*DEBT!$P$31</f>
        <v>-6992243.9877479691</v>
      </c>
      <c r="DW24" s="309">
        <f>MIN(0,N(Underwriting!U211))*(1+DEBT!$K$31)+MAX(0,N(Underwriting!O211))*DEBT!$N$31*DEBT!$P$31</f>
        <v>-8852893.3211900219</v>
      </c>
      <c r="DX24" s="309">
        <f>MIN(0,N(Underwriting!V211))*(1+DEBT!$K$31)+MAX(0,N(Underwriting!P211))*DEBT!$N$31*DEBT!$P$31</f>
        <v>-10960040.464112703</v>
      </c>
      <c r="DY24" s="309">
        <f>MIN(0,N(Underwriting!W211))*(1+DEBT!$K$31)+MAX(0,N(Underwriting!Q211))*DEBT!$N$31*DEBT!$P$31</f>
        <v>-13252499.470486645</v>
      </c>
      <c r="DZ24" s="309">
        <f>MIN(0,N(Underwriting!X211))*(1+DEBT!$K$31)+MAX(0,N(Underwriting!R211))*DEBT!$N$31*DEBT!$P$31</f>
        <v>-15638922.556242658</v>
      </c>
      <c r="EA24" s="309">
        <f>MIN(0,N(Underwriting!Y211))*(1+DEBT!$K$31)+MAX(0,N(Underwriting!S211))*DEBT!$N$31*DEBT!$P$31</f>
        <v>-18001684.468445309</v>
      </c>
      <c r="EB24" s="309">
        <f>MIN(0,N(Underwriting!Z211))*(1+DEBT!$K$31)+MAX(0,N(Underwriting!T211))*DEBT!$N$31*DEBT!$P$31</f>
        <v>-20205231.934712179</v>
      </c>
      <c r="EC24" s="309">
        <f>MIN(0,N(Underwriting!AA211))*(1+DEBT!$K$31)+MAX(0,N(Underwriting!U211))*DEBT!$N$31*DEBT!$P$31</f>
        <v>-22108324.968262199</v>
      </c>
      <c r="ED24" s="309">
        <f>MIN(0,N(Underwriting!AB211))*(1+DEBT!$K$31)+MAX(0,N(Underwriting!V211))*DEBT!$N$31*DEBT!$P$31</f>
        <v>-23578752.179326277</v>
      </c>
      <c r="EE24" s="309">
        <f>MIN(0,N(Underwriting!AC211))*(1+DEBT!$K$31)+MAX(0,N(Underwriting!W211))*DEBT!$N$31*DEBT!$P$31</f>
        <v>-24508437.143350288</v>
      </c>
      <c r="EF24" s="309">
        <f>MIN(0,N(Underwriting!AD211))*(1+DEBT!$K$31)+MAX(0,N(Underwriting!X211))*DEBT!$N$31*DEBT!$P$31</f>
        <v>-24826552.814120196</v>
      </c>
      <c r="EG24" s="309">
        <f>MIN(0,N(Underwriting!AE211))*(1+DEBT!$K$31)+MAX(0,N(Underwriting!Y211))*DEBT!$N$31*DEBT!$P$31</f>
        <v>-24508437.143350307</v>
      </c>
      <c r="EH24" s="309">
        <f>MIN(0,N(Underwriting!AF211))*(1+DEBT!$K$31)+MAX(0,N(Underwriting!Z211))*DEBT!$N$31*DEBT!$P$31</f>
        <v>-23578752.179326236</v>
      </c>
      <c r="EI24" s="309">
        <f>MIN(0,N(Underwriting!AG211))*(1+DEBT!$K$31)+MAX(0,N(Underwriting!AA211))*DEBT!$N$31*DEBT!$P$31</f>
        <v>-22108324.96826224</v>
      </c>
      <c r="EJ24" s="309">
        <f>MIN(0,N(Underwriting!AH211))*(1+DEBT!$K$31)+MAX(0,N(Underwriting!AB211))*DEBT!$N$31*DEBT!$P$31</f>
        <v>-19416898.601378817</v>
      </c>
      <c r="EK24" s="309">
        <f>MIN(0,N(Underwriting!AI211))*(1+DEBT!$K$31)+MAX(0,N(Underwriting!AC211))*DEBT!$N$31*DEBT!$P$31</f>
        <v>-17213351.135111976</v>
      </c>
      <c r="EL24" s="309">
        <f>MIN(0,N(Underwriting!AJ211))*(1+DEBT!$K$31)+MAX(0,N(Underwriting!AD211))*DEBT!$N$31*DEBT!$P$31</f>
        <v>-14850589.222909354</v>
      </c>
      <c r="EM24" s="309">
        <f>MIN(0,N(Underwriting!AK211))*(1+DEBT!$K$31)+MAX(0,N(Underwriting!AE211))*DEBT!$N$31*DEBT!$P$31</f>
        <v>-12225832.803819943</v>
      </c>
      <c r="EN24" s="309">
        <f>MIN(0,N(Underwriting!AL211))*(1+DEBT!$K$31)+MAX(0,N(Underwriting!AF211))*DEBT!$N$31*DEBT!$P$31</f>
        <v>-9933373.7974460348</v>
      </c>
      <c r="EO24" s="309">
        <f>MIN(0,N(Underwriting!AM211))*(1+DEBT!$K$31)+MAX(0,N(Underwriting!AG211))*DEBT!$N$31*DEBT!$P$31</f>
        <v>-7826226.654523382</v>
      </c>
      <c r="EP24" s="309">
        <f>MIN(0,N(Underwriting!AN211))*(1+DEBT!$K$31)+MAX(0,N(Underwriting!AH211))*DEBT!$N$31*DEBT!$P$31</f>
        <v>-5773993.9877479505</v>
      </c>
      <c r="EQ24" s="309">
        <f>MIN(0,N(Underwriting!AO211))*(1+DEBT!$K$31)+MAX(0,N(Underwriting!AI211))*DEBT!$N$31*DEBT!$P$31</f>
        <v>-4191199.4281755751</v>
      </c>
      <c r="ER24" s="309">
        <f>MIN(0,N(Underwriting!AP211))*(1+DEBT!$K$31)+MAX(0,N(Underwriting!AJ211))*DEBT!$N$31*DEBT!$P$31</f>
        <v>-2891458.7414801726</v>
      </c>
      <c r="ES24" s="309">
        <f>MIN(0,N(Underwriting!AQ211))*(1+DEBT!$K$31)+MAX(0,N(Underwriting!AK211))*DEBT!$N$31*DEBT!$P$31</f>
        <v>-1685429.7065954797</v>
      </c>
      <c r="ET24" s="309">
        <f>MIN(0,N(Underwriting!AR211))*(1+DEBT!$K$31)+MAX(0,N(Underwriting!AL211))*DEBT!$N$31*DEBT!$P$31</f>
        <v>-892512.87066810858</v>
      </c>
      <c r="EU24" s="309">
        <f>MIN(0,N(Underwriting!AS211))*(1+DEBT!$K$31)+MAX(0,N(Underwriting!AM211))*DEBT!$N$31*DEBT!$P$31</f>
        <v>-302212.35734605062</v>
      </c>
      <c r="EV24" s="309">
        <f>MIN(0,N(Underwriting!AT211))*(1+DEBT!$K$31)+MAX(0,N(Underwriting!AN211))*DEBT!$N$31*DEBT!$P$31</f>
        <v>0</v>
      </c>
      <c r="EW24" s="309">
        <f>MIN(0,N(Underwriting!AU211))*(1+DEBT!$K$31)+MAX(0,N(Underwriting!AO211))*DEBT!$N$31*DEBT!$P$31</f>
        <v>0</v>
      </c>
      <c r="EX24" s="309">
        <f>MIN(0,N(Underwriting!AV211))*(1+DEBT!$K$31)+MAX(0,N(Underwriting!AP211))*DEBT!$N$31*DEBT!$P$31</f>
        <v>0</v>
      </c>
      <c r="EY24" s="309">
        <f>MIN(0,N(Underwriting!AW211))*(1+DEBT!$K$31)+MAX(0,N(Underwriting!AQ211))*DEBT!$N$31*DEBT!$P$31</f>
        <v>0</v>
      </c>
      <c r="EZ24" s="309">
        <f>MIN(0,N(Underwriting!AX211))*(1+DEBT!$K$31)+MAX(0,N(Underwriting!AR211))*DEBT!$N$31*DEBT!$P$31</f>
        <v>0</v>
      </c>
      <c r="FA24" s="309">
        <f>MIN(0,N(Underwriting!AY211))*(1+DEBT!$K$31)+MAX(0,N(Underwriting!AS211))*DEBT!$N$31*DEBT!$P$31</f>
        <v>0</v>
      </c>
      <c r="FB24" s="309">
        <f>MIN(0,N(Underwriting!AZ211))*(1+DEBT!$K$31)+MAX(0,N(Underwriting!AT211))*DEBT!$N$31*DEBT!$P$31</f>
        <v>98720.977067921631</v>
      </c>
      <c r="FC24" s="309">
        <f>MIN(0,N(Underwriting!BA211))*(1+DEBT!$K$31)+MAX(0,N(Underwriting!AU211))*DEBT!$N$31*DEBT!$P$31</f>
        <v>283144.04708777071</v>
      </c>
      <c r="FD24" s="309">
        <f>MIN(0,N(Underwriting!BB211))*(1+DEBT!$K$31)+MAX(0,N(Underwriting!AV211))*DEBT!$N$31*DEBT!$P$31</f>
        <v>408477.75142893591</v>
      </c>
      <c r="FE24" s="309">
        <f>MIN(0,N(Underwriting!BC211))*(1+DEBT!$K$31)+MAX(0,N(Underwriting!AW211))*DEBT!$N$31*DEBT!$P$31</f>
        <v>904377.44666666654</v>
      </c>
      <c r="FF24">
        <f>MIN(0,N(Underwriting!BD211))*(1+DEBT!$K$31)+MAX(0,N(Underwriting!AX211))*DEBT!$N$31*DEBT!$P$31</f>
        <v>1045473.6502488827</v>
      </c>
      <c r="FG24">
        <f>MIN(0,N(Underwriting!BE211))*(1+DEBT!$K$31)+MAX(0,N(Underwriting!AY211))*DEBT!$N$31*DEBT!$P$31</f>
        <v>1186569.8538310991</v>
      </c>
      <c r="FH24">
        <f>MIN(0,N(Underwriting!BF211))*(1+DEBT!$K$31)+MAX(0,N(Underwriting!AZ211))*DEBT!$N$31*DEBT!$P$31</f>
        <v>1333158.8097547735</v>
      </c>
      <c r="FI24">
        <f>MIN(0,N(Underwriting!BG211))*(1+DEBT!$K$31)+MAX(0,N(Underwriting!BA211))*DEBT!$N$31*DEBT!$P$31</f>
        <v>1474704.2085619203</v>
      </c>
      <c r="FJ24">
        <f>MIN(0,N(Underwriting!BH211))*(1+DEBT!$K$31)+MAX(0,N(Underwriting!BB211))*DEBT!$N$31*DEBT!$P$31</f>
        <v>1616249.6073690676</v>
      </c>
      <c r="FK24">
        <f>MIN(0,N(Underwriting!BI211))*(1+DEBT!$K$31)+MAX(0,N(Underwriting!BC211))*DEBT!$N$31*DEBT!$P$31</f>
        <v>1761563.3395095475</v>
      </c>
      <c r="FL24">
        <f>MIN(0,N(Underwriting!BJ211))*(1+DEBT!$K$31)+MAX(0,N(Underwriting!BD211))*DEBT!$N$31*DEBT!$P$31</f>
        <v>1903108.7383166943</v>
      </c>
      <c r="FM24">
        <f>MIN(0,N(Underwriting!BK211))*(1+DEBT!$K$31)+MAX(0,N(Underwriting!BE211))*DEBT!$N$31*DEBT!$P$31</f>
        <v>2044654.1371238409</v>
      </c>
      <c r="FN24">
        <f>MIN(0,N(Underwriting!BL211))*(1+DEBT!$K$31)+MAX(0,N(Underwriting!BF211))*DEBT!$N$31*DEBT!$P$31</f>
        <v>2204031.6859309878</v>
      </c>
      <c r="FO24">
        <f>MIN(0,N(Underwriting!BM211))*(1+DEBT!$K$31)+MAX(0,N(Underwriting!BG211))*DEBT!$N$31*DEBT!$P$31</f>
        <v>2345577.0847381349</v>
      </c>
      <c r="FP24">
        <f>MIN(0,N(Underwriting!BN211))*(1+DEBT!$K$31)+MAX(0,N(Underwriting!BH211))*DEBT!$N$31*DEBT!$P$31</f>
        <v>2487122.4835452815</v>
      </c>
      <c r="FQ24">
        <f>MIN(0,N(Underwriting!BO211))*(1+DEBT!$K$31)+MAX(0,N(Underwriting!BI211))*DEBT!$N$31*DEBT!$P$31</f>
        <v>2676876.0881612385</v>
      </c>
      <c r="FR24">
        <f>MIN(0,N(Underwriting!BP211))*(1+DEBT!$K$31)+MAX(0,N(Underwriting!BJ211))*DEBT!$N$31*DEBT!$P$31</f>
        <v>2676876.0881612385</v>
      </c>
      <c r="FS24">
        <f>MIN(0,N(Underwriting!BQ211))*(1+DEBT!$K$31)+MAX(0,N(Underwriting!BK211))*DEBT!$N$31*DEBT!$P$31</f>
        <v>2676876.0881612385</v>
      </c>
      <c r="FT24">
        <f>MIN(0,N(Underwriting!BR211))*(1+DEBT!$K$31)+MAX(0,N(Underwriting!BL211))*DEBT!$N$31*DEBT!$P$31</f>
        <v>2681166.3356612385</v>
      </c>
      <c r="FU24">
        <f>MIN(0,N(Underwriting!BS211))*(1+DEBT!$K$31)+MAX(0,N(Underwriting!BM211))*DEBT!$N$31*DEBT!$P$31</f>
        <v>2681166.3356612385</v>
      </c>
      <c r="FV24">
        <f>MIN(0,N(Underwriting!BT211))*(1+DEBT!$K$31)+MAX(0,N(Underwriting!BN211))*DEBT!$N$31*DEBT!$P$31</f>
        <v>2681166.3356612385</v>
      </c>
      <c r="FW24">
        <f>MIN(0,N(Underwriting!BU211))*(1+DEBT!$K$31)+MAX(0,N(Underwriting!BO211))*DEBT!$N$31*DEBT!$P$31</f>
        <v>2685066.5606612386</v>
      </c>
      <c r="FX24">
        <f>MIN(0,0)*(1+DEBT!$K$31)+MAX(0,N(Underwriting!BP211))*DEBT!$N$31*DEBT!$P$31</f>
        <v>2685066.5606612386</v>
      </c>
      <c r="FY24">
        <f>MIN(0,0)*(1+DEBT!$K$31)+MAX(0,N(Underwriting!BQ211))*DEBT!$N$31*DEBT!$P$31</f>
        <v>2685066.5606612386</v>
      </c>
      <c r="FZ24">
        <f>MIN(0,0)*(1+DEBT!$K$31)+MAX(0,N(Underwriting!BR211))*DEBT!$N$31*DEBT!$P$31</f>
        <v>2703522.835911239</v>
      </c>
      <c r="GA24">
        <f>MIN(0,0)*(1+DEBT!$K$31)+MAX(0,N(Underwriting!BS211))*DEBT!$N$31*DEBT!$P$31</f>
        <v>2703522.835911239</v>
      </c>
      <c r="GB24">
        <f>MIN(0,0)*(1+DEBT!$K$31)+MAX(0,N(Underwriting!BT211))*DEBT!$N$31*DEBT!$P$31</f>
        <v>2703522.835911239</v>
      </c>
      <c r="GC24">
        <f>MIN(0,0)*(1+DEBT!$K$31)+MAX(0,N(Underwriting!BU211))*DEBT!$N$31*DEBT!$P$31</f>
        <v>484148824.9308399</v>
      </c>
      <c r="GE24" s="325" t="s">
        <v>849</v>
      </c>
      <c r="GF24" s="741">
        <f>$DA$7</f>
        <v>679.64702791220634</v>
      </c>
      <c r="GG24" s="742">
        <v>1</v>
      </c>
      <c r="GH24" s="741">
        <f>GF24*GG24</f>
        <v>679.64702791220634</v>
      </c>
      <c r="GI24" s="325" t="s">
        <v>850</v>
      </c>
    </row>
    <row r="25" spans="1:191" ht="34" customHeight="1" x14ac:dyDescent="0.35">
      <c r="A25" s="307"/>
      <c r="B25" s="663" t="s">
        <v>851</v>
      </c>
      <c r="C25" s="663" t="s">
        <v>622</v>
      </c>
      <c r="D25" s="663" t="s">
        <v>852</v>
      </c>
      <c r="E25" s="663" t="s">
        <v>853</v>
      </c>
      <c r="F25" s="663" t="s">
        <v>854</v>
      </c>
      <c r="G25" s="663" t="s">
        <v>855</v>
      </c>
      <c r="H25" s="663" t="s">
        <v>856</v>
      </c>
      <c r="I25" s="663" t="s">
        <v>857</v>
      </c>
      <c r="J25" s="663" t="s">
        <v>858</v>
      </c>
      <c r="K25" s="663" t="s">
        <v>859</v>
      </c>
      <c r="L25" s="663" t="s">
        <v>860</v>
      </c>
      <c r="M25" s="663" t="s">
        <v>861</v>
      </c>
      <c r="N25" s="663" t="s">
        <v>862</v>
      </c>
      <c r="O25" s="663" t="s">
        <v>863</v>
      </c>
      <c r="P25" s="663" t="s">
        <v>864</v>
      </c>
      <c r="CQ25" s="306" t="s">
        <v>542</v>
      </c>
      <c r="CR25" s="306" t="s">
        <v>842</v>
      </c>
      <c r="CS25" s="306" t="s">
        <v>865</v>
      </c>
      <c r="CT25" s="306" t="s">
        <v>866</v>
      </c>
      <c r="CU25" s="306" t="s">
        <v>867</v>
      </c>
      <c r="CV25" s="306" t="s">
        <v>75</v>
      </c>
      <c r="CW25" s="306" t="s">
        <v>868</v>
      </c>
      <c r="CX25" s="306" t="s">
        <v>869</v>
      </c>
      <c r="CY25" s="306" t="s">
        <v>870</v>
      </c>
      <c r="CZ25" s="306" t="s">
        <v>871</v>
      </c>
      <c r="DA25" s="306" t="s">
        <v>872</v>
      </c>
      <c r="DB25" s="306" t="s">
        <v>873</v>
      </c>
      <c r="DC25" s="306" t="s">
        <v>874</v>
      </c>
      <c r="DD25" s="980" t="s">
        <v>875</v>
      </c>
      <c r="DE25" s="937"/>
      <c r="DF25" s="937"/>
      <c r="DG25" s="937"/>
      <c r="DH25" s="937"/>
      <c r="DI25" s="937"/>
      <c r="DJ25" s="937"/>
      <c r="DK25" s="937"/>
      <c r="DL25" s="937"/>
      <c r="DN25" s="309">
        <f>N(Underwriting!L211)</f>
        <v>-93017714.091035873</v>
      </c>
      <c r="DO25" s="309">
        <f>N(Underwriting!M211)</f>
        <v>-882028.36212584306</v>
      </c>
      <c r="DP25" s="309">
        <f>N(Underwriting!N211)</f>
        <v>-1153238.7592138182</v>
      </c>
      <c r="DQ25" s="309">
        <f>N(Underwriting!O211)</f>
        <v>-1540571.8400115801</v>
      </c>
      <c r="DR25" s="309">
        <f>N(Underwriting!P211)</f>
        <v>-2077208.6703043352</v>
      </c>
      <c r="DS25" s="309">
        <f>N(Underwriting!Q211)</f>
        <v>-2798042.1575110573</v>
      </c>
      <c r="DT25" s="309">
        <f>N(Underwriting!R211)</f>
        <v>-3736098.8558910517</v>
      </c>
      <c r="DU25" s="309">
        <f>N(Underwriting!S211)</f>
        <v>-4917681.2983414307</v>
      </c>
      <c r="DV25" s="309">
        <f>N(Underwriting!T211)</f>
        <v>-6356585.443407244</v>
      </c>
      <c r="DW25" s="309">
        <f>N(Underwriting!U211)</f>
        <v>-8048084.8374454733</v>
      </c>
      <c r="DX25" s="309">
        <f>N(Underwriting!V211)</f>
        <v>-9963673.1491933651</v>
      </c>
      <c r="DY25" s="309">
        <f>N(Underwriting!W211)</f>
        <v>-12047726.791351493</v>
      </c>
      <c r="DZ25" s="309">
        <f>N(Underwriting!X211)</f>
        <v>-14217202.323856961</v>
      </c>
      <c r="EA25" s="309">
        <f>N(Underwriting!Y211)</f>
        <v>-16365167.698586643</v>
      </c>
      <c r="EB25" s="309">
        <f>N(Underwriting!Z211)</f>
        <v>-18368392.667920161</v>
      </c>
      <c r="EC25" s="309">
        <f>N(Underwriting!AA211)</f>
        <v>-20098477.243874725</v>
      </c>
      <c r="ED25" s="309">
        <f>N(Underwriting!AB211)</f>
        <v>-21435229.253932979</v>
      </c>
      <c r="EE25" s="309">
        <f>N(Underwriting!AC211)</f>
        <v>-22280397.403045714</v>
      </c>
      <c r="EF25" s="309">
        <f>N(Underwriting!AD211)</f>
        <v>-22569593.467381995</v>
      </c>
      <c r="EG25" s="309">
        <f>N(Underwriting!AE211)</f>
        <v>-22280397.403045733</v>
      </c>
      <c r="EH25" s="309">
        <f>N(Underwriting!AF211)</f>
        <v>-21435229.253932942</v>
      </c>
      <c r="EI25" s="309">
        <f>N(Underwriting!AG211)</f>
        <v>-20098477.243874762</v>
      </c>
      <c r="EJ25" s="309">
        <f>N(Underwriting!AH211)</f>
        <v>-17651726.001253467</v>
      </c>
      <c r="EK25" s="309">
        <f>N(Underwriting!AI211)</f>
        <v>-15648501.031919977</v>
      </c>
      <c r="EL25" s="309">
        <f>N(Underwriting!AJ211)</f>
        <v>-13500535.657190321</v>
      </c>
      <c r="EM25" s="309">
        <f>N(Underwriting!AK211)</f>
        <v>-11114393.45801813</v>
      </c>
      <c r="EN25" s="309">
        <f>N(Underwriting!AL211)</f>
        <v>-9030339.8158600312</v>
      </c>
      <c r="EO25" s="309">
        <f>N(Underwriting!AM211)</f>
        <v>-7114751.5041121645</v>
      </c>
      <c r="EP25" s="309">
        <f>N(Underwriting!AN211)</f>
        <v>-5249085.4434072273</v>
      </c>
      <c r="EQ25" s="309">
        <f>N(Underwriting!AO211)</f>
        <v>-3810181.2983414317</v>
      </c>
      <c r="ER25" s="309">
        <f>N(Underwriting!AP211)</f>
        <v>-2628598.8558910657</v>
      </c>
      <c r="ES25" s="309">
        <f>N(Underwriting!AQ211)</f>
        <v>-1532208.8241777087</v>
      </c>
      <c r="ET25" s="309">
        <f>N(Underwriting!AR211)</f>
        <v>-811375.33697100775</v>
      </c>
      <c r="EU25" s="309">
        <f>N(Underwriting!AS211)</f>
        <v>-274738.5066782278</v>
      </c>
      <c r="EV25" s="309">
        <f>N(Underwriting!AT211)</f>
        <v>145177.90745282592</v>
      </c>
      <c r="EW25" s="309">
        <f>N(Underwriting!AU211)</f>
        <v>416388.30454083928</v>
      </c>
      <c r="EX25" s="309">
        <f>N(Underwriting!AV211)</f>
        <v>600702.57563078811</v>
      </c>
      <c r="EY25" s="309">
        <f>N(Underwriting!AW211)</f>
        <v>1329966.833333333</v>
      </c>
      <c r="EZ25" s="309">
        <f>N(Underwriting!AX211)</f>
        <v>1537461.250366004</v>
      </c>
      <c r="FA25" s="309">
        <f>N(Underwriting!AY211)</f>
        <v>1744955.6673986751</v>
      </c>
      <c r="FB25" s="309">
        <f>N(Underwriting!AZ211)</f>
        <v>1960527.6614040788</v>
      </c>
      <c r="FC25" s="309">
        <f>N(Underwriting!BA211)</f>
        <v>2168682.6596498829</v>
      </c>
      <c r="FD25" s="309">
        <f>N(Underwriting!BB211)</f>
        <v>2376837.6578956875</v>
      </c>
      <c r="FE25" s="309">
        <f>N(Underwriting!BC211)</f>
        <v>2590534.3228081581</v>
      </c>
      <c r="FF25">
        <f>N(Underwriting!BD211)</f>
        <v>2798689.3210539622</v>
      </c>
      <c r="FG25">
        <f>N(Underwriting!BE211)</f>
        <v>3006844.3192997663</v>
      </c>
      <c r="FH25">
        <f>N(Underwriting!BF211)</f>
        <v>3241223.0675455704</v>
      </c>
      <c r="FI25">
        <f>N(Underwriting!BG211)</f>
        <v>3449378.065791375</v>
      </c>
      <c r="FJ25">
        <f>N(Underwriting!BH211)</f>
        <v>3657533.0640371782</v>
      </c>
      <c r="FK25">
        <f>N(Underwriting!BI211)</f>
        <v>3936582.4825900565</v>
      </c>
      <c r="FL25">
        <f>N(Underwriting!BJ211)</f>
        <v>3936582.4825900565</v>
      </c>
      <c r="FM25">
        <f>N(Underwriting!BK211)</f>
        <v>3936582.4825900565</v>
      </c>
      <c r="FN25">
        <f>N(Underwriting!BL211)</f>
        <v>3942891.6700900565</v>
      </c>
      <c r="FO25">
        <f>N(Underwriting!BM211)</f>
        <v>3942891.6700900565</v>
      </c>
      <c r="FP25">
        <f>N(Underwriting!BN211)</f>
        <v>3942891.6700900565</v>
      </c>
      <c r="FQ25">
        <f>N(Underwriting!BO211)</f>
        <v>3948627.2950900565</v>
      </c>
      <c r="FR25">
        <f>N(Underwriting!BP211)</f>
        <v>3948627.2950900565</v>
      </c>
      <c r="FS25">
        <f>N(Underwriting!BQ211)</f>
        <v>3948627.2950900565</v>
      </c>
      <c r="FT25">
        <f>N(Underwriting!BR211)</f>
        <v>3975768.8763400572</v>
      </c>
      <c r="FU25">
        <f>N(Underwriting!BS211)</f>
        <v>3975768.8763400572</v>
      </c>
      <c r="FV25">
        <f>N(Underwriting!BT211)</f>
        <v>3975768.8763400572</v>
      </c>
      <c r="FW25">
        <f>N(Underwriting!BU211)</f>
        <v>711983566.07476461</v>
      </c>
      <c r="FX25">
        <f>0</f>
        <v>0</v>
      </c>
      <c r="FY25">
        <f>0</f>
        <v>0</v>
      </c>
      <c r="FZ25">
        <f>0</f>
        <v>0</v>
      </c>
      <c r="GA25">
        <f>0</f>
        <v>0</v>
      </c>
      <c r="GB25">
        <f>0</f>
        <v>0</v>
      </c>
      <c r="GC25">
        <f>0</f>
        <v>0</v>
      </c>
      <c r="GE25" s="325" t="s">
        <v>876</v>
      </c>
      <c r="GF25" s="741">
        <f>$DA$12</f>
        <v>213.18637999703282</v>
      </c>
      <c r="GG25" s="742">
        <v>0</v>
      </c>
      <c r="GH25" s="741">
        <f>GF25*GG25</f>
        <v>0</v>
      </c>
      <c r="GI25" s="325" t="s">
        <v>877</v>
      </c>
    </row>
    <row r="26" spans="1:191" ht="34" customHeight="1" x14ac:dyDescent="0.35">
      <c r="A26" s="307"/>
      <c r="B26" s="664" t="str">
        <f>'FUNDING &amp; CAP TABLE'!$A$9</f>
        <v>David Gifford</v>
      </c>
      <c r="C26" s="664" t="str">
        <f>'FUNDING &amp; CAP TABLE'!$H$9</f>
        <v>Mapped — provisional</v>
      </c>
      <c r="D26" s="854">
        <f>'FUNDING &amp; CAP TABLE'!$D$9</f>
        <v>10</v>
      </c>
      <c r="E26" s="855">
        <f>0</f>
        <v>0</v>
      </c>
      <c r="F26" s="855">
        <f>0</f>
        <v>0</v>
      </c>
      <c r="G26" s="855">
        <f t="shared" ref="G26:G33" si="2">SUM(D26:F26)</f>
        <v>10</v>
      </c>
      <c r="H26" s="856">
        <f>'FUNDING &amp; CAP TABLE'!$F$9</f>
        <v>4.6368657832059464E-2</v>
      </c>
      <c r="I26" s="855">
        <f t="shared" ref="I26:I33" si="3">$H$20*H26</f>
        <v>17.833522258850895</v>
      </c>
      <c r="J26" s="855">
        <f t="shared" ref="J26:J33" si="4">$H$21*H26</f>
        <v>19.978002712492092</v>
      </c>
      <c r="K26" s="855">
        <f t="shared" ref="K26:K33" si="5">$H$22*H26</f>
        <v>22.468321388663661</v>
      </c>
      <c r="L26" s="855">
        <f t="shared" ref="L26:L34" si="6">J26-G26</f>
        <v>9.978002712492092</v>
      </c>
      <c r="M26" s="857">
        <f t="shared" ref="M26:M34" si="7">IFERROR(J26/G26,0)</f>
        <v>1.9978002712492091</v>
      </c>
      <c r="N26" s="858">
        <f t="shared" ref="N26:N33" si="8">$M58</f>
        <v>0.14835851788520818</v>
      </c>
      <c r="O26" s="670" t="s">
        <v>878</v>
      </c>
      <c r="P26" s="670" t="s">
        <v>879</v>
      </c>
      <c r="CQ26" s="307" t="str">
        <f>Underwriting!$B$93</f>
        <v>URWLD</v>
      </c>
      <c r="CR26" s="308" t="str">
        <f>IF(Underwriting!$I$93&gt;0,"NOI / cap rate",IF(AND('Tenant Report'!$O$34&gt;0,$CR$10&lt;&gt;"",$CR$11&lt;&gt;""),"EBITDA multiple","Operating case — not valued"))</f>
        <v>NOI / cap rate</v>
      </c>
      <c r="CS26" s="311">
        <f>Underwriting!$E$93</f>
        <v>21500</v>
      </c>
      <c r="CT26" s="311">
        <f>Underwriting!$I$93/1000000</f>
        <v>8.6</v>
      </c>
      <c r="CU26" s="309">
        <f>IF(Underwriting!$I$93=0,0,$DA$10*Underwriting!$I$93/Underwriting!$I$105)</f>
        <v>25.632233444214911</v>
      </c>
      <c r="CV26" s="312">
        <f>IF(Underwriting!$I$93=0,"",$DA$11)</f>
        <v>6.7008196721311475E-2</v>
      </c>
      <c r="CW26" s="309">
        <f t="shared" ref="CW26:CW37" si="9">IF(OR($CU26=0,$CV26=""),0,$CU26/$CV26)</f>
        <v>382.52385078828371</v>
      </c>
      <c r="CX26" s="311">
        <f>IF(Underwriting!$I$93=0,'Tenant Report'!$O$34,0)</f>
        <v>0</v>
      </c>
      <c r="CY26" s="312" t="str">
        <f t="shared" ref="CY26:CY37" si="10">IF(OR($CX26=0,$CR$10=""),"",$CR$10)</f>
        <v/>
      </c>
      <c r="CZ26" s="309">
        <f t="shared" ref="CZ26:CZ37" si="11">IF(OR($CX26=0,$CY26=""),0,$CX26*$CY26)</f>
        <v>0</v>
      </c>
      <c r="DA26" s="314" t="str">
        <f t="shared" ref="DA26:DA37" si="12">IF(OR($CZ26=0,$CR$11=""),"",$CR$11)</f>
        <v/>
      </c>
      <c r="DB26" s="309">
        <f t="shared" ref="DB26:DB37" si="13">IF(OR($CZ26=0,$DA26=""),0,$CZ26*$DA26)</f>
        <v>0</v>
      </c>
      <c r="DC26" s="309">
        <f t="shared" ref="DC26:DC37" si="14">SUM($CW26,$DB26)</f>
        <v>382.52385078828371</v>
      </c>
      <c r="DD26" s="979" t="str">
        <f>IF(Underwriting!$I$93&gt;0,"Model rent allocation; property-only value.","Revenue linked to Tenant Report; margin and multiple illustrative.")</f>
        <v>Model rent allocation; property-only value.</v>
      </c>
      <c r="DE26" s="937"/>
      <c r="DF26" s="937"/>
      <c r="DG26" s="937"/>
      <c r="DH26" s="937"/>
      <c r="DI26" s="937"/>
      <c r="DJ26" s="937"/>
      <c r="DK26" s="937"/>
      <c r="DL26" s="937"/>
      <c r="DN26" s="309">
        <f>MIN(0,N(Underwriting!L211))*(1+DEBT!$K$33)+MAX(0,N(Underwriting!L211))*DEBT!$N$33*DEBT!$P$33</f>
        <v>-88366828.386484072</v>
      </c>
      <c r="DO26" s="309">
        <f>MIN(0,N(Underwriting!M211))*(1+DEBT!$K$33)+MAX(0,N(Underwriting!M211))*DEBT!$N$33*DEBT!$P$33</f>
        <v>-837926.94401955092</v>
      </c>
      <c r="DP26" s="309">
        <f>MIN(0,N(Underwriting!N211))*(1+DEBT!$K$33)+MAX(0,N(Underwriting!N211))*DEBT!$N$33*DEBT!$P$33</f>
        <v>-1095576.8212531272</v>
      </c>
      <c r="DQ26" s="309">
        <f>MIN(0,N(Underwriting!O211))*(1+DEBT!$K$33)+MAX(0,N(Underwriting!O211))*DEBT!$N$33*DEBT!$P$33</f>
        <v>-1463543.2480110012</v>
      </c>
      <c r="DR26" s="309">
        <f>MIN(0,N(Underwriting!P211))*(1+DEBT!$K$33)+MAX(0,N(Underwriting!P211))*DEBT!$N$33*DEBT!$P$33</f>
        <v>-1973348.2367891183</v>
      </c>
      <c r="DS26" s="309">
        <f>MIN(0,N(Underwriting!Q211))*(1+DEBT!$K$33)+MAX(0,N(Underwriting!Q211))*DEBT!$N$33*DEBT!$P$33</f>
        <v>-2658140.0496355044</v>
      </c>
      <c r="DT26" s="309">
        <f>MIN(0,N(Underwriting!R211))*(1+DEBT!$K$33)+MAX(0,N(Underwriting!R211))*DEBT!$N$33*DEBT!$P$33</f>
        <v>-3549293.9130964992</v>
      </c>
      <c r="DU26" s="309">
        <f>MIN(0,N(Underwriting!S211))*(1+DEBT!$K$33)+MAX(0,N(Underwriting!S211))*DEBT!$N$33*DEBT!$P$33</f>
        <v>-4671797.233424359</v>
      </c>
      <c r="DV26" s="309">
        <f>MIN(0,N(Underwriting!T211))*(1+DEBT!$K$33)+MAX(0,N(Underwriting!T211))*DEBT!$N$33*DEBT!$P$33</f>
        <v>-6038756.171236882</v>
      </c>
      <c r="DW26" s="309">
        <f>MIN(0,N(Underwriting!U211))*(1+DEBT!$K$33)+MAX(0,N(Underwriting!U211))*DEBT!$N$33*DEBT!$P$33</f>
        <v>-7645680.595573199</v>
      </c>
      <c r="DX26" s="309">
        <f>MIN(0,N(Underwriting!V211))*(1+DEBT!$K$33)+MAX(0,N(Underwriting!V211))*DEBT!$N$33*DEBT!$P$33</f>
        <v>-9465489.4917336963</v>
      </c>
      <c r="DY26" s="309">
        <f>MIN(0,N(Underwriting!W211))*(1+DEBT!$K$33)+MAX(0,N(Underwriting!W211))*DEBT!$N$33*DEBT!$P$33</f>
        <v>-11445340.451783918</v>
      </c>
      <c r="DZ26" s="309">
        <f>MIN(0,N(Underwriting!X211))*(1+DEBT!$K$33)+MAX(0,N(Underwriting!X211))*DEBT!$N$33*DEBT!$P$33</f>
        <v>-13506342.207664112</v>
      </c>
      <c r="EA26" s="309">
        <f>MIN(0,N(Underwriting!Y211))*(1+DEBT!$K$33)+MAX(0,N(Underwriting!Y211))*DEBT!$N$33*DEBT!$P$33</f>
        <v>-15546909.31365731</v>
      </c>
      <c r="EB26" s="309">
        <f>MIN(0,N(Underwriting!Z211))*(1+DEBT!$K$33)+MAX(0,N(Underwriting!Z211))*DEBT!$N$33*DEBT!$P$33</f>
        <v>-17449973.034524154</v>
      </c>
      <c r="EC26" s="309">
        <f>MIN(0,N(Underwriting!AA211))*(1+DEBT!$K$33)+MAX(0,N(Underwriting!AA211))*DEBT!$N$33*DEBT!$P$33</f>
        <v>-19093553.381680988</v>
      </c>
      <c r="ED26" s="309">
        <f>MIN(0,N(Underwriting!AB211))*(1+DEBT!$K$33)+MAX(0,N(Underwriting!AB211))*DEBT!$N$33*DEBT!$P$33</f>
        <v>-20363467.79123633</v>
      </c>
      <c r="EE26" s="309">
        <f>MIN(0,N(Underwriting!AC211))*(1+DEBT!$K$33)+MAX(0,N(Underwriting!AC211))*DEBT!$N$33*DEBT!$P$33</f>
        <v>-21166377.532893427</v>
      </c>
      <c r="EF26" s="309">
        <f>MIN(0,N(Underwriting!AD211))*(1+DEBT!$K$33)+MAX(0,N(Underwriting!AD211))*DEBT!$N$33*DEBT!$P$33</f>
        <v>-21441113.794012893</v>
      </c>
      <c r="EG26" s="309">
        <f>MIN(0,N(Underwriting!AE211))*(1+DEBT!$K$33)+MAX(0,N(Underwriting!AE211))*DEBT!$N$33*DEBT!$P$33</f>
        <v>-21166377.532893445</v>
      </c>
      <c r="EH26" s="309">
        <f>MIN(0,N(Underwriting!AF211))*(1+DEBT!$K$33)+MAX(0,N(Underwriting!AF211))*DEBT!$N$33*DEBT!$P$33</f>
        <v>-20363467.791236293</v>
      </c>
      <c r="EI26" s="309">
        <f>MIN(0,N(Underwriting!AG211))*(1+DEBT!$K$33)+MAX(0,N(Underwriting!AG211))*DEBT!$N$33*DEBT!$P$33</f>
        <v>-19093553.381681025</v>
      </c>
      <c r="EJ26" s="309">
        <f>MIN(0,N(Underwriting!AH211))*(1+DEBT!$K$33)+MAX(0,N(Underwriting!AH211))*DEBT!$N$33*DEBT!$P$33</f>
        <v>-16769139.701190792</v>
      </c>
      <c r="EK26" s="309">
        <f>MIN(0,N(Underwriting!AI211))*(1+DEBT!$K$33)+MAX(0,N(Underwriting!AI211))*DEBT!$N$33*DEBT!$P$33</f>
        <v>-14866075.980323978</v>
      </c>
      <c r="EL26" s="309">
        <f>MIN(0,N(Underwriting!AJ211))*(1+DEBT!$K$33)+MAX(0,N(Underwriting!AJ211))*DEBT!$N$33*DEBT!$P$33</f>
        <v>-12825508.874330804</v>
      </c>
      <c r="EM26" s="309">
        <f>MIN(0,N(Underwriting!AK211))*(1+DEBT!$K$33)+MAX(0,N(Underwriting!AK211))*DEBT!$N$33*DEBT!$P$33</f>
        <v>-10558673.785117222</v>
      </c>
      <c r="EN26" s="309">
        <f>MIN(0,N(Underwriting!AL211))*(1+DEBT!$K$33)+MAX(0,N(Underwriting!AL211))*DEBT!$N$33*DEBT!$P$33</f>
        <v>-8578822.8250670284</v>
      </c>
      <c r="EO26" s="309">
        <f>MIN(0,N(Underwriting!AM211))*(1+DEBT!$K$33)+MAX(0,N(Underwriting!AM211))*DEBT!$N$33*DEBT!$P$33</f>
        <v>-6759013.9289065562</v>
      </c>
      <c r="EP26" s="309">
        <f>MIN(0,N(Underwriting!AN211))*(1+DEBT!$K$33)+MAX(0,N(Underwriting!AN211))*DEBT!$N$33*DEBT!$P$33</f>
        <v>-4986631.1712368652</v>
      </c>
      <c r="EQ26" s="309">
        <f>MIN(0,N(Underwriting!AO211))*(1+DEBT!$K$33)+MAX(0,N(Underwriting!AO211))*DEBT!$N$33*DEBT!$P$33</f>
        <v>-3619672.2334243599</v>
      </c>
      <c r="ER26" s="309">
        <f>MIN(0,N(Underwriting!AP211))*(1+DEBT!$K$33)+MAX(0,N(Underwriting!AP211))*DEBT!$N$33*DEBT!$P$33</f>
        <v>-2497168.9130965122</v>
      </c>
      <c r="ES26" s="309">
        <f>MIN(0,N(Underwriting!AQ211))*(1+DEBT!$K$33)+MAX(0,N(Underwriting!AQ211))*DEBT!$N$33*DEBT!$P$33</f>
        <v>-1455598.3829688232</v>
      </c>
      <c r="ET26" s="309">
        <f>MIN(0,N(Underwriting!AR211))*(1+DEBT!$K$33)+MAX(0,N(Underwriting!AR211))*DEBT!$N$33*DEBT!$P$33</f>
        <v>-770806.57012245734</v>
      </c>
      <c r="EU26" s="309">
        <f>MIN(0,N(Underwriting!AS211))*(1+DEBT!$K$33)+MAX(0,N(Underwriting!AS211))*DEBT!$N$33*DEBT!$P$33</f>
        <v>-261001.58134431639</v>
      </c>
      <c r="EV26" s="309">
        <f>MIN(0,N(Underwriting!AT211))*(1+DEBT!$K$33)+MAX(0,N(Underwriting!AT211))*DEBT!$N$33*DEBT!$P$33</f>
        <v>160058.64296674059</v>
      </c>
      <c r="EW26" s="309">
        <f>MIN(0,N(Underwriting!AU211))*(1+DEBT!$K$33)+MAX(0,N(Underwriting!AU211))*DEBT!$N$33*DEBT!$P$33</f>
        <v>459068.10575627536</v>
      </c>
      <c r="EX26" s="309">
        <f>MIN(0,N(Underwriting!AV211))*(1+DEBT!$K$33)+MAX(0,N(Underwriting!AV211))*DEBT!$N$33*DEBT!$P$33</f>
        <v>662274.58963294385</v>
      </c>
      <c r="EY26" s="309">
        <f>MIN(0,N(Underwriting!AW211))*(1+DEBT!$K$33)+MAX(0,N(Underwriting!AW211))*DEBT!$N$33*DEBT!$P$33</f>
        <v>1466288.4337499999</v>
      </c>
      <c r="EZ26" s="309">
        <f>MIN(0,N(Underwriting!AX211))*(1+DEBT!$K$33)+MAX(0,N(Underwriting!AX211))*DEBT!$N$33*DEBT!$P$33</f>
        <v>1695051.0285285194</v>
      </c>
      <c r="FA26" s="309">
        <f>MIN(0,N(Underwriting!AY211))*(1+DEBT!$K$33)+MAX(0,N(Underwriting!AY211))*DEBT!$N$33*DEBT!$P$33</f>
        <v>1923813.6233070393</v>
      </c>
      <c r="FB26" s="309">
        <f>MIN(0,N(Underwriting!AZ211))*(1+DEBT!$K$33)+MAX(0,N(Underwriting!AZ211))*DEBT!$N$33*DEBT!$P$33</f>
        <v>2161481.7466979972</v>
      </c>
      <c r="FC26" s="309">
        <f>MIN(0,N(Underwriting!BA211))*(1+DEBT!$K$33)+MAX(0,N(Underwriting!BA211))*DEBT!$N$33*DEBT!$P$33</f>
        <v>2390972.6322639962</v>
      </c>
      <c r="FD26" s="309">
        <f>MIN(0,N(Underwriting!BB211))*(1+DEBT!$K$33)+MAX(0,N(Underwriting!BB211))*DEBT!$N$33*DEBT!$P$33</f>
        <v>2620463.5178299961</v>
      </c>
      <c r="FE26" s="309">
        <f>MIN(0,N(Underwriting!BC211))*(1+DEBT!$K$33)+MAX(0,N(Underwriting!BC211))*DEBT!$N$33*DEBT!$P$33</f>
        <v>2856064.0908959946</v>
      </c>
      <c r="FF26">
        <f>MIN(0,N(Underwriting!BD211))*(1+DEBT!$K$33)+MAX(0,N(Underwriting!BD211))*DEBT!$N$33*DEBT!$P$33</f>
        <v>3085554.976461994</v>
      </c>
      <c r="FG26">
        <f>MIN(0,N(Underwriting!BE211))*(1+DEBT!$K$33)+MAX(0,N(Underwriting!BE211))*DEBT!$N$33*DEBT!$P$33</f>
        <v>3315045.8620279925</v>
      </c>
      <c r="FH26">
        <f>MIN(0,N(Underwriting!BF211))*(1+DEBT!$K$33)+MAX(0,N(Underwriting!BF211))*DEBT!$N$33*DEBT!$P$33</f>
        <v>3573448.4319689916</v>
      </c>
      <c r="FI26">
        <f>MIN(0,N(Underwriting!BG211))*(1+DEBT!$K$33)+MAX(0,N(Underwriting!BG211))*DEBT!$N$33*DEBT!$P$33</f>
        <v>3802939.3175349915</v>
      </c>
      <c r="FJ26">
        <f>MIN(0,N(Underwriting!BH211))*(1+DEBT!$K$33)+MAX(0,N(Underwriting!BH211))*DEBT!$N$33*DEBT!$P$33</f>
        <v>4032430.2031009891</v>
      </c>
      <c r="FK26">
        <f>MIN(0,N(Underwriting!BI211))*(1+DEBT!$K$33)+MAX(0,N(Underwriting!BI211))*DEBT!$N$33*DEBT!$P$33</f>
        <v>4340082.1870555375</v>
      </c>
      <c r="FL26">
        <f>MIN(0,N(Underwriting!BJ211))*(1+DEBT!$K$33)+MAX(0,N(Underwriting!BJ211))*DEBT!$N$33*DEBT!$P$33</f>
        <v>4340082.1870555375</v>
      </c>
      <c r="FM26">
        <f>MIN(0,N(Underwriting!BK211))*(1+DEBT!$K$33)+MAX(0,N(Underwriting!BK211))*DEBT!$N$33*DEBT!$P$33</f>
        <v>4340082.1870555375</v>
      </c>
      <c r="FN26">
        <f>MIN(0,N(Underwriting!BL211))*(1+DEBT!$K$33)+MAX(0,N(Underwriting!BL211))*DEBT!$N$33*DEBT!$P$33</f>
        <v>4347038.0662742881</v>
      </c>
      <c r="FO26">
        <f>MIN(0,N(Underwriting!BM211))*(1+DEBT!$K$33)+MAX(0,N(Underwriting!BM211))*DEBT!$N$33*DEBT!$P$33</f>
        <v>4347038.0662742881</v>
      </c>
      <c r="FP26">
        <f>MIN(0,N(Underwriting!BN211))*(1+DEBT!$K$33)+MAX(0,N(Underwriting!BN211))*DEBT!$N$33*DEBT!$P$33</f>
        <v>4347038.0662742881</v>
      </c>
      <c r="FQ26">
        <f>MIN(0,N(Underwriting!BO211))*(1+DEBT!$K$33)+MAX(0,N(Underwriting!BO211))*DEBT!$N$33*DEBT!$P$33</f>
        <v>4353361.5928367879</v>
      </c>
      <c r="FR26">
        <f>MIN(0,N(Underwriting!BP211))*(1+DEBT!$K$33)+MAX(0,N(Underwriting!BP211))*DEBT!$N$33*DEBT!$P$33</f>
        <v>4353361.5928367879</v>
      </c>
      <c r="FS26">
        <f>MIN(0,N(Underwriting!BQ211))*(1+DEBT!$K$33)+MAX(0,N(Underwriting!BQ211))*DEBT!$N$33*DEBT!$P$33</f>
        <v>4353361.5928367879</v>
      </c>
      <c r="FT26">
        <f>MIN(0,N(Underwriting!BR211))*(1+DEBT!$K$33)+MAX(0,N(Underwriting!BR211))*DEBT!$N$33*DEBT!$P$33</f>
        <v>4383285.1861649137</v>
      </c>
      <c r="FU26">
        <f>MIN(0,N(Underwriting!BS211))*(1+DEBT!$K$33)+MAX(0,N(Underwriting!BS211))*DEBT!$N$33*DEBT!$P$33</f>
        <v>4383285.1861649137</v>
      </c>
      <c r="FV26">
        <f>MIN(0,N(Underwriting!BT211))*(1+DEBT!$K$33)+MAX(0,N(Underwriting!BT211))*DEBT!$N$33*DEBT!$P$33</f>
        <v>4383285.1861649137</v>
      </c>
      <c r="FW26">
        <f>MIN(0,N(Underwriting!BU211))*(1+DEBT!$K$33)+MAX(0,N(Underwriting!BU211))*DEBT!$N$33*DEBT!$P$33</f>
        <v>784961881.59742796</v>
      </c>
      <c r="FX26">
        <f>MIN(0,0)*(1+DEBT!$K$33)+MAX(0,0)*DEBT!$N$33*DEBT!$P$33</f>
        <v>0</v>
      </c>
      <c r="FY26">
        <f>MIN(0,0)*(1+DEBT!$K$33)+MAX(0,0)*DEBT!$N$33*DEBT!$P$33</f>
        <v>0</v>
      </c>
      <c r="FZ26">
        <f>MIN(0,0)*(1+DEBT!$K$33)+MAX(0,0)*DEBT!$N$33*DEBT!$P$33</f>
        <v>0</v>
      </c>
      <c r="GA26">
        <f>MIN(0,0)*(1+DEBT!$K$33)+MAX(0,0)*DEBT!$N$33*DEBT!$P$33</f>
        <v>0</v>
      </c>
      <c r="GB26">
        <f>MIN(0,0)*(1+DEBT!$K$33)+MAX(0,0)*DEBT!$N$33*DEBT!$P$33</f>
        <v>0</v>
      </c>
      <c r="GC26">
        <f>MIN(0,0)*(1+DEBT!$K$33)+MAX(0,0)*DEBT!$N$33*DEBT!$P$33</f>
        <v>0</v>
      </c>
      <c r="GE26" s="325" t="s">
        <v>880</v>
      </c>
      <c r="GF26" s="741">
        <f>$C$11</f>
        <v>448.85663516148151</v>
      </c>
      <c r="GG26" s="742">
        <v>0</v>
      </c>
      <c r="GH26" s="741">
        <f>GF26*GG26</f>
        <v>0</v>
      </c>
      <c r="GI26" s="325" t="s">
        <v>881</v>
      </c>
    </row>
    <row r="27" spans="1:191" ht="34" customHeight="1" x14ac:dyDescent="0.35">
      <c r="A27" s="307"/>
      <c r="B27" s="671" t="str">
        <f>'FUNDING &amp; CAP TABLE'!$A$8</f>
        <v>Mayabay Investments Pte Ltd</v>
      </c>
      <c r="C27" s="671" t="str">
        <f>'FUNDING &amp; CAP TABLE'!$H$8</f>
        <v>Mapped — provisional</v>
      </c>
      <c r="D27" s="859">
        <f>'FUNDING &amp; CAP TABLE'!$D$8</f>
        <v>15.000999999999999</v>
      </c>
      <c r="E27" s="860">
        <f>0</f>
        <v>0</v>
      </c>
      <c r="F27" s="860">
        <f>0</f>
        <v>0</v>
      </c>
      <c r="G27" s="860">
        <f t="shared" si="2"/>
        <v>15.000999999999999</v>
      </c>
      <c r="H27" s="861">
        <f>'FUNDING &amp; CAP TABLE'!$F$8</f>
        <v>6.9557623613872396E-2</v>
      </c>
      <c r="I27" s="860">
        <f t="shared" si="3"/>
        <v>26.752066740502226</v>
      </c>
      <c r="J27" s="860">
        <f t="shared" si="4"/>
        <v>29.969001869009386</v>
      </c>
      <c r="K27" s="860">
        <f t="shared" si="5"/>
        <v>33.704728915134353</v>
      </c>
      <c r="L27" s="860">
        <f t="shared" si="6"/>
        <v>14.968001869009386</v>
      </c>
      <c r="M27" s="862">
        <f t="shared" si="7"/>
        <v>1.9978002712492091</v>
      </c>
      <c r="N27" s="863">
        <f t="shared" si="8"/>
        <v>0.14835851788520818</v>
      </c>
      <c r="O27" s="677" t="s">
        <v>878</v>
      </c>
      <c r="P27" s="677" t="s">
        <v>882</v>
      </c>
      <c r="CQ27" s="307" t="str">
        <f>Underwriting!$B$94</f>
        <v>Student Accommodation</v>
      </c>
      <c r="CR27" s="308" t="str">
        <f>IF(Underwriting!$I$94&gt;0,"NOI / cap rate",IF(AND('Tenant Report'!$O$35&gt;0,$CR$10&lt;&gt;"",$CR$11&lt;&gt;""),"EBITDA multiple","Operating case — not valued"))</f>
        <v>Operating case — not valued</v>
      </c>
      <c r="CS27" s="311">
        <f>Underwriting!$E$94</f>
        <v>20000</v>
      </c>
      <c r="CT27" s="311">
        <f>Underwriting!$I$94/1000000</f>
        <v>0</v>
      </c>
      <c r="CU27" s="309">
        <f>IF(Underwriting!$I$94=0,0,$DA$10*Underwriting!$I$94/Underwriting!$I$105)</f>
        <v>0</v>
      </c>
      <c r="CV27" s="312" t="str">
        <f>IF(Underwriting!$I$94=0,"",$DA$11)</f>
        <v/>
      </c>
      <c r="CW27" s="309">
        <f t="shared" si="9"/>
        <v>0</v>
      </c>
      <c r="CX27" s="311">
        <f>IF(Underwriting!$I$94=0,'Tenant Report'!$O$35,0)</f>
        <v>7.2625349999999997</v>
      </c>
      <c r="CY27" s="312" t="str">
        <f t="shared" si="10"/>
        <v/>
      </c>
      <c r="CZ27" s="309">
        <f t="shared" si="11"/>
        <v>0</v>
      </c>
      <c r="DA27" s="314" t="str">
        <f t="shared" si="12"/>
        <v/>
      </c>
      <c r="DB27" s="309">
        <f t="shared" si="13"/>
        <v>0</v>
      </c>
      <c r="DC27" s="309">
        <f t="shared" si="14"/>
        <v>0</v>
      </c>
      <c r="DD27" s="979" t="str">
        <f>IF(Underwriting!$I$94&gt;0,"Model rent allocation; property-only value.","Revenue linked to Tenant Report; margin and multiple illustrative.")</f>
        <v>Revenue linked to Tenant Report; margin and multiple illustrative.</v>
      </c>
      <c r="DE27" s="937"/>
      <c r="DF27" s="937"/>
      <c r="DG27" s="937"/>
      <c r="DH27" s="937"/>
      <c r="DI27" s="937"/>
      <c r="DJ27" s="937"/>
      <c r="DK27" s="937"/>
      <c r="DL27" s="937"/>
      <c r="DN27" s="309">
        <f>MIN(0,N(Underwriting!L212))*(DEBT!$M$37/DEBT!$M$38)+MAX(0,0)*DEBT!$N$31</f>
        <v>-92431395.275987744</v>
      </c>
      <c r="DO27" s="309">
        <f>MIN(0,N(Underwriting!M212))*(DEBT!$M$37/DEBT!$M$38)+MAX(0,0)*DEBT!$N$31</f>
        <v>0</v>
      </c>
      <c r="DP27" s="309">
        <f>MIN(0,N(Underwriting!N212))*(DEBT!$M$37/DEBT!$M$38)+MAX(0,0)*DEBT!$N$31</f>
        <v>0</v>
      </c>
      <c r="DQ27" s="309">
        <f>MIN(0,N(Underwriting!O212))*(DEBT!$M$37/DEBT!$M$38)+MAX(0,0)*DEBT!$N$31</f>
        <v>0</v>
      </c>
      <c r="DR27" s="309">
        <f>MIN(0,N(Underwriting!P212))*(DEBT!$M$37/DEBT!$M$38)+MAX(0,0)*DEBT!$N$31</f>
        <v>0</v>
      </c>
      <c r="DS27" s="309">
        <f>MIN(0,N(Underwriting!Q212))*(DEBT!$M$37/DEBT!$M$38)+MAX(0,0)*DEBT!$N$31</f>
        <v>0</v>
      </c>
      <c r="DT27" s="309">
        <f>MIN(0,N(Underwriting!R212))*(DEBT!$M$37/DEBT!$M$38)+MAX(0,N(Underwriting!L212))*DEBT!$N$31</f>
        <v>0</v>
      </c>
      <c r="DU27" s="309">
        <f>MIN(0,N(Underwriting!S212))*(DEBT!$M$37/DEBT!$M$38)+MAX(0,N(Underwriting!M212))*DEBT!$N$31</f>
        <v>56449.815176053999</v>
      </c>
      <c r="DV27" s="309">
        <f>MIN(0,N(Underwriting!T212))*(DEBT!$M$37/DEBT!$M$38)+MAX(0,N(Underwriting!N212))*DEBT!$N$31</f>
        <v>0</v>
      </c>
      <c r="DW27" s="309">
        <f>MIN(0,N(Underwriting!U212))*(DEBT!$M$37/DEBT!$M$38)+MAX(0,N(Underwriting!O212))*DEBT!$N$31</f>
        <v>42146.782584687142</v>
      </c>
      <c r="DX27" s="309">
        <f>MIN(0,N(Underwriting!V212))*(DEBT!$M$37/DEBT!$M$38)+MAX(0,N(Underwriting!P212))*DEBT!$N$31</f>
        <v>59134.074309793119</v>
      </c>
      <c r="DY27" s="309">
        <f>MIN(0,N(Underwriting!W212))*(DEBT!$M$37/DEBT!$M$38)+MAX(0,N(Underwriting!Q212))*DEBT!$N$31</f>
        <v>80478.100319966674</v>
      </c>
      <c r="DZ27" s="309">
        <f>MIN(0,N(Underwriting!X212))*(DEBT!$M$37/DEBT!$M$38)+MAX(0,N(Underwriting!R212))*DEBT!$N$31</f>
        <v>106168.97187754996</v>
      </c>
      <c r="EA27" s="309">
        <f>MIN(0,N(Underwriting!Y212))*(DEBT!$M$37/DEBT!$M$38)+MAX(0,N(Underwriting!S212))*DEBT!$N$31</f>
        <v>-2203070.6065496574</v>
      </c>
      <c r="EB27" s="309">
        <f>MIN(0,N(Underwriting!Z212))*(DEBT!$M$37/DEBT!$M$38)+MAX(0,N(Underwriting!T212))*DEBT!$N$31</f>
        <v>-10744248.809837999</v>
      </c>
      <c r="EC27" s="309">
        <f>MIN(0,N(Underwriting!AA212))*(DEBT!$M$37/DEBT!$M$38)+MAX(0,N(Underwriting!U212))*DEBT!$N$31</f>
        <v>-11778540.724049602</v>
      </c>
      <c r="ED27" s="309">
        <f>MIN(0,N(Underwriting!AB212))*(DEBT!$M$37/DEBT!$M$38)+MAX(0,N(Underwriting!V212))*DEBT!$N$31</f>
        <v>-12589025.194696127</v>
      </c>
      <c r="EE27" s="309">
        <f>MIN(0,N(Underwriting!AC212))*(DEBT!$M$37/DEBT!$M$38)+MAX(0,N(Underwriting!W212))*DEBT!$N$31</f>
        <v>-13258056.761925695</v>
      </c>
      <c r="EF27" s="309">
        <f>MIN(0,N(Underwriting!AD212))*(DEBT!$M$37/DEBT!$M$38)+MAX(0,N(Underwriting!X212))*DEBT!$N$31</f>
        <v>-13614261.068889357</v>
      </c>
      <c r="EG27" s="309">
        <f>MIN(0,N(Underwriting!AE212))*(DEBT!$M$37/DEBT!$M$38)+MAX(0,N(Underwriting!Y212))*DEBT!$N$31</f>
        <v>-13915904.847055722</v>
      </c>
      <c r="EH27" s="309">
        <f>MIN(0,N(Underwriting!AF212))*(DEBT!$M$37/DEBT!$M$38)+MAX(0,N(Underwriting!Z212))*DEBT!$N$31</f>
        <v>-13552970.653753586</v>
      </c>
      <c r="EI27" s="309">
        <f>MIN(0,N(Underwriting!AG212))*(DEBT!$M$37/DEBT!$M$38)+MAX(0,N(Underwriting!AA212))*DEBT!$N$31</f>
        <v>-12778086.18871524</v>
      </c>
      <c r="EJ27" s="309">
        <f>MIN(0,N(Underwriting!AH212))*(DEBT!$M$37/DEBT!$M$38)+MAX(0,N(Underwriting!AB212))*DEBT!$N$31</f>
        <v>-10898488.741342902</v>
      </c>
      <c r="EK27" s="309">
        <f>MIN(0,N(Underwriting!AI212))*(DEBT!$M$37/DEBT!$M$38)+MAX(0,N(Underwriting!AC212))*DEBT!$N$31</f>
        <v>-9725947.1651802044</v>
      </c>
      <c r="EL27" s="309">
        <f>MIN(0,N(Underwriting!AJ212))*(DEBT!$M$37/DEBT!$M$38)+MAX(0,N(Underwriting!AD212))*DEBT!$N$31</f>
        <v>-8474530.9605622254</v>
      </c>
      <c r="EM27" s="309">
        <f>MIN(0,N(Underwriting!AK212))*(DEBT!$M$37/DEBT!$M$38)+MAX(0,N(Underwriting!AE212))*DEBT!$N$31</f>
        <v>-6958530.052976205</v>
      </c>
      <c r="EN27" s="309">
        <f>MIN(0,N(Underwriting!AL212))*(DEBT!$M$37/DEBT!$M$38)+MAX(0,N(Underwriting!AF212))*DEBT!$N$31</f>
        <v>-5767051.8171075834</v>
      </c>
      <c r="EO27" s="309">
        <f>MIN(0,N(Underwriting!AM212))*(DEBT!$M$37/DEBT!$M$38)+MAX(0,N(Underwriting!AG212))*DEBT!$N$31</f>
        <v>-4686578.5291762929</v>
      </c>
      <c r="EP27" s="309">
        <f>MIN(0,N(Underwriting!AN212))*(DEBT!$M$37/DEBT!$M$38)+MAX(0,N(Underwriting!AH212))*DEBT!$N$31</f>
        <v>-3537163.3798243408</v>
      </c>
      <c r="EQ27" s="309">
        <f>MIN(0,N(Underwriting!AO212))*(DEBT!$M$37/DEBT!$M$38)+MAX(0,N(Underwriting!AI212))*DEBT!$N$31</f>
        <v>-2753972.2036462449</v>
      </c>
      <c r="ER27" s="309">
        <f>MIN(0,N(Underwriting!AP212))*(DEBT!$M$37/DEBT!$M$38)+MAX(0,N(Underwriting!AJ212))*DEBT!$N$31</f>
        <v>-3207394.7267266293</v>
      </c>
      <c r="ES27" s="309">
        <f>MIN(0,N(Underwriting!AQ212))*(DEBT!$M$37/DEBT!$M$38)+MAX(0,N(Underwriting!AK212))*DEBT!$N$31</f>
        <v>-3141165.1671423302</v>
      </c>
      <c r="ET27" s="309">
        <f>MIN(0,N(Underwriting!AR212))*(DEBT!$M$37/DEBT!$M$38)+MAX(0,N(Underwriting!AL212))*DEBT!$N$31</f>
        <v>-2344123.8162230239</v>
      </c>
      <c r="EU27" s="309">
        <f>MIN(0,N(Underwriting!AS212))*(DEBT!$M$37/DEBT!$M$38)+MAX(0,N(Underwriting!AM212))*DEBT!$N$31</f>
        <v>-1761498.9678693013</v>
      </c>
      <c r="EV27" s="309">
        <f>MIN(0,N(Underwriting!AT212))*(DEBT!$M$37/DEBT!$M$38)+MAX(0,N(Underwriting!AN212))*DEBT!$N$31</f>
        <v>-1310965.2968037433</v>
      </c>
      <c r="EW27" s="309">
        <f>MIN(0,N(Underwriting!AU212))*(DEBT!$M$37/DEBT!$M$38)+MAX(0,N(Underwriting!AO212))*DEBT!$N$31</f>
        <v>-1031353.9905312143</v>
      </c>
      <c r="EX27" s="309">
        <f>MIN(0,N(Underwriting!AV212))*(DEBT!$M$37/DEBT!$M$38)+MAX(0,N(Underwriting!AP212))*DEBT!$N$31</f>
        <v>-848608.00948814349</v>
      </c>
      <c r="EY27" s="309">
        <f>MIN(0,N(Underwriting!AW212))*(DEBT!$M$37/DEBT!$M$38)+MAX(0,N(Underwriting!AQ212))*DEBT!$N$31</f>
        <v>-43397.228578485621</v>
      </c>
      <c r="EZ27" s="309">
        <f>MIN(0,N(Underwriting!AX212))*(DEBT!$M$37/DEBT!$M$38)+MAX(0,N(Underwriting!AR212))*DEBT!$N$31</f>
        <v>0</v>
      </c>
      <c r="FA27" s="309">
        <f>MIN(0,N(Underwriting!AY212))*(DEBT!$M$37/DEBT!$M$38)+MAX(0,N(Underwriting!AS212))*DEBT!$N$31</f>
        <v>0</v>
      </c>
      <c r="FB27" s="309">
        <f>MIN(0,N(Underwriting!AZ212))*(DEBT!$M$37/DEBT!$M$38)+MAX(0,N(Underwriting!AT212))*DEBT!$N$31</f>
        <v>0</v>
      </c>
      <c r="FC27" s="309">
        <f>MIN(0,N(Underwriting!BA212))*(DEBT!$M$37/DEBT!$M$38)+MAX(0,N(Underwriting!AU212))*DEBT!$N$31</f>
        <v>0</v>
      </c>
      <c r="FD27" s="309">
        <f>MIN(0,N(Underwriting!BB212))*(DEBT!$M$37/DEBT!$M$38)+MAX(0,N(Underwriting!AV212))*DEBT!$N$31</f>
        <v>0</v>
      </c>
      <c r="FE27" s="309">
        <f>MIN(0,N(Underwriting!BC212))*(DEBT!$M$37/DEBT!$M$38)+MAX(0,N(Underwriting!AW212))*DEBT!$N$31</f>
        <v>0</v>
      </c>
      <c r="FF27">
        <f>MIN(0,N(Underwriting!BD212))*(DEBT!$M$37/DEBT!$M$38)+MAX(0,N(Underwriting!AX212))*DEBT!$N$31</f>
        <v>131384.54441175144</v>
      </c>
      <c r="FG27">
        <f>MIN(0,N(Underwriting!BE212))*(DEBT!$M$37/DEBT!$M$38)+MAX(0,N(Underwriting!AY212))*DEBT!$N$31</f>
        <v>291429.4122351993</v>
      </c>
      <c r="FH27">
        <f>MIN(0,N(Underwriting!BF212))*(DEBT!$M$37/DEBT!$M$38)+MAX(0,N(Underwriting!AZ212))*DEBT!$N$31</f>
        <v>457904.1088637354</v>
      </c>
      <c r="FI27">
        <f>MIN(0,N(Underwriting!BG212))*(DEBT!$M$37/DEBT!$M$38)+MAX(0,N(Underwriting!BA212))*DEBT!$N$31</f>
        <v>618412.80151730624</v>
      </c>
      <c r="FJ27">
        <f>MIN(0,N(Underwriting!BH212))*(DEBT!$M$37/DEBT!$M$38)+MAX(0,N(Underwriting!BB212))*DEBT!$N$31</f>
        <v>778888.91126368591</v>
      </c>
      <c r="FK27">
        <f>MIN(0,N(Underwriting!BI212))*(DEBT!$M$37/DEBT!$M$38)+MAX(0,N(Underwriting!BC212))*DEBT!$N$31</f>
        <v>943765.59494545928</v>
      </c>
      <c r="FL27">
        <f>MIN(0,N(Underwriting!BJ212))*(DEBT!$M$37/DEBT!$M$38)+MAX(0,N(Underwriting!BD212))*DEBT!$N$31</f>
        <v>1104176.0084492217</v>
      </c>
      <c r="FM27">
        <f>MIN(0,N(Underwriting!BK212))*(DEBT!$M$37/DEBT!$M$38)+MAX(0,N(Underwriting!BE212))*DEBT!$N$31</f>
        <v>1264553.306700398</v>
      </c>
      <c r="FN27">
        <f>MIN(0,N(Underwriting!BL212))*(DEBT!$M$37/DEBT!$M$38)+MAX(0,N(Underwriting!BF212))*DEBT!$N$31</f>
        <v>1445876.3103247026</v>
      </c>
      <c r="FO27">
        <f>MIN(0,N(Underwriting!BM212))*(DEBT!$M$37/DEBT!$M$38)+MAX(0,N(Underwriting!BG212))*DEBT!$N$31</f>
        <v>1606186.8389762409</v>
      </c>
      <c r="FP27">
        <f>MIN(0,N(Underwriting!BN212))*(DEBT!$M$37/DEBT!$M$38)+MAX(0,N(Underwriting!BH212))*DEBT!$N$31</f>
        <v>1766463.7113322422</v>
      </c>
      <c r="FQ27">
        <f>MIN(0,N(Underwriting!BO212))*(DEBT!$M$37/DEBT!$M$38)+MAX(0,N(Underwriting!BI212))*DEBT!$N$31</f>
        <v>1983422.2813334335</v>
      </c>
      <c r="FR27">
        <f>MIN(0,N(Underwriting!BP212))*(DEBT!$M$37/DEBT!$M$38)+MAX(0,N(Underwriting!BJ212))*DEBT!$N$31</f>
        <v>1977107.2945994325</v>
      </c>
      <c r="FS27">
        <f>MIN(0,N(Underwriting!BQ212))*(DEBT!$M$37/DEBT!$M$38)+MAX(0,N(Underwriting!BK212))*DEBT!$N$31</f>
        <v>1970758.1016872891</v>
      </c>
      <c r="FT27">
        <f>MIN(0,N(Underwriting!BR212))*(DEBT!$M$37/DEBT!$M$38)+MAX(0,N(Underwriting!BL212))*DEBT!$N$31</f>
        <v>1969421.8673135387</v>
      </c>
      <c r="FU27">
        <f>MIN(0,N(Underwriting!BS212))*(DEBT!$M$37/DEBT!$M$38)+MAX(0,N(Underwriting!BM212))*DEBT!$N$31</f>
        <v>1963003.7051910968</v>
      </c>
      <c r="FV27">
        <f>MIN(0,N(Underwriting!BT212))*(DEBT!$M$37/DEBT!$M$38)+MAX(0,N(Underwriting!BN212))*DEBT!$N$31</f>
        <v>1956550.778023825</v>
      </c>
      <c r="FW27">
        <f>MIN(0,N(Underwriting!BU212))*(DEBT!$M$37/DEBT!$M$38)+MAX(0,N(Underwriting!BO212))*DEBT!$N$31</f>
        <v>1954651.3975010638</v>
      </c>
      <c r="FX27">
        <f>MIN(0,0)*(DEBT!$M$37/DEBT!$M$38)+MAX(0,N(Underwriting!BP212))*DEBT!$N$31</f>
        <v>1948128.3742921376</v>
      </c>
      <c r="FY27">
        <f>MIN(0,0)*(DEBT!$M$37/DEBT!$M$38)+MAX(0,N(Underwriting!BQ212))*DEBT!$N$31</f>
        <v>1941570.01804083</v>
      </c>
      <c r="FZ27">
        <f>MIN(0,0)*(DEBT!$M$37/DEBT!$M$38)+MAX(0,N(Underwriting!BR212))*DEBT!$N$31</f>
        <v>1956689.4023598281</v>
      </c>
      <c r="GA27">
        <f>MIN(0,0)*(DEBT!$M$37/DEBT!$M$38)+MAX(0,N(Underwriting!BS212))*DEBT!$N$31</f>
        <v>1950059.8048251369</v>
      </c>
      <c r="GB27">
        <f>MIN(0,0)*(DEBT!$M$37/DEBT!$M$38)+MAX(0,N(Underwriting!BT212))*DEBT!$N$31</f>
        <v>1943394.2969704659</v>
      </c>
      <c r="GC27">
        <f>MIN(0,0)*(DEBT!$M$37/DEBT!$M$38)+MAX(0,N(Underwriting!BU212))*DEBT!$N$31</f>
        <v>380180807.63725042</v>
      </c>
      <c r="GE27" s="325" t="s">
        <v>883</v>
      </c>
      <c r="GF27" s="741">
        <f>SUM(GH24:GH26)</f>
        <v>679.64702791220634</v>
      </c>
      <c r="GG27" s="325"/>
      <c r="GH27" s="741"/>
      <c r="GI27" s="325" t="s">
        <v>884</v>
      </c>
    </row>
    <row r="28" spans="1:191" ht="34" customHeight="1" x14ac:dyDescent="0.35">
      <c r="A28" s="307"/>
      <c r="B28" s="671" t="s">
        <v>885</v>
      </c>
      <c r="C28" s="671" t="str">
        <f>'FUNDING &amp; CAP TABLE'!$H$10</f>
        <v>Mapped — provisional</v>
      </c>
      <c r="D28" s="859">
        <f>'FUNDING &amp; CAP TABLE'!$D$10</f>
        <v>5</v>
      </c>
      <c r="E28" s="860">
        <f>0</f>
        <v>0</v>
      </c>
      <c r="F28" s="860">
        <f>0</f>
        <v>0</v>
      </c>
      <c r="G28" s="860">
        <f t="shared" si="2"/>
        <v>5</v>
      </c>
      <c r="H28" s="861">
        <f>'FUNDING &amp; CAP TABLE'!$F$10</f>
        <v>2.3184328916029732E-2</v>
      </c>
      <c r="I28" s="860">
        <f t="shared" si="3"/>
        <v>8.9167611294254474</v>
      </c>
      <c r="J28" s="860">
        <f t="shared" si="4"/>
        <v>9.989001356246046</v>
      </c>
      <c r="K28" s="860">
        <f t="shared" si="5"/>
        <v>11.23416069433183</v>
      </c>
      <c r="L28" s="860">
        <f t="shared" si="6"/>
        <v>4.989001356246046</v>
      </c>
      <c r="M28" s="862">
        <f t="shared" si="7"/>
        <v>1.9978002712492091</v>
      </c>
      <c r="N28" s="863">
        <f t="shared" si="8"/>
        <v>0.14835851788520818</v>
      </c>
      <c r="O28" s="677" t="s">
        <v>878</v>
      </c>
      <c r="P28" s="677" t="s">
        <v>886</v>
      </c>
      <c r="CQ28" s="307" t="str">
        <f>Underwriting!$B$95</f>
        <v>LiveHouse</v>
      </c>
      <c r="CR28" s="308" t="str">
        <f>IF(Underwriting!$I$95&gt;0,"NOI / cap rate",IF(AND('Tenant Report'!$O$36&gt;0,$CR$10&lt;&gt;"",$CR$11&lt;&gt;""),"EBITDA multiple","Operating case — not valued"))</f>
        <v>NOI / cap rate</v>
      </c>
      <c r="CS28" s="311">
        <f>Underwriting!$E$95</f>
        <v>6500</v>
      </c>
      <c r="CT28" s="311">
        <f>Underwriting!$I$95/1000000</f>
        <v>2.6</v>
      </c>
      <c r="CU28" s="309">
        <f>IF(Underwriting!$I$95=0,0,$DA$10*Underwriting!$I$95/Underwriting!$I$105)</f>
        <v>7.7492798784835779</v>
      </c>
      <c r="CV28" s="312">
        <f>IF(Underwriting!$I$95=0,"",$DA$11)</f>
        <v>6.7008196721311475E-2</v>
      </c>
      <c r="CW28" s="309">
        <f t="shared" si="9"/>
        <v>115.64674558715554</v>
      </c>
      <c r="CX28" s="311">
        <f>IF(Underwriting!$I$95=0,'Tenant Report'!$O$36,0)</f>
        <v>0</v>
      </c>
      <c r="CY28" s="312" t="str">
        <f t="shared" si="10"/>
        <v/>
      </c>
      <c r="CZ28" s="309">
        <f t="shared" si="11"/>
        <v>0</v>
      </c>
      <c r="DA28" s="314" t="str">
        <f t="shared" si="12"/>
        <v/>
      </c>
      <c r="DB28" s="309">
        <f t="shared" si="13"/>
        <v>0</v>
      </c>
      <c r="DC28" s="309">
        <f t="shared" si="14"/>
        <v>115.64674558715554</v>
      </c>
      <c r="DD28" s="979" t="str">
        <f>IF(Underwriting!$I$95&gt;0,"Model rent allocation; property-only value.","Revenue linked to Tenant Report; margin and multiple illustrative.")</f>
        <v>Model rent allocation; property-only value.</v>
      </c>
      <c r="DE28" s="937"/>
      <c r="DF28" s="937"/>
      <c r="DG28" s="937"/>
      <c r="DH28" s="937"/>
      <c r="DI28" s="937"/>
      <c r="DJ28" s="937"/>
      <c r="DK28" s="937"/>
      <c r="DL28" s="937"/>
      <c r="DN28" s="309">
        <f>N(Underwriting!L212)</f>
        <v>-76389582.872717112</v>
      </c>
      <c r="DO28" s="309">
        <f>N(Underwriting!M212)</f>
        <v>70562.268970067496</v>
      </c>
      <c r="DP28" s="309">
        <f>N(Underwriting!N212)</f>
        <v>0</v>
      </c>
      <c r="DQ28" s="309">
        <f>N(Underwriting!O212)</f>
        <v>52683.47823085892</v>
      </c>
      <c r="DR28" s="309">
        <f>N(Underwriting!P212)</f>
        <v>73917.592887241393</v>
      </c>
      <c r="DS28" s="309">
        <f>N(Underwriting!Q212)</f>
        <v>100597.62539995834</v>
      </c>
      <c r="DT28" s="309">
        <f>N(Underwriting!R212)</f>
        <v>132711.21484693745</v>
      </c>
      <c r="DU28" s="309">
        <f>N(Underwriting!S212)</f>
        <v>169571.13126643002</v>
      </c>
      <c r="DV28" s="309">
        <f>N(Underwriting!T212)</f>
        <v>209638.92700129561</v>
      </c>
      <c r="DW28" s="309">
        <f>N(Underwriting!U212)</f>
        <v>250432.28312832303</v>
      </c>
      <c r="DX28" s="309">
        <f>N(Underwriting!V212)</f>
        <v>288567.01646289043</v>
      </c>
      <c r="DY28" s="309">
        <f>N(Underwriting!W212)</f>
        <v>319971.35631248169</v>
      </c>
      <c r="DZ28" s="309">
        <f>N(Underwriting!X212)</f>
        <v>340282.33397308737</v>
      </c>
      <c r="EA28" s="309">
        <f>N(Underwriting!Y212)</f>
        <v>-1932832.6541841328</v>
      </c>
      <c r="EB28" s="309">
        <f>N(Underwriting!Z212)</f>
        <v>-9018148.7201975472</v>
      </c>
      <c r="EC28" s="309">
        <f>N(Underwriting!AA212)</f>
        <v>-9899906.2401258312</v>
      </c>
      <c r="ED28" s="309">
        <f>N(Underwriting!AB212)</f>
        <v>-10594941.16352598</v>
      </c>
      <c r="EE28" s="309">
        <f>N(Underwriting!AC212)</f>
        <v>-11168623.014029484</v>
      </c>
      <c r="EF28" s="309">
        <f>N(Underwriting!AD212)</f>
        <v>-11476435.484353572</v>
      </c>
      <c r="EG28" s="309">
        <f>N(Underwriting!AE212)</f>
        <v>-11500747.807484064</v>
      </c>
      <c r="EH28" s="309">
        <f>N(Underwriting!AF212)</f>
        <v>-11200802.193184778</v>
      </c>
      <c r="EI28" s="309">
        <f>N(Underwriting!AG212)</f>
        <v>-10560401.808855567</v>
      </c>
      <c r="EJ28" s="309">
        <f>N(Underwriting!AH212)</f>
        <v>-9007015.4887131397</v>
      </c>
      <c r="EK28" s="309">
        <f>N(Underwriting!AI212)</f>
        <v>-8037972.8637852902</v>
      </c>
      <c r="EL28" s="309">
        <f>N(Underwriting!AJ212)</f>
        <v>-7003744.5955059687</v>
      </c>
      <c r="EM28" s="309">
        <f>N(Underwriting!AK212)</f>
        <v>-5750851.2834514072</v>
      </c>
      <c r="EN28" s="309">
        <f>N(Underwriting!AL212)</f>
        <v>-4766158.5265351916</v>
      </c>
      <c r="EO28" s="309">
        <f>N(Underwriting!AM212)</f>
        <v>-3873205.3960134638</v>
      </c>
      <c r="EP28" s="309">
        <f>N(Underwriting!AN212)</f>
        <v>-2923275.520515983</v>
      </c>
      <c r="EQ28" s="309">
        <f>N(Underwriting!AO212)</f>
        <v>-2276010.0856580529</v>
      </c>
      <c r="ER28" s="309">
        <f>N(Underwriting!AP212)</f>
        <v>-2650739.4435757259</v>
      </c>
      <c r="ES28" s="309">
        <f>N(Underwriting!AQ212)</f>
        <v>-2596004.2703655614</v>
      </c>
      <c r="ET28" s="309">
        <f>N(Underwriting!AR212)</f>
        <v>-1937292.4101016719</v>
      </c>
      <c r="EU28" s="309">
        <f>N(Underwriting!AS212)</f>
        <v>-1455784.2709663643</v>
      </c>
      <c r="EV28" s="309">
        <f>N(Underwriting!AT212)</f>
        <v>-1083442.3940526801</v>
      </c>
      <c r="EW28" s="309">
        <f>N(Underwriting!AU212)</f>
        <v>-852358.66986050736</v>
      </c>
      <c r="EX28" s="309">
        <f>N(Underwriting!AV212)</f>
        <v>-701328.93346127542</v>
      </c>
      <c r="EY28" s="309">
        <f>N(Underwriting!AW212)</f>
        <v>-35865.47816403769</v>
      </c>
      <c r="EZ28" s="309">
        <f>N(Underwriting!AX212)</f>
        <v>164230.6805146893</v>
      </c>
      <c r="FA28" s="309">
        <f>N(Underwriting!AY212)</f>
        <v>364286.76529399911</v>
      </c>
      <c r="FB28" s="309">
        <f>N(Underwriting!AZ212)</f>
        <v>572380.13607966923</v>
      </c>
      <c r="FC28" s="309">
        <f>N(Underwriting!BA212)</f>
        <v>773016.00189663284</v>
      </c>
      <c r="FD28" s="309">
        <f>N(Underwriting!BB212)</f>
        <v>973611.13907960732</v>
      </c>
      <c r="FE28" s="309">
        <f>N(Underwriting!BC212)</f>
        <v>1179706.9936818241</v>
      </c>
      <c r="FF28">
        <f>N(Underwriting!BD212)</f>
        <v>1380220.010561527</v>
      </c>
      <c r="FG28">
        <f>N(Underwriting!BE212)</f>
        <v>1580691.6333754973</v>
      </c>
      <c r="FH28">
        <f>N(Underwriting!BF212)</f>
        <v>1807345.3879058782</v>
      </c>
      <c r="FI28">
        <f>N(Underwriting!BG212)</f>
        <v>2007733.5487203011</v>
      </c>
      <c r="FJ28">
        <f>N(Underwriting!BH212)</f>
        <v>2208079.6391653027</v>
      </c>
      <c r="FK28">
        <f>N(Underwriting!BI212)</f>
        <v>2479277.8516667918</v>
      </c>
      <c r="FL28">
        <f>N(Underwriting!BJ212)</f>
        <v>2471384.1182492906</v>
      </c>
      <c r="FM28">
        <f>N(Underwriting!BK212)</f>
        <v>2463447.6271091113</v>
      </c>
      <c r="FN28">
        <f>N(Underwriting!BL212)</f>
        <v>2461777.3341419231</v>
      </c>
      <c r="FO28">
        <f>N(Underwriting!BM212)</f>
        <v>2453754.6314888708</v>
      </c>
      <c r="FP28">
        <f>N(Underwriting!BN212)</f>
        <v>2445688.4725297811</v>
      </c>
      <c r="FQ28">
        <f>N(Underwriting!BO212)</f>
        <v>2443314.2468763296</v>
      </c>
      <c r="FR28">
        <f>N(Underwriting!BP212)</f>
        <v>2435160.4678651718</v>
      </c>
      <c r="FS28">
        <f>N(Underwriting!BQ212)</f>
        <v>2426962.5225510374</v>
      </c>
      <c r="FT28">
        <f>N(Underwriting!BR212)</f>
        <v>2445861.752949785</v>
      </c>
      <c r="FU28">
        <f>N(Underwriting!BS212)</f>
        <v>2437574.756031421</v>
      </c>
      <c r="FV28">
        <f>N(Underwriting!BT212)</f>
        <v>2429242.8712130822</v>
      </c>
      <c r="FW28">
        <f>N(Underwriting!BU212)</f>
        <v>475226009.54656303</v>
      </c>
      <c r="FX28">
        <f>0</f>
        <v>0</v>
      </c>
      <c r="FY28">
        <f>0</f>
        <v>0</v>
      </c>
      <c r="FZ28">
        <f>0</f>
        <v>0</v>
      </c>
      <c r="GA28">
        <f>0</f>
        <v>0</v>
      </c>
      <c r="GB28">
        <f>0</f>
        <v>0</v>
      </c>
      <c r="GC28">
        <f>0</f>
        <v>0</v>
      </c>
      <c r="GE28" s="325" t="s">
        <v>887</v>
      </c>
      <c r="GF28" s="741">
        <f>MAX(GF24:GF26)-MIN(GF24:GF26)</f>
        <v>466.46064791517352</v>
      </c>
      <c r="GG28" s="325"/>
      <c r="GH28" s="325"/>
      <c r="GI28" s="325" t="s">
        <v>888</v>
      </c>
    </row>
    <row r="29" spans="1:191" ht="34" customHeight="1" x14ac:dyDescent="0.35">
      <c r="A29" s="307"/>
      <c r="B29" s="671" t="str">
        <f>'FUNDING &amp; CAP TABLE'!$A$11</f>
        <v>Belgravia</v>
      </c>
      <c r="C29" s="671" t="str">
        <f>'FUNDING &amp; CAP TABLE'!$H$11</f>
        <v>Mapped — provisional</v>
      </c>
      <c r="D29" s="859">
        <f>'FUNDING &amp; CAP TABLE'!$D$11</f>
        <v>2</v>
      </c>
      <c r="E29" s="860">
        <f>0</f>
        <v>0</v>
      </c>
      <c r="F29" s="860">
        <f>0</f>
        <v>0</v>
      </c>
      <c r="G29" s="860">
        <f t="shared" si="2"/>
        <v>2</v>
      </c>
      <c r="H29" s="861">
        <f>'FUNDING &amp; CAP TABLE'!$F$11</f>
        <v>9.2737315664118934E-3</v>
      </c>
      <c r="I29" s="860">
        <f t="shared" si="3"/>
        <v>3.5667044517701796</v>
      </c>
      <c r="J29" s="860">
        <f t="shared" si="4"/>
        <v>3.9956005424984187</v>
      </c>
      <c r="K29" s="860">
        <f t="shared" si="5"/>
        <v>4.4936642777327327</v>
      </c>
      <c r="L29" s="860">
        <f t="shared" si="6"/>
        <v>1.9956005424984187</v>
      </c>
      <c r="M29" s="862">
        <f t="shared" si="7"/>
        <v>1.9978002712492093</v>
      </c>
      <c r="N29" s="863">
        <f t="shared" si="8"/>
        <v>0.14835851788520818</v>
      </c>
      <c r="O29" s="677" t="s">
        <v>878</v>
      </c>
      <c r="P29" s="677" t="s">
        <v>889</v>
      </c>
      <c r="CQ29" s="307" t="str">
        <f>Underwriting!$B$96</f>
        <v>Flexible Retail/F&amp;B</v>
      </c>
      <c r="CR29" s="308" t="str">
        <f>IF(Underwriting!$I$96&gt;0,"NOI / cap rate",IF(AND('Tenant Report'!$O$37&gt;0,$CR$10&lt;&gt;"",$CR$11&lt;&gt;""),"EBITDA multiple","Operating case — not valued"))</f>
        <v>NOI / cap rate</v>
      </c>
      <c r="CS29" s="311">
        <f>Underwriting!$E$96</f>
        <v>150</v>
      </c>
      <c r="CT29" s="311">
        <f>Underwriting!$I$96/1000000</f>
        <v>0.09</v>
      </c>
      <c r="CU29" s="309">
        <f>IF(Underwriting!$I$96=0,0,$DA$10*Underwriting!$I$96/Underwriting!$I$105)</f>
        <v>0.26824430348597</v>
      </c>
      <c r="CV29" s="312">
        <f>IF(Underwriting!$I$96=0,"",$DA$11)</f>
        <v>6.7008196721311475E-2</v>
      </c>
      <c r="CW29" s="309">
        <f t="shared" si="9"/>
        <v>4.003156578016922</v>
      </c>
      <c r="CX29" s="311">
        <f>IF(Underwriting!$I$96=0,'Tenant Report'!$O$37,0)</f>
        <v>0</v>
      </c>
      <c r="CY29" s="312" t="str">
        <f t="shared" si="10"/>
        <v/>
      </c>
      <c r="CZ29" s="309">
        <f t="shared" si="11"/>
        <v>0</v>
      </c>
      <c r="DA29" s="314" t="str">
        <f t="shared" si="12"/>
        <v/>
      </c>
      <c r="DB29" s="309">
        <f t="shared" si="13"/>
        <v>0</v>
      </c>
      <c r="DC29" s="309">
        <f t="shared" si="14"/>
        <v>4.003156578016922</v>
      </c>
      <c r="DD29" s="979" t="str">
        <f>IF(Underwriting!$I$96&gt;0,"Model rent allocation; property-only value.","Revenue linked to Tenant Report; margin and multiple illustrative.")</f>
        <v>Model rent allocation; property-only value.</v>
      </c>
      <c r="DE29" s="937"/>
      <c r="DF29" s="937"/>
      <c r="DG29" s="937"/>
      <c r="DH29" s="937"/>
      <c r="DI29" s="937"/>
      <c r="DJ29" s="937"/>
      <c r="DK29" s="937"/>
      <c r="DL29" s="937"/>
      <c r="DN29" s="309">
        <f>MIN(0,N(Underwriting!L212))*(DEBT!$M$39/DEBT!$M$38)+MAX(0,N(Underwriting!L212))*DEBT!$N$33</f>
        <v>-68941598.542627186</v>
      </c>
      <c r="DO29" s="309">
        <f>MIN(0,N(Underwriting!M212))*(DEBT!$M$39/DEBT!$M$38)+MAX(0,N(Underwriting!M212))*DEBT!$N$33</f>
        <v>74090.38241857088</v>
      </c>
      <c r="DP29" s="309">
        <f>MIN(0,N(Underwriting!N212))*(DEBT!$M$39/DEBT!$M$38)+MAX(0,N(Underwriting!N212))*DEBT!$N$33</f>
        <v>0</v>
      </c>
      <c r="DQ29" s="309">
        <f>MIN(0,N(Underwriting!O212))*(DEBT!$M$39/DEBT!$M$38)+MAX(0,N(Underwriting!O212))*DEBT!$N$33</f>
        <v>55317.652142401872</v>
      </c>
      <c r="DR29" s="309">
        <f>MIN(0,N(Underwriting!P212))*(DEBT!$M$39/DEBT!$M$38)+MAX(0,N(Underwriting!P212))*DEBT!$N$33</f>
        <v>77613.47253160346</v>
      </c>
      <c r="DS29" s="309">
        <f>MIN(0,N(Underwriting!Q212))*(DEBT!$M$39/DEBT!$M$38)+MAX(0,N(Underwriting!Q212))*DEBT!$N$33</f>
        <v>105627.50666995626</v>
      </c>
      <c r="DT29" s="309">
        <f>MIN(0,N(Underwriting!R212))*(DEBT!$M$39/DEBT!$M$38)+MAX(0,N(Underwriting!R212))*DEBT!$N$33</f>
        <v>139346.77558928434</v>
      </c>
      <c r="DU29" s="309">
        <f>MIN(0,N(Underwriting!S212))*(DEBT!$M$39/DEBT!$M$38)+MAX(0,N(Underwriting!S212))*DEBT!$N$33</f>
        <v>178049.68782975152</v>
      </c>
      <c r="DV29" s="309">
        <f>MIN(0,N(Underwriting!T212))*(DEBT!$M$39/DEBT!$M$38)+MAX(0,N(Underwriting!T212))*DEBT!$N$33</f>
        <v>220120.87335136041</v>
      </c>
      <c r="DW29" s="309">
        <f>MIN(0,N(Underwriting!U212))*(DEBT!$M$39/DEBT!$M$38)+MAX(0,N(Underwriting!U212))*DEBT!$N$33</f>
        <v>262953.89728473919</v>
      </c>
      <c r="DX29" s="309">
        <f>MIN(0,N(Underwriting!V212))*(DEBT!$M$39/DEBT!$M$38)+MAX(0,N(Underwriting!V212))*DEBT!$N$33</f>
        <v>302995.36728603498</v>
      </c>
      <c r="DY29" s="309">
        <f>MIN(0,N(Underwriting!W212))*(DEBT!$M$39/DEBT!$M$38)+MAX(0,N(Underwriting!W212))*DEBT!$N$33</f>
        <v>335969.92412810581</v>
      </c>
      <c r="DZ29" s="309">
        <f>MIN(0,N(Underwriting!X212))*(DEBT!$M$39/DEBT!$M$38)+MAX(0,N(Underwriting!X212))*DEBT!$N$33</f>
        <v>357296.45067174174</v>
      </c>
      <c r="EA29" s="309">
        <f>MIN(0,N(Underwriting!Y212))*(DEBT!$M$39/DEBT!$M$38)+MAX(0,N(Underwriting!Y212))*DEBT!$N$33</f>
        <v>-1744381.4704011797</v>
      </c>
      <c r="EB29" s="309">
        <f>MIN(0,N(Underwriting!Z212))*(DEBT!$M$39/DEBT!$M$38)+MAX(0,N(Underwriting!Z212))*DEBT!$N$33</f>
        <v>-8138879.219978286</v>
      </c>
      <c r="EC29" s="309">
        <f>MIN(0,N(Underwriting!AA212))*(DEBT!$M$39/DEBT!$M$38)+MAX(0,N(Underwriting!AA212))*DEBT!$N$33</f>
        <v>-8934665.3817135617</v>
      </c>
      <c r="ED29" s="309">
        <f>MIN(0,N(Underwriting!AB212))*(DEBT!$M$39/DEBT!$M$38)+MAX(0,N(Underwriting!AB212))*DEBT!$N$33</f>
        <v>-9561934.400082197</v>
      </c>
      <c r="EE29" s="309">
        <f>MIN(0,N(Underwriting!AC212))*(DEBT!$M$39/DEBT!$M$38)+MAX(0,N(Underwriting!AC212))*DEBT!$N$33</f>
        <v>-10079682.27016161</v>
      </c>
      <c r="EF29" s="309">
        <f>MIN(0,N(Underwriting!AD212))*(DEBT!$M$39/DEBT!$M$38)+MAX(0,N(Underwriting!AD212))*DEBT!$N$33</f>
        <v>-10357483.024629099</v>
      </c>
      <c r="EG29" s="309">
        <f>MIN(0,N(Underwriting!AE212))*(DEBT!$M$39/DEBT!$M$38)+MAX(0,N(Underwriting!AE212))*DEBT!$N$33</f>
        <v>-10379424.896254368</v>
      </c>
      <c r="EH29" s="309">
        <f>MIN(0,N(Underwriting!AF212))*(DEBT!$M$39/DEBT!$M$38)+MAX(0,N(Underwriting!AF212))*DEBT!$N$33</f>
        <v>-10108723.979349261</v>
      </c>
      <c r="EI29" s="309">
        <f>MIN(0,N(Underwriting!AG212))*(DEBT!$M$39/DEBT!$M$38)+MAX(0,N(Underwriting!AG212))*DEBT!$N$33</f>
        <v>-9530762.6324921492</v>
      </c>
      <c r="EJ29" s="309">
        <f>MIN(0,N(Underwriting!AH212))*(DEBT!$M$39/DEBT!$M$38)+MAX(0,N(Underwriting!AH212))*DEBT!$N$33</f>
        <v>-8128831.4785636086</v>
      </c>
      <c r="EK29" s="309">
        <f>MIN(0,N(Underwriting!AI212))*(DEBT!$M$39/DEBT!$M$38)+MAX(0,N(Underwriting!AI212))*DEBT!$N$33</f>
        <v>-7254270.5095662242</v>
      </c>
      <c r="EL29" s="309">
        <f>MIN(0,N(Underwriting!AJ212))*(DEBT!$M$39/DEBT!$M$38)+MAX(0,N(Underwriting!AJ212))*DEBT!$N$33</f>
        <v>-6320879.4974441361</v>
      </c>
      <c r="EM29" s="309">
        <f>MIN(0,N(Underwriting!AK212))*(DEBT!$M$39/DEBT!$M$38)+MAX(0,N(Underwriting!AK212))*DEBT!$N$33</f>
        <v>-5190143.2833148949</v>
      </c>
      <c r="EN29" s="309">
        <f>MIN(0,N(Underwriting!AL212))*(DEBT!$M$39/DEBT!$M$38)+MAX(0,N(Underwriting!AL212))*DEBT!$N$33</f>
        <v>-4301458.0701980107</v>
      </c>
      <c r="EO29" s="309">
        <f>MIN(0,N(Underwriting!AM212))*(DEBT!$M$39/DEBT!$M$38)+MAX(0,N(Underwriting!AM212))*DEBT!$N$33</f>
        <v>-3495567.8699021512</v>
      </c>
      <c r="EP29" s="309">
        <f>MIN(0,N(Underwriting!AN212))*(DEBT!$M$39/DEBT!$M$38)+MAX(0,N(Underwriting!AN212))*DEBT!$N$33</f>
        <v>-2638256.1572656748</v>
      </c>
      <c r="EQ29" s="309">
        <f>MIN(0,N(Underwriting!AO212))*(DEBT!$M$39/DEBT!$M$38)+MAX(0,N(Underwriting!AO212))*DEBT!$N$33</f>
        <v>-2054099.1023063927</v>
      </c>
      <c r="ER29" s="309">
        <f>MIN(0,N(Underwriting!AP212))*(DEBT!$M$39/DEBT!$M$38)+MAX(0,N(Underwriting!AP212))*DEBT!$N$33</f>
        <v>-2392292.3478270927</v>
      </c>
      <c r="ES29" s="309">
        <f>MIN(0,N(Underwriting!AQ212))*(DEBT!$M$39/DEBT!$M$38)+MAX(0,N(Underwriting!AQ212))*DEBT!$N$33</f>
        <v>-2342893.8540049191</v>
      </c>
      <c r="ET29" s="309">
        <f>MIN(0,N(Underwriting!AR212))*(DEBT!$M$39/DEBT!$M$38)+MAX(0,N(Underwriting!AR212))*DEBT!$N$33</f>
        <v>-1748406.4001167589</v>
      </c>
      <c r="EU29" s="309">
        <f>MIN(0,N(Underwriting!AS212))*(DEBT!$M$39/DEBT!$M$38)+MAX(0,N(Underwriting!AS212))*DEBT!$N$33</f>
        <v>-1313845.3045471436</v>
      </c>
      <c r="EV29" s="309">
        <f>MIN(0,N(Underwriting!AT212))*(DEBT!$M$39/DEBT!$M$38)+MAX(0,N(Underwriting!AT212))*DEBT!$N$33</f>
        <v>-977806.76063254382</v>
      </c>
      <c r="EW29" s="309">
        <f>MIN(0,N(Underwriting!AU212))*(DEBT!$M$39/DEBT!$M$38)+MAX(0,N(Underwriting!AU212))*DEBT!$N$33</f>
        <v>-769253.69954910781</v>
      </c>
      <c r="EX29" s="309">
        <f>MIN(0,N(Underwriting!AV212))*(DEBT!$M$39/DEBT!$M$38)+MAX(0,N(Underwriting!AV212))*DEBT!$N$33</f>
        <v>-632949.36244880105</v>
      </c>
      <c r="EY29" s="309">
        <f>MIN(0,N(Underwriting!AW212))*(DEBT!$M$39/DEBT!$M$38)+MAX(0,N(Underwriting!AW212))*DEBT!$N$33</f>
        <v>-32368.594043044013</v>
      </c>
      <c r="EZ29" s="309">
        <f>MIN(0,N(Underwriting!AX212))*(DEBT!$M$39/DEBT!$M$38)+MAX(0,N(Underwriting!AX212))*DEBT!$N$33</f>
        <v>172442.21454042377</v>
      </c>
      <c r="FA29" s="309">
        <f>MIN(0,N(Underwriting!AY212))*(DEBT!$M$39/DEBT!$M$38)+MAX(0,N(Underwriting!AY212))*DEBT!$N$33</f>
        <v>382501.10355869908</v>
      </c>
      <c r="FB29" s="309">
        <f>MIN(0,N(Underwriting!AZ212))*(DEBT!$M$39/DEBT!$M$38)+MAX(0,N(Underwriting!AZ212))*DEBT!$N$33</f>
        <v>600999.1428836527</v>
      </c>
      <c r="FC29" s="309">
        <f>MIN(0,N(Underwriting!BA212))*(DEBT!$M$39/DEBT!$M$38)+MAX(0,N(Underwriting!BA212))*DEBT!$N$33</f>
        <v>811666.80199146445</v>
      </c>
      <c r="FD29" s="309">
        <f>MIN(0,N(Underwriting!BB212))*(DEBT!$M$39/DEBT!$M$38)+MAX(0,N(Underwriting!BB212))*DEBT!$N$33</f>
        <v>1022291.6960335877</v>
      </c>
      <c r="FE29" s="309">
        <f>MIN(0,N(Underwriting!BC212))*(DEBT!$M$39/DEBT!$M$38)+MAX(0,N(Underwriting!BC212))*DEBT!$N$33</f>
        <v>1238692.3433659154</v>
      </c>
      <c r="FF29">
        <f>MIN(0,N(Underwriting!BD212))*(DEBT!$M$39/DEBT!$M$38)+MAX(0,N(Underwriting!BD212))*DEBT!$N$33</f>
        <v>1449231.0110896034</v>
      </c>
      <c r="FG29">
        <f>MIN(0,N(Underwriting!BE212))*(DEBT!$M$39/DEBT!$M$38)+MAX(0,N(Underwriting!BE212))*DEBT!$N$33</f>
        <v>1659726.2150442721</v>
      </c>
      <c r="FH29">
        <f>MIN(0,N(Underwriting!BF212))*(DEBT!$M$39/DEBT!$M$38)+MAX(0,N(Underwriting!BF212))*DEBT!$N$33</f>
        <v>1897712.6573011721</v>
      </c>
      <c r="FI29">
        <f>MIN(0,N(Underwriting!BG212))*(DEBT!$M$39/DEBT!$M$38)+MAX(0,N(Underwriting!BG212))*DEBT!$N$33</f>
        <v>2108120.2261563162</v>
      </c>
      <c r="FJ29">
        <f>MIN(0,N(Underwriting!BH212))*(DEBT!$M$39/DEBT!$M$38)+MAX(0,N(Underwriting!BH212))*DEBT!$N$33</f>
        <v>2318483.6211235682</v>
      </c>
      <c r="FK29">
        <f>MIN(0,N(Underwriting!BI212))*(DEBT!$M$39/DEBT!$M$38)+MAX(0,N(Underwriting!BI212))*DEBT!$N$33</f>
        <v>2603241.7442501313</v>
      </c>
      <c r="FL29">
        <f>MIN(0,N(Underwriting!BJ212))*(DEBT!$M$39/DEBT!$M$38)+MAX(0,N(Underwriting!BJ212))*DEBT!$N$33</f>
        <v>2594953.3241617554</v>
      </c>
      <c r="FM29">
        <f>MIN(0,N(Underwriting!BK212))*(DEBT!$M$39/DEBT!$M$38)+MAX(0,N(Underwriting!BK212))*DEBT!$N$33</f>
        <v>2586620.0084645669</v>
      </c>
      <c r="FN29">
        <f>MIN(0,N(Underwriting!BL212))*(DEBT!$M$39/DEBT!$M$38)+MAX(0,N(Underwriting!BL212))*DEBT!$N$33</f>
        <v>2584866.2008490195</v>
      </c>
      <c r="FO29">
        <f>MIN(0,N(Underwriting!BM212))*(DEBT!$M$39/DEBT!$M$38)+MAX(0,N(Underwriting!BM212))*DEBT!$N$33</f>
        <v>2576442.3630633145</v>
      </c>
      <c r="FP29">
        <f>MIN(0,N(Underwriting!BN212))*(DEBT!$M$39/DEBT!$M$38)+MAX(0,N(Underwriting!BN212))*DEBT!$N$33</f>
        <v>2567972.8961562701</v>
      </c>
      <c r="FQ29">
        <f>MIN(0,N(Underwriting!BO212))*(DEBT!$M$39/DEBT!$M$38)+MAX(0,N(Underwriting!BO212))*DEBT!$N$33</f>
        <v>2565479.9592201463</v>
      </c>
      <c r="FR29">
        <f>MIN(0,N(Underwriting!BP212))*(DEBT!$M$39/DEBT!$M$38)+MAX(0,N(Underwriting!BP212))*DEBT!$N$33</f>
        <v>2556918.4912584308</v>
      </c>
      <c r="FS29">
        <f>MIN(0,N(Underwriting!BQ212))*(DEBT!$M$39/DEBT!$M$38)+MAX(0,N(Underwriting!BQ212))*DEBT!$N$33</f>
        <v>2548310.6486785891</v>
      </c>
      <c r="FT29">
        <f>MIN(0,N(Underwriting!BR212))*(DEBT!$M$39/DEBT!$M$38)+MAX(0,N(Underwriting!BR212))*DEBT!$N$33</f>
        <v>2568154.8405972742</v>
      </c>
      <c r="FU29">
        <f>MIN(0,N(Underwriting!BS212))*(DEBT!$M$39/DEBT!$M$38)+MAX(0,N(Underwriting!BS212))*DEBT!$N$33</f>
        <v>2559453.4938329924</v>
      </c>
      <c r="FV29">
        <f>MIN(0,N(Underwriting!BT212))*(DEBT!$M$39/DEBT!$M$38)+MAX(0,N(Underwriting!BT212))*DEBT!$N$33</f>
        <v>2550705.0147737362</v>
      </c>
      <c r="FW29">
        <f>MIN(0,N(Underwriting!BU212))*(DEBT!$M$39/DEBT!$M$38)+MAX(0,N(Underwriting!BU212))*DEBT!$N$33</f>
        <v>498987310.02389121</v>
      </c>
      <c r="FX29">
        <f>MIN(0,0)*(DEBT!$M$39/DEBT!$M$38)+MAX(0,0)*DEBT!$N$33</f>
        <v>0</v>
      </c>
      <c r="FY29">
        <f>MIN(0,0)*(DEBT!$M$39/DEBT!$M$38)+MAX(0,0)*DEBT!$N$33</f>
        <v>0</v>
      </c>
      <c r="FZ29">
        <f>MIN(0,0)*(DEBT!$M$39/DEBT!$M$38)+MAX(0,0)*DEBT!$N$33</f>
        <v>0</v>
      </c>
      <c r="GA29">
        <f>MIN(0,0)*(DEBT!$M$39/DEBT!$M$38)+MAX(0,0)*DEBT!$N$33</f>
        <v>0</v>
      </c>
      <c r="GB29">
        <f>MIN(0,0)*(DEBT!$M$39/DEBT!$M$38)+MAX(0,0)*DEBT!$N$33</f>
        <v>0</v>
      </c>
      <c r="GC29">
        <f>MIN(0,0)*(DEBT!$M$39/DEBT!$M$38)+MAX(0,0)*DEBT!$N$33</f>
        <v>0</v>
      </c>
      <c r="GE29" s="325" t="s">
        <v>890</v>
      </c>
      <c r="GF29" s="743">
        <f>IF(GF27=0,0,GF28/GF27)</f>
        <v>0.68632779775125974</v>
      </c>
      <c r="GG29" s="325"/>
      <c r="GH29" s="325"/>
      <c r="GI29" s="325" t="s">
        <v>891</v>
      </c>
    </row>
    <row r="30" spans="1:191" ht="34" customHeight="1" x14ac:dyDescent="0.35">
      <c r="A30" s="307"/>
      <c r="B30" s="671" t="str">
        <f>'FUNDING &amp; CAP TABLE'!$A$12</f>
        <v>Other Investors</v>
      </c>
      <c r="C30" s="671" t="str">
        <f>'FUNDING &amp; CAP TABLE'!$H$12</f>
        <v>Mapped — provisional</v>
      </c>
      <c r="D30" s="859">
        <f>'FUNDING &amp; CAP TABLE'!$D$12</f>
        <v>1</v>
      </c>
      <c r="E30" s="860">
        <f>0</f>
        <v>0</v>
      </c>
      <c r="F30" s="860">
        <f>0</f>
        <v>0</v>
      </c>
      <c r="G30" s="860">
        <f t="shared" si="2"/>
        <v>1</v>
      </c>
      <c r="H30" s="861">
        <f>'FUNDING &amp; CAP TABLE'!$F$12</f>
        <v>4.6368657832059467E-3</v>
      </c>
      <c r="I30" s="860">
        <f t="shared" si="3"/>
        <v>1.7833522258850898</v>
      </c>
      <c r="J30" s="860">
        <f t="shared" si="4"/>
        <v>1.9978002712492093</v>
      </c>
      <c r="K30" s="860">
        <f t="shared" si="5"/>
        <v>2.2468321388663663</v>
      </c>
      <c r="L30" s="860">
        <f t="shared" si="6"/>
        <v>0.99780027124920934</v>
      </c>
      <c r="M30" s="862">
        <f t="shared" si="7"/>
        <v>1.9978002712492093</v>
      </c>
      <c r="N30" s="863">
        <f t="shared" si="8"/>
        <v>0.14835851788520818</v>
      </c>
      <c r="O30" s="677" t="s">
        <v>878</v>
      </c>
      <c r="P30" s="677" t="s">
        <v>892</v>
      </c>
      <c r="CQ30" s="307" t="str">
        <f>Underwriting!$B$97</f>
        <v>Genesis Health &amp; Fitness</v>
      </c>
      <c r="CR30" s="308" t="str">
        <f>IF(Underwriting!$I$97&gt;0,"NOI / cap rate",IF(AND('Tenant Report'!$O$38&gt;0,$CR$10&lt;&gt;"",$CR$11&lt;&gt;""),"EBITDA multiple","Operating case — not valued"))</f>
        <v>NOI / cap rate</v>
      </c>
      <c r="CS30" s="311">
        <f>Underwriting!$E$97</f>
        <v>4000</v>
      </c>
      <c r="CT30" s="311">
        <f>Underwriting!$I$97/1000000</f>
        <v>2</v>
      </c>
      <c r="CU30" s="309">
        <f>IF(Underwriting!$I$97=0,0,$DA$10*Underwriting!$I$97/Underwriting!$I$105)</f>
        <v>5.9609845219104445</v>
      </c>
      <c r="CV30" s="312">
        <f>IF(Underwriting!$I$97=0,"",$DA$11)</f>
        <v>6.7008196721311475E-2</v>
      </c>
      <c r="CW30" s="309">
        <f t="shared" si="9"/>
        <v>88.95903506704272</v>
      </c>
      <c r="CX30" s="311">
        <f>IF(Underwriting!$I$97=0,'Tenant Report'!$O$38,0)</f>
        <v>0</v>
      </c>
      <c r="CY30" s="312" t="str">
        <f t="shared" si="10"/>
        <v/>
      </c>
      <c r="CZ30" s="309">
        <f t="shared" si="11"/>
        <v>0</v>
      </c>
      <c r="DA30" s="314" t="str">
        <f t="shared" si="12"/>
        <v/>
      </c>
      <c r="DB30" s="309">
        <f t="shared" si="13"/>
        <v>0</v>
      </c>
      <c r="DC30" s="309">
        <f t="shared" si="14"/>
        <v>88.95903506704272</v>
      </c>
      <c r="DD30" s="979" t="str">
        <f>IF(Underwriting!$I$97&gt;0,"Model rent allocation; property-only value.","Revenue linked to Tenant Report; margin and multiple illustrative.")</f>
        <v>Model rent allocation; property-only value.</v>
      </c>
      <c r="DE30" s="937"/>
      <c r="DF30" s="937"/>
      <c r="DG30" s="937"/>
      <c r="DH30" s="937"/>
      <c r="DI30" s="937"/>
      <c r="DJ30" s="937"/>
      <c r="DK30" s="937"/>
      <c r="DL30" s="937"/>
      <c r="DN30" s="309">
        <f>MIN(0,N(IF($CR$17=$CQ$62,Underwriting!L244,Underwriting!L245)))*(DEBT!$M$37/DEBT!$M$38)+MAX(0,0)*DEBT!$N$31</f>
        <v>-92431395.275987744</v>
      </c>
      <c r="DO30" s="309">
        <f>MIN(0,N(IF($CR$17=$CQ$62,Underwriting!M244,Underwriting!M245)))*(DEBT!$M$37/DEBT!$M$38)+MAX(0,0)*DEBT!$N$31</f>
        <v>0</v>
      </c>
      <c r="DP30" s="309">
        <f>MIN(0,N(IF($CR$17=$CQ$62,Underwriting!N244,Underwriting!N245)))*(DEBT!$M$37/DEBT!$M$38)+MAX(0,0)*DEBT!$N$31</f>
        <v>0</v>
      </c>
      <c r="DQ30" s="309">
        <f>MIN(0,N(IF($CR$17=$CQ$62,Underwriting!O244,Underwriting!O245)))*(DEBT!$M$37/DEBT!$M$38)+MAX(0,0)*DEBT!$N$31</f>
        <v>0</v>
      </c>
      <c r="DR30" s="309">
        <f>MIN(0,N(IF($CR$17=$CQ$62,Underwriting!P244,Underwriting!P245)))*(DEBT!$M$37/DEBT!$M$38)+MAX(0,0)*DEBT!$N$31</f>
        <v>0</v>
      </c>
      <c r="DS30" s="309">
        <f>MIN(0,N(IF($CR$17=$CQ$62,Underwriting!Q244,Underwriting!Q245)))*(DEBT!$M$37/DEBT!$M$38)+MAX(0,0)*DEBT!$N$31</f>
        <v>0</v>
      </c>
      <c r="DT30" s="309">
        <f>MIN(0,N(IF($CR$17=$CQ$62,Underwriting!R244,Underwriting!R245)))*(DEBT!$M$37/DEBT!$M$38)+MAX(0,N(IF($CR$17=$CQ$62,Underwriting!L244,Underwriting!L245)))*DEBT!$N$31</f>
        <v>0</v>
      </c>
      <c r="DU30" s="309">
        <f>MIN(0,N(IF($CR$17=$CQ$62,Underwriting!S244,Underwriting!S245)))*(DEBT!$M$37/DEBT!$M$38)+MAX(0,N(IF($CR$17=$CQ$62,Underwriting!M244,Underwriting!M245)))*DEBT!$N$31</f>
        <v>56449.815176053999</v>
      </c>
      <c r="DV30" s="309">
        <f>MIN(0,N(IF($CR$17=$CQ$62,Underwriting!T244,Underwriting!T245)))*(DEBT!$M$37/DEBT!$M$38)+MAX(0,N(IF($CR$17=$CQ$62,Underwriting!N244,Underwriting!N245)))*DEBT!$N$31</f>
        <v>0</v>
      </c>
      <c r="DW30" s="309">
        <f>MIN(0,N(IF($CR$17=$CQ$62,Underwriting!U244,Underwriting!U245)))*(DEBT!$M$37/DEBT!$M$38)+MAX(0,N(IF($CR$17=$CQ$62,Underwriting!O244,Underwriting!O245)))*DEBT!$N$31</f>
        <v>42146.782584687142</v>
      </c>
      <c r="DX30" s="309">
        <f>MIN(0,N(IF($CR$17=$CQ$62,Underwriting!V244,Underwriting!V245)))*(DEBT!$M$37/DEBT!$M$38)+MAX(0,N(IF($CR$17=$CQ$62,Underwriting!P244,Underwriting!P245)))*DEBT!$N$31</f>
        <v>59134.074309793119</v>
      </c>
      <c r="DY30" s="309">
        <f>MIN(0,N(IF($CR$17=$CQ$62,Underwriting!W244,Underwriting!W245)))*(DEBT!$M$37/DEBT!$M$38)+MAX(0,N(IF($CR$17=$CQ$62,Underwriting!Q244,Underwriting!Q245)))*DEBT!$N$31</f>
        <v>80478.100319966674</v>
      </c>
      <c r="DZ30" s="309">
        <f>MIN(0,N(IF($CR$17=$CQ$62,Underwriting!X244,Underwriting!X245)))*(DEBT!$M$37/DEBT!$M$38)+MAX(0,N(IF($CR$17=$CQ$62,Underwriting!R244,Underwriting!R245)))*DEBT!$N$31</f>
        <v>106168.97187754996</v>
      </c>
      <c r="EA30" s="309">
        <f>MIN(0,N(IF($CR$17=$CQ$62,Underwriting!Y244,Underwriting!Y245)))*(DEBT!$M$37/DEBT!$M$38)+MAX(0,N(IF($CR$17=$CQ$62,Underwriting!S244,Underwriting!S245)))*DEBT!$N$31</f>
        <v>-2203070.6065496574</v>
      </c>
      <c r="EB30" s="309">
        <f>MIN(0,N(IF($CR$17=$CQ$62,Underwriting!Z244,Underwriting!Z245)))*(DEBT!$M$37/DEBT!$M$38)+MAX(0,N(IF($CR$17=$CQ$62,Underwriting!T244,Underwriting!T245)))*DEBT!$N$31</f>
        <v>-10744248.809837999</v>
      </c>
      <c r="EC30" s="309">
        <f>MIN(0,N(IF($CR$17=$CQ$62,Underwriting!AA244,Underwriting!AA245)))*(DEBT!$M$37/DEBT!$M$38)+MAX(0,N(IF($CR$17=$CQ$62,Underwriting!U244,Underwriting!U245)))*DEBT!$N$31</f>
        <v>-11778540.724049602</v>
      </c>
      <c r="ED30" s="309">
        <f>MIN(0,N(IF($CR$17=$CQ$62,Underwriting!AB244,Underwriting!AB245)))*(DEBT!$M$37/DEBT!$M$38)+MAX(0,N(IF($CR$17=$CQ$62,Underwriting!V244,Underwriting!V245)))*DEBT!$N$31</f>
        <v>-12589025.194696127</v>
      </c>
      <c r="EE30" s="309">
        <f>MIN(0,N(IF($CR$17=$CQ$62,Underwriting!AC244,Underwriting!AC245)))*(DEBT!$M$37/DEBT!$M$38)+MAX(0,N(IF($CR$17=$CQ$62,Underwriting!W244,Underwriting!W245)))*DEBT!$N$31</f>
        <v>-13258056.761925695</v>
      </c>
      <c r="EF30" s="309">
        <f>MIN(0,N(IF($CR$17=$CQ$62,Underwriting!AD244,Underwriting!AD245)))*(DEBT!$M$37/DEBT!$M$38)+MAX(0,N(IF($CR$17=$CQ$62,Underwriting!X244,Underwriting!X245)))*DEBT!$N$31</f>
        <v>-13614261.068889357</v>
      </c>
      <c r="EG30" s="309">
        <f>MIN(0,N(IF($CR$17=$CQ$62,Underwriting!AE244,Underwriting!AE245)))*(DEBT!$M$37/DEBT!$M$38)+MAX(0,N(IF($CR$17=$CQ$62,Underwriting!Y244,Underwriting!Y245)))*DEBT!$N$31</f>
        <v>-13915904.847055722</v>
      </c>
      <c r="EH30" s="309">
        <f>MIN(0,N(IF($CR$17=$CQ$62,Underwriting!AF244,Underwriting!AF245)))*(DEBT!$M$37/DEBT!$M$38)+MAX(0,N(IF($CR$17=$CQ$62,Underwriting!Z244,Underwriting!Z245)))*DEBT!$N$31</f>
        <v>-13552970.653753586</v>
      </c>
      <c r="EI30" s="309">
        <f>MIN(0,N(IF($CR$17=$CQ$62,Underwriting!AG244,Underwriting!AG245)))*(DEBT!$M$37/DEBT!$M$38)+MAX(0,N(IF($CR$17=$CQ$62,Underwriting!AA244,Underwriting!AA245)))*DEBT!$N$31</f>
        <v>-12778086.18871524</v>
      </c>
      <c r="EJ30" s="309">
        <f>MIN(0,N(IF($CR$17=$CQ$62,Underwriting!AH244,Underwriting!AH245)))*(DEBT!$M$37/DEBT!$M$38)+MAX(0,N(IF($CR$17=$CQ$62,Underwriting!AB244,Underwriting!AB245)))*DEBT!$N$31</f>
        <v>-10898488.741342902</v>
      </c>
      <c r="EK30" s="309">
        <f>MIN(0,N(IF($CR$17=$CQ$62,Underwriting!AI244,Underwriting!AI245)))*(DEBT!$M$37/DEBT!$M$38)+MAX(0,N(IF($CR$17=$CQ$62,Underwriting!AC244,Underwriting!AC245)))*DEBT!$N$31</f>
        <v>-9725947.1651802044</v>
      </c>
      <c r="EL30" s="309">
        <f>MIN(0,N(IF($CR$17=$CQ$62,Underwriting!AJ244,Underwriting!AJ245)))*(DEBT!$M$37/DEBT!$M$38)+MAX(0,N(IF($CR$17=$CQ$62,Underwriting!AD244,Underwriting!AD245)))*DEBT!$N$31</f>
        <v>-8474530.9605622254</v>
      </c>
      <c r="EM30" s="309">
        <f>MIN(0,N(IF($CR$17=$CQ$62,Underwriting!AK244,Underwriting!AK245)))*(DEBT!$M$37/DEBT!$M$38)+MAX(0,N(IF($CR$17=$CQ$62,Underwriting!AE244,Underwriting!AE245)))*DEBT!$N$31</f>
        <v>-6958530.052976205</v>
      </c>
      <c r="EN30" s="309">
        <f>MIN(0,N(IF($CR$17=$CQ$62,Underwriting!AL244,Underwriting!AL245)))*(DEBT!$M$37/DEBT!$M$38)+MAX(0,N(IF($CR$17=$CQ$62,Underwriting!AF244,Underwriting!AF245)))*DEBT!$N$31</f>
        <v>-5767051.8171075834</v>
      </c>
      <c r="EO30" s="309">
        <f>MIN(0,N(IF($CR$17=$CQ$62,Underwriting!AM244,Underwriting!AM245)))*(DEBT!$M$37/DEBT!$M$38)+MAX(0,N(IF($CR$17=$CQ$62,Underwriting!AG244,Underwriting!AG245)))*DEBT!$N$31</f>
        <v>-4686578.5291762929</v>
      </c>
      <c r="EP30" s="309">
        <f>MIN(0,N(IF($CR$17=$CQ$62,Underwriting!AN244,Underwriting!AN245)))*(DEBT!$M$37/DEBT!$M$38)+MAX(0,N(IF($CR$17=$CQ$62,Underwriting!AH244,Underwriting!AH245)))*DEBT!$N$31</f>
        <v>-3537163.3798243408</v>
      </c>
      <c r="EQ30" s="309">
        <f>MIN(0,N(IF($CR$17=$CQ$62,Underwriting!AO244,Underwriting!AO245)))*(DEBT!$M$37/DEBT!$M$38)+MAX(0,N(IF($CR$17=$CQ$62,Underwriting!AI244,Underwriting!AI245)))*DEBT!$N$31</f>
        <v>-2753972.2036462449</v>
      </c>
      <c r="ER30" s="309">
        <f>MIN(0,N(IF($CR$17=$CQ$62,Underwriting!AP244,Underwriting!AP245)))*(DEBT!$M$37/DEBT!$M$38)+MAX(0,N(IF($CR$17=$CQ$62,Underwriting!AJ244,Underwriting!AJ245)))*DEBT!$N$31</f>
        <v>-3207394.7267266293</v>
      </c>
      <c r="ES30" s="309">
        <f>MIN(0,N(IF($CR$17=$CQ$62,Underwriting!AQ244,Underwriting!AQ245)))*(DEBT!$M$37/DEBT!$M$38)+MAX(0,N(IF($CR$17=$CQ$62,Underwriting!AK244,Underwriting!AK245)))*DEBT!$N$31</f>
        <v>-3141165.1671423302</v>
      </c>
      <c r="ET30" s="309">
        <f>MIN(0,N(IF($CR$17=$CQ$62,Underwriting!AR244,Underwriting!AR245)))*(DEBT!$M$37/DEBT!$M$38)+MAX(0,N(IF($CR$17=$CQ$62,Underwriting!AL244,Underwriting!AL245)))*DEBT!$N$31</f>
        <v>-2344123.8162230239</v>
      </c>
      <c r="EU30" s="309">
        <f>MIN(0,N(IF($CR$17=$CQ$62,Underwriting!AS244,Underwriting!AS245)))*(DEBT!$M$37/DEBT!$M$38)+MAX(0,N(IF($CR$17=$CQ$62,Underwriting!AM244,Underwriting!AM245)))*DEBT!$N$31</f>
        <v>-1761498.9678693013</v>
      </c>
      <c r="EV30" s="309">
        <f>MIN(0,N(IF($CR$17=$CQ$62,Underwriting!AT244,Underwriting!AT245)))*(DEBT!$M$37/DEBT!$M$38)+MAX(0,N(IF($CR$17=$CQ$62,Underwriting!AN244,Underwriting!AN245)))*DEBT!$N$31</f>
        <v>-1310965.2968037433</v>
      </c>
      <c r="EW30" s="309">
        <f>MIN(0,N(IF($CR$17=$CQ$62,Underwriting!AU244,Underwriting!AU245)))*(DEBT!$M$37/DEBT!$M$38)+MAX(0,N(IF($CR$17=$CQ$62,Underwriting!AO244,Underwriting!AO245)))*DEBT!$N$31</f>
        <v>-1031353.9905312143</v>
      </c>
      <c r="EX30" s="309">
        <f>MIN(0,N(IF($CR$17=$CQ$62,Underwriting!AV244,Underwriting!AV245)))*(DEBT!$M$37/DEBT!$M$38)+MAX(0,N(IF($CR$17=$CQ$62,Underwriting!AP244,Underwriting!AP245)))*DEBT!$N$31</f>
        <v>-848608.00948814349</v>
      </c>
      <c r="EY30" s="309">
        <f>MIN(0,N(IF($CR$17=$CQ$62,Underwriting!AW244,Underwriting!AW245)))*(DEBT!$M$37/DEBT!$M$38)+MAX(0,N(IF($CR$17=$CQ$62,Underwriting!AQ244,Underwriting!AQ245)))*DEBT!$N$31</f>
        <v>-43397.228578485621</v>
      </c>
      <c r="EZ30" s="309">
        <f>MIN(0,N(IF($CR$17=$CQ$62,Underwriting!AX244,Underwriting!AX245)))*(DEBT!$M$37/DEBT!$M$38)+MAX(0,N(IF($CR$17=$CQ$62,Underwriting!AR244,Underwriting!AR245)))*DEBT!$N$31</f>
        <v>0</v>
      </c>
      <c r="FA30" s="309">
        <f>MIN(0,N(IF($CR$17=$CQ$62,Underwriting!AY244,Underwriting!AY245)))*(DEBT!$M$37/DEBT!$M$38)+MAX(0,N(IF($CR$17=$CQ$62,Underwriting!AS244,Underwriting!AS245)))*DEBT!$N$31</f>
        <v>0</v>
      </c>
      <c r="FB30" s="309">
        <f>MIN(0,N(IF($CR$17=$CQ$62,Underwriting!AZ244,Underwriting!AZ245)))*(DEBT!$M$37/DEBT!$M$38)+MAX(0,N(IF($CR$17=$CQ$62,Underwriting!AT244,Underwriting!AT245)))*DEBT!$N$31</f>
        <v>0</v>
      </c>
      <c r="FC30" s="309">
        <f>MIN(0,N(IF($CR$17=$CQ$62,Underwriting!BA244,Underwriting!BA245)))*(DEBT!$M$37/DEBT!$M$38)+MAX(0,N(IF($CR$17=$CQ$62,Underwriting!AU244,Underwriting!AU245)))*DEBT!$N$31</f>
        <v>0</v>
      </c>
      <c r="FD30" s="309">
        <f>MIN(0,N(IF($CR$17=$CQ$62,Underwriting!BB244,Underwriting!BB245)))*(DEBT!$M$37/DEBT!$M$38)+MAX(0,N(IF($CR$17=$CQ$62,Underwriting!AV244,Underwriting!AV245)))*DEBT!$N$31</f>
        <v>0</v>
      </c>
      <c r="FE30" s="309">
        <f>MIN(0,N(IF($CR$17=$CQ$62,Underwriting!BC244,Underwriting!BC245)))*(DEBT!$M$37/DEBT!$M$38)+MAX(0,N(IF($CR$17=$CQ$62,Underwriting!AW244,Underwriting!AW245)))*DEBT!$N$31</f>
        <v>0</v>
      </c>
      <c r="FF30">
        <f>MIN(0,N(IF($CR$17=$CQ$62,Underwriting!BD244,Underwriting!BD245)))*(DEBT!$M$37/DEBT!$M$38)+MAX(0,N(IF($CR$17=$CQ$62,Underwriting!AX244,Underwriting!AX245)))*DEBT!$N$31</f>
        <v>131384.54441175144</v>
      </c>
      <c r="FG30">
        <f>MIN(0,N(IF($CR$17=$CQ$62,Underwriting!BE244,Underwriting!BE245)))*(DEBT!$M$37/DEBT!$M$38)+MAX(0,N(IF($CR$17=$CQ$62,Underwriting!AY244,Underwriting!AY245)))*DEBT!$N$31</f>
        <v>291429.4122351993</v>
      </c>
      <c r="FH30">
        <f>MIN(0,N(IF($CR$17=$CQ$62,Underwriting!BF244,Underwriting!BF245)))*(DEBT!$M$37/DEBT!$M$38)+MAX(0,N(IF($CR$17=$CQ$62,Underwriting!AZ244,Underwriting!AZ245)))*DEBT!$N$31</f>
        <v>457904.1088637354</v>
      </c>
      <c r="FI30">
        <f>MIN(0,N(IF($CR$17=$CQ$62,Underwriting!BG244,Underwriting!BG245)))*(DEBT!$M$37/DEBT!$M$38)+MAX(0,N(IF($CR$17=$CQ$62,Underwriting!BA244,Underwriting!BA245)))*DEBT!$N$31</f>
        <v>618412.80151730624</v>
      </c>
      <c r="FJ30">
        <f>MIN(0,N(IF($CR$17=$CQ$62,Underwriting!BH244,Underwriting!BH245)))*(DEBT!$M$37/DEBT!$M$38)+MAX(0,N(IF($CR$17=$CQ$62,Underwriting!BB244,Underwriting!BB245)))*DEBT!$N$31</f>
        <v>778888.91126368591</v>
      </c>
      <c r="FK30">
        <f>MIN(0,N(IF($CR$17=$CQ$62,Underwriting!BI244,Underwriting!BI245)))*(DEBT!$M$37/DEBT!$M$38)+MAX(0,N(IF($CR$17=$CQ$62,Underwriting!BC244,Underwriting!BC245)))*DEBT!$N$31</f>
        <v>943765.59494545928</v>
      </c>
      <c r="FL30">
        <f>MIN(0,N(IF($CR$17=$CQ$62,Underwriting!BJ244,Underwriting!BJ245)))*(DEBT!$M$37/DEBT!$M$38)+MAX(0,N(IF($CR$17=$CQ$62,Underwriting!BD244,Underwriting!BD245)))*DEBT!$N$31</f>
        <v>1104176.0084492217</v>
      </c>
      <c r="FM30">
        <f>MIN(0,N(IF($CR$17=$CQ$62,Underwriting!BK244,Underwriting!BK245)))*(DEBT!$M$37/DEBT!$M$38)+MAX(0,N(IF($CR$17=$CQ$62,Underwriting!BE244,Underwriting!BE245)))*DEBT!$N$31</f>
        <v>1264553.306700398</v>
      </c>
      <c r="FN30">
        <f>MIN(0,N(IF($CR$17=$CQ$62,Underwriting!BL244,Underwriting!BL245)))*(DEBT!$M$37/DEBT!$M$38)+MAX(0,N(IF($CR$17=$CQ$62,Underwriting!BF244,Underwriting!BF245)))*DEBT!$N$31</f>
        <v>1445876.3103247026</v>
      </c>
      <c r="FO30">
        <f>MIN(0,N(IF($CR$17=$CQ$62,Underwriting!BM244,Underwriting!BM245)))*(DEBT!$M$37/DEBT!$M$38)+MAX(0,N(IF($CR$17=$CQ$62,Underwriting!BG244,Underwriting!BG245)))*DEBT!$N$31</f>
        <v>1606186.8389762409</v>
      </c>
      <c r="FP30">
        <f>MIN(0,N(IF($CR$17=$CQ$62,Underwriting!BN244,Underwriting!BN245)))*(DEBT!$M$37/DEBT!$M$38)+MAX(0,N(IF($CR$17=$CQ$62,Underwriting!BH244,Underwriting!BH245)))*DEBT!$N$31</f>
        <v>1766463.7113322422</v>
      </c>
      <c r="FQ30">
        <f>MIN(0,N(IF($CR$17=$CQ$62,Underwriting!BO244,Underwriting!BO245)))*(DEBT!$M$37/DEBT!$M$38)+MAX(0,N(IF($CR$17=$CQ$62,Underwriting!BI244,Underwriting!BI245)))*DEBT!$N$31</f>
        <v>1983422.2813334335</v>
      </c>
      <c r="FR30">
        <f>MIN(0,N(IF($CR$17=$CQ$62,Underwriting!BP244,Underwriting!BP245)))*(DEBT!$M$37/DEBT!$M$38)+MAX(0,N(IF($CR$17=$CQ$62,Underwriting!BJ244,Underwriting!BJ245)))*DEBT!$N$31</f>
        <v>1977107.2945994325</v>
      </c>
      <c r="FS30">
        <f>MIN(0,N(IF($CR$17=$CQ$62,Underwriting!BQ244,Underwriting!BQ245)))*(DEBT!$M$37/DEBT!$M$38)+MAX(0,N(IF($CR$17=$CQ$62,Underwriting!BK244,Underwriting!BK245)))*DEBT!$N$31</f>
        <v>1970758.1016872891</v>
      </c>
      <c r="FT30">
        <f>MIN(0,N(IF($CR$17=$CQ$62,Underwriting!BR244,Underwriting!BR245)))*(DEBT!$M$37/DEBT!$M$38)+MAX(0,N(IF($CR$17=$CQ$62,Underwriting!BL244,Underwriting!BL245)))*DEBT!$N$31</f>
        <v>1969421.8673135387</v>
      </c>
      <c r="FU30">
        <f>MIN(0,N(IF($CR$17=$CQ$62,Underwriting!BS244,Underwriting!BS245)))*(DEBT!$M$37/DEBT!$M$38)+MAX(0,N(IF($CR$17=$CQ$62,Underwriting!BM244,Underwriting!BM245)))*DEBT!$N$31</f>
        <v>1963003.7051910968</v>
      </c>
      <c r="FV30">
        <f>MIN(0,N(IF($CR$17=$CQ$62,Underwriting!BT244,Underwriting!BT245)))*(DEBT!$M$37/DEBT!$M$38)+MAX(0,N(IF($CR$17=$CQ$62,Underwriting!BN244,Underwriting!BN245)))*DEBT!$N$31</f>
        <v>1956550.778023825</v>
      </c>
      <c r="FW30">
        <f>MIN(0,N(IF($CR$17=$CQ$62,Underwriting!BU244,Underwriting!BU245)))*(DEBT!$M$37/DEBT!$M$38)+MAX(0,N(IF($CR$17=$CQ$62,Underwriting!BO244,Underwriting!BO245)))*DEBT!$N$31</f>
        <v>1954651.3975010638</v>
      </c>
      <c r="FX30">
        <f>MIN(0,0)*(DEBT!$M$37/DEBT!$M$38)+MAX(0,N(IF($CR$17=$CQ$62,Underwriting!BP244,Underwriting!BP245)))*DEBT!$N$31</f>
        <v>1948128.3742921376</v>
      </c>
      <c r="FY30">
        <f>MIN(0,0)*(DEBT!$M$37/DEBT!$M$38)+MAX(0,N(IF($CR$17=$CQ$62,Underwriting!BQ244,Underwriting!BQ245)))*DEBT!$N$31</f>
        <v>1941570.01804083</v>
      </c>
      <c r="FZ30">
        <f>MIN(0,0)*(DEBT!$M$37/DEBT!$M$38)+MAX(0,N(IF($CR$17=$CQ$62,Underwriting!BR244,Underwriting!BR245)))*DEBT!$N$31</f>
        <v>1956689.4023598281</v>
      </c>
      <c r="GA30">
        <f>MIN(0,0)*(DEBT!$M$37/DEBT!$M$38)+MAX(0,N(IF($CR$17=$CQ$62,Underwriting!BS244,Underwriting!BS245)))*DEBT!$N$31</f>
        <v>1950059.8048251369</v>
      </c>
      <c r="GB30">
        <f>MIN(0,0)*(DEBT!$M$37/DEBT!$M$38)+MAX(0,N(IF($CR$17=$CQ$62,Underwriting!BT244,Underwriting!BT245)))*DEBT!$N$31</f>
        <v>1943394.2969704659</v>
      </c>
      <c r="GC30">
        <f>MIN(0,0)*(DEBT!$M$37/DEBT!$M$38)+MAX(0,N(IF($CR$17=$CQ$62,Underwriting!BU244,Underwriting!BU245)))*DEBT!$N$31</f>
        <v>380180807.63725042</v>
      </c>
      <c r="GE30" s="325" t="s">
        <v>893</v>
      </c>
      <c r="GF30" s="325" t="s">
        <v>894</v>
      </c>
      <c r="GG30" s="325"/>
      <c r="GH30" s="325"/>
      <c r="GI30" s="325" t="s">
        <v>895</v>
      </c>
    </row>
    <row r="31" spans="1:191" ht="34" customHeight="1" x14ac:dyDescent="0.35">
      <c r="A31" s="307"/>
      <c r="B31" s="671" t="str">
        <f>'FUNDING &amp; CAP TABLE'!$A$13</f>
        <v>Andrew Norton &amp; others</v>
      </c>
      <c r="C31" s="671" t="str">
        <f>'FUNDING &amp; CAP TABLE'!$H$13</f>
        <v>Mapped — provisional</v>
      </c>
      <c r="D31" s="859">
        <f>'FUNDING &amp; CAP TABLE'!$D$13</f>
        <v>0.83</v>
      </c>
      <c r="E31" s="860">
        <f>0</f>
        <v>0</v>
      </c>
      <c r="F31" s="860">
        <f>0</f>
        <v>0</v>
      </c>
      <c r="G31" s="860">
        <f t="shared" si="2"/>
        <v>0.83</v>
      </c>
      <c r="H31" s="861">
        <f>'FUNDING &amp; CAP TABLE'!$F$13</f>
        <v>3.8485986000609354E-3</v>
      </c>
      <c r="I31" s="860">
        <f t="shared" si="3"/>
        <v>1.4801823474846243</v>
      </c>
      <c r="J31" s="860">
        <f t="shared" si="4"/>
        <v>1.6581742251368436</v>
      </c>
      <c r="K31" s="860">
        <f t="shared" si="5"/>
        <v>1.8648706752590838</v>
      </c>
      <c r="L31" s="860">
        <f t="shared" si="6"/>
        <v>0.82817422513684369</v>
      </c>
      <c r="M31" s="862">
        <f t="shared" si="7"/>
        <v>1.9978002712492093</v>
      </c>
      <c r="N31" s="863">
        <f t="shared" si="8"/>
        <v>0.14835851788520818</v>
      </c>
      <c r="O31" s="677" t="s">
        <v>878</v>
      </c>
      <c r="P31" s="677" t="s">
        <v>896</v>
      </c>
      <c r="CQ31" s="307" t="str">
        <f>Underwriting!$B$98</f>
        <v>Car Park</v>
      </c>
      <c r="CR31" s="308" t="str">
        <f>IF(Underwriting!$I$98&gt;0,"NOI / cap rate",IF(AND('Tenant Report'!$O$39&gt;0,$CR$10&lt;&gt;"",$CR$11&lt;&gt;""),"EBITDA multiple","Operating case — not valued"))</f>
        <v>Operating case — not valued</v>
      </c>
      <c r="CS31" s="311">
        <f>Underwriting!$E$98</f>
        <v>19500.38</v>
      </c>
      <c r="CT31" s="311">
        <f>Underwriting!$I$98/1000000</f>
        <v>0</v>
      </c>
      <c r="CU31" s="309">
        <f>IF(Underwriting!$I$98=0,0,$DA$10*Underwriting!$I$98/Underwriting!$I$105)</f>
        <v>0</v>
      </c>
      <c r="CV31" s="312" t="str">
        <f>IF(Underwriting!$I$98=0,"",$DA$11)</f>
        <v/>
      </c>
      <c r="CW31" s="309">
        <f t="shared" si="9"/>
        <v>0</v>
      </c>
      <c r="CX31" s="311">
        <f>IF(Underwriting!$I$98=0,'Tenant Report'!$O$39,0)</f>
        <v>5.9670367701540696</v>
      </c>
      <c r="CY31" s="312" t="str">
        <f t="shared" si="10"/>
        <v/>
      </c>
      <c r="CZ31" s="309">
        <f t="shared" si="11"/>
        <v>0</v>
      </c>
      <c r="DA31" s="314" t="str">
        <f t="shared" si="12"/>
        <v/>
      </c>
      <c r="DB31" s="309">
        <f t="shared" si="13"/>
        <v>0</v>
      </c>
      <c r="DC31" s="309">
        <f t="shared" si="14"/>
        <v>0</v>
      </c>
      <c r="DD31" s="979" t="str">
        <f>IF(Underwriting!$I$98&gt;0,"Model rent allocation; property-only value.","Revenue linked to Tenant Report; margin and multiple illustrative.")</f>
        <v>Revenue linked to Tenant Report; margin and multiple illustrative.</v>
      </c>
      <c r="DE31" s="937"/>
      <c r="DF31" s="937"/>
      <c r="DG31" s="937"/>
      <c r="DH31" s="937"/>
      <c r="DI31" s="937"/>
      <c r="DJ31" s="937"/>
      <c r="DK31" s="937"/>
      <c r="DL31" s="937"/>
      <c r="DN31" s="309">
        <f>N(IF($CR$17=$CQ$62,Underwriting!L244,Underwriting!L245))</f>
        <v>-76389582.872717112</v>
      </c>
      <c r="DO31" s="309">
        <f>N(IF($CR$17=$CQ$62,Underwriting!M244,Underwriting!M245))</f>
        <v>70562.268970067496</v>
      </c>
      <c r="DP31" s="309">
        <f>N(IF($CR$17=$CQ$62,Underwriting!N244,Underwriting!N245))</f>
        <v>0</v>
      </c>
      <c r="DQ31" s="309">
        <f>N(IF($CR$17=$CQ$62,Underwriting!O244,Underwriting!O245))</f>
        <v>52683.47823085892</v>
      </c>
      <c r="DR31" s="309">
        <f>N(IF($CR$17=$CQ$62,Underwriting!P244,Underwriting!P245))</f>
        <v>73917.592887241393</v>
      </c>
      <c r="DS31" s="309">
        <f>N(IF($CR$17=$CQ$62,Underwriting!Q244,Underwriting!Q245))</f>
        <v>100597.62539995834</v>
      </c>
      <c r="DT31" s="309">
        <f>N(IF($CR$17=$CQ$62,Underwriting!R244,Underwriting!R245))</f>
        <v>132711.21484693745</v>
      </c>
      <c r="DU31" s="309">
        <f>N(IF($CR$17=$CQ$62,Underwriting!S244,Underwriting!S245))</f>
        <v>169571.13126643002</v>
      </c>
      <c r="DV31" s="309">
        <f>N(IF($CR$17=$CQ$62,Underwriting!T244,Underwriting!T245))</f>
        <v>209638.92700129561</v>
      </c>
      <c r="DW31" s="309">
        <f>N(IF($CR$17=$CQ$62,Underwriting!U244,Underwriting!U245))</f>
        <v>250432.28312832303</v>
      </c>
      <c r="DX31" s="309">
        <f>N(IF($CR$17=$CQ$62,Underwriting!V244,Underwriting!V245))</f>
        <v>288567.01646289043</v>
      </c>
      <c r="DY31" s="309">
        <f>N(IF($CR$17=$CQ$62,Underwriting!W244,Underwriting!W245))</f>
        <v>319971.35631248169</v>
      </c>
      <c r="DZ31" s="309">
        <f>N(IF($CR$17=$CQ$62,Underwriting!X244,Underwriting!X245))</f>
        <v>340282.33397308737</v>
      </c>
      <c r="EA31" s="309">
        <f>N(IF($CR$17=$CQ$62,Underwriting!Y244,Underwriting!Y245))</f>
        <v>-1932832.6541841328</v>
      </c>
      <c r="EB31" s="309">
        <f>N(IF($CR$17=$CQ$62,Underwriting!Z244,Underwriting!Z245))</f>
        <v>-9018148.7201975472</v>
      </c>
      <c r="EC31" s="309">
        <f>N(IF($CR$17=$CQ$62,Underwriting!AA244,Underwriting!AA245))</f>
        <v>-9899906.2401258312</v>
      </c>
      <c r="ED31" s="309">
        <f>N(IF($CR$17=$CQ$62,Underwriting!AB244,Underwriting!AB245))</f>
        <v>-10594941.16352598</v>
      </c>
      <c r="EE31" s="309">
        <f>N(IF($CR$17=$CQ$62,Underwriting!AC244,Underwriting!AC245))</f>
        <v>-11168623.014029484</v>
      </c>
      <c r="EF31" s="309">
        <f>N(IF($CR$17=$CQ$62,Underwriting!AD244,Underwriting!AD245))</f>
        <v>-11476435.484353572</v>
      </c>
      <c r="EG31" s="309">
        <f>N(IF($CR$17=$CQ$62,Underwriting!AE244,Underwriting!AE245))</f>
        <v>-11500747.807484064</v>
      </c>
      <c r="EH31" s="309">
        <f>N(IF($CR$17=$CQ$62,Underwriting!AF244,Underwriting!AF245))</f>
        <v>-11200802.193184778</v>
      </c>
      <c r="EI31" s="309">
        <f>N(IF($CR$17=$CQ$62,Underwriting!AG244,Underwriting!AG245))</f>
        <v>-10560401.808855567</v>
      </c>
      <c r="EJ31" s="309">
        <f>N(IF($CR$17=$CQ$62,Underwriting!AH244,Underwriting!AH245))</f>
        <v>-9007015.4887131397</v>
      </c>
      <c r="EK31" s="309">
        <f>N(IF($CR$17=$CQ$62,Underwriting!AI244,Underwriting!AI245))</f>
        <v>-8037972.8637852902</v>
      </c>
      <c r="EL31" s="309">
        <f>N(IF($CR$17=$CQ$62,Underwriting!AJ244,Underwriting!AJ245))</f>
        <v>-7003744.5955059687</v>
      </c>
      <c r="EM31" s="309">
        <f>N(IF($CR$17=$CQ$62,Underwriting!AK244,Underwriting!AK245))</f>
        <v>-5750851.2834514072</v>
      </c>
      <c r="EN31" s="309">
        <f>N(IF($CR$17=$CQ$62,Underwriting!AL244,Underwriting!AL245))</f>
        <v>-4766158.5265351916</v>
      </c>
      <c r="EO31" s="309">
        <f>N(IF($CR$17=$CQ$62,Underwriting!AM244,Underwriting!AM245))</f>
        <v>-3873205.3960134638</v>
      </c>
      <c r="EP31" s="309">
        <f>N(IF($CR$17=$CQ$62,Underwriting!AN244,Underwriting!AN245))</f>
        <v>-2923275.520515983</v>
      </c>
      <c r="EQ31" s="309">
        <f>N(IF($CR$17=$CQ$62,Underwriting!AO244,Underwriting!AO245))</f>
        <v>-2276010.0856580529</v>
      </c>
      <c r="ER31" s="309">
        <f>N(IF($CR$17=$CQ$62,Underwriting!AP244,Underwriting!AP245))</f>
        <v>-2650739.4435757259</v>
      </c>
      <c r="ES31" s="309">
        <f>N(IF($CR$17=$CQ$62,Underwriting!AQ244,Underwriting!AQ245))</f>
        <v>-2596004.2703655614</v>
      </c>
      <c r="ET31" s="309">
        <f>N(IF($CR$17=$CQ$62,Underwriting!AR244,Underwriting!AR245))</f>
        <v>-1937292.4101016719</v>
      </c>
      <c r="EU31" s="309">
        <f>N(IF($CR$17=$CQ$62,Underwriting!AS244,Underwriting!AS245))</f>
        <v>-1455784.2709663643</v>
      </c>
      <c r="EV31" s="309">
        <f>N(IF($CR$17=$CQ$62,Underwriting!AT244,Underwriting!AT245))</f>
        <v>-1083442.3940526801</v>
      </c>
      <c r="EW31" s="309">
        <f>N(IF($CR$17=$CQ$62,Underwriting!AU244,Underwriting!AU245))</f>
        <v>-852358.66986050736</v>
      </c>
      <c r="EX31" s="309">
        <f>N(IF($CR$17=$CQ$62,Underwriting!AV244,Underwriting!AV245))</f>
        <v>-701328.93346127542</v>
      </c>
      <c r="EY31" s="309">
        <f>N(IF($CR$17=$CQ$62,Underwriting!AW244,Underwriting!AW245))</f>
        <v>-35865.47816403769</v>
      </c>
      <c r="EZ31" s="309">
        <f>N(IF($CR$17=$CQ$62,Underwriting!AX244,Underwriting!AX245))</f>
        <v>164230.6805146893</v>
      </c>
      <c r="FA31" s="309">
        <f>N(IF($CR$17=$CQ$62,Underwriting!AY244,Underwriting!AY245))</f>
        <v>364286.76529399911</v>
      </c>
      <c r="FB31" s="309">
        <f>N(IF($CR$17=$CQ$62,Underwriting!AZ244,Underwriting!AZ245))</f>
        <v>572380.13607966923</v>
      </c>
      <c r="FC31" s="309">
        <f>N(IF($CR$17=$CQ$62,Underwriting!BA244,Underwriting!BA245))</f>
        <v>773016.00189663284</v>
      </c>
      <c r="FD31" s="309">
        <f>N(IF($CR$17=$CQ$62,Underwriting!BB244,Underwriting!BB245))</f>
        <v>973611.13907960732</v>
      </c>
      <c r="FE31" s="309">
        <f>N(IF($CR$17=$CQ$62,Underwriting!BC244,Underwriting!BC245))</f>
        <v>1179706.9936818241</v>
      </c>
      <c r="FF31">
        <f>N(IF($CR$17=$CQ$62,Underwriting!BD244,Underwriting!BD245))</f>
        <v>1380220.010561527</v>
      </c>
      <c r="FG31">
        <f>N(IF($CR$17=$CQ$62,Underwriting!BE244,Underwriting!BE245))</f>
        <v>1580691.6333754973</v>
      </c>
      <c r="FH31">
        <f>N(IF($CR$17=$CQ$62,Underwriting!BF244,Underwriting!BF245))</f>
        <v>1807345.3879058782</v>
      </c>
      <c r="FI31">
        <f>N(IF($CR$17=$CQ$62,Underwriting!BG244,Underwriting!BG245))</f>
        <v>2007733.5487203011</v>
      </c>
      <c r="FJ31">
        <f>N(IF($CR$17=$CQ$62,Underwriting!BH244,Underwriting!BH245))</f>
        <v>2208079.6391653027</v>
      </c>
      <c r="FK31">
        <f>N(IF($CR$17=$CQ$62,Underwriting!BI244,Underwriting!BI245))</f>
        <v>2479277.8516667918</v>
      </c>
      <c r="FL31">
        <f>N(IF($CR$17=$CQ$62,Underwriting!BJ244,Underwriting!BJ245))</f>
        <v>2471384.1182492906</v>
      </c>
      <c r="FM31">
        <f>N(IF($CR$17=$CQ$62,Underwriting!BK244,Underwriting!BK245))</f>
        <v>2463447.6271091113</v>
      </c>
      <c r="FN31">
        <f>N(IF($CR$17=$CQ$62,Underwriting!BL244,Underwriting!BL245))</f>
        <v>2461777.3341419231</v>
      </c>
      <c r="FO31">
        <f>N(IF($CR$17=$CQ$62,Underwriting!BM244,Underwriting!BM245))</f>
        <v>2453754.6314888708</v>
      </c>
      <c r="FP31">
        <f>N(IF($CR$17=$CQ$62,Underwriting!BN244,Underwriting!BN245))</f>
        <v>2445688.4725297811</v>
      </c>
      <c r="FQ31">
        <f>N(IF($CR$17=$CQ$62,Underwriting!BO244,Underwriting!BO245))</f>
        <v>2443314.2468763296</v>
      </c>
      <c r="FR31">
        <f>N(IF($CR$17=$CQ$62,Underwriting!BP244,Underwriting!BP245))</f>
        <v>2435160.4678651718</v>
      </c>
      <c r="FS31">
        <f>N(IF($CR$17=$CQ$62,Underwriting!BQ244,Underwriting!BQ245))</f>
        <v>2426962.5225510374</v>
      </c>
      <c r="FT31">
        <f>N(IF($CR$17=$CQ$62,Underwriting!BR244,Underwriting!BR245))</f>
        <v>2445861.752949785</v>
      </c>
      <c r="FU31">
        <f>N(IF($CR$17=$CQ$62,Underwriting!BS244,Underwriting!BS245))</f>
        <v>2437574.756031421</v>
      </c>
      <c r="FV31">
        <f>N(IF($CR$17=$CQ$62,Underwriting!BT244,Underwriting!BT245))</f>
        <v>2429242.8712130822</v>
      </c>
      <c r="FW31">
        <f>N(IF($CR$17=$CQ$62,Underwriting!BU244,Underwriting!BU245))</f>
        <v>475226009.54656303</v>
      </c>
      <c r="FX31">
        <f>0</f>
        <v>0</v>
      </c>
      <c r="FY31">
        <f>0</f>
        <v>0</v>
      </c>
      <c r="FZ31">
        <f>0</f>
        <v>0</v>
      </c>
      <c r="GA31">
        <f>0</f>
        <v>0</v>
      </c>
      <c r="GB31">
        <f>0</f>
        <v>0</v>
      </c>
      <c r="GC31">
        <f>0</f>
        <v>0</v>
      </c>
      <c r="GE31" s="325" t="s">
        <v>622</v>
      </c>
      <c r="GF31" s="325" t="s">
        <v>895</v>
      </c>
      <c r="GG31" s="325"/>
      <c r="GH31" s="325"/>
      <c r="GI31" s="325" t="s">
        <v>897</v>
      </c>
    </row>
    <row r="32" spans="1:191" ht="65" x14ac:dyDescent="0.35">
      <c r="A32" s="307"/>
      <c r="B32" s="671" t="str">
        <f>'FUNDING &amp; CAP TABLE'!$A$14</f>
        <v>Australian Institutional Investors</v>
      </c>
      <c r="C32" s="671" t="str">
        <f>'FUNDING &amp; CAP TABLE'!$H$14</f>
        <v>Mapped — provisional</v>
      </c>
      <c r="D32" s="859">
        <f>'FUNDING &amp; CAP TABLE'!$D$14</f>
        <v>50</v>
      </c>
      <c r="E32" s="860">
        <f>0</f>
        <v>0</v>
      </c>
      <c r="F32" s="860">
        <f>0</f>
        <v>0</v>
      </c>
      <c r="G32" s="860">
        <f t="shared" si="2"/>
        <v>50</v>
      </c>
      <c r="H32" s="861">
        <f>'FUNDING &amp; CAP TABLE'!$F$14</f>
        <v>0.23184328916029734</v>
      </c>
      <c r="I32" s="860">
        <f t="shared" si="3"/>
        <v>89.167611294254485</v>
      </c>
      <c r="J32" s="860">
        <f t="shared" si="4"/>
        <v>99.890013562460467</v>
      </c>
      <c r="K32" s="860">
        <f t="shared" si="5"/>
        <v>112.34160694331831</v>
      </c>
      <c r="L32" s="860">
        <f t="shared" si="6"/>
        <v>49.890013562460467</v>
      </c>
      <c r="M32" s="862">
        <f t="shared" si="7"/>
        <v>1.9978002712492093</v>
      </c>
      <c r="N32" s="863">
        <f t="shared" si="8"/>
        <v>0.14835851788520818</v>
      </c>
      <c r="O32" s="677" t="s">
        <v>878</v>
      </c>
      <c r="P32" s="677" t="s">
        <v>898</v>
      </c>
      <c r="CQ32" s="307" t="str">
        <f>Underwriting!$B$99</f>
        <v>Snowtunnel</v>
      </c>
      <c r="CR32" s="308" t="str">
        <f>IF(Underwriting!$I$99&gt;0,"NOI / cap rate",IF(AND('Tenant Report'!$O$40&gt;0,$CR$10&lt;&gt;"",$CR$11&lt;&gt;""),"EBITDA multiple","Operating case — not valued"))</f>
        <v>NOI / cap rate</v>
      </c>
      <c r="CS32" s="311">
        <f>Underwriting!$E$99</f>
        <v>3800</v>
      </c>
      <c r="CT32" s="311">
        <f>Underwriting!$I$99/1000000</f>
        <v>1.9</v>
      </c>
      <c r="CU32" s="309">
        <f>IF(Underwriting!$I$99=0,0,$DA$10*Underwriting!$I$99/Underwriting!$I$105)</f>
        <v>5.6629352958149219</v>
      </c>
      <c r="CV32" s="312">
        <f>IF(Underwriting!$I$99=0,"",$DA$11)</f>
        <v>6.7008196721311475E-2</v>
      </c>
      <c r="CW32" s="309">
        <f t="shared" si="9"/>
        <v>84.511083313690577</v>
      </c>
      <c r="CX32" s="311">
        <f>IF(Underwriting!$I$99=0,'Tenant Report'!$O$40,0)</f>
        <v>0</v>
      </c>
      <c r="CY32" s="312" t="str">
        <f t="shared" si="10"/>
        <v/>
      </c>
      <c r="CZ32" s="309">
        <f t="shared" si="11"/>
        <v>0</v>
      </c>
      <c r="DA32" s="314" t="str">
        <f t="shared" si="12"/>
        <v/>
      </c>
      <c r="DB32" s="309">
        <f t="shared" si="13"/>
        <v>0</v>
      </c>
      <c r="DC32" s="309">
        <f t="shared" si="14"/>
        <v>84.511083313690577</v>
      </c>
      <c r="DD32" s="979" t="str">
        <f>IF(Underwriting!$I$99&gt;0,"Model rent allocation; property-only value.","Revenue linked to Tenant Report; margin and multiple illustrative.")</f>
        <v>Model rent allocation; property-only value.</v>
      </c>
      <c r="DE32" s="937"/>
      <c r="DF32" s="937"/>
      <c r="DG32" s="937"/>
      <c r="DH32" s="937"/>
      <c r="DI32" s="937"/>
      <c r="DJ32" s="937"/>
      <c r="DK32" s="937"/>
      <c r="DL32" s="937"/>
      <c r="DN32" s="309">
        <f>MIN(0,N(IF($CR$17=$CQ$62,Underwriting!L244,Underwriting!L245)))*(DEBT!$M$39/DEBT!$M$38)+MAX(0,N(IF($CR$17=$CQ$62,Underwriting!L244,Underwriting!L245)))*DEBT!$N$33</f>
        <v>-68941598.542627186</v>
      </c>
      <c r="DO32" s="309">
        <f>MIN(0,N(IF($CR$17=$CQ$62,Underwriting!M244,Underwriting!M245)))*(DEBT!$M$39/DEBT!$M$38)+MAX(0,N(IF($CR$17=$CQ$62,Underwriting!M244,Underwriting!M245)))*DEBT!$N$33</f>
        <v>74090.38241857088</v>
      </c>
      <c r="DP32" s="309">
        <f>MIN(0,N(IF($CR$17=$CQ$62,Underwriting!N244,Underwriting!N245)))*(DEBT!$M$39/DEBT!$M$38)+MAX(0,N(IF($CR$17=$CQ$62,Underwriting!N244,Underwriting!N245)))*DEBT!$N$33</f>
        <v>0</v>
      </c>
      <c r="DQ32" s="309">
        <f>MIN(0,N(IF($CR$17=$CQ$62,Underwriting!O244,Underwriting!O245)))*(DEBT!$M$39/DEBT!$M$38)+MAX(0,N(IF($CR$17=$CQ$62,Underwriting!O244,Underwriting!O245)))*DEBT!$N$33</f>
        <v>55317.652142401872</v>
      </c>
      <c r="DR32" s="309">
        <f>MIN(0,N(IF($CR$17=$CQ$62,Underwriting!P244,Underwriting!P245)))*(DEBT!$M$39/DEBT!$M$38)+MAX(0,N(IF($CR$17=$CQ$62,Underwriting!P244,Underwriting!P245)))*DEBT!$N$33</f>
        <v>77613.47253160346</v>
      </c>
      <c r="DS32" s="309">
        <f>MIN(0,N(IF($CR$17=$CQ$62,Underwriting!Q244,Underwriting!Q245)))*(DEBT!$M$39/DEBT!$M$38)+MAX(0,N(IF($CR$17=$CQ$62,Underwriting!Q244,Underwriting!Q245)))*DEBT!$N$33</f>
        <v>105627.50666995626</v>
      </c>
      <c r="DT32" s="309">
        <f>MIN(0,N(IF($CR$17=$CQ$62,Underwriting!R244,Underwriting!R245)))*(DEBT!$M$39/DEBT!$M$38)+MAX(0,N(IF($CR$17=$CQ$62,Underwriting!R244,Underwriting!R245)))*DEBT!$N$33</f>
        <v>139346.77558928434</v>
      </c>
      <c r="DU32" s="309">
        <f>MIN(0,N(IF($CR$17=$CQ$62,Underwriting!S244,Underwriting!S245)))*(DEBT!$M$39/DEBT!$M$38)+MAX(0,N(IF($CR$17=$CQ$62,Underwriting!S244,Underwriting!S245)))*DEBT!$N$33</f>
        <v>178049.68782975152</v>
      </c>
      <c r="DV32" s="309">
        <f>MIN(0,N(IF($CR$17=$CQ$62,Underwriting!T244,Underwriting!T245)))*(DEBT!$M$39/DEBT!$M$38)+MAX(0,N(IF($CR$17=$CQ$62,Underwriting!T244,Underwriting!T245)))*DEBT!$N$33</f>
        <v>220120.87335136041</v>
      </c>
      <c r="DW32" s="309">
        <f>MIN(0,N(IF($CR$17=$CQ$62,Underwriting!U244,Underwriting!U245)))*(DEBT!$M$39/DEBT!$M$38)+MAX(0,N(IF($CR$17=$CQ$62,Underwriting!U244,Underwriting!U245)))*DEBT!$N$33</f>
        <v>262953.89728473919</v>
      </c>
      <c r="DX32" s="309">
        <f>MIN(0,N(IF($CR$17=$CQ$62,Underwriting!V244,Underwriting!V245)))*(DEBT!$M$39/DEBT!$M$38)+MAX(0,N(IF($CR$17=$CQ$62,Underwriting!V244,Underwriting!V245)))*DEBT!$N$33</f>
        <v>302995.36728603498</v>
      </c>
      <c r="DY32" s="309">
        <f>MIN(0,N(IF($CR$17=$CQ$62,Underwriting!W244,Underwriting!W245)))*(DEBT!$M$39/DEBT!$M$38)+MAX(0,N(IF($CR$17=$CQ$62,Underwriting!W244,Underwriting!W245)))*DEBT!$N$33</f>
        <v>335969.92412810581</v>
      </c>
      <c r="DZ32" s="309">
        <f>MIN(0,N(IF($CR$17=$CQ$62,Underwriting!X244,Underwriting!X245)))*(DEBT!$M$39/DEBT!$M$38)+MAX(0,N(IF($CR$17=$CQ$62,Underwriting!X244,Underwriting!X245)))*DEBT!$N$33</f>
        <v>357296.45067174174</v>
      </c>
      <c r="EA32" s="309">
        <f>MIN(0,N(IF($CR$17=$CQ$62,Underwriting!Y244,Underwriting!Y245)))*(DEBT!$M$39/DEBT!$M$38)+MAX(0,N(IF($CR$17=$CQ$62,Underwriting!Y244,Underwriting!Y245)))*DEBT!$N$33</f>
        <v>-1744381.4704011797</v>
      </c>
      <c r="EB32" s="309">
        <f>MIN(0,N(IF($CR$17=$CQ$62,Underwriting!Z244,Underwriting!Z245)))*(DEBT!$M$39/DEBT!$M$38)+MAX(0,N(IF($CR$17=$CQ$62,Underwriting!Z244,Underwriting!Z245)))*DEBT!$N$33</f>
        <v>-8138879.219978286</v>
      </c>
      <c r="EC32" s="309">
        <f>MIN(0,N(IF($CR$17=$CQ$62,Underwriting!AA244,Underwriting!AA245)))*(DEBT!$M$39/DEBT!$M$38)+MAX(0,N(IF($CR$17=$CQ$62,Underwriting!AA244,Underwriting!AA245)))*DEBT!$N$33</f>
        <v>-8934665.3817135617</v>
      </c>
      <c r="ED32" s="309">
        <f>MIN(0,N(IF($CR$17=$CQ$62,Underwriting!AB244,Underwriting!AB245)))*(DEBT!$M$39/DEBT!$M$38)+MAX(0,N(IF($CR$17=$CQ$62,Underwriting!AB244,Underwriting!AB245)))*DEBT!$N$33</f>
        <v>-9561934.400082197</v>
      </c>
      <c r="EE32" s="309">
        <f>MIN(0,N(IF($CR$17=$CQ$62,Underwriting!AC244,Underwriting!AC245)))*(DEBT!$M$39/DEBT!$M$38)+MAX(0,N(IF($CR$17=$CQ$62,Underwriting!AC244,Underwriting!AC245)))*DEBT!$N$33</f>
        <v>-10079682.27016161</v>
      </c>
      <c r="EF32" s="309">
        <f>MIN(0,N(IF($CR$17=$CQ$62,Underwriting!AD244,Underwriting!AD245)))*(DEBT!$M$39/DEBT!$M$38)+MAX(0,N(IF($CR$17=$CQ$62,Underwriting!AD244,Underwriting!AD245)))*DEBT!$N$33</f>
        <v>-10357483.024629099</v>
      </c>
      <c r="EG32" s="309">
        <f>MIN(0,N(IF($CR$17=$CQ$62,Underwriting!AE244,Underwriting!AE245)))*(DEBT!$M$39/DEBT!$M$38)+MAX(0,N(IF($CR$17=$CQ$62,Underwriting!AE244,Underwriting!AE245)))*DEBT!$N$33</f>
        <v>-10379424.896254368</v>
      </c>
      <c r="EH32" s="309">
        <f>MIN(0,N(IF($CR$17=$CQ$62,Underwriting!AF244,Underwriting!AF245)))*(DEBT!$M$39/DEBT!$M$38)+MAX(0,N(IF($CR$17=$CQ$62,Underwriting!AF244,Underwriting!AF245)))*DEBT!$N$33</f>
        <v>-10108723.979349261</v>
      </c>
      <c r="EI32" s="309">
        <f>MIN(0,N(IF($CR$17=$CQ$62,Underwriting!AG244,Underwriting!AG245)))*(DEBT!$M$39/DEBT!$M$38)+MAX(0,N(IF($CR$17=$CQ$62,Underwriting!AG244,Underwriting!AG245)))*DEBT!$N$33</f>
        <v>-9530762.6324921492</v>
      </c>
      <c r="EJ32" s="309">
        <f>MIN(0,N(IF($CR$17=$CQ$62,Underwriting!AH244,Underwriting!AH245)))*(DEBT!$M$39/DEBT!$M$38)+MAX(0,N(IF($CR$17=$CQ$62,Underwriting!AH244,Underwriting!AH245)))*DEBT!$N$33</f>
        <v>-8128831.4785636086</v>
      </c>
      <c r="EK32" s="309">
        <f>MIN(0,N(IF($CR$17=$CQ$62,Underwriting!AI244,Underwriting!AI245)))*(DEBT!$M$39/DEBT!$M$38)+MAX(0,N(IF($CR$17=$CQ$62,Underwriting!AI244,Underwriting!AI245)))*DEBT!$N$33</f>
        <v>-7254270.5095662242</v>
      </c>
      <c r="EL32" s="309">
        <f>MIN(0,N(IF($CR$17=$CQ$62,Underwriting!AJ244,Underwriting!AJ245)))*(DEBT!$M$39/DEBT!$M$38)+MAX(0,N(IF($CR$17=$CQ$62,Underwriting!AJ244,Underwriting!AJ245)))*DEBT!$N$33</f>
        <v>-6320879.4974441361</v>
      </c>
      <c r="EM32" s="309">
        <f>MIN(0,N(IF($CR$17=$CQ$62,Underwriting!AK244,Underwriting!AK245)))*(DEBT!$M$39/DEBT!$M$38)+MAX(0,N(IF($CR$17=$CQ$62,Underwriting!AK244,Underwriting!AK245)))*DEBT!$N$33</f>
        <v>-5190143.2833148949</v>
      </c>
      <c r="EN32" s="309">
        <f>MIN(0,N(IF($CR$17=$CQ$62,Underwriting!AL244,Underwriting!AL245)))*(DEBT!$M$39/DEBT!$M$38)+MAX(0,N(IF($CR$17=$CQ$62,Underwriting!AL244,Underwriting!AL245)))*DEBT!$N$33</f>
        <v>-4301458.0701980107</v>
      </c>
      <c r="EO32" s="309">
        <f>MIN(0,N(IF($CR$17=$CQ$62,Underwriting!AM244,Underwriting!AM245)))*(DEBT!$M$39/DEBT!$M$38)+MAX(0,N(IF($CR$17=$CQ$62,Underwriting!AM244,Underwriting!AM245)))*DEBT!$N$33</f>
        <v>-3495567.8699021512</v>
      </c>
      <c r="EP32" s="309">
        <f>MIN(0,N(IF($CR$17=$CQ$62,Underwriting!AN244,Underwriting!AN245)))*(DEBT!$M$39/DEBT!$M$38)+MAX(0,N(IF($CR$17=$CQ$62,Underwriting!AN244,Underwriting!AN245)))*DEBT!$N$33</f>
        <v>-2638256.1572656748</v>
      </c>
      <c r="EQ32" s="309">
        <f>MIN(0,N(IF($CR$17=$CQ$62,Underwriting!AO244,Underwriting!AO245)))*(DEBT!$M$39/DEBT!$M$38)+MAX(0,N(IF($CR$17=$CQ$62,Underwriting!AO244,Underwriting!AO245)))*DEBT!$N$33</f>
        <v>-2054099.1023063927</v>
      </c>
      <c r="ER32" s="309">
        <f>MIN(0,N(IF($CR$17=$CQ$62,Underwriting!AP244,Underwriting!AP245)))*(DEBT!$M$39/DEBT!$M$38)+MAX(0,N(IF($CR$17=$CQ$62,Underwriting!AP244,Underwriting!AP245)))*DEBT!$N$33</f>
        <v>-2392292.3478270927</v>
      </c>
      <c r="ES32" s="309">
        <f>MIN(0,N(IF($CR$17=$CQ$62,Underwriting!AQ244,Underwriting!AQ245)))*(DEBT!$M$39/DEBT!$M$38)+MAX(0,N(IF($CR$17=$CQ$62,Underwriting!AQ244,Underwriting!AQ245)))*DEBT!$N$33</f>
        <v>-2342893.8540049191</v>
      </c>
      <c r="ET32" s="309">
        <f>MIN(0,N(IF($CR$17=$CQ$62,Underwriting!AR244,Underwriting!AR245)))*(DEBT!$M$39/DEBT!$M$38)+MAX(0,N(IF($CR$17=$CQ$62,Underwriting!AR244,Underwriting!AR245)))*DEBT!$N$33</f>
        <v>-1748406.4001167589</v>
      </c>
      <c r="EU32" s="309">
        <f>MIN(0,N(IF($CR$17=$CQ$62,Underwriting!AS244,Underwriting!AS245)))*(DEBT!$M$39/DEBT!$M$38)+MAX(0,N(IF($CR$17=$CQ$62,Underwriting!AS244,Underwriting!AS245)))*DEBT!$N$33</f>
        <v>-1313845.3045471436</v>
      </c>
      <c r="EV32" s="309">
        <f>MIN(0,N(IF($CR$17=$CQ$62,Underwriting!AT244,Underwriting!AT245)))*(DEBT!$M$39/DEBT!$M$38)+MAX(0,N(IF($CR$17=$CQ$62,Underwriting!AT244,Underwriting!AT245)))*DEBT!$N$33</f>
        <v>-977806.76063254382</v>
      </c>
      <c r="EW32" s="309">
        <f>MIN(0,N(IF($CR$17=$CQ$62,Underwriting!AU244,Underwriting!AU245)))*(DEBT!$M$39/DEBT!$M$38)+MAX(0,N(IF($CR$17=$CQ$62,Underwriting!AU244,Underwriting!AU245)))*DEBT!$N$33</f>
        <v>-769253.69954910781</v>
      </c>
      <c r="EX32" s="309">
        <f>MIN(0,N(IF($CR$17=$CQ$62,Underwriting!AV244,Underwriting!AV245)))*(DEBT!$M$39/DEBT!$M$38)+MAX(0,N(IF($CR$17=$CQ$62,Underwriting!AV244,Underwriting!AV245)))*DEBT!$N$33</f>
        <v>-632949.36244880105</v>
      </c>
      <c r="EY32" s="309">
        <f>MIN(0,N(IF($CR$17=$CQ$62,Underwriting!AW244,Underwriting!AW245)))*(DEBT!$M$39/DEBT!$M$38)+MAX(0,N(IF($CR$17=$CQ$62,Underwriting!AW244,Underwriting!AW245)))*DEBT!$N$33</f>
        <v>-32368.594043044013</v>
      </c>
      <c r="EZ32" s="309">
        <f>MIN(0,N(IF($CR$17=$CQ$62,Underwriting!AX244,Underwriting!AX245)))*(DEBT!$M$39/DEBT!$M$38)+MAX(0,N(IF($CR$17=$CQ$62,Underwriting!AX244,Underwriting!AX245)))*DEBT!$N$33</f>
        <v>172442.21454042377</v>
      </c>
      <c r="FA32" s="309">
        <f>MIN(0,N(IF($CR$17=$CQ$62,Underwriting!AY244,Underwriting!AY245)))*(DEBT!$M$39/DEBT!$M$38)+MAX(0,N(IF($CR$17=$CQ$62,Underwriting!AY244,Underwriting!AY245)))*DEBT!$N$33</f>
        <v>382501.10355869908</v>
      </c>
      <c r="FB32" s="309">
        <f>MIN(0,N(IF($CR$17=$CQ$62,Underwriting!AZ244,Underwriting!AZ245)))*(DEBT!$M$39/DEBT!$M$38)+MAX(0,N(IF($CR$17=$CQ$62,Underwriting!AZ244,Underwriting!AZ245)))*DEBT!$N$33</f>
        <v>600999.1428836527</v>
      </c>
      <c r="FC32" s="309">
        <f>MIN(0,N(IF($CR$17=$CQ$62,Underwriting!BA244,Underwriting!BA245)))*(DEBT!$M$39/DEBT!$M$38)+MAX(0,N(IF($CR$17=$CQ$62,Underwriting!BA244,Underwriting!BA245)))*DEBT!$N$33</f>
        <v>811666.80199146445</v>
      </c>
      <c r="FD32" s="309">
        <f>MIN(0,N(IF($CR$17=$CQ$62,Underwriting!BB244,Underwriting!BB245)))*(DEBT!$M$39/DEBT!$M$38)+MAX(0,N(IF($CR$17=$CQ$62,Underwriting!BB244,Underwriting!BB245)))*DEBT!$N$33</f>
        <v>1022291.6960335877</v>
      </c>
      <c r="FE32" s="309">
        <f>MIN(0,N(IF($CR$17=$CQ$62,Underwriting!BC244,Underwriting!BC245)))*(DEBT!$M$39/DEBT!$M$38)+MAX(0,N(IF($CR$17=$CQ$62,Underwriting!BC244,Underwriting!BC245)))*DEBT!$N$33</f>
        <v>1238692.3433659154</v>
      </c>
      <c r="FF32">
        <f>MIN(0,N(IF($CR$17=$CQ$62,Underwriting!BD244,Underwriting!BD245)))*(DEBT!$M$39/DEBT!$M$38)+MAX(0,N(IF($CR$17=$CQ$62,Underwriting!BD244,Underwriting!BD245)))*DEBT!$N$33</f>
        <v>1449231.0110896034</v>
      </c>
      <c r="FG32">
        <f>MIN(0,N(IF($CR$17=$CQ$62,Underwriting!BE244,Underwriting!BE245)))*(DEBT!$M$39/DEBT!$M$38)+MAX(0,N(IF($CR$17=$CQ$62,Underwriting!BE244,Underwriting!BE245)))*DEBT!$N$33</f>
        <v>1659726.2150442721</v>
      </c>
      <c r="FH32">
        <f>MIN(0,N(IF($CR$17=$CQ$62,Underwriting!BF244,Underwriting!BF245)))*(DEBT!$M$39/DEBT!$M$38)+MAX(0,N(IF($CR$17=$CQ$62,Underwriting!BF244,Underwriting!BF245)))*DEBT!$N$33</f>
        <v>1897712.6573011721</v>
      </c>
      <c r="FI32">
        <f>MIN(0,N(IF($CR$17=$CQ$62,Underwriting!BG244,Underwriting!BG245)))*(DEBT!$M$39/DEBT!$M$38)+MAX(0,N(IF($CR$17=$CQ$62,Underwriting!BG244,Underwriting!BG245)))*DEBT!$N$33</f>
        <v>2108120.2261563162</v>
      </c>
      <c r="FJ32">
        <f>MIN(0,N(IF($CR$17=$CQ$62,Underwriting!BH244,Underwriting!BH245)))*(DEBT!$M$39/DEBT!$M$38)+MAX(0,N(IF($CR$17=$CQ$62,Underwriting!BH244,Underwriting!BH245)))*DEBT!$N$33</f>
        <v>2318483.6211235682</v>
      </c>
      <c r="FK32">
        <f>MIN(0,N(IF($CR$17=$CQ$62,Underwriting!BI244,Underwriting!BI245)))*(DEBT!$M$39/DEBT!$M$38)+MAX(0,N(IF($CR$17=$CQ$62,Underwriting!BI244,Underwriting!BI245)))*DEBT!$N$33</f>
        <v>2603241.7442501313</v>
      </c>
      <c r="FL32">
        <f>MIN(0,N(IF($CR$17=$CQ$62,Underwriting!BJ244,Underwriting!BJ245)))*(DEBT!$M$39/DEBT!$M$38)+MAX(0,N(IF($CR$17=$CQ$62,Underwriting!BJ244,Underwriting!BJ245)))*DEBT!$N$33</f>
        <v>2594953.3241617554</v>
      </c>
      <c r="FM32">
        <f>MIN(0,N(IF($CR$17=$CQ$62,Underwriting!BK244,Underwriting!BK245)))*(DEBT!$M$39/DEBT!$M$38)+MAX(0,N(IF($CR$17=$CQ$62,Underwriting!BK244,Underwriting!BK245)))*DEBT!$N$33</f>
        <v>2586620.0084645669</v>
      </c>
      <c r="FN32">
        <f>MIN(0,N(IF($CR$17=$CQ$62,Underwriting!BL244,Underwriting!BL245)))*(DEBT!$M$39/DEBT!$M$38)+MAX(0,N(IF($CR$17=$CQ$62,Underwriting!BL244,Underwriting!BL245)))*DEBT!$N$33</f>
        <v>2584866.2008490195</v>
      </c>
      <c r="FO32">
        <f>MIN(0,N(IF($CR$17=$CQ$62,Underwriting!BM244,Underwriting!BM245)))*(DEBT!$M$39/DEBT!$M$38)+MAX(0,N(IF($CR$17=$CQ$62,Underwriting!BM244,Underwriting!BM245)))*DEBT!$N$33</f>
        <v>2576442.3630633145</v>
      </c>
      <c r="FP32">
        <f>MIN(0,N(IF($CR$17=$CQ$62,Underwriting!BN244,Underwriting!BN245)))*(DEBT!$M$39/DEBT!$M$38)+MAX(0,N(IF($CR$17=$CQ$62,Underwriting!BN244,Underwriting!BN245)))*DEBT!$N$33</f>
        <v>2567972.8961562701</v>
      </c>
      <c r="FQ32">
        <f>MIN(0,N(IF($CR$17=$CQ$62,Underwriting!BO244,Underwriting!BO245)))*(DEBT!$M$39/DEBT!$M$38)+MAX(0,N(IF($CR$17=$CQ$62,Underwriting!BO244,Underwriting!BO245)))*DEBT!$N$33</f>
        <v>2565479.9592201463</v>
      </c>
      <c r="FR32">
        <f>MIN(0,N(IF($CR$17=$CQ$62,Underwriting!BP244,Underwriting!BP245)))*(DEBT!$M$39/DEBT!$M$38)+MAX(0,N(IF($CR$17=$CQ$62,Underwriting!BP244,Underwriting!BP245)))*DEBT!$N$33</f>
        <v>2556918.4912584308</v>
      </c>
      <c r="FS32">
        <f>MIN(0,N(IF($CR$17=$CQ$62,Underwriting!BQ244,Underwriting!BQ245)))*(DEBT!$M$39/DEBT!$M$38)+MAX(0,N(IF($CR$17=$CQ$62,Underwriting!BQ244,Underwriting!BQ245)))*DEBT!$N$33</f>
        <v>2548310.6486785891</v>
      </c>
      <c r="FT32">
        <f>MIN(0,N(IF($CR$17=$CQ$62,Underwriting!BR244,Underwriting!BR245)))*(DEBT!$M$39/DEBT!$M$38)+MAX(0,N(IF($CR$17=$CQ$62,Underwriting!BR244,Underwriting!BR245)))*DEBT!$N$33</f>
        <v>2568154.8405972742</v>
      </c>
      <c r="FU32">
        <f>MIN(0,N(IF($CR$17=$CQ$62,Underwriting!BS244,Underwriting!BS245)))*(DEBT!$M$39/DEBT!$M$38)+MAX(0,N(IF($CR$17=$CQ$62,Underwriting!BS244,Underwriting!BS245)))*DEBT!$N$33</f>
        <v>2559453.4938329924</v>
      </c>
      <c r="FV32">
        <f>MIN(0,N(IF($CR$17=$CQ$62,Underwriting!BT244,Underwriting!BT245)))*(DEBT!$M$39/DEBT!$M$38)+MAX(0,N(IF($CR$17=$CQ$62,Underwriting!BT244,Underwriting!BT245)))*DEBT!$N$33</f>
        <v>2550705.0147737362</v>
      </c>
      <c r="FW32">
        <f>MIN(0,N(IF($CR$17=$CQ$62,Underwriting!BU244,Underwriting!BU245)))*(DEBT!$M$39/DEBT!$M$38)+MAX(0,N(IF($CR$17=$CQ$62,Underwriting!BU244,Underwriting!BU245)))*DEBT!$N$33</f>
        <v>498987310.02389121</v>
      </c>
      <c r="FX32">
        <f>MIN(0,0)*(DEBT!$M$39/DEBT!$M$38)+MAX(0,0)*DEBT!$N$33</f>
        <v>0</v>
      </c>
      <c r="FY32">
        <f>MIN(0,0)*(DEBT!$M$39/DEBT!$M$38)+MAX(0,0)*DEBT!$N$33</f>
        <v>0</v>
      </c>
      <c r="FZ32">
        <f>MIN(0,0)*(DEBT!$M$39/DEBT!$M$38)+MAX(0,0)*DEBT!$N$33</f>
        <v>0</v>
      </c>
      <c r="GA32">
        <f>MIN(0,0)*(DEBT!$M$39/DEBT!$M$38)+MAX(0,0)*DEBT!$N$33</f>
        <v>0</v>
      </c>
      <c r="GB32">
        <f>MIN(0,0)*(DEBT!$M$39/DEBT!$M$38)+MAX(0,0)*DEBT!$N$33</f>
        <v>0</v>
      </c>
      <c r="GC32">
        <f>MIN(0,0)*(DEBT!$M$39/DEBT!$M$38)+MAX(0,0)*DEBT!$N$33</f>
        <v>0</v>
      </c>
    </row>
    <row r="33" spans="1:161" ht="91" x14ac:dyDescent="0.35">
      <c r="A33" s="307"/>
      <c r="B33" s="671" t="str">
        <f>'FUNDING &amp; CAP TABLE'!$A$15</f>
        <v>MASTER DEVELOPER</v>
      </c>
      <c r="C33" s="671" t="str">
        <f>'FUNDING &amp; CAP TABLE'!$H$15</f>
        <v>Mapped — residual formula</v>
      </c>
      <c r="D33" s="859">
        <f>'FUNDING &amp; CAP TABLE'!$D$15</f>
        <v>131.83191688274752</v>
      </c>
      <c r="E33" s="860">
        <f>0</f>
        <v>0</v>
      </c>
      <c r="F33" s="860">
        <f>0</f>
        <v>0</v>
      </c>
      <c r="G33" s="860">
        <f t="shared" si="2"/>
        <v>131.83191688274752</v>
      </c>
      <c r="H33" s="861">
        <f>'FUNDING &amp; CAP TABLE'!$F$15</f>
        <v>0.61128690452806234</v>
      </c>
      <c r="I33" s="860">
        <f t="shared" si="3"/>
        <v>235.10274241554592</v>
      </c>
      <c r="J33" s="860">
        <f t="shared" si="4"/>
        <v>263.37383930765623</v>
      </c>
      <c r="K33" s="860">
        <f t="shared" si="5"/>
        <v>296.20418778051663</v>
      </c>
      <c r="L33" s="860">
        <f t="shared" si="6"/>
        <v>131.54192242490871</v>
      </c>
      <c r="M33" s="862">
        <f t="shared" si="7"/>
        <v>1.9978002712492093</v>
      </c>
      <c r="N33" s="863">
        <f t="shared" si="8"/>
        <v>0.14835851788520818</v>
      </c>
      <c r="O33" s="677" t="s">
        <v>878</v>
      </c>
      <c r="P33" s="677" t="s">
        <v>899</v>
      </c>
      <c r="CQ33" s="307" t="str">
        <f>Underwriting!$B$100</f>
        <v>Go Kart</v>
      </c>
      <c r="CR33" s="308" t="str">
        <f>IF(Underwriting!$I$100&gt;0,"NOI / cap rate",IF(AND('Tenant Report'!$O$41&gt;0,$CR$10&lt;&gt;"",$CR$11&lt;&gt;""),"EBITDA multiple","Operating case — not valued"))</f>
        <v>Operating case — not valued</v>
      </c>
      <c r="CS33" s="311" t="str">
        <f>Underwriting!$E$100</f>
        <v/>
      </c>
      <c r="CT33" s="311">
        <f>Underwriting!$I$100/1000000</f>
        <v>0</v>
      </c>
      <c r="CU33" s="309">
        <f>IF(Underwriting!$I$100=0,0,$DA$10*Underwriting!$I$100/Underwriting!$I$105)</f>
        <v>0</v>
      </c>
      <c r="CV33" s="312" t="str">
        <f>IF(Underwriting!$I$100=0,"",$DA$11)</f>
        <v/>
      </c>
      <c r="CW33" s="309">
        <f t="shared" si="9"/>
        <v>0</v>
      </c>
      <c r="CX33" s="311">
        <f>IF(Underwriting!$I$100=0,'Tenant Report'!$O$41,0)</f>
        <v>0.99956502994186003</v>
      </c>
      <c r="CY33" s="312" t="str">
        <f t="shared" si="10"/>
        <v/>
      </c>
      <c r="CZ33" s="309">
        <f t="shared" si="11"/>
        <v>0</v>
      </c>
      <c r="DA33" s="314" t="str">
        <f t="shared" si="12"/>
        <v/>
      </c>
      <c r="DB33" s="309">
        <f t="shared" si="13"/>
        <v>0</v>
      </c>
      <c r="DC33" s="309">
        <f t="shared" si="14"/>
        <v>0</v>
      </c>
      <c r="DD33" s="979" t="str">
        <f>IF(Underwriting!$I$100&gt;0,"Model rent allocation; property-only value.","Revenue linked to Tenant Report; margin and multiple illustrative.")</f>
        <v>Revenue linked to Tenant Report; margin and multiple illustrative.</v>
      </c>
      <c r="DE33" s="937"/>
      <c r="DF33" s="937"/>
      <c r="DG33" s="937"/>
      <c r="DH33" s="937"/>
      <c r="DI33" s="937"/>
      <c r="DJ33" s="937"/>
      <c r="DK33" s="937"/>
      <c r="DL33" s="937"/>
    </row>
    <row r="34" spans="1:161" ht="52" x14ac:dyDescent="0.35">
      <c r="A34" s="307"/>
      <c r="B34" s="710"/>
      <c r="C34" s="710" t="str">
        <f>"TOTAL"</f>
        <v>TOTAL</v>
      </c>
      <c r="D34" s="711">
        <f t="shared" ref="D34:K34" si="15">SUM(D26:D33)</f>
        <v>215.66291688274751</v>
      </c>
      <c r="E34" s="864">
        <f t="shared" si="15"/>
        <v>0</v>
      </c>
      <c r="F34" s="864">
        <f t="shared" si="15"/>
        <v>0</v>
      </c>
      <c r="G34" s="864">
        <f t="shared" si="15"/>
        <v>215.66291688274751</v>
      </c>
      <c r="H34" s="865">
        <f t="shared" si="15"/>
        <v>1</v>
      </c>
      <c r="I34" s="864">
        <f t="shared" si="15"/>
        <v>384.60294286371885</v>
      </c>
      <c r="J34" s="864">
        <f t="shared" si="15"/>
        <v>430.85143384674871</v>
      </c>
      <c r="K34" s="864">
        <f t="shared" si="15"/>
        <v>484.55837281382298</v>
      </c>
      <c r="L34" s="864">
        <f t="shared" si="6"/>
        <v>215.1885169640012</v>
      </c>
      <c r="M34" s="866">
        <f t="shared" si="7"/>
        <v>1.9978002712492096</v>
      </c>
      <c r="N34" s="712">
        <f>IF(AND(COUNTIF($AD$66:$AF$66,"&lt;0")&gt;0,COUNTIF($AD$66:$AF$66,"&gt;0")&gt;0),XIRR($AD$66:$AF$66,$AD$57:$AF$57),"N/M")</f>
        <v>0.14835851788520818</v>
      </c>
      <c r="O34" s="710" t="s">
        <v>900</v>
      </c>
      <c r="P34" s="713" t="s">
        <v>901</v>
      </c>
      <c r="CQ34" s="307" t="str">
        <f>Underwriting!$B$101</f>
        <v>Landscape-Based Attraction</v>
      </c>
      <c r="CR34" s="308" t="str">
        <f>IF(Underwriting!$I$101&gt;0,"NOI / cap rate",IF(AND('Tenant Report'!$O$42&gt;0,$CR$10&lt;&gt;"",$CR$11&lt;&gt;""),"EBITDA multiple","Operating case — not valued"))</f>
        <v>NOI / cap rate</v>
      </c>
      <c r="CS34" s="311">
        <f>Underwriting!$E$101</f>
        <v>150</v>
      </c>
      <c r="CT34" s="311">
        <f>Underwriting!$I$101/1000000</f>
        <v>0.09</v>
      </c>
      <c r="CU34" s="309">
        <f>IF(Underwriting!$I$101=0,0,$DA$10*Underwriting!$I$101/Underwriting!$I$105)</f>
        <v>0.26824430348597</v>
      </c>
      <c r="CV34" s="312">
        <f>IF(Underwriting!$I$101=0,"",$DA$11)</f>
        <v>6.7008196721311475E-2</v>
      </c>
      <c r="CW34" s="309">
        <f t="shared" si="9"/>
        <v>4.003156578016922</v>
      </c>
      <c r="CX34" s="311">
        <f>IF(Underwriting!$I$101=0,'Tenant Report'!$O$42,0)</f>
        <v>0</v>
      </c>
      <c r="CY34" s="312" t="str">
        <f t="shared" si="10"/>
        <v/>
      </c>
      <c r="CZ34" s="309">
        <f t="shared" si="11"/>
        <v>0</v>
      </c>
      <c r="DA34" s="314" t="str">
        <f t="shared" si="12"/>
        <v/>
      </c>
      <c r="DB34" s="309">
        <f t="shared" si="13"/>
        <v>0</v>
      </c>
      <c r="DC34" s="309">
        <f t="shared" si="14"/>
        <v>4.003156578016922</v>
      </c>
      <c r="DD34" s="979" t="str">
        <f>IF(Underwriting!$I$101&gt;0,"Model rent allocation; property-only value.","Revenue linked to Tenant Report; margin and multiple illustrative.")</f>
        <v>Model rent allocation; property-only value.</v>
      </c>
      <c r="DE34" s="937"/>
      <c r="DF34" s="937"/>
      <c r="DG34" s="937"/>
      <c r="DH34" s="937"/>
      <c r="DI34" s="937"/>
      <c r="DJ34" s="937"/>
      <c r="DK34" s="937"/>
      <c r="DL34" s="937"/>
      <c r="DN34" s="309">
        <f>IF($CR$17=$CQ$62,Underwriting!$L$244,Underwriting!$L$245)</f>
        <v>-76389582.872717112</v>
      </c>
      <c r="DO34" s="309">
        <f>IF($CR$17=$CQ$62,Underwriting!$M$244,Underwriting!$M$245)</f>
        <v>70562.268970067496</v>
      </c>
      <c r="DP34" s="309">
        <f>IF($CR$17=$CQ$62,Underwriting!$N$244,Underwriting!$N$245)</f>
        <v>0</v>
      </c>
      <c r="DQ34" s="309">
        <f>IF($CR$17=$CQ$62,Underwriting!$O$244,Underwriting!$O$245)</f>
        <v>52683.47823085892</v>
      </c>
      <c r="DR34" s="309">
        <f>IF($CR$17=$CQ$62,Underwriting!$P$244,Underwriting!$P$245)</f>
        <v>73917.592887241393</v>
      </c>
      <c r="DS34" s="309">
        <f>IF($CR$17=$CQ$62,Underwriting!$Q$244,Underwriting!$Q$245)</f>
        <v>100597.62539995834</v>
      </c>
      <c r="DT34" s="309">
        <f>IF($CR$17=$CQ$62,Underwriting!$R$244,Underwriting!$R$245)</f>
        <v>132711.21484693745</v>
      </c>
      <c r="DU34" s="309">
        <f>IF($CR$17=$CQ$62,Underwriting!$S$244,Underwriting!$S$245)</f>
        <v>169571.13126643002</v>
      </c>
      <c r="DV34" s="309">
        <f>IF($CR$17=$CQ$62,Underwriting!$T$244,Underwriting!$T$245)</f>
        <v>209638.92700129561</v>
      </c>
      <c r="DW34" s="309">
        <f>IF($CR$17=$CQ$62,Underwriting!$U$244,Underwriting!$U$245)</f>
        <v>250432.28312832303</v>
      </c>
      <c r="DX34" s="309">
        <f>IF($CR$17=$CQ$62,Underwriting!$V$244,Underwriting!$V$245)</f>
        <v>288567.01646289043</v>
      </c>
      <c r="DY34" s="309">
        <f>IF($CR$17=$CQ$62,Underwriting!$W$244,Underwriting!$W$245)</f>
        <v>319971.35631248169</v>
      </c>
      <c r="DZ34" s="309">
        <f>IF($CR$17=$CQ$62,Underwriting!$X$244,Underwriting!$X$245)</f>
        <v>340282.33397308737</v>
      </c>
      <c r="EA34" s="309">
        <f>IF($CR$17=$CQ$62,Underwriting!$Y$244,Underwriting!$Y$245)</f>
        <v>-1932832.6541841328</v>
      </c>
      <c r="EB34" s="309">
        <f>IF($CR$17=$CQ$62,Underwriting!$Z$244,Underwriting!$Z$245)</f>
        <v>-9018148.7201975472</v>
      </c>
      <c r="EC34" s="309">
        <f>IF($CR$17=$CQ$62,Underwriting!$AA$244,Underwriting!$AA$245)</f>
        <v>-9899906.2401258312</v>
      </c>
      <c r="ED34" s="309">
        <f>IF($CR$17=$CQ$62,Underwriting!$AB$244,Underwriting!$AB$245)</f>
        <v>-10594941.16352598</v>
      </c>
      <c r="EE34" s="309">
        <f>IF($CR$17=$CQ$62,Underwriting!$AC$244,Underwriting!$AC$245)</f>
        <v>-11168623.014029484</v>
      </c>
      <c r="EF34" s="309">
        <f>IF($CR$17=$CQ$62,Underwriting!$AD$244,Underwriting!$AD$245)</f>
        <v>-11476435.484353572</v>
      </c>
      <c r="EG34" s="309">
        <f>IF($CR$17=$CQ$62,Underwriting!$AE$244,Underwriting!$AE$245)</f>
        <v>-11500747.807484064</v>
      </c>
      <c r="EH34" s="309">
        <f>IF($CR$17=$CQ$62,Underwriting!$AF$244,Underwriting!$AF$245)</f>
        <v>-11200802.193184778</v>
      </c>
      <c r="EI34" s="309">
        <f>IF($CR$17=$CQ$62,Underwriting!$AG$244,Underwriting!$AG$245)</f>
        <v>-10560401.808855567</v>
      </c>
      <c r="EJ34" s="309">
        <f>IF($CR$17=$CQ$62,Underwriting!$AH$244,Underwriting!$AH$245)</f>
        <v>-9007015.4887131397</v>
      </c>
      <c r="EK34" s="309">
        <f>IF($CR$17=$CQ$62,Underwriting!$AI$244,Underwriting!$AI$245)</f>
        <v>-8037972.8637852902</v>
      </c>
      <c r="EL34" s="309">
        <f>IF($CR$17=$CQ$62,Underwriting!$AJ$244,Underwriting!$AJ$245)</f>
        <v>-7003744.5955059687</v>
      </c>
      <c r="EM34" s="309">
        <f>IF($CR$17=$CQ$62,Underwriting!$AK$244,Underwriting!$AK$245)</f>
        <v>-5750851.2834514072</v>
      </c>
      <c r="EN34" s="309">
        <f>IF($CR$17=$CQ$62,Underwriting!$AL$244,Underwriting!$AL$245)</f>
        <v>-4766158.5265351916</v>
      </c>
      <c r="EO34" s="309">
        <f>IF($CR$17=$CQ$62,Underwriting!$AM$244,Underwriting!$AM$245)</f>
        <v>-3873205.3960134638</v>
      </c>
      <c r="EP34" s="309">
        <f>IF($CR$17=$CQ$62,Underwriting!$AN$244,Underwriting!$AN$245)</f>
        <v>-2923275.520515983</v>
      </c>
      <c r="EQ34" s="309">
        <f>IF($CR$17=$CQ$62,Underwriting!$AO$244,Underwriting!$AO$245)</f>
        <v>-2276010.0856580529</v>
      </c>
      <c r="ER34" s="309">
        <f>IF($CR$17=$CQ$62,Underwriting!$AP$244,Underwriting!$AP$245)</f>
        <v>-2650739.4435757259</v>
      </c>
      <c r="ES34" s="309">
        <f>IF($CR$17=$CQ$62,Underwriting!$AQ$244,Underwriting!$AQ$245)</f>
        <v>-2596004.2703655614</v>
      </c>
      <c r="ET34" s="309">
        <f>IF($CR$17=$CQ$62,Underwriting!$AR$244,Underwriting!$AR$245)</f>
        <v>-1937292.4101016719</v>
      </c>
      <c r="EU34" s="309">
        <f>IF($CR$17=$CQ$62,Underwriting!$AS$244,Underwriting!$AS$245)</f>
        <v>-1455784.2709663643</v>
      </c>
      <c r="EV34" s="309">
        <f>IF($CR$17=$CQ$62,Underwriting!$AT$244,Underwriting!$AT$245)</f>
        <v>-1083442.3940526801</v>
      </c>
      <c r="EW34" s="309">
        <f>IF($CR$17=$CQ$62,Underwriting!$AU$244,Underwriting!$AU$245)</f>
        <v>-852358.66986050736</v>
      </c>
      <c r="EX34" s="309">
        <f>IF($CR$17=$CQ$62,Underwriting!$AV$244,Underwriting!$AV$245)</f>
        <v>-701328.93346127542</v>
      </c>
      <c r="EY34" s="309">
        <f>IF($CR$17=$CQ$62,Underwriting!$AW$244,Underwriting!$AW$245)</f>
        <v>-35865.47816403769</v>
      </c>
      <c r="EZ34" s="309">
        <f>IF($CR$17=$CQ$62,Underwriting!$AX$244,Underwriting!$AX$245)</f>
        <v>164230.6805146893</v>
      </c>
      <c r="FA34" s="309">
        <f>IF($CR$17=$CQ$62,Underwriting!$AY$244,Underwriting!$AY$245)</f>
        <v>364286.76529399911</v>
      </c>
      <c r="FB34" s="309">
        <f>IF($CR$17=$CQ$62,Underwriting!$AZ$244,Underwriting!$AZ$245)</f>
        <v>572380.13607966923</v>
      </c>
      <c r="FC34" s="309">
        <f>IF($CR$17=$CQ$62,Underwriting!$BA$244,Underwriting!$BA$245)</f>
        <v>773016.00189663284</v>
      </c>
      <c r="FD34" s="309">
        <f>IF($CR$17=$CQ$62,Underwriting!$BB$244,Underwriting!$BB$245)</f>
        <v>973611.13907960732</v>
      </c>
      <c r="FE34" s="309">
        <f>$FE$15+($CQ$102-1)*$CR$52*1000000*IF($CR$17=$CQ$62,Underwriting!$BC$239,Underwriting!$BC$240)/SUM(Underwriting!$BC$239:$BC$240)</f>
        <v>364975971.58749467</v>
      </c>
    </row>
    <row r="35" spans="1:161" x14ac:dyDescent="0.35">
      <c r="A35" s="307"/>
      <c r="B35" s="659"/>
      <c r="C35" s="659"/>
      <c r="D35" s="659"/>
      <c r="E35" s="659"/>
      <c r="F35" s="659"/>
      <c r="G35" s="659"/>
      <c r="H35" s="659"/>
      <c r="I35" s="659"/>
      <c r="J35" s="659"/>
      <c r="K35" s="659"/>
      <c r="L35" s="659"/>
      <c r="M35" s="659"/>
      <c r="N35" s="659"/>
      <c r="O35" s="659"/>
      <c r="P35" s="660"/>
      <c r="CQ35" s="307" t="str">
        <f>Underwriting!$B$102</f>
        <v>Self-Storage Facility</v>
      </c>
      <c r="CR35" s="308" t="str">
        <f>IF(Underwriting!$I$102&gt;0,"NOI / cap rate",IF(AND('Tenant Report'!$O$43&gt;0,$CR$10&lt;&gt;"",$CR$11&lt;&gt;""),"EBITDA multiple","Operating case — not valued"))</f>
        <v>Operating case — not valued</v>
      </c>
      <c r="CS35" s="311">
        <f>Underwriting!$E$102</f>
        <v>600</v>
      </c>
      <c r="CT35" s="311">
        <f>Underwriting!$I$102/1000000</f>
        <v>0</v>
      </c>
      <c r="CU35" s="309">
        <f>IF(Underwriting!$I$102=0,0,$DA$10*Underwriting!$I$102/Underwriting!$I$105)</f>
        <v>0</v>
      </c>
      <c r="CV35" s="312" t="str">
        <f>IF(Underwriting!$I$102=0,"",$DA$11)</f>
        <v/>
      </c>
      <c r="CW35" s="309">
        <f t="shared" si="9"/>
        <v>0</v>
      </c>
      <c r="CX35" s="311">
        <f>IF(Underwriting!$I$102=0,'Tenant Report'!$O$43,0)</f>
        <v>0.5</v>
      </c>
      <c r="CY35" s="312" t="str">
        <f t="shared" si="10"/>
        <v/>
      </c>
      <c r="CZ35" s="309">
        <f t="shared" si="11"/>
        <v>0</v>
      </c>
      <c r="DA35" s="314" t="str">
        <f t="shared" si="12"/>
        <v/>
      </c>
      <c r="DB35" s="309">
        <f t="shared" si="13"/>
        <v>0</v>
      </c>
      <c r="DC35" s="309">
        <f t="shared" si="14"/>
        <v>0</v>
      </c>
      <c r="DD35" s="979" t="str">
        <f>IF(Underwriting!$I$102&gt;0,"Model rent allocation; property-only value.","Revenue linked to Tenant Report; margin and multiple illustrative.")</f>
        <v>Revenue linked to Tenant Report; margin and multiple illustrative.</v>
      </c>
      <c r="DE35" s="937"/>
      <c r="DF35" s="937"/>
      <c r="DG35" s="937"/>
      <c r="DH35" s="937"/>
      <c r="DI35" s="937"/>
      <c r="DJ35" s="937"/>
      <c r="DK35" s="937"/>
      <c r="DL35" s="937"/>
      <c r="DN35" s="309">
        <f>IF($CR$17=$CQ$62,Underwriting!$L$244,Underwriting!$L$245)</f>
        <v>-76389582.872717112</v>
      </c>
      <c r="DO35" s="309">
        <f>IF($CR$17=$CQ$62,Underwriting!$M$244,Underwriting!$M$245)</f>
        <v>70562.268970067496</v>
      </c>
      <c r="DP35" s="309">
        <f>IF($CR$17=$CQ$62,Underwriting!$N$244,Underwriting!$N$245)</f>
        <v>0</v>
      </c>
      <c r="DQ35" s="309">
        <f>IF($CR$17=$CQ$62,Underwriting!$O$244,Underwriting!$O$245)</f>
        <v>52683.47823085892</v>
      </c>
      <c r="DR35" s="309">
        <f>IF($CR$17=$CQ$62,Underwriting!$P$244,Underwriting!$P$245)</f>
        <v>73917.592887241393</v>
      </c>
      <c r="DS35" s="309">
        <f>IF($CR$17=$CQ$62,Underwriting!$Q$244,Underwriting!$Q$245)</f>
        <v>100597.62539995834</v>
      </c>
      <c r="DT35" s="309">
        <f>IF($CR$17=$CQ$62,Underwriting!$R$244,Underwriting!$R$245)</f>
        <v>132711.21484693745</v>
      </c>
      <c r="DU35" s="309">
        <f>IF($CR$17=$CQ$62,Underwriting!$S$244,Underwriting!$S$245)</f>
        <v>169571.13126643002</v>
      </c>
      <c r="DV35" s="309">
        <f>IF($CR$17=$CQ$62,Underwriting!$T$244,Underwriting!$T$245)</f>
        <v>209638.92700129561</v>
      </c>
      <c r="DW35" s="309">
        <f>IF($CR$17=$CQ$62,Underwriting!$U$244,Underwriting!$U$245)</f>
        <v>250432.28312832303</v>
      </c>
      <c r="DX35" s="309">
        <f>IF($CR$17=$CQ$62,Underwriting!$V$244,Underwriting!$V$245)</f>
        <v>288567.01646289043</v>
      </c>
      <c r="DY35" s="309">
        <f>IF($CR$17=$CQ$62,Underwriting!$W$244,Underwriting!$W$245)</f>
        <v>319971.35631248169</v>
      </c>
      <c r="DZ35" s="309">
        <f>IF($CR$17=$CQ$62,Underwriting!$X$244,Underwriting!$X$245)</f>
        <v>340282.33397308737</v>
      </c>
      <c r="EA35" s="309">
        <f>IF($CR$17=$CQ$62,Underwriting!$Y$244,Underwriting!$Y$245)</f>
        <v>-1932832.6541841328</v>
      </c>
      <c r="EB35" s="309">
        <f>IF($CR$17=$CQ$62,Underwriting!$Z$244,Underwriting!$Z$245)</f>
        <v>-9018148.7201975472</v>
      </c>
      <c r="EC35" s="309">
        <f>IF($CR$17=$CQ$62,Underwriting!$AA$244,Underwriting!$AA$245)</f>
        <v>-9899906.2401258312</v>
      </c>
      <c r="ED35" s="309">
        <f>IF($CR$17=$CQ$62,Underwriting!$AB$244,Underwriting!$AB$245)</f>
        <v>-10594941.16352598</v>
      </c>
      <c r="EE35" s="309">
        <f>IF($CR$17=$CQ$62,Underwriting!$AC$244,Underwriting!$AC$245)</f>
        <v>-11168623.014029484</v>
      </c>
      <c r="EF35" s="309">
        <f>IF($CR$17=$CQ$62,Underwriting!$AD$244,Underwriting!$AD$245)</f>
        <v>-11476435.484353572</v>
      </c>
      <c r="EG35" s="309">
        <f>IF($CR$17=$CQ$62,Underwriting!$AE$244,Underwriting!$AE$245)</f>
        <v>-11500747.807484064</v>
      </c>
      <c r="EH35" s="309">
        <f>IF($CR$17=$CQ$62,Underwriting!$AF$244,Underwriting!$AF$245)</f>
        <v>-11200802.193184778</v>
      </c>
      <c r="EI35" s="309">
        <f>IF($CR$17=$CQ$62,Underwriting!$AG$244,Underwriting!$AG$245)</f>
        <v>-10560401.808855567</v>
      </c>
      <c r="EJ35" s="309">
        <f>IF($CR$17=$CQ$62,Underwriting!$AH$244,Underwriting!$AH$245)</f>
        <v>-9007015.4887131397</v>
      </c>
      <c r="EK35" s="309">
        <f>IF($CR$17=$CQ$62,Underwriting!$AI$244,Underwriting!$AI$245)</f>
        <v>-8037972.8637852902</v>
      </c>
      <c r="EL35" s="309">
        <f>IF($CR$17=$CQ$62,Underwriting!$AJ$244,Underwriting!$AJ$245)</f>
        <v>-7003744.5955059687</v>
      </c>
      <c r="EM35" s="309">
        <f>IF($CR$17=$CQ$62,Underwriting!$AK$244,Underwriting!$AK$245)</f>
        <v>-5750851.2834514072</v>
      </c>
      <c r="EN35" s="309">
        <f>IF($CR$17=$CQ$62,Underwriting!$AL$244,Underwriting!$AL$245)</f>
        <v>-4766158.5265351916</v>
      </c>
      <c r="EO35" s="309">
        <f>IF($CR$17=$CQ$62,Underwriting!$AM$244,Underwriting!$AM$245)</f>
        <v>-3873205.3960134638</v>
      </c>
      <c r="EP35" s="309">
        <f>IF($CR$17=$CQ$62,Underwriting!$AN$244,Underwriting!$AN$245)</f>
        <v>-2923275.520515983</v>
      </c>
      <c r="EQ35" s="309">
        <f>IF($CR$17=$CQ$62,Underwriting!$AO$244,Underwriting!$AO$245)</f>
        <v>-2276010.0856580529</v>
      </c>
      <c r="ER35" s="309">
        <f>IF($CR$17=$CQ$62,Underwriting!$AP$244,Underwriting!$AP$245)</f>
        <v>-2650739.4435757259</v>
      </c>
      <c r="ES35" s="309">
        <f>IF($CR$17=$CQ$62,Underwriting!$AQ$244,Underwriting!$AQ$245)</f>
        <v>-2596004.2703655614</v>
      </c>
      <c r="ET35" s="309">
        <f>IF($CR$17=$CQ$62,Underwriting!$AR$244,Underwriting!$AR$245)</f>
        <v>-1937292.4101016719</v>
      </c>
      <c r="EU35" s="309">
        <f>IF($CR$17=$CQ$62,Underwriting!$AS$244,Underwriting!$AS$245)</f>
        <v>-1455784.2709663643</v>
      </c>
      <c r="EV35" s="309">
        <f>IF($CR$17=$CQ$62,Underwriting!$AT$244,Underwriting!$AT$245)</f>
        <v>-1083442.3940526801</v>
      </c>
      <c r="EW35" s="309">
        <f>IF($CR$17=$CQ$62,Underwriting!$AU$244,Underwriting!$AU$245)</f>
        <v>-852358.66986050736</v>
      </c>
      <c r="EX35" s="309">
        <f>IF($CR$17=$CQ$62,Underwriting!$AV$244,Underwriting!$AV$245)</f>
        <v>-701328.93346127542</v>
      </c>
      <c r="EY35" s="309">
        <f>IF($CR$17=$CQ$62,Underwriting!$AW$244,Underwriting!$AW$245)</f>
        <v>-35865.47816403769</v>
      </c>
      <c r="EZ35" s="309">
        <f>IF($CR$17=$CQ$62,Underwriting!$AX$244,Underwriting!$AX$245)</f>
        <v>164230.6805146893</v>
      </c>
      <c r="FA35" s="309">
        <f>IF($CR$17=$CQ$62,Underwriting!$AY$244,Underwriting!$AY$245)</f>
        <v>364286.76529399911</v>
      </c>
      <c r="FB35" s="309">
        <f>IF($CR$17=$CQ$62,Underwriting!$AZ$244,Underwriting!$AZ$245)</f>
        <v>572380.13607966923</v>
      </c>
      <c r="FC35" s="309">
        <f>IF($CR$17=$CQ$62,Underwriting!$BA$244,Underwriting!$BA$245)</f>
        <v>773016.00189663284</v>
      </c>
      <c r="FD35" s="309">
        <f>IF($CR$17=$CQ$62,Underwriting!$BB$244,Underwriting!$BB$245)</f>
        <v>973611.13907960732</v>
      </c>
      <c r="FE35" s="309">
        <f>$FE$15+($CQ$103-1)*$CR$52*1000000*IF($CR$17=$CQ$62,Underwriting!$BC$239,Underwriting!$BC$240)/SUM(Underwriting!$BC$239:$BC$240)</f>
        <v>410450504.66172123</v>
      </c>
    </row>
    <row r="36" spans="1:161" x14ac:dyDescent="0.35">
      <c r="A36" s="307"/>
      <c r="B36" s="659"/>
      <c r="C36" s="659"/>
      <c r="D36" s="659"/>
      <c r="E36" s="659"/>
      <c r="F36" s="659"/>
      <c r="G36" s="659"/>
      <c r="H36" s="659"/>
      <c r="I36" s="659"/>
      <c r="J36" s="659"/>
      <c r="K36" s="659"/>
      <c r="L36" s="659"/>
      <c r="M36" s="659"/>
      <c r="N36" s="659"/>
      <c r="O36" s="659"/>
      <c r="P36" s="660"/>
      <c r="CQ36" s="307" t="str">
        <f>Underwriting!$B$103</f>
        <v>Convenience Store / Laundromat</v>
      </c>
      <c r="CR36" s="308" t="str">
        <f>IF(Underwriting!$I$103&gt;0,"NOI / cap rate",IF(AND('Tenant Report'!$O$44&gt;0,$CR$10&lt;&gt;"",$CR$11&lt;&gt;""),"EBITDA multiple","Operating case — not valued"))</f>
        <v>Operating case — not valued</v>
      </c>
      <c r="CS36" s="311">
        <f>Underwriting!$E$103</f>
        <v>2120</v>
      </c>
      <c r="CT36" s="311">
        <f>Underwriting!$I$103/1000000</f>
        <v>0</v>
      </c>
      <c r="CU36" s="309">
        <f>IF(Underwriting!$I$103=0,0,$DA$10*Underwriting!$I$103/Underwriting!$I$105)</f>
        <v>0</v>
      </c>
      <c r="CV36" s="312" t="str">
        <f>IF(Underwriting!$I$103=0,"",$DA$11)</f>
        <v/>
      </c>
      <c r="CW36" s="309">
        <f t="shared" si="9"/>
        <v>0</v>
      </c>
      <c r="CX36" s="311">
        <f>IF(Underwriting!$I$103=0,'Tenant Report'!$O$44,0)</f>
        <v>0.61171929941860503</v>
      </c>
      <c r="CY36" s="312" t="str">
        <f t="shared" si="10"/>
        <v/>
      </c>
      <c r="CZ36" s="309">
        <f t="shared" si="11"/>
        <v>0</v>
      </c>
      <c r="DA36" s="314" t="str">
        <f t="shared" si="12"/>
        <v/>
      </c>
      <c r="DB36" s="309">
        <f t="shared" si="13"/>
        <v>0</v>
      </c>
      <c r="DC36" s="309">
        <f t="shared" si="14"/>
        <v>0</v>
      </c>
      <c r="DD36" s="979" t="str">
        <f>IF(Underwriting!$I$103&gt;0,"Model rent allocation; property-only value.","Revenue linked to Tenant Report; margin and multiple illustrative.")</f>
        <v>Revenue linked to Tenant Report; margin and multiple illustrative.</v>
      </c>
      <c r="DE36" s="937"/>
      <c r="DF36" s="937"/>
      <c r="DG36" s="937"/>
      <c r="DH36" s="937"/>
      <c r="DI36" s="937"/>
      <c r="DJ36" s="937"/>
      <c r="DK36" s="937"/>
      <c r="DL36" s="937"/>
      <c r="DN36" s="309">
        <f>IF($CR$17=$CQ$62,Underwriting!$L$244,Underwriting!$L$245)</f>
        <v>-76389582.872717112</v>
      </c>
      <c r="DO36" s="309">
        <f>IF($CR$17=$CQ$62,Underwriting!$M$244,Underwriting!$M$245)</f>
        <v>70562.268970067496</v>
      </c>
      <c r="DP36" s="309">
        <f>IF($CR$17=$CQ$62,Underwriting!$N$244,Underwriting!$N$245)</f>
        <v>0</v>
      </c>
      <c r="DQ36" s="309">
        <f>IF($CR$17=$CQ$62,Underwriting!$O$244,Underwriting!$O$245)</f>
        <v>52683.47823085892</v>
      </c>
      <c r="DR36" s="309">
        <f>IF($CR$17=$CQ$62,Underwriting!$P$244,Underwriting!$P$245)</f>
        <v>73917.592887241393</v>
      </c>
      <c r="DS36" s="309">
        <f>IF($CR$17=$CQ$62,Underwriting!$Q$244,Underwriting!$Q$245)</f>
        <v>100597.62539995834</v>
      </c>
      <c r="DT36" s="309">
        <f>IF($CR$17=$CQ$62,Underwriting!$R$244,Underwriting!$R$245)</f>
        <v>132711.21484693745</v>
      </c>
      <c r="DU36" s="309">
        <f>IF($CR$17=$CQ$62,Underwriting!$S$244,Underwriting!$S$245)</f>
        <v>169571.13126643002</v>
      </c>
      <c r="DV36" s="309">
        <f>IF($CR$17=$CQ$62,Underwriting!$T$244,Underwriting!$T$245)</f>
        <v>209638.92700129561</v>
      </c>
      <c r="DW36" s="309">
        <f>IF($CR$17=$CQ$62,Underwriting!$U$244,Underwriting!$U$245)</f>
        <v>250432.28312832303</v>
      </c>
      <c r="DX36" s="309">
        <f>IF($CR$17=$CQ$62,Underwriting!$V$244,Underwriting!$V$245)</f>
        <v>288567.01646289043</v>
      </c>
      <c r="DY36" s="309">
        <f>IF($CR$17=$CQ$62,Underwriting!$W$244,Underwriting!$W$245)</f>
        <v>319971.35631248169</v>
      </c>
      <c r="DZ36" s="309">
        <f>IF($CR$17=$CQ$62,Underwriting!$X$244,Underwriting!$X$245)</f>
        <v>340282.33397308737</v>
      </c>
      <c r="EA36" s="309">
        <f>IF($CR$17=$CQ$62,Underwriting!$Y$244,Underwriting!$Y$245)</f>
        <v>-1932832.6541841328</v>
      </c>
      <c r="EB36" s="309">
        <f>IF($CR$17=$CQ$62,Underwriting!$Z$244,Underwriting!$Z$245)</f>
        <v>-9018148.7201975472</v>
      </c>
      <c r="EC36" s="309">
        <f>IF($CR$17=$CQ$62,Underwriting!$AA$244,Underwriting!$AA$245)</f>
        <v>-9899906.2401258312</v>
      </c>
      <c r="ED36" s="309">
        <f>IF($CR$17=$CQ$62,Underwriting!$AB$244,Underwriting!$AB$245)</f>
        <v>-10594941.16352598</v>
      </c>
      <c r="EE36" s="309">
        <f>IF($CR$17=$CQ$62,Underwriting!$AC$244,Underwriting!$AC$245)</f>
        <v>-11168623.014029484</v>
      </c>
      <c r="EF36" s="309">
        <f>IF($CR$17=$CQ$62,Underwriting!$AD$244,Underwriting!$AD$245)</f>
        <v>-11476435.484353572</v>
      </c>
      <c r="EG36" s="309">
        <f>IF($CR$17=$CQ$62,Underwriting!$AE$244,Underwriting!$AE$245)</f>
        <v>-11500747.807484064</v>
      </c>
      <c r="EH36" s="309">
        <f>IF($CR$17=$CQ$62,Underwriting!$AF$244,Underwriting!$AF$245)</f>
        <v>-11200802.193184778</v>
      </c>
      <c r="EI36" s="309">
        <f>IF($CR$17=$CQ$62,Underwriting!$AG$244,Underwriting!$AG$245)</f>
        <v>-10560401.808855567</v>
      </c>
      <c r="EJ36" s="309">
        <f>IF($CR$17=$CQ$62,Underwriting!$AH$244,Underwriting!$AH$245)</f>
        <v>-9007015.4887131397</v>
      </c>
      <c r="EK36" s="309">
        <f>IF($CR$17=$CQ$62,Underwriting!$AI$244,Underwriting!$AI$245)</f>
        <v>-8037972.8637852902</v>
      </c>
      <c r="EL36" s="309">
        <f>IF($CR$17=$CQ$62,Underwriting!$AJ$244,Underwriting!$AJ$245)</f>
        <v>-7003744.5955059687</v>
      </c>
      <c r="EM36" s="309">
        <f>IF($CR$17=$CQ$62,Underwriting!$AK$244,Underwriting!$AK$245)</f>
        <v>-5750851.2834514072</v>
      </c>
      <c r="EN36" s="309">
        <f>IF($CR$17=$CQ$62,Underwriting!$AL$244,Underwriting!$AL$245)</f>
        <v>-4766158.5265351916</v>
      </c>
      <c r="EO36" s="309">
        <f>IF($CR$17=$CQ$62,Underwriting!$AM$244,Underwriting!$AM$245)</f>
        <v>-3873205.3960134638</v>
      </c>
      <c r="EP36" s="309">
        <f>IF($CR$17=$CQ$62,Underwriting!$AN$244,Underwriting!$AN$245)</f>
        <v>-2923275.520515983</v>
      </c>
      <c r="EQ36" s="309">
        <f>IF($CR$17=$CQ$62,Underwriting!$AO$244,Underwriting!$AO$245)</f>
        <v>-2276010.0856580529</v>
      </c>
      <c r="ER36" s="309">
        <f>IF($CR$17=$CQ$62,Underwriting!$AP$244,Underwriting!$AP$245)</f>
        <v>-2650739.4435757259</v>
      </c>
      <c r="ES36" s="309">
        <f>IF($CR$17=$CQ$62,Underwriting!$AQ$244,Underwriting!$AQ$245)</f>
        <v>-2596004.2703655614</v>
      </c>
      <c r="ET36" s="309">
        <f>IF($CR$17=$CQ$62,Underwriting!$AR$244,Underwriting!$AR$245)</f>
        <v>-1937292.4101016719</v>
      </c>
      <c r="EU36" s="309">
        <f>IF($CR$17=$CQ$62,Underwriting!$AS$244,Underwriting!$AS$245)</f>
        <v>-1455784.2709663643</v>
      </c>
      <c r="EV36" s="309">
        <f>IF($CR$17=$CQ$62,Underwriting!$AT$244,Underwriting!$AT$245)</f>
        <v>-1083442.3940526801</v>
      </c>
      <c r="EW36" s="309">
        <f>IF($CR$17=$CQ$62,Underwriting!$AU$244,Underwriting!$AU$245)</f>
        <v>-852358.66986050736</v>
      </c>
      <c r="EX36" s="309">
        <f>IF($CR$17=$CQ$62,Underwriting!$AV$244,Underwriting!$AV$245)</f>
        <v>-701328.93346127542</v>
      </c>
      <c r="EY36" s="309">
        <f>IF($CR$17=$CQ$62,Underwriting!$AW$244,Underwriting!$AW$245)</f>
        <v>-35865.47816403769</v>
      </c>
      <c r="EZ36" s="309">
        <f>IF($CR$17=$CQ$62,Underwriting!$AX$244,Underwriting!$AX$245)</f>
        <v>164230.6805146893</v>
      </c>
      <c r="FA36" s="309">
        <f>IF($CR$17=$CQ$62,Underwriting!$AY$244,Underwriting!$AY$245)</f>
        <v>364286.76529399911</v>
      </c>
      <c r="FB36" s="309">
        <f>IF($CR$17=$CQ$62,Underwriting!$AZ$244,Underwriting!$AZ$245)</f>
        <v>572380.13607966923</v>
      </c>
      <c r="FC36" s="309">
        <f>IF($CR$17=$CQ$62,Underwriting!$BA$244,Underwriting!$BA$245)</f>
        <v>773016.00189663284</v>
      </c>
      <c r="FD36" s="309">
        <f>IF($CR$17=$CQ$62,Underwriting!$BB$244,Underwriting!$BB$245)</f>
        <v>973611.13907960732</v>
      </c>
      <c r="FE36" s="309">
        <f>$FE$15+($CQ$104-1)*$CR$52*1000000*IF($CR$17=$CQ$62,Underwriting!$BC$239,Underwriting!$BC$240)/SUM(Underwriting!$BC$239:$BC$240)</f>
        <v>455925037.73594785</v>
      </c>
    </row>
    <row r="37" spans="1:161" x14ac:dyDescent="0.35">
      <c r="A37" s="307"/>
      <c r="B37" s="971" t="s">
        <v>902</v>
      </c>
      <c r="C37" s="971"/>
      <c r="D37" s="971"/>
      <c r="E37" s="971"/>
      <c r="F37" s="971"/>
      <c r="G37" s="971"/>
      <c r="H37" s="971"/>
      <c r="I37" s="971"/>
      <c r="J37" s="971"/>
      <c r="K37" s="971"/>
      <c r="L37" s="971"/>
      <c r="M37" s="971"/>
      <c r="N37" s="971"/>
      <c r="O37" s="971"/>
      <c r="P37" s="972"/>
      <c r="CQ37" s="307" t="str">
        <f>Underwriting!$B$104</f>
        <v>eBike / eScooter Storage</v>
      </c>
      <c r="CR37" s="308" t="str">
        <f>IF(Underwriting!$I$104&gt;0,"NOI / cap rate",IF(AND('Tenant Report'!$O$45&gt;0,$CR$10&lt;&gt;"",$CR$11&lt;&gt;""),"EBITDA multiple","Operating case — not valued"))</f>
        <v>Operating case — not valued</v>
      </c>
      <c r="CS37" s="311">
        <f>Underwriting!$E$104</f>
        <v>150</v>
      </c>
      <c r="CT37" s="311">
        <f>Underwriting!$I$104/1000000</f>
        <v>0</v>
      </c>
      <c r="CU37" s="309">
        <f>IF(Underwriting!$I$104=0,0,$DA$10*Underwriting!$I$104/Underwriting!$I$105)</f>
        <v>0</v>
      </c>
      <c r="CV37" s="312" t="str">
        <f>IF(Underwriting!$I$104=0,"",$DA$11)</f>
        <v/>
      </c>
      <c r="CW37" s="309">
        <f t="shared" si="9"/>
        <v>0</v>
      </c>
      <c r="CX37" s="311">
        <f>IF(Underwriting!$I$104=0,'Tenant Report'!$O$45,0)</f>
        <v>0.15</v>
      </c>
      <c r="CY37" s="312" t="str">
        <f t="shared" si="10"/>
        <v/>
      </c>
      <c r="CZ37" s="309">
        <f t="shared" si="11"/>
        <v>0</v>
      </c>
      <c r="DA37" s="314" t="str">
        <f t="shared" si="12"/>
        <v/>
      </c>
      <c r="DB37" s="309">
        <f t="shared" si="13"/>
        <v>0</v>
      </c>
      <c r="DC37" s="309">
        <f t="shared" si="14"/>
        <v>0</v>
      </c>
      <c r="DD37" s="979" t="str">
        <f>IF(Underwriting!$I$104&gt;0,"Model rent allocation; property-only value.","Revenue linked to Tenant Report; margin and multiple illustrative.")</f>
        <v>Revenue linked to Tenant Report; margin and multiple illustrative.</v>
      </c>
      <c r="DE37" s="937"/>
      <c r="DF37" s="937"/>
      <c r="DG37" s="937"/>
      <c r="DH37" s="937"/>
      <c r="DI37" s="937"/>
      <c r="DJ37" s="937"/>
      <c r="DK37" s="937"/>
      <c r="DL37" s="937"/>
      <c r="DN37" s="309">
        <f>IF($CR$17=$CQ$62,Underwriting!$L$244,Underwriting!$L$245)</f>
        <v>-76389582.872717112</v>
      </c>
      <c r="DO37" s="309">
        <f>IF($CR$17=$CQ$62,Underwriting!$M$244,Underwriting!$M$245)</f>
        <v>70562.268970067496</v>
      </c>
      <c r="DP37" s="309">
        <f>IF($CR$17=$CQ$62,Underwriting!$N$244,Underwriting!$N$245)</f>
        <v>0</v>
      </c>
      <c r="DQ37" s="309">
        <f>IF($CR$17=$CQ$62,Underwriting!$O$244,Underwriting!$O$245)</f>
        <v>52683.47823085892</v>
      </c>
      <c r="DR37" s="309">
        <f>IF($CR$17=$CQ$62,Underwriting!$P$244,Underwriting!$P$245)</f>
        <v>73917.592887241393</v>
      </c>
      <c r="DS37" s="309">
        <f>IF($CR$17=$CQ$62,Underwriting!$Q$244,Underwriting!$Q$245)</f>
        <v>100597.62539995834</v>
      </c>
      <c r="DT37" s="309">
        <f>IF($CR$17=$CQ$62,Underwriting!$R$244,Underwriting!$R$245)</f>
        <v>132711.21484693745</v>
      </c>
      <c r="DU37" s="309">
        <f>IF($CR$17=$CQ$62,Underwriting!$S$244,Underwriting!$S$245)</f>
        <v>169571.13126643002</v>
      </c>
      <c r="DV37" s="309">
        <f>IF($CR$17=$CQ$62,Underwriting!$T$244,Underwriting!$T$245)</f>
        <v>209638.92700129561</v>
      </c>
      <c r="DW37" s="309">
        <f>IF($CR$17=$CQ$62,Underwriting!$U$244,Underwriting!$U$245)</f>
        <v>250432.28312832303</v>
      </c>
      <c r="DX37" s="309">
        <f>IF($CR$17=$CQ$62,Underwriting!$V$244,Underwriting!$V$245)</f>
        <v>288567.01646289043</v>
      </c>
      <c r="DY37" s="309">
        <f>IF($CR$17=$CQ$62,Underwriting!$W$244,Underwriting!$W$245)</f>
        <v>319971.35631248169</v>
      </c>
      <c r="DZ37" s="309">
        <f>IF($CR$17=$CQ$62,Underwriting!$X$244,Underwriting!$X$245)</f>
        <v>340282.33397308737</v>
      </c>
      <c r="EA37" s="309">
        <f>IF($CR$17=$CQ$62,Underwriting!$Y$244,Underwriting!$Y$245)</f>
        <v>-1932832.6541841328</v>
      </c>
      <c r="EB37" s="309">
        <f>IF($CR$17=$CQ$62,Underwriting!$Z$244,Underwriting!$Z$245)</f>
        <v>-9018148.7201975472</v>
      </c>
      <c r="EC37" s="309">
        <f>IF($CR$17=$CQ$62,Underwriting!$AA$244,Underwriting!$AA$245)</f>
        <v>-9899906.2401258312</v>
      </c>
      <c r="ED37" s="309">
        <f>IF($CR$17=$CQ$62,Underwriting!$AB$244,Underwriting!$AB$245)</f>
        <v>-10594941.16352598</v>
      </c>
      <c r="EE37" s="309">
        <f>IF($CR$17=$CQ$62,Underwriting!$AC$244,Underwriting!$AC$245)</f>
        <v>-11168623.014029484</v>
      </c>
      <c r="EF37" s="309">
        <f>IF($CR$17=$CQ$62,Underwriting!$AD$244,Underwriting!$AD$245)</f>
        <v>-11476435.484353572</v>
      </c>
      <c r="EG37" s="309">
        <f>IF($CR$17=$CQ$62,Underwriting!$AE$244,Underwriting!$AE$245)</f>
        <v>-11500747.807484064</v>
      </c>
      <c r="EH37" s="309">
        <f>IF($CR$17=$CQ$62,Underwriting!$AF$244,Underwriting!$AF$245)</f>
        <v>-11200802.193184778</v>
      </c>
      <c r="EI37" s="309">
        <f>IF($CR$17=$CQ$62,Underwriting!$AG$244,Underwriting!$AG$245)</f>
        <v>-10560401.808855567</v>
      </c>
      <c r="EJ37" s="309">
        <f>IF($CR$17=$CQ$62,Underwriting!$AH$244,Underwriting!$AH$245)</f>
        <v>-9007015.4887131397</v>
      </c>
      <c r="EK37" s="309">
        <f>IF($CR$17=$CQ$62,Underwriting!$AI$244,Underwriting!$AI$245)</f>
        <v>-8037972.8637852902</v>
      </c>
      <c r="EL37" s="309">
        <f>IF($CR$17=$CQ$62,Underwriting!$AJ$244,Underwriting!$AJ$245)</f>
        <v>-7003744.5955059687</v>
      </c>
      <c r="EM37" s="309">
        <f>IF($CR$17=$CQ$62,Underwriting!$AK$244,Underwriting!$AK$245)</f>
        <v>-5750851.2834514072</v>
      </c>
      <c r="EN37" s="309">
        <f>IF($CR$17=$CQ$62,Underwriting!$AL$244,Underwriting!$AL$245)</f>
        <v>-4766158.5265351916</v>
      </c>
      <c r="EO37" s="309">
        <f>IF($CR$17=$CQ$62,Underwriting!$AM$244,Underwriting!$AM$245)</f>
        <v>-3873205.3960134638</v>
      </c>
      <c r="EP37" s="309">
        <f>IF($CR$17=$CQ$62,Underwriting!$AN$244,Underwriting!$AN$245)</f>
        <v>-2923275.520515983</v>
      </c>
      <c r="EQ37" s="309">
        <f>IF($CR$17=$CQ$62,Underwriting!$AO$244,Underwriting!$AO$245)</f>
        <v>-2276010.0856580529</v>
      </c>
      <c r="ER37" s="309">
        <f>IF($CR$17=$CQ$62,Underwriting!$AP$244,Underwriting!$AP$245)</f>
        <v>-2650739.4435757259</v>
      </c>
      <c r="ES37" s="309">
        <f>IF($CR$17=$CQ$62,Underwriting!$AQ$244,Underwriting!$AQ$245)</f>
        <v>-2596004.2703655614</v>
      </c>
      <c r="ET37" s="309">
        <f>IF($CR$17=$CQ$62,Underwriting!$AR$244,Underwriting!$AR$245)</f>
        <v>-1937292.4101016719</v>
      </c>
      <c r="EU37" s="309">
        <f>IF($CR$17=$CQ$62,Underwriting!$AS$244,Underwriting!$AS$245)</f>
        <v>-1455784.2709663643</v>
      </c>
      <c r="EV37" s="309">
        <f>IF($CR$17=$CQ$62,Underwriting!$AT$244,Underwriting!$AT$245)</f>
        <v>-1083442.3940526801</v>
      </c>
      <c r="EW37" s="309">
        <f>IF($CR$17=$CQ$62,Underwriting!$AU$244,Underwriting!$AU$245)</f>
        <v>-852358.66986050736</v>
      </c>
      <c r="EX37" s="309">
        <f>IF($CR$17=$CQ$62,Underwriting!$AV$244,Underwriting!$AV$245)</f>
        <v>-701328.93346127542</v>
      </c>
      <c r="EY37" s="309">
        <f>IF($CR$17=$CQ$62,Underwriting!$AW$244,Underwriting!$AW$245)</f>
        <v>-35865.47816403769</v>
      </c>
      <c r="EZ37" s="309">
        <f>IF($CR$17=$CQ$62,Underwriting!$AX$244,Underwriting!$AX$245)</f>
        <v>164230.6805146893</v>
      </c>
      <c r="FA37" s="309">
        <f>IF($CR$17=$CQ$62,Underwriting!$AY$244,Underwriting!$AY$245)</f>
        <v>364286.76529399911</v>
      </c>
      <c r="FB37" s="309">
        <f>IF($CR$17=$CQ$62,Underwriting!$AZ$244,Underwriting!$AZ$245)</f>
        <v>572380.13607966923</v>
      </c>
      <c r="FC37" s="309">
        <f>IF($CR$17=$CQ$62,Underwriting!$BA$244,Underwriting!$BA$245)</f>
        <v>773016.00189663284</v>
      </c>
      <c r="FD37" s="309">
        <f>IF($CR$17=$CQ$62,Underwriting!$BB$244,Underwriting!$BB$245)</f>
        <v>973611.13907960732</v>
      </c>
      <c r="FE37" s="309">
        <f>$FE$15+($CQ$105-1)*$CR$52*1000000*IF($CR$17=$CQ$62,Underwriting!$BC$239,Underwriting!$BC$240)/SUM(Underwriting!$BC$239:$BC$240)</f>
        <v>501399570.81017447</v>
      </c>
    </row>
    <row r="38" spans="1:161" x14ac:dyDescent="0.35">
      <c r="A38" s="307"/>
      <c r="B38" s="691" t="s">
        <v>773</v>
      </c>
      <c r="C38" s="867">
        <f>Underwriting!$I$69/1000000</f>
        <v>215.66291688274751</v>
      </c>
      <c r="D38" s="692" t="s">
        <v>530</v>
      </c>
      <c r="E38" s="973" t="s">
        <v>903</v>
      </c>
      <c r="F38" s="973"/>
      <c r="G38" s="973"/>
      <c r="H38" s="973"/>
      <c r="I38" s="691"/>
      <c r="J38" s="693" t="s">
        <v>904</v>
      </c>
      <c r="K38" s="973" t="s">
        <v>905</v>
      </c>
      <c r="L38" s="973"/>
      <c r="M38" s="973"/>
      <c r="N38" s="973"/>
      <c r="O38" s="973"/>
      <c r="P38" s="973"/>
      <c r="CQ38" s="939" t="s">
        <v>906</v>
      </c>
      <c r="CR38" s="937"/>
      <c r="CS38" s="319">
        <f>SUM(CS26:CS37)</f>
        <v>78470.38</v>
      </c>
      <c r="CT38" s="319">
        <f>SUM(CT26:CT37)</f>
        <v>15.28</v>
      </c>
      <c r="CU38" s="319">
        <f>SUM(CU26:CU37)</f>
        <v>45.541921747395804</v>
      </c>
      <c r="CW38" s="319">
        <f>SUM(CW26:CW37)</f>
        <v>679.64702791220645</v>
      </c>
      <c r="CX38" s="319">
        <f>SUM(CX26:CX37)</f>
        <v>15.490856099514534</v>
      </c>
      <c r="CZ38" s="319">
        <f>SUM(CZ26:CZ37)</f>
        <v>0</v>
      </c>
      <c r="DB38" s="319">
        <f>SUM(DB26:DB37)</f>
        <v>0</v>
      </c>
      <c r="DC38" s="319">
        <f>SUM(DC26:DC37)</f>
        <v>679.64702791220645</v>
      </c>
      <c r="DD38" s="940" t="s">
        <v>907</v>
      </c>
      <c r="DE38" s="937"/>
      <c r="DF38" s="937"/>
      <c r="DG38" s="937"/>
      <c r="DH38" s="937"/>
      <c r="DI38" s="937"/>
      <c r="DJ38" s="937"/>
      <c r="DK38" s="937"/>
      <c r="DL38" s="937"/>
      <c r="DN38" s="309">
        <f>IF($CR$17=$CQ$62,Underwriting!$L$244,Underwriting!$L$245)</f>
        <v>-76389582.872717112</v>
      </c>
      <c r="DO38" s="309">
        <f>IF($CR$17=$CQ$62,Underwriting!$M$244,Underwriting!$M$245)</f>
        <v>70562.268970067496</v>
      </c>
      <c r="DP38" s="309">
        <f>IF($CR$17=$CQ$62,Underwriting!$N$244,Underwriting!$N$245)</f>
        <v>0</v>
      </c>
      <c r="DQ38" s="309">
        <f>IF($CR$17=$CQ$62,Underwriting!$O$244,Underwriting!$O$245)</f>
        <v>52683.47823085892</v>
      </c>
      <c r="DR38" s="309">
        <f>IF($CR$17=$CQ$62,Underwriting!$P$244,Underwriting!$P$245)</f>
        <v>73917.592887241393</v>
      </c>
      <c r="DS38" s="309">
        <f>IF($CR$17=$CQ$62,Underwriting!$Q$244,Underwriting!$Q$245)</f>
        <v>100597.62539995834</v>
      </c>
      <c r="DT38" s="309">
        <f>IF($CR$17=$CQ$62,Underwriting!$R$244,Underwriting!$R$245)</f>
        <v>132711.21484693745</v>
      </c>
      <c r="DU38" s="309">
        <f>IF($CR$17=$CQ$62,Underwriting!$S$244,Underwriting!$S$245)</f>
        <v>169571.13126643002</v>
      </c>
      <c r="DV38" s="309">
        <f>IF($CR$17=$CQ$62,Underwriting!$T$244,Underwriting!$T$245)</f>
        <v>209638.92700129561</v>
      </c>
      <c r="DW38" s="309">
        <f>IF($CR$17=$CQ$62,Underwriting!$U$244,Underwriting!$U$245)</f>
        <v>250432.28312832303</v>
      </c>
      <c r="DX38" s="309">
        <f>IF($CR$17=$CQ$62,Underwriting!$V$244,Underwriting!$V$245)</f>
        <v>288567.01646289043</v>
      </c>
      <c r="DY38" s="309">
        <f>IF($CR$17=$CQ$62,Underwriting!$W$244,Underwriting!$W$245)</f>
        <v>319971.35631248169</v>
      </c>
      <c r="DZ38" s="309">
        <f>IF($CR$17=$CQ$62,Underwriting!$X$244,Underwriting!$X$245)</f>
        <v>340282.33397308737</v>
      </c>
      <c r="EA38" s="309">
        <f>IF($CR$17=$CQ$62,Underwriting!$Y$244,Underwriting!$Y$245)</f>
        <v>-1932832.6541841328</v>
      </c>
      <c r="EB38" s="309">
        <f>IF($CR$17=$CQ$62,Underwriting!$Z$244,Underwriting!$Z$245)</f>
        <v>-9018148.7201975472</v>
      </c>
      <c r="EC38" s="309">
        <f>IF($CR$17=$CQ$62,Underwriting!$AA$244,Underwriting!$AA$245)</f>
        <v>-9899906.2401258312</v>
      </c>
      <c r="ED38" s="309">
        <f>IF($CR$17=$CQ$62,Underwriting!$AB$244,Underwriting!$AB$245)</f>
        <v>-10594941.16352598</v>
      </c>
      <c r="EE38" s="309">
        <f>IF($CR$17=$CQ$62,Underwriting!$AC$244,Underwriting!$AC$245)</f>
        <v>-11168623.014029484</v>
      </c>
      <c r="EF38" s="309">
        <f>IF($CR$17=$CQ$62,Underwriting!$AD$244,Underwriting!$AD$245)</f>
        <v>-11476435.484353572</v>
      </c>
      <c r="EG38" s="309">
        <f>IF($CR$17=$CQ$62,Underwriting!$AE$244,Underwriting!$AE$245)</f>
        <v>-11500747.807484064</v>
      </c>
      <c r="EH38" s="309">
        <f>IF($CR$17=$CQ$62,Underwriting!$AF$244,Underwriting!$AF$245)</f>
        <v>-11200802.193184778</v>
      </c>
      <c r="EI38" s="309">
        <f>IF($CR$17=$CQ$62,Underwriting!$AG$244,Underwriting!$AG$245)</f>
        <v>-10560401.808855567</v>
      </c>
      <c r="EJ38" s="309">
        <f>IF($CR$17=$CQ$62,Underwriting!$AH$244,Underwriting!$AH$245)</f>
        <v>-9007015.4887131397</v>
      </c>
      <c r="EK38" s="309">
        <f>IF($CR$17=$CQ$62,Underwriting!$AI$244,Underwriting!$AI$245)</f>
        <v>-8037972.8637852902</v>
      </c>
      <c r="EL38" s="309">
        <f>IF($CR$17=$CQ$62,Underwriting!$AJ$244,Underwriting!$AJ$245)</f>
        <v>-7003744.5955059687</v>
      </c>
      <c r="EM38" s="309">
        <f>IF($CR$17=$CQ$62,Underwriting!$AK$244,Underwriting!$AK$245)</f>
        <v>-5750851.2834514072</v>
      </c>
      <c r="EN38" s="309">
        <f>IF($CR$17=$CQ$62,Underwriting!$AL$244,Underwriting!$AL$245)</f>
        <v>-4766158.5265351916</v>
      </c>
      <c r="EO38" s="309">
        <f>IF($CR$17=$CQ$62,Underwriting!$AM$244,Underwriting!$AM$245)</f>
        <v>-3873205.3960134638</v>
      </c>
      <c r="EP38" s="309">
        <f>IF($CR$17=$CQ$62,Underwriting!$AN$244,Underwriting!$AN$245)</f>
        <v>-2923275.520515983</v>
      </c>
      <c r="EQ38" s="309">
        <f>IF($CR$17=$CQ$62,Underwriting!$AO$244,Underwriting!$AO$245)</f>
        <v>-2276010.0856580529</v>
      </c>
      <c r="ER38" s="309">
        <f>IF($CR$17=$CQ$62,Underwriting!$AP$244,Underwriting!$AP$245)</f>
        <v>-2650739.4435757259</v>
      </c>
      <c r="ES38" s="309">
        <f>IF($CR$17=$CQ$62,Underwriting!$AQ$244,Underwriting!$AQ$245)</f>
        <v>-2596004.2703655614</v>
      </c>
      <c r="ET38" s="309">
        <f>IF($CR$17=$CQ$62,Underwriting!$AR$244,Underwriting!$AR$245)</f>
        <v>-1937292.4101016719</v>
      </c>
      <c r="EU38" s="309">
        <f>IF($CR$17=$CQ$62,Underwriting!$AS$244,Underwriting!$AS$245)</f>
        <v>-1455784.2709663643</v>
      </c>
      <c r="EV38" s="309">
        <f>IF($CR$17=$CQ$62,Underwriting!$AT$244,Underwriting!$AT$245)</f>
        <v>-1083442.3940526801</v>
      </c>
      <c r="EW38" s="309">
        <f>IF($CR$17=$CQ$62,Underwriting!$AU$244,Underwriting!$AU$245)</f>
        <v>-852358.66986050736</v>
      </c>
      <c r="EX38" s="309">
        <f>IF($CR$17=$CQ$62,Underwriting!$AV$244,Underwriting!$AV$245)</f>
        <v>-701328.93346127542</v>
      </c>
      <c r="EY38" s="309">
        <f>IF($CR$17=$CQ$62,Underwriting!$AW$244,Underwriting!$AW$245)</f>
        <v>-35865.47816403769</v>
      </c>
      <c r="EZ38" s="309">
        <f>IF($CR$17=$CQ$62,Underwriting!$AX$244,Underwriting!$AX$245)</f>
        <v>164230.6805146893</v>
      </c>
      <c r="FA38" s="309">
        <f>IF($CR$17=$CQ$62,Underwriting!$AY$244,Underwriting!$AY$245)</f>
        <v>364286.76529399911</v>
      </c>
      <c r="FB38" s="309">
        <f>IF($CR$17=$CQ$62,Underwriting!$AZ$244,Underwriting!$AZ$245)</f>
        <v>572380.13607966923</v>
      </c>
      <c r="FC38" s="309">
        <f>IF($CR$17=$CQ$62,Underwriting!$BA$244,Underwriting!$BA$245)</f>
        <v>773016.00189663284</v>
      </c>
      <c r="FD38" s="309">
        <f>IF($CR$17=$CQ$62,Underwriting!$BB$244,Underwriting!$BB$245)</f>
        <v>973611.13907960732</v>
      </c>
      <c r="FE38" s="309">
        <f>$FE$15+($CQ$106-1)*$CR$52*1000000*IF($CR$17=$CQ$62,Underwriting!$BC$239,Underwriting!$BC$240)/SUM(Underwriting!$BC$239:$BC$240)</f>
        <v>546874103.88440108</v>
      </c>
    </row>
    <row r="39" spans="1:161" x14ac:dyDescent="0.35">
      <c r="A39" s="307"/>
      <c r="B39" s="671" t="s">
        <v>908</v>
      </c>
      <c r="C39" s="673">
        <f>'FUNDING &amp; CAP TABLE'!$D$18</f>
        <v>215.66291688274751</v>
      </c>
      <c r="D39" s="677" t="s">
        <v>530</v>
      </c>
      <c r="E39" s="964" t="s">
        <v>909</v>
      </c>
      <c r="F39" s="964"/>
      <c r="G39" s="964"/>
      <c r="H39" s="964"/>
      <c r="I39" s="671"/>
      <c r="J39" s="678" t="s">
        <v>910</v>
      </c>
      <c r="K39" s="964" t="s">
        <v>911</v>
      </c>
      <c r="L39" s="964"/>
      <c r="M39" s="964"/>
      <c r="N39" s="964"/>
      <c r="O39" s="964"/>
      <c r="P39" s="964"/>
      <c r="CQ39" s="934" t="s">
        <v>912</v>
      </c>
      <c r="CR39" s="937"/>
      <c r="CS39" s="937"/>
      <c r="CT39" s="937"/>
      <c r="CU39" s="937"/>
      <c r="CV39" s="937"/>
      <c r="CW39" s="937"/>
      <c r="CX39" s="937"/>
      <c r="CY39" s="937"/>
      <c r="CZ39" s="937"/>
      <c r="DA39" s="937"/>
      <c r="DB39" s="937"/>
      <c r="DC39" s="937"/>
      <c r="DD39" s="937"/>
      <c r="DE39" s="937"/>
      <c r="DF39" s="937"/>
      <c r="DG39" s="937"/>
      <c r="DH39" s="937"/>
      <c r="DI39" s="937"/>
      <c r="DJ39" s="937"/>
      <c r="DK39" s="937"/>
      <c r="DL39" s="937"/>
    </row>
    <row r="40" spans="1:161" x14ac:dyDescent="0.35">
      <c r="A40" s="307"/>
      <c r="B40" s="671" t="s">
        <v>913</v>
      </c>
      <c r="C40" s="673">
        <f>C39-C38</f>
        <v>0</v>
      </c>
      <c r="D40" s="677" t="s">
        <v>530</v>
      </c>
      <c r="E40" s="964" t="s">
        <v>914</v>
      </c>
      <c r="F40" s="964"/>
      <c r="G40" s="964"/>
      <c r="H40" s="964"/>
      <c r="I40" s="671"/>
      <c r="J40" s="678" t="s">
        <v>915</v>
      </c>
      <c r="K40" s="964" t="s">
        <v>916</v>
      </c>
      <c r="L40" s="964"/>
      <c r="M40" s="964"/>
      <c r="N40" s="964"/>
      <c r="O40" s="964"/>
      <c r="P40" s="964"/>
    </row>
    <row r="41" spans="1:161" x14ac:dyDescent="0.35">
      <c r="A41" s="307"/>
      <c r="B41" s="671" t="s">
        <v>917</v>
      </c>
      <c r="C41" s="672">
        <f>$H$34</f>
        <v>1</v>
      </c>
      <c r="D41" s="677" t="s">
        <v>83</v>
      </c>
      <c r="E41" s="964" t="s">
        <v>918</v>
      </c>
      <c r="F41" s="964"/>
      <c r="G41" s="964"/>
      <c r="H41" s="964"/>
      <c r="I41" s="671"/>
      <c r="J41" s="678" t="s">
        <v>919</v>
      </c>
      <c r="K41" s="964" t="s">
        <v>920</v>
      </c>
      <c r="L41" s="964"/>
      <c r="M41" s="964"/>
      <c r="N41" s="964"/>
      <c r="O41" s="964"/>
      <c r="P41" s="964"/>
      <c r="CQ41" s="939" t="s">
        <v>921</v>
      </c>
      <c r="CR41" s="937"/>
      <c r="CS41" s="937"/>
      <c r="CT41" s="937"/>
      <c r="CU41" s="937"/>
      <c r="CV41" s="937"/>
      <c r="CW41" s="937"/>
      <c r="CX41" s="937"/>
      <c r="CZ41" s="939" t="s">
        <v>922</v>
      </c>
      <c r="DA41" s="937"/>
      <c r="DB41" s="937"/>
      <c r="DC41" s="937"/>
      <c r="DD41" s="937"/>
      <c r="DE41" s="937"/>
      <c r="DF41" s="937"/>
      <c r="DG41" s="937"/>
      <c r="DH41" s="937"/>
      <c r="DI41" s="937"/>
      <c r="DJ41" s="937"/>
      <c r="DK41" s="937"/>
      <c r="DL41" s="937"/>
    </row>
    <row r="42" spans="1:161" x14ac:dyDescent="0.35">
      <c r="A42" s="307"/>
      <c r="B42" s="671" t="s">
        <v>923</v>
      </c>
      <c r="C42" s="727" t="str">
        <f>IF(AND(ABS(C40)&lt;0.01,ABS(C41-1)&lt;0.000001),"PASS","RECONCILIATION REQUIRED")</f>
        <v>PASS</v>
      </c>
      <c r="D42" s="677" t="s">
        <v>924</v>
      </c>
      <c r="E42" s="964" t="s">
        <v>925</v>
      </c>
      <c r="F42" s="964"/>
      <c r="G42" s="964"/>
      <c r="H42" s="964"/>
      <c r="I42" s="671"/>
      <c r="J42" s="678" t="s">
        <v>926</v>
      </c>
      <c r="K42" s="964" t="s">
        <v>927</v>
      </c>
      <c r="L42" s="964"/>
      <c r="M42" s="964"/>
      <c r="N42" s="964"/>
      <c r="O42" s="964"/>
      <c r="P42" s="964"/>
      <c r="CQ42" s="307" t="s">
        <v>928</v>
      </c>
      <c r="CR42" s="309">
        <f>$CW$38</f>
        <v>679.64702791220645</v>
      </c>
      <c r="CS42" s="308" t="s">
        <v>530</v>
      </c>
      <c r="CT42" s="937"/>
      <c r="CU42" s="937"/>
      <c r="CV42" s="937"/>
      <c r="CW42" s="937"/>
      <c r="CX42" s="937"/>
      <c r="CZ42" s="307" t="s">
        <v>929</v>
      </c>
      <c r="DA42" s="312">
        <f>(1+IRR(Underwriting!$M$211:$BU$211,5%))^12-1</f>
        <v>0.2675057155269478</v>
      </c>
      <c r="DB42" s="308" t="s">
        <v>83</v>
      </c>
      <c r="DC42" s="934" t="s">
        <v>930</v>
      </c>
      <c r="DD42" s="937"/>
      <c r="DE42" s="937"/>
      <c r="DF42" s="937"/>
      <c r="DG42" s="937"/>
      <c r="DH42" s="937"/>
      <c r="DI42" s="937"/>
      <c r="DJ42" s="937"/>
      <c r="DK42" s="937"/>
      <c r="DL42" s="937"/>
    </row>
    <row r="43" spans="1:161" x14ac:dyDescent="0.35">
      <c r="A43" s="307"/>
      <c r="B43" s="671" t="s">
        <v>931</v>
      </c>
      <c r="C43" s="694">
        <f>Underwriting!$E$13</f>
        <v>46204</v>
      </c>
      <c r="D43" s="677" t="s">
        <v>787</v>
      </c>
      <c r="E43" s="964" t="s">
        <v>932</v>
      </c>
      <c r="F43" s="964"/>
      <c r="G43" s="964"/>
      <c r="H43" s="964"/>
      <c r="I43" s="671"/>
      <c r="J43" s="678" t="s">
        <v>933</v>
      </c>
      <c r="K43" s="964" t="s">
        <v>934</v>
      </c>
      <c r="L43" s="964"/>
      <c r="M43" s="964"/>
      <c r="N43" s="964"/>
      <c r="O43" s="964"/>
      <c r="P43" s="964"/>
      <c r="CQ43" s="307" t="s">
        <v>935</v>
      </c>
      <c r="CR43" s="309">
        <f>$DB$38</f>
        <v>0</v>
      </c>
      <c r="CS43" s="308" t="s">
        <v>530</v>
      </c>
      <c r="CT43" s="937"/>
      <c r="CU43" s="937"/>
      <c r="CV43" s="937"/>
      <c r="CW43" s="937"/>
      <c r="CX43" s="937"/>
      <c r="CZ43" s="307" t="s">
        <v>936</v>
      </c>
      <c r="DA43" s="312">
        <f>Underwriting!$H$211</f>
        <v>0.26738072037696836</v>
      </c>
      <c r="DB43" s="308" t="s">
        <v>83</v>
      </c>
      <c r="DC43" s="937"/>
      <c r="DD43" s="937"/>
      <c r="DE43" s="937"/>
      <c r="DF43" s="937"/>
      <c r="DG43" s="937"/>
      <c r="DH43" s="937"/>
      <c r="DI43" s="937"/>
      <c r="DJ43" s="937"/>
      <c r="DK43" s="937"/>
      <c r="DL43" s="937"/>
    </row>
    <row r="44" spans="1:161" x14ac:dyDescent="0.35">
      <c r="A44" s="307"/>
      <c r="B44" s="671" t="s">
        <v>937</v>
      </c>
      <c r="C44" s="694">
        <f>EDATE(Underwriting!$E$13,9)</f>
        <v>46478</v>
      </c>
      <c r="D44" s="677" t="s">
        <v>787</v>
      </c>
      <c r="E44" s="964" t="s">
        <v>938</v>
      </c>
      <c r="F44" s="964"/>
      <c r="G44" s="964"/>
      <c r="H44" s="964"/>
      <c r="I44" s="671"/>
      <c r="J44" s="678" t="s">
        <v>939</v>
      </c>
      <c r="K44" s="964" t="s">
        <v>940</v>
      </c>
      <c r="L44" s="964"/>
      <c r="M44" s="964"/>
      <c r="N44" s="964"/>
      <c r="O44" s="964"/>
      <c r="P44" s="964"/>
      <c r="CQ44" s="305" t="s">
        <v>941</v>
      </c>
      <c r="CR44" s="319">
        <f>SUM(CR42:CR43)</f>
        <v>679.64702791220645</v>
      </c>
      <c r="CS44" s="308" t="s">
        <v>530</v>
      </c>
      <c r="CT44" s="934" t="s">
        <v>942</v>
      </c>
      <c r="CU44" s="937"/>
      <c r="CV44" s="937"/>
      <c r="CW44" s="937"/>
      <c r="CX44" s="937"/>
      <c r="CZ44" s="307" t="s">
        <v>943</v>
      </c>
      <c r="DA44" s="309">
        <f>Underwriting!$M$211/1000000+NPV((1+$CR$8)^(1/12)-1,Underwriting!$N$211:$BU$211)/1000000</f>
        <v>234.95550369384642</v>
      </c>
      <c r="DB44" s="308" t="s">
        <v>530</v>
      </c>
      <c r="DC44" s="937" t="s">
        <v>944</v>
      </c>
      <c r="DD44" s="937"/>
      <c r="DE44" s="937"/>
      <c r="DF44" s="937"/>
      <c r="DG44" s="937"/>
      <c r="DH44" s="937"/>
      <c r="DI44" s="937"/>
      <c r="DJ44" s="937"/>
      <c r="DK44" s="937"/>
      <c r="DL44" s="937"/>
    </row>
    <row r="45" spans="1:161" x14ac:dyDescent="0.35">
      <c r="A45" s="307"/>
      <c r="B45" s="671" t="s">
        <v>786</v>
      </c>
      <c r="C45" s="694">
        <f>$C$14</f>
        <v>48030</v>
      </c>
      <c r="D45" s="677" t="s">
        <v>787</v>
      </c>
      <c r="E45" s="964" t="s">
        <v>945</v>
      </c>
      <c r="F45" s="964"/>
      <c r="G45" s="964"/>
      <c r="H45" s="964"/>
      <c r="I45" s="671"/>
      <c r="J45" s="678" t="s">
        <v>946</v>
      </c>
      <c r="K45" s="964" t="s">
        <v>947</v>
      </c>
      <c r="L45" s="964"/>
      <c r="M45" s="964"/>
      <c r="N45" s="964"/>
      <c r="O45" s="964"/>
      <c r="P45" s="964"/>
      <c r="CQ45" s="307" t="s">
        <v>689</v>
      </c>
      <c r="CR45" s="309">
        <f>$CR$16</f>
        <v>0</v>
      </c>
      <c r="CS45" s="308" t="s">
        <v>530</v>
      </c>
      <c r="CT45" s="937"/>
      <c r="CU45" s="937"/>
      <c r="CV45" s="937"/>
      <c r="CW45" s="937"/>
      <c r="CX45" s="937"/>
      <c r="CZ45" s="307" t="s">
        <v>948</v>
      </c>
      <c r="DA45" s="309">
        <f>XNPV($CR$8,Underwriting!$M$211:$BU$211,Underwriting!$M$195:$BU$195)/1000000</f>
        <v>234.87255702176378</v>
      </c>
      <c r="DB45" s="308" t="s">
        <v>530</v>
      </c>
      <c r="DC45" s="937" t="s">
        <v>949</v>
      </c>
      <c r="DD45" s="937"/>
      <c r="DE45" s="937"/>
      <c r="DF45" s="937"/>
      <c r="DG45" s="937"/>
      <c r="DH45" s="937"/>
      <c r="DI45" s="937"/>
      <c r="DJ45" s="937"/>
      <c r="DK45" s="937"/>
      <c r="DL45" s="937"/>
    </row>
    <row r="46" spans="1:161" x14ac:dyDescent="0.35">
      <c r="A46" s="307"/>
      <c r="B46" s="684" t="s">
        <v>950</v>
      </c>
      <c r="C46" s="695">
        <f>IFERROR((C45-C43)/365,0)</f>
        <v>5.0027397260273974</v>
      </c>
      <c r="D46" s="690" t="s">
        <v>951</v>
      </c>
      <c r="E46" s="977" t="s">
        <v>952</v>
      </c>
      <c r="F46" s="977"/>
      <c r="G46" s="977"/>
      <c r="H46" s="977"/>
      <c r="I46" s="684"/>
      <c r="J46" s="744" t="s">
        <v>953</v>
      </c>
      <c r="K46" s="977" t="s">
        <v>954</v>
      </c>
      <c r="L46" s="977"/>
      <c r="M46" s="977"/>
      <c r="N46" s="977"/>
      <c r="O46" s="977"/>
      <c r="P46" s="977"/>
      <c r="CQ46" s="305" t="s">
        <v>955</v>
      </c>
      <c r="CR46" s="319">
        <f>SUM(CR44:CR45)</f>
        <v>679.64702791220645</v>
      </c>
      <c r="CS46" s="308" t="s">
        <v>530</v>
      </c>
      <c r="CT46" s="937"/>
      <c r="CU46" s="937"/>
      <c r="CV46" s="937"/>
      <c r="CW46" s="937"/>
      <c r="CX46" s="937"/>
      <c r="CZ46" s="307" t="s">
        <v>956</v>
      </c>
      <c r="DA46" s="312">
        <f>(1+IRR(Underwriting!$M$212:$BU$212,5%))^12-1</f>
        <v>0.48810921876890268</v>
      </c>
      <c r="DB46" s="308" t="s">
        <v>83</v>
      </c>
      <c r="DC46" s="934" t="s">
        <v>957</v>
      </c>
      <c r="DD46" s="937"/>
      <c r="DE46" s="937"/>
      <c r="DF46" s="937"/>
      <c r="DG46" s="937"/>
      <c r="DH46" s="937"/>
      <c r="DI46" s="937"/>
      <c r="DJ46" s="937"/>
      <c r="DK46" s="937"/>
      <c r="DL46" s="937"/>
    </row>
    <row r="47" spans="1:161" ht="117" x14ac:dyDescent="0.35">
      <c r="A47" s="307"/>
      <c r="B47" s="659"/>
      <c r="C47" s="659"/>
      <c r="D47" s="659"/>
      <c r="E47" s="659"/>
      <c r="F47" s="659"/>
      <c r="G47" s="659"/>
      <c r="H47" s="659"/>
      <c r="I47" s="659"/>
      <c r="J47" s="745" t="s">
        <v>958</v>
      </c>
      <c r="K47" s="660" t="s">
        <v>959</v>
      </c>
      <c r="L47" s="659"/>
      <c r="M47" s="659"/>
      <c r="N47" s="659"/>
      <c r="O47" s="659"/>
      <c r="P47" s="660"/>
      <c r="CQ47" s="307" t="s">
        <v>960</v>
      </c>
      <c r="CR47" s="309">
        <f>-IFERROR(INDEX(DEBT!$F$202:$DV$202,1,MATCH('INVESTOR REPORT'!$M$3,DEBT!$F$64:$DV$64,1))/1000000,0)</f>
        <v>-211.30875661169631</v>
      </c>
      <c r="CS47" s="308" t="s">
        <v>530</v>
      </c>
      <c r="CT47" s="937"/>
      <c r="CU47" s="937"/>
      <c r="CV47" s="937"/>
      <c r="CW47" s="937"/>
      <c r="CX47" s="937"/>
      <c r="CZ47" s="307" t="s">
        <v>961</v>
      </c>
      <c r="DA47" s="312">
        <f>Underwriting!$H$212</f>
        <v>2.9802322387695314E-9</v>
      </c>
      <c r="DB47" s="308" t="s">
        <v>83</v>
      </c>
      <c r="DC47" s="937"/>
      <c r="DD47" s="937"/>
      <c r="DE47" s="937"/>
      <c r="DF47" s="937"/>
      <c r="DG47" s="937"/>
      <c r="DH47" s="937"/>
      <c r="DI47" s="937"/>
      <c r="DJ47" s="937"/>
      <c r="DK47" s="937"/>
      <c r="DL47" s="937"/>
    </row>
    <row r="48" spans="1:161" ht="117" x14ac:dyDescent="0.35">
      <c r="A48" s="307"/>
      <c r="B48" s="659"/>
      <c r="C48" s="659"/>
      <c r="D48" s="659"/>
      <c r="E48" s="659"/>
      <c r="F48" s="659"/>
      <c r="G48" s="659"/>
      <c r="H48" s="659"/>
      <c r="I48" s="659"/>
      <c r="J48" s="745" t="s">
        <v>962</v>
      </c>
      <c r="K48" s="660" t="s">
        <v>959</v>
      </c>
      <c r="L48" s="659"/>
      <c r="M48" s="659"/>
      <c r="N48" s="659"/>
      <c r="O48" s="659"/>
      <c r="P48" s="660"/>
      <c r="CQ48" s="307" t="s">
        <v>963</v>
      </c>
      <c r="CR48" s="309">
        <f>-$CR$14</f>
        <v>0</v>
      </c>
      <c r="CS48" s="308" t="s">
        <v>530</v>
      </c>
      <c r="CT48" s="937"/>
      <c r="CU48" s="937"/>
      <c r="CV48" s="937"/>
      <c r="CW48" s="937"/>
      <c r="CX48" s="937"/>
      <c r="CZ48" s="307" t="s">
        <v>964</v>
      </c>
      <c r="DA48" s="309">
        <f>Underwriting!$M$212/1000000+NPV((1+$CR$8)^(1/12)-1,Underwriting!$N$212:$BU$212)/1000000</f>
        <v>230.66495181820531</v>
      </c>
      <c r="DB48" s="308" t="s">
        <v>530</v>
      </c>
      <c r="DC48" s="937"/>
      <c r="DD48" s="937"/>
      <c r="DE48" s="937"/>
      <c r="DF48" s="937"/>
      <c r="DG48" s="937"/>
      <c r="DH48" s="937"/>
      <c r="DI48" s="937"/>
      <c r="DJ48" s="937"/>
      <c r="DK48" s="937"/>
      <c r="DL48" s="937"/>
    </row>
    <row r="49" spans="1:194" x14ac:dyDescent="0.35">
      <c r="A49" s="307"/>
      <c r="B49" s="971" t="s">
        <v>965</v>
      </c>
      <c r="C49" s="971"/>
      <c r="D49" s="971"/>
      <c r="E49" s="971"/>
      <c r="F49" s="971"/>
      <c r="G49" s="971"/>
      <c r="H49" s="971"/>
      <c r="I49" s="971"/>
      <c r="J49" s="975" t="s">
        <v>966</v>
      </c>
      <c r="K49" s="972" t="s">
        <v>967</v>
      </c>
      <c r="L49" s="971"/>
      <c r="M49" s="971"/>
      <c r="N49" s="971"/>
      <c r="O49" s="971"/>
      <c r="P49" s="972"/>
      <c r="CQ49" s="307" t="s">
        <v>968</v>
      </c>
      <c r="CR49" s="309">
        <f>-$CR$15</f>
        <v>0</v>
      </c>
      <c r="CS49" s="308" t="s">
        <v>530</v>
      </c>
      <c r="CT49" s="937"/>
      <c r="CU49" s="937"/>
      <c r="CV49" s="937"/>
      <c r="CW49" s="937"/>
      <c r="CX49" s="937"/>
      <c r="CZ49" s="307" t="s">
        <v>969</v>
      </c>
      <c r="DA49" s="309">
        <f>XNPV($CR$8,Underwriting!$M$212:$BU$212,Underwriting!$M$195:$BU$195)/1000000</f>
        <v>230.60946579175697</v>
      </c>
      <c r="DB49" s="308" t="s">
        <v>530</v>
      </c>
      <c r="DC49" s="937"/>
      <c r="DD49" s="937"/>
      <c r="DE49" s="937"/>
      <c r="DF49" s="937"/>
      <c r="DG49" s="937"/>
      <c r="DH49" s="937"/>
      <c r="DI49" s="937"/>
      <c r="DJ49" s="937"/>
      <c r="DK49" s="937"/>
      <c r="DL49" s="937"/>
    </row>
    <row r="50" spans="1:194" x14ac:dyDescent="0.35">
      <c r="A50" s="307"/>
      <c r="B50" s="974" t="s">
        <v>970</v>
      </c>
      <c r="C50" s="974"/>
      <c r="D50" s="974"/>
      <c r="E50" s="974"/>
      <c r="F50" s="974"/>
      <c r="G50" s="974"/>
      <c r="H50" s="974"/>
      <c r="I50" s="974"/>
      <c r="J50" s="976" t="s">
        <v>971</v>
      </c>
      <c r="K50" s="974" t="s">
        <v>972</v>
      </c>
      <c r="L50" s="974"/>
      <c r="M50" s="974"/>
      <c r="N50" s="974"/>
      <c r="O50" s="974"/>
      <c r="P50" s="974"/>
      <c r="CQ50" s="307" t="s">
        <v>973</v>
      </c>
      <c r="CR50" s="309">
        <f>-$CR$42*Underwriting!$I$163</f>
        <v>-13.592940558244129</v>
      </c>
      <c r="CS50" s="308" t="s">
        <v>530</v>
      </c>
      <c r="CT50" s="937"/>
      <c r="CU50" s="937"/>
      <c r="CV50" s="937"/>
      <c r="CW50" s="937"/>
      <c r="CX50" s="937"/>
      <c r="CZ50" s="307" t="s">
        <v>974</v>
      </c>
      <c r="DA50" s="314">
        <f>Underwriting!$G$212</f>
        <v>3.6516197698477049</v>
      </c>
      <c r="DB50" s="308" t="s">
        <v>795</v>
      </c>
      <c r="DC50" s="937"/>
      <c r="DD50" s="937"/>
      <c r="DE50" s="937"/>
      <c r="DF50" s="937"/>
      <c r="DG50" s="937"/>
      <c r="DH50" s="937"/>
      <c r="DI50" s="937"/>
      <c r="DJ50" s="937"/>
      <c r="DK50" s="937"/>
      <c r="DL50" s="937"/>
    </row>
    <row r="51" spans="1:194" x14ac:dyDescent="0.35">
      <c r="A51" s="307"/>
      <c r="B51" s="974" t="s">
        <v>975</v>
      </c>
      <c r="C51" s="974"/>
      <c r="D51" s="974"/>
      <c r="E51" s="974"/>
      <c r="F51" s="974"/>
      <c r="G51" s="974"/>
      <c r="H51" s="974"/>
      <c r="I51" s="974"/>
      <c r="J51" s="974"/>
      <c r="K51" s="974"/>
      <c r="L51" s="974"/>
      <c r="M51" s="974"/>
      <c r="N51" s="974"/>
      <c r="O51" s="974"/>
      <c r="P51" s="974"/>
      <c r="CQ51" s="305" t="s">
        <v>976</v>
      </c>
      <c r="CR51" s="319">
        <f>$CR$46+SUM($CR$47:$CR$50)</f>
        <v>454.74533074226599</v>
      </c>
      <c r="CS51" s="308" t="s">
        <v>530</v>
      </c>
      <c r="CT51" s="937"/>
      <c r="CU51" s="937"/>
      <c r="CV51" s="937"/>
      <c r="CW51" s="937"/>
      <c r="CX51" s="937"/>
      <c r="CZ51" s="307" t="s">
        <v>977</v>
      </c>
      <c r="DA51" s="312">
        <f>IF($DA$54=0,"",SUM(Underwriting!$AQ$212:$BB$212)/($DA$54*1000000))</f>
        <v>-2.6834179317821349E-2</v>
      </c>
      <c r="DB51" s="308" t="s">
        <v>83</v>
      </c>
      <c r="DC51" s="937"/>
      <c r="DD51" s="937"/>
      <c r="DE51" s="937"/>
      <c r="DF51" s="937"/>
      <c r="DG51" s="937"/>
      <c r="DH51" s="937"/>
      <c r="DI51" s="937"/>
      <c r="DJ51" s="937"/>
      <c r="DK51" s="937"/>
      <c r="DL51" s="937"/>
    </row>
    <row r="52" spans="1:194" x14ac:dyDescent="0.35">
      <c r="A52" s="307"/>
      <c r="B52" s="974" t="s">
        <v>978</v>
      </c>
      <c r="C52" s="974"/>
      <c r="D52" s="974"/>
      <c r="E52" s="974"/>
      <c r="F52" s="974"/>
      <c r="G52" s="974"/>
      <c r="H52" s="974"/>
      <c r="I52" s="974"/>
      <c r="J52" s="974"/>
      <c r="K52" s="974"/>
      <c r="L52" s="974"/>
      <c r="M52" s="974"/>
      <c r="N52" s="974"/>
      <c r="O52" s="974"/>
      <c r="P52" s="974"/>
      <c r="CQ52" s="305" t="s">
        <v>979</v>
      </c>
      <c r="CR52" s="319">
        <f>CR51</f>
        <v>454.74533074226599</v>
      </c>
      <c r="CS52" s="308" t="s">
        <v>530</v>
      </c>
      <c r="CT52" s="934" t="s">
        <v>980</v>
      </c>
      <c r="CU52" s="937"/>
      <c r="CV52" s="937"/>
      <c r="CW52" s="937"/>
      <c r="CX52" s="937"/>
      <c r="CZ52" s="307" t="s">
        <v>981</v>
      </c>
      <c r="DA52" s="318">
        <f>COUNTIF($DN$16:$FE$16,"&lt;0")</f>
        <v>43</v>
      </c>
      <c r="DB52" s="308" t="s">
        <v>982</v>
      </c>
      <c r="DC52" s="934" t="s">
        <v>983</v>
      </c>
      <c r="DD52" s="937"/>
      <c r="DE52" s="937"/>
      <c r="DF52" s="937"/>
      <c r="DG52" s="937"/>
      <c r="DH52" s="937"/>
      <c r="DI52" s="937"/>
      <c r="DJ52" s="937"/>
      <c r="DK52" s="937"/>
      <c r="DL52" s="937"/>
    </row>
    <row r="53" spans="1:194" x14ac:dyDescent="0.35">
      <c r="A53" s="307"/>
      <c r="B53" s="974" t="s">
        <v>984</v>
      </c>
      <c r="C53" s="974"/>
      <c r="D53" s="974"/>
      <c r="E53" s="974"/>
      <c r="F53" s="974"/>
      <c r="G53" s="974"/>
      <c r="H53" s="974"/>
      <c r="I53" s="974"/>
      <c r="J53" s="974"/>
      <c r="K53" s="974"/>
      <c r="L53" s="974"/>
      <c r="M53" s="974"/>
      <c r="N53" s="974"/>
      <c r="O53" s="974"/>
      <c r="P53" s="974"/>
      <c r="CQ53" s="305" t="s">
        <v>985</v>
      </c>
      <c r="CR53" s="319">
        <f>CR52</f>
        <v>454.74533074226599</v>
      </c>
      <c r="CS53" s="308" t="s">
        <v>530</v>
      </c>
      <c r="CT53" s="937"/>
      <c r="CU53" s="937"/>
      <c r="CV53" s="937"/>
      <c r="CW53" s="937"/>
      <c r="CX53" s="937"/>
      <c r="CZ53" s="307" t="s">
        <v>986</v>
      </c>
      <c r="DA53" s="318">
        <f>COUNTIF($DN$19:$FE$19,"&lt;0")</f>
        <v>44</v>
      </c>
      <c r="DB53" s="308" t="s">
        <v>982</v>
      </c>
      <c r="DC53" s="937"/>
      <c r="DD53" s="937"/>
      <c r="DE53" s="937"/>
      <c r="DF53" s="937"/>
      <c r="DG53" s="937"/>
      <c r="DH53" s="937"/>
      <c r="DI53" s="937"/>
      <c r="DJ53" s="937"/>
      <c r="DK53" s="937"/>
      <c r="DL53" s="937"/>
    </row>
    <row r="54" spans="1:194" x14ac:dyDescent="0.35">
      <c r="A54" s="307"/>
      <c r="B54" s="974" t="s">
        <v>987</v>
      </c>
      <c r="C54" s="974"/>
      <c r="D54" s="974"/>
      <c r="E54" s="974"/>
      <c r="F54" s="974"/>
      <c r="G54" s="974"/>
      <c r="H54" s="974"/>
      <c r="I54" s="974"/>
      <c r="J54" s="974"/>
      <c r="K54" s="974"/>
      <c r="L54" s="974"/>
      <c r="M54" s="974"/>
      <c r="N54" s="974"/>
      <c r="O54" s="974"/>
      <c r="P54" s="974"/>
      <c r="CQ54" s="307" t="s">
        <v>988</v>
      </c>
      <c r="CR54" s="314">
        <f>IF($CR$13=0,"",$CR$52/$CR$13)</f>
        <v>454.74533074226599</v>
      </c>
      <c r="CS54" s="308" t="s">
        <v>989</v>
      </c>
      <c r="CT54" s="937"/>
      <c r="CU54" s="937"/>
      <c r="CV54" s="937"/>
      <c r="CW54" s="937"/>
      <c r="CX54" s="937"/>
      <c r="CZ54" s="307" t="s">
        <v>990</v>
      </c>
      <c r="DA54" s="309">
        <f>-MIN($DN$17:$FE$17)/1000000</f>
        <v>216.68453636090487</v>
      </c>
      <c r="DB54" s="308" t="s">
        <v>530</v>
      </c>
      <c r="DC54" s="937"/>
      <c r="DD54" s="937"/>
      <c r="DE54" s="937"/>
      <c r="DF54" s="937"/>
      <c r="DG54" s="937"/>
      <c r="DH54" s="937"/>
      <c r="DI54" s="937"/>
      <c r="DJ54" s="937"/>
      <c r="DK54" s="937"/>
      <c r="DL54" s="937"/>
    </row>
    <row r="55" spans="1:194" x14ac:dyDescent="0.35">
      <c r="A55" s="307"/>
      <c r="B55" s="660"/>
      <c r="C55" s="660"/>
      <c r="D55" s="660"/>
      <c r="E55" s="660"/>
      <c r="F55" s="660"/>
      <c r="G55" s="660"/>
      <c r="H55" s="660"/>
      <c r="I55" s="660"/>
      <c r="J55" s="660"/>
      <c r="K55" s="660"/>
      <c r="L55" s="660"/>
      <c r="M55" s="660"/>
      <c r="N55" s="660"/>
      <c r="O55" s="660"/>
      <c r="P55" s="660"/>
      <c r="CQ55" s="307" t="s">
        <v>991</v>
      </c>
      <c r="CR55" s="314">
        <f>IF($CR$13=0,"",IF(OR($CR$12="",$CR$12=0),$CR$54,$CR$52/($CR$13/(1-$CR$12))))</f>
        <v>454.74533074226599</v>
      </c>
      <c r="CS55" s="308" t="s">
        <v>989</v>
      </c>
      <c r="CT55" s="937"/>
      <c r="CU55" s="937"/>
      <c r="CV55" s="937"/>
      <c r="CW55" s="937"/>
      <c r="CX55" s="937"/>
      <c r="CZ55" s="307" t="s">
        <v>992</v>
      </c>
      <c r="DA55" s="309">
        <f>MAX($DN$22:$FE$22)/1000000</f>
        <v>235.2026535072136</v>
      </c>
      <c r="DB55" s="308" t="s">
        <v>530</v>
      </c>
      <c r="DC55" s="937"/>
      <c r="DD55" s="937"/>
      <c r="DE55" s="937"/>
      <c r="DF55" s="937"/>
      <c r="DG55" s="937"/>
      <c r="DH55" s="937"/>
      <c r="DI55" s="937"/>
      <c r="DJ55" s="937"/>
      <c r="DK55" s="937"/>
      <c r="DL55" s="937"/>
    </row>
    <row r="56" spans="1:194" x14ac:dyDescent="0.35">
      <c r="A56" s="307"/>
      <c r="B56" s="971" t="s">
        <v>993</v>
      </c>
      <c r="C56" s="971"/>
      <c r="D56" s="971"/>
      <c r="E56" s="971"/>
      <c r="F56" s="971"/>
      <c r="G56" s="971"/>
      <c r="H56" s="971"/>
      <c r="I56" s="971"/>
      <c r="J56" s="971"/>
      <c r="K56" s="971"/>
      <c r="L56" s="971"/>
      <c r="M56" s="971"/>
      <c r="N56" s="971"/>
      <c r="O56" s="971"/>
      <c r="P56" s="972"/>
      <c r="CZ56" s="307" t="s">
        <v>994</v>
      </c>
      <c r="DA56" s="312">
        <f>Underwriting!$I$75/Underwriting!$I$57</f>
        <v>0.52400395824069002</v>
      </c>
      <c r="DB56" s="308" t="s">
        <v>83</v>
      </c>
      <c r="DC56" s="937"/>
      <c r="DD56" s="937"/>
      <c r="DE56" s="937"/>
      <c r="DF56" s="937"/>
      <c r="DG56" s="937"/>
      <c r="DH56" s="937"/>
      <c r="DI56" s="937"/>
      <c r="DJ56" s="937"/>
      <c r="DK56" s="937"/>
      <c r="DL56" s="937"/>
    </row>
    <row r="57" spans="1:194" ht="143" x14ac:dyDescent="0.35">
      <c r="A57" s="307"/>
      <c r="B57" s="663" t="s">
        <v>851</v>
      </c>
      <c r="C57" s="663" t="s">
        <v>995</v>
      </c>
      <c r="D57" s="663" t="s">
        <v>996</v>
      </c>
      <c r="E57" s="663" t="s">
        <v>997</v>
      </c>
      <c r="F57" s="663" t="s">
        <v>998</v>
      </c>
      <c r="G57" s="663" t="s">
        <v>999</v>
      </c>
      <c r="H57" s="663" t="s">
        <v>1000</v>
      </c>
      <c r="I57" s="663" t="s">
        <v>1001</v>
      </c>
      <c r="J57" s="663" t="s">
        <v>1002</v>
      </c>
      <c r="K57" s="663" t="s">
        <v>861</v>
      </c>
      <c r="L57" s="663" t="s">
        <v>1003</v>
      </c>
      <c r="M57" s="663" t="s">
        <v>862</v>
      </c>
      <c r="N57" s="663" t="s">
        <v>1004</v>
      </c>
      <c r="O57" s="663" t="s">
        <v>1005</v>
      </c>
      <c r="P57" s="663" t="s">
        <v>1006</v>
      </c>
      <c r="X57" s="607">
        <f>$C$43</f>
        <v>46204</v>
      </c>
      <c r="Y57" s="607">
        <f>$C$44</f>
        <v>46478</v>
      </c>
      <c r="Z57" s="607">
        <f>$C$45</f>
        <v>48030</v>
      </c>
      <c r="AA57" s="607">
        <f>$C$43</f>
        <v>46204</v>
      </c>
      <c r="AB57" s="607">
        <f>$C$44</f>
        <v>46478</v>
      </c>
      <c r="AC57" s="607">
        <f>$C$45</f>
        <v>48030</v>
      </c>
      <c r="AD57" s="607">
        <f>$C$43</f>
        <v>46204</v>
      </c>
      <c r="AE57" s="607">
        <f>$C$44</f>
        <v>46478</v>
      </c>
      <c r="AF57" s="607">
        <f>$C$45</f>
        <v>48030</v>
      </c>
      <c r="AG57" s="607">
        <f>$C$43</f>
        <v>46204</v>
      </c>
      <c r="AH57">
        <f t="shared" ref="AH57:BM57" si="16">EDATE(AG57,1)</f>
        <v>46235</v>
      </c>
      <c r="AI57">
        <f t="shared" si="16"/>
        <v>46266</v>
      </c>
      <c r="AJ57">
        <f t="shared" si="16"/>
        <v>46296</v>
      </c>
      <c r="AK57">
        <f t="shared" si="16"/>
        <v>46327</v>
      </c>
      <c r="AL57">
        <f t="shared" si="16"/>
        <v>46357</v>
      </c>
      <c r="AM57">
        <f t="shared" si="16"/>
        <v>46388</v>
      </c>
      <c r="AN57">
        <f t="shared" si="16"/>
        <v>46419</v>
      </c>
      <c r="AO57">
        <f t="shared" si="16"/>
        <v>46447</v>
      </c>
      <c r="AP57">
        <f t="shared" si="16"/>
        <v>46478</v>
      </c>
      <c r="AQ57">
        <f t="shared" si="16"/>
        <v>46508</v>
      </c>
      <c r="AR57">
        <f t="shared" si="16"/>
        <v>46539</v>
      </c>
      <c r="AS57">
        <f t="shared" si="16"/>
        <v>46569</v>
      </c>
      <c r="AT57">
        <f t="shared" si="16"/>
        <v>46600</v>
      </c>
      <c r="AU57">
        <f t="shared" si="16"/>
        <v>46631</v>
      </c>
      <c r="AV57">
        <f t="shared" si="16"/>
        <v>46661</v>
      </c>
      <c r="AW57">
        <f t="shared" si="16"/>
        <v>46692</v>
      </c>
      <c r="AX57">
        <f t="shared" si="16"/>
        <v>46722</v>
      </c>
      <c r="AY57">
        <f t="shared" si="16"/>
        <v>46753</v>
      </c>
      <c r="AZ57">
        <f t="shared" si="16"/>
        <v>46784</v>
      </c>
      <c r="BA57">
        <f t="shared" si="16"/>
        <v>46813</v>
      </c>
      <c r="BB57">
        <f t="shared" si="16"/>
        <v>46844</v>
      </c>
      <c r="BC57">
        <f t="shared" si="16"/>
        <v>46874</v>
      </c>
      <c r="BD57">
        <f t="shared" si="16"/>
        <v>46905</v>
      </c>
      <c r="BE57">
        <f t="shared" si="16"/>
        <v>46935</v>
      </c>
      <c r="BF57">
        <f t="shared" si="16"/>
        <v>46966</v>
      </c>
      <c r="BG57">
        <f t="shared" si="16"/>
        <v>46997</v>
      </c>
      <c r="BH57">
        <f t="shared" si="16"/>
        <v>47027</v>
      </c>
      <c r="BI57">
        <f t="shared" si="16"/>
        <v>47058</v>
      </c>
      <c r="BJ57">
        <f t="shared" si="16"/>
        <v>47088</v>
      </c>
      <c r="BK57">
        <f t="shared" si="16"/>
        <v>47119</v>
      </c>
      <c r="BL57">
        <f t="shared" si="16"/>
        <v>47150</v>
      </c>
      <c r="BM57">
        <f t="shared" si="16"/>
        <v>47178</v>
      </c>
      <c r="BN57">
        <f t="shared" ref="BN57:CO57" si="17">EDATE(BM57,1)</f>
        <v>47209</v>
      </c>
      <c r="BO57">
        <f t="shared" si="17"/>
        <v>47239</v>
      </c>
      <c r="BP57">
        <f t="shared" si="17"/>
        <v>47270</v>
      </c>
      <c r="BQ57">
        <f t="shared" si="17"/>
        <v>47300</v>
      </c>
      <c r="BR57">
        <f t="shared" si="17"/>
        <v>47331</v>
      </c>
      <c r="BS57">
        <f t="shared" si="17"/>
        <v>47362</v>
      </c>
      <c r="BT57">
        <f t="shared" si="17"/>
        <v>47392</v>
      </c>
      <c r="BU57">
        <f t="shared" si="17"/>
        <v>47423</v>
      </c>
      <c r="BV57">
        <f t="shared" si="17"/>
        <v>47453</v>
      </c>
      <c r="BW57">
        <f t="shared" si="17"/>
        <v>47484</v>
      </c>
      <c r="BX57">
        <f t="shared" si="17"/>
        <v>47515</v>
      </c>
      <c r="BY57">
        <f t="shared" si="17"/>
        <v>47543</v>
      </c>
      <c r="BZ57">
        <f t="shared" si="17"/>
        <v>47574</v>
      </c>
      <c r="CA57">
        <f t="shared" si="17"/>
        <v>47604</v>
      </c>
      <c r="CB57">
        <f t="shared" si="17"/>
        <v>47635</v>
      </c>
      <c r="CC57">
        <f t="shared" si="17"/>
        <v>47665</v>
      </c>
      <c r="CD57">
        <f t="shared" si="17"/>
        <v>47696</v>
      </c>
      <c r="CE57">
        <f t="shared" si="17"/>
        <v>47727</v>
      </c>
      <c r="CF57">
        <f t="shared" si="17"/>
        <v>47757</v>
      </c>
      <c r="CG57">
        <f t="shared" si="17"/>
        <v>47788</v>
      </c>
      <c r="CH57">
        <f t="shared" si="17"/>
        <v>47818</v>
      </c>
      <c r="CI57">
        <f t="shared" si="17"/>
        <v>47849</v>
      </c>
      <c r="CJ57">
        <f t="shared" si="17"/>
        <v>47880</v>
      </c>
      <c r="CK57">
        <f t="shared" si="17"/>
        <v>47908</v>
      </c>
      <c r="CL57">
        <f t="shared" si="17"/>
        <v>47939</v>
      </c>
      <c r="CM57">
        <f t="shared" si="17"/>
        <v>47969</v>
      </c>
      <c r="CN57">
        <f t="shared" si="17"/>
        <v>48000</v>
      </c>
      <c r="CO57">
        <f t="shared" si="17"/>
        <v>48030</v>
      </c>
      <c r="CZ57" s="307" t="s">
        <v>789</v>
      </c>
      <c r="DA57" s="312">
        <f>IF($CW$38=0,"",Underwriting!$I$75/1000000/$CW$38)</f>
        <v>0.34606588986304809</v>
      </c>
      <c r="DB57" s="308" t="s">
        <v>83</v>
      </c>
      <c r="DC57" s="937"/>
      <c r="DD57" s="937"/>
      <c r="DE57" s="937"/>
      <c r="DF57" s="937"/>
      <c r="DG57" s="937"/>
      <c r="DH57" s="937"/>
      <c r="DI57" s="937"/>
      <c r="DJ57" s="937"/>
      <c r="DK57" s="937"/>
      <c r="DL57" s="937"/>
      <c r="GJ57" s="607">
        <f>$C$43</f>
        <v>46204</v>
      </c>
      <c r="GK57" s="607">
        <f>$C$44</f>
        <v>46478</v>
      </c>
      <c r="GL57" s="607">
        <f>$C$45</f>
        <v>48030</v>
      </c>
    </row>
    <row r="58" spans="1:194" x14ac:dyDescent="0.35">
      <c r="A58" s="307"/>
      <c r="B58" s="664" t="str">
        <f t="shared" ref="B58:B65" si="18">B26</f>
        <v>David Gifford</v>
      </c>
      <c r="C58" s="868">
        <f t="shared" ref="C58:D65" si="19">G26</f>
        <v>10</v>
      </c>
      <c r="D58" s="869">
        <f t="shared" si="19"/>
        <v>4.6368657832059464E-2</v>
      </c>
      <c r="E58" s="869">
        <f t="shared" ref="E58:E65" si="20">D58*(1-$CR$12)</f>
        <v>4.6368657832059464E-2</v>
      </c>
      <c r="F58" s="868">
        <f t="shared" ref="F58:F65" si="21">$DA$9*D58</f>
        <v>9.204569821403874</v>
      </c>
      <c r="G58" s="868">
        <f t="shared" ref="G58:I65" si="22">I26</f>
        <v>17.833522258850895</v>
      </c>
      <c r="H58" s="868">
        <f t="shared" si="22"/>
        <v>19.978002712492092</v>
      </c>
      <c r="I58" s="868">
        <f t="shared" si="22"/>
        <v>22.468321388663661</v>
      </c>
      <c r="J58" s="868">
        <f t="shared" ref="J58:J65" si="23">H58-C58</f>
        <v>9.978002712492092</v>
      </c>
      <c r="K58" s="870">
        <f t="shared" ref="K58:K65" si="24">IFERROR(H58/C58,0)</f>
        <v>1.9978002712492091</v>
      </c>
      <c r="L58" s="869">
        <f t="shared" ref="L58:L65" si="25">IF(AND(C58&gt;0,G58&gt;0),XIRR($AA58:$AC58,$AA$57:$AC$57),"")</f>
        <v>0.12258674502372741</v>
      </c>
      <c r="M58" s="869">
        <f t="shared" ref="M58:M65" si="26">IF(AND(C58&gt;0,H58&gt;0),XIRR($AD58:$AF58,$AD$57:$AF$57),"")</f>
        <v>0.14835851788520818</v>
      </c>
      <c r="N58" s="869">
        <f t="shared" ref="N58:N65" si="27">IF(AND(C58&gt;0,I58&gt;0),XIRR($GJ58:$GL58,$GJ$57:$GL$57),"")</f>
        <v>0.17564342617988588</v>
      </c>
      <c r="O58" s="871">
        <f t="shared" ref="O58:O65" si="28">IF(C58=0,"",XNPV($CR$8,$AD58:$AF58,$AD$57:$AF$57))</f>
        <v>3.5938263664601884</v>
      </c>
      <c r="P58" s="728">
        <f>IF(OR(C58=0,H58&lt;C58),"N/M",ROUND(($C$45-((SUM($D$26:$E$26)*$C$43+$F$26*$C$44)/C58))*12/365,1))</f>
        <v>60</v>
      </c>
      <c r="X58" s="595">
        <f>-SUM($D$26:$E$26)</f>
        <v>-10</v>
      </c>
      <c r="Y58" s="595">
        <f>-$F$26</f>
        <v>0</v>
      </c>
      <c r="Z58" s="605">
        <f t="shared" ref="Z58:Z65" si="29">$G58</f>
        <v>17.833522258850895</v>
      </c>
      <c r="AA58" s="595">
        <f>-SUM($D$26:$E$26)</f>
        <v>-10</v>
      </c>
      <c r="AB58" s="595">
        <f>-$F$26</f>
        <v>0</v>
      </c>
      <c r="AC58" s="605">
        <f t="shared" ref="AC58:AC65" si="30">$G58</f>
        <v>17.833522258850895</v>
      </c>
      <c r="AD58" s="595">
        <f>-SUM($D$26:$E$26)</f>
        <v>-10</v>
      </c>
      <c r="AE58" s="595">
        <f>-$F$26</f>
        <v>0</v>
      </c>
      <c r="AF58" s="605">
        <f t="shared" ref="AF58:AF65" si="31">$H58</f>
        <v>19.978002712492092</v>
      </c>
      <c r="AG58">
        <f>IF(AG$57=$C$43,-SUM($D$26:$E$26),0)+IF(AG$57=$C$44,-$F$26,0)+IF(AG$57=$C$45,INDEX($G58:$I58,1,MATCH('INVESTOR REPORT'!$I$3,{"Downside","Base","Upside"},0)),0)</f>
        <v>-10</v>
      </c>
      <c r="AH58">
        <f>IF(AH$57=$C$43,-SUM($D$26:$E$26),0)+IF(AH$57=$C$44,-$F$26,0)+IF(AH$57=$C$45,INDEX($G58:$I58,1,MATCH('INVESTOR REPORT'!$I$3,{"Downside","Base","Upside"},0)),0)</f>
        <v>0</v>
      </c>
      <c r="AI58">
        <f>IF(AI$57=$C$43,-SUM($D$26:$E$26),0)+IF(AI$57=$C$44,-$F$26,0)+IF(AI$57=$C$45,INDEX($G58:$I58,1,MATCH('INVESTOR REPORT'!$I$3,{"Downside","Base","Upside"},0)),0)</f>
        <v>0</v>
      </c>
      <c r="AJ58">
        <f>IF(AJ$57=$C$43,-SUM($D$26:$E$26),0)+IF(AJ$57=$C$44,-$F$26,0)+IF(AJ$57=$C$45,INDEX($G58:$I58,1,MATCH('INVESTOR REPORT'!$I$3,{"Downside","Base","Upside"},0)),0)</f>
        <v>0</v>
      </c>
      <c r="AK58">
        <f>IF(AK$57=$C$43,-SUM($D$26:$E$26),0)+IF(AK$57=$C$44,-$F$26,0)+IF(AK$57=$C$45,INDEX($G58:$I58,1,MATCH('INVESTOR REPORT'!$I$3,{"Downside","Base","Upside"},0)),0)</f>
        <v>0</v>
      </c>
      <c r="AL58">
        <f>IF(AL$57=$C$43,-SUM($D$26:$E$26),0)+IF(AL$57=$C$44,-$F$26,0)+IF(AL$57=$C$45,INDEX($G58:$I58,1,MATCH('INVESTOR REPORT'!$I$3,{"Downside","Base","Upside"},0)),0)</f>
        <v>0</v>
      </c>
      <c r="AM58">
        <f>IF(AM$57=$C$43,-SUM($D$26:$E$26),0)+IF(AM$57=$C$44,-$F$26,0)+IF(AM$57=$C$45,INDEX($G58:$I58,1,MATCH('INVESTOR REPORT'!$I$3,{"Downside","Base","Upside"},0)),0)</f>
        <v>0</v>
      </c>
      <c r="AN58">
        <f>IF(AN$57=$C$43,-SUM($D$26:$E$26),0)+IF(AN$57=$C$44,-$F$26,0)+IF(AN$57=$C$45,INDEX($G58:$I58,1,MATCH('INVESTOR REPORT'!$I$3,{"Downside","Base","Upside"},0)),0)</f>
        <v>0</v>
      </c>
      <c r="AO58">
        <f>IF(AO$57=$C$43,-SUM($D$26:$E$26),0)+IF(AO$57=$C$44,-$F$26,0)+IF(AO$57=$C$45,INDEX($G58:$I58,1,MATCH('INVESTOR REPORT'!$I$3,{"Downside","Base","Upside"},0)),0)</f>
        <v>0</v>
      </c>
      <c r="AP58">
        <f>IF(AP$57=$C$43,-SUM($D$26:$E$26),0)+IF(AP$57=$C$44,-$F$26,0)+IF(AP$57=$C$45,INDEX($G58:$I58,1,MATCH('INVESTOR REPORT'!$I$3,{"Downside","Base","Upside"},0)),0)</f>
        <v>0</v>
      </c>
      <c r="AQ58">
        <f>IF(AQ$57=$C$43,-SUM($D$26:$E$26),0)+IF(AQ$57=$C$44,-$F$26,0)+IF(AQ$57=$C$45,INDEX($G58:$I58,1,MATCH('INVESTOR REPORT'!$I$3,{"Downside","Base","Upside"},0)),0)</f>
        <v>0</v>
      </c>
      <c r="AR58">
        <f>IF(AR$57=$C$43,-SUM($D$26:$E$26),0)+IF(AR$57=$C$44,-$F$26,0)+IF(AR$57=$C$45,INDEX($G58:$I58,1,MATCH('INVESTOR REPORT'!$I$3,{"Downside","Base","Upside"},0)),0)</f>
        <v>0</v>
      </c>
      <c r="AS58">
        <f>IF(AS$57=$C$43,-SUM($D$26:$E$26),0)+IF(AS$57=$C$44,-$F$26,0)+IF(AS$57=$C$45,INDEX($G58:$I58,1,MATCH('INVESTOR REPORT'!$I$3,{"Downside","Base","Upside"},0)),0)</f>
        <v>0</v>
      </c>
      <c r="AT58">
        <f>IF(AT$57=$C$43,-SUM($D$26:$E$26),0)+IF(AT$57=$C$44,-$F$26,0)+IF(AT$57=$C$45,INDEX($G58:$I58,1,MATCH('INVESTOR REPORT'!$I$3,{"Downside","Base","Upside"},0)),0)</f>
        <v>0</v>
      </c>
      <c r="AU58">
        <f>IF(AU$57=$C$43,-SUM($D$26:$E$26),0)+IF(AU$57=$C$44,-$F$26,0)+IF(AU$57=$C$45,INDEX($G58:$I58,1,MATCH('INVESTOR REPORT'!$I$3,{"Downside","Base","Upside"},0)),0)</f>
        <v>0</v>
      </c>
      <c r="AV58">
        <f>IF(AV$57=$C$43,-SUM($D$26:$E$26),0)+IF(AV$57=$C$44,-$F$26,0)+IF(AV$57=$C$45,INDEX($G58:$I58,1,MATCH('INVESTOR REPORT'!$I$3,{"Downside","Base","Upside"},0)),0)</f>
        <v>0</v>
      </c>
      <c r="AW58">
        <f>IF(AW$57=$C$43,-SUM($D$26:$E$26),0)+IF(AW$57=$C$44,-$F$26,0)+IF(AW$57=$C$45,INDEX($G58:$I58,1,MATCH('INVESTOR REPORT'!$I$3,{"Downside","Base","Upside"},0)),0)</f>
        <v>0</v>
      </c>
      <c r="AX58">
        <f>IF(AX$57=$C$43,-SUM($D$26:$E$26),0)+IF(AX$57=$C$44,-$F$26,0)+IF(AX$57=$C$45,INDEX($G58:$I58,1,MATCH('INVESTOR REPORT'!$I$3,{"Downside","Base","Upside"},0)),0)</f>
        <v>0</v>
      </c>
      <c r="AY58">
        <f>IF(AY$57=$C$43,-SUM($D$26:$E$26),0)+IF(AY$57=$C$44,-$F$26,0)+IF(AY$57=$C$45,INDEX($G58:$I58,1,MATCH('INVESTOR REPORT'!$I$3,{"Downside","Base","Upside"},0)),0)</f>
        <v>0</v>
      </c>
      <c r="AZ58">
        <f>IF(AZ$57=$C$43,-SUM($D$26:$E$26),0)+IF(AZ$57=$C$44,-$F$26,0)+IF(AZ$57=$C$45,INDEX($G58:$I58,1,MATCH('INVESTOR REPORT'!$I$3,{"Downside","Base","Upside"},0)),0)</f>
        <v>0</v>
      </c>
      <c r="BA58">
        <f>IF(BA$57=$C$43,-SUM($D$26:$E$26),0)+IF(BA$57=$C$44,-$F$26,0)+IF(BA$57=$C$45,INDEX($G58:$I58,1,MATCH('INVESTOR REPORT'!$I$3,{"Downside","Base","Upside"},0)),0)</f>
        <v>0</v>
      </c>
      <c r="BB58">
        <f>IF(BB$57=$C$43,-SUM($D$26:$E$26),0)+IF(BB$57=$C$44,-$F$26,0)+IF(BB$57=$C$45,INDEX($G58:$I58,1,MATCH('INVESTOR REPORT'!$I$3,{"Downside","Base","Upside"},0)),0)</f>
        <v>0</v>
      </c>
      <c r="BC58">
        <f>IF(BC$57=$C$43,-SUM($D$26:$E$26),0)+IF(BC$57=$C$44,-$F$26,0)+IF(BC$57=$C$45,INDEX($G58:$I58,1,MATCH('INVESTOR REPORT'!$I$3,{"Downside","Base","Upside"},0)),0)</f>
        <v>0</v>
      </c>
      <c r="BD58">
        <f>IF(BD$57=$C$43,-SUM($D$26:$E$26),0)+IF(BD$57=$C$44,-$F$26,0)+IF(BD$57=$C$45,INDEX($G58:$I58,1,MATCH('INVESTOR REPORT'!$I$3,{"Downside","Base","Upside"},0)),0)</f>
        <v>0</v>
      </c>
      <c r="BE58">
        <f>IF(BE$57=$C$43,-SUM($D$26:$E$26),0)+IF(BE$57=$C$44,-$F$26,0)+IF(BE$57=$C$45,INDEX($G58:$I58,1,MATCH('INVESTOR REPORT'!$I$3,{"Downside","Base","Upside"},0)),0)</f>
        <v>0</v>
      </c>
      <c r="BF58">
        <f>IF(BF$57=$C$43,-SUM($D$26:$E$26),0)+IF(BF$57=$C$44,-$F$26,0)+IF(BF$57=$C$45,INDEX($G58:$I58,1,MATCH('INVESTOR REPORT'!$I$3,{"Downside","Base","Upside"},0)),0)</f>
        <v>0</v>
      </c>
      <c r="BG58">
        <f>IF(BG$57=$C$43,-SUM($D$26:$E$26),0)+IF(BG$57=$C$44,-$F$26,0)+IF(BG$57=$C$45,INDEX($G58:$I58,1,MATCH('INVESTOR REPORT'!$I$3,{"Downside","Base","Upside"},0)),0)</f>
        <v>0</v>
      </c>
      <c r="BH58">
        <f>IF(BH$57=$C$43,-SUM($D$26:$E$26),0)+IF(BH$57=$C$44,-$F$26,0)+IF(BH$57=$C$45,INDEX($G58:$I58,1,MATCH('INVESTOR REPORT'!$I$3,{"Downside","Base","Upside"},0)),0)</f>
        <v>0</v>
      </c>
      <c r="BI58">
        <f>IF(BI$57=$C$43,-SUM($D$26:$E$26),0)+IF(BI$57=$C$44,-$F$26,0)+IF(BI$57=$C$45,INDEX($G58:$I58,1,MATCH('INVESTOR REPORT'!$I$3,{"Downside","Base","Upside"},0)),0)</f>
        <v>0</v>
      </c>
      <c r="BJ58">
        <f>IF(BJ$57=$C$43,-SUM($D$26:$E$26),0)+IF(BJ$57=$C$44,-$F$26,0)+IF(BJ$57=$C$45,INDEX($G58:$I58,1,MATCH('INVESTOR REPORT'!$I$3,{"Downside","Base","Upside"},0)),0)</f>
        <v>0</v>
      </c>
      <c r="BK58">
        <f>IF(BK$57=$C$43,-SUM($D$26:$E$26),0)+IF(BK$57=$C$44,-$F$26,0)+IF(BK$57=$C$45,INDEX($G58:$I58,1,MATCH('INVESTOR REPORT'!$I$3,{"Downside","Base","Upside"},0)),0)</f>
        <v>0</v>
      </c>
      <c r="BL58">
        <f>IF(BL$57=$C$43,-SUM($D$26:$E$26),0)+IF(BL$57=$C$44,-$F$26,0)+IF(BL$57=$C$45,INDEX($G58:$I58,1,MATCH('INVESTOR REPORT'!$I$3,{"Downside","Base","Upside"},0)),0)</f>
        <v>0</v>
      </c>
      <c r="BM58">
        <f>IF(BM$57=$C$43,-SUM($D$26:$E$26),0)+IF(BM$57=$C$44,-$F$26,0)+IF(BM$57=$C$45,INDEX($G58:$I58,1,MATCH('INVESTOR REPORT'!$I$3,{"Downside","Base","Upside"},0)),0)</f>
        <v>0</v>
      </c>
      <c r="BN58">
        <f>IF(BN$57=$C$43,-SUM($D$26:$E$26),0)+IF(BN$57=$C$44,-$F$26,0)+IF(BN$57=$C$45,INDEX($G58:$I58,1,MATCH('INVESTOR REPORT'!$I$3,{"Downside","Base","Upside"},0)),0)</f>
        <v>0</v>
      </c>
      <c r="BO58">
        <f>IF(BO$57=$C$43,-SUM($D$26:$E$26),0)+IF(BO$57=$C$44,-$F$26,0)+IF(BO$57=$C$45,INDEX($G58:$I58,1,MATCH('INVESTOR REPORT'!$I$3,{"Downside","Base","Upside"},0)),0)</f>
        <v>0</v>
      </c>
      <c r="BP58">
        <f>IF(BP$57=$C$43,-SUM($D$26:$E$26),0)+IF(BP$57=$C$44,-$F$26,0)+IF(BP$57=$C$45,INDEX($G58:$I58,1,MATCH('INVESTOR REPORT'!$I$3,{"Downside","Base","Upside"},0)),0)</f>
        <v>0</v>
      </c>
      <c r="BQ58">
        <f>IF(BQ$57=$C$43,-SUM($D$26:$E$26),0)+IF(BQ$57=$C$44,-$F$26,0)+IF(BQ$57=$C$45,INDEX($G58:$I58,1,MATCH('INVESTOR REPORT'!$I$3,{"Downside","Base","Upside"},0)),0)</f>
        <v>0</v>
      </c>
      <c r="BR58">
        <f>IF(BR$57=$C$43,-SUM($D$26:$E$26),0)+IF(BR$57=$C$44,-$F$26,0)+IF(BR$57=$C$45,INDEX($G58:$I58,1,MATCH('INVESTOR REPORT'!$I$3,{"Downside","Base","Upside"},0)),0)</f>
        <v>0</v>
      </c>
      <c r="BS58">
        <f>IF(BS$57=$C$43,-SUM($D$26:$E$26),0)+IF(BS$57=$C$44,-$F$26,0)+IF(BS$57=$C$45,INDEX($G58:$I58,1,MATCH('INVESTOR REPORT'!$I$3,{"Downside","Base","Upside"},0)),0)</f>
        <v>0</v>
      </c>
      <c r="BT58">
        <f>IF(BT$57=$C$43,-SUM($D$26:$E$26),0)+IF(BT$57=$C$44,-$F$26,0)+IF(BT$57=$C$45,INDEX($G58:$I58,1,MATCH('INVESTOR REPORT'!$I$3,{"Downside","Base","Upside"},0)),0)</f>
        <v>0</v>
      </c>
      <c r="BU58">
        <f>IF(BU$57=$C$43,-SUM($D$26:$E$26),0)+IF(BU$57=$C$44,-$F$26,0)+IF(BU$57=$C$45,INDEX($G58:$I58,1,MATCH('INVESTOR REPORT'!$I$3,{"Downside","Base","Upside"},0)),0)</f>
        <v>0</v>
      </c>
      <c r="BV58">
        <f>IF(BV$57=$C$43,-SUM($D$26:$E$26),0)+IF(BV$57=$C$44,-$F$26,0)+IF(BV$57=$C$45,INDEX($G58:$I58,1,MATCH('INVESTOR REPORT'!$I$3,{"Downside","Base","Upside"},0)),0)</f>
        <v>0</v>
      </c>
      <c r="BW58">
        <f>IF(BW$57=$C$43,-SUM($D$26:$E$26),0)+IF(BW$57=$C$44,-$F$26,0)+IF(BW$57=$C$45,INDEX($G58:$I58,1,MATCH('INVESTOR REPORT'!$I$3,{"Downside","Base","Upside"},0)),0)</f>
        <v>0</v>
      </c>
      <c r="BX58">
        <f>IF(BX$57=$C$43,-SUM($D$26:$E$26),0)+IF(BX$57=$C$44,-$F$26,0)+IF(BX$57=$C$45,INDEX($G58:$I58,1,MATCH('INVESTOR REPORT'!$I$3,{"Downside","Base","Upside"},0)),0)</f>
        <v>0</v>
      </c>
      <c r="BY58">
        <f>IF(BY$57=$C$43,-SUM($D$26:$E$26),0)+IF(BY$57=$C$44,-$F$26,0)+IF(BY$57=$C$45,INDEX($G58:$I58,1,MATCH('INVESTOR REPORT'!$I$3,{"Downside","Base","Upside"},0)),0)</f>
        <v>0</v>
      </c>
      <c r="BZ58">
        <f>IF(BZ$57=$C$43,-SUM($D$26:$E$26),0)+IF(BZ$57=$C$44,-$F$26,0)+IF(BZ$57=$C$45,INDEX($G58:$I58,1,MATCH('INVESTOR REPORT'!$I$3,{"Downside","Base","Upside"},0)),0)</f>
        <v>0</v>
      </c>
      <c r="CA58">
        <f>IF(CA$57=$C$43,-SUM($D$26:$E$26),0)+IF(CA$57=$C$44,-$F$26,0)+IF(CA$57=$C$45,INDEX($G58:$I58,1,MATCH('INVESTOR REPORT'!$I$3,{"Downside","Base","Upside"},0)),0)</f>
        <v>0</v>
      </c>
      <c r="CB58">
        <f>IF(CB$57=$C$43,-SUM($D$26:$E$26),0)+IF(CB$57=$C$44,-$F$26,0)+IF(CB$57=$C$45,INDEX($G58:$I58,1,MATCH('INVESTOR REPORT'!$I$3,{"Downside","Base","Upside"},0)),0)</f>
        <v>0</v>
      </c>
      <c r="CC58">
        <f>IF(CC$57=$C$43,-SUM($D$26:$E$26),0)+IF(CC$57=$C$44,-$F$26,0)+IF(CC$57=$C$45,INDEX($G58:$I58,1,MATCH('INVESTOR REPORT'!$I$3,{"Downside","Base","Upside"},0)),0)</f>
        <v>0</v>
      </c>
      <c r="CD58">
        <f>IF(CD$57=$C$43,-SUM($D$26:$E$26),0)+IF(CD$57=$C$44,-$F$26,0)+IF(CD$57=$C$45,INDEX($G58:$I58,1,MATCH('INVESTOR REPORT'!$I$3,{"Downside","Base","Upside"},0)),0)</f>
        <v>0</v>
      </c>
      <c r="CE58">
        <f>IF(CE$57=$C$43,-SUM($D$26:$E$26),0)+IF(CE$57=$C$44,-$F$26,0)+IF(CE$57=$C$45,INDEX($G58:$I58,1,MATCH('INVESTOR REPORT'!$I$3,{"Downside","Base","Upside"},0)),0)</f>
        <v>0</v>
      </c>
      <c r="CF58">
        <f>IF(CF$57=$C$43,-SUM($D$26:$E$26),0)+IF(CF$57=$C$44,-$F$26,0)+IF(CF$57=$C$45,INDEX($G58:$I58,1,MATCH('INVESTOR REPORT'!$I$3,{"Downside","Base","Upside"},0)),0)</f>
        <v>0</v>
      </c>
      <c r="CG58">
        <f>IF(CG$57=$C$43,-SUM($D$26:$E$26),0)+IF(CG$57=$C$44,-$F$26,0)+IF(CG$57=$C$45,INDEX($G58:$I58,1,MATCH('INVESTOR REPORT'!$I$3,{"Downside","Base","Upside"},0)),0)</f>
        <v>0</v>
      </c>
      <c r="CH58">
        <f>IF(CH$57=$C$43,-SUM($D$26:$E$26),0)+IF(CH$57=$C$44,-$F$26,0)+IF(CH$57=$C$45,INDEX($G58:$I58,1,MATCH('INVESTOR REPORT'!$I$3,{"Downside","Base","Upside"},0)),0)</f>
        <v>0</v>
      </c>
      <c r="CI58">
        <f>IF(CI$57=$C$43,-SUM($D$26:$E$26),0)+IF(CI$57=$C$44,-$F$26,0)+IF(CI$57=$C$45,INDEX($G58:$I58,1,MATCH('INVESTOR REPORT'!$I$3,{"Downside","Base","Upside"},0)),0)</f>
        <v>0</v>
      </c>
      <c r="CJ58">
        <f>IF(CJ$57=$C$43,-SUM($D$26:$E$26),0)+IF(CJ$57=$C$44,-$F$26,0)+IF(CJ$57=$C$45,INDEX($G58:$I58,1,MATCH('INVESTOR REPORT'!$I$3,{"Downside","Base","Upside"},0)),0)</f>
        <v>0</v>
      </c>
      <c r="CK58">
        <f>IF(CK$57=$C$43,-SUM($D$26:$E$26),0)+IF(CK$57=$C$44,-$F$26,0)+IF(CK$57=$C$45,INDEX($G58:$I58,1,MATCH('INVESTOR REPORT'!$I$3,{"Downside","Base","Upside"},0)),0)</f>
        <v>0</v>
      </c>
      <c r="CL58">
        <f>IF(CL$57=$C$43,-SUM($D$26:$E$26),0)+IF(CL$57=$C$44,-$F$26,0)+IF(CL$57=$C$45,INDEX($G58:$I58,1,MATCH('INVESTOR REPORT'!$I$3,{"Downside","Base","Upside"},0)),0)</f>
        <v>0</v>
      </c>
      <c r="CM58">
        <f>IF(CM$57=$C$43,-SUM($D$26:$E$26),0)+IF(CM$57=$C$44,-$F$26,0)+IF(CM$57=$C$45,INDEX($G58:$I58,1,MATCH('INVESTOR REPORT'!$I$3,{"Downside","Base","Upside"},0)),0)</f>
        <v>0</v>
      </c>
      <c r="CN58">
        <f>IF(CN$57=$C$43,-SUM($D$26:$E$26),0)+IF(CN$57=$C$44,-$F$26,0)+IF(CN$57=$C$45,INDEX($G58:$I58,1,MATCH('INVESTOR REPORT'!$I$3,{"Downside","Base","Upside"},0)),0)</f>
        <v>0</v>
      </c>
      <c r="CO58">
        <f>IF(CO$57=$C$43,-SUM($D$26:$E$26),0)+IF(CO$57=$C$44,-$F$26,0)+IF(CO$57=$C$45,INDEX($G58:$I58,1,MATCH('INVESTOR REPORT'!$I$3,{"Downside","Base","Upside"},0)),0)</f>
        <v>19.978002712492092</v>
      </c>
      <c r="CZ58" t="s">
        <v>1007</v>
      </c>
      <c r="DA58" t="str">
        <f>IF(OR(SIGN($DA$44)&lt;&gt;SIGN($DA$45),ABS($DA$44-$DA$45)&gt;MAX(1,ABS($DA$45))*5%),"EXCEPTION","OK")</f>
        <v>OK</v>
      </c>
      <c r="DC58" t="s">
        <v>1008</v>
      </c>
      <c r="GJ58" s="595">
        <f>-SUM($D$26:$E$26)</f>
        <v>-10</v>
      </c>
      <c r="GK58" s="595">
        <f>-$F$26</f>
        <v>0</v>
      </c>
      <c r="GL58" s="605">
        <f t="shared" ref="GL58:GL65" si="32">$I58</f>
        <v>22.468321388663661</v>
      </c>
    </row>
    <row r="59" spans="1:194" x14ac:dyDescent="0.35">
      <c r="A59" s="307"/>
      <c r="B59" s="671" t="str">
        <f t="shared" si="18"/>
        <v>Mayabay Investments Pte Ltd</v>
      </c>
      <c r="C59" s="872">
        <f t="shared" si="19"/>
        <v>15.000999999999999</v>
      </c>
      <c r="D59" s="873">
        <f t="shared" si="19"/>
        <v>6.9557623613872396E-2</v>
      </c>
      <c r="E59" s="873">
        <f t="shared" si="20"/>
        <v>6.9557623613872396E-2</v>
      </c>
      <c r="F59" s="872">
        <f t="shared" si="21"/>
        <v>13.807775189087952</v>
      </c>
      <c r="G59" s="872">
        <f t="shared" si="22"/>
        <v>26.752066740502226</v>
      </c>
      <c r="H59" s="872">
        <f t="shared" si="22"/>
        <v>29.969001869009386</v>
      </c>
      <c r="I59" s="872">
        <f t="shared" si="22"/>
        <v>33.704728915134353</v>
      </c>
      <c r="J59" s="872">
        <f t="shared" si="23"/>
        <v>14.968001869009386</v>
      </c>
      <c r="K59" s="874">
        <f t="shared" si="24"/>
        <v>1.9978002712492091</v>
      </c>
      <c r="L59" s="873">
        <f t="shared" si="25"/>
        <v>0.12258674502372741</v>
      </c>
      <c r="M59" s="873">
        <f t="shared" si="26"/>
        <v>0.14835851788520818</v>
      </c>
      <c r="N59" s="873">
        <f t="shared" si="27"/>
        <v>0.17564342617988588</v>
      </c>
      <c r="O59" s="875">
        <f t="shared" si="28"/>
        <v>5.3910989323269281</v>
      </c>
      <c r="P59" s="729">
        <f>IF(OR(C59=0,H59&lt;C59),"N/M",ROUND(($C$45-((SUM($D$27:$E$27)*$C$43+$F$27*$C$44)/C59))*12/365,1))</f>
        <v>60</v>
      </c>
      <c r="X59" s="595">
        <f>-SUM($D$27:$E$27)</f>
        <v>-15.000999999999999</v>
      </c>
      <c r="Y59" s="595">
        <f>-$F$27</f>
        <v>0</v>
      </c>
      <c r="Z59" s="605">
        <f t="shared" si="29"/>
        <v>26.752066740502226</v>
      </c>
      <c r="AA59" s="595">
        <f>-SUM($D$27:$E$27)</f>
        <v>-15.000999999999999</v>
      </c>
      <c r="AB59" s="595">
        <f>-$F$27</f>
        <v>0</v>
      </c>
      <c r="AC59" s="605">
        <f t="shared" si="30"/>
        <v>26.752066740502226</v>
      </c>
      <c r="AD59" s="595">
        <f>-SUM($D$27:$E$27)</f>
        <v>-15.000999999999999</v>
      </c>
      <c r="AE59" s="595">
        <f>-$F$27</f>
        <v>0</v>
      </c>
      <c r="AF59" s="605">
        <f t="shared" si="31"/>
        <v>29.969001869009386</v>
      </c>
      <c r="AG59">
        <f>IF(AG$57=$C$43,-SUM($D$27:$E$27),0)+IF(AG$57=$C$44,-$F$27,0)+IF(AG$57=$C$45,INDEX($G59:$I59,1,MATCH('INVESTOR REPORT'!$I$3,{"Downside","Base","Upside"},0)),0)</f>
        <v>-15.000999999999999</v>
      </c>
      <c r="AH59">
        <f>IF(AH$57=$C$43,-SUM($D$27:$E$27),0)+IF(AH$57=$C$44,-$F$27,0)+IF(AH$57=$C$45,INDEX($G59:$I59,1,MATCH('INVESTOR REPORT'!$I$3,{"Downside","Base","Upside"},0)),0)</f>
        <v>0</v>
      </c>
      <c r="AI59">
        <f>IF(AI$57=$C$43,-SUM($D$27:$E$27),0)+IF(AI$57=$C$44,-$F$27,0)+IF(AI$57=$C$45,INDEX($G59:$I59,1,MATCH('INVESTOR REPORT'!$I$3,{"Downside","Base","Upside"},0)),0)</f>
        <v>0</v>
      </c>
      <c r="AJ59">
        <f>IF(AJ$57=$C$43,-SUM($D$27:$E$27),0)+IF(AJ$57=$C$44,-$F$27,0)+IF(AJ$57=$C$45,INDEX($G59:$I59,1,MATCH('INVESTOR REPORT'!$I$3,{"Downside","Base","Upside"},0)),0)</f>
        <v>0</v>
      </c>
      <c r="AK59">
        <f>IF(AK$57=$C$43,-SUM($D$27:$E$27),0)+IF(AK$57=$C$44,-$F$27,0)+IF(AK$57=$C$45,INDEX($G59:$I59,1,MATCH('INVESTOR REPORT'!$I$3,{"Downside","Base","Upside"},0)),0)</f>
        <v>0</v>
      </c>
      <c r="AL59">
        <f>IF(AL$57=$C$43,-SUM($D$27:$E$27),0)+IF(AL$57=$C$44,-$F$27,0)+IF(AL$57=$C$45,INDEX($G59:$I59,1,MATCH('INVESTOR REPORT'!$I$3,{"Downside","Base","Upside"},0)),0)</f>
        <v>0</v>
      </c>
      <c r="AM59">
        <f>IF(AM$57=$C$43,-SUM($D$27:$E$27),0)+IF(AM$57=$C$44,-$F$27,0)+IF(AM$57=$C$45,INDEX($G59:$I59,1,MATCH('INVESTOR REPORT'!$I$3,{"Downside","Base","Upside"},0)),0)</f>
        <v>0</v>
      </c>
      <c r="AN59">
        <f>IF(AN$57=$C$43,-SUM($D$27:$E$27),0)+IF(AN$57=$C$44,-$F$27,0)+IF(AN$57=$C$45,INDEX($G59:$I59,1,MATCH('INVESTOR REPORT'!$I$3,{"Downside","Base","Upside"},0)),0)</f>
        <v>0</v>
      </c>
      <c r="AO59">
        <f>IF(AO$57=$C$43,-SUM($D$27:$E$27),0)+IF(AO$57=$C$44,-$F$27,0)+IF(AO$57=$C$45,INDEX($G59:$I59,1,MATCH('INVESTOR REPORT'!$I$3,{"Downside","Base","Upside"},0)),0)</f>
        <v>0</v>
      </c>
      <c r="AP59">
        <f>IF(AP$57=$C$43,-SUM($D$27:$E$27),0)+IF(AP$57=$C$44,-$F$27,0)+IF(AP$57=$C$45,INDEX($G59:$I59,1,MATCH('INVESTOR REPORT'!$I$3,{"Downside","Base","Upside"},0)),0)</f>
        <v>0</v>
      </c>
      <c r="AQ59">
        <f>IF(AQ$57=$C$43,-SUM($D$27:$E$27),0)+IF(AQ$57=$C$44,-$F$27,0)+IF(AQ$57=$C$45,INDEX($G59:$I59,1,MATCH('INVESTOR REPORT'!$I$3,{"Downside","Base","Upside"},0)),0)</f>
        <v>0</v>
      </c>
      <c r="AR59">
        <f>IF(AR$57=$C$43,-SUM($D$27:$E$27),0)+IF(AR$57=$C$44,-$F$27,0)+IF(AR$57=$C$45,INDEX($G59:$I59,1,MATCH('INVESTOR REPORT'!$I$3,{"Downside","Base","Upside"},0)),0)</f>
        <v>0</v>
      </c>
      <c r="AS59">
        <f>IF(AS$57=$C$43,-SUM($D$27:$E$27),0)+IF(AS$57=$C$44,-$F$27,0)+IF(AS$57=$C$45,INDEX($G59:$I59,1,MATCH('INVESTOR REPORT'!$I$3,{"Downside","Base","Upside"},0)),0)</f>
        <v>0</v>
      </c>
      <c r="AT59">
        <f>IF(AT$57=$C$43,-SUM($D$27:$E$27),0)+IF(AT$57=$C$44,-$F$27,0)+IF(AT$57=$C$45,INDEX($G59:$I59,1,MATCH('INVESTOR REPORT'!$I$3,{"Downside","Base","Upside"},0)),0)</f>
        <v>0</v>
      </c>
      <c r="AU59">
        <f>IF(AU$57=$C$43,-SUM($D$27:$E$27),0)+IF(AU$57=$C$44,-$F$27,0)+IF(AU$57=$C$45,INDEX($G59:$I59,1,MATCH('INVESTOR REPORT'!$I$3,{"Downside","Base","Upside"},0)),0)</f>
        <v>0</v>
      </c>
      <c r="AV59">
        <f>IF(AV$57=$C$43,-SUM($D$27:$E$27),0)+IF(AV$57=$C$44,-$F$27,0)+IF(AV$57=$C$45,INDEX($G59:$I59,1,MATCH('INVESTOR REPORT'!$I$3,{"Downside","Base","Upside"},0)),0)</f>
        <v>0</v>
      </c>
      <c r="AW59">
        <f>IF(AW$57=$C$43,-SUM($D$27:$E$27),0)+IF(AW$57=$C$44,-$F$27,0)+IF(AW$57=$C$45,INDEX($G59:$I59,1,MATCH('INVESTOR REPORT'!$I$3,{"Downside","Base","Upside"},0)),0)</f>
        <v>0</v>
      </c>
      <c r="AX59">
        <f>IF(AX$57=$C$43,-SUM($D$27:$E$27),0)+IF(AX$57=$C$44,-$F$27,0)+IF(AX$57=$C$45,INDEX($G59:$I59,1,MATCH('INVESTOR REPORT'!$I$3,{"Downside","Base","Upside"},0)),0)</f>
        <v>0</v>
      </c>
      <c r="AY59">
        <f>IF(AY$57=$C$43,-SUM($D$27:$E$27),0)+IF(AY$57=$C$44,-$F$27,0)+IF(AY$57=$C$45,INDEX($G59:$I59,1,MATCH('INVESTOR REPORT'!$I$3,{"Downside","Base","Upside"},0)),0)</f>
        <v>0</v>
      </c>
      <c r="AZ59">
        <f>IF(AZ$57=$C$43,-SUM($D$27:$E$27),0)+IF(AZ$57=$C$44,-$F$27,0)+IF(AZ$57=$C$45,INDEX($G59:$I59,1,MATCH('INVESTOR REPORT'!$I$3,{"Downside","Base","Upside"},0)),0)</f>
        <v>0</v>
      </c>
      <c r="BA59">
        <f>IF(BA$57=$C$43,-SUM($D$27:$E$27),0)+IF(BA$57=$C$44,-$F$27,0)+IF(BA$57=$C$45,INDEX($G59:$I59,1,MATCH('INVESTOR REPORT'!$I$3,{"Downside","Base","Upside"},0)),0)</f>
        <v>0</v>
      </c>
      <c r="BB59">
        <f>IF(BB$57=$C$43,-SUM($D$27:$E$27),0)+IF(BB$57=$C$44,-$F$27,0)+IF(BB$57=$C$45,INDEX($G59:$I59,1,MATCH('INVESTOR REPORT'!$I$3,{"Downside","Base","Upside"},0)),0)</f>
        <v>0</v>
      </c>
      <c r="BC59">
        <f>IF(BC$57=$C$43,-SUM($D$27:$E$27),0)+IF(BC$57=$C$44,-$F$27,0)+IF(BC$57=$C$45,INDEX($G59:$I59,1,MATCH('INVESTOR REPORT'!$I$3,{"Downside","Base","Upside"},0)),0)</f>
        <v>0</v>
      </c>
      <c r="BD59">
        <f>IF(BD$57=$C$43,-SUM($D$27:$E$27),0)+IF(BD$57=$C$44,-$F$27,0)+IF(BD$57=$C$45,INDEX($G59:$I59,1,MATCH('INVESTOR REPORT'!$I$3,{"Downside","Base","Upside"},0)),0)</f>
        <v>0</v>
      </c>
      <c r="BE59">
        <f>IF(BE$57=$C$43,-SUM($D$27:$E$27),0)+IF(BE$57=$C$44,-$F$27,0)+IF(BE$57=$C$45,INDEX($G59:$I59,1,MATCH('INVESTOR REPORT'!$I$3,{"Downside","Base","Upside"},0)),0)</f>
        <v>0</v>
      </c>
      <c r="BF59">
        <f>IF(BF$57=$C$43,-SUM($D$27:$E$27),0)+IF(BF$57=$C$44,-$F$27,0)+IF(BF$57=$C$45,INDEX($G59:$I59,1,MATCH('INVESTOR REPORT'!$I$3,{"Downside","Base","Upside"},0)),0)</f>
        <v>0</v>
      </c>
      <c r="BG59">
        <f>IF(BG$57=$C$43,-SUM($D$27:$E$27),0)+IF(BG$57=$C$44,-$F$27,0)+IF(BG$57=$C$45,INDEX($G59:$I59,1,MATCH('INVESTOR REPORT'!$I$3,{"Downside","Base","Upside"},0)),0)</f>
        <v>0</v>
      </c>
      <c r="BH59">
        <f>IF(BH$57=$C$43,-SUM($D$27:$E$27),0)+IF(BH$57=$C$44,-$F$27,0)+IF(BH$57=$C$45,INDEX($G59:$I59,1,MATCH('INVESTOR REPORT'!$I$3,{"Downside","Base","Upside"},0)),0)</f>
        <v>0</v>
      </c>
      <c r="BI59">
        <f>IF(BI$57=$C$43,-SUM($D$27:$E$27),0)+IF(BI$57=$C$44,-$F$27,0)+IF(BI$57=$C$45,INDEX($G59:$I59,1,MATCH('INVESTOR REPORT'!$I$3,{"Downside","Base","Upside"},0)),0)</f>
        <v>0</v>
      </c>
      <c r="BJ59">
        <f>IF(BJ$57=$C$43,-SUM($D$27:$E$27),0)+IF(BJ$57=$C$44,-$F$27,0)+IF(BJ$57=$C$45,INDEX($G59:$I59,1,MATCH('INVESTOR REPORT'!$I$3,{"Downside","Base","Upside"},0)),0)</f>
        <v>0</v>
      </c>
      <c r="BK59">
        <f>IF(BK$57=$C$43,-SUM($D$27:$E$27),0)+IF(BK$57=$C$44,-$F$27,0)+IF(BK$57=$C$45,INDEX($G59:$I59,1,MATCH('INVESTOR REPORT'!$I$3,{"Downside","Base","Upside"},0)),0)</f>
        <v>0</v>
      </c>
      <c r="BL59">
        <f>IF(BL$57=$C$43,-SUM($D$27:$E$27),0)+IF(BL$57=$C$44,-$F$27,0)+IF(BL$57=$C$45,INDEX($G59:$I59,1,MATCH('INVESTOR REPORT'!$I$3,{"Downside","Base","Upside"},0)),0)</f>
        <v>0</v>
      </c>
      <c r="BM59">
        <f>IF(BM$57=$C$43,-SUM($D$27:$E$27),0)+IF(BM$57=$C$44,-$F$27,0)+IF(BM$57=$C$45,INDEX($G59:$I59,1,MATCH('INVESTOR REPORT'!$I$3,{"Downside","Base","Upside"},0)),0)</f>
        <v>0</v>
      </c>
      <c r="BN59">
        <f>IF(BN$57=$C$43,-SUM($D$27:$E$27),0)+IF(BN$57=$C$44,-$F$27,0)+IF(BN$57=$C$45,INDEX($G59:$I59,1,MATCH('INVESTOR REPORT'!$I$3,{"Downside","Base","Upside"},0)),0)</f>
        <v>0</v>
      </c>
      <c r="BO59">
        <f>IF(BO$57=$C$43,-SUM($D$27:$E$27),0)+IF(BO$57=$C$44,-$F$27,0)+IF(BO$57=$C$45,INDEX($G59:$I59,1,MATCH('INVESTOR REPORT'!$I$3,{"Downside","Base","Upside"},0)),0)</f>
        <v>0</v>
      </c>
      <c r="BP59">
        <f>IF(BP$57=$C$43,-SUM($D$27:$E$27),0)+IF(BP$57=$C$44,-$F$27,0)+IF(BP$57=$C$45,INDEX($G59:$I59,1,MATCH('INVESTOR REPORT'!$I$3,{"Downside","Base","Upside"},0)),0)</f>
        <v>0</v>
      </c>
      <c r="BQ59">
        <f>IF(BQ$57=$C$43,-SUM($D$27:$E$27),0)+IF(BQ$57=$C$44,-$F$27,0)+IF(BQ$57=$C$45,INDEX($G59:$I59,1,MATCH('INVESTOR REPORT'!$I$3,{"Downside","Base","Upside"},0)),0)</f>
        <v>0</v>
      </c>
      <c r="BR59">
        <f>IF(BR$57=$C$43,-SUM($D$27:$E$27),0)+IF(BR$57=$C$44,-$F$27,0)+IF(BR$57=$C$45,INDEX($G59:$I59,1,MATCH('INVESTOR REPORT'!$I$3,{"Downside","Base","Upside"},0)),0)</f>
        <v>0</v>
      </c>
      <c r="BS59">
        <f>IF(BS$57=$C$43,-SUM($D$27:$E$27),0)+IF(BS$57=$C$44,-$F$27,0)+IF(BS$57=$C$45,INDEX($G59:$I59,1,MATCH('INVESTOR REPORT'!$I$3,{"Downside","Base","Upside"},0)),0)</f>
        <v>0</v>
      </c>
      <c r="BT59">
        <f>IF(BT$57=$C$43,-SUM($D$27:$E$27),0)+IF(BT$57=$C$44,-$F$27,0)+IF(BT$57=$C$45,INDEX($G59:$I59,1,MATCH('INVESTOR REPORT'!$I$3,{"Downside","Base","Upside"},0)),0)</f>
        <v>0</v>
      </c>
      <c r="BU59">
        <f>IF(BU$57=$C$43,-SUM($D$27:$E$27),0)+IF(BU$57=$C$44,-$F$27,0)+IF(BU$57=$C$45,INDEX($G59:$I59,1,MATCH('INVESTOR REPORT'!$I$3,{"Downside","Base","Upside"},0)),0)</f>
        <v>0</v>
      </c>
      <c r="BV59">
        <f>IF(BV$57=$C$43,-SUM($D$27:$E$27),0)+IF(BV$57=$C$44,-$F$27,0)+IF(BV$57=$C$45,INDEX($G59:$I59,1,MATCH('INVESTOR REPORT'!$I$3,{"Downside","Base","Upside"},0)),0)</f>
        <v>0</v>
      </c>
      <c r="BW59">
        <f>IF(BW$57=$C$43,-SUM($D$27:$E$27),0)+IF(BW$57=$C$44,-$F$27,0)+IF(BW$57=$C$45,INDEX($G59:$I59,1,MATCH('INVESTOR REPORT'!$I$3,{"Downside","Base","Upside"},0)),0)</f>
        <v>0</v>
      </c>
      <c r="BX59">
        <f>IF(BX$57=$C$43,-SUM($D$27:$E$27),0)+IF(BX$57=$C$44,-$F$27,0)+IF(BX$57=$C$45,INDEX($G59:$I59,1,MATCH('INVESTOR REPORT'!$I$3,{"Downside","Base","Upside"},0)),0)</f>
        <v>0</v>
      </c>
      <c r="BY59">
        <f>IF(BY$57=$C$43,-SUM($D$27:$E$27),0)+IF(BY$57=$C$44,-$F$27,0)+IF(BY$57=$C$45,INDEX($G59:$I59,1,MATCH('INVESTOR REPORT'!$I$3,{"Downside","Base","Upside"},0)),0)</f>
        <v>0</v>
      </c>
      <c r="BZ59">
        <f>IF(BZ$57=$C$43,-SUM($D$27:$E$27),0)+IF(BZ$57=$C$44,-$F$27,0)+IF(BZ$57=$C$45,INDEX($G59:$I59,1,MATCH('INVESTOR REPORT'!$I$3,{"Downside","Base","Upside"},0)),0)</f>
        <v>0</v>
      </c>
      <c r="CA59">
        <f>IF(CA$57=$C$43,-SUM($D$27:$E$27),0)+IF(CA$57=$C$44,-$F$27,0)+IF(CA$57=$C$45,INDEX($G59:$I59,1,MATCH('INVESTOR REPORT'!$I$3,{"Downside","Base","Upside"},0)),0)</f>
        <v>0</v>
      </c>
      <c r="CB59">
        <f>IF(CB$57=$C$43,-SUM($D$27:$E$27),0)+IF(CB$57=$C$44,-$F$27,0)+IF(CB$57=$C$45,INDEX($G59:$I59,1,MATCH('INVESTOR REPORT'!$I$3,{"Downside","Base","Upside"},0)),0)</f>
        <v>0</v>
      </c>
      <c r="CC59">
        <f>IF(CC$57=$C$43,-SUM($D$27:$E$27),0)+IF(CC$57=$C$44,-$F$27,0)+IF(CC$57=$C$45,INDEX($G59:$I59,1,MATCH('INVESTOR REPORT'!$I$3,{"Downside","Base","Upside"},0)),0)</f>
        <v>0</v>
      </c>
      <c r="CD59">
        <f>IF(CD$57=$C$43,-SUM($D$27:$E$27),0)+IF(CD$57=$C$44,-$F$27,0)+IF(CD$57=$C$45,INDEX($G59:$I59,1,MATCH('INVESTOR REPORT'!$I$3,{"Downside","Base","Upside"},0)),0)</f>
        <v>0</v>
      </c>
      <c r="CE59">
        <f>IF(CE$57=$C$43,-SUM($D$27:$E$27),0)+IF(CE$57=$C$44,-$F$27,0)+IF(CE$57=$C$45,INDEX($G59:$I59,1,MATCH('INVESTOR REPORT'!$I$3,{"Downside","Base","Upside"},0)),0)</f>
        <v>0</v>
      </c>
      <c r="CF59">
        <f>IF(CF$57=$C$43,-SUM($D$27:$E$27),0)+IF(CF$57=$C$44,-$F$27,0)+IF(CF$57=$C$45,INDEX($G59:$I59,1,MATCH('INVESTOR REPORT'!$I$3,{"Downside","Base","Upside"},0)),0)</f>
        <v>0</v>
      </c>
      <c r="CG59">
        <f>IF(CG$57=$C$43,-SUM($D$27:$E$27),0)+IF(CG$57=$C$44,-$F$27,0)+IF(CG$57=$C$45,INDEX($G59:$I59,1,MATCH('INVESTOR REPORT'!$I$3,{"Downside","Base","Upside"},0)),0)</f>
        <v>0</v>
      </c>
      <c r="CH59">
        <f>IF(CH$57=$C$43,-SUM($D$27:$E$27),0)+IF(CH$57=$C$44,-$F$27,0)+IF(CH$57=$C$45,INDEX($G59:$I59,1,MATCH('INVESTOR REPORT'!$I$3,{"Downside","Base","Upside"},0)),0)</f>
        <v>0</v>
      </c>
      <c r="CI59">
        <f>IF(CI$57=$C$43,-SUM($D$27:$E$27),0)+IF(CI$57=$C$44,-$F$27,0)+IF(CI$57=$C$45,INDEX($G59:$I59,1,MATCH('INVESTOR REPORT'!$I$3,{"Downside","Base","Upside"},0)),0)</f>
        <v>0</v>
      </c>
      <c r="CJ59">
        <f>IF(CJ$57=$C$43,-SUM($D$27:$E$27),0)+IF(CJ$57=$C$44,-$F$27,0)+IF(CJ$57=$C$45,INDEX($G59:$I59,1,MATCH('INVESTOR REPORT'!$I$3,{"Downside","Base","Upside"},0)),0)</f>
        <v>0</v>
      </c>
      <c r="CK59">
        <f>IF(CK$57=$C$43,-SUM($D$27:$E$27),0)+IF(CK$57=$C$44,-$F$27,0)+IF(CK$57=$C$45,INDEX($G59:$I59,1,MATCH('INVESTOR REPORT'!$I$3,{"Downside","Base","Upside"},0)),0)</f>
        <v>0</v>
      </c>
      <c r="CL59">
        <f>IF(CL$57=$C$43,-SUM($D$27:$E$27),0)+IF(CL$57=$C$44,-$F$27,0)+IF(CL$57=$C$45,INDEX($G59:$I59,1,MATCH('INVESTOR REPORT'!$I$3,{"Downside","Base","Upside"},0)),0)</f>
        <v>0</v>
      </c>
      <c r="CM59">
        <f>IF(CM$57=$C$43,-SUM($D$27:$E$27),0)+IF(CM$57=$C$44,-$F$27,0)+IF(CM$57=$C$45,INDEX($G59:$I59,1,MATCH('INVESTOR REPORT'!$I$3,{"Downside","Base","Upside"},0)),0)</f>
        <v>0</v>
      </c>
      <c r="CN59">
        <f>IF(CN$57=$C$43,-SUM($D$27:$E$27),0)+IF(CN$57=$C$44,-$F$27,0)+IF(CN$57=$C$45,INDEX($G59:$I59,1,MATCH('INVESTOR REPORT'!$I$3,{"Downside","Base","Upside"},0)),0)</f>
        <v>0</v>
      </c>
      <c r="CO59">
        <f>IF(CO$57=$C$43,-SUM($D$27:$E$27),0)+IF(CO$57=$C$44,-$F$27,0)+IF(CO$57=$C$45,INDEX($G59:$I59,1,MATCH('INVESTOR REPORT'!$I$3,{"Downside","Base","Upside"},0)),0)</f>
        <v>29.969001869009386</v>
      </c>
      <c r="GJ59" s="595">
        <f>-SUM($D$27:$E$27)</f>
        <v>-15.000999999999999</v>
      </c>
      <c r="GK59" s="595">
        <f>-$F$27</f>
        <v>0</v>
      </c>
      <c r="GL59" s="605">
        <f t="shared" si="32"/>
        <v>33.704728915134353</v>
      </c>
    </row>
    <row r="60" spans="1:194" x14ac:dyDescent="0.35">
      <c r="A60" s="307"/>
      <c r="B60" s="671" t="str">
        <f t="shared" si="18"/>
        <v>Brian Mirfin</v>
      </c>
      <c r="C60" s="872">
        <f t="shared" si="19"/>
        <v>5</v>
      </c>
      <c r="D60" s="873">
        <f t="shared" si="19"/>
        <v>2.3184328916029732E-2</v>
      </c>
      <c r="E60" s="873">
        <f t="shared" si="20"/>
        <v>2.3184328916029732E-2</v>
      </c>
      <c r="F60" s="872">
        <f t="shared" si="21"/>
        <v>4.602284910701937</v>
      </c>
      <c r="G60" s="872">
        <f t="shared" si="22"/>
        <v>8.9167611294254474</v>
      </c>
      <c r="H60" s="872">
        <f t="shared" si="22"/>
        <v>9.989001356246046</v>
      </c>
      <c r="I60" s="872">
        <f t="shared" si="22"/>
        <v>11.23416069433183</v>
      </c>
      <c r="J60" s="872">
        <f t="shared" si="23"/>
        <v>4.989001356246046</v>
      </c>
      <c r="K60" s="874">
        <f t="shared" si="24"/>
        <v>1.9978002712492091</v>
      </c>
      <c r="L60" s="873">
        <f t="shared" si="25"/>
        <v>0.12258674502372741</v>
      </c>
      <c r="M60" s="873">
        <f t="shared" si="26"/>
        <v>0.14835851788520818</v>
      </c>
      <c r="N60" s="873">
        <f t="shared" si="27"/>
        <v>0.17564342617988588</v>
      </c>
      <c r="O60" s="875">
        <f t="shared" si="28"/>
        <v>1.7969131832300942</v>
      </c>
      <c r="P60" s="729">
        <f>IF(OR(C60=0,H60&lt;C60),"N/M",ROUND(($C$45-((SUM($D$28:$E$28)*$C$43+$F$28*$C$44)/C60))*12/365,1))</f>
        <v>60</v>
      </c>
      <c r="X60" s="595">
        <f>-SUM($D$28:$E$28)</f>
        <v>-5</v>
      </c>
      <c r="Y60" s="595">
        <f>-$F$28</f>
        <v>0</v>
      </c>
      <c r="Z60" s="605">
        <f t="shared" si="29"/>
        <v>8.9167611294254474</v>
      </c>
      <c r="AA60" s="595">
        <f>-SUM($D$28:$E$28)</f>
        <v>-5</v>
      </c>
      <c r="AB60" s="595">
        <f>-$F$28</f>
        <v>0</v>
      </c>
      <c r="AC60" s="605">
        <f t="shared" si="30"/>
        <v>8.9167611294254474</v>
      </c>
      <c r="AD60" s="595">
        <f>-SUM($D$28:$E$28)</f>
        <v>-5</v>
      </c>
      <c r="AE60" s="595">
        <f>-$F$28</f>
        <v>0</v>
      </c>
      <c r="AF60" s="605">
        <f t="shared" si="31"/>
        <v>9.989001356246046</v>
      </c>
      <c r="AG60">
        <f>IF(AG$57=$C$43,-SUM($D$28:$E$28),0)+IF(AG$57=$C$44,-$F$28,0)+IF(AG$57=$C$45,INDEX($G60:$I60,1,MATCH('INVESTOR REPORT'!$I$3,{"Downside","Base","Upside"},0)),0)</f>
        <v>-5</v>
      </c>
      <c r="AH60">
        <f>IF(AH$57=$C$43,-SUM($D$28:$E$28),0)+IF(AH$57=$C$44,-$F$28,0)+IF(AH$57=$C$45,INDEX($G60:$I60,1,MATCH('INVESTOR REPORT'!$I$3,{"Downside","Base","Upside"},0)),0)</f>
        <v>0</v>
      </c>
      <c r="AI60">
        <f>IF(AI$57=$C$43,-SUM($D$28:$E$28),0)+IF(AI$57=$C$44,-$F$28,0)+IF(AI$57=$C$45,INDEX($G60:$I60,1,MATCH('INVESTOR REPORT'!$I$3,{"Downside","Base","Upside"},0)),0)</f>
        <v>0</v>
      </c>
      <c r="AJ60">
        <f>IF(AJ$57=$C$43,-SUM($D$28:$E$28),0)+IF(AJ$57=$C$44,-$F$28,0)+IF(AJ$57=$C$45,INDEX($G60:$I60,1,MATCH('INVESTOR REPORT'!$I$3,{"Downside","Base","Upside"},0)),0)</f>
        <v>0</v>
      </c>
      <c r="AK60">
        <f>IF(AK$57=$C$43,-SUM($D$28:$E$28),0)+IF(AK$57=$C$44,-$F$28,0)+IF(AK$57=$C$45,INDEX($G60:$I60,1,MATCH('INVESTOR REPORT'!$I$3,{"Downside","Base","Upside"},0)),0)</f>
        <v>0</v>
      </c>
      <c r="AL60">
        <f>IF(AL$57=$C$43,-SUM($D$28:$E$28),0)+IF(AL$57=$C$44,-$F$28,0)+IF(AL$57=$C$45,INDEX($G60:$I60,1,MATCH('INVESTOR REPORT'!$I$3,{"Downside","Base","Upside"},0)),0)</f>
        <v>0</v>
      </c>
      <c r="AM60">
        <f>IF(AM$57=$C$43,-SUM($D$28:$E$28),0)+IF(AM$57=$C$44,-$F$28,0)+IF(AM$57=$C$45,INDEX($G60:$I60,1,MATCH('INVESTOR REPORT'!$I$3,{"Downside","Base","Upside"},0)),0)</f>
        <v>0</v>
      </c>
      <c r="AN60">
        <f>IF(AN$57=$C$43,-SUM($D$28:$E$28),0)+IF(AN$57=$C$44,-$F$28,0)+IF(AN$57=$C$45,INDEX($G60:$I60,1,MATCH('INVESTOR REPORT'!$I$3,{"Downside","Base","Upside"},0)),0)</f>
        <v>0</v>
      </c>
      <c r="AO60">
        <f>IF(AO$57=$C$43,-SUM($D$28:$E$28),0)+IF(AO$57=$C$44,-$F$28,0)+IF(AO$57=$C$45,INDEX($G60:$I60,1,MATCH('INVESTOR REPORT'!$I$3,{"Downside","Base","Upside"},0)),0)</f>
        <v>0</v>
      </c>
      <c r="AP60">
        <f>IF(AP$57=$C$43,-SUM($D$28:$E$28),0)+IF(AP$57=$C$44,-$F$28,0)+IF(AP$57=$C$45,INDEX($G60:$I60,1,MATCH('INVESTOR REPORT'!$I$3,{"Downside","Base","Upside"},0)),0)</f>
        <v>0</v>
      </c>
      <c r="AQ60">
        <f>IF(AQ$57=$C$43,-SUM($D$28:$E$28),0)+IF(AQ$57=$C$44,-$F$28,0)+IF(AQ$57=$C$45,INDEX($G60:$I60,1,MATCH('INVESTOR REPORT'!$I$3,{"Downside","Base","Upside"},0)),0)</f>
        <v>0</v>
      </c>
      <c r="AR60">
        <f>IF(AR$57=$C$43,-SUM($D$28:$E$28),0)+IF(AR$57=$C$44,-$F$28,0)+IF(AR$57=$C$45,INDEX($G60:$I60,1,MATCH('INVESTOR REPORT'!$I$3,{"Downside","Base","Upside"},0)),0)</f>
        <v>0</v>
      </c>
      <c r="AS60">
        <f>IF(AS$57=$C$43,-SUM($D$28:$E$28),0)+IF(AS$57=$C$44,-$F$28,0)+IF(AS$57=$C$45,INDEX($G60:$I60,1,MATCH('INVESTOR REPORT'!$I$3,{"Downside","Base","Upside"},0)),0)</f>
        <v>0</v>
      </c>
      <c r="AT60">
        <f>IF(AT$57=$C$43,-SUM($D$28:$E$28),0)+IF(AT$57=$C$44,-$F$28,0)+IF(AT$57=$C$45,INDEX($G60:$I60,1,MATCH('INVESTOR REPORT'!$I$3,{"Downside","Base","Upside"},0)),0)</f>
        <v>0</v>
      </c>
      <c r="AU60">
        <f>IF(AU$57=$C$43,-SUM($D$28:$E$28),0)+IF(AU$57=$C$44,-$F$28,0)+IF(AU$57=$C$45,INDEX($G60:$I60,1,MATCH('INVESTOR REPORT'!$I$3,{"Downside","Base","Upside"},0)),0)</f>
        <v>0</v>
      </c>
      <c r="AV60">
        <f>IF(AV$57=$C$43,-SUM($D$28:$E$28),0)+IF(AV$57=$C$44,-$F$28,0)+IF(AV$57=$C$45,INDEX($G60:$I60,1,MATCH('INVESTOR REPORT'!$I$3,{"Downside","Base","Upside"},0)),0)</f>
        <v>0</v>
      </c>
      <c r="AW60">
        <f>IF(AW$57=$C$43,-SUM($D$28:$E$28),0)+IF(AW$57=$C$44,-$F$28,0)+IF(AW$57=$C$45,INDEX($G60:$I60,1,MATCH('INVESTOR REPORT'!$I$3,{"Downside","Base","Upside"},0)),0)</f>
        <v>0</v>
      </c>
      <c r="AX60">
        <f>IF(AX$57=$C$43,-SUM($D$28:$E$28),0)+IF(AX$57=$C$44,-$F$28,0)+IF(AX$57=$C$45,INDEX($G60:$I60,1,MATCH('INVESTOR REPORT'!$I$3,{"Downside","Base","Upside"},0)),0)</f>
        <v>0</v>
      </c>
      <c r="AY60">
        <f>IF(AY$57=$C$43,-SUM($D$28:$E$28),0)+IF(AY$57=$C$44,-$F$28,0)+IF(AY$57=$C$45,INDEX($G60:$I60,1,MATCH('INVESTOR REPORT'!$I$3,{"Downside","Base","Upside"},0)),0)</f>
        <v>0</v>
      </c>
      <c r="AZ60">
        <f>IF(AZ$57=$C$43,-SUM($D$28:$E$28),0)+IF(AZ$57=$C$44,-$F$28,0)+IF(AZ$57=$C$45,INDEX($G60:$I60,1,MATCH('INVESTOR REPORT'!$I$3,{"Downside","Base","Upside"},0)),0)</f>
        <v>0</v>
      </c>
      <c r="BA60">
        <f>IF(BA$57=$C$43,-SUM($D$28:$E$28),0)+IF(BA$57=$C$44,-$F$28,0)+IF(BA$57=$C$45,INDEX($G60:$I60,1,MATCH('INVESTOR REPORT'!$I$3,{"Downside","Base","Upside"},0)),0)</f>
        <v>0</v>
      </c>
      <c r="BB60">
        <f>IF(BB$57=$C$43,-SUM($D$28:$E$28),0)+IF(BB$57=$C$44,-$F$28,0)+IF(BB$57=$C$45,INDEX($G60:$I60,1,MATCH('INVESTOR REPORT'!$I$3,{"Downside","Base","Upside"},0)),0)</f>
        <v>0</v>
      </c>
      <c r="BC60">
        <f>IF(BC$57=$C$43,-SUM($D$28:$E$28),0)+IF(BC$57=$C$44,-$F$28,0)+IF(BC$57=$C$45,INDEX($G60:$I60,1,MATCH('INVESTOR REPORT'!$I$3,{"Downside","Base","Upside"},0)),0)</f>
        <v>0</v>
      </c>
      <c r="BD60">
        <f>IF(BD$57=$C$43,-SUM($D$28:$E$28),0)+IF(BD$57=$C$44,-$F$28,0)+IF(BD$57=$C$45,INDEX($G60:$I60,1,MATCH('INVESTOR REPORT'!$I$3,{"Downside","Base","Upside"},0)),0)</f>
        <v>0</v>
      </c>
      <c r="BE60">
        <f>IF(BE$57=$C$43,-SUM($D$28:$E$28),0)+IF(BE$57=$C$44,-$F$28,0)+IF(BE$57=$C$45,INDEX($G60:$I60,1,MATCH('INVESTOR REPORT'!$I$3,{"Downside","Base","Upside"},0)),0)</f>
        <v>0</v>
      </c>
      <c r="BF60">
        <f>IF(BF$57=$C$43,-SUM($D$28:$E$28),0)+IF(BF$57=$C$44,-$F$28,0)+IF(BF$57=$C$45,INDEX($G60:$I60,1,MATCH('INVESTOR REPORT'!$I$3,{"Downside","Base","Upside"},0)),0)</f>
        <v>0</v>
      </c>
      <c r="BG60">
        <f>IF(BG$57=$C$43,-SUM($D$28:$E$28),0)+IF(BG$57=$C$44,-$F$28,0)+IF(BG$57=$C$45,INDEX($G60:$I60,1,MATCH('INVESTOR REPORT'!$I$3,{"Downside","Base","Upside"},0)),0)</f>
        <v>0</v>
      </c>
      <c r="BH60">
        <f>IF(BH$57=$C$43,-SUM($D$28:$E$28),0)+IF(BH$57=$C$44,-$F$28,0)+IF(BH$57=$C$45,INDEX($G60:$I60,1,MATCH('INVESTOR REPORT'!$I$3,{"Downside","Base","Upside"},0)),0)</f>
        <v>0</v>
      </c>
      <c r="BI60">
        <f>IF(BI$57=$C$43,-SUM($D$28:$E$28),0)+IF(BI$57=$C$44,-$F$28,0)+IF(BI$57=$C$45,INDEX($G60:$I60,1,MATCH('INVESTOR REPORT'!$I$3,{"Downside","Base","Upside"},0)),0)</f>
        <v>0</v>
      </c>
      <c r="BJ60">
        <f>IF(BJ$57=$C$43,-SUM($D$28:$E$28),0)+IF(BJ$57=$C$44,-$F$28,0)+IF(BJ$57=$C$45,INDEX($G60:$I60,1,MATCH('INVESTOR REPORT'!$I$3,{"Downside","Base","Upside"},0)),0)</f>
        <v>0</v>
      </c>
      <c r="BK60">
        <f>IF(BK$57=$C$43,-SUM($D$28:$E$28),0)+IF(BK$57=$C$44,-$F$28,0)+IF(BK$57=$C$45,INDEX($G60:$I60,1,MATCH('INVESTOR REPORT'!$I$3,{"Downside","Base","Upside"},0)),0)</f>
        <v>0</v>
      </c>
      <c r="BL60">
        <f>IF(BL$57=$C$43,-SUM($D$28:$E$28),0)+IF(BL$57=$C$44,-$F$28,0)+IF(BL$57=$C$45,INDEX($G60:$I60,1,MATCH('INVESTOR REPORT'!$I$3,{"Downside","Base","Upside"},0)),0)</f>
        <v>0</v>
      </c>
      <c r="BM60">
        <f>IF(BM$57=$C$43,-SUM($D$28:$E$28),0)+IF(BM$57=$C$44,-$F$28,0)+IF(BM$57=$C$45,INDEX($G60:$I60,1,MATCH('INVESTOR REPORT'!$I$3,{"Downside","Base","Upside"},0)),0)</f>
        <v>0</v>
      </c>
      <c r="BN60">
        <f>IF(BN$57=$C$43,-SUM($D$28:$E$28),0)+IF(BN$57=$C$44,-$F$28,0)+IF(BN$57=$C$45,INDEX($G60:$I60,1,MATCH('INVESTOR REPORT'!$I$3,{"Downside","Base","Upside"},0)),0)</f>
        <v>0</v>
      </c>
      <c r="BO60">
        <f>IF(BO$57=$C$43,-SUM($D$28:$E$28),0)+IF(BO$57=$C$44,-$F$28,0)+IF(BO$57=$C$45,INDEX($G60:$I60,1,MATCH('INVESTOR REPORT'!$I$3,{"Downside","Base","Upside"},0)),0)</f>
        <v>0</v>
      </c>
      <c r="BP60">
        <f>IF(BP$57=$C$43,-SUM($D$28:$E$28),0)+IF(BP$57=$C$44,-$F$28,0)+IF(BP$57=$C$45,INDEX($G60:$I60,1,MATCH('INVESTOR REPORT'!$I$3,{"Downside","Base","Upside"},0)),0)</f>
        <v>0</v>
      </c>
      <c r="BQ60">
        <f>IF(BQ$57=$C$43,-SUM($D$28:$E$28),0)+IF(BQ$57=$C$44,-$F$28,0)+IF(BQ$57=$C$45,INDEX($G60:$I60,1,MATCH('INVESTOR REPORT'!$I$3,{"Downside","Base","Upside"},0)),0)</f>
        <v>0</v>
      </c>
      <c r="BR60">
        <f>IF(BR$57=$C$43,-SUM($D$28:$E$28),0)+IF(BR$57=$C$44,-$F$28,0)+IF(BR$57=$C$45,INDEX($G60:$I60,1,MATCH('INVESTOR REPORT'!$I$3,{"Downside","Base","Upside"},0)),0)</f>
        <v>0</v>
      </c>
      <c r="BS60">
        <f>IF(BS$57=$C$43,-SUM($D$28:$E$28),0)+IF(BS$57=$C$44,-$F$28,0)+IF(BS$57=$C$45,INDEX($G60:$I60,1,MATCH('INVESTOR REPORT'!$I$3,{"Downside","Base","Upside"},0)),0)</f>
        <v>0</v>
      </c>
      <c r="BT60">
        <f>IF(BT$57=$C$43,-SUM($D$28:$E$28),0)+IF(BT$57=$C$44,-$F$28,0)+IF(BT$57=$C$45,INDEX($G60:$I60,1,MATCH('INVESTOR REPORT'!$I$3,{"Downside","Base","Upside"},0)),0)</f>
        <v>0</v>
      </c>
      <c r="BU60">
        <f>IF(BU$57=$C$43,-SUM($D$28:$E$28),0)+IF(BU$57=$C$44,-$F$28,0)+IF(BU$57=$C$45,INDEX($G60:$I60,1,MATCH('INVESTOR REPORT'!$I$3,{"Downside","Base","Upside"},0)),0)</f>
        <v>0</v>
      </c>
      <c r="BV60">
        <f>IF(BV$57=$C$43,-SUM($D$28:$E$28),0)+IF(BV$57=$C$44,-$F$28,0)+IF(BV$57=$C$45,INDEX($G60:$I60,1,MATCH('INVESTOR REPORT'!$I$3,{"Downside","Base","Upside"},0)),0)</f>
        <v>0</v>
      </c>
      <c r="BW60">
        <f>IF(BW$57=$C$43,-SUM($D$28:$E$28),0)+IF(BW$57=$C$44,-$F$28,0)+IF(BW$57=$C$45,INDEX($G60:$I60,1,MATCH('INVESTOR REPORT'!$I$3,{"Downside","Base","Upside"},0)),0)</f>
        <v>0</v>
      </c>
      <c r="BX60">
        <f>IF(BX$57=$C$43,-SUM($D$28:$E$28),0)+IF(BX$57=$C$44,-$F$28,0)+IF(BX$57=$C$45,INDEX($G60:$I60,1,MATCH('INVESTOR REPORT'!$I$3,{"Downside","Base","Upside"},0)),0)</f>
        <v>0</v>
      </c>
      <c r="BY60">
        <f>IF(BY$57=$C$43,-SUM($D$28:$E$28),0)+IF(BY$57=$C$44,-$F$28,0)+IF(BY$57=$C$45,INDEX($G60:$I60,1,MATCH('INVESTOR REPORT'!$I$3,{"Downside","Base","Upside"},0)),0)</f>
        <v>0</v>
      </c>
      <c r="BZ60">
        <f>IF(BZ$57=$C$43,-SUM($D$28:$E$28),0)+IF(BZ$57=$C$44,-$F$28,0)+IF(BZ$57=$C$45,INDEX($G60:$I60,1,MATCH('INVESTOR REPORT'!$I$3,{"Downside","Base","Upside"},0)),0)</f>
        <v>0</v>
      </c>
      <c r="CA60">
        <f>IF(CA$57=$C$43,-SUM($D$28:$E$28),0)+IF(CA$57=$C$44,-$F$28,0)+IF(CA$57=$C$45,INDEX($G60:$I60,1,MATCH('INVESTOR REPORT'!$I$3,{"Downside","Base","Upside"},0)),0)</f>
        <v>0</v>
      </c>
      <c r="CB60">
        <f>IF(CB$57=$C$43,-SUM($D$28:$E$28),0)+IF(CB$57=$C$44,-$F$28,0)+IF(CB$57=$C$45,INDEX($G60:$I60,1,MATCH('INVESTOR REPORT'!$I$3,{"Downside","Base","Upside"},0)),0)</f>
        <v>0</v>
      </c>
      <c r="CC60">
        <f>IF(CC$57=$C$43,-SUM($D$28:$E$28),0)+IF(CC$57=$C$44,-$F$28,0)+IF(CC$57=$C$45,INDEX($G60:$I60,1,MATCH('INVESTOR REPORT'!$I$3,{"Downside","Base","Upside"},0)),0)</f>
        <v>0</v>
      </c>
      <c r="CD60">
        <f>IF(CD$57=$C$43,-SUM($D$28:$E$28),0)+IF(CD$57=$C$44,-$F$28,0)+IF(CD$57=$C$45,INDEX($G60:$I60,1,MATCH('INVESTOR REPORT'!$I$3,{"Downside","Base","Upside"},0)),0)</f>
        <v>0</v>
      </c>
      <c r="CE60">
        <f>IF(CE$57=$C$43,-SUM($D$28:$E$28),0)+IF(CE$57=$C$44,-$F$28,0)+IF(CE$57=$C$45,INDEX($G60:$I60,1,MATCH('INVESTOR REPORT'!$I$3,{"Downside","Base","Upside"},0)),0)</f>
        <v>0</v>
      </c>
      <c r="CF60">
        <f>IF(CF$57=$C$43,-SUM($D$28:$E$28),0)+IF(CF$57=$C$44,-$F$28,0)+IF(CF$57=$C$45,INDEX($G60:$I60,1,MATCH('INVESTOR REPORT'!$I$3,{"Downside","Base","Upside"},0)),0)</f>
        <v>0</v>
      </c>
      <c r="CG60">
        <f>IF(CG$57=$C$43,-SUM($D$28:$E$28),0)+IF(CG$57=$C$44,-$F$28,0)+IF(CG$57=$C$45,INDEX($G60:$I60,1,MATCH('INVESTOR REPORT'!$I$3,{"Downside","Base","Upside"},0)),0)</f>
        <v>0</v>
      </c>
      <c r="CH60">
        <f>IF(CH$57=$C$43,-SUM($D$28:$E$28),0)+IF(CH$57=$C$44,-$F$28,0)+IF(CH$57=$C$45,INDEX($G60:$I60,1,MATCH('INVESTOR REPORT'!$I$3,{"Downside","Base","Upside"},0)),0)</f>
        <v>0</v>
      </c>
      <c r="CI60">
        <f>IF(CI$57=$C$43,-SUM($D$28:$E$28),0)+IF(CI$57=$C$44,-$F$28,0)+IF(CI$57=$C$45,INDEX($G60:$I60,1,MATCH('INVESTOR REPORT'!$I$3,{"Downside","Base","Upside"},0)),0)</f>
        <v>0</v>
      </c>
      <c r="CJ60">
        <f>IF(CJ$57=$C$43,-SUM($D$28:$E$28),0)+IF(CJ$57=$C$44,-$F$28,0)+IF(CJ$57=$C$45,INDEX($G60:$I60,1,MATCH('INVESTOR REPORT'!$I$3,{"Downside","Base","Upside"},0)),0)</f>
        <v>0</v>
      </c>
      <c r="CK60">
        <f>IF(CK$57=$C$43,-SUM($D$28:$E$28),0)+IF(CK$57=$C$44,-$F$28,0)+IF(CK$57=$C$45,INDEX($G60:$I60,1,MATCH('INVESTOR REPORT'!$I$3,{"Downside","Base","Upside"},0)),0)</f>
        <v>0</v>
      </c>
      <c r="CL60">
        <f>IF(CL$57=$C$43,-SUM($D$28:$E$28),0)+IF(CL$57=$C$44,-$F$28,0)+IF(CL$57=$C$45,INDEX($G60:$I60,1,MATCH('INVESTOR REPORT'!$I$3,{"Downside","Base","Upside"},0)),0)</f>
        <v>0</v>
      </c>
      <c r="CM60">
        <f>IF(CM$57=$C$43,-SUM($D$28:$E$28),0)+IF(CM$57=$C$44,-$F$28,0)+IF(CM$57=$C$45,INDEX($G60:$I60,1,MATCH('INVESTOR REPORT'!$I$3,{"Downside","Base","Upside"},0)),0)</f>
        <v>0</v>
      </c>
      <c r="CN60">
        <f>IF(CN$57=$C$43,-SUM($D$28:$E$28),0)+IF(CN$57=$C$44,-$F$28,0)+IF(CN$57=$C$45,INDEX($G60:$I60,1,MATCH('INVESTOR REPORT'!$I$3,{"Downside","Base","Upside"},0)),0)</f>
        <v>0</v>
      </c>
      <c r="CO60">
        <f>IF(CO$57=$C$43,-SUM($D$28:$E$28),0)+IF(CO$57=$C$44,-$F$28,0)+IF(CO$57=$C$45,INDEX($G60:$I60,1,MATCH('INVESTOR REPORT'!$I$3,{"Downside","Base","Upside"},0)),0)</f>
        <v>9.989001356246046</v>
      </c>
      <c r="CQ60" s="939" t="s">
        <v>1009</v>
      </c>
      <c r="CR60" s="937"/>
      <c r="CS60" s="937"/>
      <c r="CT60" s="937"/>
      <c r="CU60" s="937"/>
      <c r="CV60" s="937"/>
      <c r="CW60" s="937"/>
      <c r="CX60" s="937"/>
      <c r="CY60" s="937"/>
      <c r="CZ60" s="937"/>
      <c r="DA60" s="937"/>
      <c r="DB60" s="937"/>
      <c r="DC60" s="937"/>
      <c r="DD60" s="937"/>
      <c r="DE60" s="937"/>
      <c r="DF60" s="937"/>
      <c r="DG60" s="937"/>
      <c r="DH60" s="937"/>
      <c r="DI60" s="937"/>
      <c r="DJ60" s="937"/>
      <c r="DK60" s="937"/>
      <c r="DL60" s="937"/>
      <c r="GJ60" s="595">
        <f>-SUM($D$28:$E$28)</f>
        <v>-5</v>
      </c>
      <c r="GK60" s="595">
        <f>-$F$28</f>
        <v>0</v>
      </c>
      <c r="GL60" s="605">
        <f t="shared" si="32"/>
        <v>11.23416069433183</v>
      </c>
    </row>
    <row r="61" spans="1:194" ht="27" x14ac:dyDescent="0.35">
      <c r="A61" s="307"/>
      <c r="B61" s="671" t="str">
        <f t="shared" si="18"/>
        <v>Belgravia</v>
      </c>
      <c r="C61" s="872">
        <f t="shared" si="19"/>
        <v>2</v>
      </c>
      <c r="D61" s="873">
        <f t="shared" si="19"/>
        <v>9.2737315664118934E-3</v>
      </c>
      <c r="E61" s="873">
        <f t="shared" si="20"/>
        <v>9.2737315664118934E-3</v>
      </c>
      <c r="F61" s="872">
        <f t="shared" si="21"/>
        <v>1.840913964280775</v>
      </c>
      <c r="G61" s="872">
        <f t="shared" si="22"/>
        <v>3.5667044517701796</v>
      </c>
      <c r="H61" s="872">
        <f t="shared" si="22"/>
        <v>3.9956005424984187</v>
      </c>
      <c r="I61" s="872">
        <f t="shared" si="22"/>
        <v>4.4936642777327327</v>
      </c>
      <c r="J61" s="872">
        <f t="shared" si="23"/>
        <v>1.9956005424984187</v>
      </c>
      <c r="K61" s="874">
        <f t="shared" si="24"/>
        <v>1.9978002712492093</v>
      </c>
      <c r="L61" s="873">
        <f t="shared" si="25"/>
        <v>0.12258674502372741</v>
      </c>
      <c r="M61" s="873">
        <f t="shared" si="26"/>
        <v>0.14835851788520818</v>
      </c>
      <c r="N61" s="873">
        <f t="shared" si="27"/>
        <v>0.17564342617988588</v>
      </c>
      <c r="O61" s="875">
        <f t="shared" si="28"/>
        <v>0.71876527329203777</v>
      </c>
      <c r="P61" s="729">
        <f>IF(OR(C61=0,H61&lt;C61),"N/M",ROUND(($C$45-((SUM($D$29:$E$29)*$C$43+$F$29*$C$44)/C61))*12/365,1))</f>
        <v>60</v>
      </c>
      <c r="X61" s="595">
        <f>-SUM($D$29:$E$29)</f>
        <v>-2</v>
      </c>
      <c r="Y61" s="595">
        <f>-$F$29</f>
        <v>0</v>
      </c>
      <c r="Z61" s="605">
        <f t="shared" si="29"/>
        <v>3.5667044517701796</v>
      </c>
      <c r="AA61" s="595">
        <f>-SUM($D$29:$E$29)</f>
        <v>-2</v>
      </c>
      <c r="AB61" s="595">
        <f>-$F$29</f>
        <v>0</v>
      </c>
      <c r="AC61" s="605">
        <f t="shared" si="30"/>
        <v>3.5667044517701796</v>
      </c>
      <c r="AD61" s="595">
        <f>-SUM($D$29:$E$29)</f>
        <v>-2</v>
      </c>
      <c r="AE61" s="595">
        <f>-$F$29</f>
        <v>0</v>
      </c>
      <c r="AF61" s="605">
        <f t="shared" si="31"/>
        <v>3.9956005424984187</v>
      </c>
      <c r="AG61">
        <f>IF(AG$57=$C$43,-SUM($D$29:$E$29),0)+IF(AG$57=$C$44,-$F$29,0)+IF(AG$57=$C$45,INDEX($G61:$I61,1,MATCH('INVESTOR REPORT'!$I$3,{"Downside","Base","Upside"},0)),0)</f>
        <v>-2</v>
      </c>
      <c r="AH61">
        <f>IF(AH$57=$C$43,-SUM($D$29:$E$29),0)+IF(AH$57=$C$44,-$F$29,0)+IF(AH$57=$C$45,INDEX($G61:$I61,1,MATCH('INVESTOR REPORT'!$I$3,{"Downside","Base","Upside"},0)),0)</f>
        <v>0</v>
      </c>
      <c r="AI61">
        <f>IF(AI$57=$C$43,-SUM($D$29:$E$29),0)+IF(AI$57=$C$44,-$F$29,0)+IF(AI$57=$C$45,INDEX($G61:$I61,1,MATCH('INVESTOR REPORT'!$I$3,{"Downside","Base","Upside"},0)),0)</f>
        <v>0</v>
      </c>
      <c r="AJ61">
        <f>IF(AJ$57=$C$43,-SUM($D$29:$E$29),0)+IF(AJ$57=$C$44,-$F$29,0)+IF(AJ$57=$C$45,INDEX($G61:$I61,1,MATCH('INVESTOR REPORT'!$I$3,{"Downside","Base","Upside"},0)),0)</f>
        <v>0</v>
      </c>
      <c r="AK61">
        <f>IF(AK$57=$C$43,-SUM($D$29:$E$29),0)+IF(AK$57=$C$44,-$F$29,0)+IF(AK$57=$C$45,INDEX($G61:$I61,1,MATCH('INVESTOR REPORT'!$I$3,{"Downside","Base","Upside"},0)),0)</f>
        <v>0</v>
      </c>
      <c r="AL61">
        <f>IF(AL$57=$C$43,-SUM($D$29:$E$29),0)+IF(AL$57=$C$44,-$F$29,0)+IF(AL$57=$C$45,INDEX($G61:$I61,1,MATCH('INVESTOR REPORT'!$I$3,{"Downside","Base","Upside"},0)),0)</f>
        <v>0</v>
      </c>
      <c r="AM61">
        <f>IF(AM$57=$C$43,-SUM($D$29:$E$29),0)+IF(AM$57=$C$44,-$F$29,0)+IF(AM$57=$C$45,INDEX($G61:$I61,1,MATCH('INVESTOR REPORT'!$I$3,{"Downside","Base","Upside"},0)),0)</f>
        <v>0</v>
      </c>
      <c r="AN61">
        <f>IF(AN$57=$C$43,-SUM($D$29:$E$29),0)+IF(AN$57=$C$44,-$F$29,0)+IF(AN$57=$C$45,INDEX($G61:$I61,1,MATCH('INVESTOR REPORT'!$I$3,{"Downside","Base","Upside"},0)),0)</f>
        <v>0</v>
      </c>
      <c r="AO61">
        <f>IF(AO$57=$C$43,-SUM($D$29:$E$29),0)+IF(AO$57=$C$44,-$F$29,0)+IF(AO$57=$C$45,INDEX($G61:$I61,1,MATCH('INVESTOR REPORT'!$I$3,{"Downside","Base","Upside"},0)),0)</f>
        <v>0</v>
      </c>
      <c r="AP61">
        <f>IF(AP$57=$C$43,-SUM($D$29:$E$29),0)+IF(AP$57=$C$44,-$F$29,0)+IF(AP$57=$C$45,INDEX($G61:$I61,1,MATCH('INVESTOR REPORT'!$I$3,{"Downside","Base","Upside"},0)),0)</f>
        <v>0</v>
      </c>
      <c r="AQ61">
        <f>IF(AQ$57=$C$43,-SUM($D$29:$E$29),0)+IF(AQ$57=$C$44,-$F$29,0)+IF(AQ$57=$C$45,INDEX($G61:$I61,1,MATCH('INVESTOR REPORT'!$I$3,{"Downside","Base","Upside"},0)),0)</f>
        <v>0</v>
      </c>
      <c r="AR61">
        <f>IF(AR$57=$C$43,-SUM($D$29:$E$29),0)+IF(AR$57=$C$44,-$F$29,0)+IF(AR$57=$C$45,INDEX($G61:$I61,1,MATCH('INVESTOR REPORT'!$I$3,{"Downside","Base","Upside"},0)),0)</f>
        <v>0</v>
      </c>
      <c r="AS61">
        <f>IF(AS$57=$C$43,-SUM($D$29:$E$29),0)+IF(AS$57=$C$44,-$F$29,0)+IF(AS$57=$C$45,INDEX($G61:$I61,1,MATCH('INVESTOR REPORT'!$I$3,{"Downside","Base","Upside"},0)),0)</f>
        <v>0</v>
      </c>
      <c r="AT61">
        <f>IF(AT$57=$C$43,-SUM($D$29:$E$29),0)+IF(AT$57=$C$44,-$F$29,0)+IF(AT$57=$C$45,INDEX($G61:$I61,1,MATCH('INVESTOR REPORT'!$I$3,{"Downside","Base","Upside"},0)),0)</f>
        <v>0</v>
      </c>
      <c r="AU61">
        <f>IF(AU$57=$C$43,-SUM($D$29:$E$29),0)+IF(AU$57=$C$44,-$F$29,0)+IF(AU$57=$C$45,INDEX($G61:$I61,1,MATCH('INVESTOR REPORT'!$I$3,{"Downside","Base","Upside"},0)),0)</f>
        <v>0</v>
      </c>
      <c r="AV61">
        <f>IF(AV$57=$C$43,-SUM($D$29:$E$29),0)+IF(AV$57=$C$44,-$F$29,0)+IF(AV$57=$C$45,INDEX($G61:$I61,1,MATCH('INVESTOR REPORT'!$I$3,{"Downside","Base","Upside"},0)),0)</f>
        <v>0</v>
      </c>
      <c r="AW61">
        <f>IF(AW$57=$C$43,-SUM($D$29:$E$29),0)+IF(AW$57=$C$44,-$F$29,0)+IF(AW$57=$C$45,INDEX($G61:$I61,1,MATCH('INVESTOR REPORT'!$I$3,{"Downside","Base","Upside"},0)),0)</f>
        <v>0</v>
      </c>
      <c r="AX61">
        <f>IF(AX$57=$C$43,-SUM($D$29:$E$29),0)+IF(AX$57=$C$44,-$F$29,0)+IF(AX$57=$C$45,INDEX($G61:$I61,1,MATCH('INVESTOR REPORT'!$I$3,{"Downside","Base","Upside"},0)),0)</f>
        <v>0</v>
      </c>
      <c r="AY61">
        <f>IF(AY$57=$C$43,-SUM($D$29:$E$29),0)+IF(AY$57=$C$44,-$F$29,0)+IF(AY$57=$C$45,INDEX($G61:$I61,1,MATCH('INVESTOR REPORT'!$I$3,{"Downside","Base","Upside"},0)),0)</f>
        <v>0</v>
      </c>
      <c r="AZ61">
        <f>IF(AZ$57=$C$43,-SUM($D$29:$E$29),0)+IF(AZ$57=$C$44,-$F$29,0)+IF(AZ$57=$C$45,INDEX($G61:$I61,1,MATCH('INVESTOR REPORT'!$I$3,{"Downside","Base","Upside"},0)),0)</f>
        <v>0</v>
      </c>
      <c r="BA61">
        <f>IF(BA$57=$C$43,-SUM($D$29:$E$29),0)+IF(BA$57=$C$44,-$F$29,0)+IF(BA$57=$C$45,INDEX($G61:$I61,1,MATCH('INVESTOR REPORT'!$I$3,{"Downside","Base","Upside"},0)),0)</f>
        <v>0</v>
      </c>
      <c r="BB61">
        <f>IF(BB$57=$C$43,-SUM($D$29:$E$29),0)+IF(BB$57=$C$44,-$F$29,0)+IF(BB$57=$C$45,INDEX($G61:$I61,1,MATCH('INVESTOR REPORT'!$I$3,{"Downside","Base","Upside"},0)),0)</f>
        <v>0</v>
      </c>
      <c r="BC61">
        <f>IF(BC$57=$C$43,-SUM($D$29:$E$29),0)+IF(BC$57=$C$44,-$F$29,0)+IF(BC$57=$C$45,INDEX($G61:$I61,1,MATCH('INVESTOR REPORT'!$I$3,{"Downside","Base","Upside"},0)),0)</f>
        <v>0</v>
      </c>
      <c r="BD61">
        <f>IF(BD$57=$C$43,-SUM($D$29:$E$29),0)+IF(BD$57=$C$44,-$F$29,0)+IF(BD$57=$C$45,INDEX($G61:$I61,1,MATCH('INVESTOR REPORT'!$I$3,{"Downside","Base","Upside"},0)),0)</f>
        <v>0</v>
      </c>
      <c r="BE61">
        <f>IF(BE$57=$C$43,-SUM($D$29:$E$29),0)+IF(BE$57=$C$44,-$F$29,0)+IF(BE$57=$C$45,INDEX($G61:$I61,1,MATCH('INVESTOR REPORT'!$I$3,{"Downside","Base","Upside"},0)),0)</f>
        <v>0</v>
      </c>
      <c r="BF61">
        <f>IF(BF$57=$C$43,-SUM($D$29:$E$29),0)+IF(BF$57=$C$44,-$F$29,0)+IF(BF$57=$C$45,INDEX($G61:$I61,1,MATCH('INVESTOR REPORT'!$I$3,{"Downside","Base","Upside"},0)),0)</f>
        <v>0</v>
      </c>
      <c r="BG61">
        <f>IF(BG$57=$C$43,-SUM($D$29:$E$29),0)+IF(BG$57=$C$44,-$F$29,0)+IF(BG$57=$C$45,INDEX($G61:$I61,1,MATCH('INVESTOR REPORT'!$I$3,{"Downside","Base","Upside"},0)),0)</f>
        <v>0</v>
      </c>
      <c r="BH61">
        <f>IF(BH$57=$C$43,-SUM($D$29:$E$29),0)+IF(BH$57=$C$44,-$F$29,0)+IF(BH$57=$C$45,INDEX($G61:$I61,1,MATCH('INVESTOR REPORT'!$I$3,{"Downside","Base","Upside"},0)),0)</f>
        <v>0</v>
      </c>
      <c r="BI61">
        <f>IF(BI$57=$C$43,-SUM($D$29:$E$29),0)+IF(BI$57=$C$44,-$F$29,0)+IF(BI$57=$C$45,INDEX($G61:$I61,1,MATCH('INVESTOR REPORT'!$I$3,{"Downside","Base","Upside"},0)),0)</f>
        <v>0</v>
      </c>
      <c r="BJ61">
        <f>IF(BJ$57=$C$43,-SUM($D$29:$E$29),0)+IF(BJ$57=$C$44,-$F$29,0)+IF(BJ$57=$C$45,INDEX($G61:$I61,1,MATCH('INVESTOR REPORT'!$I$3,{"Downside","Base","Upside"},0)),0)</f>
        <v>0</v>
      </c>
      <c r="BK61">
        <f>IF(BK$57=$C$43,-SUM($D$29:$E$29),0)+IF(BK$57=$C$44,-$F$29,0)+IF(BK$57=$C$45,INDEX($G61:$I61,1,MATCH('INVESTOR REPORT'!$I$3,{"Downside","Base","Upside"},0)),0)</f>
        <v>0</v>
      </c>
      <c r="BL61">
        <f>IF(BL$57=$C$43,-SUM($D$29:$E$29),0)+IF(BL$57=$C$44,-$F$29,0)+IF(BL$57=$C$45,INDEX($G61:$I61,1,MATCH('INVESTOR REPORT'!$I$3,{"Downside","Base","Upside"},0)),0)</f>
        <v>0</v>
      </c>
      <c r="BM61">
        <f>IF(BM$57=$C$43,-SUM($D$29:$E$29),0)+IF(BM$57=$C$44,-$F$29,0)+IF(BM$57=$C$45,INDEX($G61:$I61,1,MATCH('INVESTOR REPORT'!$I$3,{"Downside","Base","Upside"},0)),0)</f>
        <v>0</v>
      </c>
      <c r="BN61">
        <f>IF(BN$57=$C$43,-SUM($D$29:$E$29),0)+IF(BN$57=$C$44,-$F$29,0)+IF(BN$57=$C$45,INDEX($G61:$I61,1,MATCH('INVESTOR REPORT'!$I$3,{"Downside","Base","Upside"},0)),0)</f>
        <v>0</v>
      </c>
      <c r="BO61">
        <f>IF(BO$57=$C$43,-SUM($D$29:$E$29),0)+IF(BO$57=$C$44,-$F$29,0)+IF(BO$57=$C$45,INDEX($G61:$I61,1,MATCH('INVESTOR REPORT'!$I$3,{"Downside","Base","Upside"},0)),0)</f>
        <v>0</v>
      </c>
      <c r="BP61">
        <f>IF(BP$57=$C$43,-SUM($D$29:$E$29),0)+IF(BP$57=$C$44,-$F$29,0)+IF(BP$57=$C$45,INDEX($G61:$I61,1,MATCH('INVESTOR REPORT'!$I$3,{"Downside","Base","Upside"},0)),0)</f>
        <v>0</v>
      </c>
      <c r="BQ61">
        <f>IF(BQ$57=$C$43,-SUM($D$29:$E$29),0)+IF(BQ$57=$C$44,-$F$29,0)+IF(BQ$57=$C$45,INDEX($G61:$I61,1,MATCH('INVESTOR REPORT'!$I$3,{"Downside","Base","Upside"},0)),0)</f>
        <v>0</v>
      </c>
      <c r="BR61">
        <f>IF(BR$57=$C$43,-SUM($D$29:$E$29),0)+IF(BR$57=$C$44,-$F$29,0)+IF(BR$57=$C$45,INDEX($G61:$I61,1,MATCH('INVESTOR REPORT'!$I$3,{"Downside","Base","Upside"},0)),0)</f>
        <v>0</v>
      </c>
      <c r="BS61">
        <f>IF(BS$57=$C$43,-SUM($D$29:$E$29),0)+IF(BS$57=$C$44,-$F$29,0)+IF(BS$57=$C$45,INDEX($G61:$I61,1,MATCH('INVESTOR REPORT'!$I$3,{"Downside","Base","Upside"},0)),0)</f>
        <v>0</v>
      </c>
      <c r="BT61">
        <f>IF(BT$57=$C$43,-SUM($D$29:$E$29),0)+IF(BT$57=$C$44,-$F$29,0)+IF(BT$57=$C$45,INDEX($G61:$I61,1,MATCH('INVESTOR REPORT'!$I$3,{"Downside","Base","Upside"},0)),0)</f>
        <v>0</v>
      </c>
      <c r="BU61">
        <f>IF(BU$57=$C$43,-SUM($D$29:$E$29),0)+IF(BU$57=$C$44,-$F$29,0)+IF(BU$57=$C$45,INDEX($G61:$I61,1,MATCH('INVESTOR REPORT'!$I$3,{"Downside","Base","Upside"},0)),0)</f>
        <v>0</v>
      </c>
      <c r="BV61">
        <f>IF(BV$57=$C$43,-SUM($D$29:$E$29),0)+IF(BV$57=$C$44,-$F$29,0)+IF(BV$57=$C$45,INDEX($G61:$I61,1,MATCH('INVESTOR REPORT'!$I$3,{"Downside","Base","Upside"},0)),0)</f>
        <v>0</v>
      </c>
      <c r="BW61">
        <f>IF(BW$57=$C$43,-SUM($D$29:$E$29),0)+IF(BW$57=$C$44,-$F$29,0)+IF(BW$57=$C$45,INDEX($G61:$I61,1,MATCH('INVESTOR REPORT'!$I$3,{"Downside","Base","Upside"},0)),0)</f>
        <v>0</v>
      </c>
      <c r="BX61">
        <f>IF(BX$57=$C$43,-SUM($D$29:$E$29),0)+IF(BX$57=$C$44,-$F$29,0)+IF(BX$57=$C$45,INDEX($G61:$I61,1,MATCH('INVESTOR REPORT'!$I$3,{"Downside","Base","Upside"},0)),0)</f>
        <v>0</v>
      </c>
      <c r="BY61">
        <f>IF(BY$57=$C$43,-SUM($D$29:$E$29),0)+IF(BY$57=$C$44,-$F$29,0)+IF(BY$57=$C$45,INDEX($G61:$I61,1,MATCH('INVESTOR REPORT'!$I$3,{"Downside","Base","Upside"},0)),0)</f>
        <v>0</v>
      </c>
      <c r="BZ61">
        <f>IF(BZ$57=$C$43,-SUM($D$29:$E$29),0)+IF(BZ$57=$C$44,-$F$29,0)+IF(BZ$57=$C$45,INDEX($G61:$I61,1,MATCH('INVESTOR REPORT'!$I$3,{"Downside","Base","Upside"},0)),0)</f>
        <v>0</v>
      </c>
      <c r="CA61">
        <f>IF(CA$57=$C$43,-SUM($D$29:$E$29),0)+IF(CA$57=$C$44,-$F$29,0)+IF(CA$57=$C$45,INDEX($G61:$I61,1,MATCH('INVESTOR REPORT'!$I$3,{"Downside","Base","Upside"},0)),0)</f>
        <v>0</v>
      </c>
      <c r="CB61">
        <f>IF(CB$57=$C$43,-SUM($D$29:$E$29),0)+IF(CB$57=$C$44,-$F$29,0)+IF(CB$57=$C$45,INDEX($G61:$I61,1,MATCH('INVESTOR REPORT'!$I$3,{"Downside","Base","Upside"},0)),0)</f>
        <v>0</v>
      </c>
      <c r="CC61">
        <f>IF(CC$57=$C$43,-SUM($D$29:$E$29),0)+IF(CC$57=$C$44,-$F$29,0)+IF(CC$57=$C$45,INDEX($G61:$I61,1,MATCH('INVESTOR REPORT'!$I$3,{"Downside","Base","Upside"},0)),0)</f>
        <v>0</v>
      </c>
      <c r="CD61">
        <f>IF(CD$57=$C$43,-SUM($D$29:$E$29),0)+IF(CD$57=$C$44,-$F$29,0)+IF(CD$57=$C$45,INDEX($G61:$I61,1,MATCH('INVESTOR REPORT'!$I$3,{"Downside","Base","Upside"},0)),0)</f>
        <v>0</v>
      </c>
      <c r="CE61">
        <f>IF(CE$57=$C$43,-SUM($D$29:$E$29),0)+IF(CE$57=$C$44,-$F$29,0)+IF(CE$57=$C$45,INDEX($G61:$I61,1,MATCH('INVESTOR REPORT'!$I$3,{"Downside","Base","Upside"},0)),0)</f>
        <v>0</v>
      </c>
      <c r="CF61">
        <f>IF(CF$57=$C$43,-SUM($D$29:$E$29),0)+IF(CF$57=$C$44,-$F$29,0)+IF(CF$57=$C$45,INDEX($G61:$I61,1,MATCH('INVESTOR REPORT'!$I$3,{"Downside","Base","Upside"},0)),0)</f>
        <v>0</v>
      </c>
      <c r="CG61">
        <f>IF(CG$57=$C$43,-SUM($D$29:$E$29),0)+IF(CG$57=$C$44,-$F$29,0)+IF(CG$57=$C$45,INDEX($G61:$I61,1,MATCH('INVESTOR REPORT'!$I$3,{"Downside","Base","Upside"},0)),0)</f>
        <v>0</v>
      </c>
      <c r="CH61">
        <f>IF(CH$57=$C$43,-SUM($D$29:$E$29),0)+IF(CH$57=$C$44,-$F$29,0)+IF(CH$57=$C$45,INDEX($G61:$I61,1,MATCH('INVESTOR REPORT'!$I$3,{"Downside","Base","Upside"},0)),0)</f>
        <v>0</v>
      </c>
      <c r="CI61">
        <f>IF(CI$57=$C$43,-SUM($D$29:$E$29),0)+IF(CI$57=$C$44,-$F$29,0)+IF(CI$57=$C$45,INDEX($G61:$I61,1,MATCH('INVESTOR REPORT'!$I$3,{"Downside","Base","Upside"},0)),0)</f>
        <v>0</v>
      </c>
      <c r="CJ61">
        <f>IF(CJ$57=$C$43,-SUM($D$29:$E$29),0)+IF(CJ$57=$C$44,-$F$29,0)+IF(CJ$57=$C$45,INDEX($G61:$I61,1,MATCH('INVESTOR REPORT'!$I$3,{"Downside","Base","Upside"},0)),0)</f>
        <v>0</v>
      </c>
      <c r="CK61">
        <f>IF(CK$57=$C$43,-SUM($D$29:$E$29),0)+IF(CK$57=$C$44,-$F$29,0)+IF(CK$57=$C$45,INDEX($G61:$I61,1,MATCH('INVESTOR REPORT'!$I$3,{"Downside","Base","Upside"},0)),0)</f>
        <v>0</v>
      </c>
      <c r="CL61">
        <f>IF(CL$57=$C$43,-SUM($D$29:$E$29),0)+IF(CL$57=$C$44,-$F$29,0)+IF(CL$57=$C$45,INDEX($G61:$I61,1,MATCH('INVESTOR REPORT'!$I$3,{"Downside","Base","Upside"},0)),0)</f>
        <v>0</v>
      </c>
      <c r="CM61">
        <f>IF(CM$57=$C$43,-SUM($D$29:$E$29),0)+IF(CM$57=$C$44,-$F$29,0)+IF(CM$57=$C$45,INDEX($G61:$I61,1,MATCH('INVESTOR REPORT'!$I$3,{"Downside","Base","Upside"},0)),0)</f>
        <v>0</v>
      </c>
      <c r="CN61">
        <f>IF(CN$57=$C$43,-SUM($D$29:$E$29),0)+IF(CN$57=$C$44,-$F$29,0)+IF(CN$57=$C$45,INDEX($G61:$I61,1,MATCH('INVESTOR REPORT'!$I$3,{"Downside","Base","Upside"},0)),0)</f>
        <v>0</v>
      </c>
      <c r="CO61">
        <f>IF(CO$57=$C$43,-SUM($D$29:$E$29),0)+IF(CO$57=$C$44,-$F$29,0)+IF(CO$57=$C$45,INDEX($G61:$I61,1,MATCH('INVESTOR REPORT'!$I$3,{"Downside","Base","Upside"},0)),0)</f>
        <v>3.9956005424984187</v>
      </c>
      <c r="CQ61" s="306" t="s">
        <v>851</v>
      </c>
      <c r="CR61" s="306" t="s">
        <v>1010</v>
      </c>
      <c r="CS61" s="306" t="s">
        <v>1011</v>
      </c>
      <c r="CT61" s="306" t="s">
        <v>1012</v>
      </c>
      <c r="CU61" s="306" t="s">
        <v>1013</v>
      </c>
      <c r="CV61" s="306" t="s">
        <v>1014</v>
      </c>
      <c r="CW61" s="306" t="s">
        <v>1015</v>
      </c>
      <c r="CX61" s="306" t="s">
        <v>1016</v>
      </c>
      <c r="CY61" s="306" t="s">
        <v>1017</v>
      </c>
      <c r="CZ61" s="306" t="s">
        <v>62</v>
      </c>
      <c r="DA61" s="306" t="s">
        <v>1018</v>
      </c>
      <c r="DB61" s="306" t="s">
        <v>1019</v>
      </c>
      <c r="DC61" s="306" t="s">
        <v>1020</v>
      </c>
      <c r="DD61" s="306" t="s">
        <v>1021</v>
      </c>
      <c r="DE61" s="980" t="s">
        <v>1022</v>
      </c>
      <c r="DF61" s="937"/>
      <c r="DG61" s="937"/>
      <c r="DH61" s="937"/>
      <c r="DI61" s="937"/>
      <c r="DJ61" s="937"/>
      <c r="DK61" s="937"/>
      <c r="DL61" s="937"/>
      <c r="GJ61" s="595">
        <f>-SUM($D$29:$E$29)</f>
        <v>-2</v>
      </c>
      <c r="GK61" s="595">
        <f>-$F$29</f>
        <v>0</v>
      </c>
      <c r="GL61" s="605">
        <f t="shared" si="32"/>
        <v>4.4936642777327327</v>
      </c>
    </row>
    <row r="62" spans="1:194" x14ac:dyDescent="0.35">
      <c r="A62" s="307"/>
      <c r="B62" s="671" t="str">
        <f t="shared" si="18"/>
        <v>Other Investors</v>
      </c>
      <c r="C62" s="872">
        <f t="shared" si="19"/>
        <v>1</v>
      </c>
      <c r="D62" s="873">
        <f t="shared" si="19"/>
        <v>4.6368657832059467E-3</v>
      </c>
      <c r="E62" s="873">
        <f t="shared" si="20"/>
        <v>4.6368657832059467E-3</v>
      </c>
      <c r="F62" s="872">
        <f t="shared" si="21"/>
        <v>0.92045698214038751</v>
      </c>
      <c r="G62" s="872">
        <f t="shared" si="22"/>
        <v>1.7833522258850898</v>
      </c>
      <c r="H62" s="872">
        <f t="shared" si="22"/>
        <v>1.9978002712492093</v>
      </c>
      <c r="I62" s="872">
        <f t="shared" si="22"/>
        <v>2.2468321388663663</v>
      </c>
      <c r="J62" s="872">
        <f t="shared" si="23"/>
        <v>0.99780027124920934</v>
      </c>
      <c r="K62" s="874">
        <f t="shared" si="24"/>
        <v>1.9978002712492093</v>
      </c>
      <c r="L62" s="873">
        <f t="shared" si="25"/>
        <v>0.12258674502372741</v>
      </c>
      <c r="M62" s="873">
        <f t="shared" si="26"/>
        <v>0.14835851788520818</v>
      </c>
      <c r="N62" s="873">
        <f t="shared" si="27"/>
        <v>0.17564342617988588</v>
      </c>
      <c r="O62" s="875">
        <f t="shared" si="28"/>
        <v>0.35938263664601888</v>
      </c>
      <c r="P62" s="729">
        <f>IF(OR(C62=0,H62&lt;C62),"N/M",ROUND(($C$45-((SUM($D$30:$E$30)*$C$43+$F$30*$C$44)/C62))*12/365,1))</f>
        <v>60</v>
      </c>
      <c r="X62" s="595">
        <f>-SUM($D$30:$E$30)</f>
        <v>-1</v>
      </c>
      <c r="Y62" s="595">
        <f>-$F$30</f>
        <v>0</v>
      </c>
      <c r="Z62" s="605">
        <f t="shared" si="29"/>
        <v>1.7833522258850898</v>
      </c>
      <c r="AA62" s="595">
        <f>-SUM($D$30:$E$30)</f>
        <v>-1</v>
      </c>
      <c r="AB62" s="595">
        <f>-$F$30</f>
        <v>0</v>
      </c>
      <c r="AC62" s="605">
        <f t="shared" si="30"/>
        <v>1.7833522258850898</v>
      </c>
      <c r="AD62" s="595">
        <f>-SUM($D$30:$E$30)</f>
        <v>-1</v>
      </c>
      <c r="AE62" s="595">
        <f>-$F$30</f>
        <v>0</v>
      </c>
      <c r="AF62" s="605">
        <f t="shared" si="31"/>
        <v>1.9978002712492093</v>
      </c>
      <c r="AG62">
        <f>IF(AG$57=$C$43,-SUM($D$30:$E$30),0)+IF(AG$57=$C$44,-$F$30,0)+IF(AG$57=$C$45,INDEX($G62:$I62,1,MATCH('INVESTOR REPORT'!$I$3,{"Downside","Base","Upside"},0)),0)</f>
        <v>-1</v>
      </c>
      <c r="AH62">
        <f>IF(AH$57=$C$43,-SUM($D$30:$E$30),0)+IF(AH$57=$C$44,-$F$30,0)+IF(AH$57=$C$45,INDEX($G62:$I62,1,MATCH('INVESTOR REPORT'!$I$3,{"Downside","Base","Upside"},0)),0)</f>
        <v>0</v>
      </c>
      <c r="AI62">
        <f>IF(AI$57=$C$43,-SUM($D$30:$E$30),0)+IF(AI$57=$C$44,-$F$30,0)+IF(AI$57=$C$45,INDEX($G62:$I62,1,MATCH('INVESTOR REPORT'!$I$3,{"Downside","Base","Upside"},0)),0)</f>
        <v>0</v>
      </c>
      <c r="AJ62">
        <f>IF(AJ$57=$C$43,-SUM($D$30:$E$30),0)+IF(AJ$57=$C$44,-$F$30,0)+IF(AJ$57=$C$45,INDEX($G62:$I62,1,MATCH('INVESTOR REPORT'!$I$3,{"Downside","Base","Upside"},0)),0)</f>
        <v>0</v>
      </c>
      <c r="AK62">
        <f>IF(AK$57=$C$43,-SUM($D$30:$E$30),0)+IF(AK$57=$C$44,-$F$30,0)+IF(AK$57=$C$45,INDEX($G62:$I62,1,MATCH('INVESTOR REPORT'!$I$3,{"Downside","Base","Upside"},0)),0)</f>
        <v>0</v>
      </c>
      <c r="AL62">
        <f>IF(AL$57=$C$43,-SUM($D$30:$E$30),0)+IF(AL$57=$C$44,-$F$30,0)+IF(AL$57=$C$45,INDEX($G62:$I62,1,MATCH('INVESTOR REPORT'!$I$3,{"Downside","Base","Upside"},0)),0)</f>
        <v>0</v>
      </c>
      <c r="AM62">
        <f>IF(AM$57=$C$43,-SUM($D$30:$E$30),0)+IF(AM$57=$C$44,-$F$30,0)+IF(AM$57=$C$45,INDEX($G62:$I62,1,MATCH('INVESTOR REPORT'!$I$3,{"Downside","Base","Upside"},0)),0)</f>
        <v>0</v>
      </c>
      <c r="AN62">
        <f>IF(AN$57=$C$43,-SUM($D$30:$E$30),0)+IF(AN$57=$C$44,-$F$30,0)+IF(AN$57=$C$45,INDEX($G62:$I62,1,MATCH('INVESTOR REPORT'!$I$3,{"Downside","Base","Upside"},0)),0)</f>
        <v>0</v>
      </c>
      <c r="AO62">
        <f>IF(AO$57=$C$43,-SUM($D$30:$E$30),0)+IF(AO$57=$C$44,-$F$30,0)+IF(AO$57=$C$45,INDEX($G62:$I62,1,MATCH('INVESTOR REPORT'!$I$3,{"Downside","Base","Upside"},0)),0)</f>
        <v>0</v>
      </c>
      <c r="AP62">
        <f>IF(AP$57=$C$43,-SUM($D$30:$E$30),0)+IF(AP$57=$C$44,-$F$30,0)+IF(AP$57=$C$45,INDEX($G62:$I62,1,MATCH('INVESTOR REPORT'!$I$3,{"Downside","Base","Upside"},0)),0)</f>
        <v>0</v>
      </c>
      <c r="AQ62">
        <f>IF(AQ$57=$C$43,-SUM($D$30:$E$30),0)+IF(AQ$57=$C$44,-$F$30,0)+IF(AQ$57=$C$45,INDEX($G62:$I62,1,MATCH('INVESTOR REPORT'!$I$3,{"Downside","Base","Upside"},0)),0)</f>
        <v>0</v>
      </c>
      <c r="AR62">
        <f>IF(AR$57=$C$43,-SUM($D$30:$E$30),0)+IF(AR$57=$C$44,-$F$30,0)+IF(AR$57=$C$45,INDEX($G62:$I62,1,MATCH('INVESTOR REPORT'!$I$3,{"Downside","Base","Upside"},0)),0)</f>
        <v>0</v>
      </c>
      <c r="AS62">
        <f>IF(AS$57=$C$43,-SUM($D$30:$E$30),0)+IF(AS$57=$C$44,-$F$30,0)+IF(AS$57=$C$45,INDEX($G62:$I62,1,MATCH('INVESTOR REPORT'!$I$3,{"Downside","Base","Upside"},0)),0)</f>
        <v>0</v>
      </c>
      <c r="AT62">
        <f>IF(AT$57=$C$43,-SUM($D$30:$E$30),0)+IF(AT$57=$C$44,-$F$30,0)+IF(AT$57=$C$45,INDEX($G62:$I62,1,MATCH('INVESTOR REPORT'!$I$3,{"Downside","Base","Upside"},0)),0)</f>
        <v>0</v>
      </c>
      <c r="AU62">
        <f>IF(AU$57=$C$43,-SUM($D$30:$E$30),0)+IF(AU$57=$C$44,-$F$30,0)+IF(AU$57=$C$45,INDEX($G62:$I62,1,MATCH('INVESTOR REPORT'!$I$3,{"Downside","Base","Upside"},0)),0)</f>
        <v>0</v>
      </c>
      <c r="AV62">
        <f>IF(AV$57=$C$43,-SUM($D$30:$E$30),0)+IF(AV$57=$C$44,-$F$30,0)+IF(AV$57=$C$45,INDEX($G62:$I62,1,MATCH('INVESTOR REPORT'!$I$3,{"Downside","Base","Upside"},0)),0)</f>
        <v>0</v>
      </c>
      <c r="AW62">
        <f>IF(AW$57=$C$43,-SUM($D$30:$E$30),0)+IF(AW$57=$C$44,-$F$30,0)+IF(AW$57=$C$45,INDEX($G62:$I62,1,MATCH('INVESTOR REPORT'!$I$3,{"Downside","Base","Upside"},0)),0)</f>
        <v>0</v>
      </c>
      <c r="AX62">
        <f>IF(AX$57=$C$43,-SUM($D$30:$E$30),0)+IF(AX$57=$C$44,-$F$30,0)+IF(AX$57=$C$45,INDEX($G62:$I62,1,MATCH('INVESTOR REPORT'!$I$3,{"Downside","Base","Upside"},0)),0)</f>
        <v>0</v>
      </c>
      <c r="AY62">
        <f>IF(AY$57=$C$43,-SUM($D$30:$E$30),0)+IF(AY$57=$C$44,-$F$30,0)+IF(AY$57=$C$45,INDEX($G62:$I62,1,MATCH('INVESTOR REPORT'!$I$3,{"Downside","Base","Upside"},0)),0)</f>
        <v>0</v>
      </c>
      <c r="AZ62">
        <f>IF(AZ$57=$C$43,-SUM($D$30:$E$30),0)+IF(AZ$57=$C$44,-$F$30,0)+IF(AZ$57=$C$45,INDEX($G62:$I62,1,MATCH('INVESTOR REPORT'!$I$3,{"Downside","Base","Upside"},0)),0)</f>
        <v>0</v>
      </c>
      <c r="BA62">
        <f>IF(BA$57=$C$43,-SUM($D$30:$E$30),0)+IF(BA$57=$C$44,-$F$30,0)+IF(BA$57=$C$45,INDEX($G62:$I62,1,MATCH('INVESTOR REPORT'!$I$3,{"Downside","Base","Upside"},0)),0)</f>
        <v>0</v>
      </c>
      <c r="BB62">
        <f>IF(BB$57=$C$43,-SUM($D$30:$E$30),0)+IF(BB$57=$C$44,-$F$30,0)+IF(BB$57=$C$45,INDEX($G62:$I62,1,MATCH('INVESTOR REPORT'!$I$3,{"Downside","Base","Upside"},0)),0)</f>
        <v>0</v>
      </c>
      <c r="BC62">
        <f>IF(BC$57=$C$43,-SUM($D$30:$E$30),0)+IF(BC$57=$C$44,-$F$30,0)+IF(BC$57=$C$45,INDEX($G62:$I62,1,MATCH('INVESTOR REPORT'!$I$3,{"Downside","Base","Upside"},0)),0)</f>
        <v>0</v>
      </c>
      <c r="BD62">
        <f>IF(BD$57=$C$43,-SUM($D$30:$E$30),0)+IF(BD$57=$C$44,-$F$30,0)+IF(BD$57=$C$45,INDEX($G62:$I62,1,MATCH('INVESTOR REPORT'!$I$3,{"Downside","Base","Upside"},0)),0)</f>
        <v>0</v>
      </c>
      <c r="BE62">
        <f>IF(BE$57=$C$43,-SUM($D$30:$E$30),0)+IF(BE$57=$C$44,-$F$30,0)+IF(BE$57=$C$45,INDEX($G62:$I62,1,MATCH('INVESTOR REPORT'!$I$3,{"Downside","Base","Upside"},0)),0)</f>
        <v>0</v>
      </c>
      <c r="BF62">
        <f>IF(BF$57=$C$43,-SUM($D$30:$E$30),0)+IF(BF$57=$C$44,-$F$30,0)+IF(BF$57=$C$45,INDEX($G62:$I62,1,MATCH('INVESTOR REPORT'!$I$3,{"Downside","Base","Upside"},0)),0)</f>
        <v>0</v>
      </c>
      <c r="BG62">
        <f>IF(BG$57=$C$43,-SUM($D$30:$E$30),0)+IF(BG$57=$C$44,-$F$30,0)+IF(BG$57=$C$45,INDEX($G62:$I62,1,MATCH('INVESTOR REPORT'!$I$3,{"Downside","Base","Upside"},0)),0)</f>
        <v>0</v>
      </c>
      <c r="BH62">
        <f>IF(BH$57=$C$43,-SUM($D$30:$E$30),0)+IF(BH$57=$C$44,-$F$30,0)+IF(BH$57=$C$45,INDEX($G62:$I62,1,MATCH('INVESTOR REPORT'!$I$3,{"Downside","Base","Upside"},0)),0)</f>
        <v>0</v>
      </c>
      <c r="BI62">
        <f>IF(BI$57=$C$43,-SUM($D$30:$E$30),0)+IF(BI$57=$C$44,-$F$30,0)+IF(BI$57=$C$45,INDEX($G62:$I62,1,MATCH('INVESTOR REPORT'!$I$3,{"Downside","Base","Upside"},0)),0)</f>
        <v>0</v>
      </c>
      <c r="BJ62">
        <f>IF(BJ$57=$C$43,-SUM($D$30:$E$30),0)+IF(BJ$57=$C$44,-$F$30,0)+IF(BJ$57=$C$45,INDEX($G62:$I62,1,MATCH('INVESTOR REPORT'!$I$3,{"Downside","Base","Upside"},0)),0)</f>
        <v>0</v>
      </c>
      <c r="BK62">
        <f>IF(BK$57=$C$43,-SUM($D$30:$E$30),0)+IF(BK$57=$C$44,-$F$30,0)+IF(BK$57=$C$45,INDEX($G62:$I62,1,MATCH('INVESTOR REPORT'!$I$3,{"Downside","Base","Upside"},0)),0)</f>
        <v>0</v>
      </c>
      <c r="BL62">
        <f>IF(BL$57=$C$43,-SUM($D$30:$E$30),0)+IF(BL$57=$C$44,-$F$30,0)+IF(BL$57=$C$45,INDEX($G62:$I62,1,MATCH('INVESTOR REPORT'!$I$3,{"Downside","Base","Upside"},0)),0)</f>
        <v>0</v>
      </c>
      <c r="BM62">
        <f>IF(BM$57=$C$43,-SUM($D$30:$E$30),0)+IF(BM$57=$C$44,-$F$30,0)+IF(BM$57=$C$45,INDEX($G62:$I62,1,MATCH('INVESTOR REPORT'!$I$3,{"Downside","Base","Upside"},0)),0)</f>
        <v>0</v>
      </c>
      <c r="BN62">
        <f>IF(BN$57=$C$43,-SUM($D$30:$E$30),0)+IF(BN$57=$C$44,-$F$30,0)+IF(BN$57=$C$45,INDEX($G62:$I62,1,MATCH('INVESTOR REPORT'!$I$3,{"Downside","Base","Upside"},0)),0)</f>
        <v>0</v>
      </c>
      <c r="BO62">
        <f>IF(BO$57=$C$43,-SUM($D$30:$E$30),0)+IF(BO$57=$C$44,-$F$30,0)+IF(BO$57=$C$45,INDEX($G62:$I62,1,MATCH('INVESTOR REPORT'!$I$3,{"Downside","Base","Upside"},0)),0)</f>
        <v>0</v>
      </c>
      <c r="BP62">
        <f>IF(BP$57=$C$43,-SUM($D$30:$E$30),0)+IF(BP$57=$C$44,-$F$30,0)+IF(BP$57=$C$45,INDEX($G62:$I62,1,MATCH('INVESTOR REPORT'!$I$3,{"Downside","Base","Upside"},0)),0)</f>
        <v>0</v>
      </c>
      <c r="BQ62">
        <f>IF(BQ$57=$C$43,-SUM($D$30:$E$30),0)+IF(BQ$57=$C$44,-$F$30,0)+IF(BQ$57=$C$45,INDEX($G62:$I62,1,MATCH('INVESTOR REPORT'!$I$3,{"Downside","Base","Upside"},0)),0)</f>
        <v>0</v>
      </c>
      <c r="BR62">
        <f>IF(BR$57=$C$43,-SUM($D$30:$E$30),0)+IF(BR$57=$C$44,-$F$30,0)+IF(BR$57=$C$45,INDEX($G62:$I62,1,MATCH('INVESTOR REPORT'!$I$3,{"Downside","Base","Upside"},0)),0)</f>
        <v>0</v>
      </c>
      <c r="BS62">
        <f>IF(BS$57=$C$43,-SUM($D$30:$E$30),0)+IF(BS$57=$C$44,-$F$30,0)+IF(BS$57=$C$45,INDEX($G62:$I62,1,MATCH('INVESTOR REPORT'!$I$3,{"Downside","Base","Upside"},0)),0)</f>
        <v>0</v>
      </c>
      <c r="BT62">
        <f>IF(BT$57=$C$43,-SUM($D$30:$E$30),0)+IF(BT$57=$C$44,-$F$30,0)+IF(BT$57=$C$45,INDEX($G62:$I62,1,MATCH('INVESTOR REPORT'!$I$3,{"Downside","Base","Upside"},0)),0)</f>
        <v>0</v>
      </c>
      <c r="BU62">
        <f>IF(BU$57=$C$43,-SUM($D$30:$E$30),0)+IF(BU$57=$C$44,-$F$30,0)+IF(BU$57=$C$45,INDEX($G62:$I62,1,MATCH('INVESTOR REPORT'!$I$3,{"Downside","Base","Upside"},0)),0)</f>
        <v>0</v>
      </c>
      <c r="BV62">
        <f>IF(BV$57=$C$43,-SUM($D$30:$E$30),0)+IF(BV$57=$C$44,-$F$30,0)+IF(BV$57=$C$45,INDEX($G62:$I62,1,MATCH('INVESTOR REPORT'!$I$3,{"Downside","Base","Upside"},0)),0)</f>
        <v>0</v>
      </c>
      <c r="BW62">
        <f>IF(BW$57=$C$43,-SUM($D$30:$E$30),0)+IF(BW$57=$C$44,-$F$30,0)+IF(BW$57=$C$45,INDEX($G62:$I62,1,MATCH('INVESTOR REPORT'!$I$3,{"Downside","Base","Upside"},0)),0)</f>
        <v>0</v>
      </c>
      <c r="BX62">
        <f>IF(BX$57=$C$43,-SUM($D$30:$E$30),0)+IF(BX$57=$C$44,-$F$30,0)+IF(BX$57=$C$45,INDEX($G62:$I62,1,MATCH('INVESTOR REPORT'!$I$3,{"Downside","Base","Upside"},0)),0)</f>
        <v>0</v>
      </c>
      <c r="BY62">
        <f>IF(BY$57=$C$43,-SUM($D$30:$E$30),0)+IF(BY$57=$C$44,-$F$30,0)+IF(BY$57=$C$45,INDEX($G62:$I62,1,MATCH('INVESTOR REPORT'!$I$3,{"Downside","Base","Upside"},0)),0)</f>
        <v>0</v>
      </c>
      <c r="BZ62">
        <f>IF(BZ$57=$C$43,-SUM($D$30:$E$30),0)+IF(BZ$57=$C$44,-$F$30,0)+IF(BZ$57=$C$45,INDEX($G62:$I62,1,MATCH('INVESTOR REPORT'!$I$3,{"Downside","Base","Upside"},0)),0)</f>
        <v>0</v>
      </c>
      <c r="CA62">
        <f>IF(CA$57=$C$43,-SUM($D$30:$E$30),0)+IF(CA$57=$C$44,-$F$30,0)+IF(CA$57=$C$45,INDEX($G62:$I62,1,MATCH('INVESTOR REPORT'!$I$3,{"Downside","Base","Upside"},0)),0)</f>
        <v>0</v>
      </c>
      <c r="CB62">
        <f>IF(CB$57=$C$43,-SUM($D$30:$E$30),0)+IF(CB$57=$C$44,-$F$30,0)+IF(CB$57=$C$45,INDEX($G62:$I62,1,MATCH('INVESTOR REPORT'!$I$3,{"Downside","Base","Upside"},0)),0)</f>
        <v>0</v>
      </c>
      <c r="CC62">
        <f>IF(CC$57=$C$43,-SUM($D$30:$E$30),0)+IF(CC$57=$C$44,-$F$30,0)+IF(CC$57=$C$45,INDEX($G62:$I62,1,MATCH('INVESTOR REPORT'!$I$3,{"Downside","Base","Upside"},0)),0)</f>
        <v>0</v>
      </c>
      <c r="CD62">
        <f>IF(CD$57=$C$43,-SUM($D$30:$E$30),0)+IF(CD$57=$C$44,-$F$30,0)+IF(CD$57=$C$45,INDEX($G62:$I62,1,MATCH('INVESTOR REPORT'!$I$3,{"Downside","Base","Upside"},0)),0)</f>
        <v>0</v>
      </c>
      <c r="CE62">
        <f>IF(CE$57=$C$43,-SUM($D$30:$E$30),0)+IF(CE$57=$C$44,-$F$30,0)+IF(CE$57=$C$45,INDEX($G62:$I62,1,MATCH('INVESTOR REPORT'!$I$3,{"Downside","Base","Upside"},0)),0)</f>
        <v>0</v>
      </c>
      <c r="CF62">
        <f>IF(CF$57=$C$43,-SUM($D$30:$E$30),0)+IF(CF$57=$C$44,-$F$30,0)+IF(CF$57=$C$45,INDEX($G62:$I62,1,MATCH('INVESTOR REPORT'!$I$3,{"Downside","Base","Upside"},0)),0)</f>
        <v>0</v>
      </c>
      <c r="CG62">
        <f>IF(CG$57=$C$43,-SUM($D$30:$E$30),0)+IF(CG$57=$C$44,-$F$30,0)+IF(CG$57=$C$45,INDEX($G62:$I62,1,MATCH('INVESTOR REPORT'!$I$3,{"Downside","Base","Upside"},0)),0)</f>
        <v>0</v>
      </c>
      <c r="CH62">
        <f>IF(CH$57=$C$43,-SUM($D$30:$E$30),0)+IF(CH$57=$C$44,-$F$30,0)+IF(CH$57=$C$45,INDEX($G62:$I62,1,MATCH('INVESTOR REPORT'!$I$3,{"Downside","Base","Upside"},0)),0)</f>
        <v>0</v>
      </c>
      <c r="CI62">
        <f>IF(CI$57=$C$43,-SUM($D$30:$E$30),0)+IF(CI$57=$C$44,-$F$30,0)+IF(CI$57=$C$45,INDEX($G62:$I62,1,MATCH('INVESTOR REPORT'!$I$3,{"Downside","Base","Upside"},0)),0)</f>
        <v>0</v>
      </c>
      <c r="CJ62">
        <f>IF(CJ$57=$C$43,-SUM($D$30:$E$30),0)+IF(CJ$57=$C$44,-$F$30,0)+IF(CJ$57=$C$45,INDEX($G62:$I62,1,MATCH('INVESTOR REPORT'!$I$3,{"Downside","Base","Upside"},0)),0)</f>
        <v>0</v>
      </c>
      <c r="CK62">
        <f>IF(CK$57=$C$43,-SUM($D$30:$E$30),0)+IF(CK$57=$C$44,-$F$30,0)+IF(CK$57=$C$45,INDEX($G62:$I62,1,MATCH('INVESTOR REPORT'!$I$3,{"Downside","Base","Upside"},0)),0)</f>
        <v>0</v>
      </c>
      <c r="CL62">
        <f>IF(CL$57=$C$43,-SUM($D$30:$E$30),0)+IF(CL$57=$C$44,-$F$30,0)+IF(CL$57=$C$45,INDEX($G62:$I62,1,MATCH('INVESTOR REPORT'!$I$3,{"Downside","Base","Upside"},0)),0)</f>
        <v>0</v>
      </c>
      <c r="CM62">
        <f>IF(CM$57=$C$43,-SUM($D$30:$E$30),0)+IF(CM$57=$C$44,-$F$30,0)+IF(CM$57=$C$45,INDEX($G62:$I62,1,MATCH('INVESTOR REPORT'!$I$3,{"Downside","Base","Upside"},0)),0)</f>
        <v>0</v>
      </c>
      <c r="CN62">
        <f>IF(CN$57=$C$43,-SUM($D$30:$E$30),0)+IF(CN$57=$C$44,-$F$30,0)+IF(CN$57=$C$45,INDEX($G62:$I62,1,MATCH('INVESTOR REPORT'!$I$3,{"Downside","Base","Upside"},0)),0)</f>
        <v>0</v>
      </c>
      <c r="CO62">
        <f>IF(CO$57=$C$43,-SUM($D$30:$E$30),0)+IF(CO$57=$C$44,-$F$30,0)+IF(CO$57=$C$45,INDEX($G62:$I62,1,MATCH('INVESTOR REPORT'!$I$3,{"Downside","Base","Upside"},0)),0)</f>
        <v>1.9978002712492093</v>
      </c>
      <c r="CQ62" s="307" t="str">
        <f>$B$58</f>
        <v>David Gifford</v>
      </c>
      <c r="CR62" s="598">
        <f>$C$58</f>
        <v>10</v>
      </c>
      <c r="CS62" s="601">
        <f>$E$26</f>
        <v>0</v>
      </c>
      <c r="CT62" s="600">
        <f>$D$58</f>
        <v>4.6368657832059464E-2</v>
      </c>
      <c r="CU62" s="600">
        <f>$E$58</f>
        <v>4.6368657832059464E-2</v>
      </c>
      <c r="CV62" s="598">
        <f>0</f>
        <v>0</v>
      </c>
      <c r="CW62" s="598">
        <f>$F$58</f>
        <v>9.204569821403874</v>
      </c>
      <c r="CX62" s="598">
        <f>INDEX($G$58:$I$58,1,MATCH($CR$7,$CQ$75:$CQ$77,0))</f>
        <v>19.978002712492092</v>
      </c>
      <c r="CY62" s="598">
        <f t="shared" ref="CY62:CY70" si="33">CX62+CV62-CR62</f>
        <v>9.978002712492092</v>
      </c>
      <c r="CZ62" s="600">
        <f t="shared" ref="CZ62:CZ70" si="34">IF(CR62=0,"",(CX62/CR62)^(365/($C$45-$C$43))-1)</f>
        <v>0.14835851331975025</v>
      </c>
      <c r="DA62" s="600">
        <f>INDEX($L$58:$N$58,1,MATCH($CR$7,$CQ$75:$CQ$77,0))</f>
        <v>0.14835851788520818</v>
      </c>
      <c r="DB62" s="598">
        <f>IF($CR$7="Downside",XNPV($CR$8,$AA$58:$AC$58,$AA$57:$AC$57),IF($CR$7="Base",XNPV($CR$8,$AD$58:$AF$58,$AD$57:$AF$57),XNPV($CR$8,$GJ$58:$GL$58,$GJ$57:$GL$57)))</f>
        <v>3.5938263664601884</v>
      </c>
      <c r="DC62" s="599">
        <f t="shared" ref="DC62:DC70" si="35">IF(CR62=0,"",CX62/CR62)</f>
        <v>1.9978002712492091</v>
      </c>
      <c r="DD62" s="606">
        <f>$P$58</f>
        <v>60</v>
      </c>
      <c r="DE62" s="979" t="s">
        <v>1023</v>
      </c>
      <c r="DF62" s="937"/>
      <c r="DG62" s="937"/>
      <c r="DH62" s="937"/>
      <c r="DI62" s="937"/>
      <c r="DJ62" s="937"/>
      <c r="DK62" s="937"/>
      <c r="DL62" s="937"/>
      <c r="GJ62" s="595">
        <f>-SUM($D$30:$E$30)</f>
        <v>-1</v>
      </c>
      <c r="GK62" s="595">
        <f>-$F$30</f>
        <v>0</v>
      </c>
      <c r="GL62" s="605">
        <f t="shared" si="32"/>
        <v>2.2468321388663663</v>
      </c>
    </row>
    <row r="63" spans="1:194" x14ac:dyDescent="0.35">
      <c r="A63" s="307"/>
      <c r="B63" s="671" t="str">
        <f t="shared" si="18"/>
        <v>Andrew Norton &amp; others</v>
      </c>
      <c r="C63" s="872">
        <f t="shared" si="19"/>
        <v>0.83</v>
      </c>
      <c r="D63" s="873">
        <f t="shared" si="19"/>
        <v>3.8485986000609354E-3</v>
      </c>
      <c r="E63" s="873">
        <f t="shared" si="20"/>
        <v>3.8485986000609354E-3</v>
      </c>
      <c r="F63" s="872">
        <f t="shared" si="21"/>
        <v>0.76397929517652163</v>
      </c>
      <c r="G63" s="872">
        <f t="shared" si="22"/>
        <v>1.4801823474846243</v>
      </c>
      <c r="H63" s="872">
        <f t="shared" si="22"/>
        <v>1.6581742251368436</v>
      </c>
      <c r="I63" s="872">
        <f t="shared" si="22"/>
        <v>1.8648706752590838</v>
      </c>
      <c r="J63" s="872">
        <f t="shared" si="23"/>
        <v>0.82817422513684369</v>
      </c>
      <c r="K63" s="874">
        <f t="shared" si="24"/>
        <v>1.9978002712492093</v>
      </c>
      <c r="L63" s="873">
        <f t="shared" si="25"/>
        <v>0.12258674502372741</v>
      </c>
      <c r="M63" s="873">
        <f t="shared" si="26"/>
        <v>0.14835851788520818</v>
      </c>
      <c r="N63" s="873">
        <f t="shared" si="27"/>
        <v>0.17564342617988588</v>
      </c>
      <c r="O63" s="875">
        <f t="shared" si="28"/>
        <v>0.29828758841619563</v>
      </c>
      <c r="P63" s="729">
        <f>IF(OR(C63=0,H63&lt;C63),"N/M",ROUND(($C$45-((SUM($D$31:$E$31)*$C$43+$F$31*$C$44)/C63))*12/365,1))</f>
        <v>60</v>
      </c>
      <c r="X63" s="595">
        <f>-SUM($D$31:$E$31)</f>
        <v>-0.83</v>
      </c>
      <c r="Y63" s="595">
        <f>-$F$31</f>
        <v>0</v>
      </c>
      <c r="Z63" s="605">
        <f t="shared" si="29"/>
        <v>1.4801823474846243</v>
      </c>
      <c r="AA63" s="595">
        <f>-SUM($D$31:$E$31)</f>
        <v>-0.83</v>
      </c>
      <c r="AB63" s="595">
        <f>-$F$31</f>
        <v>0</v>
      </c>
      <c r="AC63" s="605">
        <f t="shared" si="30"/>
        <v>1.4801823474846243</v>
      </c>
      <c r="AD63" s="595">
        <f>-SUM($D$31:$E$31)</f>
        <v>-0.83</v>
      </c>
      <c r="AE63" s="595">
        <f>-$F$31</f>
        <v>0</v>
      </c>
      <c r="AF63" s="605">
        <f t="shared" si="31"/>
        <v>1.6581742251368436</v>
      </c>
      <c r="AG63">
        <f>IF(AG$57=$C$43,-SUM($D$31:$E$31),0)+IF(AG$57=$C$44,-$F$31,0)+IF(AG$57=$C$45,INDEX($G63:$I63,1,MATCH('INVESTOR REPORT'!$I$3,{"Downside","Base","Upside"},0)),0)</f>
        <v>-0.83</v>
      </c>
      <c r="AH63">
        <f>IF(AH$57=$C$43,-SUM($D$31:$E$31),0)+IF(AH$57=$C$44,-$F$31,0)+IF(AH$57=$C$45,INDEX($G63:$I63,1,MATCH('INVESTOR REPORT'!$I$3,{"Downside","Base","Upside"},0)),0)</f>
        <v>0</v>
      </c>
      <c r="AI63">
        <f>IF(AI$57=$C$43,-SUM($D$31:$E$31),0)+IF(AI$57=$C$44,-$F$31,0)+IF(AI$57=$C$45,INDEX($G63:$I63,1,MATCH('INVESTOR REPORT'!$I$3,{"Downside","Base","Upside"},0)),0)</f>
        <v>0</v>
      </c>
      <c r="AJ63">
        <f>IF(AJ$57=$C$43,-SUM($D$31:$E$31),0)+IF(AJ$57=$C$44,-$F$31,0)+IF(AJ$57=$C$45,INDEX($G63:$I63,1,MATCH('INVESTOR REPORT'!$I$3,{"Downside","Base","Upside"},0)),0)</f>
        <v>0</v>
      </c>
      <c r="AK63">
        <f>IF(AK$57=$C$43,-SUM($D$31:$E$31),0)+IF(AK$57=$C$44,-$F$31,0)+IF(AK$57=$C$45,INDEX($G63:$I63,1,MATCH('INVESTOR REPORT'!$I$3,{"Downside","Base","Upside"},0)),0)</f>
        <v>0</v>
      </c>
      <c r="AL63">
        <f>IF(AL$57=$C$43,-SUM($D$31:$E$31),0)+IF(AL$57=$C$44,-$F$31,0)+IF(AL$57=$C$45,INDEX($G63:$I63,1,MATCH('INVESTOR REPORT'!$I$3,{"Downside","Base","Upside"},0)),0)</f>
        <v>0</v>
      </c>
      <c r="AM63">
        <f>IF(AM$57=$C$43,-SUM($D$31:$E$31),0)+IF(AM$57=$C$44,-$F$31,0)+IF(AM$57=$C$45,INDEX($G63:$I63,1,MATCH('INVESTOR REPORT'!$I$3,{"Downside","Base","Upside"},0)),0)</f>
        <v>0</v>
      </c>
      <c r="AN63">
        <f>IF(AN$57=$C$43,-SUM($D$31:$E$31),0)+IF(AN$57=$C$44,-$F$31,0)+IF(AN$57=$C$45,INDEX($G63:$I63,1,MATCH('INVESTOR REPORT'!$I$3,{"Downside","Base","Upside"},0)),0)</f>
        <v>0</v>
      </c>
      <c r="AO63">
        <f>IF(AO$57=$C$43,-SUM($D$31:$E$31),0)+IF(AO$57=$C$44,-$F$31,0)+IF(AO$57=$C$45,INDEX($G63:$I63,1,MATCH('INVESTOR REPORT'!$I$3,{"Downside","Base","Upside"},0)),0)</f>
        <v>0</v>
      </c>
      <c r="AP63">
        <f>IF(AP$57=$C$43,-SUM($D$31:$E$31),0)+IF(AP$57=$C$44,-$F$31,0)+IF(AP$57=$C$45,INDEX($G63:$I63,1,MATCH('INVESTOR REPORT'!$I$3,{"Downside","Base","Upside"},0)),0)</f>
        <v>0</v>
      </c>
      <c r="AQ63">
        <f>IF(AQ$57=$C$43,-SUM($D$31:$E$31),0)+IF(AQ$57=$C$44,-$F$31,0)+IF(AQ$57=$C$45,INDEX($G63:$I63,1,MATCH('INVESTOR REPORT'!$I$3,{"Downside","Base","Upside"},0)),0)</f>
        <v>0</v>
      </c>
      <c r="AR63">
        <f>IF(AR$57=$C$43,-SUM($D$31:$E$31),0)+IF(AR$57=$C$44,-$F$31,0)+IF(AR$57=$C$45,INDEX($G63:$I63,1,MATCH('INVESTOR REPORT'!$I$3,{"Downside","Base","Upside"},0)),0)</f>
        <v>0</v>
      </c>
      <c r="AS63">
        <f>IF(AS$57=$C$43,-SUM($D$31:$E$31),0)+IF(AS$57=$C$44,-$F$31,0)+IF(AS$57=$C$45,INDEX($G63:$I63,1,MATCH('INVESTOR REPORT'!$I$3,{"Downside","Base","Upside"},0)),0)</f>
        <v>0</v>
      </c>
      <c r="AT63">
        <f>IF(AT$57=$C$43,-SUM($D$31:$E$31),0)+IF(AT$57=$C$44,-$F$31,0)+IF(AT$57=$C$45,INDEX($G63:$I63,1,MATCH('INVESTOR REPORT'!$I$3,{"Downside","Base","Upside"},0)),0)</f>
        <v>0</v>
      </c>
      <c r="AU63">
        <f>IF(AU$57=$C$43,-SUM($D$31:$E$31),0)+IF(AU$57=$C$44,-$F$31,0)+IF(AU$57=$C$45,INDEX($G63:$I63,1,MATCH('INVESTOR REPORT'!$I$3,{"Downside","Base","Upside"},0)),0)</f>
        <v>0</v>
      </c>
      <c r="AV63">
        <f>IF(AV$57=$C$43,-SUM($D$31:$E$31),0)+IF(AV$57=$C$44,-$F$31,0)+IF(AV$57=$C$45,INDEX($G63:$I63,1,MATCH('INVESTOR REPORT'!$I$3,{"Downside","Base","Upside"},0)),0)</f>
        <v>0</v>
      </c>
      <c r="AW63">
        <f>IF(AW$57=$C$43,-SUM($D$31:$E$31),0)+IF(AW$57=$C$44,-$F$31,0)+IF(AW$57=$C$45,INDEX($G63:$I63,1,MATCH('INVESTOR REPORT'!$I$3,{"Downside","Base","Upside"},0)),0)</f>
        <v>0</v>
      </c>
      <c r="AX63">
        <f>IF(AX$57=$C$43,-SUM($D$31:$E$31),0)+IF(AX$57=$C$44,-$F$31,0)+IF(AX$57=$C$45,INDEX($G63:$I63,1,MATCH('INVESTOR REPORT'!$I$3,{"Downside","Base","Upside"},0)),0)</f>
        <v>0</v>
      </c>
      <c r="AY63">
        <f>IF(AY$57=$C$43,-SUM($D$31:$E$31),0)+IF(AY$57=$C$44,-$F$31,0)+IF(AY$57=$C$45,INDEX($G63:$I63,1,MATCH('INVESTOR REPORT'!$I$3,{"Downside","Base","Upside"},0)),0)</f>
        <v>0</v>
      </c>
      <c r="AZ63">
        <f>IF(AZ$57=$C$43,-SUM($D$31:$E$31),0)+IF(AZ$57=$C$44,-$F$31,0)+IF(AZ$57=$C$45,INDEX($G63:$I63,1,MATCH('INVESTOR REPORT'!$I$3,{"Downside","Base","Upside"},0)),0)</f>
        <v>0</v>
      </c>
      <c r="BA63">
        <f>IF(BA$57=$C$43,-SUM($D$31:$E$31),0)+IF(BA$57=$C$44,-$F$31,0)+IF(BA$57=$C$45,INDEX($G63:$I63,1,MATCH('INVESTOR REPORT'!$I$3,{"Downside","Base","Upside"},0)),0)</f>
        <v>0</v>
      </c>
      <c r="BB63">
        <f>IF(BB$57=$C$43,-SUM($D$31:$E$31),0)+IF(BB$57=$C$44,-$F$31,0)+IF(BB$57=$C$45,INDEX($G63:$I63,1,MATCH('INVESTOR REPORT'!$I$3,{"Downside","Base","Upside"},0)),0)</f>
        <v>0</v>
      </c>
      <c r="BC63">
        <f>IF(BC$57=$C$43,-SUM($D$31:$E$31),0)+IF(BC$57=$C$44,-$F$31,0)+IF(BC$57=$C$45,INDEX($G63:$I63,1,MATCH('INVESTOR REPORT'!$I$3,{"Downside","Base","Upside"},0)),0)</f>
        <v>0</v>
      </c>
      <c r="BD63">
        <f>IF(BD$57=$C$43,-SUM($D$31:$E$31),0)+IF(BD$57=$C$44,-$F$31,0)+IF(BD$57=$C$45,INDEX($G63:$I63,1,MATCH('INVESTOR REPORT'!$I$3,{"Downside","Base","Upside"},0)),0)</f>
        <v>0</v>
      </c>
      <c r="BE63">
        <f>IF(BE$57=$C$43,-SUM($D$31:$E$31),0)+IF(BE$57=$C$44,-$F$31,0)+IF(BE$57=$C$45,INDEX($G63:$I63,1,MATCH('INVESTOR REPORT'!$I$3,{"Downside","Base","Upside"},0)),0)</f>
        <v>0</v>
      </c>
      <c r="BF63">
        <f>IF(BF$57=$C$43,-SUM($D$31:$E$31),0)+IF(BF$57=$C$44,-$F$31,0)+IF(BF$57=$C$45,INDEX($G63:$I63,1,MATCH('INVESTOR REPORT'!$I$3,{"Downside","Base","Upside"},0)),0)</f>
        <v>0</v>
      </c>
      <c r="BG63">
        <f>IF(BG$57=$C$43,-SUM($D$31:$E$31),0)+IF(BG$57=$C$44,-$F$31,0)+IF(BG$57=$C$45,INDEX($G63:$I63,1,MATCH('INVESTOR REPORT'!$I$3,{"Downside","Base","Upside"},0)),0)</f>
        <v>0</v>
      </c>
      <c r="BH63">
        <f>IF(BH$57=$C$43,-SUM($D$31:$E$31),0)+IF(BH$57=$C$44,-$F$31,0)+IF(BH$57=$C$45,INDEX($G63:$I63,1,MATCH('INVESTOR REPORT'!$I$3,{"Downside","Base","Upside"},0)),0)</f>
        <v>0</v>
      </c>
      <c r="BI63">
        <f>IF(BI$57=$C$43,-SUM($D$31:$E$31),0)+IF(BI$57=$C$44,-$F$31,0)+IF(BI$57=$C$45,INDEX($G63:$I63,1,MATCH('INVESTOR REPORT'!$I$3,{"Downside","Base","Upside"},0)),0)</f>
        <v>0</v>
      </c>
      <c r="BJ63">
        <f>IF(BJ$57=$C$43,-SUM($D$31:$E$31),0)+IF(BJ$57=$C$44,-$F$31,0)+IF(BJ$57=$C$45,INDEX($G63:$I63,1,MATCH('INVESTOR REPORT'!$I$3,{"Downside","Base","Upside"},0)),0)</f>
        <v>0</v>
      </c>
      <c r="BK63">
        <f>IF(BK$57=$C$43,-SUM($D$31:$E$31),0)+IF(BK$57=$C$44,-$F$31,0)+IF(BK$57=$C$45,INDEX($G63:$I63,1,MATCH('INVESTOR REPORT'!$I$3,{"Downside","Base","Upside"},0)),0)</f>
        <v>0</v>
      </c>
      <c r="BL63">
        <f>IF(BL$57=$C$43,-SUM($D$31:$E$31),0)+IF(BL$57=$C$44,-$F$31,0)+IF(BL$57=$C$45,INDEX($G63:$I63,1,MATCH('INVESTOR REPORT'!$I$3,{"Downside","Base","Upside"},0)),0)</f>
        <v>0</v>
      </c>
      <c r="BM63">
        <f>IF(BM$57=$C$43,-SUM($D$31:$E$31),0)+IF(BM$57=$C$44,-$F$31,0)+IF(BM$57=$C$45,INDEX($G63:$I63,1,MATCH('INVESTOR REPORT'!$I$3,{"Downside","Base","Upside"},0)),0)</f>
        <v>0</v>
      </c>
      <c r="BN63">
        <f>IF(BN$57=$C$43,-SUM($D$31:$E$31),0)+IF(BN$57=$C$44,-$F$31,0)+IF(BN$57=$C$45,INDEX($G63:$I63,1,MATCH('INVESTOR REPORT'!$I$3,{"Downside","Base","Upside"},0)),0)</f>
        <v>0</v>
      </c>
      <c r="BO63">
        <f>IF(BO$57=$C$43,-SUM($D$31:$E$31),0)+IF(BO$57=$C$44,-$F$31,0)+IF(BO$57=$C$45,INDEX($G63:$I63,1,MATCH('INVESTOR REPORT'!$I$3,{"Downside","Base","Upside"},0)),0)</f>
        <v>0</v>
      </c>
      <c r="BP63">
        <f>IF(BP$57=$C$43,-SUM($D$31:$E$31),0)+IF(BP$57=$C$44,-$F$31,0)+IF(BP$57=$C$45,INDEX($G63:$I63,1,MATCH('INVESTOR REPORT'!$I$3,{"Downside","Base","Upside"},0)),0)</f>
        <v>0</v>
      </c>
      <c r="BQ63">
        <f>IF(BQ$57=$C$43,-SUM($D$31:$E$31),0)+IF(BQ$57=$C$44,-$F$31,0)+IF(BQ$57=$C$45,INDEX($G63:$I63,1,MATCH('INVESTOR REPORT'!$I$3,{"Downside","Base","Upside"},0)),0)</f>
        <v>0</v>
      </c>
      <c r="BR63">
        <f>IF(BR$57=$C$43,-SUM($D$31:$E$31),0)+IF(BR$57=$C$44,-$F$31,0)+IF(BR$57=$C$45,INDEX($G63:$I63,1,MATCH('INVESTOR REPORT'!$I$3,{"Downside","Base","Upside"},0)),0)</f>
        <v>0</v>
      </c>
      <c r="BS63">
        <f>IF(BS$57=$C$43,-SUM($D$31:$E$31),0)+IF(BS$57=$C$44,-$F$31,0)+IF(BS$57=$C$45,INDEX($G63:$I63,1,MATCH('INVESTOR REPORT'!$I$3,{"Downside","Base","Upside"},0)),0)</f>
        <v>0</v>
      </c>
      <c r="BT63">
        <f>IF(BT$57=$C$43,-SUM($D$31:$E$31),0)+IF(BT$57=$C$44,-$F$31,0)+IF(BT$57=$C$45,INDEX($G63:$I63,1,MATCH('INVESTOR REPORT'!$I$3,{"Downside","Base","Upside"},0)),0)</f>
        <v>0</v>
      </c>
      <c r="BU63">
        <f>IF(BU$57=$C$43,-SUM($D$31:$E$31),0)+IF(BU$57=$C$44,-$F$31,0)+IF(BU$57=$C$45,INDEX($G63:$I63,1,MATCH('INVESTOR REPORT'!$I$3,{"Downside","Base","Upside"},0)),0)</f>
        <v>0</v>
      </c>
      <c r="BV63">
        <f>IF(BV$57=$C$43,-SUM($D$31:$E$31),0)+IF(BV$57=$C$44,-$F$31,0)+IF(BV$57=$C$45,INDEX($G63:$I63,1,MATCH('INVESTOR REPORT'!$I$3,{"Downside","Base","Upside"},0)),0)</f>
        <v>0</v>
      </c>
      <c r="BW63">
        <f>IF(BW$57=$C$43,-SUM($D$31:$E$31),0)+IF(BW$57=$C$44,-$F$31,0)+IF(BW$57=$C$45,INDEX($G63:$I63,1,MATCH('INVESTOR REPORT'!$I$3,{"Downside","Base","Upside"},0)),0)</f>
        <v>0</v>
      </c>
      <c r="BX63">
        <f>IF(BX$57=$C$43,-SUM($D$31:$E$31),0)+IF(BX$57=$C$44,-$F$31,0)+IF(BX$57=$C$45,INDEX($G63:$I63,1,MATCH('INVESTOR REPORT'!$I$3,{"Downside","Base","Upside"},0)),0)</f>
        <v>0</v>
      </c>
      <c r="BY63">
        <f>IF(BY$57=$C$43,-SUM($D$31:$E$31),0)+IF(BY$57=$C$44,-$F$31,0)+IF(BY$57=$C$45,INDEX($G63:$I63,1,MATCH('INVESTOR REPORT'!$I$3,{"Downside","Base","Upside"},0)),0)</f>
        <v>0</v>
      </c>
      <c r="BZ63">
        <f>IF(BZ$57=$C$43,-SUM($D$31:$E$31),0)+IF(BZ$57=$C$44,-$F$31,0)+IF(BZ$57=$C$45,INDEX($G63:$I63,1,MATCH('INVESTOR REPORT'!$I$3,{"Downside","Base","Upside"},0)),0)</f>
        <v>0</v>
      </c>
      <c r="CA63">
        <f>IF(CA$57=$C$43,-SUM($D$31:$E$31),0)+IF(CA$57=$C$44,-$F$31,0)+IF(CA$57=$C$45,INDEX($G63:$I63,1,MATCH('INVESTOR REPORT'!$I$3,{"Downside","Base","Upside"},0)),0)</f>
        <v>0</v>
      </c>
      <c r="CB63">
        <f>IF(CB$57=$C$43,-SUM($D$31:$E$31),0)+IF(CB$57=$C$44,-$F$31,0)+IF(CB$57=$C$45,INDEX($G63:$I63,1,MATCH('INVESTOR REPORT'!$I$3,{"Downside","Base","Upside"},0)),0)</f>
        <v>0</v>
      </c>
      <c r="CC63">
        <f>IF(CC$57=$C$43,-SUM($D$31:$E$31),0)+IF(CC$57=$C$44,-$F$31,0)+IF(CC$57=$C$45,INDEX($G63:$I63,1,MATCH('INVESTOR REPORT'!$I$3,{"Downside","Base","Upside"},0)),0)</f>
        <v>0</v>
      </c>
      <c r="CD63">
        <f>IF(CD$57=$C$43,-SUM($D$31:$E$31),0)+IF(CD$57=$C$44,-$F$31,0)+IF(CD$57=$C$45,INDEX($G63:$I63,1,MATCH('INVESTOR REPORT'!$I$3,{"Downside","Base","Upside"},0)),0)</f>
        <v>0</v>
      </c>
      <c r="CE63">
        <f>IF(CE$57=$C$43,-SUM($D$31:$E$31),0)+IF(CE$57=$C$44,-$F$31,0)+IF(CE$57=$C$45,INDEX($G63:$I63,1,MATCH('INVESTOR REPORT'!$I$3,{"Downside","Base","Upside"},0)),0)</f>
        <v>0</v>
      </c>
      <c r="CF63">
        <f>IF(CF$57=$C$43,-SUM($D$31:$E$31),0)+IF(CF$57=$C$44,-$F$31,0)+IF(CF$57=$C$45,INDEX($G63:$I63,1,MATCH('INVESTOR REPORT'!$I$3,{"Downside","Base","Upside"},0)),0)</f>
        <v>0</v>
      </c>
      <c r="CG63">
        <f>IF(CG$57=$C$43,-SUM($D$31:$E$31),0)+IF(CG$57=$C$44,-$F$31,0)+IF(CG$57=$C$45,INDEX($G63:$I63,1,MATCH('INVESTOR REPORT'!$I$3,{"Downside","Base","Upside"},0)),0)</f>
        <v>0</v>
      </c>
      <c r="CH63">
        <f>IF(CH$57=$C$43,-SUM($D$31:$E$31),0)+IF(CH$57=$C$44,-$F$31,0)+IF(CH$57=$C$45,INDEX($G63:$I63,1,MATCH('INVESTOR REPORT'!$I$3,{"Downside","Base","Upside"},0)),0)</f>
        <v>0</v>
      </c>
      <c r="CI63">
        <f>IF(CI$57=$C$43,-SUM($D$31:$E$31),0)+IF(CI$57=$C$44,-$F$31,0)+IF(CI$57=$C$45,INDEX($G63:$I63,1,MATCH('INVESTOR REPORT'!$I$3,{"Downside","Base","Upside"},0)),0)</f>
        <v>0</v>
      </c>
      <c r="CJ63">
        <f>IF(CJ$57=$C$43,-SUM($D$31:$E$31),0)+IF(CJ$57=$C$44,-$F$31,0)+IF(CJ$57=$C$45,INDEX($G63:$I63,1,MATCH('INVESTOR REPORT'!$I$3,{"Downside","Base","Upside"},0)),0)</f>
        <v>0</v>
      </c>
      <c r="CK63">
        <f>IF(CK$57=$C$43,-SUM($D$31:$E$31),0)+IF(CK$57=$C$44,-$F$31,0)+IF(CK$57=$C$45,INDEX($G63:$I63,1,MATCH('INVESTOR REPORT'!$I$3,{"Downside","Base","Upside"},0)),0)</f>
        <v>0</v>
      </c>
      <c r="CL63">
        <f>IF(CL$57=$C$43,-SUM($D$31:$E$31),0)+IF(CL$57=$C$44,-$F$31,0)+IF(CL$57=$C$45,INDEX($G63:$I63,1,MATCH('INVESTOR REPORT'!$I$3,{"Downside","Base","Upside"},0)),0)</f>
        <v>0</v>
      </c>
      <c r="CM63">
        <f>IF(CM$57=$C$43,-SUM($D$31:$E$31),0)+IF(CM$57=$C$44,-$F$31,0)+IF(CM$57=$C$45,INDEX($G63:$I63,1,MATCH('INVESTOR REPORT'!$I$3,{"Downside","Base","Upside"},0)),0)</f>
        <v>0</v>
      </c>
      <c r="CN63">
        <f>IF(CN$57=$C$43,-SUM($D$31:$E$31),0)+IF(CN$57=$C$44,-$F$31,0)+IF(CN$57=$C$45,INDEX($G63:$I63,1,MATCH('INVESTOR REPORT'!$I$3,{"Downside","Base","Upside"},0)),0)</f>
        <v>0</v>
      </c>
      <c r="CO63">
        <f>IF(CO$57=$C$43,-SUM($D$31:$E$31),0)+IF(CO$57=$C$44,-$F$31,0)+IF(CO$57=$C$45,INDEX($G63:$I63,1,MATCH('INVESTOR REPORT'!$I$3,{"Downside","Base","Upside"},0)),0)</f>
        <v>1.6581742251368436</v>
      </c>
      <c r="CQ63" s="307" t="str">
        <f>$B$59</f>
        <v>Mayabay Investments Pte Ltd</v>
      </c>
      <c r="CR63" s="598">
        <f>$C$59</f>
        <v>15.000999999999999</v>
      </c>
      <c r="CS63" s="601">
        <f>$E$27</f>
        <v>0</v>
      </c>
      <c r="CT63" s="600">
        <f>$D$59</f>
        <v>6.9557623613872396E-2</v>
      </c>
      <c r="CU63" s="600">
        <f>$E$59</f>
        <v>6.9557623613872396E-2</v>
      </c>
      <c r="CV63" s="598">
        <f>0</f>
        <v>0</v>
      </c>
      <c r="CW63" s="598">
        <f>$F$59</f>
        <v>13.807775189087952</v>
      </c>
      <c r="CX63" s="598">
        <f>INDEX($G$59:$I$59,1,MATCH($CR$7,$CQ$75:$CQ$77,0))</f>
        <v>29.969001869009386</v>
      </c>
      <c r="CY63" s="598">
        <f t="shared" si="33"/>
        <v>14.968001869009386</v>
      </c>
      <c r="CZ63" s="600">
        <f t="shared" si="34"/>
        <v>0.14835851331975025</v>
      </c>
      <c r="DA63" s="600">
        <f>INDEX($L$59:$N$59,1,MATCH($CR$7,$CQ$75:$CQ$77,0))</f>
        <v>0.14835851788520818</v>
      </c>
      <c r="DB63" s="598">
        <f>IF($CR$7="Downside",XNPV($CR$8,$AA$59:$AC$59,$AA$57:$AC$57),IF($CR$7="Base",XNPV($CR$8,$AD$59:$AF$59,$AD$57:$AF$57),XNPV($CR$8,$GJ$59:$GL$59,$GJ$57:$GL$57)))</f>
        <v>5.3910989323269281</v>
      </c>
      <c r="DC63" s="599">
        <f t="shared" si="35"/>
        <v>1.9978002712492091</v>
      </c>
      <c r="DD63" s="606">
        <f>$P$59</f>
        <v>60</v>
      </c>
      <c r="DE63" s="979" t="s">
        <v>1024</v>
      </c>
      <c r="DF63" s="937"/>
      <c r="DG63" s="937"/>
      <c r="DH63" s="937"/>
      <c r="DI63" s="937"/>
      <c r="DJ63" s="937"/>
      <c r="DK63" s="937"/>
      <c r="DL63" s="937"/>
      <c r="GJ63" s="595">
        <f>-SUM($D$31:$E$31)</f>
        <v>-0.83</v>
      </c>
      <c r="GK63" s="595">
        <f>-$F$31</f>
        <v>0</v>
      </c>
      <c r="GL63" s="605">
        <f t="shared" si="32"/>
        <v>1.8648706752590838</v>
      </c>
    </row>
    <row r="64" spans="1:194" x14ac:dyDescent="0.35">
      <c r="A64" s="307"/>
      <c r="B64" s="671" t="str">
        <f t="shared" si="18"/>
        <v>Australian Institutional Investors</v>
      </c>
      <c r="C64" s="872">
        <f t="shared" si="19"/>
        <v>50</v>
      </c>
      <c r="D64" s="873">
        <f t="shared" si="19"/>
        <v>0.23184328916029734</v>
      </c>
      <c r="E64" s="873">
        <f t="shared" si="20"/>
        <v>0.23184328916029734</v>
      </c>
      <c r="F64" s="872">
        <f t="shared" si="21"/>
        <v>46.022849107019375</v>
      </c>
      <c r="G64" s="872">
        <f t="shared" si="22"/>
        <v>89.167611294254485</v>
      </c>
      <c r="H64" s="872">
        <f t="shared" si="22"/>
        <v>99.890013562460467</v>
      </c>
      <c r="I64" s="872">
        <f t="shared" si="22"/>
        <v>112.34160694331831</v>
      </c>
      <c r="J64" s="872">
        <f t="shared" si="23"/>
        <v>49.890013562460467</v>
      </c>
      <c r="K64" s="874">
        <f t="shared" si="24"/>
        <v>1.9978002712492093</v>
      </c>
      <c r="L64" s="873">
        <f t="shared" si="25"/>
        <v>0.12258674502372741</v>
      </c>
      <c r="M64" s="873">
        <f t="shared" si="26"/>
        <v>0.14835851788520818</v>
      </c>
      <c r="N64" s="873">
        <f t="shared" si="27"/>
        <v>0.17564342617988588</v>
      </c>
      <c r="O64" s="875">
        <f t="shared" si="28"/>
        <v>17.969131832300945</v>
      </c>
      <c r="P64" s="729">
        <f>IF(OR(C64=0,H64&lt;C64),"N/M",ROUND(($C$45-((SUM($D$32:$E$32)*$C$43+$F$32*$C$44)/C64))*12/365,1))</f>
        <v>60</v>
      </c>
      <c r="X64" s="595">
        <f>-SUM($D$32:$E$32)</f>
        <v>-50</v>
      </c>
      <c r="Y64" s="595">
        <f>-$F$32</f>
        <v>0</v>
      </c>
      <c r="Z64" s="605">
        <f t="shared" si="29"/>
        <v>89.167611294254485</v>
      </c>
      <c r="AA64" s="595">
        <f>-SUM($D$32:$E$32)</f>
        <v>-50</v>
      </c>
      <c r="AB64" s="595">
        <f>-$F$32</f>
        <v>0</v>
      </c>
      <c r="AC64" s="605">
        <f t="shared" si="30"/>
        <v>89.167611294254485</v>
      </c>
      <c r="AD64" s="595">
        <f>-SUM($D$32:$E$32)</f>
        <v>-50</v>
      </c>
      <c r="AE64" s="595">
        <f>-$F$32</f>
        <v>0</v>
      </c>
      <c r="AF64" s="605">
        <f t="shared" si="31"/>
        <v>99.890013562460467</v>
      </c>
      <c r="AG64">
        <f>IF(AG$57=$C$43,-SUM($D$32:$E$32),0)+IF(AG$57=$C$44,-$F$32,0)+IF(AG$57=$C$45,INDEX($G64:$I64,1,MATCH('INVESTOR REPORT'!$I$3,{"Downside","Base","Upside"},0)),0)</f>
        <v>-50</v>
      </c>
      <c r="AH64">
        <f>IF(AH$57=$C$43,-SUM($D$32:$E$32),0)+IF(AH$57=$C$44,-$F$32,0)+IF(AH$57=$C$45,INDEX($G64:$I64,1,MATCH('INVESTOR REPORT'!$I$3,{"Downside","Base","Upside"},0)),0)</f>
        <v>0</v>
      </c>
      <c r="AI64">
        <f>IF(AI$57=$C$43,-SUM($D$32:$E$32),0)+IF(AI$57=$C$44,-$F$32,0)+IF(AI$57=$C$45,INDEX($G64:$I64,1,MATCH('INVESTOR REPORT'!$I$3,{"Downside","Base","Upside"},0)),0)</f>
        <v>0</v>
      </c>
      <c r="AJ64">
        <f>IF(AJ$57=$C$43,-SUM($D$32:$E$32),0)+IF(AJ$57=$C$44,-$F$32,0)+IF(AJ$57=$C$45,INDEX($G64:$I64,1,MATCH('INVESTOR REPORT'!$I$3,{"Downside","Base","Upside"},0)),0)</f>
        <v>0</v>
      </c>
      <c r="AK64">
        <f>IF(AK$57=$C$43,-SUM($D$32:$E$32),0)+IF(AK$57=$C$44,-$F$32,0)+IF(AK$57=$C$45,INDEX($G64:$I64,1,MATCH('INVESTOR REPORT'!$I$3,{"Downside","Base","Upside"},0)),0)</f>
        <v>0</v>
      </c>
      <c r="AL64">
        <f>IF(AL$57=$C$43,-SUM($D$32:$E$32),0)+IF(AL$57=$C$44,-$F$32,0)+IF(AL$57=$C$45,INDEX($G64:$I64,1,MATCH('INVESTOR REPORT'!$I$3,{"Downside","Base","Upside"},0)),0)</f>
        <v>0</v>
      </c>
      <c r="AM64">
        <f>IF(AM$57=$C$43,-SUM($D$32:$E$32),0)+IF(AM$57=$C$44,-$F$32,0)+IF(AM$57=$C$45,INDEX($G64:$I64,1,MATCH('INVESTOR REPORT'!$I$3,{"Downside","Base","Upside"},0)),0)</f>
        <v>0</v>
      </c>
      <c r="AN64">
        <f>IF(AN$57=$C$43,-SUM($D$32:$E$32),0)+IF(AN$57=$C$44,-$F$32,0)+IF(AN$57=$C$45,INDEX($G64:$I64,1,MATCH('INVESTOR REPORT'!$I$3,{"Downside","Base","Upside"},0)),0)</f>
        <v>0</v>
      </c>
      <c r="AO64">
        <f>IF(AO$57=$C$43,-SUM($D$32:$E$32),0)+IF(AO$57=$C$44,-$F$32,0)+IF(AO$57=$C$45,INDEX($G64:$I64,1,MATCH('INVESTOR REPORT'!$I$3,{"Downside","Base","Upside"},0)),0)</f>
        <v>0</v>
      </c>
      <c r="AP64">
        <f>IF(AP$57=$C$43,-SUM($D$32:$E$32),0)+IF(AP$57=$C$44,-$F$32,0)+IF(AP$57=$C$45,INDEX($G64:$I64,1,MATCH('INVESTOR REPORT'!$I$3,{"Downside","Base","Upside"},0)),0)</f>
        <v>0</v>
      </c>
      <c r="AQ64">
        <f>IF(AQ$57=$C$43,-SUM($D$32:$E$32),0)+IF(AQ$57=$C$44,-$F$32,0)+IF(AQ$57=$C$45,INDEX($G64:$I64,1,MATCH('INVESTOR REPORT'!$I$3,{"Downside","Base","Upside"},0)),0)</f>
        <v>0</v>
      </c>
      <c r="AR64">
        <f>IF(AR$57=$C$43,-SUM($D$32:$E$32),0)+IF(AR$57=$C$44,-$F$32,0)+IF(AR$57=$C$45,INDEX($G64:$I64,1,MATCH('INVESTOR REPORT'!$I$3,{"Downside","Base","Upside"},0)),0)</f>
        <v>0</v>
      </c>
      <c r="AS64">
        <f>IF(AS$57=$C$43,-SUM($D$32:$E$32),0)+IF(AS$57=$C$44,-$F$32,0)+IF(AS$57=$C$45,INDEX($G64:$I64,1,MATCH('INVESTOR REPORT'!$I$3,{"Downside","Base","Upside"},0)),0)</f>
        <v>0</v>
      </c>
      <c r="AT64">
        <f>IF(AT$57=$C$43,-SUM($D$32:$E$32),0)+IF(AT$57=$C$44,-$F$32,0)+IF(AT$57=$C$45,INDEX($G64:$I64,1,MATCH('INVESTOR REPORT'!$I$3,{"Downside","Base","Upside"},0)),0)</f>
        <v>0</v>
      </c>
      <c r="AU64">
        <f>IF(AU$57=$C$43,-SUM($D$32:$E$32),0)+IF(AU$57=$C$44,-$F$32,0)+IF(AU$57=$C$45,INDEX($G64:$I64,1,MATCH('INVESTOR REPORT'!$I$3,{"Downside","Base","Upside"},0)),0)</f>
        <v>0</v>
      </c>
      <c r="AV64">
        <f>IF(AV$57=$C$43,-SUM($D$32:$E$32),0)+IF(AV$57=$C$44,-$F$32,0)+IF(AV$57=$C$45,INDEX($G64:$I64,1,MATCH('INVESTOR REPORT'!$I$3,{"Downside","Base","Upside"},0)),0)</f>
        <v>0</v>
      </c>
      <c r="AW64">
        <f>IF(AW$57=$C$43,-SUM($D$32:$E$32),0)+IF(AW$57=$C$44,-$F$32,0)+IF(AW$57=$C$45,INDEX($G64:$I64,1,MATCH('INVESTOR REPORT'!$I$3,{"Downside","Base","Upside"},0)),0)</f>
        <v>0</v>
      </c>
      <c r="AX64">
        <f>IF(AX$57=$C$43,-SUM($D$32:$E$32),0)+IF(AX$57=$C$44,-$F$32,0)+IF(AX$57=$C$45,INDEX($G64:$I64,1,MATCH('INVESTOR REPORT'!$I$3,{"Downside","Base","Upside"},0)),0)</f>
        <v>0</v>
      </c>
      <c r="AY64">
        <f>IF(AY$57=$C$43,-SUM($D$32:$E$32),0)+IF(AY$57=$C$44,-$F$32,0)+IF(AY$57=$C$45,INDEX($G64:$I64,1,MATCH('INVESTOR REPORT'!$I$3,{"Downside","Base","Upside"},0)),0)</f>
        <v>0</v>
      </c>
      <c r="AZ64">
        <f>IF(AZ$57=$C$43,-SUM($D$32:$E$32),0)+IF(AZ$57=$C$44,-$F$32,0)+IF(AZ$57=$C$45,INDEX($G64:$I64,1,MATCH('INVESTOR REPORT'!$I$3,{"Downside","Base","Upside"},0)),0)</f>
        <v>0</v>
      </c>
      <c r="BA64">
        <f>IF(BA$57=$C$43,-SUM($D$32:$E$32),0)+IF(BA$57=$C$44,-$F$32,0)+IF(BA$57=$C$45,INDEX($G64:$I64,1,MATCH('INVESTOR REPORT'!$I$3,{"Downside","Base","Upside"},0)),0)</f>
        <v>0</v>
      </c>
      <c r="BB64">
        <f>IF(BB$57=$C$43,-SUM($D$32:$E$32),0)+IF(BB$57=$C$44,-$F$32,0)+IF(BB$57=$C$45,INDEX($G64:$I64,1,MATCH('INVESTOR REPORT'!$I$3,{"Downside","Base","Upside"},0)),0)</f>
        <v>0</v>
      </c>
      <c r="BC64">
        <f>IF(BC$57=$C$43,-SUM($D$32:$E$32),0)+IF(BC$57=$C$44,-$F$32,0)+IF(BC$57=$C$45,INDEX($G64:$I64,1,MATCH('INVESTOR REPORT'!$I$3,{"Downside","Base","Upside"},0)),0)</f>
        <v>0</v>
      </c>
      <c r="BD64">
        <f>IF(BD$57=$C$43,-SUM($D$32:$E$32),0)+IF(BD$57=$C$44,-$F$32,0)+IF(BD$57=$C$45,INDEX($G64:$I64,1,MATCH('INVESTOR REPORT'!$I$3,{"Downside","Base","Upside"},0)),0)</f>
        <v>0</v>
      </c>
      <c r="BE64">
        <f>IF(BE$57=$C$43,-SUM($D$32:$E$32),0)+IF(BE$57=$C$44,-$F$32,0)+IF(BE$57=$C$45,INDEX($G64:$I64,1,MATCH('INVESTOR REPORT'!$I$3,{"Downside","Base","Upside"},0)),0)</f>
        <v>0</v>
      </c>
      <c r="BF64">
        <f>IF(BF$57=$C$43,-SUM($D$32:$E$32),0)+IF(BF$57=$C$44,-$F$32,0)+IF(BF$57=$C$45,INDEX($G64:$I64,1,MATCH('INVESTOR REPORT'!$I$3,{"Downside","Base","Upside"},0)),0)</f>
        <v>0</v>
      </c>
      <c r="BG64">
        <f>IF(BG$57=$C$43,-SUM($D$32:$E$32),0)+IF(BG$57=$C$44,-$F$32,0)+IF(BG$57=$C$45,INDEX($G64:$I64,1,MATCH('INVESTOR REPORT'!$I$3,{"Downside","Base","Upside"},0)),0)</f>
        <v>0</v>
      </c>
      <c r="BH64">
        <f>IF(BH$57=$C$43,-SUM($D$32:$E$32),0)+IF(BH$57=$C$44,-$F$32,0)+IF(BH$57=$C$45,INDEX($G64:$I64,1,MATCH('INVESTOR REPORT'!$I$3,{"Downside","Base","Upside"},0)),0)</f>
        <v>0</v>
      </c>
      <c r="BI64">
        <f>IF(BI$57=$C$43,-SUM($D$32:$E$32),0)+IF(BI$57=$C$44,-$F$32,0)+IF(BI$57=$C$45,INDEX($G64:$I64,1,MATCH('INVESTOR REPORT'!$I$3,{"Downside","Base","Upside"},0)),0)</f>
        <v>0</v>
      </c>
      <c r="BJ64">
        <f>IF(BJ$57=$C$43,-SUM($D$32:$E$32),0)+IF(BJ$57=$C$44,-$F$32,0)+IF(BJ$57=$C$45,INDEX($G64:$I64,1,MATCH('INVESTOR REPORT'!$I$3,{"Downside","Base","Upside"},0)),0)</f>
        <v>0</v>
      </c>
      <c r="BK64">
        <f>IF(BK$57=$C$43,-SUM($D$32:$E$32),0)+IF(BK$57=$C$44,-$F$32,0)+IF(BK$57=$C$45,INDEX($G64:$I64,1,MATCH('INVESTOR REPORT'!$I$3,{"Downside","Base","Upside"},0)),0)</f>
        <v>0</v>
      </c>
      <c r="BL64">
        <f>IF(BL$57=$C$43,-SUM($D$32:$E$32),0)+IF(BL$57=$C$44,-$F$32,0)+IF(BL$57=$C$45,INDEX($G64:$I64,1,MATCH('INVESTOR REPORT'!$I$3,{"Downside","Base","Upside"},0)),0)</f>
        <v>0</v>
      </c>
      <c r="BM64">
        <f>IF(BM$57=$C$43,-SUM($D$32:$E$32),0)+IF(BM$57=$C$44,-$F$32,0)+IF(BM$57=$C$45,INDEX($G64:$I64,1,MATCH('INVESTOR REPORT'!$I$3,{"Downside","Base","Upside"},0)),0)</f>
        <v>0</v>
      </c>
      <c r="BN64">
        <f>IF(BN$57=$C$43,-SUM($D$32:$E$32),0)+IF(BN$57=$C$44,-$F$32,0)+IF(BN$57=$C$45,INDEX($G64:$I64,1,MATCH('INVESTOR REPORT'!$I$3,{"Downside","Base","Upside"},0)),0)</f>
        <v>0</v>
      </c>
      <c r="BO64">
        <f>IF(BO$57=$C$43,-SUM($D$32:$E$32),0)+IF(BO$57=$C$44,-$F$32,0)+IF(BO$57=$C$45,INDEX($G64:$I64,1,MATCH('INVESTOR REPORT'!$I$3,{"Downside","Base","Upside"},0)),0)</f>
        <v>0</v>
      </c>
      <c r="BP64">
        <f>IF(BP$57=$C$43,-SUM($D$32:$E$32),0)+IF(BP$57=$C$44,-$F$32,0)+IF(BP$57=$C$45,INDEX($G64:$I64,1,MATCH('INVESTOR REPORT'!$I$3,{"Downside","Base","Upside"},0)),0)</f>
        <v>0</v>
      </c>
      <c r="BQ64">
        <f>IF(BQ$57=$C$43,-SUM($D$32:$E$32),0)+IF(BQ$57=$C$44,-$F$32,0)+IF(BQ$57=$C$45,INDEX($G64:$I64,1,MATCH('INVESTOR REPORT'!$I$3,{"Downside","Base","Upside"},0)),0)</f>
        <v>0</v>
      </c>
      <c r="BR64">
        <f>IF(BR$57=$C$43,-SUM($D$32:$E$32),0)+IF(BR$57=$C$44,-$F$32,0)+IF(BR$57=$C$45,INDEX($G64:$I64,1,MATCH('INVESTOR REPORT'!$I$3,{"Downside","Base","Upside"},0)),0)</f>
        <v>0</v>
      </c>
      <c r="BS64">
        <f>IF(BS$57=$C$43,-SUM($D$32:$E$32),0)+IF(BS$57=$C$44,-$F$32,0)+IF(BS$57=$C$45,INDEX($G64:$I64,1,MATCH('INVESTOR REPORT'!$I$3,{"Downside","Base","Upside"},0)),0)</f>
        <v>0</v>
      </c>
      <c r="BT64">
        <f>IF(BT$57=$C$43,-SUM($D$32:$E$32),0)+IF(BT$57=$C$44,-$F$32,0)+IF(BT$57=$C$45,INDEX($G64:$I64,1,MATCH('INVESTOR REPORT'!$I$3,{"Downside","Base","Upside"},0)),0)</f>
        <v>0</v>
      </c>
      <c r="BU64">
        <f>IF(BU$57=$C$43,-SUM($D$32:$E$32),0)+IF(BU$57=$C$44,-$F$32,0)+IF(BU$57=$C$45,INDEX($G64:$I64,1,MATCH('INVESTOR REPORT'!$I$3,{"Downside","Base","Upside"},0)),0)</f>
        <v>0</v>
      </c>
      <c r="BV64">
        <f>IF(BV$57=$C$43,-SUM($D$32:$E$32),0)+IF(BV$57=$C$44,-$F$32,0)+IF(BV$57=$C$45,INDEX($G64:$I64,1,MATCH('INVESTOR REPORT'!$I$3,{"Downside","Base","Upside"},0)),0)</f>
        <v>0</v>
      </c>
      <c r="BW64">
        <f>IF(BW$57=$C$43,-SUM($D$32:$E$32),0)+IF(BW$57=$C$44,-$F$32,0)+IF(BW$57=$C$45,INDEX($G64:$I64,1,MATCH('INVESTOR REPORT'!$I$3,{"Downside","Base","Upside"},0)),0)</f>
        <v>0</v>
      </c>
      <c r="BX64">
        <f>IF(BX$57=$C$43,-SUM($D$32:$E$32),0)+IF(BX$57=$C$44,-$F$32,0)+IF(BX$57=$C$45,INDEX($G64:$I64,1,MATCH('INVESTOR REPORT'!$I$3,{"Downside","Base","Upside"},0)),0)</f>
        <v>0</v>
      </c>
      <c r="BY64">
        <f>IF(BY$57=$C$43,-SUM($D$32:$E$32),0)+IF(BY$57=$C$44,-$F$32,0)+IF(BY$57=$C$45,INDEX($G64:$I64,1,MATCH('INVESTOR REPORT'!$I$3,{"Downside","Base","Upside"},0)),0)</f>
        <v>0</v>
      </c>
      <c r="BZ64">
        <f>IF(BZ$57=$C$43,-SUM($D$32:$E$32),0)+IF(BZ$57=$C$44,-$F$32,0)+IF(BZ$57=$C$45,INDEX($G64:$I64,1,MATCH('INVESTOR REPORT'!$I$3,{"Downside","Base","Upside"},0)),0)</f>
        <v>0</v>
      </c>
      <c r="CA64">
        <f>IF(CA$57=$C$43,-SUM($D$32:$E$32),0)+IF(CA$57=$C$44,-$F$32,0)+IF(CA$57=$C$45,INDEX($G64:$I64,1,MATCH('INVESTOR REPORT'!$I$3,{"Downside","Base","Upside"},0)),0)</f>
        <v>0</v>
      </c>
      <c r="CB64">
        <f>IF(CB$57=$C$43,-SUM($D$32:$E$32),0)+IF(CB$57=$C$44,-$F$32,0)+IF(CB$57=$C$45,INDEX($G64:$I64,1,MATCH('INVESTOR REPORT'!$I$3,{"Downside","Base","Upside"},0)),0)</f>
        <v>0</v>
      </c>
      <c r="CC64">
        <f>IF(CC$57=$C$43,-SUM($D$32:$E$32),0)+IF(CC$57=$C$44,-$F$32,0)+IF(CC$57=$C$45,INDEX($G64:$I64,1,MATCH('INVESTOR REPORT'!$I$3,{"Downside","Base","Upside"},0)),0)</f>
        <v>0</v>
      </c>
      <c r="CD64">
        <f>IF(CD$57=$C$43,-SUM($D$32:$E$32),0)+IF(CD$57=$C$44,-$F$32,0)+IF(CD$57=$C$45,INDEX($G64:$I64,1,MATCH('INVESTOR REPORT'!$I$3,{"Downside","Base","Upside"},0)),0)</f>
        <v>0</v>
      </c>
      <c r="CE64">
        <f>IF(CE$57=$C$43,-SUM($D$32:$E$32),0)+IF(CE$57=$C$44,-$F$32,0)+IF(CE$57=$C$45,INDEX($G64:$I64,1,MATCH('INVESTOR REPORT'!$I$3,{"Downside","Base","Upside"},0)),0)</f>
        <v>0</v>
      </c>
      <c r="CF64">
        <f>IF(CF$57=$C$43,-SUM($D$32:$E$32),0)+IF(CF$57=$C$44,-$F$32,0)+IF(CF$57=$C$45,INDEX($G64:$I64,1,MATCH('INVESTOR REPORT'!$I$3,{"Downside","Base","Upside"},0)),0)</f>
        <v>0</v>
      </c>
      <c r="CG64">
        <f>IF(CG$57=$C$43,-SUM($D$32:$E$32),0)+IF(CG$57=$C$44,-$F$32,0)+IF(CG$57=$C$45,INDEX($G64:$I64,1,MATCH('INVESTOR REPORT'!$I$3,{"Downside","Base","Upside"},0)),0)</f>
        <v>0</v>
      </c>
      <c r="CH64">
        <f>IF(CH$57=$C$43,-SUM($D$32:$E$32),0)+IF(CH$57=$C$44,-$F$32,0)+IF(CH$57=$C$45,INDEX($G64:$I64,1,MATCH('INVESTOR REPORT'!$I$3,{"Downside","Base","Upside"},0)),0)</f>
        <v>0</v>
      </c>
      <c r="CI64">
        <f>IF(CI$57=$C$43,-SUM($D$32:$E$32),0)+IF(CI$57=$C$44,-$F$32,0)+IF(CI$57=$C$45,INDEX($G64:$I64,1,MATCH('INVESTOR REPORT'!$I$3,{"Downside","Base","Upside"},0)),0)</f>
        <v>0</v>
      </c>
      <c r="CJ64">
        <f>IF(CJ$57=$C$43,-SUM($D$32:$E$32),0)+IF(CJ$57=$C$44,-$F$32,0)+IF(CJ$57=$C$45,INDEX($G64:$I64,1,MATCH('INVESTOR REPORT'!$I$3,{"Downside","Base","Upside"},0)),0)</f>
        <v>0</v>
      </c>
      <c r="CK64">
        <f>IF(CK$57=$C$43,-SUM($D$32:$E$32),0)+IF(CK$57=$C$44,-$F$32,0)+IF(CK$57=$C$45,INDEX($G64:$I64,1,MATCH('INVESTOR REPORT'!$I$3,{"Downside","Base","Upside"},0)),0)</f>
        <v>0</v>
      </c>
      <c r="CL64">
        <f>IF(CL$57=$C$43,-SUM($D$32:$E$32),0)+IF(CL$57=$C$44,-$F$32,0)+IF(CL$57=$C$45,INDEX($G64:$I64,1,MATCH('INVESTOR REPORT'!$I$3,{"Downside","Base","Upside"},0)),0)</f>
        <v>0</v>
      </c>
      <c r="CM64">
        <f>IF(CM$57=$C$43,-SUM($D$32:$E$32),0)+IF(CM$57=$C$44,-$F$32,0)+IF(CM$57=$C$45,INDEX($G64:$I64,1,MATCH('INVESTOR REPORT'!$I$3,{"Downside","Base","Upside"},0)),0)</f>
        <v>0</v>
      </c>
      <c r="CN64">
        <f>IF(CN$57=$C$43,-SUM($D$32:$E$32),0)+IF(CN$57=$C$44,-$F$32,0)+IF(CN$57=$C$45,INDEX($G64:$I64,1,MATCH('INVESTOR REPORT'!$I$3,{"Downside","Base","Upside"},0)),0)</f>
        <v>0</v>
      </c>
      <c r="CO64">
        <f>IF(CO$57=$C$43,-SUM($D$32:$E$32),0)+IF(CO$57=$C$44,-$F$32,0)+IF(CO$57=$C$45,INDEX($G64:$I64,1,MATCH('INVESTOR REPORT'!$I$3,{"Downside","Base","Upside"},0)),0)</f>
        <v>99.890013562460467</v>
      </c>
      <c r="CQ64" s="307" t="str">
        <f>$B$60</f>
        <v>Brian Mirfin</v>
      </c>
      <c r="CR64" s="598">
        <f>$C$60</f>
        <v>5</v>
      </c>
      <c r="CS64" s="601">
        <f>$E$28</f>
        <v>0</v>
      </c>
      <c r="CT64" s="600">
        <f>$D$60</f>
        <v>2.3184328916029732E-2</v>
      </c>
      <c r="CU64" s="600">
        <f>$E$60</f>
        <v>2.3184328916029732E-2</v>
      </c>
      <c r="CV64" s="598">
        <f>0</f>
        <v>0</v>
      </c>
      <c r="CW64" s="598">
        <f>$F$60</f>
        <v>4.602284910701937</v>
      </c>
      <c r="CX64" s="598">
        <f>INDEX($G$60:$I$60,1,MATCH($CR$7,$CQ$75:$CQ$77,0))</f>
        <v>9.989001356246046</v>
      </c>
      <c r="CY64" s="598">
        <f t="shared" si="33"/>
        <v>4.989001356246046</v>
      </c>
      <c r="CZ64" s="600">
        <f t="shared" si="34"/>
        <v>0.14835851331975025</v>
      </c>
      <c r="DA64" s="600">
        <f>INDEX($L$60:$N$60,1,MATCH($CR$7,$CQ$75:$CQ$77,0))</f>
        <v>0.14835851788520818</v>
      </c>
      <c r="DB64" s="598">
        <f>IF($CR$7="Downside",XNPV($CR$8,$AA$60:$AC$60,$AA$57:$AC$57),IF($CR$7="Base",XNPV($CR$8,$AD$60:$AF$60,$AD$57:$AF$57),XNPV($CR$8,$GJ$60:$GL$60,$GJ$57:$GL$57)))</f>
        <v>1.7969131832300942</v>
      </c>
      <c r="DC64" s="599">
        <f t="shared" si="35"/>
        <v>1.9978002712492091</v>
      </c>
      <c r="DD64" s="606">
        <f>$P$60</f>
        <v>60</v>
      </c>
      <c r="DE64" s="940" t="s">
        <v>1025</v>
      </c>
      <c r="DF64" s="937"/>
      <c r="DG64" s="937"/>
      <c r="DH64" s="937"/>
      <c r="DI64" s="937"/>
      <c r="DJ64" s="937"/>
      <c r="DK64" s="937"/>
      <c r="DL64" s="937"/>
      <c r="GJ64" s="595">
        <f>-SUM($D$32:$E$32)</f>
        <v>-50</v>
      </c>
      <c r="GK64" s="595">
        <f>-$F$32</f>
        <v>0</v>
      </c>
      <c r="GL64" s="605">
        <f t="shared" si="32"/>
        <v>112.34160694331831</v>
      </c>
    </row>
    <row r="65" spans="1:194" x14ac:dyDescent="0.35">
      <c r="A65" s="307"/>
      <c r="B65" s="684" t="str">
        <f t="shared" si="18"/>
        <v>MASTER DEVELOPER</v>
      </c>
      <c r="C65" s="876">
        <f t="shared" si="19"/>
        <v>131.83191688274752</v>
      </c>
      <c r="D65" s="877">
        <f t="shared" si="19"/>
        <v>0.61128690452806234</v>
      </c>
      <c r="E65" s="877">
        <f t="shared" si="20"/>
        <v>0.61128690452806234</v>
      </c>
      <c r="F65" s="876">
        <f t="shared" si="21"/>
        <v>121.34560836367619</v>
      </c>
      <c r="G65" s="876">
        <f t="shared" si="22"/>
        <v>235.10274241554592</v>
      </c>
      <c r="H65" s="876">
        <f t="shared" si="22"/>
        <v>263.37383930765623</v>
      </c>
      <c r="I65" s="876">
        <f t="shared" si="22"/>
        <v>296.20418778051663</v>
      </c>
      <c r="J65" s="876">
        <f t="shared" si="23"/>
        <v>131.54192242490871</v>
      </c>
      <c r="K65" s="878">
        <f t="shared" si="24"/>
        <v>1.9978002712492093</v>
      </c>
      <c r="L65" s="877">
        <f t="shared" si="25"/>
        <v>0.12258674502372741</v>
      </c>
      <c r="M65" s="877">
        <f t="shared" si="26"/>
        <v>0.14835851788520818</v>
      </c>
      <c r="N65" s="877">
        <f t="shared" si="27"/>
        <v>0.17564342617988588</v>
      </c>
      <c r="O65" s="879">
        <f t="shared" si="28"/>
        <v>47.378101883420612</v>
      </c>
      <c r="P65" s="730">
        <f>IF(OR(C65=0,H65&lt;C65),"N/M",ROUND(($C$45-((SUM($D$33:$E$33)*$C$43+$F$33*$C$44)/C65))*12/365,1))</f>
        <v>60</v>
      </c>
      <c r="X65" s="595">
        <f>-SUM($D$33:$E$33)</f>
        <v>-131.83191688274752</v>
      </c>
      <c r="Y65" s="595">
        <f>-$F$33</f>
        <v>0</v>
      </c>
      <c r="Z65" s="605">
        <f t="shared" si="29"/>
        <v>235.10274241554592</v>
      </c>
      <c r="AA65" s="595">
        <f>-SUM($D$33:$E$33)</f>
        <v>-131.83191688274752</v>
      </c>
      <c r="AB65" s="595">
        <f>-$F$33</f>
        <v>0</v>
      </c>
      <c r="AC65" s="605">
        <f t="shared" si="30"/>
        <v>235.10274241554592</v>
      </c>
      <c r="AD65" s="595">
        <f>-SUM($D$33:$E$33)</f>
        <v>-131.83191688274752</v>
      </c>
      <c r="AE65" s="595">
        <f>-$F$33</f>
        <v>0</v>
      </c>
      <c r="AF65" s="605">
        <f t="shared" si="31"/>
        <v>263.37383930765623</v>
      </c>
      <c r="AG65">
        <f>IF(AG$57=$C$43,-SUM($D$33:$E$33),0)+IF(AG$57=$C$44,-$F$33,0)+IF(AG$57=$C$45,INDEX($G65:$I65,1,MATCH('INVESTOR REPORT'!$I$3,{"Downside","Base","Upside"},0)),0)</f>
        <v>-131.83191688274752</v>
      </c>
      <c r="AH65">
        <f>IF(AH$57=$C$43,-SUM($D$33:$E$33),0)+IF(AH$57=$C$44,-$F$33,0)+IF(AH$57=$C$45,INDEX($G65:$I65,1,MATCH('INVESTOR REPORT'!$I$3,{"Downside","Base","Upside"},0)),0)</f>
        <v>0</v>
      </c>
      <c r="AI65">
        <f>IF(AI$57=$C$43,-SUM($D$33:$E$33),0)+IF(AI$57=$C$44,-$F$33,0)+IF(AI$57=$C$45,INDEX($G65:$I65,1,MATCH('INVESTOR REPORT'!$I$3,{"Downside","Base","Upside"},0)),0)</f>
        <v>0</v>
      </c>
      <c r="AJ65">
        <f>IF(AJ$57=$C$43,-SUM($D$33:$E$33),0)+IF(AJ$57=$C$44,-$F$33,0)+IF(AJ$57=$C$45,INDEX($G65:$I65,1,MATCH('INVESTOR REPORT'!$I$3,{"Downside","Base","Upside"},0)),0)</f>
        <v>0</v>
      </c>
      <c r="AK65">
        <f>IF(AK$57=$C$43,-SUM($D$33:$E$33),0)+IF(AK$57=$C$44,-$F$33,0)+IF(AK$57=$C$45,INDEX($G65:$I65,1,MATCH('INVESTOR REPORT'!$I$3,{"Downside","Base","Upside"},0)),0)</f>
        <v>0</v>
      </c>
      <c r="AL65">
        <f>IF(AL$57=$C$43,-SUM($D$33:$E$33),0)+IF(AL$57=$C$44,-$F$33,0)+IF(AL$57=$C$45,INDEX($G65:$I65,1,MATCH('INVESTOR REPORT'!$I$3,{"Downside","Base","Upside"},0)),0)</f>
        <v>0</v>
      </c>
      <c r="AM65">
        <f>IF(AM$57=$C$43,-SUM($D$33:$E$33),0)+IF(AM$57=$C$44,-$F$33,0)+IF(AM$57=$C$45,INDEX($G65:$I65,1,MATCH('INVESTOR REPORT'!$I$3,{"Downside","Base","Upside"},0)),0)</f>
        <v>0</v>
      </c>
      <c r="AN65">
        <f>IF(AN$57=$C$43,-SUM($D$33:$E$33),0)+IF(AN$57=$C$44,-$F$33,0)+IF(AN$57=$C$45,INDEX($G65:$I65,1,MATCH('INVESTOR REPORT'!$I$3,{"Downside","Base","Upside"},0)),0)</f>
        <v>0</v>
      </c>
      <c r="AO65">
        <f>IF(AO$57=$C$43,-SUM($D$33:$E$33),0)+IF(AO$57=$C$44,-$F$33,0)+IF(AO$57=$C$45,INDEX($G65:$I65,1,MATCH('INVESTOR REPORT'!$I$3,{"Downside","Base","Upside"},0)),0)</f>
        <v>0</v>
      </c>
      <c r="AP65">
        <f>IF(AP$57=$C$43,-SUM($D$33:$E$33),0)+IF(AP$57=$C$44,-$F$33,0)+IF(AP$57=$C$45,INDEX($G65:$I65,1,MATCH('INVESTOR REPORT'!$I$3,{"Downside","Base","Upside"},0)),0)</f>
        <v>0</v>
      </c>
      <c r="AQ65">
        <f>IF(AQ$57=$C$43,-SUM($D$33:$E$33),0)+IF(AQ$57=$C$44,-$F$33,0)+IF(AQ$57=$C$45,INDEX($G65:$I65,1,MATCH('INVESTOR REPORT'!$I$3,{"Downside","Base","Upside"},0)),0)</f>
        <v>0</v>
      </c>
      <c r="AR65">
        <f>IF(AR$57=$C$43,-SUM($D$33:$E$33),0)+IF(AR$57=$C$44,-$F$33,0)+IF(AR$57=$C$45,INDEX($G65:$I65,1,MATCH('INVESTOR REPORT'!$I$3,{"Downside","Base","Upside"},0)),0)</f>
        <v>0</v>
      </c>
      <c r="AS65">
        <f>IF(AS$57=$C$43,-SUM($D$33:$E$33),0)+IF(AS$57=$C$44,-$F$33,0)+IF(AS$57=$C$45,INDEX($G65:$I65,1,MATCH('INVESTOR REPORT'!$I$3,{"Downside","Base","Upside"},0)),0)</f>
        <v>0</v>
      </c>
      <c r="AT65">
        <f>IF(AT$57=$C$43,-SUM($D$33:$E$33),0)+IF(AT$57=$C$44,-$F$33,0)+IF(AT$57=$C$45,INDEX($G65:$I65,1,MATCH('INVESTOR REPORT'!$I$3,{"Downside","Base","Upside"},0)),0)</f>
        <v>0</v>
      </c>
      <c r="AU65">
        <f>IF(AU$57=$C$43,-SUM($D$33:$E$33),0)+IF(AU$57=$C$44,-$F$33,0)+IF(AU$57=$C$45,INDEX($G65:$I65,1,MATCH('INVESTOR REPORT'!$I$3,{"Downside","Base","Upside"},0)),0)</f>
        <v>0</v>
      </c>
      <c r="AV65">
        <f>IF(AV$57=$C$43,-SUM($D$33:$E$33),0)+IF(AV$57=$C$44,-$F$33,0)+IF(AV$57=$C$45,INDEX($G65:$I65,1,MATCH('INVESTOR REPORT'!$I$3,{"Downside","Base","Upside"},0)),0)</f>
        <v>0</v>
      </c>
      <c r="AW65">
        <f>IF(AW$57=$C$43,-SUM($D$33:$E$33),0)+IF(AW$57=$C$44,-$F$33,0)+IF(AW$57=$C$45,INDEX($G65:$I65,1,MATCH('INVESTOR REPORT'!$I$3,{"Downside","Base","Upside"},0)),0)</f>
        <v>0</v>
      </c>
      <c r="AX65">
        <f>IF(AX$57=$C$43,-SUM($D$33:$E$33),0)+IF(AX$57=$C$44,-$F$33,0)+IF(AX$57=$C$45,INDEX($G65:$I65,1,MATCH('INVESTOR REPORT'!$I$3,{"Downside","Base","Upside"},0)),0)</f>
        <v>0</v>
      </c>
      <c r="AY65">
        <f>IF(AY$57=$C$43,-SUM($D$33:$E$33),0)+IF(AY$57=$C$44,-$F$33,0)+IF(AY$57=$C$45,INDEX($G65:$I65,1,MATCH('INVESTOR REPORT'!$I$3,{"Downside","Base","Upside"},0)),0)</f>
        <v>0</v>
      </c>
      <c r="AZ65">
        <f>IF(AZ$57=$C$43,-SUM($D$33:$E$33),0)+IF(AZ$57=$C$44,-$F$33,0)+IF(AZ$57=$C$45,INDEX($G65:$I65,1,MATCH('INVESTOR REPORT'!$I$3,{"Downside","Base","Upside"},0)),0)</f>
        <v>0</v>
      </c>
      <c r="BA65">
        <f>IF(BA$57=$C$43,-SUM($D$33:$E$33),0)+IF(BA$57=$C$44,-$F$33,0)+IF(BA$57=$C$45,INDEX($G65:$I65,1,MATCH('INVESTOR REPORT'!$I$3,{"Downside","Base","Upside"},0)),0)</f>
        <v>0</v>
      </c>
      <c r="BB65">
        <f>IF(BB$57=$C$43,-SUM($D$33:$E$33),0)+IF(BB$57=$C$44,-$F$33,0)+IF(BB$57=$C$45,INDEX($G65:$I65,1,MATCH('INVESTOR REPORT'!$I$3,{"Downside","Base","Upside"},0)),0)</f>
        <v>0</v>
      </c>
      <c r="BC65">
        <f>IF(BC$57=$C$43,-SUM($D$33:$E$33),0)+IF(BC$57=$C$44,-$F$33,0)+IF(BC$57=$C$45,INDEX($G65:$I65,1,MATCH('INVESTOR REPORT'!$I$3,{"Downside","Base","Upside"},0)),0)</f>
        <v>0</v>
      </c>
      <c r="BD65">
        <f>IF(BD$57=$C$43,-SUM($D$33:$E$33),0)+IF(BD$57=$C$44,-$F$33,0)+IF(BD$57=$C$45,INDEX($G65:$I65,1,MATCH('INVESTOR REPORT'!$I$3,{"Downside","Base","Upside"},0)),0)</f>
        <v>0</v>
      </c>
      <c r="BE65">
        <f>IF(BE$57=$C$43,-SUM($D$33:$E$33),0)+IF(BE$57=$C$44,-$F$33,0)+IF(BE$57=$C$45,INDEX($G65:$I65,1,MATCH('INVESTOR REPORT'!$I$3,{"Downside","Base","Upside"},0)),0)</f>
        <v>0</v>
      </c>
      <c r="BF65">
        <f>IF(BF$57=$C$43,-SUM($D$33:$E$33),0)+IF(BF$57=$C$44,-$F$33,0)+IF(BF$57=$C$45,INDEX($G65:$I65,1,MATCH('INVESTOR REPORT'!$I$3,{"Downside","Base","Upside"},0)),0)</f>
        <v>0</v>
      </c>
      <c r="BG65">
        <f>IF(BG$57=$C$43,-SUM($D$33:$E$33),0)+IF(BG$57=$C$44,-$F$33,0)+IF(BG$57=$C$45,INDEX($G65:$I65,1,MATCH('INVESTOR REPORT'!$I$3,{"Downside","Base","Upside"},0)),0)</f>
        <v>0</v>
      </c>
      <c r="BH65">
        <f>IF(BH$57=$C$43,-SUM($D$33:$E$33),0)+IF(BH$57=$C$44,-$F$33,0)+IF(BH$57=$C$45,INDEX($G65:$I65,1,MATCH('INVESTOR REPORT'!$I$3,{"Downside","Base","Upside"},0)),0)</f>
        <v>0</v>
      </c>
      <c r="BI65">
        <f>IF(BI$57=$C$43,-SUM($D$33:$E$33),0)+IF(BI$57=$C$44,-$F$33,0)+IF(BI$57=$C$45,INDEX($G65:$I65,1,MATCH('INVESTOR REPORT'!$I$3,{"Downside","Base","Upside"},0)),0)</f>
        <v>0</v>
      </c>
      <c r="BJ65">
        <f>IF(BJ$57=$C$43,-SUM($D$33:$E$33),0)+IF(BJ$57=$C$44,-$F$33,0)+IF(BJ$57=$C$45,INDEX($G65:$I65,1,MATCH('INVESTOR REPORT'!$I$3,{"Downside","Base","Upside"},0)),0)</f>
        <v>0</v>
      </c>
      <c r="BK65">
        <f>IF(BK$57=$C$43,-SUM($D$33:$E$33),0)+IF(BK$57=$C$44,-$F$33,0)+IF(BK$57=$C$45,INDEX($G65:$I65,1,MATCH('INVESTOR REPORT'!$I$3,{"Downside","Base","Upside"},0)),0)</f>
        <v>0</v>
      </c>
      <c r="BL65">
        <f>IF(BL$57=$C$43,-SUM($D$33:$E$33),0)+IF(BL$57=$C$44,-$F$33,0)+IF(BL$57=$C$45,INDEX($G65:$I65,1,MATCH('INVESTOR REPORT'!$I$3,{"Downside","Base","Upside"},0)),0)</f>
        <v>0</v>
      </c>
      <c r="BM65">
        <f>IF(BM$57=$C$43,-SUM($D$33:$E$33),0)+IF(BM$57=$C$44,-$F$33,0)+IF(BM$57=$C$45,INDEX($G65:$I65,1,MATCH('INVESTOR REPORT'!$I$3,{"Downside","Base","Upside"},0)),0)</f>
        <v>0</v>
      </c>
      <c r="BN65">
        <f>IF(BN$57=$C$43,-SUM($D$33:$E$33),0)+IF(BN$57=$C$44,-$F$33,0)+IF(BN$57=$C$45,INDEX($G65:$I65,1,MATCH('INVESTOR REPORT'!$I$3,{"Downside","Base","Upside"},0)),0)</f>
        <v>0</v>
      </c>
      <c r="BO65">
        <f>IF(BO$57=$C$43,-SUM($D$33:$E$33),0)+IF(BO$57=$C$44,-$F$33,0)+IF(BO$57=$C$45,INDEX($G65:$I65,1,MATCH('INVESTOR REPORT'!$I$3,{"Downside","Base","Upside"},0)),0)</f>
        <v>0</v>
      </c>
      <c r="BP65">
        <f>IF(BP$57=$C$43,-SUM($D$33:$E$33),0)+IF(BP$57=$C$44,-$F$33,0)+IF(BP$57=$C$45,INDEX($G65:$I65,1,MATCH('INVESTOR REPORT'!$I$3,{"Downside","Base","Upside"},0)),0)</f>
        <v>0</v>
      </c>
      <c r="BQ65">
        <f>IF(BQ$57=$C$43,-SUM($D$33:$E$33),0)+IF(BQ$57=$C$44,-$F$33,0)+IF(BQ$57=$C$45,INDEX($G65:$I65,1,MATCH('INVESTOR REPORT'!$I$3,{"Downside","Base","Upside"},0)),0)</f>
        <v>0</v>
      </c>
      <c r="BR65">
        <f>IF(BR$57=$C$43,-SUM($D$33:$E$33),0)+IF(BR$57=$C$44,-$F$33,0)+IF(BR$57=$C$45,INDEX($G65:$I65,1,MATCH('INVESTOR REPORT'!$I$3,{"Downside","Base","Upside"},0)),0)</f>
        <v>0</v>
      </c>
      <c r="BS65">
        <f>IF(BS$57=$C$43,-SUM($D$33:$E$33),0)+IF(BS$57=$C$44,-$F$33,0)+IF(BS$57=$C$45,INDEX($G65:$I65,1,MATCH('INVESTOR REPORT'!$I$3,{"Downside","Base","Upside"},0)),0)</f>
        <v>0</v>
      </c>
      <c r="BT65">
        <f>IF(BT$57=$C$43,-SUM($D$33:$E$33),0)+IF(BT$57=$C$44,-$F$33,0)+IF(BT$57=$C$45,INDEX($G65:$I65,1,MATCH('INVESTOR REPORT'!$I$3,{"Downside","Base","Upside"},0)),0)</f>
        <v>0</v>
      </c>
      <c r="BU65">
        <f>IF(BU$57=$C$43,-SUM($D$33:$E$33),0)+IF(BU$57=$C$44,-$F$33,0)+IF(BU$57=$C$45,INDEX($G65:$I65,1,MATCH('INVESTOR REPORT'!$I$3,{"Downside","Base","Upside"},0)),0)</f>
        <v>0</v>
      </c>
      <c r="BV65">
        <f>IF(BV$57=$C$43,-SUM($D$33:$E$33),0)+IF(BV$57=$C$44,-$F$33,0)+IF(BV$57=$C$45,INDEX($G65:$I65,1,MATCH('INVESTOR REPORT'!$I$3,{"Downside","Base","Upside"},0)),0)</f>
        <v>0</v>
      </c>
      <c r="BW65">
        <f>IF(BW$57=$C$43,-SUM($D$33:$E$33),0)+IF(BW$57=$C$44,-$F$33,0)+IF(BW$57=$C$45,INDEX($G65:$I65,1,MATCH('INVESTOR REPORT'!$I$3,{"Downside","Base","Upside"},0)),0)</f>
        <v>0</v>
      </c>
      <c r="BX65">
        <f>IF(BX$57=$C$43,-SUM($D$33:$E$33),0)+IF(BX$57=$C$44,-$F$33,0)+IF(BX$57=$C$45,INDEX($G65:$I65,1,MATCH('INVESTOR REPORT'!$I$3,{"Downside","Base","Upside"},0)),0)</f>
        <v>0</v>
      </c>
      <c r="BY65">
        <f>IF(BY$57=$C$43,-SUM($D$33:$E$33),0)+IF(BY$57=$C$44,-$F$33,0)+IF(BY$57=$C$45,INDEX($G65:$I65,1,MATCH('INVESTOR REPORT'!$I$3,{"Downside","Base","Upside"},0)),0)</f>
        <v>0</v>
      </c>
      <c r="BZ65">
        <f>IF(BZ$57=$C$43,-SUM($D$33:$E$33),0)+IF(BZ$57=$C$44,-$F$33,0)+IF(BZ$57=$C$45,INDEX($G65:$I65,1,MATCH('INVESTOR REPORT'!$I$3,{"Downside","Base","Upside"},0)),0)</f>
        <v>0</v>
      </c>
      <c r="CA65">
        <f>IF(CA$57=$C$43,-SUM($D$33:$E$33),0)+IF(CA$57=$C$44,-$F$33,0)+IF(CA$57=$C$45,INDEX($G65:$I65,1,MATCH('INVESTOR REPORT'!$I$3,{"Downside","Base","Upside"},0)),0)</f>
        <v>0</v>
      </c>
      <c r="CB65">
        <f>IF(CB$57=$C$43,-SUM($D$33:$E$33),0)+IF(CB$57=$C$44,-$F$33,0)+IF(CB$57=$C$45,INDEX($G65:$I65,1,MATCH('INVESTOR REPORT'!$I$3,{"Downside","Base","Upside"},0)),0)</f>
        <v>0</v>
      </c>
      <c r="CC65">
        <f>IF(CC$57=$C$43,-SUM($D$33:$E$33),0)+IF(CC$57=$C$44,-$F$33,0)+IF(CC$57=$C$45,INDEX($G65:$I65,1,MATCH('INVESTOR REPORT'!$I$3,{"Downside","Base","Upside"},0)),0)</f>
        <v>0</v>
      </c>
      <c r="CD65">
        <f>IF(CD$57=$C$43,-SUM($D$33:$E$33),0)+IF(CD$57=$C$44,-$F$33,0)+IF(CD$57=$C$45,INDEX($G65:$I65,1,MATCH('INVESTOR REPORT'!$I$3,{"Downside","Base","Upside"},0)),0)</f>
        <v>0</v>
      </c>
      <c r="CE65">
        <f>IF(CE$57=$C$43,-SUM($D$33:$E$33),0)+IF(CE$57=$C$44,-$F$33,0)+IF(CE$57=$C$45,INDEX($G65:$I65,1,MATCH('INVESTOR REPORT'!$I$3,{"Downside","Base","Upside"},0)),0)</f>
        <v>0</v>
      </c>
      <c r="CF65">
        <f>IF(CF$57=$C$43,-SUM($D$33:$E$33),0)+IF(CF$57=$C$44,-$F$33,0)+IF(CF$57=$C$45,INDEX($G65:$I65,1,MATCH('INVESTOR REPORT'!$I$3,{"Downside","Base","Upside"},0)),0)</f>
        <v>0</v>
      </c>
      <c r="CG65">
        <f>IF(CG$57=$C$43,-SUM($D$33:$E$33),0)+IF(CG$57=$C$44,-$F$33,0)+IF(CG$57=$C$45,INDEX($G65:$I65,1,MATCH('INVESTOR REPORT'!$I$3,{"Downside","Base","Upside"},0)),0)</f>
        <v>0</v>
      </c>
      <c r="CH65">
        <f>IF(CH$57=$C$43,-SUM($D$33:$E$33),0)+IF(CH$57=$C$44,-$F$33,0)+IF(CH$57=$C$45,INDEX($G65:$I65,1,MATCH('INVESTOR REPORT'!$I$3,{"Downside","Base","Upside"},0)),0)</f>
        <v>0</v>
      </c>
      <c r="CI65">
        <f>IF(CI$57=$C$43,-SUM($D$33:$E$33),0)+IF(CI$57=$C$44,-$F$33,0)+IF(CI$57=$C$45,INDEX($G65:$I65,1,MATCH('INVESTOR REPORT'!$I$3,{"Downside","Base","Upside"},0)),0)</f>
        <v>0</v>
      </c>
      <c r="CJ65">
        <f>IF(CJ$57=$C$43,-SUM($D$33:$E$33),0)+IF(CJ$57=$C$44,-$F$33,0)+IF(CJ$57=$C$45,INDEX($G65:$I65,1,MATCH('INVESTOR REPORT'!$I$3,{"Downside","Base","Upside"},0)),0)</f>
        <v>0</v>
      </c>
      <c r="CK65">
        <f>IF(CK$57=$C$43,-SUM($D$33:$E$33),0)+IF(CK$57=$C$44,-$F$33,0)+IF(CK$57=$C$45,INDEX($G65:$I65,1,MATCH('INVESTOR REPORT'!$I$3,{"Downside","Base","Upside"},0)),0)</f>
        <v>0</v>
      </c>
      <c r="CL65">
        <f>IF(CL$57=$C$43,-SUM($D$33:$E$33),0)+IF(CL$57=$C$44,-$F$33,0)+IF(CL$57=$C$45,INDEX($G65:$I65,1,MATCH('INVESTOR REPORT'!$I$3,{"Downside","Base","Upside"},0)),0)</f>
        <v>0</v>
      </c>
      <c r="CM65">
        <f>IF(CM$57=$C$43,-SUM($D$33:$E$33),0)+IF(CM$57=$C$44,-$F$33,0)+IF(CM$57=$C$45,INDEX($G65:$I65,1,MATCH('INVESTOR REPORT'!$I$3,{"Downside","Base","Upside"},0)),0)</f>
        <v>0</v>
      </c>
      <c r="CN65">
        <f>IF(CN$57=$C$43,-SUM($D$33:$E$33),0)+IF(CN$57=$C$44,-$F$33,0)+IF(CN$57=$C$45,INDEX($G65:$I65,1,MATCH('INVESTOR REPORT'!$I$3,{"Downside","Base","Upside"},0)),0)</f>
        <v>0</v>
      </c>
      <c r="CO65">
        <f>IF(CO$57=$C$43,-SUM($D$33:$E$33),0)+IF(CO$57=$C$44,-$F$33,0)+IF(CO$57=$C$45,INDEX($G65:$I65,1,MATCH('INVESTOR REPORT'!$I$3,{"Downside","Base","Upside"},0)),0)</f>
        <v>263.37383930765623</v>
      </c>
      <c r="CQ65" s="307" t="str">
        <f>$B$61</f>
        <v>Belgravia</v>
      </c>
      <c r="CR65" s="598">
        <f>$C$61</f>
        <v>2</v>
      </c>
      <c r="CS65" s="601">
        <f>$E$29</f>
        <v>0</v>
      </c>
      <c r="CT65" s="600">
        <f>$D$61</f>
        <v>9.2737315664118934E-3</v>
      </c>
      <c r="CU65" s="600">
        <f>$E$61</f>
        <v>9.2737315664118934E-3</v>
      </c>
      <c r="CV65" s="598">
        <f>0</f>
        <v>0</v>
      </c>
      <c r="CW65" s="598">
        <f>$F$61</f>
        <v>1.840913964280775</v>
      </c>
      <c r="CX65" s="598">
        <f>INDEX($G$61:$I$61,1,MATCH($CR$7,$CQ$75:$CQ$77,0))</f>
        <v>3.9956005424984187</v>
      </c>
      <c r="CY65" s="598">
        <f t="shared" si="33"/>
        <v>1.9956005424984187</v>
      </c>
      <c r="CZ65" s="600">
        <f t="shared" si="34"/>
        <v>0.14835851331975047</v>
      </c>
      <c r="DA65" s="600">
        <f>INDEX($L$61:$N$61,1,MATCH($CR$7,$CQ$75:$CQ$77,0))</f>
        <v>0.14835851788520818</v>
      </c>
      <c r="DB65" s="598">
        <f>IF($CR$7="Downside",XNPV($CR$8,$AA$61:$AC$61,$AA$57:$AC$57),IF($CR$7="Base",XNPV($CR$8,$AD$61:$AF$61,$AD$57:$AF$57),XNPV($CR$8,$GJ$61:$GL$61,$GJ$57:$GL$57)))</f>
        <v>0.71876527329203777</v>
      </c>
      <c r="DC65" s="599">
        <f t="shared" si="35"/>
        <v>1.9978002712492093</v>
      </c>
      <c r="DD65" s="606">
        <f>$P$61</f>
        <v>60</v>
      </c>
      <c r="GJ65" s="595">
        <f>-SUM($D$33:$E$33)</f>
        <v>-131.83191688274752</v>
      </c>
      <c r="GK65" s="595">
        <f>-$F$33</f>
        <v>0</v>
      </c>
      <c r="GL65" s="605">
        <f t="shared" si="32"/>
        <v>296.20418778051663</v>
      </c>
    </row>
    <row r="66" spans="1:194" hidden="1" x14ac:dyDescent="0.35">
      <c r="B66" s="661"/>
      <c r="C66" s="661"/>
      <c r="D66" s="661"/>
      <c r="E66" s="661"/>
      <c r="F66" s="661"/>
      <c r="G66" s="661"/>
      <c r="H66" s="661"/>
      <c r="I66" s="661"/>
      <c r="J66" s="661"/>
      <c r="K66" s="661"/>
      <c r="L66" s="661"/>
      <c r="M66" s="661"/>
      <c r="N66" s="661"/>
      <c r="O66" s="661"/>
      <c r="P66" s="662"/>
      <c r="X66" s="595">
        <f t="shared" ref="X66:BC66" si="36">SUM(X58:X65)</f>
        <v>-215.66291688274751</v>
      </c>
      <c r="Y66" s="595">
        <f t="shared" si="36"/>
        <v>0</v>
      </c>
      <c r="Z66" s="605">
        <f t="shared" si="36"/>
        <v>384.60294286371885</v>
      </c>
      <c r="AA66" s="595">
        <f t="shared" ref="AA66:AF66" si="37">SUM(AA58:AA65)</f>
        <v>-215.66291688274751</v>
      </c>
      <c r="AB66" s="595">
        <f t="shared" si="37"/>
        <v>0</v>
      </c>
      <c r="AC66" s="605">
        <f t="shared" si="37"/>
        <v>384.60294286371885</v>
      </c>
      <c r="AD66" s="595">
        <f t="shared" si="37"/>
        <v>-215.66291688274751</v>
      </c>
      <c r="AE66" s="595">
        <f t="shared" si="37"/>
        <v>0</v>
      </c>
      <c r="AF66" s="605">
        <f t="shared" si="37"/>
        <v>430.85143384674871</v>
      </c>
      <c r="AG66">
        <f t="shared" si="36"/>
        <v>-215.66291688274751</v>
      </c>
      <c r="AH66">
        <f t="shared" si="36"/>
        <v>0</v>
      </c>
      <c r="AI66">
        <f t="shared" si="36"/>
        <v>0</v>
      </c>
      <c r="AJ66">
        <f t="shared" si="36"/>
        <v>0</v>
      </c>
      <c r="AK66">
        <f t="shared" si="36"/>
        <v>0</v>
      </c>
      <c r="AL66">
        <f t="shared" si="36"/>
        <v>0</v>
      </c>
      <c r="AM66">
        <f t="shared" si="36"/>
        <v>0</v>
      </c>
      <c r="AN66">
        <f t="shared" si="36"/>
        <v>0</v>
      </c>
      <c r="AO66">
        <f t="shared" si="36"/>
        <v>0</v>
      </c>
      <c r="AP66">
        <f t="shared" si="36"/>
        <v>0</v>
      </c>
      <c r="AQ66">
        <f t="shared" si="36"/>
        <v>0</v>
      </c>
      <c r="AR66">
        <f t="shared" si="36"/>
        <v>0</v>
      </c>
      <c r="AS66">
        <f t="shared" si="36"/>
        <v>0</v>
      </c>
      <c r="AT66">
        <f t="shared" si="36"/>
        <v>0</v>
      </c>
      <c r="AU66">
        <f t="shared" si="36"/>
        <v>0</v>
      </c>
      <c r="AV66">
        <f t="shared" si="36"/>
        <v>0</v>
      </c>
      <c r="AW66">
        <f t="shared" si="36"/>
        <v>0</v>
      </c>
      <c r="AX66">
        <f t="shared" si="36"/>
        <v>0</v>
      </c>
      <c r="AY66">
        <f t="shared" si="36"/>
        <v>0</v>
      </c>
      <c r="AZ66">
        <f t="shared" si="36"/>
        <v>0</v>
      </c>
      <c r="BA66">
        <f t="shared" si="36"/>
        <v>0</v>
      </c>
      <c r="BB66">
        <f t="shared" si="36"/>
        <v>0</v>
      </c>
      <c r="BC66">
        <f t="shared" si="36"/>
        <v>0</v>
      </c>
      <c r="BD66">
        <f t="shared" ref="BD66:CI66" si="38">SUM(BD58:BD65)</f>
        <v>0</v>
      </c>
      <c r="BE66">
        <f t="shared" si="38"/>
        <v>0</v>
      </c>
      <c r="BF66">
        <f t="shared" si="38"/>
        <v>0</v>
      </c>
      <c r="BG66">
        <f t="shared" si="38"/>
        <v>0</v>
      </c>
      <c r="BH66">
        <f t="shared" si="38"/>
        <v>0</v>
      </c>
      <c r="BI66">
        <f t="shared" si="38"/>
        <v>0</v>
      </c>
      <c r="BJ66">
        <f t="shared" si="38"/>
        <v>0</v>
      </c>
      <c r="BK66">
        <f t="shared" si="38"/>
        <v>0</v>
      </c>
      <c r="BL66">
        <f t="shared" si="38"/>
        <v>0</v>
      </c>
      <c r="BM66">
        <f t="shared" si="38"/>
        <v>0</v>
      </c>
      <c r="BN66">
        <f t="shared" si="38"/>
        <v>0</v>
      </c>
      <c r="BO66">
        <f t="shared" si="38"/>
        <v>0</v>
      </c>
      <c r="BP66">
        <f t="shared" si="38"/>
        <v>0</v>
      </c>
      <c r="BQ66">
        <f t="shared" si="38"/>
        <v>0</v>
      </c>
      <c r="BR66">
        <f t="shared" si="38"/>
        <v>0</v>
      </c>
      <c r="BS66">
        <f t="shared" si="38"/>
        <v>0</v>
      </c>
      <c r="BT66">
        <f t="shared" si="38"/>
        <v>0</v>
      </c>
      <c r="BU66">
        <f t="shared" si="38"/>
        <v>0</v>
      </c>
      <c r="BV66">
        <f t="shared" si="38"/>
        <v>0</v>
      </c>
      <c r="BW66">
        <f t="shared" si="38"/>
        <v>0</v>
      </c>
      <c r="BX66">
        <f t="shared" si="38"/>
        <v>0</v>
      </c>
      <c r="BY66">
        <f t="shared" si="38"/>
        <v>0</v>
      </c>
      <c r="BZ66">
        <f t="shared" si="38"/>
        <v>0</v>
      </c>
      <c r="CA66">
        <f t="shared" si="38"/>
        <v>0</v>
      </c>
      <c r="CB66">
        <f t="shared" si="38"/>
        <v>0</v>
      </c>
      <c r="CC66">
        <f t="shared" si="38"/>
        <v>0</v>
      </c>
      <c r="CD66">
        <f t="shared" si="38"/>
        <v>0</v>
      </c>
      <c r="CE66">
        <f t="shared" si="38"/>
        <v>0</v>
      </c>
      <c r="CF66">
        <f t="shared" si="38"/>
        <v>0</v>
      </c>
      <c r="CG66">
        <f t="shared" si="38"/>
        <v>0</v>
      </c>
      <c r="CH66">
        <f t="shared" si="38"/>
        <v>0</v>
      </c>
      <c r="CI66">
        <f t="shared" si="38"/>
        <v>0</v>
      </c>
      <c r="CJ66">
        <f t="shared" ref="CJ66:CO66" si="39">SUM(CJ58:CJ65)</f>
        <v>0</v>
      </c>
      <c r="CK66">
        <f t="shared" si="39"/>
        <v>0</v>
      </c>
      <c r="CL66">
        <f t="shared" si="39"/>
        <v>0</v>
      </c>
      <c r="CM66">
        <f t="shared" si="39"/>
        <v>0</v>
      </c>
      <c r="CN66">
        <f t="shared" si="39"/>
        <v>0</v>
      </c>
      <c r="CO66">
        <f t="shared" si="39"/>
        <v>430.85143384674871</v>
      </c>
      <c r="CQ66" s="307" t="str">
        <f>$B$62</f>
        <v>Other Investors</v>
      </c>
      <c r="CR66" s="598">
        <f>$C$62</f>
        <v>1</v>
      </c>
      <c r="CS66" s="601">
        <f>$E$30</f>
        <v>0</v>
      </c>
      <c r="CT66" s="600">
        <f>$D$62</f>
        <v>4.6368657832059467E-3</v>
      </c>
      <c r="CU66" s="600">
        <f>$E$62</f>
        <v>4.6368657832059467E-3</v>
      </c>
      <c r="CV66" s="598">
        <f>0</f>
        <v>0</v>
      </c>
      <c r="CW66" s="598">
        <f>$F$62</f>
        <v>0.92045698214038751</v>
      </c>
      <c r="CX66" s="598">
        <f>INDEX($G$62:$I$62,1,MATCH($CR$7,$CQ$75:$CQ$77,0))</f>
        <v>1.9978002712492093</v>
      </c>
      <c r="CY66" s="598">
        <f t="shared" si="33"/>
        <v>0.99780027124920934</v>
      </c>
      <c r="CZ66" s="600">
        <f t="shared" si="34"/>
        <v>0.14835851331975047</v>
      </c>
      <c r="DA66" s="600">
        <f>INDEX($L$62:$N$62,1,MATCH($CR$7,$CQ$75:$CQ$77,0))</f>
        <v>0.14835851788520818</v>
      </c>
      <c r="DB66" s="598">
        <f>IF($CR$7="Downside",XNPV($CR$8,$AA$62:$AC$62,$AA$57:$AC$57),IF($CR$7="Base",XNPV($CR$8,$AD$62:$AF$62,$AD$57:$AF$57),XNPV($CR$8,$GJ$62:$GL$62,$GJ$57:$GL$57)))</f>
        <v>0.35938263664601888</v>
      </c>
      <c r="DC66" s="599">
        <f t="shared" si="35"/>
        <v>1.9978002712492093</v>
      </c>
      <c r="DD66" s="606">
        <f>$P$62</f>
        <v>60</v>
      </c>
      <c r="DE66" s="307"/>
      <c r="DF66" s="309"/>
      <c r="DG66" s="310"/>
      <c r="DH66" s="312"/>
      <c r="DI66" s="312"/>
      <c r="DJ66" s="309"/>
      <c r="DK66" s="309"/>
      <c r="DL66" s="309"/>
      <c r="GJ66" s="595">
        <f>SUM(GJ58:GJ65)</f>
        <v>-215.66291688274751</v>
      </c>
      <c r="GK66" s="595">
        <f>SUM(GK58:GK65)</f>
        <v>0</v>
      </c>
      <c r="GL66" s="605">
        <f>SUM(GL58:GL65)</f>
        <v>484.55837281382298</v>
      </c>
    </row>
    <row r="67" spans="1:194" hidden="1" x14ac:dyDescent="0.35">
      <c r="B67" s="661"/>
      <c r="C67" s="661"/>
      <c r="D67" s="661"/>
      <c r="E67" s="661"/>
      <c r="F67" s="661"/>
      <c r="G67" s="661"/>
      <c r="H67" s="661"/>
      <c r="I67" s="661"/>
      <c r="J67" s="661"/>
      <c r="K67" s="661"/>
      <c r="L67" s="661"/>
      <c r="M67" s="661"/>
      <c r="N67" s="661"/>
      <c r="O67" s="661"/>
      <c r="P67" s="662"/>
      <c r="CQ67" s="307" t="str">
        <f>$B$63</f>
        <v>Andrew Norton &amp; others</v>
      </c>
      <c r="CR67" s="598">
        <f>$C$63</f>
        <v>0.83</v>
      </c>
      <c r="CS67" s="601">
        <f>$E$31</f>
        <v>0</v>
      </c>
      <c r="CT67" s="600">
        <f>$D$63</f>
        <v>3.8485986000609354E-3</v>
      </c>
      <c r="CU67" s="600">
        <f>$E$63</f>
        <v>3.8485986000609354E-3</v>
      </c>
      <c r="CV67" s="598">
        <f>0</f>
        <v>0</v>
      </c>
      <c r="CW67" s="598">
        <f>$F$63</f>
        <v>0.76397929517652163</v>
      </c>
      <c r="CX67" s="598">
        <f>INDEX($G$63:$I$63,1,MATCH($CR$7,$CQ$75:$CQ$77,0))</f>
        <v>1.6581742251368436</v>
      </c>
      <c r="CY67" s="598">
        <f t="shared" si="33"/>
        <v>0.82817422513684369</v>
      </c>
      <c r="CZ67" s="600">
        <f t="shared" si="34"/>
        <v>0.14835851331975047</v>
      </c>
      <c r="DA67" s="600">
        <f>INDEX($L$63:$N$63,1,MATCH($CR$7,$CQ$75:$CQ$77,0))</f>
        <v>0.14835851788520818</v>
      </c>
      <c r="DB67" s="598">
        <f>IF($CR$7="Downside",XNPV($CR$8,$AA$63:$AC$63,$AA$57:$AC$57),IF($CR$7="Base",XNPV($CR$8,$AD$63:$AF$63,$AD$57:$AF$57),XNPV($CR$8,$GJ$63:$GL$63,$GJ$57:$GL$57)))</f>
        <v>0.29828758841619563</v>
      </c>
      <c r="DC67" s="599">
        <f t="shared" si="35"/>
        <v>1.9978002712492093</v>
      </c>
      <c r="DD67" s="606">
        <f>$P$63</f>
        <v>60</v>
      </c>
    </row>
    <row r="68" spans="1:194" hidden="1" x14ac:dyDescent="0.35">
      <c r="B68" s="661"/>
      <c r="C68" s="661"/>
      <c r="D68" s="661"/>
      <c r="E68" s="661"/>
      <c r="F68" s="661"/>
      <c r="G68" s="661"/>
      <c r="H68" s="661"/>
      <c r="I68" s="661"/>
      <c r="J68" s="661"/>
      <c r="K68" s="661"/>
      <c r="L68" s="661"/>
      <c r="M68" s="661"/>
      <c r="N68" s="661"/>
      <c r="O68" s="661"/>
      <c r="P68" s="662"/>
      <c r="X68" s="607">
        <f>$C$43</f>
        <v>46204</v>
      </c>
      <c r="Y68" s="607">
        <f>$C$44</f>
        <v>46478</v>
      </c>
      <c r="Z68" s="607">
        <f>$C$45</f>
        <v>48030</v>
      </c>
      <c r="CQ68" s="307" t="str">
        <f>$B$64</f>
        <v>Australian Institutional Investors</v>
      </c>
      <c r="CR68" s="598">
        <f>$C$64</f>
        <v>50</v>
      </c>
      <c r="CS68" s="601">
        <f>$E$32</f>
        <v>0</v>
      </c>
      <c r="CT68" s="600">
        <f>$D$64</f>
        <v>0.23184328916029734</v>
      </c>
      <c r="CU68" s="600">
        <f>$E$64</f>
        <v>0.23184328916029734</v>
      </c>
      <c r="CV68" s="598">
        <f>0</f>
        <v>0</v>
      </c>
      <c r="CW68" s="598">
        <f>$F$64</f>
        <v>46.022849107019375</v>
      </c>
      <c r="CX68" s="598">
        <f>INDEX($G$64:$I$64,1,MATCH($CR$7,$CQ$75:$CQ$77,0))</f>
        <v>99.890013562460467</v>
      </c>
      <c r="CY68" s="598">
        <f t="shared" si="33"/>
        <v>49.890013562460467</v>
      </c>
      <c r="CZ68" s="600">
        <f t="shared" si="34"/>
        <v>0.14835851331975047</v>
      </c>
      <c r="DA68" s="600">
        <f>INDEX($L$64:$N$64,1,MATCH($CR$7,$CQ$75:$CQ$77,0))</f>
        <v>0.14835851788520818</v>
      </c>
      <c r="DB68" s="598">
        <f>IF($CR$7="Downside",XNPV($CR$8,$AA$64:$AC$64,$AA$57:$AC$57),IF($CR$7="Base",XNPV($CR$8,$AD$64:$AF$64,$AD$57:$AF$57),XNPV($CR$8,$GJ$64:$GL$64,$GJ$57:$GL$57)))</f>
        <v>17.969131832300945</v>
      </c>
      <c r="DC68" s="599">
        <f t="shared" si="35"/>
        <v>1.9978002712492093</v>
      </c>
      <c r="DD68" s="606">
        <f>$P$64</f>
        <v>60</v>
      </c>
    </row>
    <row r="69" spans="1:194" hidden="1" x14ac:dyDescent="0.35">
      <c r="B69" s="661"/>
      <c r="C69" s="661"/>
      <c r="D69" s="661"/>
      <c r="E69" s="661"/>
      <c r="F69" s="661"/>
      <c r="G69" s="661"/>
      <c r="H69" s="661"/>
      <c r="I69" s="661"/>
      <c r="J69" s="661"/>
      <c r="K69" s="661"/>
      <c r="L69" s="661"/>
      <c r="M69" s="661"/>
      <c r="N69" s="661"/>
      <c r="O69" s="661"/>
      <c r="P69" s="662"/>
      <c r="X69">
        <f>-SUM(INDEX($D$26:$D$33,MATCH('INVESTOR REPORT'!$C$3,$B$26:$B$33,0)),INDEX($E$26:$E$33,MATCH('INVESTOR REPORT'!$C$3,$B$26:$B$33,0)))</f>
        <v>-5</v>
      </c>
      <c r="Y69">
        <f>-INDEX($F$26:$F$33,MATCH('INVESTOR REPORT'!$C$3,$B$26:$B$33,0))</f>
        <v>0</v>
      </c>
      <c r="Z69">
        <f>INDEX($J$26:$J$33,MATCH('INVESTOR REPORT'!$C$3,$B$26:$B$33,0))*0.8</f>
        <v>7.9912010849968373</v>
      </c>
      <c r="CQ69" s="307" t="str">
        <f>$B$65</f>
        <v>MASTER DEVELOPER</v>
      </c>
      <c r="CR69" s="598">
        <f>$C$65</f>
        <v>131.83191688274752</v>
      </c>
      <c r="CS69" s="601">
        <f>$E$33</f>
        <v>0</v>
      </c>
      <c r="CT69" s="600">
        <f>$D$65</f>
        <v>0.61128690452806234</v>
      </c>
      <c r="CU69" s="600">
        <f>$E$65</f>
        <v>0.61128690452806234</v>
      </c>
      <c r="CV69" s="598">
        <f>0</f>
        <v>0</v>
      </c>
      <c r="CW69" s="598">
        <f>$F$65</f>
        <v>121.34560836367619</v>
      </c>
      <c r="CX69" s="598">
        <f>INDEX($G$65:$I$65,1,MATCH($CR$7,$CQ$75:$CQ$77,0))</f>
        <v>263.37383930765623</v>
      </c>
      <c r="CY69" s="598">
        <f t="shared" si="33"/>
        <v>131.54192242490871</v>
      </c>
      <c r="CZ69" s="600">
        <f t="shared" si="34"/>
        <v>0.14835851331975047</v>
      </c>
      <c r="DA69" s="600">
        <f>INDEX($L$65:$N$65,1,MATCH($CR$7,$CQ$75:$CQ$77,0))</f>
        <v>0.14835851788520818</v>
      </c>
      <c r="DB69" s="598">
        <f>IF($CR$7="Downside",XNPV($CR$8,$AA$65:$AC$65,$AA$57:$AC$57),IF($CR$7="Base",XNPV($CR$8,$AD$65:$AF$65,$AD$57:$AF$57),XNPV($CR$8,$GJ$65:$GL$65,$GJ$57:$GL$57)))</f>
        <v>47.378101883420612</v>
      </c>
      <c r="DC69" s="599">
        <f t="shared" si="35"/>
        <v>1.9978002712492093</v>
      </c>
      <c r="DD69" s="606">
        <f>$P$65</f>
        <v>60</v>
      </c>
    </row>
    <row r="70" spans="1:194" hidden="1" x14ac:dyDescent="0.35">
      <c r="B70" s="661"/>
      <c r="C70" s="661"/>
      <c r="D70" s="661"/>
      <c r="E70" s="661"/>
      <c r="F70" s="661"/>
      <c r="G70" s="661"/>
      <c r="H70" s="661"/>
      <c r="I70" s="661"/>
      <c r="J70" s="661"/>
      <c r="K70" s="661"/>
      <c r="L70" s="661"/>
      <c r="M70" s="661"/>
      <c r="N70" s="661"/>
      <c r="O70" s="661"/>
      <c r="P70" s="662"/>
      <c r="X70">
        <f>-SUM(INDEX($D$26:$D$33,MATCH('INVESTOR REPORT'!$C$3,$B$26:$B$33,0)),INDEX($E$26:$E$33,MATCH('INVESTOR REPORT'!$C$3,$B$26:$B$33,0)))</f>
        <v>-5</v>
      </c>
      <c r="Y70">
        <f>-INDEX($F$26:$F$33,MATCH('INVESTOR REPORT'!$C$3,$B$26:$B$33,0))</f>
        <v>0</v>
      </c>
      <c r="Z70">
        <f>INDEX($J$26:$J$33,MATCH('INVESTOR REPORT'!$C$3,$B$26:$B$33,0))*0.9</f>
        <v>8.9901012206214421</v>
      </c>
      <c r="CQ70" s="305" t="str">
        <f>"TOTAL NAMED INVESTORS"</f>
        <v>TOTAL NAMED INVESTORS</v>
      </c>
      <c r="CR70" s="602">
        <f t="shared" ref="CR70:CX70" si="40">SUM(CR62:CR69)</f>
        <v>215.66291688274751</v>
      </c>
      <c r="CS70" s="602">
        <f t="shared" si="40"/>
        <v>0</v>
      </c>
      <c r="CT70" s="603">
        <f t="shared" si="40"/>
        <v>1</v>
      </c>
      <c r="CU70" s="603">
        <f t="shared" si="40"/>
        <v>1</v>
      </c>
      <c r="CV70" s="602">
        <f t="shared" si="40"/>
        <v>0</v>
      </c>
      <c r="CW70" s="602">
        <f t="shared" si="40"/>
        <v>198.50843763348701</v>
      </c>
      <c r="CX70" s="602">
        <f t="shared" si="40"/>
        <v>430.85143384674871</v>
      </c>
      <c r="CY70" s="602">
        <f t="shared" si="33"/>
        <v>215.1885169640012</v>
      </c>
      <c r="CZ70" s="604">
        <f t="shared" si="34"/>
        <v>0.14835851331975047</v>
      </c>
      <c r="DA70" s="604">
        <f>IF($CR$7="Downside",XIRR($AA$66:$AC$66,$AA$57:$AC$57),IF($CR$7="Base",XIRR($AD$66:$AF$66,$AD$57:$AF$57),XIRR($GJ$66:$GL$66,$GJ$57:$GL$57)))</f>
        <v>0.14835851788520818</v>
      </c>
      <c r="DB70" s="605">
        <f>IF($CR$7="Downside",XNPV($CR$8,$AA$66:$AC$66,$AA$57:$AC$57),IF($CR$7="Base",XNPV($CR$8,$AD$66:$AF$66,$AD$57:$AF$57),XNPV($CR$8,$GJ$66:$GL$66,$GJ$57:$GL$57)))</f>
        <v>77.505507696093076</v>
      </c>
      <c r="DC70" s="584">
        <f t="shared" si="35"/>
        <v>1.9978002712492096</v>
      </c>
      <c r="DD70" s="583" t="str">
        <f>"N/M"</f>
        <v>N/M</v>
      </c>
    </row>
    <row r="71" spans="1:194" ht="27" hidden="1" x14ac:dyDescent="0.35">
      <c r="B71" s="661"/>
      <c r="C71" s="661"/>
      <c r="D71" s="661"/>
      <c r="E71" s="661"/>
      <c r="F71" s="661"/>
      <c r="G71" s="661"/>
      <c r="H71" s="661"/>
      <c r="I71" s="661"/>
      <c r="J71" s="661"/>
      <c r="K71" s="661"/>
      <c r="L71" s="661"/>
      <c r="M71" s="661"/>
      <c r="N71" s="661"/>
      <c r="O71" s="661"/>
      <c r="P71" s="662"/>
      <c r="X71">
        <f>-SUM(INDEX($D$26:$D$33,MATCH('INVESTOR REPORT'!$C$3,$B$26:$B$33,0)),INDEX($E$26:$E$33,MATCH('INVESTOR REPORT'!$C$3,$B$26:$B$33,0)))</f>
        <v>-5</v>
      </c>
      <c r="Y71">
        <f>-INDEX($F$26:$F$33,MATCH('INVESTOR REPORT'!$C$3,$B$26:$B$33,0))</f>
        <v>0</v>
      </c>
      <c r="Z71">
        <f>INDEX($J$26:$J$33,MATCH('INVESTOR REPORT'!$C$3,$B$26:$B$33,0))*1</f>
        <v>9.989001356246046</v>
      </c>
      <c r="CQ71" s="306" t="s">
        <v>851</v>
      </c>
      <c r="CR71" s="306" t="s">
        <v>805</v>
      </c>
      <c r="CS71" s="306" t="s">
        <v>1026</v>
      </c>
      <c r="CT71" s="306" t="s">
        <v>996</v>
      </c>
      <c r="CU71" s="306" t="s">
        <v>997</v>
      </c>
      <c r="CV71" s="306" t="s">
        <v>1014</v>
      </c>
      <c r="CW71" s="306" t="s">
        <v>1027</v>
      </c>
      <c r="CX71" s="306" t="s">
        <v>1028</v>
      </c>
      <c r="CY71" s="306" t="s">
        <v>1029</v>
      </c>
      <c r="CZ71" s="306" t="s">
        <v>62</v>
      </c>
      <c r="DA71" s="306" t="s">
        <v>1018</v>
      </c>
      <c r="DB71" s="306" t="s">
        <v>1019</v>
      </c>
      <c r="DC71" s="306" t="s">
        <v>1020</v>
      </c>
      <c r="DD71" s="306" t="s">
        <v>1021</v>
      </c>
    </row>
    <row r="72" spans="1:194" hidden="1" x14ac:dyDescent="0.35">
      <c r="B72" s="661"/>
      <c r="C72" s="661"/>
      <c r="D72" s="661"/>
      <c r="E72" s="661"/>
      <c r="F72" s="661"/>
      <c r="G72" s="661"/>
      <c r="H72" s="661"/>
      <c r="I72" s="661"/>
      <c r="J72" s="661"/>
      <c r="K72" s="661"/>
      <c r="L72" s="661"/>
      <c r="M72" s="661"/>
      <c r="N72" s="661"/>
      <c r="O72" s="661"/>
      <c r="P72" s="662"/>
      <c r="X72">
        <f>-SUM(INDEX($D$26:$D$33,MATCH('INVESTOR REPORT'!$C$3,$B$26:$B$33,0)),INDEX($E$26:$E$33,MATCH('INVESTOR REPORT'!$C$3,$B$26:$B$33,0)))</f>
        <v>-5</v>
      </c>
      <c r="Y72">
        <f>-INDEX($F$26:$F$33,MATCH('INVESTOR REPORT'!$C$3,$B$26:$B$33,0))</f>
        <v>0</v>
      </c>
      <c r="Z72">
        <f>INDEX($J$26:$J$33,MATCH('INVESTOR REPORT'!$C$3,$B$26:$B$33,0))*1.1</f>
        <v>10.987901491870652</v>
      </c>
      <c r="CQ72" s="307" t="str">
        <f>$CR$17</f>
        <v>Brian Mirfin</v>
      </c>
      <c r="CR72" s="309" t="str">
        <f>$CR$7</f>
        <v>Base</v>
      </c>
      <c r="CS72" s="601">
        <f>INDEX($CR$62:$CR$69,MATCH($CR$17,$CQ$62:$CQ$69,0))</f>
        <v>5</v>
      </c>
      <c r="CT72" s="600">
        <f>INDEX($CT$62:$CT$69,MATCH($CR$17,$CQ$62:$CQ$69,0))</f>
        <v>2.3184328916029732E-2</v>
      </c>
      <c r="CU72" s="600">
        <f>INDEX($CU$62:$CU$69,MATCH($CR$17,$CQ$62:$CQ$69,0))</f>
        <v>2.3184328916029732E-2</v>
      </c>
      <c r="CV72" s="598">
        <f>INDEX($CV$62:$CV$69,MATCH($CR$17,$CQ$62:$CQ$69,0))</f>
        <v>0</v>
      </c>
      <c r="CW72" s="598">
        <f>INDEX($CW$62:$CW$69,MATCH($CR$17,$CQ$62:$CQ$69,0))</f>
        <v>4.602284910701937</v>
      </c>
      <c r="CX72" s="598">
        <f>INDEX($CX$62:$CX$69,MATCH($CR$17,$CQ$62:$CQ$69,0))</f>
        <v>9.989001356246046</v>
      </c>
      <c r="CY72" s="598">
        <f>INDEX($CY$62:$CY$69,MATCH($CR$17,$CQ$62:$CQ$69,0))</f>
        <v>4.989001356246046</v>
      </c>
      <c r="CZ72" s="600">
        <f>INDEX($CZ$62:$CZ$69,MATCH($CR$17,$CQ$62:$CQ$69,0))</f>
        <v>0.14835851331975025</v>
      </c>
      <c r="DA72" s="600">
        <f>INDEX($DA$62:$DA$69,MATCH($CR$17,$CQ$62:$CQ$69,0))</f>
        <v>0.14835851788520818</v>
      </c>
      <c r="DB72" s="598">
        <f>INDEX($DB$62:$DB$69,MATCH($CR$17,$CQ$62:$CQ$69,0))</f>
        <v>1.7969131832300942</v>
      </c>
      <c r="DC72" s="599">
        <f>INDEX($DC$62:$DC$69,MATCH($CR$17,$CQ$62:$CQ$69,0))</f>
        <v>1.9978002712492091</v>
      </c>
      <c r="DD72" s="606">
        <f>INDEX($DD$62:$DD$69,MATCH($CR$17,$CQ$62:$CQ$69,0))</f>
        <v>60</v>
      </c>
    </row>
    <row r="73" spans="1:194" hidden="1" x14ac:dyDescent="0.35">
      <c r="B73" s="661"/>
      <c r="C73" s="661"/>
      <c r="D73" s="661"/>
      <c r="E73" s="661"/>
      <c r="F73" s="661"/>
      <c r="G73" s="661"/>
      <c r="H73" s="661"/>
      <c r="I73" s="661"/>
      <c r="J73" s="661"/>
      <c r="K73" s="661"/>
      <c r="L73" s="661"/>
      <c r="M73" s="661"/>
      <c r="N73" s="661"/>
      <c r="O73" s="661"/>
      <c r="P73" s="662"/>
      <c r="X73">
        <f>-SUM(INDEX($D$26:$D$33,MATCH('INVESTOR REPORT'!$C$3,$B$26:$B$33,0)),INDEX($E$26:$E$33,MATCH('INVESTOR REPORT'!$C$3,$B$26:$B$33,0)))</f>
        <v>-5</v>
      </c>
      <c r="Y73">
        <f>-INDEX($F$26:$F$33,MATCH('INVESTOR REPORT'!$C$3,$B$26:$B$33,0))</f>
        <v>0</v>
      </c>
      <c r="Z73">
        <f>INDEX($J$26:$J$33,MATCH('INVESTOR REPORT'!$C$3,$B$26:$B$33,0))*1.2</f>
        <v>11.986801627495256</v>
      </c>
      <c r="CQ73" s="939" t="s">
        <v>1030</v>
      </c>
      <c r="CR73" s="937"/>
      <c r="CS73" s="937"/>
      <c r="CT73" s="937"/>
      <c r="CU73" s="937"/>
      <c r="CV73" s="937"/>
      <c r="CW73" s="937"/>
      <c r="CX73" s="937"/>
      <c r="CY73" s="937"/>
      <c r="CZ73" s="937"/>
      <c r="DA73" s="937"/>
      <c r="DB73" s="937"/>
      <c r="DC73" s="937"/>
      <c r="DD73" s="937"/>
      <c r="DE73" s="937"/>
      <c r="DF73" s="937"/>
      <c r="DG73" s="937"/>
      <c r="DH73" s="937"/>
      <c r="DI73" s="937"/>
      <c r="DJ73" s="937"/>
      <c r="DK73" s="937"/>
      <c r="DL73" s="937"/>
    </row>
    <row r="74" spans="1:194" ht="27" x14ac:dyDescent="0.35">
      <c r="B74" s="661"/>
      <c r="C74" s="661"/>
      <c r="D74" s="661"/>
      <c r="E74" s="661"/>
      <c r="F74" s="661"/>
      <c r="G74" s="661"/>
      <c r="H74" s="661"/>
      <c r="I74" s="661"/>
      <c r="J74" s="661"/>
      <c r="K74" s="661"/>
      <c r="L74" s="661"/>
      <c r="M74" s="661"/>
      <c r="N74" s="661"/>
      <c r="O74" s="661"/>
      <c r="P74" s="662"/>
      <c r="CQ74" s="306" t="s">
        <v>1031</v>
      </c>
      <c r="CR74" s="306" t="s">
        <v>1032</v>
      </c>
      <c r="CS74" s="306" t="s">
        <v>1033</v>
      </c>
      <c r="CT74" s="306" t="s">
        <v>1034</v>
      </c>
      <c r="CU74" s="306" t="s">
        <v>1035</v>
      </c>
      <c r="CV74" s="306" t="s">
        <v>1036</v>
      </c>
      <c r="CW74" s="306" t="s">
        <v>1037</v>
      </c>
      <c r="CX74" s="306" t="s">
        <v>936</v>
      </c>
      <c r="CY74" s="306" t="s">
        <v>961</v>
      </c>
      <c r="CZ74" s="306" t="s">
        <v>1038</v>
      </c>
      <c r="DA74" s="306" t="s">
        <v>948</v>
      </c>
      <c r="DB74" s="306" t="s">
        <v>974</v>
      </c>
      <c r="DC74" s="306" t="s">
        <v>813</v>
      </c>
      <c r="DD74" s="306" t="s">
        <v>1039</v>
      </c>
      <c r="DE74" s="306"/>
      <c r="DF74" s="306"/>
      <c r="DG74" s="306"/>
      <c r="DH74" s="306"/>
      <c r="DI74" s="306"/>
      <c r="DJ74" s="306"/>
      <c r="DK74" s="306"/>
      <c r="DL74" s="306"/>
    </row>
    <row r="75" spans="1:194" x14ac:dyDescent="0.35">
      <c r="B75" s="661"/>
      <c r="C75" s="661"/>
      <c r="D75" s="661"/>
      <c r="E75" s="661"/>
      <c r="F75" s="661"/>
      <c r="G75" s="661"/>
      <c r="H75" s="661"/>
      <c r="I75" s="661"/>
      <c r="J75" s="661"/>
      <c r="K75" s="661"/>
      <c r="L75" s="661"/>
      <c r="M75" s="661"/>
      <c r="N75" s="661"/>
      <c r="O75" s="661"/>
      <c r="P75" s="662"/>
      <c r="CQ75" s="307" t="s">
        <v>826</v>
      </c>
      <c r="CR75" s="312">
        <v>0.9</v>
      </c>
      <c r="CS75" s="309">
        <f>'VALUATION &amp; RETURNS'!$C$7*$CR75</f>
        <v>40.987729572656221</v>
      </c>
      <c r="CT75" s="312">
        <f>'VALUATION &amp; RETURNS'!$C$20</f>
        <v>7.2008196721311479E-2</v>
      </c>
      <c r="CU75" s="309">
        <f>'VALUATION &amp; RETURNS'!$D$20</f>
        <v>632.45469017442088</v>
      </c>
      <c r="CV75" s="309">
        <f>'VALUATION &amp; RETURNS'!$F$20</f>
        <v>619.80559637093245</v>
      </c>
      <c r="CW75" s="309">
        <f>'VALUATION &amp; RETURNS'!$H$20</f>
        <v>384.60294286371885</v>
      </c>
      <c r="CX75" s="312">
        <f>IF(AND(COUNTIF(DN24:GC24,"&lt;0")&gt;0,COUNTIF(DN24:GC24,"&gt;0")&gt;0),IFERROR(XIRR(DN24:GC24,DN10:GC10,-0.5),IFERROR(XIRR(DN24:GC24,DN10:GC10,-0.8),IFERROR(XIRR(DN24:GC24,DN10:GC10,0.1),"N/M"))),"N/M")</f>
        <v>2.7559450268745424E-2</v>
      </c>
      <c r="CY75" s="312">
        <f>IF(AND(COUNTIF(DN27:GC27,"&lt;0")&gt;0,COUNTIF(DN27:GC27,"&gt;0")&gt;0),IFERROR(XIRR(DN27:GC27,DN10:GC10,-0.5),IFERROR(XIRR(DN27:GC27,DN10:GC10,-0.8),IFERROR(XIRR(DN27:GC27,DN10:GC10,0.1),"N/M"))),"N/M")</f>
        <v>0.10781555771827697</v>
      </c>
      <c r="CZ75" s="312">
        <f>INDEX('VALUATION &amp; RETURNS'!$L$58:$L$65,MATCH($CR$17,'VALUATION &amp; RETURNS'!$B$58:$B$65,0))</f>
        <v>0.12258674502372741</v>
      </c>
      <c r="DA75" s="309">
        <f>IFERROR(XNPV($CR$8,DN24:GC24,DN10:GC10)/1000000,"")</f>
        <v>-85.619957794470722</v>
      </c>
      <c r="DB75" s="314">
        <f>IF(-SUMIF(DN27:GC27,"&lt;0")=0,"",SUMIF(DN27:GC27,"&gt;0")/-SUMIF(DN27:GC27,"&lt;0"))</f>
        <v>1.5737194695950751</v>
      </c>
      <c r="DC75" s="312">
        <f>IF($DA$15=0,"",($CV75-$DA$15)/$DA$15)</f>
        <v>0.38085425906191633</v>
      </c>
      <c r="DD75" s="309" t="s">
        <v>1040</v>
      </c>
      <c r="DE75" s="314">
        <f>XNPV(CR8,DN27:GC27,DN10:GC10)/1000000</f>
        <v>29.03518266884187</v>
      </c>
      <c r="DF75" s="312"/>
      <c r="DG75" s="309"/>
      <c r="DH75" s="314"/>
      <c r="DI75" s="312"/>
      <c r="DJ75" s="309"/>
      <c r="DK75" s="314"/>
      <c r="DL75" s="312"/>
    </row>
    <row r="76" spans="1:194" ht="28" customHeight="1" x14ac:dyDescent="0.35">
      <c r="B76" s="987" t="s">
        <v>1041</v>
      </c>
      <c r="C76" s="987"/>
      <c r="D76" s="987"/>
      <c r="E76" s="987"/>
      <c r="F76" s="987"/>
      <c r="G76" s="987"/>
      <c r="H76" s="987"/>
      <c r="I76" s="987"/>
      <c r="J76" s="987"/>
      <c r="K76" s="987"/>
      <c r="L76" s="987"/>
      <c r="M76" s="987"/>
      <c r="N76" s="987"/>
      <c r="O76" s="987"/>
      <c r="P76" s="988"/>
      <c r="CQ76" s="305" t="s">
        <v>830</v>
      </c>
      <c r="CR76" s="320">
        <v>1</v>
      </c>
      <c r="CS76" s="319">
        <f>'VALUATION &amp; RETURNS'!$C$7*$CR76</f>
        <v>45.541921747395797</v>
      </c>
      <c r="CT76" s="320">
        <f>'VALUATION &amp; RETURNS'!$C$21</f>
        <v>6.7008196721311475E-2</v>
      </c>
      <c r="CU76" s="319">
        <f>'VALUATION &amp; RETURNS'!$D$21</f>
        <v>679.64702791220634</v>
      </c>
      <c r="CV76" s="319">
        <f>'VALUATION &amp; RETURNS'!$F$21</f>
        <v>666.05408735396225</v>
      </c>
      <c r="CW76" s="319">
        <f>'VALUATION &amp; RETURNS'!$H$21</f>
        <v>430.85143384674865</v>
      </c>
      <c r="CX76" s="320">
        <f>IF(AND(COUNTIF(DN25:GC25,"&lt;0")&gt;0,COUNTIF(DN25:GC25,"&gt;0")&gt;0),IFERROR(XIRR(DN25:GC25,DN10:GC10,-0.5),IFERROR(XIRR(DN25:GC25,DN10:GC10,-0.8),IFERROR(XIRR(DN25:GC25,DN10:GC10,0.1),"N/M"))),"N/M")</f>
        <v>0.16702358126640318</v>
      </c>
      <c r="CY76" s="320">
        <f>IF(AND(COUNTIF(DN28:GC28,"&lt;0")&gt;0,COUNTIF(DN28:GC28,"&gt;0")&gt;0),IFERROR(XIRR(DN28:GC28,DN10:GC10,-0.5),IFERROR(XIRR(DN28:GC28,DN10:GC10,-0.8),IFERROR(XIRR(DN28:GC28,DN10:GC10,0.1),"N/M"))),"N/M")</f>
        <v>0.24535375237464904</v>
      </c>
      <c r="CZ76" s="320">
        <f>INDEX('VALUATION &amp; RETURNS'!$M$58:$M$65,MATCH($CR$17,'VALUATION &amp; RETURNS'!$B$58:$B$65,0))</f>
        <v>0.14835851788520818</v>
      </c>
      <c r="DA76" s="319">
        <f>IFERROR(XNPV($CR$8,DN25:GC25,DN10:GC10)/1000000,"")</f>
        <v>140.32462443242167</v>
      </c>
      <c r="DB76" s="321">
        <f>IF(-SUMIF(DN28:GC28,"&lt;0")=0,"",SUMIF(DN28:GC28,"&gt;0")/-SUMIF(DN28:GC28,"&lt;0"))</f>
        <v>2.3761097649026204</v>
      </c>
      <c r="DC76" s="320">
        <f>IF($DA$15=0,"",($CV76-$DA$15)/$DA$15)</f>
        <v>0.483890479004151</v>
      </c>
      <c r="DD76" s="319" t="s">
        <v>1040</v>
      </c>
      <c r="DE76" s="321">
        <f>XNPV(CR8,DN28:GC28,DN10:GC10)/1000000</f>
        <v>152.7174388918888</v>
      </c>
      <c r="DF76" s="320"/>
      <c r="DG76" s="319"/>
      <c r="DH76" s="321"/>
      <c r="DI76" s="320"/>
      <c r="DJ76" s="319"/>
      <c r="DK76" s="321"/>
      <c r="DL76" s="320"/>
    </row>
    <row r="77" spans="1:194" ht="32" customHeight="1" x14ac:dyDescent="0.35">
      <c r="B77" s="989" t="s">
        <v>1042</v>
      </c>
      <c r="C77" s="989"/>
      <c r="D77" s="989"/>
      <c r="E77" s="989"/>
      <c r="F77" s="989"/>
      <c r="G77" s="989"/>
      <c r="H77" s="989"/>
      <c r="I77" s="989"/>
      <c r="J77" s="989"/>
      <c r="K77" s="989"/>
      <c r="L77" s="989"/>
      <c r="M77" s="989"/>
      <c r="N77" s="989"/>
      <c r="O77" s="989"/>
      <c r="P77" s="989"/>
      <c r="CQ77" s="307" t="s">
        <v>834</v>
      </c>
      <c r="CR77" s="312">
        <v>1.1000000000000001</v>
      </c>
      <c r="CS77" s="309">
        <f>'VALUATION &amp; RETURNS'!$C$7*$CR77</f>
        <v>50.09611392213538</v>
      </c>
      <c r="CT77" s="312">
        <f>'VALUATION &amp; RETURNS'!$C$22</f>
        <v>6.2008196721311477E-2</v>
      </c>
      <c r="CU77" s="309">
        <f>'VALUATION &amp; RETURNS'!$D$22</f>
        <v>734.45002685820054</v>
      </c>
      <c r="CV77" s="309">
        <f>'VALUATION &amp; RETURNS'!$F$22</f>
        <v>719.76102632103652</v>
      </c>
      <c r="CW77" s="309">
        <f>'VALUATION &amp; RETURNS'!$H$22</f>
        <v>484.55837281382293</v>
      </c>
      <c r="CX77" s="312">
        <f>IF(AND(COUNTIF(DN26:GC26,"&lt;0")&gt;0,COUNTIF(DN26:GC26,"&gt;0")&gt;0),IFERROR(XIRR(DN26:GC26,DN10:GC10,-0.5),IFERROR(XIRR(DN26:GC26,DN10:GC10,-0.8),IFERROR(XIRR(DN26:GC26,DN10:GC10,0.1),"N/M"))),"N/M")</f>
        <v>0.21215710043907163</v>
      </c>
      <c r="CY77" s="312">
        <f>IF(AND(COUNTIF(DN29:GC29,"&lt;0")&gt;0,COUNTIF(DN29:GC29,"&gt;0")&gt;0),IFERROR(XIRR(DN29:GC29,DN10:GC10,-0.5),IFERROR(XIRR(DN29:GC29,DN10:GC10,-0.8),IFERROR(XIRR(DN29:GC29,DN10:GC10,0.1),"N/M"))),"N/M")</f>
        <v>0.29314149022102365</v>
      </c>
      <c r="CZ77" s="312">
        <f>INDEX('VALUATION &amp; RETURNS'!$N$58:$N$65,MATCH($CR$17,'VALUATION &amp; RETURNS'!$B$58:$B$65,0))</f>
        <v>0.17564342617988588</v>
      </c>
      <c r="DA77" s="309">
        <f>IFERROR(XNPV($CR$8,DN26:GC26,DN10:GC10)/1000000,"")</f>
        <v>215.38986056345271</v>
      </c>
      <c r="DB77" s="314">
        <f>IF(-SUMIF(DN29:GC29,"&lt;0")=0,"",SUMIF(DN29:GC29,"&gt;0")/-SUMIF(DN29:GC29,"&lt;0"))</f>
        <v>2.7644490339587278</v>
      </c>
      <c r="DC77" s="312">
        <f>IF($DA$15=0,"",($CV77-$DA$15)/$DA$15)</f>
        <v>0.60354324730455178</v>
      </c>
      <c r="DD77" s="309" t="s">
        <v>1040</v>
      </c>
      <c r="DE77" s="314">
        <f>XNPV(CR8,DN29:GC29,DN10:GC10)/1000000</f>
        <v>189.99000168792583</v>
      </c>
      <c r="DF77" s="312"/>
      <c r="DG77" s="309"/>
      <c r="DH77" s="314"/>
      <c r="DI77" s="312"/>
      <c r="DJ77" s="309"/>
      <c r="DK77" s="314"/>
      <c r="DL77" s="312"/>
    </row>
    <row r="78" spans="1:194" x14ac:dyDescent="0.35">
      <c r="B78" s="661"/>
      <c r="C78" s="661"/>
      <c r="D78" s="661"/>
      <c r="E78" s="661"/>
      <c r="F78" s="661"/>
      <c r="G78" s="661"/>
      <c r="H78" s="661"/>
      <c r="I78" s="661"/>
      <c r="J78" s="661"/>
      <c r="K78" s="661"/>
      <c r="L78" s="661"/>
      <c r="M78" s="661"/>
      <c r="N78" s="661"/>
      <c r="O78" s="661"/>
      <c r="P78" s="662"/>
      <c r="CQ78" s="934" t="s">
        <v>1043</v>
      </c>
      <c r="CR78" s="937"/>
      <c r="CS78" s="937"/>
      <c r="CT78" s="937"/>
      <c r="CU78" s="937"/>
      <c r="CV78" s="937"/>
      <c r="CW78" s="937"/>
      <c r="CX78" s="937"/>
      <c r="CY78" s="937"/>
      <c r="CZ78" s="937"/>
      <c r="DA78" s="937"/>
      <c r="DB78" s="937"/>
      <c r="DC78" s="937"/>
      <c r="DD78" s="937"/>
      <c r="DE78" s="937"/>
      <c r="DF78" s="937"/>
      <c r="DG78" s="937"/>
      <c r="DH78" s="937"/>
      <c r="DI78" s="937"/>
      <c r="DJ78" s="937"/>
      <c r="DK78" s="937"/>
      <c r="DL78" s="937"/>
    </row>
    <row r="79" spans="1:194" ht="22" customHeight="1" x14ac:dyDescent="0.35">
      <c r="B79" s="985" t="s">
        <v>1044</v>
      </c>
      <c r="C79" s="985"/>
      <c r="D79" s="985"/>
      <c r="E79" s="985"/>
      <c r="F79" s="985"/>
      <c r="G79" s="985"/>
      <c r="H79" s="985"/>
      <c r="I79" s="661"/>
      <c r="J79" s="985" t="s">
        <v>1045</v>
      </c>
      <c r="K79" s="985"/>
      <c r="L79" s="985"/>
      <c r="M79" s="985"/>
      <c r="N79" s="985"/>
      <c r="O79" s="985"/>
      <c r="P79" s="986"/>
    </row>
    <row r="80" spans="1:194" ht="28" customHeight="1" x14ac:dyDescent="0.35">
      <c r="B80" s="663" t="s">
        <v>1046</v>
      </c>
      <c r="C80" s="663" t="s">
        <v>85</v>
      </c>
      <c r="D80" s="663" t="s">
        <v>1047</v>
      </c>
      <c r="E80" s="663" t="s">
        <v>1048</v>
      </c>
      <c r="F80" s="661"/>
      <c r="G80" s="661"/>
      <c r="H80" s="661"/>
      <c r="I80" s="661"/>
      <c r="J80" s="663" t="s">
        <v>1049</v>
      </c>
      <c r="K80" s="663" t="s">
        <v>85</v>
      </c>
      <c r="L80" s="663" t="s">
        <v>1047</v>
      </c>
      <c r="M80" s="663" t="s">
        <v>1039</v>
      </c>
      <c r="N80" s="661"/>
      <c r="O80" s="661"/>
      <c r="P80" s="662"/>
      <c r="CQ80" s="939" t="s">
        <v>1050</v>
      </c>
      <c r="CR80" s="937"/>
      <c r="CS80" s="937"/>
      <c r="CT80" s="937"/>
      <c r="CU80" s="937"/>
      <c r="CV80" s="937"/>
      <c r="CW80" s="937"/>
      <c r="CY80" s="939" t="s">
        <v>1051</v>
      </c>
      <c r="CZ80" s="937"/>
      <c r="DA80" s="937"/>
      <c r="DB80" s="937"/>
      <c r="DC80" s="937"/>
      <c r="DD80" s="937"/>
      <c r="DE80" s="937"/>
    </row>
    <row r="81" spans="2:109" ht="52" x14ac:dyDescent="0.35">
      <c r="B81" s="697" t="s">
        <v>1052</v>
      </c>
      <c r="C81" s="698">
        <f>CR19</f>
        <v>679.64702791220634</v>
      </c>
      <c r="D81" s="699" t="s">
        <v>530</v>
      </c>
      <c r="E81" s="699" t="s">
        <v>1053</v>
      </c>
      <c r="F81" s="661"/>
      <c r="G81" s="661"/>
      <c r="H81" s="661"/>
      <c r="I81" s="661"/>
      <c r="J81" s="697" t="s">
        <v>928</v>
      </c>
      <c r="K81" s="698">
        <f>CR42</f>
        <v>679.64702791220645</v>
      </c>
      <c r="L81" s="697" t="s">
        <v>530</v>
      </c>
      <c r="M81" s="697" t="s">
        <v>1054</v>
      </c>
      <c r="N81" s="661"/>
      <c r="O81" s="661"/>
      <c r="P81" s="662"/>
      <c r="CQ81" s="306" t="s">
        <v>1055</v>
      </c>
      <c r="CR81" s="312">
        <f>Underwriting!$I$162-0.01</f>
        <v>5.7500000000000002E-2</v>
      </c>
      <c r="CS81" s="312">
        <f>Underwriting!$I$162-0.005</f>
        <v>6.25E-2</v>
      </c>
      <c r="CT81" s="320">
        <f>Underwriting!$I$162+0</f>
        <v>6.7500000000000004E-2</v>
      </c>
      <c r="CU81" s="312">
        <f>Underwriting!$I$162+0.005</f>
        <v>7.2500000000000009E-2</v>
      </c>
      <c r="CV81" s="312">
        <f>Underwriting!$I$162+0.01</f>
        <v>7.7499999999999999E-2</v>
      </c>
      <c r="CY81" s="306" t="s">
        <v>1056</v>
      </c>
      <c r="CZ81" s="312">
        <f>Underwriting!$I$162-0.01</f>
        <v>5.7500000000000002E-2</v>
      </c>
      <c r="DA81" s="312">
        <f>Underwriting!$I$162-0.005</f>
        <v>6.25E-2</v>
      </c>
      <c r="DB81" s="320">
        <f>Underwriting!$I$162+0</f>
        <v>6.7500000000000004E-2</v>
      </c>
      <c r="DC81" s="312">
        <f>Underwriting!$I$162+0.005</f>
        <v>7.2500000000000009E-2</v>
      </c>
      <c r="DD81" s="312">
        <f>Underwriting!$I$162+0.01</f>
        <v>7.7499999999999999E-2</v>
      </c>
    </row>
    <row r="82" spans="2:109" ht="26" x14ac:dyDescent="0.35">
      <c r="B82" s="700" t="s">
        <v>827</v>
      </c>
      <c r="C82" s="701">
        <f>CR20</f>
        <v>-13.592940558244127</v>
      </c>
      <c r="D82" s="702" t="s">
        <v>530</v>
      </c>
      <c r="E82" s="702" t="s">
        <v>1057</v>
      </c>
      <c r="F82" s="661"/>
      <c r="G82" s="661"/>
      <c r="H82" s="661"/>
      <c r="I82" s="661"/>
      <c r="J82" s="700" t="s">
        <v>935</v>
      </c>
      <c r="K82" s="701">
        <f>CR43</f>
        <v>0</v>
      </c>
      <c r="L82" s="700" t="s">
        <v>530</v>
      </c>
      <c r="M82" s="700" t="s">
        <v>1058</v>
      </c>
      <c r="N82" s="661"/>
      <c r="O82" s="661"/>
      <c r="P82" s="662"/>
      <c r="CQ82" s="312">
        <v>0.8</v>
      </c>
      <c r="CR82" s="309">
        <f t="shared" ref="CR82:CV86" si="41">$DA$10*$CQ82/CR$81</f>
        <v>633.6267373550719</v>
      </c>
      <c r="CS82" s="309">
        <f t="shared" si="41"/>
        <v>582.9365983666662</v>
      </c>
      <c r="CT82" s="309">
        <f t="shared" si="41"/>
        <v>539.75610959876497</v>
      </c>
      <c r="CU82" s="309">
        <f t="shared" si="41"/>
        <v>502.53155031609151</v>
      </c>
      <c r="CV82" s="309">
        <f t="shared" si="41"/>
        <v>470.1101599731179</v>
      </c>
      <c r="CY82" s="312">
        <v>0.08</v>
      </c>
      <c r="CZ82" s="309">
        <f>IFERROR(XNPV($CY82,Underwriting!$M$211:$BB$211,Underwriting!$M$195:$BB$195)/1000000+(($DA$10/CZ$81)*(1-Underwriting!$I$163)+Underwriting!$BC$202/1000000)/(1+$CY82)^((Underwriting!$BC$195-Underwriting!$M$195)/365),"")</f>
        <v>297.27316301145351</v>
      </c>
      <c r="DA82" s="309">
        <f>IFERROR(XNPV($CY82,Underwriting!$M$211:$BB$211,Underwriting!$M$195:$BB$195)/1000000+(($DA$10/DA$81)*(1-Underwriting!$I$163)+Underwriting!$BC$202/1000000)/(1+$CY82)^((Underwriting!$BC$195-Underwriting!$M$195)/365),"")</f>
        <v>249.86561465677147</v>
      </c>
      <c r="DB82" s="309">
        <f>IFERROR(XNPV($CY82,Underwriting!$M$211:$BB$211,Underwriting!$M$195:$BB$195)/1000000+(($DA$10/DB$81)*(1-Underwriting!$I$163)+Underwriting!$BC$202/1000000)/(1+$CY82)^((Underwriting!$BC$195-Underwriting!$M$195)/365),"")</f>
        <v>209.48140679907931</v>
      </c>
      <c r="DC82" s="309">
        <f>IFERROR(XNPV($CY82,Underwriting!$M$211:$BB$211,Underwriting!$M$195:$BB$195)/1000000+(($DA$10/DC$81)*(1-Underwriting!$I$163)+Underwriting!$BC$202/1000000)/(1+$CY82)^((Underwriting!$BC$195-Underwriting!$M$195)/365),"")</f>
        <v>174.66743450796548</v>
      </c>
      <c r="DD82" s="309">
        <f>IFERROR(XNPV($CY82,Underwriting!$M$211:$BB$211,Underwriting!$M$195:$BB$195)/1000000+(($DA$10/DD$81)*(1-Underwriting!$I$163)+Underwriting!$BC$202/1000000)/(1+$CY82)^((Underwriting!$BC$195-Underwriting!$M$195)/365),"")</f>
        <v>144.34558767376956</v>
      </c>
    </row>
    <row r="83" spans="2:109" ht="39" x14ac:dyDescent="0.35">
      <c r="B83" s="700" t="s">
        <v>1059</v>
      </c>
      <c r="C83" s="701">
        <f>CR21</f>
        <v>-157.54651593485801</v>
      </c>
      <c r="D83" s="702" t="s">
        <v>530</v>
      </c>
      <c r="E83" s="702" t="s">
        <v>1060</v>
      </c>
      <c r="F83" s="661"/>
      <c r="G83" s="661"/>
      <c r="H83" s="661"/>
      <c r="I83" s="661"/>
      <c r="J83" s="700" t="s">
        <v>941</v>
      </c>
      <c r="K83" s="701">
        <f>CR44</f>
        <v>679.64702791220645</v>
      </c>
      <c r="L83" s="700" t="s">
        <v>530</v>
      </c>
      <c r="M83" s="700" t="s">
        <v>1061</v>
      </c>
      <c r="N83" s="661"/>
      <c r="O83" s="661"/>
      <c r="P83" s="662"/>
      <c r="CQ83" s="312">
        <v>0.9</v>
      </c>
      <c r="CR83" s="309">
        <f t="shared" si="41"/>
        <v>712.83007952445598</v>
      </c>
      <c r="CS83" s="309">
        <f t="shared" si="41"/>
        <v>655.80367316249954</v>
      </c>
      <c r="CT83" s="309">
        <f t="shared" si="41"/>
        <v>607.22562329861069</v>
      </c>
      <c r="CU83" s="309">
        <f t="shared" si="41"/>
        <v>565.34799410560299</v>
      </c>
      <c r="CV83" s="309">
        <f t="shared" si="41"/>
        <v>528.87392996975768</v>
      </c>
      <c r="CY83" s="312">
        <v>0.09</v>
      </c>
      <c r="CZ83" s="309">
        <f>IFERROR(XNPV($CY83,Underwriting!$M$211:$BB$211,Underwriting!$M$195:$BB$195)/1000000+(($DA$10/CZ$81)*(1-Underwriting!$I$163)+Underwriting!$BC$202/1000000)/(1+$CY83)^((Underwriting!$BC$195-Underwriting!$M$195)/365),"")</f>
        <v>281.90688424054787</v>
      </c>
      <c r="DA83" s="309">
        <f>IFERROR(XNPV($CY83,Underwriting!$M$211:$BB$211,Underwriting!$M$195:$BB$195)/1000000+(($DA$10/DA$81)*(1-Underwriting!$I$163)+Underwriting!$BC$202/1000000)/(1+$CY83)^((Underwriting!$BC$195-Underwriting!$M$195)/365),"")</f>
        <v>236.00711712264643</v>
      </c>
      <c r="DB83" s="309">
        <f>IFERROR(XNPV($CY83,Underwriting!$M$211:$BB$211,Underwriting!$M$195:$BB$195)/1000000+(($DA$10/DB$81)*(1-Underwriting!$I$163)+Underwriting!$BC$202/1000000)/(1+$CY83)^((Underwriting!$BC$195-Underwriting!$M$195)/365),"")</f>
        <v>196.90731550369344</v>
      </c>
      <c r="DC83" s="309">
        <f>IFERROR(XNPV($CY83,Underwriting!$M$211:$BB$211,Underwriting!$M$195:$BB$195)/1000000+(($DA$10/DC$81)*(1-Underwriting!$I$163)+Underwriting!$BC$202/1000000)/(1+$CY83)^((Underwriting!$BC$195-Underwriting!$M$195)/365),"")</f>
        <v>163.20058997011324</v>
      </c>
      <c r="DD83" s="309">
        <f>IFERROR(XNPV($CY83,Underwriting!$M$211:$BB$211,Underwriting!$M$195:$BB$195)/1000000+(($DA$10/DD$81)*(1-Underwriting!$I$163)+Underwriting!$BC$202/1000000)/(1+$CY83)^((Underwriting!$BC$195-Underwriting!$M$195)/365),"")</f>
        <v>133.8431193440918</v>
      </c>
    </row>
    <row r="84" spans="2:109" ht="91" x14ac:dyDescent="0.35">
      <c r="B84" s="700" t="s">
        <v>1062</v>
      </c>
      <c r="C84" s="701">
        <f>CR22</f>
        <v>-295.32119142207142</v>
      </c>
      <c r="D84" s="702" t="s">
        <v>530</v>
      </c>
      <c r="E84" s="702" t="s">
        <v>1063</v>
      </c>
      <c r="F84" s="661"/>
      <c r="G84" s="661"/>
      <c r="H84" s="661"/>
      <c r="I84" s="661"/>
      <c r="J84" s="700" t="s">
        <v>960</v>
      </c>
      <c r="K84" s="701">
        <f>CR47</f>
        <v>-211.30875661169631</v>
      </c>
      <c r="L84" s="700" t="s">
        <v>530</v>
      </c>
      <c r="M84" s="700" t="s">
        <v>1064</v>
      </c>
      <c r="N84" s="661"/>
      <c r="O84" s="661"/>
      <c r="P84" s="662"/>
      <c r="CQ84" s="320">
        <v>1</v>
      </c>
      <c r="CR84" s="309">
        <f t="shared" si="41"/>
        <v>792.03342169383995</v>
      </c>
      <c r="CS84" s="309">
        <f t="shared" si="41"/>
        <v>728.67074795833275</v>
      </c>
      <c r="CT84" s="319">
        <f t="shared" si="41"/>
        <v>674.69513699845618</v>
      </c>
      <c r="CU84" s="309">
        <f t="shared" si="41"/>
        <v>628.16443789511436</v>
      </c>
      <c r="CV84" s="309">
        <f t="shared" si="41"/>
        <v>587.63769996639735</v>
      </c>
      <c r="CY84" s="320">
        <v>0.1</v>
      </c>
      <c r="CZ84" s="309">
        <f>IFERROR(XNPV($CY84,Underwriting!$M$211:$BB$211,Underwriting!$M$195:$BB$195)/1000000+(($DA$10/CZ$81)*(1-Underwriting!$I$163)+Underwriting!$BC$202/1000000)/(1+$CY84)^((Underwriting!$BC$195-Underwriting!$M$195)/365),"")</f>
        <v>267.22916062459672</v>
      </c>
      <c r="DA84" s="309">
        <f>IFERROR(XNPV($CY84,Underwriting!$M$211:$BB$211,Underwriting!$M$195:$BB$195)/1000000+(($DA$10/DA$81)*(1-Underwriting!$I$163)+Underwriting!$BC$202/1000000)/(1+$CY84)^((Underwriting!$BC$195-Underwriting!$M$195)/365),"")</f>
        <v>222.77610068436172</v>
      </c>
      <c r="DB84" s="319">
        <f>IFERROR(XNPV($CY84,Underwriting!$M$211:$BB$211,Underwriting!$M$195:$BB$195)/1000000+(($DA$10/DB$81)*(1-Underwriting!$I$163)+Underwriting!$BC$202/1000000)/(1+$CY84)^((Underwriting!$BC$195-Underwriting!$M$195)/365),"")</f>
        <v>184.90867925379121</v>
      </c>
      <c r="DC84" s="309">
        <f>IFERROR(XNPV($CY84,Underwriting!$M$211:$BB$211,Underwriting!$M$195:$BB$195)/1000000+(($DA$10/DC$81)*(1-Underwriting!$I$163)+Underwriting!$BC$202/1000000)/(1+$CY84)^((Underwriting!$BC$195-Underwriting!$M$195)/365),"")</f>
        <v>152.26435043433389</v>
      </c>
      <c r="DD84" s="309">
        <f>IFERROR(XNPV($CY84,Underwriting!$M$211:$BB$211,Underwriting!$M$195:$BB$195)/1000000+(($DA$10/DD$81)*(1-Underwriting!$I$163)+Underwriting!$BC$202/1000000)/(1+$CY84)^((Underwriting!$BC$195-Underwriting!$M$195)/365),"")</f>
        <v>123.83219307545176</v>
      </c>
    </row>
    <row r="85" spans="2:109" ht="52" x14ac:dyDescent="0.35">
      <c r="B85" s="714" t="s">
        <v>1065</v>
      </c>
      <c r="C85" s="715">
        <f>CR23</f>
        <v>213.18637999703282</v>
      </c>
      <c r="D85" s="716" t="s">
        <v>530</v>
      </c>
      <c r="E85" s="716" t="s">
        <v>1066</v>
      </c>
      <c r="F85" s="661"/>
      <c r="G85" s="661"/>
      <c r="H85" s="661"/>
      <c r="I85" s="661"/>
      <c r="J85" s="700" t="s">
        <v>827</v>
      </c>
      <c r="K85" s="701">
        <f>CR50</f>
        <v>-13.592940558244129</v>
      </c>
      <c r="L85" s="700" t="s">
        <v>530</v>
      </c>
      <c r="M85" s="700" t="s">
        <v>1067</v>
      </c>
      <c r="N85" s="661"/>
      <c r="O85" s="661"/>
      <c r="P85" s="662"/>
      <c r="CQ85" s="312">
        <v>1.1000000000000001</v>
      </c>
      <c r="CR85" s="309">
        <f t="shared" si="41"/>
        <v>871.23676386322393</v>
      </c>
      <c r="CS85" s="309">
        <f t="shared" si="41"/>
        <v>801.53782275416609</v>
      </c>
      <c r="CT85" s="309">
        <f t="shared" si="41"/>
        <v>742.1646506983019</v>
      </c>
      <c r="CU85" s="309">
        <f t="shared" si="41"/>
        <v>690.98088168462584</v>
      </c>
      <c r="CV85" s="309">
        <f t="shared" si="41"/>
        <v>646.40146996303713</v>
      </c>
      <c r="CY85" s="312">
        <v>0.11</v>
      </c>
      <c r="CZ85" s="309">
        <f>IFERROR(XNPV($CY85,Underwriting!$M$211:$BB$211,Underwriting!$M$195:$BB$195)/1000000+(($DA$10/CZ$81)*(1-Underwriting!$I$163)+Underwriting!$BC$202/1000000)/(1+$CY85)^((Underwriting!$BC$195-Underwriting!$M$195)/365),"")</f>
        <v>253.2047863529304</v>
      </c>
      <c r="DA85" s="309">
        <f>IFERROR(XNPV($CY85,Underwriting!$M$211:$BB$211,Underwriting!$M$195:$BB$195)/1000000+(($DA$10/DA$81)*(1-Underwriting!$I$163)+Underwriting!$BC$202/1000000)/(1+$CY85)^((Underwriting!$BC$195-Underwriting!$M$195)/365),"")</f>
        <v>210.14035532803501</v>
      </c>
      <c r="DB85" s="309">
        <f>IFERROR(XNPV($CY85,Underwriting!$M$211:$BB$211,Underwriting!$M$195:$BB$195)/1000000+(($DA$10/DB$81)*(1-Underwriting!$I$163)+Underwriting!$BC$202/1000000)/(1+$CY85)^((Underwriting!$BC$195-Underwriting!$M$195)/365),"")</f>
        <v>173.45584001053157</v>
      </c>
      <c r="DC85" s="309">
        <f>IFERROR(XNPV($CY85,Underwriting!$M$211:$BB$211,Underwriting!$M$195:$BB$195)/1000000+(($DA$10/DC$81)*(1-Underwriting!$I$163)+Underwriting!$BC$202/1000000)/(1+$CY85)^((Underwriting!$BC$195-Underwriting!$M$195)/365),"")</f>
        <v>141.83125784026993</v>
      </c>
      <c r="DD85" s="309">
        <f>IFERROR(XNPV($CY85,Underwriting!$M$211:$BB$211,Underwriting!$M$195:$BB$195)/1000000+(($DA$10/DD$81)*(1-Underwriting!$I$163)+Underwriting!$BC$202/1000000)/(1+$CY85)^((Underwriting!$BC$195-Underwriting!$M$195)/365),"")</f>
        <v>114.28726691778411</v>
      </c>
    </row>
    <row r="86" spans="2:109" x14ac:dyDescent="0.35">
      <c r="B86" s="661"/>
      <c r="C86" s="661"/>
      <c r="D86" s="662"/>
      <c r="E86" s="662"/>
      <c r="F86" s="661"/>
      <c r="G86" s="661"/>
      <c r="H86" s="661"/>
      <c r="I86" s="661"/>
      <c r="J86" s="717" t="s">
        <v>1068</v>
      </c>
      <c r="K86" s="718">
        <f>CR52</f>
        <v>454.74533074226599</v>
      </c>
      <c r="L86" s="717" t="s">
        <v>530</v>
      </c>
      <c r="M86" s="717" t="s">
        <v>1069</v>
      </c>
      <c r="N86" s="661"/>
      <c r="O86" s="661"/>
      <c r="P86" s="662"/>
      <c r="CQ86" s="312">
        <v>1.2</v>
      </c>
      <c r="CR86" s="309">
        <f t="shared" si="41"/>
        <v>950.4401060326079</v>
      </c>
      <c r="CS86" s="309">
        <f t="shared" si="41"/>
        <v>874.4048975499993</v>
      </c>
      <c r="CT86" s="309">
        <f t="shared" si="41"/>
        <v>809.6341643981475</v>
      </c>
      <c r="CU86" s="309">
        <f t="shared" si="41"/>
        <v>753.79732547413721</v>
      </c>
      <c r="CV86" s="309">
        <f t="shared" si="41"/>
        <v>705.16523995967691</v>
      </c>
      <c r="CY86" s="312">
        <v>0.12</v>
      </c>
      <c r="CZ86" s="309">
        <f>IFERROR(XNPV($CY86,Underwriting!$M$211:$BB$211,Underwriting!$M$195:$BB$195)/1000000+(($DA$10/CZ$81)*(1-Underwriting!$I$163)+Underwriting!$BC$202/1000000)/(1+$CY86)^((Underwriting!$BC$195-Underwriting!$M$195)/365),"")</f>
        <v>239.80062230482355</v>
      </c>
      <c r="DA86" s="309">
        <f>IFERROR(XNPV($CY86,Underwriting!$M$211:$BB$211,Underwriting!$M$195:$BB$195)/1000000+(($DA$10/DA$81)*(1-Underwriting!$I$163)+Underwriting!$BC$202/1000000)/(1+$CY86)^((Underwriting!$BC$195-Underwriting!$M$195)/365),"")</f>
        <v>198.06956563122867</v>
      </c>
      <c r="DB86" s="309">
        <f>IFERROR(XNPV($CY86,Underwriting!$M$211:$BB$211,Underwriting!$M$195:$BB$195)/1000000+(($DA$10/DB$81)*(1-Underwriting!$I$163)+Underwriting!$BC$202/1000000)/(1+$CY86)^((Underwriting!$BC$195-Underwriting!$M$195)/365),"")</f>
        <v>162.52088772409229</v>
      </c>
      <c r="DC86" s="309">
        <f>IFERROR(XNPV($CY86,Underwriting!$M$211:$BB$211,Underwriting!$M$195:$BB$195)/1000000+(($DA$10/DC$81)*(1-Underwriting!$I$163)+Underwriting!$BC$202/1000000)/(1+$CY86)^((Underwriting!$BC$195-Underwriting!$M$195)/365),"")</f>
        <v>131.87547573518162</v>
      </c>
      <c r="DD86" s="309">
        <f>IFERROR(XNPV($CY86,Underwriting!$M$211:$BB$211,Underwriting!$M$195:$BB$195)/1000000+(($DA$10/DD$81)*(1-Underwriting!$I$163)+Underwriting!$BC$202/1000000)/(1+$CY86)^((Underwriting!$BC$195-Underwriting!$M$195)/365),"")</f>
        <v>105.18431045451752</v>
      </c>
    </row>
    <row r="87" spans="2:109" x14ac:dyDescent="0.35">
      <c r="B87" s="661"/>
      <c r="C87" s="661"/>
      <c r="D87" s="662"/>
      <c r="E87" s="662"/>
      <c r="F87" s="661"/>
      <c r="G87" s="661"/>
      <c r="H87" s="661"/>
      <c r="I87" s="661"/>
      <c r="J87" s="700" t="s">
        <v>994</v>
      </c>
      <c r="K87" s="703">
        <f>DA56</f>
        <v>0.52400395824069002</v>
      </c>
      <c r="L87" s="700" t="s">
        <v>83</v>
      </c>
      <c r="M87" s="700" t="s">
        <v>1070</v>
      </c>
      <c r="N87" s="661"/>
      <c r="O87" s="661"/>
      <c r="P87" s="662"/>
    </row>
    <row r="88" spans="2:109" x14ac:dyDescent="0.35">
      <c r="B88" s="661"/>
      <c r="C88" s="661"/>
      <c r="D88" s="662"/>
      <c r="E88" s="662"/>
      <c r="F88" s="661"/>
      <c r="G88" s="661"/>
      <c r="H88" s="661"/>
      <c r="I88" s="661"/>
      <c r="J88" s="704" t="s">
        <v>789</v>
      </c>
      <c r="K88" s="705">
        <f>DA57</f>
        <v>0.34606588986304809</v>
      </c>
      <c r="L88" s="704" t="s">
        <v>83</v>
      </c>
      <c r="M88" s="704" t="s">
        <v>1071</v>
      </c>
      <c r="N88" s="661"/>
      <c r="O88" s="661"/>
      <c r="P88" s="662"/>
    </row>
    <row r="89" spans="2:109" x14ac:dyDescent="0.35">
      <c r="B89" s="661"/>
      <c r="C89" s="661"/>
      <c r="D89" s="662"/>
      <c r="E89" s="662"/>
      <c r="F89" s="661"/>
      <c r="G89" s="661"/>
      <c r="H89" s="661"/>
      <c r="I89" s="661"/>
      <c r="J89" s="661"/>
      <c r="K89" s="661"/>
      <c r="L89" s="661"/>
      <c r="M89" s="661"/>
      <c r="N89" s="661"/>
      <c r="O89" s="661"/>
      <c r="P89" s="662"/>
    </row>
    <row r="90" spans="2:109" x14ac:dyDescent="0.35">
      <c r="B90" s="661"/>
      <c r="C90" s="661"/>
      <c r="D90" s="662"/>
      <c r="E90" s="662"/>
      <c r="F90" s="661"/>
      <c r="G90" s="661"/>
      <c r="H90" s="661"/>
      <c r="I90" s="661"/>
      <c r="J90" s="661"/>
      <c r="K90" s="661"/>
      <c r="L90" s="661"/>
      <c r="M90" s="661"/>
      <c r="N90" s="661"/>
      <c r="O90" s="661"/>
      <c r="P90" s="662"/>
      <c r="CQ90" s="939" t="s">
        <v>1072</v>
      </c>
      <c r="CR90" s="937"/>
      <c r="CS90" s="937"/>
      <c r="CT90" s="937"/>
      <c r="CU90" s="937"/>
      <c r="CV90" s="937"/>
      <c r="CW90" s="937"/>
      <c r="CY90" s="939" t="s">
        <v>1073</v>
      </c>
      <c r="CZ90" s="937"/>
      <c r="DA90" s="937"/>
      <c r="DB90" s="937"/>
      <c r="DC90" s="937"/>
      <c r="DD90" s="937"/>
      <c r="DE90" s="937"/>
    </row>
    <row r="91" spans="2:109" x14ac:dyDescent="0.35">
      <c r="B91" s="985" t="s">
        <v>1074</v>
      </c>
      <c r="C91" s="985"/>
      <c r="D91" s="986"/>
      <c r="E91" s="986"/>
      <c r="F91" s="985"/>
      <c r="G91" s="985"/>
      <c r="H91" s="985"/>
      <c r="I91" s="661"/>
      <c r="J91" s="985" t="s">
        <v>1075</v>
      </c>
      <c r="K91" s="985"/>
      <c r="L91" s="985"/>
      <c r="M91" s="985"/>
      <c r="N91" s="985"/>
      <c r="O91" s="985"/>
      <c r="P91" s="986"/>
      <c r="CQ91" s="306" t="s">
        <v>1076</v>
      </c>
      <c r="CR91" s="312">
        <v>0.8</v>
      </c>
      <c r="CS91" s="312">
        <v>0.9</v>
      </c>
      <c r="CT91" s="320">
        <v>1</v>
      </c>
      <c r="CU91" s="312">
        <v>1.1000000000000001</v>
      </c>
      <c r="CV91" s="312">
        <v>1.2</v>
      </c>
      <c r="CY91" s="306" t="s">
        <v>1077</v>
      </c>
      <c r="CZ91" s="314">
        <v>6</v>
      </c>
      <c r="DA91" s="314">
        <v>7</v>
      </c>
      <c r="DB91" s="321">
        <v>8</v>
      </c>
      <c r="DC91" s="314">
        <v>9</v>
      </c>
      <c r="DD91" s="314">
        <v>10</v>
      </c>
    </row>
    <row r="92" spans="2:109" ht="26" x14ac:dyDescent="0.35">
      <c r="B92" s="663" t="s">
        <v>1078</v>
      </c>
      <c r="C92" s="663" t="s">
        <v>1079</v>
      </c>
      <c r="D92" s="663" t="s">
        <v>1047</v>
      </c>
      <c r="E92" s="663" t="s">
        <v>1039</v>
      </c>
      <c r="F92" s="661"/>
      <c r="G92" s="661"/>
      <c r="H92" s="661"/>
      <c r="I92" s="661"/>
      <c r="J92" s="663" t="s">
        <v>1080</v>
      </c>
      <c r="K92" s="663" t="s">
        <v>826</v>
      </c>
      <c r="L92" s="663" t="s">
        <v>1081</v>
      </c>
      <c r="M92" s="663" t="s">
        <v>834</v>
      </c>
      <c r="N92" s="661"/>
      <c r="O92" s="661"/>
      <c r="P92" s="662"/>
      <c r="CQ92" s="312">
        <v>0.8</v>
      </c>
      <c r="CR92" s="312">
        <f>($DA$7*CR$91*(1-Underwriting!$I$163)-$DA$15*$CQ92)/($DA$15*$CQ92)</f>
        <v>0.4838904790041505</v>
      </c>
      <c r="CS92" s="312">
        <f>($DA$7*CS$91*(1-Underwriting!$I$163)-$DA$15*$CQ92)/($DA$15*$CQ92)</f>
        <v>0.66937678887966989</v>
      </c>
      <c r="CT92" s="312">
        <f>($DA$7*CT$91*(1-Underwriting!$I$163)-$DA$15*$CQ92)/($DA$15*$CQ92)</f>
        <v>0.85486309875518851</v>
      </c>
      <c r="CU92" s="312">
        <f>($DA$7*CU$91*(1-Underwriting!$I$163)-$DA$15*$CQ92)/($DA$15*$CQ92)</f>
        <v>1.0403494086307075</v>
      </c>
      <c r="CV92" s="312">
        <f>($DA$7*CV$91*(1-Underwriting!$I$163)-$DA$15*$CQ92)/($DA$15*$CQ92)</f>
        <v>1.2258357185062263</v>
      </c>
      <c r="CY92" s="312">
        <v>0.8</v>
      </c>
      <c r="CZ92" s="309" t="str">
        <f t="shared" ref="CZ92:DD96" si="42">IF(OR($CR$10="",$CR$11="",$CX$38=0),"",$CX$38*$CR$10*$CY92*CZ$91)</f>
        <v/>
      </c>
      <c r="DA92" s="309" t="str">
        <f t="shared" si="42"/>
        <v/>
      </c>
      <c r="DB92" s="309" t="str">
        <f t="shared" si="42"/>
        <v/>
      </c>
      <c r="DC92" s="309" t="str">
        <f t="shared" si="42"/>
        <v/>
      </c>
      <c r="DD92" s="309" t="str">
        <f t="shared" si="42"/>
        <v/>
      </c>
    </row>
    <row r="93" spans="2:109" ht="52" x14ac:dyDescent="0.35">
      <c r="B93" s="697" t="s">
        <v>929</v>
      </c>
      <c r="C93" s="667">
        <f>DA42</f>
        <v>0.2675057155269478</v>
      </c>
      <c r="D93" s="699" t="s">
        <v>83</v>
      </c>
      <c r="E93" s="699" t="s">
        <v>1082</v>
      </c>
      <c r="F93" s="661"/>
      <c r="G93" s="661"/>
      <c r="H93" s="661"/>
      <c r="I93" s="661"/>
      <c r="J93" s="697" t="s">
        <v>1083</v>
      </c>
      <c r="K93" s="733">
        <f>CT82</f>
        <v>539.75610959876497</v>
      </c>
      <c r="L93" s="733">
        <f>CT84</f>
        <v>674.69513699845618</v>
      </c>
      <c r="M93" s="733">
        <f>CT86</f>
        <v>809.6341643981475</v>
      </c>
      <c r="N93" s="661"/>
      <c r="O93" s="661"/>
      <c r="P93" s="662"/>
      <c r="CQ93" s="312">
        <v>0.9</v>
      </c>
      <c r="CR93" s="312">
        <f>($DA$7*CR$91*(1-Underwriting!$I$163)-$DA$15*$CQ93)/($DA$15*$CQ93)</f>
        <v>0.31901375911480062</v>
      </c>
      <c r="CS93" s="312">
        <f>($DA$7*CS$91*(1-Underwriting!$I$163)-$DA$15*$CQ93)/($DA$15*$CQ93)</f>
        <v>0.48389047900415116</v>
      </c>
      <c r="CT93" s="312">
        <f>($DA$7*CT$91*(1-Underwriting!$I$163)-$DA$15*$CQ93)/($DA$15*$CQ93)</f>
        <v>0.6487671988935011</v>
      </c>
      <c r="CU93" s="312">
        <f>($DA$7*CU$91*(1-Underwriting!$I$163)-$DA$15*$CQ93)/($DA$15*$CQ93)</f>
        <v>0.81364391878285136</v>
      </c>
      <c r="CV93" s="312">
        <f>($DA$7*CV$91*(1-Underwriting!$I$163)-$DA$15*$CQ93)/($DA$15*$CQ93)</f>
        <v>0.9785206386722014</v>
      </c>
      <c r="CY93" s="312">
        <v>0.9</v>
      </c>
      <c r="CZ93" s="309" t="str">
        <f t="shared" si="42"/>
        <v/>
      </c>
      <c r="DA93" s="309" t="str">
        <f t="shared" si="42"/>
        <v/>
      </c>
      <c r="DB93" s="309" t="str">
        <f t="shared" si="42"/>
        <v/>
      </c>
      <c r="DC93" s="309" t="str">
        <f t="shared" si="42"/>
        <v/>
      </c>
      <c r="DD93" s="309" t="str">
        <f t="shared" si="42"/>
        <v/>
      </c>
    </row>
    <row r="94" spans="2:109" ht="39" x14ac:dyDescent="0.35">
      <c r="B94" s="700" t="s">
        <v>936</v>
      </c>
      <c r="C94" s="672">
        <f>DA43</f>
        <v>0.26738072037696836</v>
      </c>
      <c r="D94" s="702" t="s">
        <v>83</v>
      </c>
      <c r="E94" s="702" t="s">
        <v>1084</v>
      </c>
      <c r="F94" s="661"/>
      <c r="G94" s="661"/>
      <c r="H94" s="661"/>
      <c r="I94" s="661"/>
      <c r="J94" s="704" t="s">
        <v>1085</v>
      </c>
      <c r="K94" s="685">
        <f>CS102</f>
        <v>9.826237559318543E-2</v>
      </c>
      <c r="L94" s="685">
        <f>CS104</f>
        <v>0.14835851788520818</v>
      </c>
      <c r="M94" s="685">
        <f>CS106</f>
        <v>0.19098165631294253</v>
      </c>
      <c r="N94" s="661"/>
      <c r="O94" s="661"/>
      <c r="P94" s="662"/>
      <c r="CQ94" s="320">
        <v>1</v>
      </c>
      <c r="CR94" s="312">
        <f>($DA$7*CR$91*(1-Underwriting!$I$163)-$DA$15*$CQ94)/($DA$15*$CQ94)</f>
        <v>0.18711238320332055</v>
      </c>
      <c r="CS94" s="312">
        <f>($DA$7*CS$91*(1-Underwriting!$I$163)-$DA$15*$CQ94)/($DA$15*$CQ94)</f>
        <v>0.33550143110373604</v>
      </c>
      <c r="CT94" s="320">
        <f>($DA$7*CT$91*(1-Underwriting!$I$163)-$DA$15*$CQ94)/($DA$15*$CQ94)</f>
        <v>0.483890479004151</v>
      </c>
      <c r="CU94" s="312">
        <f>($DA$7*CU$91*(1-Underwriting!$I$163)-$DA$15*$CQ94)/($DA$15*$CQ94)</f>
        <v>0.63227952690456624</v>
      </c>
      <c r="CV94" s="312">
        <f>($DA$7*CV$91*(1-Underwriting!$I$163)-$DA$15*$CQ94)/($DA$15*$CQ94)</f>
        <v>0.7806685748049812</v>
      </c>
      <c r="CY94" s="320">
        <v>1</v>
      </c>
      <c r="CZ94" s="309" t="str">
        <f t="shared" si="42"/>
        <v/>
      </c>
      <c r="DA94" s="309" t="str">
        <f t="shared" si="42"/>
        <v/>
      </c>
      <c r="DB94" s="319" t="str">
        <f t="shared" si="42"/>
        <v/>
      </c>
      <c r="DC94" s="309" t="str">
        <f t="shared" si="42"/>
        <v/>
      </c>
      <c r="DD94" s="309" t="str">
        <f t="shared" si="42"/>
        <v/>
      </c>
    </row>
    <row r="95" spans="2:109" ht="52" x14ac:dyDescent="0.35">
      <c r="B95" s="700" t="s">
        <v>948</v>
      </c>
      <c r="C95" s="731">
        <f>DA45</f>
        <v>234.87255702176378</v>
      </c>
      <c r="D95" s="702" t="s">
        <v>530</v>
      </c>
      <c r="E95" s="702" t="s">
        <v>1086</v>
      </c>
      <c r="F95" s="661"/>
      <c r="G95" s="661"/>
      <c r="H95" s="661"/>
      <c r="I95" s="661"/>
      <c r="J95" s="661"/>
      <c r="K95" s="661"/>
      <c r="L95" s="661"/>
      <c r="M95" s="661"/>
      <c r="N95" s="661"/>
      <c r="O95" s="661"/>
      <c r="P95" s="662"/>
      <c r="CQ95" s="312">
        <v>1.1000000000000001</v>
      </c>
      <c r="CR95" s="312">
        <f>($DA$7*CR$91*(1-Underwriting!$I$163)-$DA$15*$CQ95)/($DA$15*$CQ95)</f>
        <v>7.9193075639382188E-2</v>
      </c>
      <c r="CS95" s="312">
        <f>($DA$7*CS$91*(1-Underwriting!$I$163)-$DA$15*$CQ95)/($DA$15*$CQ95)</f>
        <v>0.21409221009430535</v>
      </c>
      <c r="CT95" s="312">
        <f>($DA$7*CT$91*(1-Underwriting!$I$163)-$DA$15*$CQ95)/($DA$15*$CQ95)</f>
        <v>0.34899134454922803</v>
      </c>
      <c r="CU95" s="312">
        <f>($DA$7*CU$91*(1-Underwriting!$I$163)-$DA$15*$CQ95)/($DA$15*$CQ95)</f>
        <v>0.48389047900415094</v>
      </c>
      <c r="CV95" s="312">
        <f>($DA$7*CV$91*(1-Underwriting!$I$163)-$DA$15*$CQ95)/($DA$15*$CQ95)</f>
        <v>0.61878961345907368</v>
      </c>
      <c r="CY95" s="312">
        <v>1.1000000000000001</v>
      </c>
      <c r="CZ95" s="309" t="str">
        <f t="shared" si="42"/>
        <v/>
      </c>
      <c r="DA95" s="309" t="str">
        <f t="shared" si="42"/>
        <v/>
      </c>
      <c r="DB95" s="309" t="str">
        <f t="shared" si="42"/>
        <v/>
      </c>
      <c r="DC95" s="309" t="str">
        <f t="shared" si="42"/>
        <v/>
      </c>
      <c r="DD95" s="309" t="str">
        <f t="shared" si="42"/>
        <v/>
      </c>
    </row>
    <row r="96" spans="2:109" ht="52" x14ac:dyDescent="0.35">
      <c r="B96" s="700" t="s">
        <v>956</v>
      </c>
      <c r="C96" s="672">
        <f>DA46</f>
        <v>0.48810921876890268</v>
      </c>
      <c r="D96" s="702" t="s">
        <v>83</v>
      </c>
      <c r="E96" s="702" t="s">
        <v>1087</v>
      </c>
      <c r="F96" s="661"/>
      <c r="G96" s="661"/>
      <c r="H96" s="661"/>
      <c r="I96" s="661"/>
      <c r="J96" s="989" t="s">
        <v>1088</v>
      </c>
      <c r="K96" s="989"/>
      <c r="L96" s="989"/>
      <c r="M96" s="989"/>
      <c r="N96" s="989"/>
      <c r="O96" s="989"/>
      <c r="P96" s="989"/>
      <c r="CQ96" s="312">
        <v>1.2</v>
      </c>
      <c r="CR96" s="312">
        <f>($DA$7*CR$91*(1-Underwriting!$I$163)-$DA$15*$CQ96)/($DA$15*$CQ96)</f>
        <v>-1.0739680663899451E-2</v>
      </c>
      <c r="CS96" s="312">
        <f>($DA$7*CS$91*(1-Underwriting!$I$163)-$DA$15*$CQ96)/($DA$15*$CQ96)</f>
        <v>0.11291785925311346</v>
      </c>
      <c r="CT96" s="312">
        <f>($DA$7*CT$91*(1-Underwriting!$I$163)-$DA$15*$CQ96)/($DA$15*$CQ96)</f>
        <v>0.23657539917012596</v>
      </c>
      <c r="CU96" s="312">
        <f>($DA$7*CU$91*(1-Underwriting!$I$163)-$DA$15*$CQ96)/($DA$15*$CQ96)</f>
        <v>0.36023293908713866</v>
      </c>
      <c r="CV96" s="312">
        <f>($DA$7*CV$91*(1-Underwriting!$I$163)-$DA$15*$CQ96)/($DA$15*$CQ96)</f>
        <v>0.48389047900415116</v>
      </c>
      <c r="CY96" s="312">
        <v>1.2</v>
      </c>
      <c r="CZ96" s="309" t="str">
        <f t="shared" si="42"/>
        <v/>
      </c>
      <c r="DA96" s="309" t="str">
        <f t="shared" si="42"/>
        <v/>
      </c>
      <c r="DB96" s="309" t="str">
        <f t="shared" si="42"/>
        <v/>
      </c>
      <c r="DC96" s="309" t="str">
        <f t="shared" si="42"/>
        <v/>
      </c>
      <c r="DD96" s="309" t="str">
        <f t="shared" si="42"/>
        <v/>
      </c>
    </row>
    <row r="97" spans="2:116" ht="39" x14ac:dyDescent="0.35">
      <c r="B97" s="700" t="s">
        <v>961</v>
      </c>
      <c r="C97" s="672">
        <f>DA47</f>
        <v>2.9802322387695314E-9</v>
      </c>
      <c r="D97" s="702" t="s">
        <v>83</v>
      </c>
      <c r="E97" s="702" t="s">
        <v>1084</v>
      </c>
      <c r="F97" s="661"/>
      <c r="G97" s="661"/>
      <c r="H97" s="661"/>
      <c r="I97" s="661"/>
      <c r="J97" s="661"/>
      <c r="K97" s="661"/>
      <c r="L97" s="661"/>
      <c r="M97" s="661"/>
      <c r="N97" s="661"/>
      <c r="O97" s="661"/>
      <c r="P97" s="662"/>
    </row>
    <row r="98" spans="2:116" ht="52" x14ac:dyDescent="0.35">
      <c r="B98" s="700" t="s">
        <v>969</v>
      </c>
      <c r="C98" s="731">
        <f>DA49</f>
        <v>230.60946579175697</v>
      </c>
      <c r="D98" s="702" t="s">
        <v>530</v>
      </c>
      <c r="E98" s="702" t="s">
        <v>1086</v>
      </c>
      <c r="F98" s="661"/>
      <c r="G98" s="661"/>
      <c r="H98" s="661"/>
      <c r="I98" s="661"/>
      <c r="J98" s="661"/>
      <c r="K98" s="661"/>
      <c r="L98" s="661"/>
      <c r="M98" s="661"/>
      <c r="N98" s="661"/>
      <c r="O98" s="661"/>
      <c r="P98" s="662"/>
      <c r="CY98" s="981" t="s">
        <v>1089</v>
      </c>
      <c r="CZ98" s="981"/>
      <c r="DA98" s="981"/>
      <c r="DB98" s="981"/>
      <c r="DC98" s="981"/>
      <c r="DD98" s="981"/>
    </row>
    <row r="99" spans="2:116" ht="39" x14ac:dyDescent="0.35">
      <c r="B99" s="700" t="s">
        <v>974</v>
      </c>
      <c r="C99" s="696">
        <f>DA50</f>
        <v>3.6516197698477049</v>
      </c>
      <c r="D99" s="702" t="s">
        <v>795</v>
      </c>
      <c r="E99" s="702" t="s">
        <v>1090</v>
      </c>
      <c r="F99" s="661"/>
      <c r="G99" s="661"/>
      <c r="H99" s="661"/>
      <c r="I99" s="661"/>
      <c r="J99" s="661"/>
      <c r="K99" s="661"/>
      <c r="L99" s="661"/>
      <c r="M99" s="661"/>
      <c r="N99" s="661"/>
      <c r="O99" s="661"/>
      <c r="P99" s="662"/>
    </row>
    <row r="100" spans="2:116" x14ac:dyDescent="0.35">
      <c r="B100" s="700" t="s">
        <v>977</v>
      </c>
      <c r="C100" s="672">
        <f>DA51</f>
        <v>-2.6834179317821349E-2</v>
      </c>
      <c r="D100" s="702" t="s">
        <v>83</v>
      </c>
      <c r="E100" s="702" t="s">
        <v>1091</v>
      </c>
      <c r="F100" s="661"/>
      <c r="G100" s="661"/>
      <c r="H100" s="661"/>
      <c r="I100" s="661"/>
      <c r="J100" s="661"/>
      <c r="K100" s="661"/>
      <c r="L100" s="661"/>
      <c r="M100" s="661"/>
      <c r="N100" s="661"/>
      <c r="O100" s="661"/>
      <c r="P100" s="662"/>
      <c r="CQ100" s="939" t="s">
        <v>1092</v>
      </c>
      <c r="CR100" s="937"/>
      <c r="CS100" s="937"/>
      <c r="CT100" s="937"/>
      <c r="CU100" s="937"/>
      <c r="CV100" s="937"/>
      <c r="CW100" s="937"/>
    </row>
    <row r="101" spans="2:116" ht="52" x14ac:dyDescent="0.35">
      <c r="B101" s="704" t="s">
        <v>1093</v>
      </c>
      <c r="C101" s="732">
        <f>DA52</f>
        <v>43</v>
      </c>
      <c r="D101" s="706" t="s">
        <v>982</v>
      </c>
      <c r="E101" s="706" t="s">
        <v>1094</v>
      </c>
      <c r="F101" s="661"/>
      <c r="G101" s="661"/>
      <c r="H101" s="661"/>
      <c r="I101" s="661"/>
      <c r="J101" s="661"/>
      <c r="K101" s="661"/>
      <c r="L101" s="661"/>
      <c r="M101" s="661"/>
      <c r="N101" s="661"/>
      <c r="O101" s="661"/>
      <c r="P101" s="662"/>
      <c r="CQ101" s="306" t="s">
        <v>1095</v>
      </c>
      <c r="CR101" s="306" t="s">
        <v>1096</v>
      </c>
      <c r="CS101" s="306" t="s">
        <v>1097</v>
      </c>
    </row>
    <row r="102" spans="2:116" x14ac:dyDescent="0.35">
      <c r="B102" s="661"/>
      <c r="C102" s="661"/>
      <c r="D102" s="661"/>
      <c r="E102" s="661"/>
      <c r="F102" s="661"/>
      <c r="G102" s="661"/>
      <c r="H102" s="661"/>
      <c r="I102" s="661"/>
      <c r="J102" s="661"/>
      <c r="K102" s="661"/>
      <c r="L102" s="661"/>
      <c r="M102" s="661"/>
      <c r="N102" s="661"/>
      <c r="O102" s="661"/>
      <c r="P102" s="662"/>
      <c r="CQ102" s="312">
        <v>0.8</v>
      </c>
      <c r="CR102" s="309">
        <f>$CR$52*$CQ102</f>
        <v>363.79626459381279</v>
      </c>
      <c r="CS102" s="312">
        <f>IF('VALUATION &amp; RETURNS'!$X$69=0,XIRR('VALUATION &amp; RETURNS'!$Y$69:$Z$69,'VALUATION &amp; RETURNS'!$Y$68:$Z$68),XIRR('VALUATION &amp; RETURNS'!$X$69:$Z$69,'VALUATION &amp; RETURNS'!$X$68:$Z$68))</f>
        <v>9.826237559318543E-2</v>
      </c>
      <c r="CT102" s="934" t="s">
        <v>1098</v>
      </c>
      <c r="CU102" s="937"/>
      <c r="CV102" s="937"/>
      <c r="CW102" s="937"/>
    </row>
    <row r="103" spans="2:116" x14ac:dyDescent="0.35">
      <c r="B103" s="661"/>
      <c r="C103" s="661"/>
      <c r="D103" s="661"/>
      <c r="E103" s="661"/>
      <c r="F103" s="661"/>
      <c r="G103" s="661"/>
      <c r="H103" s="661"/>
      <c r="I103" s="661"/>
      <c r="J103" s="661"/>
      <c r="K103" s="661"/>
      <c r="L103" s="661"/>
      <c r="M103" s="661"/>
      <c r="N103" s="661"/>
      <c r="O103" s="661"/>
      <c r="P103" s="662"/>
      <c r="CQ103" s="312">
        <v>0.9</v>
      </c>
      <c r="CR103" s="309">
        <f>$CR$52*$CQ103</f>
        <v>409.27079766803939</v>
      </c>
      <c r="CS103" s="312">
        <f>IF('VALUATION &amp; RETURNS'!$X$70=0,XIRR('VALUATION &amp; RETURNS'!$Y$70:$Z$70,'VALUATION &amp; RETURNS'!$Y$68:$Z$68),XIRR('VALUATION &amp; RETURNS'!$X$70:$Z$70,'VALUATION &amp; RETURNS'!$X$68:$Z$68))</f>
        <v>0.12442633509635925</v>
      </c>
      <c r="CT103" s="934" t="s">
        <v>1098</v>
      </c>
      <c r="CU103" s="937"/>
      <c r="CV103" s="937"/>
      <c r="CW103" s="937"/>
    </row>
    <row r="104" spans="2:116" ht="22" customHeight="1" x14ac:dyDescent="0.35">
      <c r="B104" s="985" t="s">
        <v>1099</v>
      </c>
      <c r="C104" s="985"/>
      <c r="D104" s="985"/>
      <c r="E104" s="985"/>
      <c r="F104" s="985"/>
      <c r="G104" s="985"/>
      <c r="H104" s="985"/>
      <c r="I104" s="985"/>
      <c r="J104" s="985"/>
      <c r="K104" s="985"/>
      <c r="L104" s="985"/>
      <c r="M104" s="985"/>
      <c r="N104" s="985"/>
      <c r="O104" s="985"/>
      <c r="P104" s="986"/>
      <c r="CQ104" s="320">
        <v>1</v>
      </c>
      <c r="CR104" s="319">
        <f>$CR$52*$CQ104</f>
        <v>454.74533074226599</v>
      </c>
      <c r="CS104" s="320">
        <f>IF('VALUATION &amp; RETURNS'!$X$71=0,XIRR('VALUATION &amp; RETURNS'!$Y$71:$Z$71,'VALUATION &amp; RETURNS'!$Y$68:$Z$68),XIRR('VALUATION &amp; RETURNS'!$X$71:$Z$71,'VALUATION &amp; RETURNS'!$X$68:$Z$68))</f>
        <v>0.14835851788520818</v>
      </c>
      <c r="CT104" s="934" t="s">
        <v>1098</v>
      </c>
      <c r="CU104" s="937"/>
      <c r="CV104" s="937"/>
      <c r="CW104" s="937"/>
    </row>
    <row r="105" spans="2:116" ht="28" customHeight="1" x14ac:dyDescent="0.35">
      <c r="B105" s="663" t="s">
        <v>1100</v>
      </c>
      <c r="C105" s="663" t="s">
        <v>1101</v>
      </c>
      <c r="D105" s="663" t="s">
        <v>1039</v>
      </c>
      <c r="E105" s="707"/>
      <c r="F105" s="663"/>
      <c r="G105" s="663"/>
      <c r="H105" s="663"/>
      <c r="I105" s="661"/>
      <c r="J105" s="661"/>
      <c r="K105" s="661"/>
      <c r="L105" s="661"/>
      <c r="M105" s="661"/>
      <c r="N105" s="661"/>
      <c r="O105" s="661"/>
      <c r="P105" s="662"/>
      <c r="CQ105" s="312">
        <v>1.1000000000000001</v>
      </c>
      <c r="CR105" s="309">
        <f>$CR$52*$CQ105</f>
        <v>500.21986381649265</v>
      </c>
      <c r="CS105" s="312">
        <f>IF('VALUATION &amp; RETURNS'!$X$72=0,XIRR('VALUATION &amp; RETURNS'!$Y$72:$Z$72,'VALUATION &amp; RETURNS'!$Y$68:$Z$68),XIRR('VALUATION &amp; RETURNS'!$X$72:$Z$72,'VALUATION &amp; RETURNS'!$X$68:$Z$68))</f>
        <v>0.17044631838798524</v>
      </c>
      <c r="CT105" s="934" t="s">
        <v>1098</v>
      </c>
      <c r="CU105" s="937"/>
      <c r="CV105" s="937"/>
      <c r="CW105" s="937"/>
    </row>
    <row r="106" spans="2:116" ht="91" x14ac:dyDescent="0.35">
      <c r="B106" s="708" t="s">
        <v>1102</v>
      </c>
      <c r="C106" s="724" t="str">
        <f t="shared" ref="C106:C115" si="43">CR111</f>
        <v>OK</v>
      </c>
      <c r="D106" s="709" t="str">
        <f t="shared" ref="D106:D115" si="44">CS111</f>
        <v>SUM(G26:G37) compared with the selected property value.</v>
      </c>
      <c r="E106" s="709"/>
      <c r="F106" s="709" t="s">
        <v>1103</v>
      </c>
      <c r="G106" s="734" t="str">
        <f t="array" ref="G106">IF(SUMPRODUCT(--(CQ2:GC160&lt;&gt;""))=2468,"OK","EXCEPTION: engine retention")</f>
        <v>EXCEPTION: engine retention</v>
      </c>
      <c r="H106" s="709" t="s">
        <v>1104</v>
      </c>
      <c r="I106" s="661"/>
      <c r="J106" s="661"/>
      <c r="K106" s="661"/>
      <c r="L106" s="661"/>
      <c r="M106" s="661"/>
      <c r="N106" s="661"/>
      <c r="O106" s="661"/>
      <c r="P106" s="662"/>
      <c r="CQ106" s="312">
        <v>1.2</v>
      </c>
      <c r="CR106" s="309">
        <f>$CR$52*$CQ106</f>
        <v>545.69439689071919</v>
      </c>
      <c r="CS106" s="312">
        <f>IF('VALUATION &amp; RETURNS'!$X$73=0,XIRR('VALUATION &amp; RETURNS'!$Y$73:$Z$73,'VALUATION &amp; RETURNS'!$Y$68:$Z$68),XIRR('VALUATION &amp; RETURNS'!$X$73:$Z$73,'VALUATION &amp; RETURNS'!$X$68:$Z$68))</f>
        <v>0.19098165631294253</v>
      </c>
      <c r="CT106" s="934" t="s">
        <v>1098</v>
      </c>
      <c r="CU106" s="937"/>
      <c r="CV106" s="937"/>
      <c r="CW106" s="937"/>
    </row>
    <row r="107" spans="2:116" ht="104" x14ac:dyDescent="0.35">
      <c r="B107" s="700" t="s">
        <v>1105</v>
      </c>
      <c r="C107" s="725" t="str">
        <f t="shared" si="43"/>
        <v>OK</v>
      </c>
      <c r="D107" s="702" t="str">
        <f t="shared" si="44"/>
        <v>EV + cash − debt − shareholder loans − other liabilities − selling costs.</v>
      </c>
      <c r="E107" s="702"/>
      <c r="F107" s="702" t="s">
        <v>1106</v>
      </c>
      <c r="G107" s="735" t="str">
        <f t="array" ref="G107">IF(SUMPRODUCT(--ISERROR(CQ2:GC160))=0,"OK","EXCEPTION: valuation engine errors")</f>
        <v>OK</v>
      </c>
      <c r="H107" s="702" t="s">
        <v>1107</v>
      </c>
      <c r="I107" s="661"/>
      <c r="J107" s="661"/>
      <c r="K107" s="661"/>
      <c r="L107" s="661"/>
      <c r="M107" s="661"/>
      <c r="N107" s="661"/>
      <c r="O107" s="661"/>
      <c r="P107" s="662"/>
    </row>
    <row r="108" spans="2:116" ht="104" x14ac:dyDescent="0.35">
      <c r="B108" s="700" t="s">
        <v>1108</v>
      </c>
      <c r="C108" s="725" t="str">
        <f t="shared" si="43"/>
        <v>OK</v>
      </c>
      <c r="D108" s="702" t="str">
        <f t="shared" si="44"/>
        <v>Funded ordinary-equity ownership in FUNDING &amp; CAP TABLE.</v>
      </c>
      <c r="E108" s="702"/>
      <c r="F108" s="702" t="s">
        <v>1109</v>
      </c>
      <c r="G108" s="735" t="str">
        <f t="array" ref="G108">IF(SUMPRODUCT(--ISERROR(B2:P107))+SUMPRODUCT(--ISERROR(B109:P118))=0,"OK","EXCEPTION: visible report errors")</f>
        <v>OK</v>
      </c>
      <c r="H108" s="702" t="s">
        <v>1110</v>
      </c>
      <c r="I108" s="661"/>
      <c r="J108" s="661"/>
      <c r="K108" s="661"/>
      <c r="L108" s="661"/>
      <c r="M108" s="661"/>
      <c r="N108" s="661"/>
      <c r="O108" s="661"/>
      <c r="P108" s="662"/>
    </row>
    <row r="109" spans="2:116" ht="117" x14ac:dyDescent="0.35">
      <c r="B109" s="700" t="s">
        <v>1111</v>
      </c>
      <c r="C109" s="725" t="str">
        <f t="shared" si="43"/>
        <v>OK</v>
      </c>
      <c r="D109" s="702" t="str">
        <f t="shared" si="44"/>
        <v>Named-investor values reconcile to the selected scenario equity value.</v>
      </c>
      <c r="E109" s="702"/>
      <c r="F109" s="702"/>
      <c r="G109" s="702"/>
      <c r="H109" s="702"/>
      <c r="I109" s="661"/>
      <c r="J109" s="661"/>
      <c r="K109" s="661"/>
      <c r="L109" s="661"/>
      <c r="M109" s="661"/>
      <c r="N109" s="661"/>
      <c r="O109" s="661"/>
      <c r="P109" s="662"/>
      <c r="CQ109" s="939" t="s">
        <v>1112</v>
      </c>
      <c r="CR109" s="937"/>
      <c r="CS109" s="937"/>
      <c r="CT109" s="937"/>
      <c r="CU109" s="937"/>
      <c r="CV109" s="937"/>
      <c r="CW109" s="937"/>
      <c r="CX109" s="937"/>
      <c r="CY109" s="937"/>
      <c r="CZ109" s="937"/>
      <c r="DA109" s="937"/>
      <c r="DB109" s="937"/>
      <c r="DC109" s="937"/>
      <c r="DD109" s="937"/>
      <c r="DE109" s="937"/>
      <c r="DF109" s="937"/>
      <c r="DG109" s="937"/>
      <c r="DH109" s="937"/>
      <c r="DI109" s="937"/>
      <c r="DJ109" s="937"/>
      <c r="DK109" s="937"/>
      <c r="DL109" s="937"/>
    </row>
    <row r="110" spans="2:116" ht="91" x14ac:dyDescent="0.35">
      <c r="B110" s="700" t="s">
        <v>1113</v>
      </c>
      <c r="C110" s="725" t="str">
        <f t="shared" si="43"/>
        <v>EXCEPTION</v>
      </c>
      <c r="D110" s="702" t="str">
        <f t="shared" si="44"/>
        <v>Debt: Underwriting!I75. Cash: Financial Statements!K33.</v>
      </c>
      <c r="E110" s="702"/>
      <c r="F110" s="702"/>
      <c r="G110" s="702"/>
      <c r="H110" s="702"/>
      <c r="I110" s="661"/>
      <c r="J110" s="661"/>
      <c r="K110" s="661"/>
      <c r="L110" s="661"/>
      <c r="M110" s="661"/>
      <c r="N110" s="661"/>
      <c r="O110" s="661"/>
      <c r="P110" s="662"/>
      <c r="CQ110" s="306" t="s">
        <v>1114</v>
      </c>
      <c r="CR110" s="306" t="s">
        <v>622</v>
      </c>
      <c r="CS110" s="980" t="s">
        <v>1115</v>
      </c>
      <c r="CT110" s="937"/>
      <c r="CU110" s="937"/>
      <c r="CV110" s="937"/>
      <c r="CW110" s="937"/>
      <c r="CX110" s="937"/>
      <c r="CY110" s="937"/>
      <c r="CZ110" s="937"/>
      <c r="DA110" s="937"/>
      <c r="DB110" s="937"/>
      <c r="DC110" s="937"/>
      <c r="DD110" s="937"/>
      <c r="DE110" s="937"/>
      <c r="DF110" s="937"/>
      <c r="DG110" s="937"/>
      <c r="DH110" s="937"/>
      <c r="DI110" s="937"/>
      <c r="DJ110" s="937"/>
      <c r="DK110" s="937"/>
      <c r="DL110" s="937"/>
    </row>
    <row r="111" spans="2:116" ht="143" x14ac:dyDescent="0.35">
      <c r="B111" s="700" t="s">
        <v>1116</v>
      </c>
      <c r="C111" s="725" t="str">
        <f t="shared" si="43"/>
        <v>OK</v>
      </c>
      <c r="D111" s="702" t="str">
        <f t="shared" si="44"/>
        <v>Base scenario project cash flows reconcile to the model's unlevered cash flows.</v>
      </c>
      <c r="E111" s="702"/>
      <c r="F111" s="702"/>
      <c r="G111" s="702"/>
      <c r="H111" s="702"/>
      <c r="I111" s="661"/>
      <c r="J111" s="661"/>
      <c r="K111" s="661"/>
      <c r="L111" s="661"/>
      <c r="M111" s="661"/>
      <c r="N111" s="661"/>
      <c r="O111" s="661"/>
      <c r="P111" s="662"/>
      <c r="CQ111" s="307" t="s">
        <v>1117</v>
      </c>
      <c r="CR111" s="322" t="str">
        <f>IF(ABS($CW$38-$DA$7)&lt;0.0001,"OK","EXCEPTION")</f>
        <v>OK</v>
      </c>
      <c r="CS111" s="934" t="s">
        <v>1118</v>
      </c>
      <c r="CT111" s="937"/>
      <c r="CU111" s="937"/>
      <c r="CV111" s="937"/>
      <c r="CW111" s="937"/>
      <c r="CX111" s="937"/>
      <c r="CY111" s="937"/>
      <c r="CZ111" s="937"/>
      <c r="DA111" s="937"/>
      <c r="DB111" s="937"/>
      <c r="DC111" s="937"/>
      <c r="DD111" s="937"/>
      <c r="DE111" s="937"/>
      <c r="DF111" s="937"/>
      <c r="DG111" s="937"/>
      <c r="DH111" s="937"/>
      <c r="DI111" s="937"/>
      <c r="DJ111" s="937"/>
      <c r="DK111" s="937"/>
      <c r="DL111" s="937"/>
    </row>
    <row r="112" spans="2:116" ht="117" x14ac:dyDescent="0.35">
      <c r="B112" s="700" t="s">
        <v>1119</v>
      </c>
      <c r="C112" s="725" t="str">
        <f t="shared" si="43"/>
        <v>OK</v>
      </c>
      <c r="D112" s="702" t="str">
        <f t="shared" si="44"/>
        <v>OpCo value is applied only where allocated property NOI is zero.</v>
      </c>
      <c r="E112" s="702"/>
      <c r="F112" s="702"/>
      <c r="G112" s="702"/>
      <c r="H112" s="702"/>
      <c r="I112" s="661"/>
      <c r="J112" s="661"/>
      <c r="K112" s="661"/>
      <c r="L112" s="661"/>
      <c r="M112" s="661"/>
      <c r="N112" s="661"/>
      <c r="O112" s="661"/>
      <c r="P112" s="662"/>
      <c r="CQ112" s="307" t="s">
        <v>1105</v>
      </c>
      <c r="CR112" s="322" t="str">
        <f>IF(ABS($CR$52-SUM($CR$44:$CR$45,$CR$47:$CR$50))&lt;0.0001,"OK","EXCEPTION")</f>
        <v>OK</v>
      </c>
      <c r="CS112" s="934" t="s">
        <v>980</v>
      </c>
      <c r="CT112" s="937"/>
      <c r="CU112" s="937"/>
      <c r="CV112" s="937"/>
      <c r="CW112" s="937"/>
      <c r="CX112" s="937"/>
      <c r="CY112" s="937"/>
      <c r="CZ112" s="937"/>
      <c r="DA112" s="937"/>
      <c r="DB112" s="937"/>
      <c r="DC112" s="937"/>
      <c r="DD112" s="937"/>
      <c r="DE112" s="937"/>
      <c r="DF112" s="937"/>
      <c r="DG112" s="937"/>
      <c r="DH112" s="937"/>
      <c r="DI112" s="937"/>
      <c r="DJ112" s="937"/>
      <c r="DK112" s="937"/>
      <c r="DL112" s="937"/>
    </row>
    <row r="113" spans="2:116" ht="247" x14ac:dyDescent="0.35">
      <c r="B113" s="700" t="s">
        <v>1120</v>
      </c>
      <c r="C113" s="725" t="str">
        <f t="shared" si="43"/>
        <v>OK</v>
      </c>
      <c r="D113" s="702" t="str">
        <f t="shared" si="44"/>
        <v>Static dependency scan of 63,392 formulas found no formula cycles; key valuation ranges remain formula-error controlled and iteration remains disabled.</v>
      </c>
      <c r="E113" s="702"/>
      <c r="F113" s="702"/>
      <c r="G113" s="702"/>
      <c r="H113" s="702"/>
      <c r="I113" s="661"/>
      <c r="J113" s="661"/>
      <c r="K113" s="661"/>
      <c r="L113" s="661"/>
      <c r="M113" s="661"/>
      <c r="N113" s="661"/>
      <c r="O113" s="661"/>
      <c r="P113" s="662"/>
      <c r="CQ113" s="307" t="s">
        <v>1108</v>
      </c>
      <c r="CR113" s="322" t="str">
        <f>IF(ABS('FUNDING &amp; CAP TABLE'!$F$18-1)&lt;0.000001,"OK","EXCEPTION: investor ownership")</f>
        <v>OK</v>
      </c>
      <c r="CS113" s="934" t="s">
        <v>1121</v>
      </c>
      <c r="CT113" s="937"/>
      <c r="CU113" s="937"/>
      <c r="CV113" s="937"/>
      <c r="CW113" s="937"/>
      <c r="CX113" s="937"/>
      <c r="CY113" s="937"/>
      <c r="CZ113" s="937"/>
      <c r="DA113" s="937"/>
      <c r="DB113" s="937"/>
      <c r="DC113" s="937"/>
      <c r="DD113" s="937"/>
      <c r="DE113" s="937"/>
      <c r="DF113" s="937"/>
      <c r="DG113" s="937"/>
      <c r="DH113" s="937"/>
      <c r="DI113" s="937"/>
      <c r="DJ113" s="937"/>
      <c r="DK113" s="937"/>
      <c r="DL113" s="937"/>
    </row>
    <row r="114" spans="2:116" ht="104" x14ac:dyDescent="0.35">
      <c r="B114" s="700" t="s">
        <v>1122</v>
      </c>
      <c r="C114" s="725" t="str">
        <f t="shared" si="43"/>
        <v>OK</v>
      </c>
      <c r="D114" s="702" t="str">
        <f t="shared" si="44"/>
        <v>Release-package QA: no externalLink parts were introduced.</v>
      </c>
      <c r="E114" s="702"/>
      <c r="F114" s="702"/>
      <c r="G114" s="702"/>
      <c r="H114" s="702"/>
      <c r="I114" s="661"/>
      <c r="J114" s="661"/>
      <c r="K114" s="661"/>
      <c r="L114" s="661"/>
      <c r="M114" s="661"/>
      <c r="N114" s="661"/>
      <c r="O114" s="661"/>
      <c r="P114" s="662"/>
      <c r="CQ114" s="307" t="s">
        <v>1111</v>
      </c>
      <c r="CR114" s="322" t="str">
        <f>IF(ABS($CX$70-INDEX($CW$75:$CW$77,MATCH($CR$7,$CQ$75:$CQ$77,0)))&lt;0.0001,"OK","EXCEPTION: investor exit values")</f>
        <v>OK</v>
      </c>
      <c r="CS114" s="934" t="s">
        <v>1123</v>
      </c>
      <c r="CT114" s="937"/>
      <c r="CU114" s="937"/>
      <c r="CV114" s="937"/>
      <c r="CW114" s="937"/>
      <c r="CX114" s="937"/>
      <c r="CY114" s="937"/>
      <c r="CZ114" s="937"/>
      <c r="DA114" s="937"/>
      <c r="DB114" s="937"/>
      <c r="DC114" s="937"/>
      <c r="DD114" s="937"/>
      <c r="DE114" s="937"/>
      <c r="DF114" s="937"/>
      <c r="DG114" s="937"/>
      <c r="DH114" s="937"/>
      <c r="DI114" s="937"/>
      <c r="DJ114" s="937"/>
      <c r="DK114" s="937"/>
      <c r="DL114" s="937"/>
    </row>
    <row r="115" spans="2:116" ht="130" x14ac:dyDescent="0.35">
      <c r="B115" s="700" t="s">
        <v>1124</v>
      </c>
      <c r="C115" s="725" t="str">
        <f t="shared" si="43"/>
        <v>OK</v>
      </c>
      <c r="D115" s="702" t="str">
        <f t="shared" si="44"/>
        <v>All rent-bearing components use allocated NOI divided by the selected cap rate.</v>
      </c>
      <c r="E115" s="702"/>
      <c r="F115" s="702"/>
      <c r="G115" s="702"/>
      <c r="H115" s="702"/>
      <c r="I115" s="661"/>
      <c r="J115" s="661"/>
      <c r="K115" s="661"/>
      <c r="L115" s="661"/>
      <c r="M115" s="661"/>
      <c r="N115" s="661"/>
      <c r="O115" s="661"/>
      <c r="P115" s="662"/>
      <c r="CQ115" s="307" t="s">
        <v>1125</v>
      </c>
      <c r="CR115" s="322" t="str">
        <f>IF(AND(ABS($CR$47+Underwriting!$I$75/1000000)&lt;0.0001,ABS($CR$45-$CR$16)&lt;0.0001),"OK","EXCEPTION")</f>
        <v>EXCEPTION</v>
      </c>
      <c r="CS115" s="934" t="s">
        <v>1126</v>
      </c>
      <c r="CT115" s="937"/>
      <c r="CU115" s="937"/>
      <c r="CV115" s="937"/>
      <c r="CW115" s="937"/>
      <c r="CX115" s="937"/>
      <c r="CY115" s="937"/>
      <c r="CZ115" s="937"/>
      <c r="DA115" s="937"/>
      <c r="DB115" s="937"/>
      <c r="DC115" s="937"/>
      <c r="DD115" s="937"/>
      <c r="DE115" s="937"/>
      <c r="DF115" s="937"/>
      <c r="DG115" s="937"/>
      <c r="DH115" s="937"/>
      <c r="DI115" s="937"/>
      <c r="DJ115" s="937"/>
      <c r="DK115" s="937"/>
      <c r="DL115" s="937"/>
    </row>
    <row r="116" spans="2:116" ht="104" x14ac:dyDescent="0.35">
      <c r="B116" s="700" t="s">
        <v>1127</v>
      </c>
      <c r="C116" s="725" t="str">
        <f t="shared" ref="C116:D118" si="45">CR123</f>
        <v>EXCEPTION</v>
      </c>
      <c r="D116" s="702" t="str">
        <f t="shared" si="45"/>
        <v>Investor allocations use funded ordinary-equity ownership.</v>
      </c>
      <c r="E116" s="702"/>
      <c r="F116" s="702"/>
      <c r="G116" s="702"/>
      <c r="H116" s="702"/>
      <c r="I116" s="661"/>
      <c r="J116" s="661"/>
      <c r="K116" s="661"/>
      <c r="L116" s="661"/>
      <c r="M116" s="661"/>
      <c r="N116" s="661"/>
      <c r="O116" s="661"/>
      <c r="P116" s="662"/>
      <c r="CQ116" s="307" t="s">
        <v>1128</v>
      </c>
      <c r="CR116" s="322" t="str">
        <f>IF(ABS(SUM($DN$25:$FE$25)-SUM(Underwriting!$L$211:$BC$211))&lt;1,"OK","EXCEPTION")</f>
        <v>OK</v>
      </c>
      <c r="CS116" s="934" t="s">
        <v>1129</v>
      </c>
      <c r="CT116" s="937"/>
      <c r="CU116" s="937"/>
      <c r="CV116" s="937"/>
      <c r="CW116" s="937"/>
      <c r="CX116" s="937"/>
      <c r="CY116" s="937"/>
      <c r="CZ116" s="937"/>
      <c r="DA116" s="937"/>
      <c r="DB116" s="937"/>
      <c r="DC116" s="937"/>
      <c r="DD116" s="937"/>
      <c r="DE116" s="937"/>
      <c r="DF116" s="937"/>
      <c r="DG116" s="937"/>
      <c r="DH116" s="937"/>
      <c r="DI116" s="937"/>
      <c r="DJ116" s="937"/>
      <c r="DK116" s="937"/>
      <c r="DL116" s="937"/>
    </row>
    <row r="117" spans="2:116" ht="117" x14ac:dyDescent="0.35">
      <c r="B117" s="700" t="s">
        <v>1130</v>
      </c>
      <c r="C117" s="725" t="str">
        <f t="shared" si="45"/>
        <v>OK</v>
      </c>
      <c r="D117" s="702" t="str">
        <f t="shared" si="45"/>
        <v>Selected investor value and MOIC must agree with the selected scenario.</v>
      </c>
      <c r="E117" s="702"/>
      <c r="F117" s="702"/>
      <c r="G117" s="702"/>
      <c r="H117" s="702"/>
      <c r="I117" s="661"/>
      <c r="J117" s="661"/>
      <c r="K117" s="661"/>
      <c r="L117" s="661"/>
      <c r="M117" s="661"/>
      <c r="N117" s="661"/>
      <c r="O117" s="661"/>
      <c r="P117" s="662"/>
      <c r="CQ117" s="307" t="s">
        <v>1131</v>
      </c>
      <c r="CR117" s="322" t="str">
        <f>IF(SUMPRODUCT(--($CW$26:$CW$37&lt;&gt;0),--($DB$26:$DB$37&lt;&gt;0))=0,"OK","EXCEPTION")</f>
        <v>OK</v>
      </c>
      <c r="CS117" s="934" t="s">
        <v>1132</v>
      </c>
      <c r="CT117" s="937"/>
      <c r="CU117" s="937"/>
      <c r="CV117" s="937"/>
      <c r="CW117" s="937"/>
      <c r="CX117" s="937"/>
      <c r="CY117" s="937"/>
      <c r="CZ117" s="937"/>
      <c r="DA117" s="937"/>
      <c r="DB117" s="937"/>
      <c r="DC117" s="937"/>
      <c r="DD117" s="937"/>
      <c r="DE117" s="937"/>
      <c r="DF117" s="937"/>
      <c r="DG117" s="937"/>
      <c r="DH117" s="937"/>
      <c r="DI117" s="937"/>
      <c r="DJ117" s="937"/>
      <c r="DK117" s="937"/>
      <c r="DL117" s="937"/>
    </row>
    <row r="118" spans="2:116" ht="91" x14ac:dyDescent="0.35">
      <c r="B118" s="704" t="s">
        <v>1133</v>
      </c>
      <c r="C118" s="726" t="str">
        <f t="shared" si="45"/>
        <v>OK</v>
      </c>
      <c r="D118" s="706" t="str">
        <f t="shared" si="45"/>
        <v>Each component is valued under one method only.</v>
      </c>
      <c r="E118" s="706"/>
      <c r="F118" s="706"/>
      <c r="G118" s="706"/>
      <c r="H118" s="706"/>
      <c r="I118" s="661"/>
      <c r="J118" s="661"/>
      <c r="K118" s="661"/>
      <c r="L118" s="661"/>
      <c r="M118" s="661"/>
      <c r="N118" s="661"/>
      <c r="O118" s="661"/>
      <c r="P118" s="662"/>
      <c r="CQ118" s="307" t="s">
        <v>1134</v>
      </c>
      <c r="CR118" s="567" t="str">
        <f>IF(SUMPRODUCT(--ISERROR($CQ$2:$GC$109))+SUMPRODUCT(--ISERROR($CQ$130:$GC$160))=0,"OK","EXCEPTION: valuation calculation chain")</f>
        <v>OK</v>
      </c>
      <c r="CS118" s="934" t="s">
        <v>1135</v>
      </c>
      <c r="CT118" s="937"/>
      <c r="CU118" s="937"/>
      <c r="CV118" s="937"/>
      <c r="CW118" s="937"/>
      <c r="CX118" s="937"/>
      <c r="CY118" s="937"/>
      <c r="CZ118" s="937"/>
      <c r="DA118" s="937"/>
      <c r="DB118" s="937"/>
      <c r="DC118" s="937"/>
      <c r="DD118" s="937"/>
      <c r="DE118" s="937"/>
      <c r="DF118" s="937"/>
      <c r="DG118" s="937"/>
      <c r="DH118" s="937"/>
      <c r="DI118" s="937"/>
      <c r="DJ118" s="937"/>
      <c r="DK118" s="937"/>
      <c r="DL118" s="937"/>
    </row>
    <row r="119" spans="2:116" x14ac:dyDescent="0.35">
      <c r="CQ119" s="307" t="s">
        <v>1136</v>
      </c>
      <c r="CR119" s="567" t="s">
        <v>1137</v>
      </c>
      <c r="CS119" s="934" t="s">
        <v>1138</v>
      </c>
      <c r="CT119" s="937"/>
      <c r="CU119" s="937"/>
      <c r="CV119" s="937"/>
      <c r="CW119" s="937"/>
      <c r="CX119" s="937"/>
      <c r="CY119" s="937"/>
      <c r="CZ119" s="937"/>
      <c r="DA119" s="937"/>
      <c r="DB119" s="937"/>
      <c r="DC119" s="937"/>
      <c r="DD119" s="937"/>
      <c r="DE119" s="937"/>
      <c r="DF119" s="937"/>
      <c r="DG119" s="937"/>
      <c r="DH119" s="937"/>
      <c r="DI119" s="937"/>
      <c r="DJ119" s="937"/>
      <c r="DK119" s="937"/>
      <c r="DL119" s="937"/>
    </row>
    <row r="120" spans="2:116" x14ac:dyDescent="0.35">
      <c r="CQ120" s="768" t="s">
        <v>1139</v>
      </c>
      <c r="CR120" s="769" t="str">
        <f>IF(ABS($CW$38-$DA$7)&lt;0.0001,"OK","EXCEPTION")</f>
        <v>OK</v>
      </c>
      <c r="CS120" s="978" t="s">
        <v>1140</v>
      </c>
      <c r="CT120" s="937"/>
      <c r="CU120" s="937"/>
      <c r="CV120" s="937"/>
      <c r="CW120" s="937"/>
      <c r="CX120" s="937"/>
      <c r="CY120" s="937"/>
      <c r="CZ120" s="937"/>
      <c r="DA120" s="937"/>
      <c r="DB120" s="937"/>
      <c r="DC120" s="937"/>
      <c r="DD120" s="937"/>
      <c r="DE120" s="937"/>
      <c r="DF120" s="937"/>
      <c r="DG120" s="937"/>
      <c r="DH120" s="937"/>
      <c r="DI120" s="937"/>
      <c r="DJ120" s="937"/>
      <c r="DK120" s="937"/>
      <c r="DL120" s="937"/>
    </row>
    <row r="121" spans="2:116" x14ac:dyDescent="0.35">
      <c r="CQ121" s="768" t="s">
        <v>1141</v>
      </c>
      <c r="CR121" s="769" t="str">
        <f>IF(OR($CR$10="",$CR$11=""),IF($DB$38=0,"OK","EXCEPTION"),"OK")</f>
        <v>OK</v>
      </c>
      <c r="CS121" s="978" t="s">
        <v>1142</v>
      </c>
      <c r="CT121" s="937"/>
      <c r="CU121" s="937"/>
      <c r="CV121" s="937"/>
      <c r="CW121" s="937"/>
      <c r="CX121" s="937"/>
      <c r="CY121" s="937"/>
      <c r="CZ121" s="937"/>
      <c r="DA121" s="937"/>
      <c r="DB121" s="937"/>
      <c r="DC121" s="937"/>
      <c r="DD121" s="937"/>
      <c r="DE121" s="937"/>
      <c r="DF121" s="937"/>
      <c r="DG121" s="937"/>
      <c r="DH121" s="937"/>
      <c r="DI121" s="937"/>
      <c r="DJ121" s="937"/>
      <c r="DK121" s="937"/>
      <c r="DL121" s="937"/>
    </row>
    <row r="122" spans="2:116" x14ac:dyDescent="0.35">
      <c r="CQ122" s="768" t="s">
        <v>1143</v>
      </c>
      <c r="CR122" s="769" t="str">
        <f>IF('INVESTOR REPORT'!$G$19="","OK","EXCEPTION")</f>
        <v>OK</v>
      </c>
      <c r="CS122" s="978" t="s">
        <v>1144</v>
      </c>
      <c r="CT122" s="937"/>
      <c r="CU122" s="937"/>
      <c r="CV122" s="937"/>
      <c r="CW122" s="937"/>
      <c r="CX122" s="937"/>
      <c r="CY122" s="937"/>
      <c r="CZ122" s="937"/>
      <c r="DA122" s="937"/>
      <c r="DB122" s="937"/>
      <c r="DC122" s="937"/>
      <c r="DD122" s="937"/>
      <c r="DE122" s="937"/>
      <c r="DF122" s="937"/>
      <c r="DG122" s="937"/>
      <c r="DH122" s="937"/>
      <c r="DI122" s="937"/>
      <c r="DJ122" s="937"/>
      <c r="DK122" s="937"/>
      <c r="DL122" s="937"/>
    </row>
    <row r="123" spans="2:116" ht="30" x14ac:dyDescent="0.35">
      <c r="CQ123" s="768" t="s">
        <v>1145</v>
      </c>
      <c r="CR123" s="769" t="str">
        <f>IF(ABS($CX$70-$CR$52)&lt;0.0001,"OK","EXCEPTION")</f>
        <v>EXCEPTION</v>
      </c>
      <c r="CS123" s="768" t="s">
        <v>1146</v>
      </c>
      <c r="CT123" s="322"/>
      <c r="CU123" s="307"/>
      <c r="CV123" s="322"/>
      <c r="CW123" s="307"/>
      <c r="CX123" s="322"/>
      <c r="CY123" s="307"/>
      <c r="CZ123" s="322"/>
      <c r="DA123" s="307"/>
      <c r="DB123" s="322"/>
      <c r="DC123" s="307"/>
      <c r="DD123" s="322"/>
      <c r="DE123" s="307"/>
      <c r="DF123" s="322"/>
      <c r="DG123" s="307"/>
      <c r="DH123" s="322"/>
      <c r="DI123" s="307"/>
      <c r="DJ123" s="322"/>
      <c r="DK123" s="307"/>
      <c r="DL123" s="322"/>
    </row>
    <row r="124" spans="2:116" ht="40" x14ac:dyDescent="0.35">
      <c r="CQ124" s="768" t="s">
        <v>1147</v>
      </c>
      <c r="CR124" s="898" t="str">
        <f>IF(AND(ABS('INVESTOR REPORT'!$J$9-INDEX($G$58:$I$65,MATCH('INVESTOR REPORT'!$C$3,$B$58:$B$65,0),MATCH($CR$7,{"Downside","Base","Upside"},0)))&lt;0.0001,ABS('INVESTOR REPORT'!$M$9-('INVESTOR REPORT'!$J$9/'INVESTOR REPORT'!$A$9))&lt;0.000001),"OK","EXCEPTION")</f>
        <v>OK</v>
      </c>
      <c r="CS124" s="768" t="s">
        <v>1148</v>
      </c>
      <c r="CT124" s="322"/>
      <c r="CU124" s="307"/>
      <c r="CV124" s="322"/>
      <c r="CW124" s="307"/>
      <c r="CX124" s="322"/>
      <c r="CY124" s="307"/>
      <c r="CZ124" s="322"/>
      <c r="DA124" s="307"/>
      <c r="DB124" s="322"/>
      <c r="DC124" s="307"/>
      <c r="DD124" s="322"/>
      <c r="DE124" s="307"/>
      <c r="DF124" s="322"/>
      <c r="DG124" s="307"/>
      <c r="DH124" s="322"/>
      <c r="DI124" s="307"/>
      <c r="DJ124" s="322"/>
      <c r="DK124" s="307"/>
      <c r="DL124" s="322"/>
    </row>
    <row r="125" spans="2:116" ht="30" x14ac:dyDescent="0.35">
      <c r="CQ125" s="768" t="s">
        <v>1149</v>
      </c>
      <c r="CR125" s="769" t="str">
        <f>IF(SUMPRODUCT(--($CW$26:$CW$37&lt;&gt;0),--($DB$26:$DB$37&lt;&gt;0))=0,"OK","EXCEPTION")</f>
        <v>OK</v>
      </c>
      <c r="CS125" s="768" t="s">
        <v>1150</v>
      </c>
      <c r="CT125" s="322"/>
      <c r="CU125" s="307"/>
      <c r="CV125" s="322"/>
      <c r="CW125" s="307"/>
      <c r="CX125" s="322"/>
      <c r="CY125" s="307"/>
      <c r="CZ125" s="322"/>
      <c r="DA125" s="307"/>
      <c r="DB125" s="322"/>
      <c r="DC125" s="307"/>
      <c r="DD125" s="322"/>
      <c r="DE125" s="307"/>
      <c r="DF125" s="322"/>
      <c r="DG125" s="307"/>
      <c r="DH125" s="322"/>
      <c r="DI125" s="307"/>
      <c r="DJ125" s="322"/>
      <c r="DK125" s="307"/>
      <c r="DL125" s="322"/>
    </row>
    <row r="126" spans="2:116" x14ac:dyDescent="0.35">
      <c r="CQ126" s="934" t="s">
        <v>1151</v>
      </c>
      <c r="CR126" s="937"/>
      <c r="CS126" s="937"/>
      <c r="CT126" s="937"/>
      <c r="CU126" s="937"/>
      <c r="CV126" s="937"/>
      <c r="CW126" s="937"/>
      <c r="CX126" s="937"/>
      <c r="CY126" s="937"/>
      <c r="CZ126" s="937"/>
      <c r="DA126" s="937"/>
      <c r="DB126" s="937"/>
      <c r="DC126" s="937"/>
      <c r="DD126" s="937"/>
      <c r="DE126" s="937"/>
      <c r="DF126" s="937"/>
      <c r="DG126" s="937"/>
      <c r="DH126" s="937"/>
      <c r="DI126" s="937"/>
      <c r="DJ126" s="937"/>
      <c r="DK126" s="937"/>
      <c r="DL126" s="937"/>
    </row>
    <row r="127" spans="2:116" x14ac:dyDescent="0.35">
      <c r="CQ127" s="934" t="s">
        <v>1152</v>
      </c>
      <c r="CR127" s="937"/>
      <c r="CS127" s="937"/>
      <c r="CT127" s="937"/>
      <c r="CU127" s="937"/>
      <c r="CV127" s="937"/>
      <c r="CW127" s="937"/>
      <c r="CX127" s="937"/>
      <c r="CY127" s="937"/>
      <c r="CZ127" s="937"/>
      <c r="DA127" s="937"/>
      <c r="DB127" s="937"/>
      <c r="DC127" s="937"/>
      <c r="DD127" s="937"/>
      <c r="DE127" s="937"/>
      <c r="DF127" s="937"/>
      <c r="DG127" s="937"/>
      <c r="DH127" s="937"/>
      <c r="DI127" s="937"/>
      <c r="DJ127" s="937"/>
      <c r="DK127" s="937"/>
      <c r="DL127" s="937"/>
    </row>
    <row r="128" spans="2:116" x14ac:dyDescent="0.35">
      <c r="CQ128" s="934" t="s">
        <v>1153</v>
      </c>
      <c r="CR128" s="937"/>
      <c r="CS128" s="937"/>
      <c r="CT128" s="937"/>
      <c r="CU128" s="937"/>
      <c r="CV128" s="937"/>
      <c r="CW128" s="937"/>
      <c r="CX128" s="937"/>
      <c r="CY128" s="937"/>
      <c r="CZ128" s="937"/>
      <c r="DA128" s="937"/>
      <c r="DB128" s="937"/>
      <c r="DC128" s="937"/>
      <c r="DD128" s="937"/>
      <c r="DE128" s="937"/>
      <c r="DF128" s="937"/>
      <c r="DG128" s="937"/>
      <c r="DH128" s="937"/>
      <c r="DI128" s="937"/>
      <c r="DJ128" s="937"/>
      <c r="DK128" s="937"/>
      <c r="DL128" s="937"/>
    </row>
    <row r="129" spans="95:116" x14ac:dyDescent="0.35">
      <c r="CQ129" s="934" t="s">
        <v>1154</v>
      </c>
      <c r="CR129" s="937"/>
      <c r="CS129" s="937"/>
      <c r="CT129" s="937"/>
      <c r="CU129" s="937"/>
      <c r="CV129" s="937"/>
      <c r="CW129" s="937"/>
      <c r="CX129" s="937"/>
      <c r="CY129" s="937"/>
      <c r="CZ129" s="937"/>
      <c r="DA129" s="937"/>
      <c r="DB129" s="937"/>
      <c r="DC129" s="937"/>
      <c r="DD129" s="937"/>
      <c r="DE129" s="937"/>
      <c r="DF129" s="937"/>
      <c r="DG129" s="937"/>
      <c r="DH129" s="937"/>
      <c r="DI129" s="937"/>
      <c r="DJ129" s="937"/>
      <c r="DK129" s="937"/>
      <c r="DL129" s="937"/>
    </row>
    <row r="130" spans="95:116" x14ac:dyDescent="0.35">
      <c r="CQ130" s="939" t="s">
        <v>1155</v>
      </c>
      <c r="CR130" s="937"/>
      <c r="CS130" s="937"/>
      <c r="CT130" s="937"/>
      <c r="CU130" s="937"/>
      <c r="CV130" s="937"/>
      <c r="CW130" s="937"/>
      <c r="CX130" s="937"/>
      <c r="CY130" s="937"/>
      <c r="CZ130" s="937"/>
      <c r="DA130" s="937"/>
      <c r="DB130" s="937"/>
      <c r="DC130" s="937"/>
      <c r="DD130" s="937"/>
      <c r="DE130" s="937"/>
    </row>
    <row r="132" spans="95:116" x14ac:dyDescent="0.35">
      <c r="CQ132" s="307" t="s">
        <v>1156</v>
      </c>
      <c r="CR132" s="313" t="s">
        <v>1157</v>
      </c>
      <c r="CS132" s="308" t="s">
        <v>1158</v>
      </c>
    </row>
    <row r="133" spans="95:116" x14ac:dyDescent="0.35">
      <c r="CQ133" s="307" t="s">
        <v>1159</v>
      </c>
      <c r="CR133" s="578">
        <f>'DATA MAP'!$E$265</f>
        <v>10</v>
      </c>
      <c r="CS133" s="308" t="s">
        <v>951</v>
      </c>
    </row>
    <row r="134" spans="95:116" ht="24" x14ac:dyDescent="0.35">
      <c r="CQ134" s="307" t="s">
        <v>1160</v>
      </c>
      <c r="CR134" s="579">
        <f>INDEX($CS$75:$CS$77,MATCH($CR$7,$CQ$75:$CQ$77,0))</f>
        <v>45.541921747395797</v>
      </c>
      <c r="CS134" s="308" t="s">
        <v>1161</v>
      </c>
    </row>
    <row r="135" spans="95:116" ht="24" x14ac:dyDescent="0.35">
      <c r="CQ135" s="307" t="s">
        <v>1162</v>
      </c>
      <c r="CR135" s="313">
        <f>'DATA MAP'!$E$266</f>
        <v>2.5000000000000001E-2</v>
      </c>
      <c r="CS135" s="308" t="s">
        <v>1163</v>
      </c>
    </row>
    <row r="136" spans="95:116" x14ac:dyDescent="0.35">
      <c r="CQ136" s="307" t="s">
        <v>1164</v>
      </c>
      <c r="CR136" s="312">
        <f>IFERROR(Underwriting!$I$152/Underwriting!$I$140,0)</f>
        <v>0</v>
      </c>
      <c r="CS136" s="308" t="s">
        <v>1165</v>
      </c>
    </row>
    <row r="137" spans="95:116" x14ac:dyDescent="0.35">
      <c r="CQ137" s="307" t="s">
        <v>753</v>
      </c>
      <c r="CR137" s="312">
        <f>$CR$8</f>
        <v>0.08</v>
      </c>
      <c r="CS137" s="308" t="s">
        <v>83</v>
      </c>
    </row>
    <row r="138" spans="95:116" x14ac:dyDescent="0.35">
      <c r="CQ138" s="307" t="s">
        <v>829</v>
      </c>
      <c r="CR138" s="580">
        <f>INDEX($CT$75:$CT$77,MATCH($CR$7,$CQ$75:$CQ$77,0))</f>
        <v>6.7008196721311475E-2</v>
      </c>
      <c r="CS138" s="308" t="s">
        <v>83</v>
      </c>
    </row>
    <row r="139" spans="95:116" x14ac:dyDescent="0.35">
      <c r="CQ139" s="307" t="s">
        <v>1166</v>
      </c>
      <c r="CR139" s="312">
        <f>Underwriting!$I$163</f>
        <v>0.02</v>
      </c>
      <c r="CS139" s="308" t="s">
        <v>83</v>
      </c>
    </row>
    <row r="140" spans="95:116" ht="24" x14ac:dyDescent="0.35">
      <c r="CQ140" s="307" t="s">
        <v>1167</v>
      </c>
      <c r="CR140" s="579">
        <f>INDEX(DEBT!$N$37:$N$39,MATCH($CR$7,DEBT!$J$37:$J$39,0))/1000000</f>
        <v>226.69527028357652</v>
      </c>
      <c r="CS140" s="308" t="s">
        <v>1168</v>
      </c>
    </row>
    <row r="141" spans="95:116" ht="24" x14ac:dyDescent="0.35">
      <c r="CQ141" s="307" t="s">
        <v>1169</v>
      </c>
      <c r="CR141" s="581">
        <f>INDEX(DEBT!$M$37:$M$39,MATCH($CR$7,DEBT!$J$37:$J$39,0))/1000000</f>
        <v>224.42831758074075</v>
      </c>
      <c r="CS141" s="308" t="s">
        <v>1170</v>
      </c>
    </row>
    <row r="142" spans="95:116" x14ac:dyDescent="0.35">
      <c r="CQ142" t="s">
        <v>1171</v>
      </c>
      <c r="CR142" s="899">
        <f>Underwriting!$E$81</f>
        <v>6.5000000000000002E-2</v>
      </c>
      <c r="CS142" t="s">
        <v>83</v>
      </c>
    </row>
    <row r="144" spans="95:116" x14ac:dyDescent="0.35">
      <c r="CQ144" s="307" t="s">
        <v>1172</v>
      </c>
      <c r="CR144" s="306">
        <v>0</v>
      </c>
      <c r="CS144" s="306">
        <v>1</v>
      </c>
      <c r="CT144" s="306">
        <v>2</v>
      </c>
      <c r="CU144" s="306">
        <v>3</v>
      </c>
      <c r="CV144" s="306">
        <v>4</v>
      </c>
      <c r="CW144" s="306">
        <v>5</v>
      </c>
      <c r="CX144" s="306">
        <v>6</v>
      </c>
      <c r="CY144" s="306">
        <v>7</v>
      </c>
      <c r="CZ144" s="306">
        <v>8</v>
      </c>
      <c r="DA144" s="306">
        <v>9</v>
      </c>
      <c r="DB144" s="306">
        <v>10</v>
      </c>
      <c r="DC144" s="306"/>
    </row>
    <row r="145" spans="95:106" x14ac:dyDescent="0.35">
      <c r="CQ145" s="307" t="s">
        <v>1173</v>
      </c>
      <c r="CR145" s="582">
        <f>DEBT!$B$35</f>
        <v>47695</v>
      </c>
      <c r="CS145" s="582">
        <f t="shared" ref="CS145:DB145" si="46">EDATE(CR145,12)</f>
        <v>48060</v>
      </c>
      <c r="CT145" s="582">
        <f t="shared" si="46"/>
        <v>48426</v>
      </c>
      <c r="CU145" s="582">
        <f t="shared" si="46"/>
        <v>48791</v>
      </c>
      <c r="CV145" s="582">
        <f t="shared" si="46"/>
        <v>49156</v>
      </c>
      <c r="CW145" s="582">
        <f t="shared" si="46"/>
        <v>49521</v>
      </c>
      <c r="CX145" s="582">
        <f t="shared" si="46"/>
        <v>49887</v>
      </c>
      <c r="CY145" s="582">
        <f t="shared" si="46"/>
        <v>50252</v>
      </c>
      <c r="CZ145" s="582">
        <f t="shared" si="46"/>
        <v>50617</v>
      </c>
      <c r="DA145" s="582">
        <f t="shared" si="46"/>
        <v>50982</v>
      </c>
      <c r="DB145" s="582">
        <f t="shared" si="46"/>
        <v>51348</v>
      </c>
    </row>
    <row r="146" spans="95:106" x14ac:dyDescent="0.35">
      <c r="CQ146" s="305" t="s">
        <v>368</v>
      </c>
      <c r="CR146" s="583">
        <v>0</v>
      </c>
      <c r="CS146" s="583">
        <f>$CR$134</f>
        <v>45.541921747395797</v>
      </c>
      <c r="CT146" s="583">
        <f t="shared" ref="CT146:DB146" si="47">CS146*(1+$CR$135)</f>
        <v>46.680469791080689</v>
      </c>
      <c r="CU146" s="583">
        <f t="shared" si="47"/>
        <v>47.847481535857703</v>
      </c>
      <c r="CV146" s="583">
        <f t="shared" si="47"/>
        <v>49.043668574254141</v>
      </c>
      <c r="CW146" s="583">
        <f t="shared" si="47"/>
        <v>50.269760288610492</v>
      </c>
      <c r="CX146" s="583">
        <f t="shared" si="47"/>
        <v>51.526504295825752</v>
      </c>
      <c r="CY146" s="583">
        <f t="shared" si="47"/>
        <v>52.814666903221394</v>
      </c>
      <c r="CZ146" s="583">
        <f t="shared" si="47"/>
        <v>54.135033575801927</v>
      </c>
      <c r="DA146" s="583">
        <f t="shared" si="47"/>
        <v>55.488409415196969</v>
      </c>
      <c r="DB146" s="583">
        <f t="shared" si="47"/>
        <v>56.875619650576887</v>
      </c>
    </row>
    <row r="147" spans="95:106" x14ac:dyDescent="0.35">
      <c r="CQ147" s="307" t="s">
        <v>1174</v>
      </c>
      <c r="CR147" s="583">
        <v>0</v>
      </c>
      <c r="CS147" s="583">
        <f t="shared" ref="CS147:DB147" si="48">-CS146*$CR$136</f>
        <v>0</v>
      </c>
      <c r="CT147" s="583">
        <f t="shared" si="48"/>
        <v>0</v>
      </c>
      <c r="CU147" s="583">
        <f t="shared" si="48"/>
        <v>0</v>
      </c>
      <c r="CV147" s="583">
        <f t="shared" si="48"/>
        <v>0</v>
      </c>
      <c r="CW147" s="583">
        <f t="shared" si="48"/>
        <v>0</v>
      </c>
      <c r="CX147" s="583">
        <f t="shared" si="48"/>
        <v>0</v>
      </c>
      <c r="CY147" s="583">
        <f t="shared" si="48"/>
        <v>0</v>
      </c>
      <c r="CZ147" s="583">
        <f t="shared" si="48"/>
        <v>0</v>
      </c>
      <c r="DA147" s="583">
        <f t="shared" si="48"/>
        <v>0</v>
      </c>
      <c r="DB147" s="583">
        <f t="shared" si="48"/>
        <v>0</v>
      </c>
    </row>
    <row r="148" spans="95:106" x14ac:dyDescent="0.35">
      <c r="CQ148" s="305" t="s">
        <v>1175</v>
      </c>
      <c r="CR148" s="583">
        <v>0</v>
      </c>
      <c r="CS148" s="900">
        <f>-MAX(0,CS146+CS147+CS152)*'URWLD COMPANY INPUTS'!$F$790</f>
        <v>-9.2420187536889973</v>
      </c>
      <c r="CT148" s="900">
        <f>-MAX(0,CT146+CT147+CT152)*'URWLD COMPANY INPUTS'!$F$790</f>
        <v>-9.7309350924787879</v>
      </c>
      <c r="CU148" s="900">
        <f>-MAX(0,CU146+CU147+CU152)*'URWLD COMPANY INPUTS'!$F$790</f>
        <v>-10.228390541596218</v>
      </c>
      <c r="CV148" s="900">
        <f>-MAX(0,CV146+CV147+CV152)*'URWLD COMPANY INPUTS'!$F$790</f>
        <v>-10.734598578799474</v>
      </c>
      <c r="CW148" s="900">
        <f>-MAX(0,CW146+CW147+CW152)*'URWLD COMPANY INPUTS'!$F$790</f>
        <v>-11.249778018790705</v>
      </c>
      <c r="CX148" s="900">
        <f>-MAX(0,CX146+CX147+CX152)*'URWLD COMPANY INPUTS'!$F$790</f>
        <v>-11.774153146639607</v>
      </c>
      <c r="CY148" s="900">
        <f>-MAX(0,CY146+CY147+CY152)*'URWLD COMPANY INPUTS'!$F$790</f>
        <v>-12.307953854542626</v>
      </c>
      <c r="CZ148" s="900">
        <f>-MAX(0,CZ146+CZ147+CZ152)*'URWLD COMPANY INPUTS'!$F$790</f>
        <v>-12.85141578200111</v>
      </c>
      <c r="DA148" s="900">
        <f>-MAX(0,DA146+DA147+DA152)*'URWLD COMPANY INPUTS'!$F$790</f>
        <v>-13.404780459503947</v>
      </c>
      <c r="DB148" s="900">
        <f>-MAX(0,DB146+DB147+DB152)*'URWLD COMPANY INPUTS'!$F$790</f>
        <v>-13.968295455802245</v>
      </c>
    </row>
    <row r="149" spans="95:106" x14ac:dyDescent="0.35">
      <c r="CQ149" s="307" t="s">
        <v>785</v>
      </c>
      <c r="CR149" s="583">
        <v>0</v>
      </c>
      <c r="CS149" s="583">
        <f>0</f>
        <v>0</v>
      </c>
      <c r="CT149" s="583">
        <f>0</f>
        <v>0</v>
      </c>
      <c r="CU149" s="583">
        <f>0</f>
        <v>0</v>
      </c>
      <c r="CV149" s="583">
        <f>0</f>
        <v>0</v>
      </c>
      <c r="CW149" s="583">
        <f>0</f>
        <v>0</v>
      </c>
      <c r="CX149" s="583">
        <f>0</f>
        <v>0</v>
      </c>
      <c r="CY149" s="583">
        <f>0</f>
        <v>0</v>
      </c>
      <c r="CZ149" s="583">
        <f>0</f>
        <v>0</v>
      </c>
      <c r="DA149" s="583">
        <f>0</f>
        <v>0</v>
      </c>
      <c r="DB149" s="583">
        <f>DB146*(1+$CR$135)/$CR$138*(1-$CR$139)</f>
        <v>852.6055428206173</v>
      </c>
    </row>
    <row r="150" spans="95:106" x14ac:dyDescent="0.35">
      <c r="CQ150" s="307" t="s">
        <v>1176</v>
      </c>
      <c r="CR150" s="583">
        <f>-($CR$140+$CR$141)</f>
        <v>-451.1235878643173</v>
      </c>
      <c r="CS150" s="583">
        <f t="shared" ref="CS150:DB150" si="49">CS146+CS147+CS148+CS149</f>
        <v>36.299902993706802</v>
      </c>
      <c r="CT150" s="583">
        <f t="shared" si="49"/>
        <v>36.949534698601902</v>
      </c>
      <c r="CU150" s="583">
        <f t="shared" si="49"/>
        <v>37.619090994261484</v>
      </c>
      <c r="CV150" s="583">
        <f t="shared" si="49"/>
        <v>38.309069995454664</v>
      </c>
      <c r="CW150" s="583">
        <f t="shared" si="49"/>
        <v>39.019982269819785</v>
      </c>
      <c r="CX150" s="583">
        <f t="shared" si="49"/>
        <v>39.752351149186147</v>
      </c>
      <c r="CY150" s="583">
        <f t="shared" si="49"/>
        <v>40.506713048678769</v>
      </c>
      <c r="CZ150" s="583">
        <f t="shared" si="49"/>
        <v>41.283617793800815</v>
      </c>
      <c r="DA150" s="583">
        <f t="shared" si="49"/>
        <v>42.083628955693023</v>
      </c>
      <c r="DB150" s="583">
        <f t="shared" si="49"/>
        <v>895.51286701539198</v>
      </c>
    </row>
    <row r="151" spans="95:106" x14ac:dyDescent="0.35">
      <c r="CQ151" s="307" t="s">
        <v>1177</v>
      </c>
      <c r="CR151" s="583">
        <v>0</v>
      </c>
      <c r="CS151" s="583">
        <f>$CR$140</f>
        <v>226.69527028357652</v>
      </c>
      <c r="CT151" s="583">
        <f t="shared" ref="CT151:DB151" si="50">CS154</f>
        <v>219.13876127412396</v>
      </c>
      <c r="CU151" s="583">
        <f t="shared" si="50"/>
        <v>211.58225226467141</v>
      </c>
      <c r="CV151" s="583">
        <f t="shared" si="50"/>
        <v>204.02574325521886</v>
      </c>
      <c r="CW151" s="583">
        <f t="shared" si="50"/>
        <v>196.4692342457663</v>
      </c>
      <c r="CX151" s="583">
        <f t="shared" si="50"/>
        <v>188.91272523631375</v>
      </c>
      <c r="CY151" s="583">
        <f t="shared" si="50"/>
        <v>181.35621622686119</v>
      </c>
      <c r="CZ151" s="583">
        <f t="shared" si="50"/>
        <v>173.79970721740864</v>
      </c>
      <c r="DA151" s="583">
        <f t="shared" si="50"/>
        <v>166.24319820795608</v>
      </c>
      <c r="DB151" s="583">
        <f t="shared" si="50"/>
        <v>158.68668919850353</v>
      </c>
    </row>
    <row r="152" spans="95:106" x14ac:dyDescent="0.35">
      <c r="CQ152" s="307" t="s">
        <v>1178</v>
      </c>
      <c r="CR152" s="583">
        <v>0</v>
      </c>
      <c r="CS152" s="583">
        <f t="shared" ref="CS152:DB152" si="51">-CS151*$CR$142</f>
        <v>-14.735192568432474</v>
      </c>
      <c r="CT152" s="583">
        <f t="shared" si="51"/>
        <v>-14.244019482818059</v>
      </c>
      <c r="CU152" s="583">
        <f t="shared" si="51"/>
        <v>-13.752846397203642</v>
      </c>
      <c r="CV152" s="583">
        <f t="shared" si="51"/>
        <v>-13.261673311589226</v>
      </c>
      <c r="CW152" s="583">
        <f t="shared" si="51"/>
        <v>-12.770500225974811</v>
      </c>
      <c r="CX152" s="583">
        <f t="shared" si="51"/>
        <v>-12.279327140360394</v>
      </c>
      <c r="CY152" s="583">
        <f t="shared" si="51"/>
        <v>-11.788154054745977</v>
      </c>
      <c r="CZ152" s="583">
        <f t="shared" si="51"/>
        <v>-11.296980969131562</v>
      </c>
      <c r="DA152" s="583">
        <f t="shared" si="51"/>
        <v>-10.805807883517145</v>
      </c>
      <c r="DB152" s="583">
        <f t="shared" si="51"/>
        <v>-10.31463479790273</v>
      </c>
    </row>
    <row r="153" spans="95:106" x14ac:dyDescent="0.35">
      <c r="CQ153" s="305" t="s">
        <v>1179</v>
      </c>
      <c r="CR153" s="583">
        <v>0</v>
      </c>
      <c r="CS153" s="583">
        <f>-MIN(CS151,$CR$140/MAX(1,DEBT!$B$42))</f>
        <v>-7.5565090094525509</v>
      </c>
      <c r="CT153" s="583">
        <f>-MIN(CT151,$CR$140/MAX(1,DEBT!$B$42))</f>
        <v>-7.5565090094525509</v>
      </c>
      <c r="CU153" s="583">
        <f>-MIN(CU151,$CR$140/MAX(1,DEBT!$B$42))</f>
        <v>-7.5565090094525509</v>
      </c>
      <c r="CV153" s="583">
        <f>-MIN(CV151,$CR$140/MAX(1,DEBT!$B$42))</f>
        <v>-7.5565090094525509</v>
      </c>
      <c r="CW153" s="583">
        <f>-MIN(CW151,$CR$140/MAX(1,DEBT!$B$42))</f>
        <v>-7.5565090094525509</v>
      </c>
      <c r="CX153" s="583">
        <f>-MIN(CX151,$CR$140/MAX(1,DEBT!$B$42))</f>
        <v>-7.5565090094525509</v>
      </c>
      <c r="CY153" s="583">
        <f>-MIN(CY151,$CR$140/MAX(1,DEBT!$B$42))</f>
        <v>-7.5565090094525509</v>
      </c>
      <c r="CZ153" s="583">
        <f>-MIN(CZ151,$CR$140/MAX(1,DEBT!$B$42))</f>
        <v>-7.5565090094525509</v>
      </c>
      <c r="DA153" s="583">
        <f>-MIN(DA151,$CR$140/MAX(1,DEBT!$B$42))</f>
        <v>-7.5565090094525509</v>
      </c>
      <c r="DB153" s="583">
        <f>-DB151</f>
        <v>-158.68668919850353</v>
      </c>
    </row>
    <row r="154" spans="95:106" x14ac:dyDescent="0.35">
      <c r="CQ154" s="305" t="s">
        <v>1180</v>
      </c>
      <c r="CR154" s="583">
        <v>0</v>
      </c>
      <c r="CS154" s="583">
        <f t="shared" ref="CS154:DB154" si="52">MAX(0,CS151+CS153)</f>
        <v>219.13876127412396</v>
      </c>
      <c r="CT154" s="583">
        <f t="shared" si="52"/>
        <v>211.58225226467141</v>
      </c>
      <c r="CU154" s="583">
        <f t="shared" si="52"/>
        <v>204.02574325521886</v>
      </c>
      <c r="CV154" s="583">
        <f t="shared" si="52"/>
        <v>196.4692342457663</v>
      </c>
      <c r="CW154" s="583">
        <f t="shared" si="52"/>
        <v>188.91272523631375</v>
      </c>
      <c r="CX154" s="583">
        <f t="shared" si="52"/>
        <v>181.35621622686119</v>
      </c>
      <c r="CY154" s="583">
        <f t="shared" si="52"/>
        <v>173.79970721740864</v>
      </c>
      <c r="CZ154" s="583">
        <f t="shared" si="52"/>
        <v>166.24319820795608</v>
      </c>
      <c r="DA154" s="583">
        <f t="shared" si="52"/>
        <v>158.68668919850353</v>
      </c>
      <c r="DB154" s="583">
        <f t="shared" si="52"/>
        <v>0</v>
      </c>
    </row>
    <row r="155" spans="95:106" x14ac:dyDescent="0.35">
      <c r="CQ155" s="305" t="s">
        <v>1181</v>
      </c>
      <c r="CR155" s="583">
        <f>-$CR$141</f>
        <v>-224.42831758074075</v>
      </c>
      <c r="CS155" s="583">
        <f t="shared" ref="CS155:DB155" si="53">CS150+CS152+CS153</f>
        <v>14.008201415821777</v>
      </c>
      <c r="CT155" s="583">
        <f t="shared" si="53"/>
        <v>15.14900620633129</v>
      </c>
      <c r="CU155" s="583">
        <f t="shared" si="53"/>
        <v>16.309735587605292</v>
      </c>
      <c r="CV155" s="583">
        <f t="shared" si="53"/>
        <v>17.490887674412885</v>
      </c>
      <c r="CW155" s="583">
        <f t="shared" si="53"/>
        <v>18.692973034392423</v>
      </c>
      <c r="CX155" s="583">
        <f t="shared" si="53"/>
        <v>19.916514999373202</v>
      </c>
      <c r="CY155" s="583">
        <f t="shared" si="53"/>
        <v>21.162049984480241</v>
      </c>
      <c r="CZ155" s="583">
        <f t="shared" si="53"/>
        <v>22.430127815216704</v>
      </c>
      <c r="DA155" s="583">
        <f t="shared" si="53"/>
        <v>23.721312062723324</v>
      </c>
      <c r="DB155" s="583">
        <f t="shared" si="53"/>
        <v>726.51154301898578</v>
      </c>
    </row>
    <row r="156" spans="95:106" x14ac:dyDescent="0.35">
      <c r="CQ156" s="307" t="s">
        <v>936</v>
      </c>
      <c r="CR156" s="573">
        <f>IF(AND(COUNTIF($CR$150:$DB$150,"&lt;0")&gt;0,COUNTIF($CR$150:$DB$150,"&gt;0")&gt;0),XIRR($CR$150:$DB$150,$CR$145:$DB$145),"N/M")</f>
        <v>0.13328317999839781</v>
      </c>
    </row>
    <row r="157" spans="95:106" x14ac:dyDescent="0.35">
      <c r="CQ157" s="307" t="s">
        <v>1182</v>
      </c>
      <c r="CR157" s="573">
        <f>IF(AND(COUNTIF($CR$155:$DB$155,"&lt;0")&gt;0,COUNTIF($CR$155:$DB$155,"&gt;0")&gt;0),XIRR($CR$155:$DB$155,$CR$145:$DB$145),"N/M")</f>
        <v>0.17289964556694032</v>
      </c>
      <c r="CS157" s="584">
        <f>IF(SUMIF($CR$155:$DB$155,"&lt;0")=0,"N/M",SUMIF($CR$155:$DB$155,"&gt;0")/-SUMIF($CR$155:$DB$155,"&lt;0"))</f>
        <v>3.9896585308456669</v>
      </c>
    </row>
    <row r="159" spans="95:106" ht="60" x14ac:dyDescent="0.35">
      <c r="CQ159" s="307" t="s">
        <v>1183</v>
      </c>
      <c r="CR159" s="322" t="str">
        <f>IF(AND($CR$133&lt;&gt;Underwriting!$I$16,$CR$145&lt;&gt;Underwriting!$I$15,$CR$133&gt;0),"OK","EXCEPTION: hold strategy is not independent")</f>
        <v>OK</v>
      </c>
      <c r="CS159" s="308" t="s">
        <v>1184</v>
      </c>
    </row>
    <row r="160" spans="95:106" ht="36" x14ac:dyDescent="0.35">
      <c r="CQ160" s="307" t="s">
        <v>1185</v>
      </c>
      <c r="CR160" s="322" t="str">
        <f>IF(ABS($DB$154)&lt;0.0001,"OK","EXCEPTION: Build &amp; Hold debt remains at exit")</f>
        <v>OK</v>
      </c>
      <c r="CS160" s="308" t="s">
        <v>1186</v>
      </c>
    </row>
  </sheetData>
  <mergeCells count="171">
    <mergeCell ref="GE22:GI22"/>
    <mergeCell ref="B104:P104"/>
    <mergeCell ref="B76:P76"/>
    <mergeCell ref="B77:P77"/>
    <mergeCell ref="B79:H79"/>
    <mergeCell ref="J79:P79"/>
    <mergeCell ref="B91:H91"/>
    <mergeCell ref="J91:P91"/>
    <mergeCell ref="CQ24:DL24"/>
    <mergeCell ref="DD25:DL25"/>
    <mergeCell ref="DD26:DL26"/>
    <mergeCell ref="DD33:DL33"/>
    <mergeCell ref="DD34:DL34"/>
    <mergeCell ref="DD35:DL35"/>
    <mergeCell ref="DD36:DL36"/>
    <mergeCell ref="DD37:DL37"/>
    <mergeCell ref="J96:P96"/>
    <mergeCell ref="CT52:CX52"/>
    <mergeCell ref="CT53:CX53"/>
    <mergeCell ref="CQ78:DL78"/>
    <mergeCell ref="DC43:DL43"/>
    <mergeCell ref="DC44:DL44"/>
    <mergeCell ref="DC45:DL45"/>
    <mergeCell ref="DC46:DL46"/>
    <mergeCell ref="DC13:DL13"/>
    <mergeCell ref="DC14:DL14"/>
    <mergeCell ref="CS13:CX13"/>
    <mergeCell ref="CS14:CX14"/>
    <mergeCell ref="DC52:DL52"/>
    <mergeCell ref="DC53:DL53"/>
    <mergeCell ref="CT54:CX54"/>
    <mergeCell ref="CT55:CX55"/>
    <mergeCell ref="CT47:CX47"/>
    <mergeCell ref="CT48:CX48"/>
    <mergeCell ref="CT49:CX49"/>
    <mergeCell ref="CT50:CX50"/>
    <mergeCell ref="DC15:DL15"/>
    <mergeCell ref="DC42:DL42"/>
    <mergeCell ref="CS16:CX16"/>
    <mergeCell ref="CQ18:CX18"/>
    <mergeCell ref="DD27:DL27"/>
    <mergeCell ref="CQ38:CR38"/>
    <mergeCell ref="CS17:CX17"/>
    <mergeCell ref="DC18:DL18"/>
    <mergeCell ref="DC19:DL19"/>
    <mergeCell ref="CS15:CX15"/>
    <mergeCell ref="DC51:DL51"/>
    <mergeCell ref="CT42:CX42"/>
    <mergeCell ref="CS9:CX9"/>
    <mergeCell ref="CS10:CX10"/>
    <mergeCell ref="DC9:DL9"/>
    <mergeCell ref="DC10:DL10"/>
    <mergeCell ref="DC12:DL12"/>
    <mergeCell ref="DC11:DL11"/>
    <mergeCell ref="CS12:CX12"/>
    <mergeCell ref="CS11:CX11"/>
    <mergeCell ref="DB2:DL2"/>
    <mergeCell ref="CQ3:DL3"/>
    <mergeCell ref="CQ4:DL4"/>
    <mergeCell ref="CQ5:DL5"/>
    <mergeCell ref="CQ6:CX6"/>
    <mergeCell ref="CZ6:DL6"/>
    <mergeCell ref="CQ2:DA2"/>
    <mergeCell ref="CS7:CX7"/>
    <mergeCell ref="CS8:CX8"/>
    <mergeCell ref="DC7:DL7"/>
    <mergeCell ref="DC8:DL8"/>
    <mergeCell ref="DC57:DL57"/>
    <mergeCell ref="CQ60:DL60"/>
    <mergeCell ref="DC16:DL16"/>
    <mergeCell ref="DC17:DL17"/>
    <mergeCell ref="DC20:DL20"/>
    <mergeCell ref="DC21:DL21"/>
    <mergeCell ref="DC22:DL22"/>
    <mergeCell ref="DD32:DL32"/>
    <mergeCell ref="DC47:DL47"/>
    <mergeCell ref="DC48:DL48"/>
    <mergeCell ref="DC49:DL49"/>
    <mergeCell ref="DD38:DL38"/>
    <mergeCell ref="CQ39:DL39"/>
    <mergeCell ref="CQ41:CX41"/>
    <mergeCell ref="CZ41:DL41"/>
    <mergeCell ref="DD28:DL28"/>
    <mergeCell ref="DD29:DL29"/>
    <mergeCell ref="DD30:DL30"/>
    <mergeCell ref="DD31:DL31"/>
    <mergeCell ref="DC54:DL54"/>
    <mergeCell ref="DC55:DL55"/>
    <mergeCell ref="CT43:CX43"/>
    <mergeCell ref="CT44:CX44"/>
    <mergeCell ref="CT51:CX51"/>
    <mergeCell ref="CS116:DL116"/>
    <mergeCell ref="DE63:DL63"/>
    <mergeCell ref="DE64:DL64"/>
    <mergeCell ref="CQ73:DL73"/>
    <mergeCell ref="DE61:DL61"/>
    <mergeCell ref="DE62:DL62"/>
    <mergeCell ref="CY98:DD98"/>
    <mergeCell ref="CQ80:CW80"/>
    <mergeCell ref="CY80:DE80"/>
    <mergeCell ref="CQ90:CW90"/>
    <mergeCell ref="CY90:DE90"/>
    <mergeCell ref="CT106:CW106"/>
    <mergeCell ref="CS112:DL112"/>
    <mergeCell ref="CS115:DL115"/>
    <mergeCell ref="CS113:DL113"/>
    <mergeCell ref="CS114:DL114"/>
    <mergeCell ref="CQ109:DL109"/>
    <mergeCell ref="CS110:DL110"/>
    <mergeCell ref="CS111:DL111"/>
    <mergeCell ref="CQ100:CW100"/>
    <mergeCell ref="CT102:CW102"/>
    <mergeCell ref="CT103:CW103"/>
    <mergeCell ref="CT104:CW104"/>
    <mergeCell ref="CT105:CW105"/>
    <mergeCell ref="CQ130:DE130"/>
    <mergeCell ref="CS121:DL121"/>
    <mergeCell ref="CS122:DL122"/>
    <mergeCell ref="CQ126:DL126"/>
    <mergeCell ref="CQ127:DL127"/>
    <mergeCell ref="CQ128:DL128"/>
    <mergeCell ref="CQ129:DL129"/>
    <mergeCell ref="CS117:DL117"/>
    <mergeCell ref="CS118:DL118"/>
    <mergeCell ref="CS119:DL119"/>
    <mergeCell ref="CS120:DL120"/>
    <mergeCell ref="B54:P54"/>
    <mergeCell ref="DC50:DL50"/>
    <mergeCell ref="E43:H43"/>
    <mergeCell ref="E44:H44"/>
    <mergeCell ref="K40:P40"/>
    <mergeCell ref="B56:P56"/>
    <mergeCell ref="B49:P49"/>
    <mergeCell ref="B50:P50"/>
    <mergeCell ref="B51:P51"/>
    <mergeCell ref="B52:P52"/>
    <mergeCell ref="B53:P53"/>
    <mergeCell ref="E40:H40"/>
    <mergeCell ref="E41:H41"/>
    <mergeCell ref="E45:H45"/>
    <mergeCell ref="E46:H46"/>
    <mergeCell ref="K42:P42"/>
    <mergeCell ref="K43:P43"/>
    <mergeCell ref="K44:P44"/>
    <mergeCell ref="K45:P45"/>
    <mergeCell ref="K46:P46"/>
    <mergeCell ref="DC56:DL56"/>
    <mergeCell ref="CT45:CX45"/>
    <mergeCell ref="CT46:CX46"/>
    <mergeCell ref="M8:P8"/>
    <mergeCell ref="M9:P9"/>
    <mergeCell ref="M10:P10"/>
    <mergeCell ref="K41:P41"/>
    <mergeCell ref="E42:H42"/>
    <mergeCell ref="B2:P2"/>
    <mergeCell ref="B3:P3"/>
    <mergeCell ref="B4:P4"/>
    <mergeCell ref="B6:P6"/>
    <mergeCell ref="M7:P7"/>
    <mergeCell ref="M11:P11"/>
    <mergeCell ref="M12:P12"/>
    <mergeCell ref="K38:P38"/>
    <mergeCell ref="K39:P39"/>
    <mergeCell ref="B37:P37"/>
    <mergeCell ref="E38:H38"/>
    <mergeCell ref="E39:H39"/>
    <mergeCell ref="M13:P13"/>
    <mergeCell ref="M14:P14"/>
    <mergeCell ref="M15:P15"/>
    <mergeCell ref="B17:P17"/>
    <mergeCell ref="B24:P24"/>
  </mergeCells>
  <conditionalFormatting sqref="CR120:CR125">
    <cfRule type="expression" dxfId="18" priority="1">
      <formula>CR120="OK"</formula>
    </cfRule>
    <cfRule type="expression" dxfId="17" priority="2">
      <formula>CR120="EXCEPTION"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1B56B"/>
  </sheetPr>
  <dimension ref="A1:S217"/>
  <sheetViews>
    <sheetView showGridLines="0" workbookViewId="0">
      <selection sqref="A1:N1"/>
    </sheetView>
  </sheetViews>
  <sheetFormatPr defaultRowHeight="14.5" x14ac:dyDescent="0.35"/>
  <cols>
    <col min="1" max="1" width="20" style="565" customWidth="1"/>
    <col min="2" max="16" width="6.6640625" style="565" customWidth="1"/>
    <col min="17" max="19" width="8.203125E-2" hidden="1" customWidth="1"/>
    <col min="20" max="16384" width="8.6640625" style="565"/>
  </cols>
  <sheetData>
    <row r="1" spans="1:19" ht="24" customHeight="1" x14ac:dyDescent="0.35">
      <c r="A1" s="993" t="s">
        <v>1187</v>
      </c>
      <c r="B1" s="993"/>
      <c r="C1" s="993"/>
      <c r="D1" s="993"/>
      <c r="E1" s="993"/>
      <c r="F1" s="993"/>
      <c r="G1" s="993"/>
      <c r="H1" s="993"/>
      <c r="I1" s="993"/>
      <c r="J1" s="993"/>
      <c r="K1" s="993"/>
      <c r="L1" s="993"/>
      <c r="M1" s="993"/>
      <c r="N1" s="993"/>
      <c r="O1"/>
      <c r="P1"/>
    </row>
    <row r="2" spans="1:19" ht="20" customHeight="1" x14ac:dyDescent="0.35">
      <c r="A2" s="994" t="str">
        <f>"Formula-linked investor analysis | Gross, pre-tax illustration | Model as at "&amp;TEXT('VALUATION &amp; RETURNS'!$C$43,"dd mmm yyyy")</f>
        <v>Formula-linked investor analysis | Gross, pre-tax illustration | Model as at 01 Jul 2026</v>
      </c>
      <c r="B2" s="995"/>
      <c r="C2" s="995"/>
      <c r="D2" s="995"/>
      <c r="E2" s="995"/>
      <c r="F2" s="995"/>
      <c r="G2" s="995"/>
      <c r="H2" s="995"/>
      <c r="I2" s="995"/>
      <c r="J2" s="995"/>
      <c r="K2" s="995"/>
      <c r="L2" s="995"/>
      <c r="M2" s="995"/>
      <c r="N2" s="995"/>
      <c r="O2"/>
      <c r="P2"/>
    </row>
    <row r="3" spans="1:19" ht="14.5" customHeight="1" x14ac:dyDescent="0.35">
      <c r="A3" s="996" t="s">
        <v>1188</v>
      </c>
      <c r="B3" s="996"/>
      <c r="C3" s="997" t="s">
        <v>885</v>
      </c>
      <c r="D3" s="998"/>
      <c r="E3" s="998"/>
      <c r="F3" s="999"/>
      <c r="G3" s="996" t="s">
        <v>1189</v>
      </c>
      <c r="H3" s="996"/>
      <c r="I3" s="1000" t="str">
        <f>'VALUATION &amp; RETURNS'!$CR$7</f>
        <v>Base</v>
      </c>
      <c r="J3" s="1001"/>
      <c r="K3" s="996" t="s">
        <v>1190</v>
      </c>
      <c r="L3" s="996"/>
      <c r="M3" s="1002">
        <f>'VALUATION &amp; RETURNS'!$C$45</f>
        <v>48030</v>
      </c>
      <c r="N3" s="1003"/>
      <c r="O3"/>
      <c r="P3"/>
    </row>
    <row r="4" spans="1:19" ht="24" customHeight="1" x14ac:dyDescent="0.35">
      <c r="A4" s="996" t="s">
        <v>1191</v>
      </c>
      <c r="B4" s="996"/>
      <c r="C4" s="991" t="str">
        <f>$C$3</f>
        <v>Brian Mirfin</v>
      </c>
      <c r="D4" s="992"/>
      <c r="E4" s="992"/>
      <c r="F4" s="992"/>
      <c r="G4" s="996" t="s">
        <v>1192</v>
      </c>
      <c r="H4" s="996"/>
      <c r="I4" s="1004" t="str">
        <f ca="1">'DATA MAP'!$C$173</f>
        <v>TECHNICAL EXCEPTIONS OUTSTANDING</v>
      </c>
      <c r="J4" s="1005"/>
      <c r="K4" s="996" t="s">
        <v>1193</v>
      </c>
      <c r="L4" s="996"/>
      <c r="M4" s="991" t="str">
        <f>INDEX('VALUATION &amp; RETURNS'!$O$26:$O$33,MATCH($C$3,'VALUATION &amp; RETURNS'!$B$26:$B$33,0))</f>
        <v>Ordinary shares + pro-rata right</v>
      </c>
      <c r="N4" s="992"/>
      <c r="O4"/>
      <c r="P4"/>
    </row>
    <row r="5" spans="1:19" ht="24" customHeight="1" x14ac:dyDescent="0.35">
      <c r="A5" s="990" t="s">
        <v>1194</v>
      </c>
      <c r="B5" s="990"/>
      <c r="C5" s="990"/>
      <c r="D5" s="990"/>
      <c r="E5" s="990"/>
      <c r="F5" s="990"/>
      <c r="G5" s="990"/>
      <c r="H5" s="990"/>
      <c r="I5" s="990"/>
      <c r="J5" s="990"/>
      <c r="K5" s="990"/>
      <c r="L5" s="990"/>
      <c r="M5" s="990"/>
      <c r="N5" s="990"/>
      <c r="O5"/>
      <c r="P5"/>
    </row>
    <row r="6" spans="1:19" ht="14" x14ac:dyDescent="0.3">
      <c r="A6" s="1010" t="str">
        <f ca="1">$C$3&amp;" invests A$"&amp;TEXT($A$9,"0.00")&amp;"m. In the "&amp;LOWER($I$3)&amp;" case, value is A$"&amp;TEXT($J$9,"0.00")&amp;"m ("&amp;TEXT($M$9,"0.00x")&amp;" MOIC; "&amp;TEXT(INDEX('VALUATION &amp; RETURNS'!$DA$62:$DA$69,MATCH($C$3,'VALUATION &amp; RETURNS'!$CQ$62:$CQ$69,0)),"0.0%")&amp;" XIRR). Preliminary gross, pre-tax outputs; not promised returns. Status: "&amp;$I$4&amp;"."</f>
        <v/>
      </c>
      <c r="B6" s="1011"/>
      <c r="C6" s="1011"/>
      <c r="D6" s="1011"/>
      <c r="E6" s="1011"/>
      <c r="F6" s="1011"/>
      <c r="G6" s="1011"/>
      <c r="H6" s="1011"/>
      <c r="I6" s="1011"/>
      <c r="J6" s="1011"/>
      <c r="K6" s="1011"/>
      <c r="L6" s="1011"/>
      <c r="M6" s="1011"/>
      <c r="N6" s="1012"/>
      <c r="O6" s="658"/>
      <c r="P6" s="658"/>
      <c r="Q6" s="658"/>
      <c r="R6" s="658"/>
      <c r="S6" s="658"/>
    </row>
    <row r="7" spans="1:19" x14ac:dyDescent="0.35">
      <c r="A7" s="628"/>
      <c r="B7" s="628"/>
      <c r="C7" s="628"/>
      <c r="D7" s="628"/>
      <c r="E7" s="628"/>
      <c r="F7" s="628"/>
      <c r="G7" s="628"/>
      <c r="H7" s="628"/>
      <c r="I7" s="628"/>
      <c r="J7" s="628"/>
      <c r="K7" s="628"/>
      <c r="L7" s="628"/>
      <c r="M7" s="628"/>
      <c r="N7" s="628"/>
      <c r="O7"/>
      <c r="P7"/>
    </row>
    <row r="8" spans="1:19" x14ac:dyDescent="0.35">
      <c r="A8" s="1013" t="s">
        <v>1195</v>
      </c>
      <c r="B8" s="1013"/>
      <c r="C8" s="1013"/>
      <c r="D8" s="1013" t="s">
        <v>1196</v>
      </c>
      <c r="E8" s="1013"/>
      <c r="F8" s="1013"/>
      <c r="G8" s="1013" t="s">
        <v>1197</v>
      </c>
      <c r="H8" s="1013"/>
      <c r="I8" s="1013"/>
      <c r="J8" s="1013" t="s">
        <v>1198</v>
      </c>
      <c r="K8" s="1013"/>
      <c r="L8" s="1013"/>
      <c r="M8" s="1013" t="s">
        <v>1199</v>
      </c>
      <c r="N8" s="1013"/>
      <c r="O8"/>
      <c r="P8"/>
    </row>
    <row r="9" spans="1:19" ht="20.5" x14ac:dyDescent="0.35">
      <c r="A9" s="1016">
        <f>INDEX('VALUATION &amp; RETURNS'!$CR$62:$CR$69,MATCH($C$3,'VALUATION &amp; RETURNS'!$CQ$62:$CQ$69,0))</f>
        <v>5</v>
      </c>
      <c r="B9" s="1017"/>
      <c r="C9" s="1017"/>
      <c r="D9" s="1018" t="str">
        <f>TEXT(INDEX('VALUATION &amp; RETURNS'!$CT$62:$CT$69,MATCH($C$3,'VALUATION &amp; RETURNS'!$CQ$62:$CQ$69,0)),"0.00%")&amp;"  -&gt;  "&amp;TEXT(INDEX('VALUATION &amp; RETURNS'!$CU$62:$CU$69,MATCH($C$3,'VALUATION &amp; RETURNS'!$CQ$62:$CQ$69,0)),"0.00%")</f>
        <v>2.32%  -&gt;  2.32%</v>
      </c>
      <c r="E9" s="1019"/>
      <c r="F9" s="1019"/>
      <c r="G9" s="1020" t="str">
        <f>"A$"&amp;TEXT(MIN($G$16:$G$18),"0.00")&amp;"m - A$"&amp;TEXT(MAX($G$16:$G$18),"0.00")&amp;"m"</f>
        <v>A$8.92m - A$11.23m</v>
      </c>
      <c r="H9" s="1019"/>
      <c r="I9" s="1019"/>
      <c r="J9" s="1016">
        <f>INDEX('VALUATION &amp; RETURNS'!$CX$62:$CX$69,MATCH($C$3,'VALUATION &amp; RETURNS'!$CQ$62:$CQ$69,0))</f>
        <v>9.989001356246046</v>
      </c>
      <c r="K9" s="1017"/>
      <c r="L9" s="1017"/>
      <c r="M9" s="1021">
        <f>INDEX('VALUATION &amp; RETURNS'!$DC$62:$DC$69,MATCH($C$3,'VALUATION &amp; RETURNS'!$CQ$62:$CQ$69,0))</f>
        <v>1.9978002712492091</v>
      </c>
      <c r="N9" s="1022"/>
      <c r="O9"/>
      <c r="P9"/>
    </row>
    <row r="10" spans="1:19" x14ac:dyDescent="0.35">
      <c r="A10" s="1023" t="str">
        <f>"Initial A$"&amp;TEXT(INDEX('VALUATION &amp; RETURNS'!$D$26:$D$33,MATCH($C$3,'VALUATION &amp; RETURNS'!$B$26:$B$33,0)),"0.00")&amp;"m | Later A$"&amp;TEXT(INDEX('VALUATION &amp; RETURNS'!$E$26:$E$33,MATCH($C$3,'VALUATION &amp; RETURNS'!$B$26:$B$33,0))+INDEX('VALUATION &amp; RETURNS'!$F$26:$F$33,MATCH($C$3,'VALUATION &amp; RETURNS'!$B$26:$B$33,0)),"0.00")&amp;"m"</f>
        <v>Initial A$5.00m | Later A$0.00m</v>
      </c>
      <c r="B10" s="1024"/>
      <c r="C10" s="1024"/>
      <c r="D10" s="1024" t="s">
        <v>1200</v>
      </c>
      <c r="E10" s="1024"/>
      <c r="F10" s="1024"/>
      <c r="G10" s="1024" t="s">
        <v>1201</v>
      </c>
      <c r="H10" s="1024"/>
      <c r="I10" s="1024"/>
      <c r="J10" s="1025" t="str">
        <f>"Gain A$"&amp;TEXT(INDEX('VALUATION &amp; RETURNS'!$CY$62:$CY$69,MATCH($C$3,'VALUATION &amp; RETURNS'!$CQ$62:$CQ$69,0)),"0.00")&amp;"m"</f>
        <v>Gain A$4.99m</v>
      </c>
      <c r="K10" s="1024"/>
      <c r="L10" s="1024"/>
      <c r="M10" s="1025" t="str">
        <f>TEXT(INDEX('VALUATION &amp; RETURNS'!$DA$62:$DA$69,MATCH($C$3,'VALUATION &amp; RETURNS'!$CQ$62:$CQ$69,0)),"0.0%")&amp;" XIRR"</f>
        <v>14.8% XIRR</v>
      </c>
      <c r="N10" s="1024"/>
      <c r="O10"/>
      <c r="P10"/>
    </row>
    <row r="11" spans="1:19" ht="14" x14ac:dyDescent="0.3">
      <c r="A11" s="1014" t="s">
        <v>1202</v>
      </c>
      <c r="B11" s="1015"/>
      <c r="C11" s="1015"/>
      <c r="D11" s="1015"/>
      <c r="E11" s="1015"/>
      <c r="F11" s="1015"/>
      <c r="G11" s="1015"/>
      <c r="H11" s="1015"/>
      <c r="I11" s="1015"/>
      <c r="J11" s="1015"/>
      <c r="K11" s="1015"/>
      <c r="L11" s="1015"/>
      <c r="M11" s="1015"/>
      <c r="N11" s="1015"/>
      <c r="O11" s="1015"/>
      <c r="P11" s="1015"/>
      <c r="Q11" s="1015"/>
      <c r="R11" s="1015"/>
      <c r="S11" s="1015"/>
    </row>
    <row r="12" spans="1:19" x14ac:dyDescent="0.35">
      <c r="A12" s="628"/>
      <c r="B12" s="628"/>
      <c r="C12" s="628"/>
      <c r="D12" s="628"/>
      <c r="E12" s="628"/>
      <c r="F12" s="628"/>
      <c r="G12" s="628"/>
      <c r="H12" s="628"/>
      <c r="I12" s="628"/>
      <c r="J12" s="628"/>
      <c r="K12" s="628"/>
      <c r="L12" s="628"/>
      <c r="M12" s="628"/>
      <c r="N12" s="628"/>
      <c r="O12"/>
      <c r="P12"/>
    </row>
    <row r="13" spans="1:19" ht="24" customHeight="1" x14ac:dyDescent="0.35">
      <c r="A13" s="990" t="s">
        <v>1203</v>
      </c>
      <c r="B13" s="990"/>
      <c r="C13" s="990"/>
      <c r="D13" s="990"/>
      <c r="E13" s="990"/>
      <c r="F13" s="990"/>
      <c r="G13" s="990"/>
      <c r="H13" s="990"/>
      <c r="I13" s="990"/>
      <c r="J13" s="990"/>
      <c r="K13" s="990"/>
      <c r="L13" s="990"/>
      <c r="M13" s="990"/>
      <c r="N13" s="990"/>
      <c r="O13"/>
      <c r="P13"/>
    </row>
    <row r="14" spans="1:19" x14ac:dyDescent="0.35">
      <c r="A14" s="628"/>
      <c r="B14" s="628"/>
      <c r="C14" s="628"/>
      <c r="D14" s="628"/>
      <c r="E14" s="628"/>
      <c r="F14" s="628"/>
      <c r="G14" s="628"/>
      <c r="H14" s="628"/>
      <c r="I14" s="628"/>
      <c r="J14" s="628"/>
      <c r="K14" s="628"/>
      <c r="L14" s="628"/>
      <c r="M14" s="628"/>
      <c r="N14" s="628"/>
      <c r="O14"/>
      <c r="P14"/>
    </row>
    <row r="15" spans="1:19" ht="28" customHeight="1" x14ac:dyDescent="0.35">
      <c r="A15" s="1026" t="s">
        <v>1204</v>
      </c>
      <c r="B15" s="1026"/>
      <c r="C15" s="1026"/>
      <c r="D15" s="1026"/>
      <c r="E15" s="1026" t="s">
        <v>1205</v>
      </c>
      <c r="F15" s="1026"/>
      <c r="G15" s="1026" t="s">
        <v>1206</v>
      </c>
      <c r="H15" s="1026"/>
      <c r="I15" s="1026" t="s">
        <v>1207</v>
      </c>
      <c r="J15" s="1026"/>
      <c r="K15" s="629" t="s">
        <v>1020</v>
      </c>
      <c r="L15" s="629" t="s">
        <v>1018</v>
      </c>
      <c r="M15" s="629" t="s">
        <v>818</v>
      </c>
      <c r="N15" s="629" t="s">
        <v>622</v>
      </c>
      <c r="O15"/>
      <c r="P15"/>
      <c r="Q15" s="565">
        <f>'VALUATION &amp; RETURNS'!$C$43</f>
        <v>46204</v>
      </c>
      <c r="R15" s="565">
        <f>'VALUATION &amp; RETURNS'!$C$44</f>
        <v>46478</v>
      </c>
      <c r="S15" s="565">
        <f>'VALUATION &amp; RETURNS'!$C$45</f>
        <v>48030</v>
      </c>
    </row>
    <row r="16" spans="1:19" ht="22" customHeight="1" x14ac:dyDescent="0.35">
      <c r="A16" s="1027" t="s">
        <v>1208</v>
      </c>
      <c r="B16" s="1027"/>
      <c r="C16" s="1027"/>
      <c r="D16" s="1027"/>
      <c r="E16" s="1028">
        <f>'VALUATION &amp; RETURNS'!$D$21</f>
        <v>679.64702791220634</v>
      </c>
      <c r="F16" s="1029"/>
      <c r="G16" s="1028">
        <f>INDEX('VALUATION &amp; RETURNS'!$H$58:$H$65,MATCH($C$3,'VALUATION &amp; RETURNS'!$B$58:$B$65,0))</f>
        <v>9.989001356246046</v>
      </c>
      <c r="H16" s="1029"/>
      <c r="I16" s="1030">
        <f>G16-$A$9</f>
        <v>4.989001356246046</v>
      </c>
      <c r="J16" s="1029"/>
      <c r="K16" s="631">
        <f>IF($A$9=0,0,G16/$A$9)</f>
        <v>1.9978002712492091</v>
      </c>
      <c r="L16" s="632">
        <f>INDEX('VALUATION &amp; RETURNS'!$M$58:$M$65,MATCH($C$3,'VALUATION &amp; RETURNS'!$B$58:$B$65,0))</f>
        <v>0.14835851788520818</v>
      </c>
      <c r="M16" s="630" t="s">
        <v>1209</v>
      </c>
      <c r="N16" s="630" t="str">
        <f>IF($I$3="Base","Selected","Scenario")</f>
        <v>Selected</v>
      </c>
      <c r="O16"/>
      <c r="P16"/>
    </row>
    <row r="17" spans="1:19" ht="22" customHeight="1" x14ac:dyDescent="0.35">
      <c r="A17" s="1006" t="s">
        <v>1210</v>
      </c>
      <c r="B17" s="1006"/>
      <c r="C17" s="1006"/>
      <c r="D17" s="1006"/>
      <c r="E17" s="1007">
        <f>'VALUATION &amp; RETURNS'!$D$20</f>
        <v>632.45469017442088</v>
      </c>
      <c r="F17" s="1008"/>
      <c r="G17" s="1007">
        <f>INDEX('VALUATION &amp; RETURNS'!$G$58:$G$65,MATCH($C$3,'VALUATION &amp; RETURNS'!$B$58:$B$65,0))</f>
        <v>8.9167611294254474</v>
      </c>
      <c r="H17" s="1008"/>
      <c r="I17" s="1009">
        <f>G17-$A$9</f>
        <v>3.9167611294254474</v>
      </c>
      <c r="J17" s="1008"/>
      <c r="K17" s="635">
        <f>IF($A$9=0,0,G17/$A$9)</f>
        <v>1.7833522258850896</v>
      </c>
      <c r="L17" s="636">
        <f>INDEX('VALUATION &amp; RETURNS'!$L$58:$L$65,MATCH($C$3,'VALUATION &amp; RETURNS'!$B$58:$B$65,0))</f>
        <v>0.12258674502372741</v>
      </c>
      <c r="M17" s="633" t="s">
        <v>1209</v>
      </c>
      <c r="N17" s="633" t="str">
        <f>IF($I$3="Downside","Selected","Scenario")</f>
        <v>Scenario</v>
      </c>
      <c r="O17"/>
      <c r="P17"/>
    </row>
    <row r="18" spans="1:19" ht="22" customHeight="1" x14ac:dyDescent="0.35">
      <c r="A18" s="1006" t="s">
        <v>1211</v>
      </c>
      <c r="B18" s="1006"/>
      <c r="C18" s="1006"/>
      <c r="D18" s="1006"/>
      <c r="E18" s="1007">
        <f>'VALUATION &amp; RETURNS'!$D$22</f>
        <v>734.45002685820054</v>
      </c>
      <c r="F18" s="1008"/>
      <c r="G18" s="1007">
        <f>INDEX('VALUATION &amp; RETURNS'!$I$58:$I$65,MATCH($C$3,'VALUATION &amp; RETURNS'!$B$58:$B$65,0))</f>
        <v>11.23416069433183</v>
      </c>
      <c r="H18" s="1008"/>
      <c r="I18" s="1009">
        <f>G18-$A$9</f>
        <v>6.2341606943318304</v>
      </c>
      <c r="J18" s="1008"/>
      <c r="K18" s="635">
        <f>IF($A$9=0,0,G18/$A$9)</f>
        <v>2.2468321388663659</v>
      </c>
      <c r="L18" s="636">
        <f>INDEX('VALUATION &amp; RETURNS'!$N$58:$N$65,MATCH($C$3,'VALUATION &amp; RETURNS'!$B$58:$B$65,0))</f>
        <v>0.17564342617988588</v>
      </c>
      <c r="M18" s="633" t="s">
        <v>1209</v>
      </c>
      <c r="N18" s="633" t="str">
        <f>IF($I$3="Upside","Selected","Scenario")</f>
        <v>Scenario</v>
      </c>
      <c r="O18"/>
      <c r="P18"/>
    </row>
    <row r="19" spans="1:19" ht="22" customHeight="1" x14ac:dyDescent="0.35">
      <c r="A19" s="1006" t="s">
        <v>1212</v>
      </c>
      <c r="B19" s="1006"/>
      <c r="C19" s="1006"/>
      <c r="D19" s="1006"/>
      <c r="E19" s="1007">
        <f>'VALUATION &amp; RETURNS'!$D$19</f>
        <v>448.85663516148151</v>
      </c>
      <c r="F19" s="1008"/>
      <c r="G19" s="1031"/>
      <c r="H19" s="1032"/>
      <c r="I19" s="1033"/>
      <c r="J19" s="1032"/>
      <c r="K19" s="773"/>
      <c r="L19" s="774"/>
      <c r="M19" s="633" t="s">
        <v>1213</v>
      </c>
      <c r="N19" s="633" t="s">
        <v>1214</v>
      </c>
      <c r="O19"/>
      <c r="P19"/>
      <c r="Q19" s="565">
        <f>-SUM(INDEX('VALUATION &amp; RETURNS'!$D$26:$D$33,MATCH($C$3,'VALUATION &amp; RETURNS'!$B$26:$B$33,0)),INDEX('VALUATION &amp; RETURNS'!$E$26:$E$33,MATCH($C$3,'VALUATION &amp; RETURNS'!$B$26:$B$33,0)))</f>
        <v>-5</v>
      </c>
      <c r="R19" s="565">
        <f>-INDEX('VALUATION &amp; RETURNS'!$F$26:$F$33,MATCH($C$3,'VALUATION &amp; RETURNS'!$B$26:$B$33,0))</f>
        <v>0</v>
      </c>
      <c r="S19" s="637">
        <f>G19</f>
        <v>0</v>
      </c>
    </row>
    <row r="20" spans="1:19" ht="22" customHeight="1" x14ac:dyDescent="0.35">
      <c r="A20" s="1034" t="s">
        <v>1215</v>
      </c>
      <c r="B20" s="1034"/>
      <c r="C20" s="1034"/>
      <c r="D20" s="1034"/>
      <c r="E20" s="1035">
        <f>'VALUATION &amp; RETURNS'!$DA$12</f>
        <v>213.18637999703282</v>
      </c>
      <c r="F20" s="1036"/>
      <c r="G20" s="1035">
        <f>IF(E20="","",MAX(0,E20+'VALUATION &amp; RETURNS'!$CR$45+'VALUATION &amp; RETURNS'!$CR$47+'VALUATION &amp; RETURNS'!$CR$48+'VALUATION &amp; RETURNS'!$CR$49)*INDEX('VALUATION &amp; RETURNS'!$D$58:$D$65,MATCH($C$3,'VALUATION &amp; RETURNS'!$B$58:$B$65,0)))</f>
        <v>4.3531438146070786E-2</v>
      </c>
      <c r="H20" s="1036"/>
      <c r="I20" s="1037">
        <f>IF(G20="","",G20-$A$9)</f>
        <v>-4.9564685618539288</v>
      </c>
      <c r="J20" s="1036"/>
      <c r="K20" s="639">
        <f>IF(OR($A$9=0,G20=""),"",G20/$A$9)</f>
        <v>8.7062876292141565E-3</v>
      </c>
      <c r="L20" s="640">
        <f>IF(OR($A$9=0,G20=""),"",IF(AND($Q20&lt;0,$S20&gt;0),XIRR($Q20:$S20,$Q$15:$S$15),""))</f>
        <v>-0.61257088873535381</v>
      </c>
      <c r="M20" s="638" t="s">
        <v>1209</v>
      </c>
      <c r="N20" s="638" t="s">
        <v>1216</v>
      </c>
      <c r="O20"/>
      <c r="P20"/>
      <c r="Q20" s="565">
        <f>-$A$9</f>
        <v>-5</v>
      </c>
      <c r="R20" s="565">
        <f>0</f>
        <v>0</v>
      </c>
      <c r="S20" s="637">
        <f>G20</f>
        <v>4.3531438146070786E-2</v>
      </c>
    </row>
    <row r="21" spans="1:19" x14ac:dyDescent="0.35">
      <c r="A21" s="628"/>
      <c r="B21" s="628"/>
      <c r="C21" s="628"/>
      <c r="D21" s="628"/>
      <c r="E21" s="628"/>
      <c r="F21" s="628"/>
      <c r="G21" s="628"/>
      <c r="H21" s="628"/>
      <c r="I21" s="628"/>
      <c r="J21" s="628"/>
      <c r="K21" s="628"/>
      <c r="L21" s="628"/>
      <c r="M21" s="628"/>
      <c r="N21" s="628"/>
      <c r="O21"/>
      <c r="P21"/>
    </row>
    <row r="22" spans="1:19" ht="14" x14ac:dyDescent="0.3">
      <c r="A22" s="566"/>
      <c r="B22" s="566"/>
      <c r="C22" s="566"/>
      <c r="D22" s="566"/>
      <c r="E22" s="566"/>
      <c r="F22" s="566"/>
      <c r="G22" s="566"/>
      <c r="H22" s="566"/>
      <c r="I22" s="1038" t="str">
        <f ca="1">"Selected "&amp;LOWER($I$3)&amp;" value for "&amp;$C$3&amp;": A$"&amp;TEXT($J$9,"0.00")&amp;"m. Cross-check range: A$"&amp;TEXT(MIN($G$16:$G$20),"0.00")&amp;"m to A$"&amp;TEXT(MAX($G$16:$G$20),"0.00")&amp;"m. Methods share a valuation date and are not additive. Gross, pre-tax, before fees and carry. Status: "&amp;$I$4&amp;"."</f>
        <v/>
      </c>
      <c r="J22" s="1039"/>
      <c r="K22" s="1039"/>
      <c r="L22" s="1039"/>
      <c r="M22" s="1039"/>
      <c r="N22" s="1040"/>
      <c r="O22" s="658"/>
      <c r="P22" s="658"/>
      <c r="Q22" s="658"/>
      <c r="R22" s="658"/>
      <c r="S22" s="658"/>
    </row>
    <row r="23" spans="1:19" x14ac:dyDescent="0.35">
      <c r="A23" s="628"/>
      <c r="B23" s="628"/>
      <c r="C23" s="628"/>
      <c r="D23" s="628"/>
      <c r="E23" s="628"/>
      <c r="F23" s="628"/>
      <c r="G23" s="628"/>
      <c r="H23" s="628"/>
      <c r="I23" s="1041"/>
      <c r="J23" s="1042"/>
      <c r="K23" s="1042"/>
      <c r="L23" s="1042"/>
      <c r="M23" s="1042"/>
      <c r="N23" s="1043"/>
      <c r="O23"/>
      <c r="P23"/>
    </row>
    <row r="24" spans="1:19" x14ac:dyDescent="0.35">
      <c r="A24" s="628"/>
      <c r="B24" s="628"/>
      <c r="C24" s="628"/>
      <c r="D24" s="628"/>
      <c r="E24" s="628"/>
      <c r="F24" s="628"/>
      <c r="G24" s="628"/>
      <c r="H24" s="628"/>
      <c r="I24" s="1041"/>
      <c r="J24" s="1042"/>
      <c r="K24" s="1042"/>
      <c r="L24" s="1042"/>
      <c r="M24" s="1042"/>
      <c r="N24" s="1043"/>
      <c r="O24"/>
      <c r="P24"/>
    </row>
    <row r="25" spans="1:19" x14ac:dyDescent="0.35">
      <c r="A25" s="628"/>
      <c r="B25" s="628"/>
      <c r="C25" s="628"/>
      <c r="D25" s="628"/>
      <c r="E25" s="628"/>
      <c r="F25" s="628"/>
      <c r="G25" s="628"/>
      <c r="H25" s="628"/>
      <c r="I25" s="1041"/>
      <c r="J25" s="1042"/>
      <c r="K25" s="1042"/>
      <c r="L25" s="1042"/>
      <c r="M25" s="1042"/>
      <c r="N25" s="1043"/>
      <c r="O25"/>
      <c r="P25"/>
    </row>
    <row r="26" spans="1:19" x14ac:dyDescent="0.35">
      <c r="A26" s="628"/>
      <c r="B26" s="628"/>
      <c r="C26" s="628"/>
      <c r="D26" s="628"/>
      <c r="E26" s="628"/>
      <c r="F26" s="628"/>
      <c r="G26" s="628"/>
      <c r="H26" s="628"/>
      <c r="I26" s="1041"/>
      <c r="J26" s="1042"/>
      <c r="K26" s="1042"/>
      <c r="L26" s="1042"/>
      <c r="M26" s="1042"/>
      <c r="N26" s="1043"/>
      <c r="O26"/>
      <c r="P26"/>
    </row>
    <row r="27" spans="1:19" x14ac:dyDescent="0.35">
      <c r="A27" s="628"/>
      <c r="B27" s="628"/>
      <c r="C27" s="628"/>
      <c r="D27" s="628"/>
      <c r="E27" s="628"/>
      <c r="F27" s="628"/>
      <c r="G27" s="628"/>
      <c r="H27" s="628"/>
      <c r="I27" s="1041"/>
      <c r="J27" s="1042"/>
      <c r="K27" s="1042"/>
      <c r="L27" s="1042"/>
      <c r="M27" s="1042"/>
      <c r="N27" s="1043"/>
      <c r="O27"/>
      <c r="P27"/>
    </row>
    <row r="28" spans="1:19" x14ac:dyDescent="0.35">
      <c r="A28" s="628"/>
      <c r="B28" s="628"/>
      <c r="C28" s="628"/>
      <c r="D28" s="628"/>
      <c r="E28" s="628"/>
      <c r="F28" s="628"/>
      <c r="G28" s="628"/>
      <c r="H28" s="628"/>
      <c r="I28" s="1041"/>
      <c r="J28" s="1042"/>
      <c r="K28" s="1042"/>
      <c r="L28" s="1042"/>
      <c r="M28" s="1042"/>
      <c r="N28" s="1043"/>
      <c r="O28"/>
      <c r="P28"/>
    </row>
    <row r="29" spans="1:19" x14ac:dyDescent="0.35">
      <c r="A29" s="628"/>
      <c r="B29" s="628"/>
      <c r="C29" s="628"/>
      <c r="D29" s="628"/>
      <c r="E29" s="628"/>
      <c r="F29" s="628"/>
      <c r="G29" s="628"/>
      <c r="H29" s="628"/>
      <c r="I29" s="1041"/>
      <c r="J29" s="1042"/>
      <c r="K29" s="1042"/>
      <c r="L29" s="1042"/>
      <c r="M29" s="1042"/>
      <c r="N29" s="1043"/>
      <c r="O29"/>
      <c r="P29"/>
    </row>
    <row r="30" spans="1:19" x14ac:dyDescent="0.35">
      <c r="A30" s="628"/>
      <c r="B30" s="628"/>
      <c r="C30" s="628"/>
      <c r="D30" s="628"/>
      <c r="E30" s="628"/>
      <c r="F30" s="628"/>
      <c r="G30" s="628"/>
      <c r="H30" s="628"/>
      <c r="I30" s="1041"/>
      <c r="J30" s="1042"/>
      <c r="K30" s="1042"/>
      <c r="L30" s="1042"/>
      <c r="M30" s="1042"/>
      <c r="N30" s="1043"/>
      <c r="O30"/>
      <c r="P30"/>
    </row>
    <row r="31" spans="1:19" x14ac:dyDescent="0.35">
      <c r="A31" s="628"/>
      <c r="B31" s="628"/>
      <c r="C31" s="628"/>
      <c r="D31" s="628"/>
      <c r="E31" s="628"/>
      <c r="F31" s="628"/>
      <c r="G31" s="628"/>
      <c r="H31" s="628"/>
      <c r="I31" s="1041"/>
      <c r="J31" s="1042"/>
      <c r="K31" s="1042"/>
      <c r="L31" s="1042"/>
      <c r="M31" s="1042"/>
      <c r="N31" s="1043"/>
      <c r="O31"/>
      <c r="P31"/>
    </row>
    <row r="32" spans="1:19" x14ac:dyDescent="0.35">
      <c r="A32" s="628"/>
      <c r="B32" s="628"/>
      <c r="C32" s="628"/>
      <c r="D32" s="628"/>
      <c r="E32" s="628"/>
      <c r="F32" s="628"/>
      <c r="G32" s="628"/>
      <c r="H32" s="628"/>
      <c r="I32" s="1041"/>
      <c r="J32" s="1042"/>
      <c r="K32" s="1042"/>
      <c r="L32" s="1042"/>
      <c r="M32" s="1042"/>
      <c r="N32" s="1043"/>
      <c r="O32"/>
      <c r="P32"/>
    </row>
    <row r="33" spans="1:16" x14ac:dyDescent="0.35">
      <c r="A33" s="628"/>
      <c r="B33" s="628"/>
      <c r="C33" s="628"/>
      <c r="D33" s="628"/>
      <c r="E33" s="628"/>
      <c r="F33" s="628"/>
      <c r="G33" s="628"/>
      <c r="H33" s="628"/>
      <c r="I33" s="1041"/>
      <c r="J33" s="1042"/>
      <c r="K33" s="1042"/>
      <c r="L33" s="1042"/>
      <c r="M33" s="1042"/>
      <c r="N33" s="1043"/>
      <c r="O33"/>
      <c r="P33"/>
    </row>
    <row r="34" spans="1:16" x14ac:dyDescent="0.35">
      <c r="A34" s="628"/>
      <c r="B34" s="628"/>
      <c r="C34" s="628"/>
      <c r="D34" s="628"/>
      <c r="E34" s="628"/>
      <c r="F34" s="628"/>
      <c r="G34" s="628"/>
      <c r="H34" s="628"/>
      <c r="I34" s="1044"/>
      <c r="J34" s="1045"/>
      <c r="K34" s="1045"/>
      <c r="L34" s="1045"/>
      <c r="M34" s="1045"/>
      <c r="N34" s="1046"/>
      <c r="O34"/>
      <c r="P34"/>
    </row>
    <row r="35" spans="1:16" x14ac:dyDescent="0.35">
      <c r="A35" s="628"/>
      <c r="B35" s="628"/>
      <c r="C35" s="628"/>
      <c r="D35" s="628"/>
      <c r="E35" s="628"/>
      <c r="F35" s="628"/>
      <c r="G35" s="628"/>
      <c r="H35" s="628"/>
      <c r="I35" s="628"/>
      <c r="J35" s="628"/>
      <c r="K35" s="628"/>
      <c r="L35" s="628"/>
      <c r="M35" s="628"/>
      <c r="N35" s="628"/>
      <c r="O35"/>
      <c r="P35"/>
    </row>
    <row r="36" spans="1:16" ht="24" customHeight="1" x14ac:dyDescent="0.35">
      <c r="A36" s="990" t="s">
        <v>1217</v>
      </c>
      <c r="B36" s="990"/>
      <c r="C36" s="990"/>
      <c r="D36" s="990"/>
      <c r="E36" s="990"/>
      <c r="F36" s="990"/>
      <c r="G36" s="990"/>
      <c r="H36" s="990"/>
      <c r="I36" s="990"/>
      <c r="J36" s="990"/>
      <c r="K36" s="990"/>
      <c r="L36" s="990"/>
      <c r="M36" s="990"/>
      <c r="N36" s="990"/>
      <c r="O36"/>
      <c r="P36"/>
    </row>
    <row r="37" spans="1:16" x14ac:dyDescent="0.35">
      <c r="A37" s="628"/>
      <c r="B37" s="628"/>
      <c r="C37" s="628"/>
      <c r="D37" s="628"/>
      <c r="E37" s="628"/>
      <c r="F37" s="628"/>
      <c r="G37" s="628"/>
      <c r="H37" s="628"/>
      <c r="I37" s="628"/>
      <c r="J37" s="628"/>
      <c r="K37" s="628"/>
      <c r="L37" s="628"/>
      <c r="M37" s="628"/>
      <c r="N37" s="628"/>
      <c r="O37"/>
      <c r="P37"/>
    </row>
    <row r="38" spans="1:16" ht="28" customHeight="1" x14ac:dyDescent="0.35">
      <c r="A38" s="1026" t="s">
        <v>1218</v>
      </c>
      <c r="B38" s="1026"/>
      <c r="C38" s="1026"/>
      <c r="D38" s="1026" t="s">
        <v>1173</v>
      </c>
      <c r="E38" s="1026"/>
      <c r="F38" s="1026" t="s">
        <v>1219</v>
      </c>
      <c r="G38" s="1026"/>
      <c r="H38" s="1026" t="s">
        <v>1220</v>
      </c>
      <c r="I38" s="1026"/>
      <c r="J38" s="1026" t="s">
        <v>1221</v>
      </c>
      <c r="K38" s="1026"/>
      <c r="L38" s="629" t="s">
        <v>856</v>
      </c>
      <c r="M38" s="629" t="s">
        <v>1222</v>
      </c>
      <c r="N38" s="629" t="s">
        <v>1020</v>
      </c>
      <c r="O38"/>
      <c r="P38"/>
    </row>
    <row r="39" spans="1:16" ht="22" customHeight="1" x14ac:dyDescent="0.35">
      <c r="A39" s="1006" t="s">
        <v>1223</v>
      </c>
      <c r="B39" s="1006"/>
      <c r="C39" s="1006"/>
      <c r="D39" s="1047">
        <f>'VALUATION &amp; RETURNS'!$C$43</f>
        <v>46204</v>
      </c>
      <c r="E39" s="1048"/>
      <c r="F39" s="1007">
        <f>'VALUATION &amp; RETURNS'!$DA$9</f>
        <v>198.50843763348701</v>
      </c>
      <c r="G39" s="1008"/>
      <c r="H39" s="1007">
        <f>IF($D39="","",IFERROR(INDEX(DEBT!$F$202:$DV$202,1,MATCH($D39,DEBT!$F$64:$DV$64,1))/1000000,""))</f>
        <v>16.728131218318762</v>
      </c>
      <c r="I39" s="1008"/>
      <c r="J39" s="1009">
        <f t="shared" ref="J39:J44" si="0">IF(OR(F39="",H39=""),"",MAX(0,F39-H39))</f>
        <v>181.78030641516824</v>
      </c>
      <c r="K39" s="1008"/>
      <c r="L39" s="636">
        <f>IF(SUM('VALUATION &amp; RETURNS'!$D$26:$D$33)=0,0,INDEX('VALUATION &amp; RETURNS'!$D$26:$D$33,MATCH($C$3,'VALUATION &amp; RETURNS'!$B$26:$B$33,0))/SUM('VALUATION &amp; RETURNS'!$D$26:$D$33))</f>
        <v>2.3184328916029732E-2</v>
      </c>
      <c r="M39" s="634">
        <f t="shared" ref="M39:M44" si="1">IF(OR(J39="",L39=""),"",J39*L39)</f>
        <v>4.2144544143859299</v>
      </c>
      <c r="N39" s="635">
        <f t="shared" ref="N39:N44" si="2">IF(OR($A$9=0,M39=""),"",M39/$A$9)</f>
        <v>0.84289088287718594</v>
      </c>
      <c r="O39"/>
      <c r="P39"/>
    </row>
    <row r="40" spans="1:16" ht="22" customHeight="1" x14ac:dyDescent="0.35">
      <c r="A40" s="1006" t="s">
        <v>1224</v>
      </c>
      <c r="B40" s="1006"/>
      <c r="C40" s="1006"/>
      <c r="D40" s="1047">
        <f>Underwriting!$E$13</f>
        <v>46204</v>
      </c>
      <c r="E40" s="1048"/>
      <c r="F40" s="1007">
        <f>'VALUATION &amp; RETURNS'!$DA$9</f>
        <v>198.50843763348701</v>
      </c>
      <c r="G40" s="1008"/>
      <c r="H40" s="1007">
        <f>IF($D40="","",IFERROR(INDEX(DEBT!$F$202:$DV$202,1,MATCH($D40,DEBT!$F$64:$DV$64,1))/1000000,""))</f>
        <v>16.728131218318762</v>
      </c>
      <c r="I40" s="1008"/>
      <c r="J40" s="1009">
        <f t="shared" si="0"/>
        <v>181.78030641516824</v>
      </c>
      <c r="K40" s="1008"/>
      <c r="L40" s="636">
        <f>IF(SUM('VALUATION &amp; RETURNS'!$D$26:$D$33)=0,0,INDEX('VALUATION &amp; RETURNS'!$D$26:$D$33,MATCH($C$3,'VALUATION &amp; RETURNS'!$B$26:$B$33,0))/SUM('VALUATION &amp; RETURNS'!$D$26:$D$33))</f>
        <v>2.3184328916029732E-2</v>
      </c>
      <c r="M40" s="634">
        <f t="shared" si="1"/>
        <v>4.2144544143859299</v>
      </c>
      <c r="N40" s="635">
        <f t="shared" si="2"/>
        <v>0.84289088287718594</v>
      </c>
      <c r="O40"/>
      <c r="P40"/>
    </row>
    <row r="41" spans="1:16" ht="22" customHeight="1" x14ac:dyDescent="0.35">
      <c r="A41" s="1006" t="s">
        <v>1225</v>
      </c>
      <c r="B41" s="1006"/>
      <c r="C41" s="1006"/>
      <c r="D41" s="1047">
        <f>DEBT!$B$18</f>
        <v>47299</v>
      </c>
      <c r="E41" s="1048"/>
      <c r="F41" s="1007">
        <f>'VALUATION &amp; RETURNS'!$DA$8</f>
        <v>679.64702791220645</v>
      </c>
      <c r="G41" s="1008"/>
      <c r="H41" s="1007">
        <f>IF($D41="","",IFERROR(INDEX(DEBT!$F$202:$DV$202,1,MATCH($D41,DEBT!$F$64:$DV$64,1))/1000000,""))</f>
        <v>224.96436388090927</v>
      </c>
      <c r="I41" s="1008"/>
      <c r="J41" s="1009">
        <f t="shared" si="0"/>
        <v>454.68266403129718</v>
      </c>
      <c r="K41" s="1008"/>
      <c r="L41" s="636">
        <f>INDEX('VALUATION &amp; RETURNS'!$H$26:$H$33,MATCH($C$3,'VALUATION &amp; RETURNS'!$B$26:$B$33,0))</f>
        <v>2.3184328916029732E-2</v>
      </c>
      <c r="M41" s="634">
        <f t="shared" si="1"/>
        <v>10.541512435318236</v>
      </c>
      <c r="N41" s="635">
        <f t="shared" si="2"/>
        <v>2.1083024870636473</v>
      </c>
      <c r="O41"/>
      <c r="P41"/>
    </row>
    <row r="42" spans="1:16" ht="22" customHeight="1" x14ac:dyDescent="0.35">
      <c r="A42" s="1006" t="s">
        <v>1226</v>
      </c>
      <c r="B42" s="1006"/>
      <c r="C42" s="1006"/>
      <c r="D42" s="1047">
        <f>'Financial Statements'!$L$6</f>
        <v>48029</v>
      </c>
      <c r="E42" s="1048"/>
      <c r="F42" s="1007">
        <f>'VALUATION &amp; RETURNS'!$D$21</f>
        <v>679.64702791220634</v>
      </c>
      <c r="G42" s="1008"/>
      <c r="H42" s="1007">
        <f>IF($D42="","",IFERROR(INDEX(DEBT!$F$202:$DV$202,1,MATCH($D42,DEBT!$F$64:$DV$64,1))/1000000,""))</f>
        <v>211.30875661169631</v>
      </c>
      <c r="I42" s="1008"/>
      <c r="J42" s="1009">
        <f t="shared" si="0"/>
        <v>468.33827130051003</v>
      </c>
      <c r="K42" s="1008"/>
      <c r="L42" s="636">
        <f>INDEX('VALUATION &amp; RETURNS'!$H$26:$H$33,MATCH($C$3,'VALUATION &amp; RETURNS'!$B$26:$B$33,0))</f>
        <v>2.3184328916029732E-2</v>
      </c>
      <c r="M42" s="634">
        <f t="shared" si="1"/>
        <v>10.858108525795792</v>
      </c>
      <c r="N42" s="635">
        <f t="shared" si="2"/>
        <v>2.1716217051591586</v>
      </c>
      <c r="O42"/>
      <c r="P42"/>
    </row>
    <row r="43" spans="1:16" ht="22" customHeight="1" x14ac:dyDescent="0.35">
      <c r="A43" s="1050" t="s">
        <v>1227</v>
      </c>
      <c r="B43" s="1050"/>
      <c r="C43" s="1050"/>
      <c r="D43" s="1051">
        <f>'VALUATION &amp; RETURNS'!$C$45</f>
        <v>48030</v>
      </c>
      <c r="E43" s="1052"/>
      <c r="F43" s="1053">
        <f>INDEX('VALUATION &amp; RETURNS'!$CU$75:$CU$77,MATCH($I$3,'VALUATION &amp; RETURNS'!$CQ$75:$CQ$77,0))</f>
        <v>679.64702791220634</v>
      </c>
      <c r="G43" s="1054"/>
      <c r="H43" s="1053">
        <f>IF($D43="","",IFERROR(INDEX(DEBT!$F$202:$DV$202,1,MATCH($D43,DEBT!$F$64:$DV$64,1))/1000000,""))</f>
        <v>211.30875661169631</v>
      </c>
      <c r="I43" s="1054"/>
      <c r="J43" s="1055">
        <f t="shared" si="0"/>
        <v>468.33827130051003</v>
      </c>
      <c r="K43" s="1054"/>
      <c r="L43" s="642">
        <f>INDEX('VALUATION &amp; RETURNS'!$CU$62:$CU$69,MATCH($C$3,'VALUATION &amp; RETURNS'!$CQ$62:$CQ$69,0))</f>
        <v>2.3184328916029732E-2</v>
      </c>
      <c r="M43" s="641">
        <f t="shared" si="1"/>
        <v>10.858108525795792</v>
      </c>
      <c r="N43" s="643">
        <f t="shared" si="2"/>
        <v>2.1716217051591586</v>
      </c>
      <c r="O43"/>
      <c r="P43"/>
    </row>
    <row r="44" spans="1:16" ht="22" customHeight="1" x14ac:dyDescent="0.35">
      <c r="A44" s="1006" t="s">
        <v>1228</v>
      </c>
      <c r="B44" s="1006"/>
      <c r="C44" s="1006"/>
      <c r="D44" s="1047">
        <f>DEBT!$K$21</f>
        <v>48060</v>
      </c>
      <c r="E44" s="1048"/>
      <c r="F44" s="1007">
        <f>F43</f>
        <v>679.64702791220634</v>
      </c>
      <c r="G44" s="1008"/>
      <c r="H44" s="1007">
        <f>IF($D44="","",IFERROR(INDEX(DEBT!$F$202:$DV$202,1,MATCH($D44,DEBT!$F$64:$DV$64,1))/1000000,""))</f>
        <v>0.97660400736571618</v>
      </c>
      <c r="I44" s="1008"/>
      <c r="J44" s="1009">
        <f t="shared" si="0"/>
        <v>678.67042390484062</v>
      </c>
      <c r="K44" s="1008"/>
      <c r="L44" s="636">
        <f>L43</f>
        <v>2.3184328916029732E-2</v>
      </c>
      <c r="M44" s="634">
        <f t="shared" si="1"/>
        <v>15.734518333391152</v>
      </c>
      <c r="N44" s="635">
        <f t="shared" si="2"/>
        <v>3.1469036666782304</v>
      </c>
      <c r="O44"/>
      <c r="P44"/>
    </row>
    <row r="45" spans="1:16" x14ac:dyDescent="0.35">
      <c r="A45" s="1049" t="s">
        <v>1229</v>
      </c>
      <c r="B45" s="1049"/>
      <c r="C45" s="1049"/>
      <c r="D45" s="1049"/>
      <c r="E45" s="1049"/>
      <c r="F45" s="1049"/>
      <c r="G45" s="1049"/>
      <c r="H45" s="1049"/>
      <c r="I45" s="1049"/>
      <c r="J45" s="1049"/>
      <c r="K45" s="1049"/>
      <c r="L45" s="1049"/>
      <c r="M45" s="1049"/>
      <c r="N45" s="1049"/>
      <c r="O45"/>
      <c r="P45"/>
    </row>
    <row r="46" spans="1:16" x14ac:dyDescent="0.35">
      <c r="A46" s="628"/>
      <c r="B46" s="628"/>
      <c r="C46" s="628"/>
      <c r="D46" s="628"/>
      <c r="E46" s="628"/>
      <c r="F46" s="628"/>
      <c r="G46" s="628"/>
      <c r="H46" s="628"/>
      <c r="I46" s="628"/>
      <c r="J46" s="628"/>
      <c r="K46" s="628"/>
      <c r="L46" s="628"/>
      <c r="M46" s="628"/>
      <c r="N46" s="628"/>
      <c r="O46"/>
      <c r="P46"/>
    </row>
    <row r="47" spans="1:16" ht="24" customHeight="1" x14ac:dyDescent="0.35">
      <c r="A47" s="993" t="s">
        <v>1230</v>
      </c>
      <c r="B47" s="993"/>
      <c r="C47" s="993"/>
      <c r="D47" s="993"/>
      <c r="E47" s="993"/>
      <c r="F47" s="993"/>
      <c r="G47" s="993"/>
      <c r="H47" s="993"/>
      <c r="I47" s="993"/>
      <c r="J47" s="993"/>
      <c r="K47" s="993"/>
      <c r="L47" s="993"/>
      <c r="M47" s="993"/>
      <c r="N47" s="993"/>
      <c r="O47"/>
      <c r="P47"/>
    </row>
    <row r="48" spans="1:16" x14ac:dyDescent="0.35">
      <c r="A48" s="1056" t="str">
        <f>"The Bend project return for "&amp;$C$3&amp;" is shown separately from unquantified IPO and multi-site optionality."</f>
        <v>The Bend project return for Brian Mirfin is shown separately from unquantified IPO and multi-site optionality.</v>
      </c>
      <c r="B48" s="995"/>
      <c r="C48" s="995"/>
      <c r="D48" s="995"/>
      <c r="E48" s="995"/>
      <c r="F48" s="995"/>
      <c r="G48" s="995"/>
      <c r="H48" s="995"/>
      <c r="I48" s="995"/>
      <c r="J48" s="995"/>
      <c r="K48" s="995"/>
      <c r="L48" s="995"/>
      <c r="M48" s="995"/>
      <c r="N48" s="995"/>
      <c r="O48"/>
      <c r="P48"/>
    </row>
    <row r="49" spans="1:16" x14ac:dyDescent="0.35">
      <c r="A49" s="628"/>
      <c r="B49" s="628"/>
      <c r="C49" s="628"/>
      <c r="D49" s="628"/>
      <c r="E49" s="628"/>
      <c r="F49" s="628"/>
      <c r="G49" s="628"/>
      <c r="H49" s="628"/>
      <c r="I49" s="628"/>
      <c r="J49" s="628"/>
      <c r="K49" s="628"/>
      <c r="L49" s="628"/>
      <c r="M49" s="628"/>
      <c r="N49" s="628"/>
      <c r="O49"/>
      <c r="P49"/>
    </row>
    <row r="50" spans="1:16" ht="24" customHeight="1" x14ac:dyDescent="0.35">
      <c r="A50" s="990" t="s">
        <v>1231</v>
      </c>
      <c r="B50" s="990"/>
      <c r="C50" s="990"/>
      <c r="D50" s="990"/>
      <c r="E50" s="990"/>
      <c r="F50" s="990"/>
      <c r="G50" s="990"/>
      <c r="H50" s="990"/>
      <c r="I50" s="990"/>
      <c r="J50" s="990"/>
      <c r="K50" s="990"/>
      <c r="L50" s="990"/>
      <c r="M50" s="990"/>
      <c r="N50" s="990"/>
      <c r="O50"/>
      <c r="P50"/>
    </row>
    <row r="51" spans="1:16" ht="28" customHeight="1" x14ac:dyDescent="0.35">
      <c r="A51" s="1026" t="s">
        <v>1232</v>
      </c>
      <c r="B51" s="1026"/>
      <c r="C51" s="1026"/>
      <c r="D51" s="1026" t="s">
        <v>1233</v>
      </c>
      <c r="E51" s="1026"/>
      <c r="F51" s="1026" t="s">
        <v>1234</v>
      </c>
      <c r="G51" s="1026"/>
      <c r="H51" s="1026" t="s">
        <v>1235</v>
      </c>
      <c r="I51" s="1026"/>
      <c r="J51" s="1026" t="s">
        <v>1222</v>
      </c>
      <c r="K51" s="1026"/>
      <c r="L51" s="1026" t="s">
        <v>1039</v>
      </c>
      <c r="M51" s="1026"/>
      <c r="N51" s="1026"/>
      <c r="O51"/>
      <c r="P51"/>
    </row>
    <row r="52" spans="1:16" ht="23" customHeight="1" x14ac:dyDescent="0.35">
      <c r="A52" s="1006" t="s">
        <v>1236</v>
      </c>
      <c r="B52" s="1006"/>
      <c r="C52" s="1006"/>
      <c r="D52" s="1057">
        <f>Underwriting!$E$13</f>
        <v>46204</v>
      </c>
      <c r="E52" s="1006"/>
      <c r="F52" s="1007">
        <f>Underwriting!$I$31/1000000</f>
        <v>92.32</v>
      </c>
      <c r="G52" s="1008"/>
      <c r="H52" s="1058">
        <f>IF(Underwriting!$E$17=0,0,F52*1000000/(Underwriting!$E$17*4046.8564224))</f>
        <v>2683.7209302325582</v>
      </c>
      <c r="I52" s="1059"/>
      <c r="J52" s="1009">
        <f>M39</f>
        <v>4.2144544143859299</v>
      </c>
      <c r="K52" s="1008"/>
      <c r="L52" s="1006" t="s">
        <v>1237</v>
      </c>
      <c r="M52" s="1006"/>
      <c r="N52" s="1006"/>
      <c r="O52"/>
      <c r="P52"/>
    </row>
    <row r="53" spans="1:16" ht="23" customHeight="1" x14ac:dyDescent="0.35">
      <c r="A53" s="1050" t="s">
        <v>1238</v>
      </c>
      <c r="B53" s="1050"/>
      <c r="C53" s="1050"/>
      <c r="D53" s="1060">
        <f>Underwriting!$E$13</f>
        <v>46204</v>
      </c>
      <c r="E53" s="1050"/>
      <c r="F53" s="1053">
        <f>Underwriting!$I$31/1000000</f>
        <v>92.32</v>
      </c>
      <c r="G53" s="1054"/>
      <c r="H53" s="1061">
        <f>IF(Underwriting!$E$17=0,0,F53*1000000/(Underwriting!$E$17*4046.8564224))</f>
        <v>2683.7209302325582</v>
      </c>
      <c r="I53" s="1062"/>
      <c r="J53" s="1055">
        <f>M40</f>
        <v>4.2144544143859299</v>
      </c>
      <c r="K53" s="1054"/>
      <c r="L53" s="1050" t="s">
        <v>1237</v>
      </c>
      <c r="M53" s="1050"/>
      <c r="N53" s="1050"/>
      <c r="O53"/>
      <c r="P53"/>
    </row>
    <row r="54" spans="1:16" ht="23" customHeight="1" x14ac:dyDescent="0.35">
      <c r="A54" s="1006" t="s">
        <v>1239</v>
      </c>
      <c r="B54" s="1006"/>
      <c r="C54" s="1006"/>
      <c r="D54" s="1057">
        <f>Underwriting!$E$13</f>
        <v>46204</v>
      </c>
      <c r="E54" s="1006"/>
      <c r="F54" s="1007">
        <f>Underwriting!$I$31/1000000</f>
        <v>92.32</v>
      </c>
      <c r="G54" s="1008"/>
      <c r="H54" s="1058">
        <f>IF(Underwriting!$E$17=0,0,F54*1000000/(Underwriting!$E$17*4046.8564224))</f>
        <v>2683.7209302325582</v>
      </c>
      <c r="I54" s="1059"/>
      <c r="J54" s="1009">
        <f>M40</f>
        <v>4.2144544143859299</v>
      </c>
      <c r="K54" s="1008"/>
      <c r="L54" s="1006" t="s">
        <v>1237</v>
      </c>
      <c r="M54" s="1006"/>
      <c r="N54" s="1006"/>
      <c r="O54"/>
      <c r="P54"/>
    </row>
    <row r="55" spans="1:16" ht="23" customHeight="1" x14ac:dyDescent="0.35">
      <c r="A55" s="1006" t="s">
        <v>1240</v>
      </c>
      <c r="B55" s="1006"/>
      <c r="C55" s="1006"/>
      <c r="D55" s="1057">
        <f>DEBT!$B$18</f>
        <v>47299</v>
      </c>
      <c r="E55" s="1006"/>
      <c r="F55" s="1007">
        <f>Underwriting!$I$31/1000000</f>
        <v>92.32</v>
      </c>
      <c r="G55" s="1008"/>
      <c r="H55" s="1058">
        <f>IF(Underwriting!$E$17=0,0,F55*1000000/(Underwriting!$E$17*4046.8564224))</f>
        <v>2683.7209302325582</v>
      </c>
      <c r="I55" s="1059"/>
      <c r="J55" s="1009">
        <f>M41</f>
        <v>10.541512435318236</v>
      </c>
      <c r="K55" s="1008"/>
      <c r="L55" s="1006" t="s">
        <v>1237</v>
      </c>
      <c r="M55" s="1006"/>
      <c r="N55" s="1006"/>
      <c r="O55"/>
      <c r="P55"/>
    </row>
    <row r="56" spans="1:16" ht="23" customHeight="1" x14ac:dyDescent="0.35">
      <c r="A56" s="1006" t="s">
        <v>1226</v>
      </c>
      <c r="B56" s="1006"/>
      <c r="C56" s="1006"/>
      <c r="D56" s="1057">
        <f>'Financial Statements'!$L$6</f>
        <v>48029</v>
      </c>
      <c r="E56" s="1006"/>
      <c r="F56" s="1007">
        <f>Underwriting!$I$31/1000000</f>
        <v>92.32</v>
      </c>
      <c r="G56" s="1008"/>
      <c r="H56" s="1058">
        <f>IF(Underwriting!$E$17=0,0,F56*1000000/(Underwriting!$E$17*4046.8564224))</f>
        <v>2683.7209302325582</v>
      </c>
      <c r="I56" s="1059"/>
      <c r="J56" s="1009">
        <f>M42</f>
        <v>10.858108525795792</v>
      </c>
      <c r="K56" s="1008"/>
      <c r="L56" s="1006" t="s">
        <v>1237</v>
      </c>
      <c r="M56" s="1006"/>
      <c r="N56" s="1006"/>
      <c r="O56"/>
      <c r="P56"/>
    </row>
    <row r="57" spans="1:16" ht="23" customHeight="1" x14ac:dyDescent="0.35">
      <c r="A57" s="1050" t="s">
        <v>1241</v>
      </c>
      <c r="B57" s="1050"/>
      <c r="C57" s="1050"/>
      <c r="D57" s="1060">
        <f>'VALUATION &amp; RETURNS'!$C$45</f>
        <v>48030</v>
      </c>
      <c r="E57" s="1050"/>
      <c r="F57" s="1053">
        <f>Underwriting!$I$31/1000000</f>
        <v>92.32</v>
      </c>
      <c r="G57" s="1054"/>
      <c r="H57" s="1061">
        <f>IF(Underwriting!$E$17=0,0,F57*1000000/(Underwriting!$E$17*4046.8564224))</f>
        <v>2683.7209302325582</v>
      </c>
      <c r="I57" s="1062"/>
      <c r="J57" s="1055">
        <f>M43</f>
        <v>10.858108525795792</v>
      </c>
      <c r="K57" s="1054"/>
      <c r="L57" s="1050" t="s">
        <v>1237</v>
      </c>
      <c r="M57" s="1050"/>
      <c r="N57" s="1050"/>
      <c r="O57"/>
      <c r="P57"/>
    </row>
    <row r="58" spans="1:16" ht="23" customHeight="1" x14ac:dyDescent="0.35">
      <c r="A58" s="1006" t="s">
        <v>1242</v>
      </c>
      <c r="B58" s="1006"/>
      <c r="C58" s="1006"/>
      <c r="D58" s="1057">
        <f>DEBT!$K$21</f>
        <v>48060</v>
      </c>
      <c r="E58" s="1006"/>
      <c r="F58" s="1007">
        <f>Underwriting!$I$31/1000000</f>
        <v>92.32</v>
      </c>
      <c r="G58" s="1008"/>
      <c r="H58" s="1058">
        <f>IF(Underwriting!$E$17=0,0,F58*1000000/(Underwriting!$E$17*4046.8564224))</f>
        <v>2683.7209302325582</v>
      </c>
      <c r="I58" s="1059"/>
      <c r="J58" s="1063">
        <f>M44</f>
        <v>15.734518333391152</v>
      </c>
      <c r="K58" s="1006"/>
      <c r="L58" s="1006" t="s">
        <v>1237</v>
      </c>
      <c r="M58" s="1006"/>
      <c r="N58" s="1006"/>
      <c r="O58"/>
      <c r="P58"/>
    </row>
    <row r="59" spans="1:16" ht="28" customHeight="1" x14ac:dyDescent="0.35">
      <c r="A59" s="1064" t="s">
        <v>1243</v>
      </c>
      <c r="B59" s="1064"/>
      <c r="C59" s="1064"/>
      <c r="D59" s="1064"/>
      <c r="E59" s="1064"/>
      <c r="F59" s="1064"/>
      <c r="G59" s="1064"/>
      <c r="H59" s="1064"/>
      <c r="I59" s="1064"/>
      <c r="J59" s="1064"/>
      <c r="K59" s="1064"/>
      <c r="L59" s="1064"/>
      <c r="M59" s="1064"/>
      <c r="N59" s="1064"/>
      <c r="O59"/>
      <c r="P59"/>
    </row>
    <row r="60" spans="1:16" x14ac:dyDescent="0.35">
      <c r="A60" s="628"/>
      <c r="B60" s="628"/>
      <c r="C60" s="628"/>
      <c r="D60" s="628"/>
      <c r="E60" s="628"/>
      <c r="F60" s="628"/>
      <c r="G60" s="628"/>
      <c r="H60" s="628"/>
      <c r="I60" s="628"/>
      <c r="J60" s="628"/>
      <c r="K60" s="628"/>
      <c r="L60" s="628"/>
      <c r="M60" s="628"/>
      <c r="N60" s="628"/>
      <c r="O60"/>
      <c r="P60"/>
    </row>
    <row r="61" spans="1:16" x14ac:dyDescent="0.35">
      <c r="A61" s="1065" t="str">
        <f>"INSTITUTIONAL / DEVELOPER FUNDING SENSITIVITY - "&amp;UPPER($C$3)&amp;" VALUE AND DILUTION"</f>
        <v>INSTITUTIONAL / DEVELOPER FUNDING SENSITIVITY - BRIAN MIRFIN VALUE AND DILUTION</v>
      </c>
      <c r="B61" s="1066"/>
      <c r="C61" s="1066"/>
      <c r="D61" s="1066"/>
      <c r="E61" s="1066"/>
      <c r="F61" s="1066"/>
      <c r="G61" s="1066"/>
      <c r="H61" s="1066"/>
      <c r="I61" s="1066"/>
      <c r="J61" s="1066"/>
      <c r="K61" s="1066"/>
      <c r="L61" s="1066"/>
      <c r="M61" s="1066"/>
      <c r="N61" s="1066"/>
      <c r="O61"/>
      <c r="P61"/>
    </row>
    <row r="62" spans="1:16" x14ac:dyDescent="0.35">
      <c r="A62" s="628"/>
      <c r="B62" s="628"/>
      <c r="C62" s="628"/>
      <c r="D62" s="628"/>
      <c r="E62" s="628"/>
      <c r="F62" s="628"/>
      <c r="G62" s="628"/>
      <c r="H62" s="628"/>
      <c r="I62" s="628"/>
      <c r="J62" s="628"/>
      <c r="K62" s="628"/>
      <c r="L62" s="628"/>
      <c r="M62" s="628"/>
      <c r="N62" s="628"/>
      <c r="O62"/>
      <c r="P62"/>
    </row>
    <row r="63" spans="1:16" ht="28" customHeight="1" x14ac:dyDescent="0.35">
      <c r="A63" s="1026" t="s">
        <v>805</v>
      </c>
      <c r="B63" s="1026"/>
      <c r="C63" s="1026"/>
      <c r="D63" s="1026" t="s">
        <v>1244</v>
      </c>
      <c r="E63" s="1026"/>
      <c r="F63" s="1026" t="s">
        <v>1245</v>
      </c>
      <c r="G63" s="1026"/>
      <c r="H63" s="1026" t="s">
        <v>1246</v>
      </c>
      <c r="I63" s="1026"/>
      <c r="J63" s="1026" t="s">
        <v>1247</v>
      </c>
      <c r="K63" s="1026"/>
      <c r="L63" s="629" t="s">
        <v>1020</v>
      </c>
      <c r="M63" s="1026" t="s">
        <v>1248</v>
      </c>
      <c r="N63" s="1026"/>
      <c r="O63"/>
      <c r="P63"/>
    </row>
    <row r="64" spans="1:16" ht="23" customHeight="1" x14ac:dyDescent="0.35">
      <c r="A64" s="1006" t="s">
        <v>1249</v>
      </c>
      <c r="B64" s="1006"/>
      <c r="C64" s="1006"/>
      <c r="D64" s="1008">
        <v>0</v>
      </c>
      <c r="E64" s="1008"/>
      <c r="F64" s="1067">
        <f>SUM('VALUATION &amp; RETURNS'!$G$26:$G$32)+D64</f>
        <v>83.830999999999989</v>
      </c>
      <c r="G64" s="1068"/>
      <c r="H64" s="1069">
        <f t="shared" ref="H64:H69" si="3">IF(F64=0,"",$A$9/F64)</f>
        <v>5.9643807183500146E-2</v>
      </c>
      <c r="I64" s="1070"/>
      <c r="J64" s="1007">
        <f>IF(H64="","",H64*'VALUATION &amp; RETURNS'!$H$21)</f>
        <v>25.697619845090045</v>
      </c>
      <c r="K64" s="1008"/>
      <c r="L64" s="635">
        <f t="shared" ref="L64:L69" si="4">IF(OR($A$9=0,J64=""),"",J64/$A$9)</f>
        <v>5.1395239690180095</v>
      </c>
      <c r="M64" s="1006" t="s">
        <v>1250</v>
      </c>
      <c r="N64" s="1006"/>
      <c r="O64"/>
      <c r="P64"/>
    </row>
    <row r="65" spans="1:16" ht="23" customHeight="1" x14ac:dyDescent="0.35">
      <c r="A65" s="1006" t="s">
        <v>1251</v>
      </c>
      <c r="B65" s="1006"/>
      <c r="C65" s="1006"/>
      <c r="D65" s="1008">
        <v>50</v>
      </c>
      <c r="E65" s="1008"/>
      <c r="F65" s="1067">
        <f>SUM('VALUATION &amp; RETURNS'!$G$26:$G$32)+D65</f>
        <v>133.83099999999999</v>
      </c>
      <c r="G65" s="1068"/>
      <c r="H65" s="1069">
        <f t="shared" si="3"/>
        <v>3.7360551740628106E-2</v>
      </c>
      <c r="I65" s="1070"/>
      <c r="J65" s="1007">
        <f>IF(H65="","",H65*'VALUATION &amp; RETURNS'!$H$21)</f>
        <v>16.09684728675526</v>
      </c>
      <c r="K65" s="1008"/>
      <c r="L65" s="635">
        <f t="shared" si="4"/>
        <v>3.2193694573510521</v>
      </c>
      <c r="M65" s="1006" t="s">
        <v>1250</v>
      </c>
      <c r="N65" s="1006"/>
      <c r="O65"/>
      <c r="P65"/>
    </row>
    <row r="66" spans="1:16" ht="23" customHeight="1" x14ac:dyDescent="0.35">
      <c r="A66" s="1006" t="s">
        <v>1252</v>
      </c>
      <c r="B66" s="1006"/>
      <c r="C66" s="1006"/>
      <c r="D66" s="1008">
        <v>100</v>
      </c>
      <c r="E66" s="1008"/>
      <c r="F66" s="1067">
        <f>SUM('VALUATION &amp; RETURNS'!$G$26:$G$32)+D66</f>
        <v>183.83099999999999</v>
      </c>
      <c r="G66" s="1068"/>
      <c r="H66" s="1069">
        <f t="shared" si="3"/>
        <v>2.7198894636921957E-2</v>
      </c>
      <c r="I66" s="1070"/>
      <c r="J66" s="1007">
        <f>IF(H66="","",H66*'VALUATION &amp; RETURNS'!$H$21)</f>
        <v>11.718682753364467</v>
      </c>
      <c r="K66" s="1008"/>
      <c r="L66" s="635">
        <f t="shared" si="4"/>
        <v>2.3437365506728933</v>
      </c>
      <c r="M66" s="1006" t="s">
        <v>1250</v>
      </c>
      <c r="N66" s="1006"/>
      <c r="O66"/>
      <c r="P66"/>
    </row>
    <row r="67" spans="1:16" ht="23" customHeight="1" x14ac:dyDescent="0.35">
      <c r="A67" s="1050" t="s">
        <v>1253</v>
      </c>
      <c r="B67" s="1050"/>
      <c r="C67" s="1050"/>
      <c r="D67" s="1054">
        <v>136</v>
      </c>
      <c r="E67" s="1054"/>
      <c r="F67" s="1071">
        <f>SUM('VALUATION &amp; RETURNS'!$G$26:$G$32)+D67</f>
        <v>219.83099999999999</v>
      </c>
      <c r="G67" s="1072"/>
      <c r="H67" s="1073">
        <f t="shared" si="3"/>
        <v>2.274474482670779E-2</v>
      </c>
      <c r="I67" s="1074"/>
      <c r="J67" s="1053">
        <f>IF(H67="","",H67*'VALUATION &amp; RETURNS'!$H$21)</f>
        <v>9.7996059210654707</v>
      </c>
      <c r="K67" s="1054"/>
      <c r="L67" s="643">
        <f t="shared" si="4"/>
        <v>1.9599211842130941</v>
      </c>
      <c r="M67" s="1050" t="s">
        <v>1254</v>
      </c>
      <c r="N67" s="1050"/>
      <c r="O67"/>
      <c r="P67"/>
    </row>
    <row r="68" spans="1:16" ht="23" customHeight="1" x14ac:dyDescent="0.35">
      <c r="A68" s="1006" t="s">
        <v>1255</v>
      </c>
      <c r="B68" s="1006"/>
      <c r="C68" s="1006"/>
      <c r="D68" s="1008">
        <v>150</v>
      </c>
      <c r="E68" s="1008"/>
      <c r="F68" s="1067">
        <f>SUM('VALUATION &amp; RETURNS'!$G$26:$G$32)+D68</f>
        <v>233.83099999999999</v>
      </c>
      <c r="G68" s="1068"/>
      <c r="H68" s="1069">
        <f t="shared" si="3"/>
        <v>2.1382964619746741E-2</v>
      </c>
      <c r="I68" s="1070"/>
      <c r="J68" s="1007">
        <f>IF(H68="","",H68*'VALUATION &amp; RETURNS'!$H$21)</f>
        <v>9.2128809663121807</v>
      </c>
      <c r="K68" s="1008"/>
      <c r="L68" s="635">
        <f t="shared" si="4"/>
        <v>1.842576193262436</v>
      </c>
      <c r="M68" s="1006" t="s">
        <v>1256</v>
      </c>
      <c r="N68" s="1006"/>
      <c r="O68"/>
      <c r="P68"/>
    </row>
    <row r="69" spans="1:16" ht="23" customHeight="1" x14ac:dyDescent="0.35">
      <c r="A69" s="1006" t="s">
        <v>1257</v>
      </c>
      <c r="B69" s="1006"/>
      <c r="C69" s="1006"/>
      <c r="D69" s="1008">
        <v>200</v>
      </c>
      <c r="E69" s="1008"/>
      <c r="F69" s="1067">
        <f>SUM('VALUATION &amp; RETURNS'!$G$26:$G$32)+D69</f>
        <v>283.83100000000002</v>
      </c>
      <c r="G69" s="1068"/>
      <c r="H69" s="1069">
        <f t="shared" si="3"/>
        <v>1.7616116632785003E-2</v>
      </c>
      <c r="I69" s="1070"/>
      <c r="J69" s="1007">
        <f>IF(H69="","",H69*'VALUATION &amp; RETURNS'!$H$21)</f>
        <v>7.5899291100469757</v>
      </c>
      <c r="K69" s="1008"/>
      <c r="L69" s="635">
        <f t="shared" si="4"/>
        <v>1.5179858220093951</v>
      </c>
      <c r="M69" s="1006" t="s">
        <v>1256</v>
      </c>
      <c r="N69" s="1006"/>
      <c r="O69"/>
      <c r="P69"/>
    </row>
    <row r="70" spans="1:16" x14ac:dyDescent="0.35">
      <c r="A70" s="628"/>
      <c r="B70" s="628"/>
      <c r="C70" s="628"/>
      <c r="D70" s="628"/>
      <c r="E70" s="628"/>
      <c r="F70" s="628"/>
      <c r="G70" s="628"/>
      <c r="H70" s="628"/>
      <c r="I70" s="628"/>
      <c r="J70" s="628"/>
      <c r="K70" s="628"/>
      <c r="L70" s="628"/>
      <c r="M70" s="628"/>
      <c r="N70" s="628"/>
      <c r="O70"/>
      <c r="P70"/>
    </row>
    <row r="71" spans="1:16" x14ac:dyDescent="0.35">
      <c r="A71" s="628"/>
      <c r="B71" s="628"/>
      <c r="C71" s="628"/>
      <c r="D71" s="628"/>
      <c r="E71" s="628"/>
      <c r="F71" s="628"/>
      <c r="G71" s="628"/>
      <c r="H71" s="628"/>
      <c r="I71" s="1077"/>
      <c r="J71" s="1078"/>
      <c r="K71" s="1078"/>
      <c r="L71" s="1078"/>
      <c r="M71" s="1078"/>
      <c r="N71" s="1079"/>
      <c r="O71"/>
      <c r="P71"/>
    </row>
    <row r="72" spans="1:16" x14ac:dyDescent="0.35">
      <c r="A72" s="628"/>
      <c r="B72" s="628"/>
      <c r="C72" s="628"/>
      <c r="D72" s="628"/>
      <c r="E72" s="628"/>
      <c r="F72" s="628"/>
      <c r="G72" s="628"/>
      <c r="H72" s="628"/>
      <c r="I72" s="1041"/>
      <c r="J72" s="1042"/>
      <c r="K72" s="1042"/>
      <c r="L72" s="1042"/>
      <c r="M72" s="1042"/>
      <c r="N72" s="1043"/>
      <c r="O72"/>
      <c r="P72"/>
    </row>
    <row r="73" spans="1:16" x14ac:dyDescent="0.35">
      <c r="A73" s="628"/>
      <c r="B73" s="628"/>
      <c r="C73" s="628"/>
      <c r="D73" s="628"/>
      <c r="E73" s="628"/>
      <c r="F73" s="628"/>
      <c r="G73" s="628"/>
      <c r="H73" s="628"/>
      <c r="I73" s="1041"/>
      <c r="J73" s="1042"/>
      <c r="K73" s="1042"/>
      <c r="L73" s="1042"/>
      <c r="M73" s="1042"/>
      <c r="N73" s="1043"/>
      <c r="O73"/>
      <c r="P73"/>
    </row>
    <row r="74" spans="1:16" x14ac:dyDescent="0.35">
      <c r="A74" s="628"/>
      <c r="B74" s="628"/>
      <c r="C74" s="628"/>
      <c r="D74" s="628"/>
      <c r="E74" s="628"/>
      <c r="F74" s="628"/>
      <c r="G74" s="628"/>
      <c r="H74" s="628"/>
      <c r="I74" s="1041"/>
      <c r="J74" s="1042"/>
      <c r="K74" s="1042"/>
      <c r="L74" s="1042"/>
      <c r="M74" s="1042"/>
      <c r="N74" s="1043"/>
      <c r="O74"/>
      <c r="P74"/>
    </row>
    <row r="75" spans="1:16" x14ac:dyDescent="0.35">
      <c r="A75" s="628"/>
      <c r="B75" s="628"/>
      <c r="C75" s="628"/>
      <c r="D75" s="628"/>
      <c r="E75" s="628"/>
      <c r="F75" s="628"/>
      <c r="G75" s="628"/>
      <c r="H75" s="628"/>
      <c r="I75" s="1041"/>
      <c r="J75" s="1042"/>
      <c r="K75" s="1042"/>
      <c r="L75" s="1042"/>
      <c r="M75" s="1042"/>
      <c r="N75" s="1043"/>
      <c r="O75"/>
      <c r="P75"/>
    </row>
    <row r="76" spans="1:16" x14ac:dyDescent="0.35">
      <c r="A76" s="628"/>
      <c r="B76" s="628"/>
      <c r="C76" s="628"/>
      <c r="D76" s="628"/>
      <c r="E76" s="628"/>
      <c r="F76" s="628"/>
      <c r="G76" s="628"/>
      <c r="H76" s="628"/>
      <c r="I76" s="1041"/>
      <c r="J76" s="1042"/>
      <c r="K76" s="1042"/>
      <c r="L76" s="1042"/>
      <c r="M76" s="1042"/>
      <c r="N76" s="1043"/>
      <c r="O76"/>
      <c r="P76"/>
    </row>
    <row r="77" spans="1:16" x14ac:dyDescent="0.35">
      <c r="A77" s="628"/>
      <c r="B77" s="628"/>
      <c r="C77" s="628"/>
      <c r="D77" s="628"/>
      <c r="E77" s="628"/>
      <c r="F77" s="628"/>
      <c r="G77" s="628"/>
      <c r="H77" s="628"/>
      <c r="I77" s="1041"/>
      <c r="J77" s="1042"/>
      <c r="K77" s="1042"/>
      <c r="L77" s="1042"/>
      <c r="M77" s="1042"/>
      <c r="N77" s="1043"/>
      <c r="O77"/>
      <c r="P77"/>
    </row>
    <row r="78" spans="1:16" x14ac:dyDescent="0.35">
      <c r="A78" s="628"/>
      <c r="B78" s="628"/>
      <c r="C78" s="628"/>
      <c r="D78" s="628"/>
      <c r="E78" s="628"/>
      <c r="F78" s="628"/>
      <c r="G78" s="628"/>
      <c r="H78" s="628"/>
      <c r="I78" s="1041"/>
      <c r="J78" s="1042"/>
      <c r="K78" s="1042"/>
      <c r="L78" s="1042"/>
      <c r="M78" s="1042"/>
      <c r="N78" s="1043"/>
      <c r="O78"/>
      <c r="P78"/>
    </row>
    <row r="79" spans="1:16" x14ac:dyDescent="0.35">
      <c r="A79" s="628"/>
      <c r="B79" s="628"/>
      <c r="C79" s="628"/>
      <c r="D79" s="628"/>
      <c r="E79" s="628"/>
      <c r="F79" s="628"/>
      <c r="G79" s="628"/>
      <c r="H79" s="628"/>
      <c r="I79" s="1041"/>
      <c r="J79" s="1042"/>
      <c r="K79" s="1042"/>
      <c r="L79" s="1042"/>
      <c r="M79" s="1042"/>
      <c r="N79" s="1043"/>
      <c r="O79"/>
      <c r="P79"/>
    </row>
    <row r="80" spans="1:16" x14ac:dyDescent="0.35">
      <c r="A80" s="628"/>
      <c r="B80" s="628"/>
      <c r="C80" s="628"/>
      <c r="D80" s="628"/>
      <c r="E80" s="628"/>
      <c r="F80" s="628"/>
      <c r="G80" s="628"/>
      <c r="H80" s="628"/>
      <c r="I80" s="1041"/>
      <c r="J80" s="1042"/>
      <c r="K80" s="1042"/>
      <c r="L80" s="1042"/>
      <c r="M80" s="1042"/>
      <c r="N80" s="1043"/>
      <c r="O80"/>
      <c r="P80"/>
    </row>
    <row r="81" spans="1:19" x14ac:dyDescent="0.35">
      <c r="A81" s="628"/>
      <c r="B81" s="628"/>
      <c r="C81" s="628"/>
      <c r="D81" s="628"/>
      <c r="E81" s="628"/>
      <c r="F81" s="628"/>
      <c r="G81" s="628"/>
      <c r="H81" s="628"/>
      <c r="I81" s="1041"/>
      <c r="J81" s="1042"/>
      <c r="K81" s="1042"/>
      <c r="L81" s="1042"/>
      <c r="M81" s="1042"/>
      <c r="N81" s="1043"/>
      <c r="O81"/>
      <c r="P81"/>
    </row>
    <row r="82" spans="1:19" x14ac:dyDescent="0.35">
      <c r="A82" s="628"/>
      <c r="B82" s="628"/>
      <c r="C82" s="628"/>
      <c r="D82" s="628"/>
      <c r="E82" s="628"/>
      <c r="F82" s="628"/>
      <c r="G82" s="628"/>
      <c r="H82" s="628"/>
      <c r="I82" s="1044"/>
      <c r="J82" s="1045"/>
      <c r="K82" s="1045"/>
      <c r="L82" s="1045"/>
      <c r="M82" s="1045"/>
      <c r="N82" s="1046"/>
      <c r="O82"/>
      <c r="P82"/>
    </row>
    <row r="83" spans="1:19" x14ac:dyDescent="0.35">
      <c r="A83" s="628"/>
      <c r="B83" s="628"/>
      <c r="C83" s="628"/>
      <c r="D83" s="628"/>
      <c r="E83" s="628"/>
      <c r="F83" s="628"/>
      <c r="G83" s="628"/>
      <c r="H83" s="628"/>
      <c r="I83" s="628"/>
      <c r="J83" s="628"/>
      <c r="K83" s="628"/>
      <c r="L83" s="628"/>
      <c r="M83" s="628"/>
      <c r="N83" s="628"/>
      <c r="O83"/>
      <c r="P83"/>
    </row>
    <row r="84" spans="1:19" ht="14" x14ac:dyDescent="0.3">
      <c r="A84" s="1080" t="s">
        <v>1258</v>
      </c>
      <c r="B84" s="1081"/>
      <c r="C84" s="1081"/>
      <c r="D84" s="1081"/>
      <c r="E84" s="1081"/>
      <c r="F84" s="1081"/>
      <c r="G84" s="1081"/>
      <c r="H84" s="1081"/>
      <c r="I84" s="1081"/>
      <c r="J84" s="1081"/>
      <c r="K84" s="1081"/>
      <c r="L84" s="1081"/>
      <c r="M84" s="1081"/>
      <c r="N84" s="1081"/>
      <c r="O84" s="658"/>
      <c r="P84" s="658"/>
      <c r="Q84" s="658"/>
      <c r="R84" s="658"/>
      <c r="S84" s="658"/>
    </row>
    <row r="85" spans="1:19" x14ac:dyDescent="0.35">
      <c r="A85" s="1082"/>
      <c r="B85" s="1083"/>
      <c r="C85" s="1083"/>
      <c r="D85" s="1083"/>
      <c r="E85" s="1083"/>
      <c r="F85" s="1083"/>
      <c r="G85" s="1083"/>
      <c r="H85" s="1083"/>
      <c r="I85" s="1083"/>
      <c r="J85" s="1083"/>
      <c r="K85" s="1083"/>
      <c r="L85" s="1083"/>
      <c r="M85" s="1083"/>
      <c r="N85" s="1083"/>
      <c r="O85"/>
      <c r="P85"/>
    </row>
    <row r="86" spans="1:19" x14ac:dyDescent="0.35">
      <c r="A86" s="1082"/>
      <c r="B86" s="1083"/>
      <c r="C86" s="1083"/>
      <c r="D86" s="1083"/>
      <c r="E86" s="1083"/>
      <c r="F86" s="1083"/>
      <c r="G86" s="1083"/>
      <c r="H86" s="1083"/>
      <c r="I86" s="1083"/>
      <c r="J86" s="1083"/>
      <c r="K86" s="1083"/>
      <c r="L86" s="1083"/>
      <c r="M86" s="1083"/>
      <c r="N86" s="1083"/>
      <c r="O86"/>
      <c r="P86"/>
    </row>
    <row r="87" spans="1:19" x14ac:dyDescent="0.35">
      <c r="A87" s="628"/>
      <c r="B87" s="628"/>
      <c r="C87" s="628"/>
      <c r="D87" s="628"/>
      <c r="E87" s="628"/>
      <c r="F87" s="628"/>
      <c r="G87" s="628"/>
      <c r="H87" s="628"/>
      <c r="I87" s="628"/>
      <c r="J87" s="628"/>
      <c r="K87" s="628"/>
      <c r="L87" s="628"/>
      <c r="M87" s="628"/>
      <c r="N87" s="628"/>
      <c r="O87"/>
      <c r="P87"/>
    </row>
    <row r="88" spans="1:19" x14ac:dyDescent="0.35">
      <c r="A88" s="628"/>
      <c r="B88" s="628"/>
      <c r="C88" s="628"/>
      <c r="D88" s="628"/>
      <c r="E88" s="628"/>
      <c r="F88" s="628"/>
      <c r="G88" s="628"/>
      <c r="H88" s="628"/>
      <c r="I88" s="628"/>
      <c r="J88" s="628"/>
      <c r="K88" s="628"/>
      <c r="L88" s="628"/>
      <c r="M88" s="628"/>
      <c r="N88" s="628"/>
      <c r="O88"/>
      <c r="P88"/>
    </row>
    <row r="89" spans="1:19" ht="24" customHeight="1" x14ac:dyDescent="0.35">
      <c r="A89" s="993" t="s">
        <v>1259</v>
      </c>
      <c r="B89" s="993"/>
      <c r="C89" s="993"/>
      <c r="D89" s="993"/>
      <c r="E89" s="993"/>
      <c r="F89" s="993"/>
      <c r="G89" s="993"/>
      <c r="H89" s="993"/>
      <c r="I89" s="993"/>
      <c r="J89" s="993"/>
      <c r="K89" s="993"/>
      <c r="L89" s="993"/>
      <c r="M89" s="993"/>
      <c r="N89" s="993"/>
      <c r="O89"/>
      <c r="P89"/>
    </row>
    <row r="90" spans="1:19" x14ac:dyDescent="0.35">
      <c r="A90" s="628"/>
      <c r="B90" s="628"/>
      <c r="C90" s="628"/>
      <c r="D90" s="628"/>
      <c r="E90" s="628"/>
      <c r="F90" s="628"/>
      <c r="G90" s="628"/>
      <c r="H90" s="628"/>
      <c r="I90" s="628"/>
      <c r="J90" s="628"/>
      <c r="K90" s="628"/>
      <c r="L90" s="628"/>
      <c r="M90" s="628"/>
      <c r="N90" s="628"/>
      <c r="O90"/>
      <c r="P90"/>
    </row>
    <row r="91" spans="1:19" ht="14" x14ac:dyDescent="0.3">
      <c r="A91" s="1084" t="s">
        <v>1260</v>
      </c>
      <c r="B91" s="1085"/>
      <c r="C91" s="1085"/>
      <c r="D91" s="1085"/>
      <c r="E91" s="1085"/>
      <c r="F91" s="1085"/>
      <c r="G91" s="1085"/>
      <c r="H91" s="1085"/>
      <c r="I91" s="1085"/>
      <c r="J91" s="1085"/>
      <c r="K91" s="1085"/>
      <c r="L91" s="1085"/>
      <c r="M91" s="1085"/>
      <c r="N91" s="1086"/>
      <c r="O91" s="658"/>
      <c r="P91" s="658"/>
      <c r="Q91" s="658"/>
      <c r="R91" s="658"/>
      <c r="S91" s="658"/>
    </row>
    <row r="92" spans="1:19" ht="14" x14ac:dyDescent="0.3">
      <c r="A92" s="1087"/>
      <c r="B92" s="1088"/>
      <c r="C92" s="1088"/>
      <c r="D92" s="1088"/>
      <c r="E92" s="1088"/>
      <c r="F92" s="1088"/>
      <c r="G92" s="1088"/>
      <c r="H92" s="1088"/>
      <c r="I92" s="1088"/>
      <c r="J92" s="1088"/>
      <c r="K92" s="1088"/>
      <c r="L92" s="1088"/>
      <c r="M92" s="1088"/>
      <c r="N92" s="1089"/>
      <c r="O92" s="658"/>
      <c r="P92" s="658"/>
      <c r="Q92" s="658"/>
      <c r="R92" s="658"/>
      <c r="S92" s="658"/>
    </row>
    <row r="93" spans="1:19" ht="14" x14ac:dyDescent="0.3">
      <c r="A93" s="566"/>
      <c r="B93" s="566"/>
      <c r="C93" s="566"/>
      <c r="D93" s="566"/>
      <c r="E93" s="566"/>
      <c r="F93" s="566"/>
      <c r="G93" s="566"/>
      <c r="H93" s="566"/>
      <c r="I93" s="566"/>
      <c r="J93" s="566"/>
      <c r="K93" s="566"/>
      <c r="L93" s="566"/>
      <c r="M93" s="566"/>
      <c r="N93" s="566"/>
      <c r="O93" s="658"/>
      <c r="P93" s="658"/>
      <c r="Q93" s="658"/>
      <c r="R93" s="658"/>
      <c r="S93" s="658"/>
    </row>
    <row r="94" spans="1:19" ht="14" x14ac:dyDescent="0.3">
      <c r="A94" s="1090" t="s">
        <v>1261</v>
      </c>
      <c r="B94" s="1090"/>
      <c r="C94" s="1090"/>
      <c r="D94" s="1090"/>
      <c r="E94" s="1090"/>
      <c r="F94" s="1090"/>
      <c r="G94" s="1090"/>
      <c r="H94" s="1090" t="s">
        <v>1262</v>
      </c>
      <c r="I94" s="1090"/>
      <c r="J94" s="1090"/>
      <c r="K94" s="1090"/>
      <c r="L94" s="1090"/>
      <c r="M94" s="1090"/>
      <c r="N94" s="1090"/>
      <c r="O94" s="658"/>
      <c r="P94" s="658"/>
      <c r="Q94" s="658"/>
      <c r="R94" s="658"/>
      <c r="S94" s="658"/>
    </row>
    <row r="95" spans="1:19" ht="14" x14ac:dyDescent="0.3">
      <c r="A95" s="1075"/>
      <c r="B95" s="1075"/>
      <c r="C95" s="1075"/>
      <c r="D95" s="1075"/>
      <c r="E95" s="1075"/>
      <c r="F95" s="1075"/>
      <c r="G95" s="1075"/>
      <c r="H95" s="1075" t="s">
        <v>1263</v>
      </c>
      <c r="I95" s="1075"/>
      <c r="J95" s="1075"/>
      <c r="K95" s="1075"/>
      <c r="L95" s="1075"/>
      <c r="M95" s="1075"/>
      <c r="N95" s="1075"/>
      <c r="O95" s="658"/>
      <c r="P95" s="658"/>
      <c r="Q95" s="658"/>
      <c r="R95" s="658"/>
      <c r="S95" s="658"/>
    </row>
    <row r="96" spans="1:19" ht="14" x14ac:dyDescent="0.3">
      <c r="A96" s="1075"/>
      <c r="B96" s="1075"/>
      <c r="C96" s="1075"/>
      <c r="D96" s="1075"/>
      <c r="E96" s="1075"/>
      <c r="F96" s="1075"/>
      <c r="G96" s="1075"/>
      <c r="H96" s="1075"/>
      <c r="I96" s="1075"/>
      <c r="J96" s="1075"/>
      <c r="K96" s="1075"/>
      <c r="L96" s="1075"/>
      <c r="M96" s="1075"/>
      <c r="N96" s="1075"/>
      <c r="O96" s="658"/>
      <c r="P96" s="658"/>
      <c r="Q96" s="658"/>
      <c r="R96" s="658"/>
      <c r="S96" s="658"/>
    </row>
    <row r="97" spans="1:19" ht="14" x14ac:dyDescent="0.3">
      <c r="A97" s="1075"/>
      <c r="B97" s="1075"/>
      <c r="C97" s="1075"/>
      <c r="D97" s="1075"/>
      <c r="E97" s="1075"/>
      <c r="F97" s="1075"/>
      <c r="G97" s="1075"/>
      <c r="H97" s="1075"/>
      <c r="I97" s="1075"/>
      <c r="J97" s="1075"/>
      <c r="K97" s="1075"/>
      <c r="L97" s="1075"/>
      <c r="M97" s="1075"/>
      <c r="N97" s="1075"/>
      <c r="O97" s="658"/>
      <c r="P97" s="658"/>
      <c r="Q97" s="658"/>
      <c r="R97" s="658"/>
      <c r="S97" s="658"/>
    </row>
    <row r="98" spans="1:19" ht="14" x14ac:dyDescent="0.3">
      <c r="A98" s="1075"/>
      <c r="B98" s="1075"/>
      <c r="C98" s="1075"/>
      <c r="D98" s="1075"/>
      <c r="E98" s="1075"/>
      <c r="F98" s="1075"/>
      <c r="G98" s="1075"/>
      <c r="H98" s="1075"/>
      <c r="I98" s="1075"/>
      <c r="J98" s="1075"/>
      <c r="K98" s="1075"/>
      <c r="L98" s="1075"/>
      <c r="M98" s="1075"/>
      <c r="N98" s="1075"/>
      <c r="O98" s="658"/>
      <c r="P98" s="658"/>
      <c r="Q98" s="658"/>
      <c r="R98" s="658"/>
      <c r="S98" s="658"/>
    </row>
    <row r="99" spans="1:19" ht="14" x14ac:dyDescent="0.3">
      <c r="A99" s="1076" t="s">
        <v>1264</v>
      </c>
      <c r="B99" s="1076"/>
      <c r="C99" s="1076"/>
      <c r="D99" s="1076"/>
      <c r="E99" s="1076"/>
      <c r="F99" s="1076"/>
      <c r="G99" s="1076"/>
      <c r="H99" s="1076" t="s">
        <v>1265</v>
      </c>
      <c r="I99" s="1076"/>
      <c r="J99" s="1076"/>
      <c r="K99" s="1076"/>
      <c r="L99" s="1076"/>
      <c r="M99" s="1076"/>
      <c r="N99" s="1076"/>
      <c r="O99" s="658"/>
      <c r="P99" s="658"/>
      <c r="Q99" s="658"/>
      <c r="R99" s="658"/>
      <c r="S99" s="658"/>
    </row>
    <row r="100" spans="1:19" ht="14" x14ac:dyDescent="0.3">
      <c r="A100" s="1075" t="s">
        <v>1266</v>
      </c>
      <c r="B100" s="1075"/>
      <c r="C100" s="1075"/>
      <c r="D100" s="1075"/>
      <c r="E100" s="1075"/>
      <c r="F100" s="1075"/>
      <c r="G100" s="1075"/>
      <c r="H100" s="1075" t="s">
        <v>1267</v>
      </c>
      <c r="I100" s="1075"/>
      <c r="J100" s="1075"/>
      <c r="K100" s="1075"/>
      <c r="L100" s="1075"/>
      <c r="M100" s="1075"/>
      <c r="N100" s="1075"/>
      <c r="O100" s="658"/>
      <c r="P100" s="658"/>
      <c r="Q100" s="658"/>
      <c r="R100" s="658"/>
      <c r="S100" s="658"/>
    </row>
    <row r="101" spans="1:19" ht="14" x14ac:dyDescent="0.3">
      <c r="A101" s="1075"/>
      <c r="B101" s="1075"/>
      <c r="C101" s="1075"/>
      <c r="D101" s="1075"/>
      <c r="E101" s="1075"/>
      <c r="F101" s="1075"/>
      <c r="G101" s="1075"/>
      <c r="H101" s="1075"/>
      <c r="I101" s="1075"/>
      <c r="J101" s="1075"/>
      <c r="K101" s="1075"/>
      <c r="L101" s="1075"/>
      <c r="M101" s="1075"/>
      <c r="N101" s="1075"/>
      <c r="O101" s="658"/>
      <c r="P101" s="658"/>
      <c r="Q101" s="658"/>
      <c r="R101" s="658"/>
      <c r="S101" s="658"/>
    </row>
    <row r="102" spans="1:19" ht="14" x14ac:dyDescent="0.3">
      <c r="A102" s="1075"/>
      <c r="B102" s="1075"/>
      <c r="C102" s="1075"/>
      <c r="D102" s="1075"/>
      <c r="E102" s="1075"/>
      <c r="F102" s="1075"/>
      <c r="G102" s="1075"/>
      <c r="H102" s="1075"/>
      <c r="I102" s="1075"/>
      <c r="J102" s="1075"/>
      <c r="K102" s="1075"/>
      <c r="L102" s="1075"/>
      <c r="M102" s="1075"/>
      <c r="N102" s="1075"/>
      <c r="O102" s="658"/>
      <c r="P102" s="658"/>
      <c r="Q102" s="658"/>
      <c r="R102" s="658"/>
      <c r="S102" s="658"/>
    </row>
    <row r="103" spans="1:19" ht="14" x14ac:dyDescent="0.3">
      <c r="A103" s="1075"/>
      <c r="B103" s="1075"/>
      <c r="C103" s="1075"/>
      <c r="D103" s="1075"/>
      <c r="E103" s="1075"/>
      <c r="F103" s="1075"/>
      <c r="G103" s="1075"/>
      <c r="H103" s="1075"/>
      <c r="I103" s="1075"/>
      <c r="J103" s="1075"/>
      <c r="K103" s="1075"/>
      <c r="L103" s="1075"/>
      <c r="M103" s="1075"/>
      <c r="N103" s="1075"/>
      <c r="O103" s="658"/>
      <c r="P103" s="658"/>
      <c r="Q103" s="658"/>
      <c r="R103" s="658"/>
      <c r="S103" s="658"/>
    </row>
    <row r="104" spans="1:19" ht="14" x14ac:dyDescent="0.3">
      <c r="A104" s="1075"/>
      <c r="B104" s="1075"/>
      <c r="C104" s="1075"/>
      <c r="D104" s="1075"/>
      <c r="E104" s="1075"/>
      <c r="F104" s="1075"/>
      <c r="G104" s="1075"/>
      <c r="H104" s="1075"/>
      <c r="I104" s="1075"/>
      <c r="J104" s="1075"/>
      <c r="K104" s="1075"/>
      <c r="L104" s="1075"/>
      <c r="M104" s="1075"/>
      <c r="N104" s="1075"/>
      <c r="O104" s="658"/>
      <c r="P104" s="658"/>
      <c r="Q104" s="658"/>
      <c r="R104" s="658"/>
      <c r="S104" s="658"/>
    </row>
    <row r="105" spans="1:19" ht="14" x14ac:dyDescent="0.3">
      <c r="A105" s="1076" t="s">
        <v>1268</v>
      </c>
      <c r="B105" s="1076"/>
      <c r="C105" s="1076"/>
      <c r="D105" s="1076"/>
      <c r="E105" s="1076"/>
      <c r="F105" s="1076"/>
      <c r="G105" s="1076"/>
      <c r="H105" s="1076" t="s">
        <v>1269</v>
      </c>
      <c r="I105" s="1076"/>
      <c r="J105" s="1076"/>
      <c r="K105" s="1076"/>
      <c r="L105" s="1076"/>
      <c r="M105" s="1076"/>
      <c r="N105" s="1076"/>
      <c r="O105" s="658"/>
      <c r="P105" s="658"/>
      <c r="Q105" s="658"/>
      <c r="R105" s="658"/>
      <c r="S105" s="658"/>
    </row>
    <row r="106" spans="1:19" ht="14" x14ac:dyDescent="0.3">
      <c r="A106" s="1075" t="s">
        <v>1270</v>
      </c>
      <c r="B106" s="1075"/>
      <c r="C106" s="1075"/>
      <c r="D106" s="1075"/>
      <c r="E106" s="1075"/>
      <c r="F106" s="1075"/>
      <c r="G106" s="1075"/>
      <c r="H106" s="1075" t="s">
        <v>1271</v>
      </c>
      <c r="I106" s="1075"/>
      <c r="J106" s="1075"/>
      <c r="K106" s="1075"/>
      <c r="L106" s="1075"/>
      <c r="M106" s="1075"/>
      <c r="N106" s="1075"/>
      <c r="O106" s="658"/>
      <c r="P106" s="658"/>
      <c r="Q106" s="658"/>
      <c r="R106" s="658"/>
      <c r="S106" s="658"/>
    </row>
    <row r="107" spans="1:19" ht="14" x14ac:dyDescent="0.3">
      <c r="A107" s="1075"/>
      <c r="B107" s="1075"/>
      <c r="C107" s="1075"/>
      <c r="D107" s="1075"/>
      <c r="E107" s="1075"/>
      <c r="F107" s="1075"/>
      <c r="G107" s="1075"/>
      <c r="H107" s="1075"/>
      <c r="I107" s="1075"/>
      <c r="J107" s="1075"/>
      <c r="K107" s="1075"/>
      <c r="L107" s="1075"/>
      <c r="M107" s="1075"/>
      <c r="N107" s="1075"/>
      <c r="O107" s="658"/>
      <c r="P107" s="658"/>
      <c r="Q107" s="658"/>
      <c r="R107" s="658"/>
      <c r="S107" s="658"/>
    </row>
    <row r="108" spans="1:19" ht="14" x14ac:dyDescent="0.3">
      <c r="A108" s="1075"/>
      <c r="B108" s="1075"/>
      <c r="C108" s="1075"/>
      <c r="D108" s="1075"/>
      <c r="E108" s="1075"/>
      <c r="F108" s="1075"/>
      <c r="G108" s="1075"/>
      <c r="H108" s="1075"/>
      <c r="I108" s="1075"/>
      <c r="J108" s="1075"/>
      <c r="K108" s="1075"/>
      <c r="L108" s="1075"/>
      <c r="M108" s="1075"/>
      <c r="N108" s="1075"/>
      <c r="O108" s="658"/>
      <c r="P108" s="658"/>
      <c r="Q108" s="658"/>
      <c r="R108" s="658"/>
      <c r="S108" s="658"/>
    </row>
    <row r="109" spans="1:19" ht="14" x14ac:dyDescent="0.3">
      <c r="A109" s="1075"/>
      <c r="B109" s="1075"/>
      <c r="C109" s="1075"/>
      <c r="D109" s="1075"/>
      <c r="E109" s="1075"/>
      <c r="F109" s="1075"/>
      <c r="G109" s="1075"/>
      <c r="H109" s="1075"/>
      <c r="I109" s="1075"/>
      <c r="J109" s="1075"/>
      <c r="K109" s="1075"/>
      <c r="L109" s="1075"/>
      <c r="M109" s="1075"/>
      <c r="N109" s="1075"/>
      <c r="O109" s="658"/>
      <c r="P109" s="658"/>
      <c r="Q109" s="658"/>
      <c r="R109" s="658"/>
      <c r="S109" s="658"/>
    </row>
    <row r="110" spans="1:19" ht="14" x14ac:dyDescent="0.3">
      <c r="A110" s="1075"/>
      <c r="B110" s="1075"/>
      <c r="C110" s="1075"/>
      <c r="D110" s="1075"/>
      <c r="E110" s="1075"/>
      <c r="F110" s="1075"/>
      <c r="G110" s="1075"/>
      <c r="H110" s="1075"/>
      <c r="I110" s="1075"/>
      <c r="J110" s="1075"/>
      <c r="K110" s="1075"/>
      <c r="L110" s="1075"/>
      <c r="M110" s="1075"/>
      <c r="N110" s="1075"/>
      <c r="O110" s="658"/>
      <c r="P110" s="658"/>
      <c r="Q110" s="658"/>
      <c r="R110" s="658"/>
      <c r="S110" s="658"/>
    </row>
    <row r="111" spans="1:19" ht="14" x14ac:dyDescent="0.3">
      <c r="A111" s="1075"/>
      <c r="B111" s="1075"/>
      <c r="C111" s="1075"/>
      <c r="D111" s="1075"/>
      <c r="E111" s="1075"/>
      <c r="F111" s="1075"/>
      <c r="G111" s="1075"/>
      <c r="H111" s="1075"/>
      <c r="I111" s="1075"/>
      <c r="J111" s="1075"/>
      <c r="K111" s="1075"/>
      <c r="L111" s="1075"/>
      <c r="M111" s="1075"/>
      <c r="N111" s="1075"/>
      <c r="O111" s="658"/>
      <c r="P111" s="658"/>
      <c r="Q111" s="658"/>
      <c r="R111" s="658"/>
      <c r="S111" s="658"/>
    </row>
    <row r="112" spans="1:19" ht="14" x14ac:dyDescent="0.3">
      <c r="A112" s="1075"/>
      <c r="B112" s="1075"/>
      <c r="C112" s="1075"/>
      <c r="D112" s="1075"/>
      <c r="E112" s="1075"/>
      <c r="F112" s="1075"/>
      <c r="G112" s="1075"/>
      <c r="H112" s="1075"/>
      <c r="I112" s="1075"/>
      <c r="J112" s="1075"/>
      <c r="K112" s="1075"/>
      <c r="L112" s="1075"/>
      <c r="M112" s="1075"/>
      <c r="N112" s="1075"/>
      <c r="O112" s="658"/>
      <c r="P112" s="658"/>
      <c r="Q112" s="658"/>
      <c r="R112" s="658"/>
      <c r="S112" s="658"/>
    </row>
    <row r="113" spans="1:19" ht="14" x14ac:dyDescent="0.3">
      <c r="A113" s="1075"/>
      <c r="B113" s="1075"/>
      <c r="C113" s="1075"/>
      <c r="D113" s="1075"/>
      <c r="E113" s="1075"/>
      <c r="F113" s="1075"/>
      <c r="G113" s="1075"/>
      <c r="H113" s="1075"/>
      <c r="I113" s="1075"/>
      <c r="J113" s="1075"/>
      <c r="K113" s="1075"/>
      <c r="L113" s="1075"/>
      <c r="M113" s="1075"/>
      <c r="N113" s="1075"/>
      <c r="O113" s="658"/>
      <c r="P113" s="658"/>
      <c r="Q113" s="658"/>
      <c r="R113" s="658"/>
      <c r="S113" s="658"/>
    </row>
    <row r="114" spans="1:19" ht="14" x14ac:dyDescent="0.3">
      <c r="A114" s="566"/>
      <c r="B114" s="566"/>
      <c r="C114" s="566"/>
      <c r="D114" s="566"/>
      <c r="E114" s="566"/>
      <c r="F114" s="566"/>
      <c r="G114" s="566"/>
      <c r="H114" s="566"/>
      <c r="I114" s="566"/>
      <c r="J114" s="566"/>
      <c r="K114" s="566"/>
      <c r="L114" s="566"/>
      <c r="M114" s="566"/>
      <c r="N114" s="566"/>
      <c r="O114" s="658"/>
      <c r="P114" s="658"/>
      <c r="Q114" s="658"/>
      <c r="R114" s="658"/>
      <c r="S114" s="658"/>
    </row>
    <row r="115" spans="1:19" ht="14" x14ac:dyDescent="0.3">
      <c r="A115" s="1091" t="s">
        <v>1272</v>
      </c>
      <c r="B115" s="1092"/>
      <c r="C115" s="1092"/>
      <c r="D115" s="1092"/>
      <c r="E115" s="1092"/>
      <c r="F115" s="1092"/>
      <c r="G115" s="1092"/>
      <c r="H115" s="1092"/>
      <c r="I115" s="1092"/>
      <c r="J115" s="1092"/>
      <c r="K115" s="1092"/>
      <c r="L115" s="1092"/>
      <c r="M115" s="1092"/>
      <c r="N115" s="1093"/>
      <c r="O115" s="658"/>
      <c r="P115" s="658"/>
      <c r="Q115" s="658"/>
      <c r="R115" s="658"/>
      <c r="S115" s="658"/>
    </row>
    <row r="116" spans="1:19" ht="24" customHeight="1" x14ac:dyDescent="0.35">
      <c r="A116" s="1094"/>
      <c r="B116" s="1095"/>
      <c r="C116" s="1095"/>
      <c r="D116" s="1095"/>
      <c r="E116" s="1095"/>
      <c r="F116" s="1095"/>
      <c r="G116" s="1095"/>
      <c r="H116" s="1095"/>
      <c r="I116" s="1095"/>
      <c r="J116" s="1095"/>
      <c r="K116" s="1095"/>
      <c r="L116" s="1095"/>
      <c r="M116" s="1095"/>
      <c r="N116" s="1096"/>
      <c r="O116"/>
      <c r="P116"/>
    </row>
    <row r="117" spans="1:19" ht="24" customHeight="1" x14ac:dyDescent="0.35">
      <c r="A117" s="1097"/>
      <c r="B117" s="1098"/>
      <c r="C117" s="1098"/>
      <c r="D117" s="1098"/>
      <c r="E117" s="1098"/>
      <c r="F117" s="1098"/>
      <c r="G117" s="1098"/>
      <c r="H117" s="1098"/>
      <c r="I117" s="1098"/>
      <c r="J117" s="1098"/>
      <c r="K117" s="1098"/>
      <c r="L117" s="1098"/>
      <c r="M117" s="1098"/>
      <c r="N117" s="1099"/>
      <c r="O117"/>
      <c r="P117"/>
    </row>
    <row r="118" spans="1:19" ht="26" customHeight="1" x14ac:dyDescent="0.45">
      <c r="A118" s="1100" t="s">
        <v>1273</v>
      </c>
      <c r="B118" s="1100"/>
      <c r="C118" s="1100"/>
      <c r="D118" s="1100"/>
      <c r="E118" s="1100"/>
      <c r="F118" s="1100"/>
      <c r="G118" s="1100"/>
      <c r="H118" s="1100"/>
      <c r="I118" s="1100"/>
      <c r="J118" s="1100"/>
      <c r="K118" s="1100"/>
      <c r="L118" s="1100"/>
      <c r="M118" s="1100"/>
      <c r="N118" s="1100"/>
      <c r="O118" s="1100"/>
      <c r="P118" s="1100"/>
      <c r="Q118" s="1100"/>
      <c r="R118" s="1100"/>
      <c r="S118" s="1100"/>
    </row>
    <row r="119" spans="1:19" x14ac:dyDescent="0.35">
      <c r="A119" s="647"/>
      <c r="B119" s="647"/>
      <c r="C119" s="647"/>
      <c r="D119" s="647"/>
      <c r="E119" s="647"/>
      <c r="F119" s="647"/>
      <c r="G119" s="647"/>
      <c r="H119" s="647"/>
      <c r="I119" s="647"/>
      <c r="J119" s="647"/>
      <c r="K119" s="647"/>
      <c r="L119" s="647"/>
      <c r="M119" s="647"/>
      <c r="N119" s="647"/>
      <c r="O119"/>
      <c r="P119"/>
    </row>
    <row r="120" spans="1:19" x14ac:dyDescent="0.35">
      <c r="A120" s="990" t="s">
        <v>1274</v>
      </c>
      <c r="B120" s="990"/>
      <c r="C120" s="990"/>
      <c r="D120" s="990"/>
      <c r="E120" s="990"/>
      <c r="F120" s="990"/>
      <c r="G120" s="990"/>
      <c r="H120" s="990"/>
      <c r="I120" s="990"/>
      <c r="J120" s="990"/>
      <c r="K120" s="990"/>
      <c r="L120" s="990"/>
      <c r="M120" s="990"/>
      <c r="N120" s="990"/>
      <c r="O120"/>
      <c r="P120"/>
    </row>
    <row r="121" spans="1:19" x14ac:dyDescent="0.35">
      <c r="A121" s="628"/>
      <c r="B121" s="628"/>
      <c r="C121" s="628"/>
      <c r="D121" s="628"/>
      <c r="E121" s="628"/>
      <c r="F121" s="628"/>
      <c r="G121" s="628"/>
      <c r="H121" s="628"/>
      <c r="I121" s="628"/>
      <c r="J121" s="628"/>
      <c r="K121" s="628"/>
      <c r="L121" s="628"/>
      <c r="M121" s="628"/>
      <c r="N121" s="628"/>
      <c r="O121"/>
      <c r="P121"/>
    </row>
    <row r="122" spans="1:19" x14ac:dyDescent="0.35">
      <c r="A122" s="1026" t="s">
        <v>1275</v>
      </c>
      <c r="B122" s="1026"/>
      <c r="C122" s="1026"/>
      <c r="D122" s="1026"/>
      <c r="E122" s="1026" t="s">
        <v>530</v>
      </c>
      <c r="F122" s="1026"/>
      <c r="G122" s="629" t="s">
        <v>1276</v>
      </c>
      <c r="H122" s="648"/>
      <c r="I122" s="648"/>
      <c r="J122" s="648"/>
      <c r="K122" s="648"/>
      <c r="L122" s="648"/>
      <c r="M122" s="648"/>
      <c r="N122" s="648"/>
      <c r="O122"/>
      <c r="P122"/>
    </row>
    <row r="123" spans="1:19" x14ac:dyDescent="0.35">
      <c r="A123" s="1006" t="s">
        <v>1277</v>
      </c>
      <c r="B123" s="1006"/>
      <c r="C123" s="1006"/>
      <c r="D123" s="1006"/>
      <c r="E123" s="1009">
        <f>$A$9</f>
        <v>5</v>
      </c>
      <c r="F123" s="1008"/>
      <c r="G123" s="645"/>
      <c r="H123" s="649"/>
      <c r="I123" s="649"/>
      <c r="J123" s="649"/>
      <c r="K123" s="649"/>
      <c r="L123" s="649"/>
      <c r="M123" s="649"/>
      <c r="N123" s="649"/>
      <c r="O123"/>
      <c r="P123"/>
    </row>
    <row r="124" spans="1:19" x14ac:dyDescent="0.35">
      <c r="A124" s="1006" t="s">
        <v>1278</v>
      </c>
      <c r="B124" s="1006"/>
      <c r="C124" s="1006"/>
      <c r="D124" s="1006"/>
      <c r="E124" s="1009">
        <f>MAX(0,$E$127-$E$125-$E$126)</f>
        <v>9.989001356246046</v>
      </c>
      <c r="F124" s="1008"/>
      <c r="G124" s="644">
        <f>IF($E$127=0,0,E124/$E$127)</f>
        <v>1</v>
      </c>
      <c r="H124" s="649"/>
      <c r="I124" s="649"/>
      <c r="J124" s="649"/>
      <c r="K124" s="649"/>
      <c r="L124" s="649"/>
      <c r="M124" s="649"/>
      <c r="N124" s="649"/>
      <c r="O124"/>
      <c r="P124"/>
    </row>
    <row r="125" spans="1:19" x14ac:dyDescent="0.35">
      <c r="A125" s="1006" t="s">
        <v>1279</v>
      </c>
      <c r="B125" s="1006"/>
      <c r="C125" s="1006"/>
      <c r="D125" s="1006"/>
      <c r="E125" s="1009">
        <f>0</f>
        <v>0</v>
      </c>
      <c r="F125" s="1008"/>
      <c r="G125" s="644">
        <f>IF($E$127=0,0,E125/$E$127)</f>
        <v>0</v>
      </c>
      <c r="H125" s="649"/>
      <c r="I125" s="649"/>
      <c r="J125" s="649"/>
      <c r="K125" s="649"/>
      <c r="L125" s="649"/>
      <c r="M125" s="649"/>
      <c r="N125" s="649"/>
      <c r="O125"/>
      <c r="P125"/>
    </row>
    <row r="126" spans="1:19" x14ac:dyDescent="0.35">
      <c r="A126" s="1006" t="s">
        <v>1280</v>
      </c>
      <c r="B126" s="1006"/>
      <c r="C126" s="1006"/>
      <c r="D126" s="1006"/>
      <c r="E126" s="1007">
        <f>INDEX('VALUATION &amp; RETURNS'!$CV$62:$CV$69,MATCH($C$3,'VALUATION &amp; RETURNS'!$CQ$62:$CQ$69,0))</f>
        <v>0</v>
      </c>
      <c r="F126" s="1008"/>
      <c r="G126" s="644">
        <f>IF($E$127=0,0,E126/$E$127)</f>
        <v>0</v>
      </c>
      <c r="H126" s="649"/>
      <c r="I126" s="649"/>
      <c r="J126" s="649"/>
      <c r="K126" s="649"/>
      <c r="L126" s="649"/>
      <c r="M126" s="649"/>
      <c r="N126" s="649"/>
      <c r="O126"/>
      <c r="P126"/>
    </row>
    <row r="127" spans="1:19" x14ac:dyDescent="0.35">
      <c r="A127" s="1050" t="s">
        <v>1281</v>
      </c>
      <c r="B127" s="1050"/>
      <c r="C127" s="1050"/>
      <c r="D127" s="1050"/>
      <c r="E127" s="1055">
        <f>$J$9</f>
        <v>9.989001356246046</v>
      </c>
      <c r="F127" s="1054"/>
      <c r="G127" s="646">
        <f>SUM(G124:G126)</f>
        <v>1</v>
      </c>
      <c r="H127" s="649"/>
      <c r="I127" s="649"/>
      <c r="J127" s="649"/>
      <c r="K127" s="649"/>
      <c r="L127" s="649"/>
      <c r="M127" s="649"/>
      <c r="N127" s="649"/>
      <c r="O127"/>
      <c r="P127"/>
    </row>
    <row r="128" spans="1:19" x14ac:dyDescent="0.35">
      <c r="A128" s="1050" t="s">
        <v>1282</v>
      </c>
      <c r="B128" s="1050"/>
      <c r="C128" s="1050"/>
      <c r="D128" s="1050"/>
      <c r="E128" s="1055">
        <f>$J$9-$A$9</f>
        <v>4.989001356246046</v>
      </c>
      <c r="F128" s="1054"/>
      <c r="G128" s="646">
        <f>IF($A$9=0,0,$E$128/$A$9)</f>
        <v>0.99780027124920923</v>
      </c>
      <c r="H128" s="649"/>
      <c r="I128" s="649"/>
      <c r="J128" s="649"/>
      <c r="K128" s="649"/>
      <c r="L128" s="649"/>
      <c r="M128" s="649"/>
      <c r="N128" s="649"/>
      <c r="O128"/>
      <c r="P128"/>
    </row>
    <row r="129" spans="1:16" x14ac:dyDescent="0.35">
      <c r="A129" s="628"/>
      <c r="B129" s="628"/>
      <c r="C129" s="628"/>
      <c r="D129" s="628"/>
      <c r="E129" s="628"/>
      <c r="F129" s="628"/>
      <c r="G129" s="628"/>
      <c r="H129" s="628"/>
      <c r="I129" s="628"/>
      <c r="J129" s="628"/>
      <c r="K129" s="628"/>
      <c r="L129" s="628"/>
      <c r="M129" s="628"/>
      <c r="N129" s="628"/>
      <c r="O129"/>
      <c r="P129"/>
    </row>
    <row r="130" spans="1:16" x14ac:dyDescent="0.35">
      <c r="A130" s="916" t="str">
        <f ca="1">"RETURN INTERPRETATION | "&amp;LOWER($I$3)&amp;" case value uses the provisional pro-rata investor register. No investor-specific interim distribution schedule is available. Illustrated gain: "&amp;TEXT(($J$9-$A$9)/$A$9,"0.0%")&amp;" over "&amp;TEXT(('VALUATION &amp; RETURNS'!$C$45-'VALUATION &amp; RETURNS'!$C$43)/365,"0.0")&amp;" years. Status: "&amp;$I$4&amp;"."</f>
        <v/>
      </c>
      <c r="B130" s="650"/>
      <c r="C130" s="650"/>
      <c r="D130" s="650"/>
      <c r="E130" s="650"/>
      <c r="F130" s="650"/>
      <c r="G130" s="651"/>
      <c r="H130" s="649"/>
      <c r="I130" s="649"/>
      <c r="J130" s="649"/>
      <c r="K130" s="649"/>
      <c r="L130" s="649"/>
      <c r="M130" s="649"/>
      <c r="N130" s="649"/>
      <c r="O130"/>
      <c r="P130"/>
    </row>
    <row r="131" spans="1:16" x14ac:dyDescent="0.35">
      <c r="A131"/>
      <c r="B131"/>
      <c r="C131"/>
      <c r="D131"/>
      <c r="E131"/>
      <c r="F131"/>
      <c r="G131"/>
      <c r="H131"/>
      <c r="I131"/>
      <c r="J131"/>
      <c r="K131"/>
      <c r="L131"/>
      <c r="M131"/>
      <c r="N131"/>
      <c r="O131"/>
      <c r="P131"/>
    </row>
    <row r="132" spans="1:16" x14ac:dyDescent="0.35">
      <c r="A132"/>
      <c r="B132"/>
      <c r="C132"/>
      <c r="D132"/>
      <c r="E132"/>
      <c r="F132"/>
      <c r="G132"/>
      <c r="H132"/>
      <c r="I132"/>
      <c r="J132"/>
      <c r="K132"/>
      <c r="L132"/>
      <c r="M132"/>
      <c r="N132"/>
      <c r="O132"/>
      <c r="P132"/>
    </row>
    <row r="133" spans="1:16" x14ac:dyDescent="0.35">
      <c r="A133" s="990" t="s">
        <v>1283</v>
      </c>
      <c r="B133" s="990"/>
      <c r="C133" s="990"/>
      <c r="D133" s="990"/>
      <c r="E133" s="990"/>
      <c r="F133" s="990"/>
      <c r="G133" s="990"/>
      <c r="H133" s="990"/>
      <c r="I133" s="990"/>
      <c r="J133" s="990"/>
      <c r="K133" s="990"/>
      <c r="L133" s="990"/>
      <c r="M133" s="990"/>
      <c r="N133" s="990"/>
      <c r="O133"/>
      <c r="P133"/>
    </row>
    <row r="134" spans="1:16" x14ac:dyDescent="0.35">
      <c r="A134" s="628"/>
      <c r="B134" s="628"/>
      <c r="C134" s="628"/>
      <c r="D134" s="628"/>
      <c r="E134" s="628"/>
      <c r="F134" s="628"/>
      <c r="G134" s="628"/>
      <c r="H134" s="628"/>
      <c r="I134" s="628"/>
      <c r="J134" s="628"/>
      <c r="K134" s="628"/>
      <c r="L134" s="628"/>
      <c r="M134" s="628"/>
      <c r="N134" s="628"/>
      <c r="O134"/>
      <c r="P134"/>
    </row>
    <row r="135" spans="1:16" x14ac:dyDescent="0.35">
      <c r="A135" s="1026" t="s">
        <v>1284</v>
      </c>
      <c r="B135" s="1026"/>
      <c r="C135" s="1026"/>
      <c r="D135" s="1026" t="s">
        <v>1285</v>
      </c>
      <c r="E135" s="1026"/>
      <c r="F135" s="629" t="s">
        <v>1286</v>
      </c>
      <c r="G135" s="629" t="s">
        <v>1287</v>
      </c>
      <c r="H135" s="629" t="s">
        <v>856</v>
      </c>
      <c r="I135" s="629" t="s">
        <v>1288</v>
      </c>
      <c r="J135" s="1137" t="str">
        <f>"The selected investor provides "&amp;TEXT($A$9/'VALUATION &amp; RETURNS'!$G$34,"0.0%")&amp;" of the provisional named investor register. Ownership moves from "&amp;TEXT($H$136,"0.00%")&amp;" after the initial close to "&amp;TEXT($H$138,"0.00%")&amp;" on the current pro-rata funding assumption. The selected valuation case is "&amp;$I$3&amp;". Share issue prices and legal dilution mechanics remain unconfirmed."</f>
        <v>The selected investor provides 2.3% of the provisional named investor register. Ownership moves from 2.32% after the initial close to 2.32% on the current pro-rata funding assumption. The selected valuation case is Base. Share issue prices and legal dilution mechanics remain unconfirmed.</v>
      </c>
      <c r="K135" s="1138"/>
      <c r="L135" s="1138"/>
      <c r="M135" s="1138"/>
      <c r="N135" s="1139"/>
      <c r="O135"/>
      <c r="P135"/>
    </row>
    <row r="136" spans="1:16" x14ac:dyDescent="0.35">
      <c r="A136" s="1006" t="s">
        <v>1289</v>
      </c>
      <c r="B136" s="1006"/>
      <c r="C136" s="1006"/>
      <c r="D136" s="1007">
        <f>INDEX('VALUATION &amp; RETURNS'!$D$26:$D$33,MATCH($C$3,'VALUATION &amp; RETURNS'!$B$26:$B$33,0))</f>
        <v>5</v>
      </c>
      <c r="E136" s="1008"/>
      <c r="F136" s="652" t="str">
        <f>""</f>
        <v/>
      </c>
      <c r="G136" s="652" t="str">
        <f>""</f>
        <v/>
      </c>
      <c r="H136" s="636">
        <f>IF(SUM('VALUATION &amp; RETURNS'!$D$26:$D$33)=0,0,INDEX('VALUATION &amp; RETURNS'!$D$26:$D$33,MATCH($C$3,'VALUATION &amp; RETURNS'!$B$26:$B$33,0))/SUM('VALUATION &amp; RETURNS'!$D$26:$D$33))</f>
        <v>2.3184328916029732E-2</v>
      </c>
      <c r="I136" s="644">
        <f>IF($A$9=0,0,D136/$A$9)</f>
        <v>1</v>
      </c>
      <c r="J136" s="1140"/>
      <c r="K136" s="1141"/>
      <c r="L136" s="1141"/>
      <c r="M136" s="1141"/>
      <c r="N136" s="1142"/>
      <c r="O136"/>
      <c r="P136"/>
    </row>
    <row r="137" spans="1:16" x14ac:dyDescent="0.35">
      <c r="A137" s="1006" t="s">
        <v>1290</v>
      </c>
      <c r="B137" s="1006"/>
      <c r="C137" s="1006"/>
      <c r="D137" s="1007">
        <f>INDEX('VALUATION &amp; RETURNS'!$E$26:$E$33,MATCH($C$3,'VALUATION &amp; RETURNS'!$B$26:$B$33,0))</f>
        <v>0</v>
      </c>
      <c r="E137" s="1008"/>
      <c r="F137" s="652" t="str">
        <f>""</f>
        <v/>
      </c>
      <c r="G137" s="652" t="str">
        <f>""</f>
        <v/>
      </c>
      <c r="H137" s="636">
        <f>IF(SUM('VALUATION &amp; RETURNS'!$D$26:$E$33)=0,0,(INDEX('VALUATION &amp; RETURNS'!$D$26:$D$33,MATCH($C$3,'VALUATION &amp; RETURNS'!$B$26:$B$33,0))+INDEX('VALUATION &amp; RETURNS'!$E$26:$E$33,MATCH($C$3,'VALUATION &amp; RETURNS'!$B$26:$B$33,0)))/SUM('VALUATION &amp; RETURNS'!$D$26:$E$33))</f>
        <v>2.3184328916029732E-2</v>
      </c>
      <c r="I137" s="644">
        <f>IF($A$9=0,0,D137/$A$9)</f>
        <v>0</v>
      </c>
      <c r="J137" s="1140"/>
      <c r="K137" s="1141"/>
      <c r="L137" s="1141"/>
      <c r="M137" s="1141"/>
      <c r="N137" s="1142"/>
      <c r="O137"/>
      <c r="P137"/>
    </row>
    <row r="138" spans="1:16" x14ac:dyDescent="0.35">
      <c r="A138" s="1006" t="s">
        <v>1291</v>
      </c>
      <c r="B138" s="1006"/>
      <c r="C138" s="1006"/>
      <c r="D138" s="1007">
        <f>INDEX('VALUATION &amp; RETURNS'!$F$26:$F$33,MATCH($C$3,'VALUATION &amp; RETURNS'!$B$26:$B$33,0))</f>
        <v>0</v>
      </c>
      <c r="E138" s="1008"/>
      <c r="F138" s="652" t="str">
        <f>""</f>
        <v/>
      </c>
      <c r="G138" s="652" t="str">
        <f>""</f>
        <v/>
      </c>
      <c r="H138" s="636">
        <f>IF(SUM('VALUATION &amp; RETURNS'!$G$26:$G$33)=0,0,INDEX('VALUATION &amp; RETURNS'!$G$26:$G$33,MATCH($C$3,'VALUATION &amp; RETURNS'!$B$26:$B$33,0))/SUM('VALUATION &amp; RETURNS'!$G$26:$G$33))</f>
        <v>2.3184328916029732E-2</v>
      </c>
      <c r="I138" s="644">
        <f>IF($A$9=0,0,D138/$A$9)</f>
        <v>0</v>
      </c>
      <c r="J138" s="1143"/>
      <c r="K138" s="1144"/>
      <c r="L138" s="1144"/>
      <c r="M138" s="1144"/>
      <c r="N138" s="1145"/>
      <c r="O138"/>
      <c r="P138"/>
    </row>
    <row r="139" spans="1:16" x14ac:dyDescent="0.35">
      <c r="A139"/>
      <c r="B139"/>
      <c r="C139"/>
      <c r="D139"/>
      <c r="E139"/>
      <c r="F139"/>
      <c r="G139"/>
      <c r="H139"/>
      <c r="I139"/>
      <c r="J139"/>
      <c r="K139"/>
      <c r="L139"/>
      <c r="M139"/>
      <c r="N139"/>
      <c r="O139"/>
      <c r="P139"/>
    </row>
    <row r="140" spans="1:16" x14ac:dyDescent="0.35">
      <c r="A140"/>
      <c r="B140"/>
      <c r="C140"/>
      <c r="D140"/>
      <c r="E140"/>
      <c r="F140"/>
      <c r="G140"/>
      <c r="H140"/>
      <c r="I140"/>
      <c r="J140"/>
      <c r="K140"/>
      <c r="L140"/>
      <c r="M140"/>
      <c r="N140"/>
      <c r="O140"/>
      <c r="P140"/>
    </row>
    <row r="141" spans="1:16" ht="15.5" x14ac:dyDescent="0.35">
      <c r="A141" s="993" t="s">
        <v>1292</v>
      </c>
      <c r="B141" s="993"/>
      <c r="C141" s="993"/>
      <c r="D141" s="993"/>
      <c r="E141" s="993"/>
      <c r="F141" s="993"/>
      <c r="G141" s="993"/>
      <c r="H141" s="993"/>
      <c r="I141" s="993"/>
      <c r="J141" s="993"/>
      <c r="K141" s="993"/>
      <c r="L141" s="993"/>
      <c r="M141" s="993"/>
      <c r="N141" s="993"/>
      <c r="O141"/>
      <c r="P141"/>
    </row>
    <row r="142" spans="1:16" x14ac:dyDescent="0.35">
      <c r="A142" s="995" t="str">
        <f>"The project-level economics supporting the selected "&amp;LOWER($I$3)&amp;" return for "&amp;$C$3&amp;" are shown below. Currency: A$m unless stated."</f>
        <v>The project-level economics supporting the selected base return for Brian Mirfin are shown below. Currency: A$m unless stated.</v>
      </c>
      <c r="B142" s="995"/>
      <c r="C142" s="995"/>
      <c r="D142" s="995"/>
      <c r="E142" s="995"/>
      <c r="F142" s="995"/>
      <c r="G142" s="995"/>
      <c r="H142" s="995"/>
      <c r="I142" s="995"/>
      <c r="J142" s="995"/>
      <c r="K142" s="995"/>
      <c r="L142" s="995"/>
      <c r="M142" s="995"/>
      <c r="N142" s="995"/>
      <c r="O142"/>
      <c r="P142"/>
    </row>
    <row r="143" spans="1:16" x14ac:dyDescent="0.35">
      <c r="A143" s="628"/>
      <c r="B143" s="628"/>
      <c r="C143" s="628"/>
      <c r="D143" s="628"/>
      <c r="E143" s="628"/>
      <c r="F143" s="628"/>
      <c r="G143" s="628"/>
      <c r="H143" s="628"/>
      <c r="I143" s="628"/>
      <c r="J143" s="628"/>
      <c r="K143" s="628"/>
      <c r="L143" s="628"/>
      <c r="M143" s="628"/>
      <c r="N143" s="628"/>
      <c r="O143"/>
      <c r="P143"/>
    </row>
    <row r="144" spans="1:16" x14ac:dyDescent="0.35">
      <c r="A144" s="990" t="s">
        <v>1293</v>
      </c>
      <c r="B144" s="990"/>
      <c r="C144" s="990"/>
      <c r="D144" s="990"/>
      <c r="E144" s="990"/>
      <c r="F144" s="990"/>
      <c r="G144" s="990"/>
      <c r="H144" s="990"/>
      <c r="I144" s="990"/>
      <c r="J144" s="990"/>
      <c r="K144" s="990"/>
      <c r="L144" s="990"/>
      <c r="M144" s="990"/>
      <c r="N144" s="990"/>
      <c r="O144"/>
      <c r="P144"/>
    </row>
    <row r="145" spans="1:16" x14ac:dyDescent="0.35">
      <c r="A145" s="1136" t="s">
        <v>367</v>
      </c>
      <c r="B145" s="1136"/>
      <c r="C145" s="1136"/>
      <c r="D145" s="1136" t="s">
        <v>1294</v>
      </c>
      <c r="E145" s="1136"/>
      <c r="F145" s="1136"/>
      <c r="G145" s="1136" t="s">
        <v>1295</v>
      </c>
      <c r="H145" s="1136"/>
      <c r="I145" s="1136"/>
      <c r="J145" s="1136" t="s">
        <v>1296</v>
      </c>
      <c r="K145" s="1136"/>
      <c r="L145" s="1136"/>
      <c r="M145" s="1136" t="s">
        <v>1297</v>
      </c>
      <c r="N145" s="1136"/>
      <c r="O145"/>
      <c r="P145"/>
    </row>
    <row r="146" spans="1:16" x14ac:dyDescent="0.35">
      <c r="A146" s="1128">
        <f>'VALUATION &amp; RETURNS'!$DA$15</f>
        <v>448.85663516148151</v>
      </c>
      <c r="B146" s="1129"/>
      <c r="C146" s="1129"/>
      <c r="D146" s="1128">
        <f>'INVESTOR REPORT'!$F$43</f>
        <v>679.64702791220634</v>
      </c>
      <c r="E146" s="1129"/>
      <c r="F146" s="1129"/>
      <c r="G146" s="1130">
        <f>D146-A146</f>
        <v>230.79039275072483</v>
      </c>
      <c r="H146" s="1129"/>
      <c r="I146" s="1129"/>
      <c r="J146" s="1131">
        <f>IF(A146=0,0,D146/A146)</f>
        <v>1.5141739581675009</v>
      </c>
      <c r="K146" s="1132"/>
      <c r="L146" s="1132"/>
      <c r="M146" s="1133">
        <f>IF(D146=0,0,Underwriting!$E$191/1000000/D146)</f>
        <v>-0.34606588986304815</v>
      </c>
      <c r="N146" s="1134"/>
      <c r="O146"/>
      <c r="P146"/>
    </row>
    <row r="147" spans="1:16" x14ac:dyDescent="0.35">
      <c r="A147" s="1129"/>
      <c r="B147" s="1129"/>
      <c r="C147" s="1129"/>
      <c r="D147" s="1129"/>
      <c r="E147" s="1129"/>
      <c r="F147" s="1129"/>
      <c r="G147" s="1129"/>
      <c r="H147" s="1129"/>
      <c r="I147" s="1129"/>
      <c r="J147" s="1132"/>
      <c r="K147" s="1132"/>
      <c r="L147" s="1132"/>
      <c r="M147" s="1134"/>
      <c r="N147" s="1134"/>
      <c r="O147"/>
      <c r="P147"/>
    </row>
    <row r="148" spans="1:16" x14ac:dyDescent="0.35">
      <c r="A148" s="1129"/>
      <c r="B148" s="1129"/>
      <c r="C148" s="1129"/>
      <c r="D148" s="1129"/>
      <c r="E148" s="1129"/>
      <c r="F148" s="1129"/>
      <c r="G148" s="1129"/>
      <c r="H148" s="1129"/>
      <c r="I148" s="1129"/>
      <c r="J148" s="1132"/>
      <c r="K148" s="1132"/>
      <c r="L148" s="1132"/>
      <c r="M148" s="1134"/>
      <c r="N148" s="1134"/>
      <c r="O148"/>
      <c r="P148"/>
    </row>
    <row r="149" spans="1:16" x14ac:dyDescent="0.35">
      <c r="A149" s="1135" t="s">
        <v>1298</v>
      </c>
      <c r="B149" s="1135"/>
      <c r="C149" s="1135"/>
      <c r="D149" s="1135" t="s">
        <v>1299</v>
      </c>
      <c r="E149" s="1135"/>
      <c r="F149" s="1135"/>
      <c r="G149" s="1135" t="s">
        <v>1300</v>
      </c>
      <c r="H149" s="1135"/>
      <c r="I149" s="1135"/>
      <c r="J149" s="1135" t="s">
        <v>1301</v>
      </c>
      <c r="K149" s="1135"/>
      <c r="L149" s="1135"/>
      <c r="M149" s="1135" t="s">
        <v>1302</v>
      </c>
      <c r="N149" s="1135"/>
      <c r="O149"/>
      <c r="P149"/>
    </row>
    <row r="150" spans="1:16" x14ac:dyDescent="0.35">
      <c r="A150" s="628"/>
      <c r="B150" s="628"/>
      <c r="C150" s="628"/>
      <c r="D150" s="904" t="str">
        <f>$I$3&amp;" income-capitalisation case"</f>
        <v>Base income-capitalisation case</v>
      </c>
      <c r="E150" s="628"/>
      <c r="F150" s="628"/>
      <c r="G150" s="628">
        <f>IF(A146=0,"",D146/A146)</f>
        <v>1.5141739581675009</v>
      </c>
      <c r="H150" s="628"/>
      <c r="I150" s="628"/>
      <c r="J150" s="628"/>
      <c r="K150" s="628"/>
      <c r="L150" s="628"/>
      <c r="M150" s="628"/>
      <c r="N150" s="628"/>
      <c r="O150"/>
      <c r="P150"/>
    </row>
    <row r="151" spans="1:16" x14ac:dyDescent="0.35">
      <c r="A151" s="990" t="s">
        <v>1303</v>
      </c>
      <c r="B151" s="990"/>
      <c r="C151" s="990"/>
      <c r="D151" s="990"/>
      <c r="E151" s="990"/>
      <c r="F151" s="990"/>
      <c r="G151" s="990"/>
      <c r="H151" s="990"/>
      <c r="I151" s="990"/>
      <c r="J151" s="990"/>
      <c r="K151" s="990"/>
      <c r="L151" s="990"/>
      <c r="M151" s="990"/>
      <c r="N151" s="990"/>
      <c r="O151"/>
      <c r="P151"/>
    </row>
    <row r="152" spans="1:16" x14ac:dyDescent="0.35">
      <c r="A152" s="628"/>
      <c r="B152" s="628"/>
      <c r="C152" s="628"/>
      <c r="D152" s="628"/>
      <c r="E152" s="628"/>
      <c r="F152" s="628"/>
      <c r="G152" s="628"/>
      <c r="H152" s="628"/>
      <c r="I152" s="628"/>
      <c r="J152" s="628"/>
      <c r="K152" s="628"/>
      <c r="L152" s="628"/>
      <c r="M152" s="628"/>
      <c r="N152" s="628"/>
      <c r="O152"/>
      <c r="P152"/>
    </row>
    <row r="153" spans="1:16" x14ac:dyDescent="0.35">
      <c r="A153" s="1026" t="s">
        <v>1304</v>
      </c>
      <c r="B153" s="1026"/>
      <c r="C153" s="1026"/>
      <c r="D153" s="1026"/>
      <c r="E153" s="1026" t="s">
        <v>1079</v>
      </c>
      <c r="F153" s="1026"/>
      <c r="G153" s="1026" t="s">
        <v>1048</v>
      </c>
      <c r="H153" s="1026"/>
      <c r="I153" s="648"/>
      <c r="J153" s="648"/>
      <c r="K153" s="648"/>
      <c r="L153" s="648"/>
      <c r="M153" s="648"/>
      <c r="N153" s="648"/>
      <c r="O153"/>
      <c r="P153"/>
    </row>
    <row r="154" spans="1:16" x14ac:dyDescent="0.35">
      <c r="A154" s="1006" t="s">
        <v>1305</v>
      </c>
      <c r="B154" s="1006"/>
      <c r="C154" s="1006"/>
      <c r="D154" s="1006"/>
      <c r="E154" s="1007">
        <f>IFERROR(MAX(DEBT!$F$202:$DV$202)/1000000,"")</f>
        <v>226.50815117314392</v>
      </c>
      <c r="F154" s="1008"/>
      <c r="G154" s="1006" t="s">
        <v>1306</v>
      </c>
      <c r="H154" s="1006"/>
      <c r="I154" s="649"/>
      <c r="J154" s="649"/>
      <c r="K154" s="649"/>
      <c r="L154" s="649"/>
      <c r="M154" s="649"/>
      <c r="N154" s="649"/>
      <c r="O154"/>
      <c r="P154"/>
    </row>
    <row r="155" spans="1:16" x14ac:dyDescent="0.35">
      <c r="A155" s="1006" t="s">
        <v>761</v>
      </c>
      <c r="B155" s="1006"/>
      <c r="C155" s="1006"/>
      <c r="D155" s="1006"/>
      <c r="E155" s="1007">
        <f>IFERROR(IFERROR(INDEX(DEBT!$F$202:$DV$202,1,MATCH($M$3,DEBT!$F$64:$DV$64,1))/1000000,0),"")</f>
        <v>211.30875661169631</v>
      </c>
      <c r="F155" s="1008"/>
      <c r="G155" s="1006" t="s">
        <v>1307</v>
      </c>
      <c r="H155" s="1006"/>
      <c r="I155" s="649"/>
      <c r="J155" s="649"/>
      <c r="K155" s="649"/>
      <c r="L155" s="649"/>
      <c r="M155" s="649"/>
      <c r="N155" s="649"/>
      <c r="O155"/>
      <c r="P155"/>
    </row>
    <row r="156" spans="1:16" x14ac:dyDescent="0.35">
      <c r="A156" s="1006" t="s">
        <v>1308</v>
      </c>
      <c r="B156" s="1006"/>
      <c r="C156" s="1006"/>
      <c r="D156" s="1006"/>
      <c r="E156" s="1009">
        <f>IFERROR(MAX(0,E154-E155),"")</f>
        <v>15.199394561447605</v>
      </c>
      <c r="F156" s="1008"/>
      <c r="G156" s="1006" t="s">
        <v>1309</v>
      </c>
      <c r="H156" s="1006"/>
      <c r="I156" s="649"/>
      <c r="J156" s="649"/>
      <c r="K156" s="649"/>
      <c r="L156" s="649"/>
      <c r="M156" s="649"/>
      <c r="N156" s="649"/>
      <c r="O156"/>
      <c r="P156"/>
    </row>
    <row r="157" spans="1:16" x14ac:dyDescent="0.35">
      <c r="A157" s="1006" t="s">
        <v>1310</v>
      </c>
      <c r="B157" s="1006"/>
      <c r="C157" s="1006"/>
      <c r="D157" s="1006"/>
      <c r="E157" s="1127" t="str">
        <f ca="1">IFERROR(IF(COUNTIF(DEBT!$F$131:$DV$131,"&gt;0")=0,"",_xludf.AGGREGATE(15,6,DEBT!$F$131:$DV$131/(DEBT!$F$131:$DV$131&gt;0),1)),"")</f>
        <v/>
      </c>
      <c r="F157" s="1114"/>
      <c r="G157" s="1006" t="s">
        <v>1311</v>
      </c>
      <c r="H157" s="1006"/>
      <c r="I157" s="649"/>
      <c r="J157" s="649"/>
      <c r="K157" s="649"/>
      <c r="L157" s="649"/>
      <c r="M157" s="649"/>
      <c r="N157" s="649"/>
      <c r="O157"/>
      <c r="P157"/>
    </row>
    <row r="158" spans="1:16" x14ac:dyDescent="0.35">
      <c r="A158" s="1006" t="s">
        <v>1312</v>
      </c>
      <c r="B158" s="1006"/>
      <c r="C158" s="1006"/>
      <c r="D158" s="1006"/>
      <c r="E158" s="1127">
        <f>IFERROR(IFERROR(AVERAGEIF(DEBT!$F$131:$DV$131,"&gt;0"),""),"")</f>
        <v>7.7888869449547364</v>
      </c>
      <c r="F158" s="1114"/>
      <c r="G158" s="1006" t="s">
        <v>1313</v>
      </c>
      <c r="H158" s="1006"/>
      <c r="I158" s="649"/>
      <c r="J158" s="649"/>
      <c r="K158" s="649"/>
      <c r="L158" s="649"/>
      <c r="M158" s="649"/>
      <c r="N158" s="649"/>
      <c r="O158"/>
      <c r="P158"/>
    </row>
    <row r="159" spans="1:16" x14ac:dyDescent="0.35">
      <c r="A159" s="1006" t="s">
        <v>1314</v>
      </c>
      <c r="B159" s="1006"/>
      <c r="C159" s="1006"/>
      <c r="D159" s="1006"/>
      <c r="E159" s="1007">
        <f>IFERROR(MAX(DEBT!$F$203:$DV$203)/1000000,"")</f>
        <v>14.840583825185341</v>
      </c>
      <c r="F159" s="1008"/>
      <c r="G159" s="1006" t="s">
        <v>1315</v>
      </c>
      <c r="H159" s="1006"/>
      <c r="I159" s="649"/>
      <c r="J159" s="649"/>
      <c r="K159" s="649"/>
      <c r="L159" s="649"/>
      <c r="M159" s="649"/>
      <c r="N159" s="649"/>
      <c r="O159"/>
      <c r="P159"/>
    </row>
    <row r="160" spans="1:16" x14ac:dyDescent="0.35">
      <c r="A160" s="1006" t="s">
        <v>1316</v>
      </c>
      <c r="B160" s="1006"/>
      <c r="C160" s="1006"/>
      <c r="D160" s="1006"/>
      <c r="E160" s="1047" t="str">
        <f>IFERROR(IF(MAX(DEBT!$F$128:$DV$128)&lt;0.01,"Yes","No"),"")</f>
        <v>No</v>
      </c>
      <c r="F160" s="1048"/>
      <c r="G160" s="1006" t="s">
        <v>1317</v>
      </c>
      <c r="H160" s="1006"/>
      <c r="I160" s="649"/>
      <c r="J160" s="649"/>
      <c r="K160" s="649"/>
      <c r="L160" s="649"/>
      <c r="M160" s="649"/>
      <c r="N160" s="649"/>
      <c r="O160"/>
      <c r="P160"/>
    </row>
    <row r="161" spans="1:16" x14ac:dyDescent="0.35">
      <c r="A161" s="628"/>
      <c r="B161" s="628"/>
      <c r="C161" s="628"/>
      <c r="D161" s="628"/>
      <c r="E161" s="628"/>
      <c r="F161" s="628"/>
      <c r="G161" s="628"/>
      <c r="H161" s="628"/>
      <c r="I161" s="628"/>
      <c r="J161" s="628"/>
      <c r="K161" s="628"/>
      <c r="L161" s="628"/>
      <c r="M161" s="628"/>
      <c r="N161" s="628"/>
      <c r="O161"/>
      <c r="P161"/>
    </row>
    <row r="162" spans="1:16" x14ac:dyDescent="0.35">
      <c r="A162" s="628"/>
      <c r="B162" s="628"/>
      <c r="C162" s="628"/>
      <c r="D162" s="628"/>
      <c r="E162" s="628"/>
      <c r="F162" s="628"/>
      <c r="G162" s="628"/>
      <c r="H162" s="628"/>
      <c r="I162" s="628"/>
      <c r="J162" s="628"/>
      <c r="K162" s="628"/>
      <c r="L162" s="628"/>
      <c r="M162" s="628"/>
      <c r="N162" s="628"/>
      <c r="O162"/>
      <c r="P162"/>
    </row>
    <row r="163" spans="1:16" x14ac:dyDescent="0.35">
      <c r="A163" s="990" t="s">
        <v>1318</v>
      </c>
      <c r="B163" s="990"/>
      <c r="C163" s="990"/>
      <c r="D163" s="990"/>
      <c r="E163" s="990"/>
      <c r="F163" s="990"/>
      <c r="G163" s="990"/>
      <c r="H163" s="990"/>
      <c r="I163" s="990"/>
      <c r="J163" s="990"/>
      <c r="K163" s="990"/>
      <c r="L163" s="990"/>
      <c r="M163" s="990"/>
      <c r="N163" s="990"/>
      <c r="O163"/>
      <c r="P163"/>
    </row>
    <row r="164" spans="1:16" x14ac:dyDescent="0.35">
      <c r="A164" s="628"/>
      <c r="B164" s="628"/>
      <c r="C164" s="628"/>
      <c r="D164" s="628"/>
      <c r="E164" s="628"/>
      <c r="F164" s="628"/>
      <c r="G164" s="628"/>
      <c r="H164" s="628"/>
      <c r="I164" s="628"/>
      <c r="J164" s="628"/>
      <c r="K164" s="628"/>
      <c r="L164" s="628"/>
      <c r="M164" s="628"/>
      <c r="N164" s="628"/>
      <c r="O164"/>
      <c r="P164"/>
    </row>
    <row r="165" spans="1:16" x14ac:dyDescent="0.35">
      <c r="A165" s="1026" t="s">
        <v>1049</v>
      </c>
      <c r="B165" s="1026"/>
      <c r="C165" s="1026"/>
      <c r="D165" s="629" t="s">
        <v>1319</v>
      </c>
      <c r="E165" s="629" t="s">
        <v>1320</v>
      </c>
      <c r="F165" s="629" t="s">
        <v>1321</v>
      </c>
      <c r="G165" s="629" t="s">
        <v>1322</v>
      </c>
      <c r="H165" s="648"/>
      <c r="I165" s="648"/>
      <c r="J165" s="648"/>
      <c r="K165" s="648"/>
      <c r="L165" s="648"/>
      <c r="M165" s="648"/>
      <c r="N165" s="648"/>
      <c r="O165"/>
      <c r="P165"/>
    </row>
    <row r="166" spans="1:16" x14ac:dyDescent="0.35">
      <c r="A166" s="1006" t="s">
        <v>1323</v>
      </c>
      <c r="B166" s="1006"/>
      <c r="C166" s="1006"/>
      <c r="D166" s="653">
        <f>IFERROR('Financial Statements'!$H$11/1000000,"")</f>
        <v>0</v>
      </c>
      <c r="E166" s="653">
        <f>IFERROR('Financial Statements'!$L$11/1000000,"")</f>
        <v>50.782096558742943</v>
      </c>
      <c r="F166" s="653">
        <f>IFERROR('Financial Statements'!$M$11/1000000,"")</f>
        <v>4.3364097884941879</v>
      </c>
      <c r="G166" s="644" t="str">
        <f t="shared" ref="G166:G174" si="5">IFERROR(IF(D166=0,"",F166/D166-1),"")</f>
        <v/>
      </c>
      <c r="H166" s="649"/>
      <c r="I166" s="649"/>
      <c r="J166" s="649"/>
      <c r="K166" s="649"/>
      <c r="L166" s="649"/>
      <c r="M166" s="649"/>
      <c r="N166" s="649"/>
      <c r="O166"/>
      <c r="P166"/>
    </row>
    <row r="167" spans="1:16" x14ac:dyDescent="0.35">
      <c r="A167" s="1006" t="s">
        <v>1324</v>
      </c>
      <c r="B167" s="1006"/>
      <c r="C167" s="1006"/>
      <c r="D167" s="653">
        <f>IFERROR(('Financial Statements'!$H$8+'Financial Statements'!$H$10)/1000000,"")</f>
        <v>0</v>
      </c>
      <c r="E167" s="653">
        <f>IFERROR(SUM('Financial Statements'!$L$8,'Financial Statements'!$L$10)/1000000,"")</f>
        <v>47.411610972330692</v>
      </c>
      <c r="F167" s="653">
        <f>IFERROR(SUM('Financial Statements'!$M$8,'Financial Statements'!$M$10)/1000000,"")</f>
        <v>4.048514144654809</v>
      </c>
      <c r="G167" s="644" t="str">
        <f t="shared" si="5"/>
        <v/>
      </c>
      <c r="H167" s="649"/>
      <c r="I167" s="649"/>
      <c r="J167" s="649"/>
      <c r="K167" s="649"/>
      <c r="L167" s="649"/>
      <c r="M167" s="649"/>
      <c r="N167" s="649"/>
      <c r="O167"/>
      <c r="P167"/>
    </row>
    <row r="168" spans="1:16" x14ac:dyDescent="0.35">
      <c r="A168" s="1006" t="s">
        <v>1325</v>
      </c>
      <c r="B168" s="1006"/>
      <c r="C168" s="1006"/>
      <c r="D168" s="653">
        <f>IFERROR('Financial Statements'!$H$22/1000000,"")</f>
        <v>0</v>
      </c>
      <c r="E168" s="653">
        <f>IFERROR(SUM('Financial Statements'!$L$22)/1000000,"")</f>
        <v>47.411610972330685</v>
      </c>
      <c r="F168" s="653">
        <f>IFERROR('Financial Statements'!$M$22/1000000,"")</f>
        <v>4.0485141446548081</v>
      </c>
      <c r="G168" s="644" t="str">
        <f t="shared" si="5"/>
        <v/>
      </c>
      <c r="H168" s="649"/>
      <c r="I168" s="649"/>
      <c r="J168" s="649"/>
      <c r="K168" s="649"/>
      <c r="L168" s="649"/>
      <c r="M168" s="649"/>
      <c r="N168" s="649"/>
      <c r="O168"/>
      <c r="P168"/>
    </row>
    <row r="169" spans="1:16" x14ac:dyDescent="0.35">
      <c r="A169" s="1006" t="s">
        <v>1326</v>
      </c>
      <c r="B169" s="1006"/>
      <c r="C169" s="1006"/>
      <c r="D169" s="653">
        <f>IFERROR(SUMIFS(DEBT!$F$144:$DV$144,DEBT!$F$64:$DV$64,"&gt;"&amp;EOMONTH('Financial Statements'!$H$6,-12),DEBT!$F$64:$DV$64,"&lt;="&amp;'Financial Statements'!$H$6)/1000000,"")</f>
        <v>0</v>
      </c>
      <c r="E169" s="653">
        <f>IFERROR(SUMIFS(DEBT!$F$144:$DV$144,DEBT!$F$64:$DV$64,"&gt;"&amp;EOMONTH('Financial Statements'!$L$6,-12),DEBT!$F$64:$DV$64,"&lt;="&amp;'Financial Statements'!$L$6)/1000000,"")</f>
        <v>47.328109773699389</v>
      </c>
      <c r="F169" s="653">
        <f>IFERROR(SUMIFS(DEBT!$F$144:$DV$144,DEBT!$F$64:$DV$64,"&gt;"&amp;EOMONTH('Financial Statements'!$M$6,-12),DEBT!$F$64:$DV$64,"&lt;="&amp;'Financial Statements'!$M$6)/1000000,"")</f>
        <v>43.465623755240621</v>
      </c>
      <c r="G169" s="644" t="str">
        <f t="shared" si="5"/>
        <v/>
      </c>
      <c r="H169" s="649"/>
      <c r="I169" s="649"/>
      <c r="J169" s="649"/>
      <c r="K169" s="649"/>
      <c r="L169" s="649"/>
      <c r="M169" s="649"/>
      <c r="N169" s="649"/>
      <c r="O169"/>
      <c r="P169"/>
    </row>
    <row r="170" spans="1:16" x14ac:dyDescent="0.35">
      <c r="A170" s="1006" t="s">
        <v>1327</v>
      </c>
      <c r="B170" s="1006"/>
      <c r="C170" s="1006"/>
      <c r="D170" s="653">
        <f>IFERROR((SUMIFS(DEBT!$F$145:$DV$145,DEBT!$F$64:$DV$64,"&gt;"&amp;EOMONTH('Financial Statements'!$H$6,-12),DEBT!$F$64:$DV$64,"&lt;="&amp;'Financial Statements'!$H$6)+SUMIFS(DEBT!$F$146:$DV$146,DEBT!$F$64:$DV$64,"&gt;"&amp;EOMONTH('Financial Statements'!$H$6,-12),DEBT!$F$64:$DV$64,"&lt;="&amp;'Financial Statements'!$H$6)+SUMIFS(DEBT!$F$147:$DV$147,DEBT!$F$64:$DV$64,"&gt;"&amp;EOMONTH('Financial Statements'!$H$6,-12),DEBT!$F$64:$DV$64,"&lt;="&amp;'Financial Statements'!$H$6)+SUMIFS(DEBT!$F$148:$DV$148,DEBT!$F$64:$DV$64,"&gt;"&amp;EOMONTH('Financial Statements'!$H$6,-12),DEBT!$F$64:$DV$64,"&lt;="&amp;'Financial Statements'!$H$6)+SUMIFS(DEBT!$F$149:$DV$149,DEBT!$F$64:$DV$64,"&gt;"&amp;EOMONTH('Financial Statements'!$H$6,-12),DEBT!$F$64:$DV$64,"&lt;="&amp;'Financial Statements'!$H$6))/1000000,"")</f>
        <v>9.3742790436402625</v>
      </c>
      <c r="E170" s="653">
        <f>IFERROR((SUMIFS(DEBT!$F$145:$DV$145,DEBT!$F$64:$DV$64,"&gt;"&amp;EOMONTH('Financial Statements'!$L$6,-12),DEBT!$F$64:$DV$64,"&lt;="&amp;'Financial Statements'!$L$6)+SUMIFS(DEBT!$F$146:$DV$146,DEBT!$F$64:$DV$64,"&gt;"&amp;EOMONTH('Financial Statements'!$L$6,-12),DEBT!$F$64:$DV$64,"&lt;="&amp;'Financial Statements'!$L$6)+SUMIFS(DEBT!$F$147:$DV$147,DEBT!$F$64:$DV$64,"&gt;"&amp;EOMONTH('Financial Statements'!$L$6,-12),DEBT!$F$64:$DV$64,"&lt;="&amp;'Financial Statements'!$L$6)+SUMIFS(DEBT!$F$148:$DV$148,DEBT!$F$64:$DV$64,"&gt;"&amp;EOMONTH('Financial Statements'!$L$6,-12),DEBT!$F$64:$DV$64,"&lt;="&amp;'Financial Statements'!$L$6)+SUMIFS(DEBT!$F$149:$DV$149,DEBT!$F$64:$DV$64,"&gt;"&amp;EOMONTH('Financial Statements'!$L$6,-12),DEBT!$F$64:$DV$64,"&lt;="&amp;'Financial Statements'!$L$6))/1000000,"")</f>
        <v>28.89145374805863</v>
      </c>
      <c r="F170" s="653">
        <f>IFERROR((SUMIFS(DEBT!$F$145:$DV$145,DEBT!$F$64:$DV$64,"&gt;"&amp;EOMONTH('Financial Statements'!$M$6,-12),DEBT!$F$64:$DV$64,"&lt;="&amp;'Financial Statements'!$M$6)+SUMIFS(DEBT!$F$146:$DV$146,DEBT!$F$64:$DV$64,"&gt;"&amp;EOMONTH('Financial Statements'!$M$6,-12),DEBT!$F$64:$DV$64,"&lt;="&amp;'Financial Statements'!$M$6)+SUMIFS(DEBT!$F$147:$DV$147,DEBT!$F$64:$DV$64,"&gt;"&amp;EOMONTH('Financial Statements'!$M$6,-12),DEBT!$F$64:$DV$64,"&lt;="&amp;'Financial Statements'!$M$6)+SUMIFS(DEBT!$F$148:$DV$148,DEBT!$F$64:$DV$64,"&gt;"&amp;EOMONTH('Financial Statements'!$M$6,-12),DEBT!$F$64:$DV$64,"&lt;="&amp;'Financial Statements'!$M$6)+SUMIFS(DEBT!$F$149:$DV$149,DEBT!$F$64:$DV$64,"&gt;"&amp;EOMONTH('Financial Statements'!$M$6,-12),DEBT!$F$64:$DV$64,"&lt;="&amp;'Financial Statements'!$M$6))/1000000,"")</f>
        <v>28.266229193793038</v>
      </c>
      <c r="G170" s="634">
        <f t="shared" si="5"/>
        <v>2.0152963296915649</v>
      </c>
      <c r="H170" s="649"/>
      <c r="I170" s="649"/>
      <c r="J170" s="649"/>
      <c r="K170" s="649"/>
      <c r="L170" s="649"/>
      <c r="M170" s="649"/>
      <c r="N170" s="649"/>
      <c r="O170"/>
      <c r="P170"/>
    </row>
    <row r="171" spans="1:16" x14ac:dyDescent="0.35">
      <c r="A171" s="1006" t="s">
        <v>1328</v>
      </c>
      <c r="B171" s="1006"/>
      <c r="C171" s="1006"/>
      <c r="D171" s="654">
        <f>IFERROR(IF(D170=0,0,D169/D170),"")</f>
        <v>0</v>
      </c>
      <c r="E171" s="654">
        <f>IFERROR(IF(E170=0,0,E169/E170),"")</f>
        <v>1.6381352834098775</v>
      </c>
      <c r="F171" s="654">
        <f>IFERROR(IF(F170=0,0,F169/F170),"")</f>
        <v>1.5377227523784887</v>
      </c>
      <c r="G171" s="655" t="str">
        <f t="shared" si="5"/>
        <v/>
      </c>
      <c r="H171" s="649"/>
      <c r="I171" s="649"/>
      <c r="J171" s="649"/>
      <c r="K171" s="649"/>
      <c r="L171" s="649"/>
      <c r="M171" s="649"/>
      <c r="N171" s="649"/>
      <c r="O171"/>
      <c r="P171"/>
    </row>
    <row r="172" spans="1:16" x14ac:dyDescent="0.35">
      <c r="A172" s="1006" t="s">
        <v>1329</v>
      </c>
      <c r="B172" s="1006"/>
      <c r="C172" s="1006"/>
      <c r="D172" s="656">
        <f>IFERROR(MAX(0,D169-D170),"")</f>
        <v>0</v>
      </c>
      <c r="E172" s="656">
        <f>IFERROR(MAX(0,E169-E170),"")</f>
        <v>18.436656025640758</v>
      </c>
      <c r="F172" s="656">
        <f>IFERROR(MAX(0,F169-F170),"")</f>
        <v>15.199394561447583</v>
      </c>
      <c r="G172" s="634" t="str">
        <f t="shared" si="5"/>
        <v/>
      </c>
      <c r="H172" s="649"/>
      <c r="I172" s="649"/>
      <c r="J172" s="649"/>
      <c r="K172" s="649"/>
      <c r="L172" s="649"/>
      <c r="M172" s="649"/>
      <c r="N172" s="649"/>
      <c r="O172"/>
      <c r="P172"/>
    </row>
    <row r="173" spans="1:16" x14ac:dyDescent="0.35">
      <c r="A173" s="1006" t="s">
        <v>1330</v>
      </c>
      <c r="B173" s="1006"/>
      <c r="C173" s="1006"/>
      <c r="D173" s="653">
        <f>IFERROR(SUM(INDEX(DEBT!$F$92:$DV$92,1,MATCH('Financial Statements'!$H$6,DEBT!$F$64:$DV$64,1)),INDEX(DEBT!$F$110:$DV$110,1,MATCH('Financial Statements'!$H$6,DEBT!$F$64:$DV$64,1)),INDEX(DEBT!$F$128:$DV$128,1,MATCH('Financial Statements'!$H$6,DEBT!$F$64:$DV$64,1)))/1000000,"")</f>
        <v>80.002654916271936</v>
      </c>
      <c r="E173" s="653">
        <f>IFERROR(SUM(INDEX(DEBT!$F$92:$DV$92,1,MATCH('Financial Statements'!$L$6,DEBT!$F$64:$DV$64,1)),INDEX(DEBT!$F$110:$DV$110,1,MATCH('Financial Statements'!$L$6,DEBT!$F$64:$DV$64,1)),INDEX(DEBT!$F$128:$DV$128,1,MATCH('Financial Statements'!$L$6,DEBT!$F$64:$DV$64,1)))/1000000,"")</f>
        <v>211.30875661169631</v>
      </c>
      <c r="F173" s="653">
        <f>IFERROR(IFERROR(SUM(INDEX(DEBT!$F$92:$DV$92,1,MATCH('Financial Statements'!$M$6,DEBT!$F$64:$DV$64,1)),INDEX(DEBT!$F$110:$DV$110,1,MATCH('Financial Statements'!$M$6,DEBT!$F$64:$DV$64,1)),INDEX(DEBT!$F$128:$DV$128,1,MATCH('Financial Statements'!$M$6,DEBT!$F$64:$DV$64,1)))/1000000,0),"")</f>
        <v>211.30875661169631</v>
      </c>
      <c r="G173" s="634">
        <f t="shared" si="5"/>
        <v>1.6412718032025921</v>
      </c>
      <c r="H173" s="649"/>
      <c r="I173" s="649"/>
      <c r="J173" s="649"/>
      <c r="K173" s="649"/>
      <c r="L173" s="649"/>
      <c r="M173" s="649"/>
      <c r="N173" s="649"/>
      <c r="O173"/>
      <c r="P173"/>
    </row>
    <row r="174" spans="1:16" x14ac:dyDescent="0.35">
      <c r="A174" s="1006" t="s">
        <v>1331</v>
      </c>
      <c r="B174" s="1006"/>
      <c r="C174" s="1006"/>
      <c r="D174" s="653">
        <f>IFERROR(INDEX(DEBT!$F$153:$DV$153,1,MATCH('Financial Statements'!$H$6,DEBT!$F$64:$DV$64,1))/1000000,"")</f>
        <v>0.1</v>
      </c>
      <c r="E174" s="653">
        <f>IFERROR(INDEX(DEBT!$F$153:$DV$153,1,MATCH('Financial Statements'!$L$6,DEBT!$F$64:$DV$64,1))/1000000,"")</f>
        <v>32.614848263001178</v>
      </c>
      <c r="F174" s="653">
        <f>IFERROR(IFERROR(INDEX(DEBT!$F$153:$DV$153,1,MATCH('Financial Statements'!$M$6,DEBT!$F$64:$DV$64,1))/1000000,0),"")</f>
        <v>32.614848263001178</v>
      </c>
      <c r="G174" s="634">
        <f t="shared" si="5"/>
        <v>325.14848263001176</v>
      </c>
      <c r="H174" s="649"/>
      <c r="I174" s="649"/>
      <c r="J174" s="649"/>
      <c r="K174" s="649"/>
      <c r="L174" s="649"/>
      <c r="M174" s="649"/>
      <c r="N174" s="649"/>
      <c r="O174"/>
      <c r="P174"/>
    </row>
    <row r="175" spans="1:16" x14ac:dyDescent="0.35">
      <c r="A175" s="628"/>
      <c r="B175" s="628"/>
      <c r="C175" s="628"/>
      <c r="D175" s="628"/>
      <c r="E175" s="628"/>
      <c r="F175" s="628"/>
      <c r="G175" s="628"/>
      <c r="H175" s="628"/>
      <c r="I175" s="628"/>
      <c r="J175" s="628"/>
      <c r="K175" s="628"/>
      <c r="L175" s="628"/>
      <c r="M175" s="628"/>
      <c r="N175" s="628"/>
      <c r="O175"/>
      <c r="P175"/>
    </row>
    <row r="176" spans="1:16" ht="30" customHeight="1" x14ac:dyDescent="0.35">
      <c r="A176" s="1101" t="str">
        <f>IFERROR("Operating interpretation: Year 1 gross revenue is A$"&amp;TEXT($D$166,"0.00")&amp;"m, sale-year gross revenue is A$"&amp;TEXT($F$166,"0.00")&amp;"m, sale-year CFADS is A$"&amp;TEXT($F$169,"0.00")&amp;"m and DSCR is "&amp;TEXT($F$171,"0.00x")&amp;". Tax and working-capital schedules are formula-linked in DEBT and Financial Statements.","Operating trajectory will populate after the required full Excel recalculation.")</f>
        <v>Operating interpretation: Year 1 gross revenue is A$0.00m, sale-year gross revenue is A$4.34m, sale-year CFADS is A$43.47m and DSCR is 1.54x. Tax and working-capital schedules are formula-linked in DEBT and Financial Statements.</v>
      </c>
      <c r="B176" s="1102"/>
      <c r="C176" s="1102"/>
      <c r="D176" s="1102"/>
      <c r="E176" s="1102"/>
      <c r="F176" s="1102"/>
      <c r="G176" s="1102"/>
      <c r="H176" s="1102"/>
      <c r="I176" s="1103"/>
      <c r="J176" s="1103"/>
      <c r="K176" s="1103"/>
      <c r="L176" s="1103"/>
      <c r="M176" s="1103"/>
      <c r="N176" s="1104"/>
      <c r="O176"/>
      <c r="P176"/>
    </row>
    <row r="177" spans="1:16" x14ac:dyDescent="0.35">
      <c r="A177" s="1105" t="s">
        <v>1332</v>
      </c>
      <c r="B177" s="1106"/>
      <c r="C177" s="1106"/>
      <c r="D177" s="1106"/>
      <c r="E177" s="1106"/>
      <c r="F177" s="1106"/>
      <c r="G177" s="1106"/>
      <c r="H177" s="1106"/>
      <c r="I177" s="1106"/>
      <c r="J177" s="1106"/>
      <c r="K177" s="1106"/>
      <c r="L177" s="1106"/>
      <c r="M177" s="1106"/>
      <c r="N177" s="1107"/>
      <c r="O177"/>
      <c r="P177"/>
    </row>
    <row r="178" spans="1:16" x14ac:dyDescent="0.35">
      <c r="A178" s="1108" t="s">
        <v>1333</v>
      </c>
      <c r="B178" s="1109"/>
      <c r="C178" s="1109"/>
      <c r="D178" s="1109"/>
      <c r="E178" s="1110">
        <f>IFERROR('Financial Statements'!$L$11/'VALUATION &amp; RETURNS'!$CS$38,"")</f>
        <v>647.14987436970409</v>
      </c>
      <c r="F178" s="1109"/>
      <c r="G178" s="1109" t="s">
        <v>532</v>
      </c>
      <c r="H178" s="1109"/>
      <c r="I178" s="1109"/>
      <c r="J178" s="1109"/>
      <c r="K178" s="1109"/>
      <c r="L178" s="1109"/>
      <c r="M178" s="1109"/>
      <c r="N178" s="1111"/>
      <c r="O178"/>
      <c r="P178"/>
    </row>
    <row r="179" spans="1:16" x14ac:dyDescent="0.35">
      <c r="A179" s="628" t="s">
        <v>1334</v>
      </c>
      <c r="B179" s="628"/>
      <c r="C179" s="628"/>
      <c r="D179" s="628"/>
      <c r="E179" s="657">
        <f>IFERROR('Financial Statements'!$L$22/'VALUATION &amp; RETURNS'!$CS$38,"")</f>
        <v>604.19754526906434</v>
      </c>
      <c r="F179" s="628"/>
      <c r="G179" s="628" t="s">
        <v>532</v>
      </c>
      <c r="H179" s="628"/>
      <c r="I179" s="628"/>
      <c r="J179" s="628"/>
      <c r="K179" s="628"/>
      <c r="L179" s="628"/>
      <c r="M179" s="628"/>
      <c r="N179" s="628"/>
      <c r="O179"/>
      <c r="P179"/>
    </row>
    <row r="180" spans="1:16" x14ac:dyDescent="0.35">
      <c r="A180" s="628" t="s">
        <v>1335</v>
      </c>
      <c r="B180" s="628"/>
      <c r="C180" s="628"/>
      <c r="D180" s="628"/>
      <c r="E180" s="628" t="s">
        <v>1336</v>
      </c>
      <c r="F180" s="628"/>
      <c r="G180" s="628" t="s">
        <v>1337</v>
      </c>
      <c r="H180" s="628"/>
      <c r="I180" s="628"/>
      <c r="J180" s="628"/>
      <c r="K180" s="628"/>
      <c r="L180" s="628"/>
      <c r="M180" s="628"/>
      <c r="N180" s="628"/>
      <c r="O180"/>
      <c r="P180"/>
    </row>
    <row r="181" spans="1:16" ht="15.5" x14ac:dyDescent="0.35">
      <c r="A181" s="993" t="s">
        <v>1338</v>
      </c>
      <c r="B181" s="993"/>
      <c r="C181" s="993"/>
      <c r="D181" s="993"/>
      <c r="E181" s="993"/>
      <c r="F181" s="993"/>
      <c r="G181" s="993"/>
      <c r="H181" s="993"/>
      <c r="I181" s="993"/>
      <c r="J181" s="993"/>
      <c r="K181" s="993"/>
      <c r="L181" s="993"/>
      <c r="M181" s="993"/>
      <c r="N181" s="993"/>
      <c r="O181"/>
      <c r="P181"/>
    </row>
    <row r="182" spans="1:16" x14ac:dyDescent="0.35">
      <c r="A182" s="1056" t="str">
        <f>"Underlying revenue mix, valuation settings and funding context for "&amp;$C$3&amp;"."</f>
        <v>Underlying revenue mix, valuation settings and funding context for Brian Mirfin.</v>
      </c>
      <c r="B182" s="995"/>
      <c r="C182" s="995"/>
      <c r="D182" s="995"/>
      <c r="E182" s="995"/>
      <c r="F182" s="995"/>
      <c r="G182" s="995"/>
      <c r="H182" s="995"/>
      <c r="I182" s="995"/>
      <c r="J182" s="995"/>
      <c r="K182" s="995"/>
      <c r="L182" s="995"/>
      <c r="M182" s="995"/>
      <c r="N182" s="995"/>
      <c r="O182"/>
      <c r="P182"/>
    </row>
    <row r="183" spans="1:16" x14ac:dyDescent="0.35">
      <c r="A183" s="628"/>
      <c r="B183" s="628"/>
      <c r="C183" s="628"/>
      <c r="D183" s="628"/>
      <c r="E183" s="628"/>
      <c r="F183" s="628"/>
      <c r="G183" s="628"/>
      <c r="H183" s="628"/>
      <c r="I183" s="628"/>
      <c r="J183" s="628"/>
      <c r="K183" s="628"/>
      <c r="L183" s="628"/>
      <c r="M183" s="628"/>
      <c r="N183" s="628"/>
      <c r="O183"/>
      <c r="P183"/>
    </row>
    <row r="184" spans="1:16" x14ac:dyDescent="0.35">
      <c r="A184" s="990" t="s">
        <v>1339</v>
      </c>
      <c r="B184" s="990"/>
      <c r="C184" s="990"/>
      <c r="D184" s="990"/>
      <c r="E184" s="990"/>
      <c r="F184" s="990"/>
      <c r="G184" s="990"/>
      <c r="H184" s="990"/>
      <c r="I184" s="990"/>
      <c r="J184" s="990"/>
      <c r="K184" s="990"/>
      <c r="L184" s="990"/>
      <c r="M184" s="990"/>
      <c r="N184" s="990"/>
      <c r="O184"/>
      <c r="P184"/>
    </row>
    <row r="185" spans="1:16" x14ac:dyDescent="0.35">
      <c r="A185" s="628"/>
      <c r="B185" s="628"/>
      <c r="C185" s="628"/>
      <c r="D185" s="628"/>
      <c r="E185" s="628"/>
      <c r="F185" s="628"/>
      <c r="G185" s="628"/>
      <c r="H185" s="628"/>
      <c r="I185" s="628"/>
      <c r="J185" s="628"/>
      <c r="K185" s="628"/>
      <c r="L185" s="628"/>
      <c r="M185" s="628"/>
      <c r="N185" s="628"/>
      <c r="O185"/>
      <c r="P185"/>
    </row>
    <row r="186" spans="1:16" x14ac:dyDescent="0.35">
      <c r="A186" s="1026" t="s">
        <v>1340</v>
      </c>
      <c r="B186" s="1026"/>
      <c r="C186" s="1026"/>
      <c r="D186" s="1026"/>
      <c r="E186" s="1026" t="s">
        <v>530</v>
      </c>
      <c r="F186" s="1026"/>
      <c r="G186" s="629" t="s">
        <v>1341</v>
      </c>
      <c r="H186" s="648"/>
      <c r="I186" s="648"/>
      <c r="J186" s="648"/>
      <c r="K186" s="648"/>
      <c r="L186" s="648"/>
      <c r="M186" s="648"/>
      <c r="N186" s="648"/>
      <c r="O186"/>
      <c r="P186"/>
    </row>
    <row r="187" spans="1:16" x14ac:dyDescent="0.35">
      <c r="A187" s="1006" t="s">
        <v>246</v>
      </c>
      <c r="B187" s="1006"/>
      <c r="C187" s="1006"/>
      <c r="D187" s="1006"/>
      <c r="E187" s="1007">
        <f>Underwriting!$I$93/1000000</f>
        <v>8.6</v>
      </c>
      <c r="F187" s="1008"/>
      <c r="G187" s="775">
        <f t="shared" ref="G187:G192" si="6">IF(SUM($E$187:$E$192)=0,"",E187/SUM($E$187:$E$192))</f>
        <v>0.56282722513089001</v>
      </c>
      <c r="H187" s="649"/>
      <c r="I187" s="649"/>
      <c r="J187" s="649"/>
      <c r="K187" s="649"/>
      <c r="L187" s="649"/>
      <c r="M187" s="649"/>
      <c r="N187" s="649"/>
      <c r="O187"/>
      <c r="P187"/>
    </row>
    <row r="188" spans="1:16" x14ac:dyDescent="0.35">
      <c r="A188" s="1006" t="s">
        <v>1342</v>
      </c>
      <c r="B188" s="1006"/>
      <c r="C188" s="1006"/>
      <c r="D188" s="1006"/>
      <c r="E188" s="1007">
        <f>Underwriting!$I$94/1000000</f>
        <v>0</v>
      </c>
      <c r="F188" s="1008"/>
      <c r="G188" s="775">
        <f t="shared" si="6"/>
        <v>0</v>
      </c>
      <c r="H188" s="649"/>
      <c r="I188" s="649"/>
      <c r="J188" s="649"/>
      <c r="K188" s="649"/>
      <c r="L188" s="649"/>
      <c r="M188" s="649"/>
      <c r="N188" s="649"/>
      <c r="O188"/>
      <c r="P188"/>
    </row>
    <row r="189" spans="1:16" x14ac:dyDescent="0.35">
      <c r="A189" s="1006" t="s">
        <v>250</v>
      </c>
      <c r="B189" s="1006"/>
      <c r="C189" s="1006"/>
      <c r="D189" s="1006"/>
      <c r="E189" s="1007">
        <f>Underwriting!$I$95/1000000</f>
        <v>2.6</v>
      </c>
      <c r="F189" s="1008"/>
      <c r="G189" s="775">
        <f t="shared" si="6"/>
        <v>0.17015706806282724</v>
      </c>
      <c r="H189" s="649"/>
      <c r="I189" s="649"/>
      <c r="J189" s="649"/>
      <c r="K189" s="649"/>
      <c r="L189" s="649"/>
      <c r="M189" s="649"/>
      <c r="N189" s="649"/>
      <c r="O189"/>
      <c r="P189"/>
    </row>
    <row r="190" spans="1:16" x14ac:dyDescent="0.35">
      <c r="A190" s="1006" t="s">
        <v>1343</v>
      </c>
      <c r="B190" s="1006"/>
      <c r="C190" s="1006"/>
      <c r="D190" s="1006"/>
      <c r="E190" s="1007">
        <f>Underwriting!$I$97/1000000</f>
        <v>2</v>
      </c>
      <c r="F190" s="1008"/>
      <c r="G190" s="775">
        <f t="shared" si="6"/>
        <v>0.13089005235602094</v>
      </c>
      <c r="H190" s="649"/>
      <c r="I190" s="649"/>
      <c r="J190" s="649"/>
      <c r="K190" s="649"/>
      <c r="L190" s="649"/>
      <c r="M190" s="649"/>
      <c r="N190" s="649"/>
      <c r="O190"/>
      <c r="P190"/>
    </row>
    <row r="191" spans="1:16" x14ac:dyDescent="0.35">
      <c r="A191" s="1006" t="s">
        <v>1344</v>
      </c>
      <c r="B191" s="1006"/>
      <c r="C191" s="1006"/>
      <c r="D191" s="1006"/>
      <c r="E191" s="1007">
        <f>Underwriting!$I$98/1000000</f>
        <v>0</v>
      </c>
      <c r="F191" s="1008"/>
      <c r="G191" s="775">
        <f t="shared" si="6"/>
        <v>0</v>
      </c>
      <c r="H191" s="649"/>
      <c r="I191" s="649"/>
      <c r="J191" s="649"/>
      <c r="K191" s="649"/>
      <c r="L191" s="649"/>
      <c r="M191" s="649"/>
      <c r="N191" s="649"/>
      <c r="O191"/>
      <c r="P191"/>
    </row>
    <row r="192" spans="1:16" x14ac:dyDescent="0.35">
      <c r="A192" s="1006" t="s">
        <v>1345</v>
      </c>
      <c r="B192" s="1006"/>
      <c r="C192" s="1006"/>
      <c r="D192" s="1006"/>
      <c r="E192" s="1007">
        <f>SUM(Underwriting!$I$96,Underwriting!$I$99:$I$104)/1000000</f>
        <v>2.08</v>
      </c>
      <c r="F192" s="1008"/>
      <c r="G192" s="775">
        <f t="shared" si="6"/>
        <v>0.13612565445026178</v>
      </c>
      <c r="H192" s="649"/>
      <c r="I192" s="649"/>
      <c r="J192" s="649"/>
      <c r="K192" s="649"/>
      <c r="L192" s="649"/>
      <c r="M192" s="649"/>
      <c r="N192" s="649"/>
      <c r="O192"/>
      <c r="P192"/>
    </row>
    <row r="193" spans="1:16" x14ac:dyDescent="0.35">
      <c r="A193" s="628" t="s">
        <v>1346</v>
      </c>
      <c r="B193" s="628"/>
      <c r="C193" s="628"/>
      <c r="D193" s="628"/>
      <c r="E193" s="628"/>
      <c r="F193" s="628"/>
      <c r="G193" s="628"/>
      <c r="H193" s="628"/>
      <c r="I193" s="628"/>
      <c r="J193" s="628"/>
      <c r="K193" s="628"/>
      <c r="L193" s="628"/>
      <c r="M193" s="628"/>
      <c r="N193" s="628"/>
      <c r="O193"/>
      <c r="P193"/>
    </row>
    <row r="194" spans="1:16" x14ac:dyDescent="0.35">
      <c r="A194" s="628"/>
      <c r="B194" s="628"/>
      <c r="C194" s="628"/>
      <c r="D194" s="628"/>
      <c r="E194" s="628"/>
      <c r="F194" s="628"/>
      <c r="G194" s="628"/>
      <c r="H194" s="628"/>
      <c r="I194" s="628"/>
      <c r="J194" s="628"/>
      <c r="K194" s="628"/>
      <c r="L194" s="628"/>
      <c r="M194" s="628"/>
      <c r="N194" s="628"/>
      <c r="O194"/>
      <c r="P194"/>
    </row>
    <row r="195" spans="1:16" x14ac:dyDescent="0.35">
      <c r="A195" s="990" t="s">
        <v>1347</v>
      </c>
      <c r="B195" s="990"/>
      <c r="C195" s="990"/>
      <c r="D195" s="990"/>
      <c r="E195" s="990"/>
      <c r="F195" s="990"/>
      <c r="G195" s="990"/>
      <c r="H195" s="990"/>
      <c r="I195" s="990"/>
      <c r="J195" s="990"/>
      <c r="K195" s="990"/>
      <c r="L195" s="990"/>
      <c r="M195" s="990"/>
      <c r="N195" s="990"/>
      <c r="O195"/>
      <c r="P195"/>
    </row>
    <row r="196" spans="1:16" x14ac:dyDescent="0.35">
      <c r="A196" s="628"/>
      <c r="B196" s="628"/>
      <c r="C196" s="628"/>
      <c r="D196" s="628"/>
      <c r="E196" s="628"/>
      <c r="F196" s="628"/>
      <c r="G196" s="628"/>
      <c r="H196" s="628"/>
      <c r="I196" s="628"/>
      <c r="J196" s="628"/>
      <c r="K196" s="628"/>
      <c r="L196" s="628"/>
      <c r="M196" s="628"/>
      <c r="N196" s="628"/>
      <c r="O196"/>
      <c r="P196"/>
    </row>
    <row r="197" spans="1:16" x14ac:dyDescent="0.35">
      <c r="A197" s="1026" t="s">
        <v>1348</v>
      </c>
      <c r="B197" s="1026"/>
      <c r="C197" s="1026"/>
      <c r="D197" s="1026"/>
      <c r="E197" s="1026" t="s">
        <v>1349</v>
      </c>
      <c r="F197" s="1026"/>
      <c r="G197" s="1026" t="s">
        <v>1350</v>
      </c>
      <c r="H197" s="1026"/>
      <c r="I197" s="1026"/>
      <c r="J197" s="1026"/>
      <c r="K197" s="1026"/>
      <c r="L197" s="1026"/>
      <c r="M197" s="1026"/>
      <c r="N197" s="1026"/>
      <c r="O197"/>
      <c r="P197"/>
    </row>
    <row r="198" spans="1:16" x14ac:dyDescent="0.35">
      <c r="A198" s="1006" t="s">
        <v>1351</v>
      </c>
      <c r="B198" s="1006"/>
      <c r="C198" s="1006"/>
      <c r="D198" s="1006"/>
      <c r="E198" s="1112">
        <f>'VALUATION &amp; RETURNS'!$DA$11</f>
        <v>6.7008196721311475E-2</v>
      </c>
      <c r="F198" s="1070"/>
      <c r="G198" s="1006" t="s">
        <v>1352</v>
      </c>
      <c r="H198" s="1006"/>
      <c r="I198" s="1006"/>
      <c r="J198" s="1006"/>
      <c r="K198" s="1006"/>
      <c r="L198" s="1006"/>
      <c r="M198" s="1006"/>
      <c r="N198" s="1006"/>
      <c r="O198"/>
      <c r="P198"/>
    </row>
    <row r="199" spans="1:16" x14ac:dyDescent="0.35">
      <c r="A199" s="1006" t="s">
        <v>1353</v>
      </c>
      <c r="B199" s="1006"/>
      <c r="C199" s="1006"/>
      <c r="D199" s="1006"/>
      <c r="E199" s="1113" t="str">
        <f>IF(OR('VALUATION &amp; RETURNS'!$CR$10="",'VALUATION &amp; RETURNS'!$CR$11=""),"Not applied",'VALUATION &amp; RETURNS'!$CR$11)</f>
        <v>Not applied</v>
      </c>
      <c r="F199" s="1114"/>
      <c r="G199" s="1115" t="str">
        <f>IF(OR('VALUATION &amp; RETURNS'!$CR$10="",'VALUATION &amp; RETURNS'!$CR$11=""),"Owner decision required — OpCo value excluded","Approved valuation input")</f>
        <v>Owner decision required — OpCo value excluded</v>
      </c>
      <c r="H199" s="1006"/>
      <c r="I199" s="1006"/>
      <c r="J199" s="1006"/>
      <c r="K199" s="1006"/>
      <c r="L199" s="1006"/>
      <c r="M199" s="1006"/>
      <c r="N199" s="1006"/>
      <c r="O199"/>
      <c r="P199"/>
    </row>
    <row r="200" spans="1:16" x14ac:dyDescent="0.35">
      <c r="A200" s="1006" t="s">
        <v>1354</v>
      </c>
      <c r="B200" s="1006"/>
      <c r="C200" s="1006"/>
      <c r="D200" s="1006"/>
      <c r="E200" s="1112">
        <f>'VALUATION &amp; RETURNS'!$CR$8</f>
        <v>0.08</v>
      </c>
      <c r="F200" s="1070"/>
      <c r="G200" s="1006" t="s">
        <v>1355</v>
      </c>
      <c r="H200" s="1006"/>
      <c r="I200" s="1006"/>
      <c r="J200" s="1006"/>
      <c r="K200" s="1006"/>
      <c r="L200" s="1006"/>
      <c r="M200" s="1006"/>
      <c r="N200" s="1006"/>
      <c r="O200"/>
      <c r="P200"/>
    </row>
    <row r="201" spans="1:16" x14ac:dyDescent="0.35">
      <c r="A201" s="1006" t="s">
        <v>759</v>
      </c>
      <c r="B201" s="1006"/>
      <c r="C201" s="1006"/>
      <c r="D201" s="1006"/>
      <c r="E201" s="1112">
        <f>'VALUATION &amp; RETURNS'!$CR$9</f>
        <v>0.2</v>
      </c>
      <c r="F201" s="1070"/>
      <c r="G201" s="1006" t="s">
        <v>1356</v>
      </c>
      <c r="H201" s="1006"/>
      <c r="I201" s="1006"/>
      <c r="J201" s="1006"/>
      <c r="K201" s="1006"/>
      <c r="L201" s="1006"/>
      <c r="M201" s="1006"/>
      <c r="N201" s="1006"/>
      <c r="O201"/>
      <c r="P201"/>
    </row>
    <row r="202" spans="1:16" x14ac:dyDescent="0.35">
      <c r="A202" s="1006" t="s">
        <v>1357</v>
      </c>
      <c r="B202" s="1006"/>
      <c r="C202" s="1006"/>
      <c r="D202" s="1006"/>
      <c r="E202" s="1126" t="str">
        <f>IF(COUNT(DEBT!$F$142:$DV$142)&gt;0,"Yes","No")</f>
        <v>Yes</v>
      </c>
      <c r="F202" s="1006"/>
      <c r="G202" s="1006" t="s">
        <v>1358</v>
      </c>
      <c r="H202" s="1006"/>
      <c r="I202" s="1006"/>
      <c r="J202" s="1006"/>
      <c r="K202" s="1006"/>
      <c r="L202" s="1006"/>
      <c r="M202" s="1006"/>
      <c r="N202" s="1006"/>
      <c r="O202"/>
      <c r="P202"/>
    </row>
    <row r="203" spans="1:16" x14ac:dyDescent="0.35">
      <c r="A203" s="1006" t="s">
        <v>1359</v>
      </c>
      <c r="B203" s="1006"/>
      <c r="C203" s="1006"/>
      <c r="D203" s="1006"/>
      <c r="E203" s="1126" t="str">
        <f>IF(COUNT(DEBT!$F$195:$DV$195)&gt;0,"Yes","No")</f>
        <v>Yes</v>
      </c>
      <c r="F203" s="1006"/>
      <c r="G203" s="1006" t="s">
        <v>1360</v>
      </c>
      <c r="H203" s="1006"/>
      <c r="I203" s="1006"/>
      <c r="J203" s="1006"/>
      <c r="K203" s="1006"/>
      <c r="L203" s="1006"/>
      <c r="M203" s="1006"/>
      <c r="N203" s="1006"/>
      <c r="O203"/>
      <c r="P203"/>
    </row>
    <row r="204" spans="1:16" x14ac:dyDescent="0.35">
      <c r="A204" s="628" t="s">
        <v>1361</v>
      </c>
      <c r="B204" s="628"/>
      <c r="C204" s="628"/>
      <c r="D204" s="628"/>
      <c r="E204" s="628"/>
      <c r="F204" s="628"/>
      <c r="G204" s="628"/>
      <c r="H204" s="628"/>
      <c r="I204" s="628"/>
      <c r="J204" s="628"/>
      <c r="K204" s="628"/>
      <c r="L204" s="628"/>
      <c r="M204" s="628"/>
      <c r="N204" s="628"/>
      <c r="O204"/>
      <c r="P204"/>
    </row>
    <row r="205" spans="1:16" x14ac:dyDescent="0.35">
      <c r="A205" s="628"/>
      <c r="B205" s="628"/>
      <c r="C205" s="628"/>
      <c r="D205" s="628"/>
      <c r="E205" s="628"/>
      <c r="F205" s="628"/>
      <c r="G205" s="628"/>
      <c r="H205" s="628"/>
      <c r="I205" s="628"/>
      <c r="J205" s="628"/>
      <c r="K205" s="628"/>
      <c r="L205" s="628"/>
      <c r="M205" s="628"/>
      <c r="N205" s="628"/>
      <c r="O205"/>
      <c r="P205"/>
    </row>
    <row r="206" spans="1:16" x14ac:dyDescent="0.35">
      <c r="A206" s="990" t="s">
        <v>1362</v>
      </c>
      <c r="B206" s="990"/>
      <c r="C206" s="990"/>
      <c r="D206" s="990"/>
      <c r="E206" s="990"/>
      <c r="F206" s="990"/>
      <c r="G206" s="990"/>
      <c r="H206" s="990"/>
      <c r="I206" s="990"/>
      <c r="J206" s="990"/>
      <c r="K206" s="990"/>
      <c r="L206" s="990"/>
      <c r="M206" s="990"/>
      <c r="N206" s="990"/>
      <c r="O206"/>
      <c r="P206"/>
    </row>
    <row r="207" spans="1:16" x14ac:dyDescent="0.35">
      <c r="A207" s="628"/>
      <c r="B207" s="628"/>
      <c r="C207" s="628"/>
      <c r="D207" s="628"/>
      <c r="E207" s="628"/>
      <c r="F207" s="628"/>
      <c r="G207" s="628"/>
      <c r="H207" s="628"/>
      <c r="I207" s="628"/>
      <c r="J207" s="628"/>
      <c r="K207" s="628"/>
      <c r="L207" s="628"/>
      <c r="M207" s="628"/>
      <c r="N207" s="628"/>
      <c r="O207"/>
      <c r="P207"/>
    </row>
    <row r="208" spans="1:16" x14ac:dyDescent="0.35">
      <c r="A208" s="1116" t="str">
        <f>"TARGET MODEL FUNDING"&amp;CHAR(10)&amp;CHAR(10)&amp;"Total development cost: A$"&amp;TEXT('VALUATION &amp; RETURNS'!$DA$15,"0.00")&amp;"m"&amp;CHAR(10)&amp;"Target equity requirement: A$"&amp;TEXT(Underwriting!$I$69/1000000,"0.00")&amp;"m"&amp;CHAR(10)&amp;"Named investor register: A$"&amp;TEXT('VALUATION &amp; RETURNS'!$G$34,"0.00")&amp;"m"&amp;CHAR(10)&amp;"Peak construction debt: A$"&amp;TEXT(DEBT!$K$7/1000000,"0.00")&amp;"m"&amp;CHAR(10)&amp;"Register less target equity: A$"&amp;TEXT('VALUATION &amp; RETURNS'!$G$34-Underwriting!$I$69/1000000,"0.00")&amp;"m"</f>
        <v>TARGET MODEL FUNDING
Total development cost: A$448.86m
Target equity requirement: A$215.66m
Named investor register: A$215.66m
Peak construction debt: A$224.39m
Register less target equity: A$0.00m</v>
      </c>
      <c r="B208" s="1117"/>
      <c r="C208" s="1117"/>
      <c r="D208" s="1117"/>
      <c r="E208" s="1117"/>
      <c r="F208" s="1117"/>
      <c r="G208" s="1118"/>
      <c r="H208" s="1125" t="s">
        <v>1363</v>
      </c>
      <c r="I208" s="1117"/>
      <c r="J208" s="1117"/>
      <c r="K208" s="1117"/>
      <c r="L208" s="1117"/>
      <c r="M208" s="1117"/>
      <c r="N208" s="1118"/>
      <c r="O208"/>
      <c r="P208"/>
    </row>
    <row r="209" spans="1:14" x14ac:dyDescent="0.35">
      <c r="A209" s="1119"/>
      <c r="B209" s="1120"/>
      <c r="C209" s="1120"/>
      <c r="D209" s="1120"/>
      <c r="E209" s="1120"/>
      <c r="F209" s="1120"/>
      <c r="G209" s="1121"/>
      <c r="H209" s="1119"/>
      <c r="I209" s="1120"/>
      <c r="J209" s="1120"/>
      <c r="K209" s="1120"/>
      <c r="L209" s="1120"/>
      <c r="M209" s="1120"/>
      <c r="N209" s="1121"/>
    </row>
    <row r="210" spans="1:14" x14ac:dyDescent="0.35">
      <c r="A210" s="1119"/>
      <c r="B210" s="1120"/>
      <c r="C210" s="1120"/>
      <c r="D210" s="1120"/>
      <c r="E210" s="1120"/>
      <c r="F210" s="1120"/>
      <c r="G210" s="1121"/>
      <c r="H210" s="1119"/>
      <c r="I210" s="1120"/>
      <c r="J210" s="1120"/>
      <c r="K210" s="1120"/>
      <c r="L210" s="1120"/>
      <c r="M210" s="1120"/>
      <c r="N210" s="1121"/>
    </row>
    <row r="211" spans="1:14" x14ac:dyDescent="0.35">
      <c r="A211" s="1119"/>
      <c r="B211" s="1120"/>
      <c r="C211" s="1120"/>
      <c r="D211" s="1120"/>
      <c r="E211" s="1120"/>
      <c r="F211" s="1120"/>
      <c r="G211" s="1121"/>
      <c r="H211" s="1119"/>
      <c r="I211" s="1120"/>
      <c r="J211" s="1120"/>
      <c r="K211" s="1120"/>
      <c r="L211" s="1120"/>
      <c r="M211" s="1120"/>
      <c r="N211" s="1121"/>
    </row>
    <row r="212" spans="1:14" x14ac:dyDescent="0.35">
      <c r="A212" s="1119"/>
      <c r="B212" s="1120"/>
      <c r="C212" s="1120"/>
      <c r="D212" s="1120"/>
      <c r="E212" s="1120"/>
      <c r="F212" s="1120"/>
      <c r="G212" s="1121"/>
      <c r="H212" s="1119"/>
      <c r="I212" s="1120"/>
      <c r="J212" s="1120"/>
      <c r="K212" s="1120"/>
      <c r="L212" s="1120"/>
      <c r="M212" s="1120"/>
      <c r="N212" s="1121"/>
    </row>
    <row r="213" spans="1:14" x14ac:dyDescent="0.35">
      <c r="A213" s="1119"/>
      <c r="B213" s="1120"/>
      <c r="C213" s="1120"/>
      <c r="D213" s="1120"/>
      <c r="E213" s="1120"/>
      <c r="F213" s="1120"/>
      <c r="G213" s="1121"/>
      <c r="H213" s="1119"/>
      <c r="I213" s="1120"/>
      <c r="J213" s="1120"/>
      <c r="K213" s="1120"/>
      <c r="L213" s="1120"/>
      <c r="M213" s="1120"/>
      <c r="N213" s="1121"/>
    </row>
    <row r="214" spans="1:14" x14ac:dyDescent="0.35">
      <c r="A214" s="1119"/>
      <c r="B214" s="1120"/>
      <c r="C214" s="1120"/>
      <c r="D214" s="1120"/>
      <c r="E214" s="1120"/>
      <c r="F214" s="1120"/>
      <c r="G214" s="1121"/>
      <c r="H214" s="1119"/>
      <c r="I214" s="1120"/>
      <c r="J214" s="1120"/>
      <c r="K214" s="1120"/>
      <c r="L214" s="1120"/>
      <c r="M214" s="1120"/>
      <c r="N214" s="1121"/>
    </row>
    <row r="215" spans="1:14" x14ac:dyDescent="0.35">
      <c r="A215" s="1122"/>
      <c r="B215" s="1123"/>
      <c r="C215" s="1123"/>
      <c r="D215" s="1123"/>
      <c r="E215" s="1123"/>
      <c r="F215" s="1123"/>
      <c r="G215" s="1124"/>
      <c r="H215" s="1122"/>
      <c r="I215" s="1123"/>
      <c r="J215" s="1123"/>
      <c r="K215" s="1123"/>
      <c r="L215" s="1123"/>
      <c r="M215" s="1123"/>
      <c r="N215" s="1124"/>
    </row>
    <row r="216" spans="1:14" x14ac:dyDescent="0.35">
      <c r="A216" s="628"/>
      <c r="B216" s="628"/>
      <c r="C216" s="628"/>
      <c r="D216" s="628"/>
      <c r="E216" s="628"/>
      <c r="F216" s="628"/>
      <c r="G216" s="628"/>
      <c r="H216" s="628"/>
      <c r="I216" s="628"/>
      <c r="J216" s="628"/>
      <c r="K216" s="628"/>
      <c r="L216" s="628"/>
      <c r="M216" s="628"/>
      <c r="N216" s="628"/>
    </row>
    <row r="217" spans="1:14" x14ac:dyDescent="0.35">
      <c r="A217" s="628"/>
      <c r="B217" s="628"/>
      <c r="C217" s="628"/>
      <c r="D217" s="628"/>
      <c r="E217" s="628"/>
      <c r="F217" s="628"/>
      <c r="G217" s="628"/>
      <c r="H217" s="628"/>
      <c r="I217" s="628"/>
      <c r="J217" s="628"/>
      <c r="K217" s="628"/>
      <c r="L217" s="628"/>
      <c r="M217" s="628"/>
      <c r="N217" s="628"/>
    </row>
  </sheetData>
  <mergeCells count="330">
    <mergeCell ref="A146:C148"/>
    <mergeCell ref="D146:F148"/>
    <mergeCell ref="G146:I148"/>
    <mergeCell ref="J146:L148"/>
    <mergeCell ref="M146:N148"/>
    <mergeCell ref="D137:E137"/>
    <mergeCell ref="A138:C138"/>
    <mergeCell ref="D138:E138"/>
    <mergeCell ref="A149:C149"/>
    <mergeCell ref="D149:F149"/>
    <mergeCell ref="A141:N141"/>
    <mergeCell ref="A142:N142"/>
    <mergeCell ref="A144:N144"/>
    <mergeCell ref="A145:C145"/>
    <mergeCell ref="D145:F145"/>
    <mergeCell ref="G145:I145"/>
    <mergeCell ref="J145:L145"/>
    <mergeCell ref="M145:N145"/>
    <mergeCell ref="G149:I149"/>
    <mergeCell ref="J149:L149"/>
    <mergeCell ref="M149:N149"/>
    <mergeCell ref="J135:N138"/>
    <mergeCell ref="A136:C136"/>
    <mergeCell ref="D135:E135"/>
    <mergeCell ref="A151:N151"/>
    <mergeCell ref="A153:D153"/>
    <mergeCell ref="E153:F153"/>
    <mergeCell ref="G153:H153"/>
    <mergeCell ref="A154:D154"/>
    <mergeCell ref="E154:F154"/>
    <mergeCell ref="G154:H154"/>
    <mergeCell ref="A157:D157"/>
    <mergeCell ref="E157:F157"/>
    <mergeCell ref="G157:H157"/>
    <mergeCell ref="A158:D158"/>
    <mergeCell ref="E158:F158"/>
    <mergeCell ref="G158:H158"/>
    <mergeCell ref="A155:D155"/>
    <mergeCell ref="E155:F155"/>
    <mergeCell ref="G155:H155"/>
    <mergeCell ref="A156:D156"/>
    <mergeCell ref="E156:F156"/>
    <mergeCell ref="G156:H156"/>
    <mergeCell ref="A169:C169"/>
    <mergeCell ref="A159:D159"/>
    <mergeCell ref="E159:F159"/>
    <mergeCell ref="G159:H159"/>
    <mergeCell ref="A160:D160"/>
    <mergeCell ref="E160:F160"/>
    <mergeCell ref="G160:H160"/>
    <mergeCell ref="A163:N163"/>
    <mergeCell ref="A165:C165"/>
    <mergeCell ref="A166:C166"/>
    <mergeCell ref="A167:C167"/>
    <mergeCell ref="A168:C168"/>
    <mergeCell ref="A184:N184"/>
    <mergeCell ref="A186:D186"/>
    <mergeCell ref="E186:F186"/>
    <mergeCell ref="E189:F189"/>
    <mergeCell ref="A190:D190"/>
    <mergeCell ref="E190:F190"/>
    <mergeCell ref="A206:N206"/>
    <mergeCell ref="A208:G215"/>
    <mergeCell ref="H208:N215"/>
    <mergeCell ref="A202:D202"/>
    <mergeCell ref="E202:F202"/>
    <mergeCell ref="G202:N202"/>
    <mergeCell ref="A203:D203"/>
    <mergeCell ref="E203:F203"/>
    <mergeCell ref="G203:N203"/>
    <mergeCell ref="A201:D201"/>
    <mergeCell ref="E201:F201"/>
    <mergeCell ref="G201:N201"/>
    <mergeCell ref="A192:D192"/>
    <mergeCell ref="E192:F192"/>
    <mergeCell ref="E188:F188"/>
    <mergeCell ref="A189:D189"/>
    <mergeCell ref="A191:D191"/>
    <mergeCell ref="E191:F191"/>
    <mergeCell ref="A170:C170"/>
    <mergeCell ref="A171:C171"/>
    <mergeCell ref="A172:C172"/>
    <mergeCell ref="A173:C173"/>
    <mergeCell ref="A174:C174"/>
    <mergeCell ref="A176:N178"/>
    <mergeCell ref="A181:N181"/>
    <mergeCell ref="A182:N182"/>
    <mergeCell ref="A200:D200"/>
    <mergeCell ref="E200:F200"/>
    <mergeCell ref="G200:N200"/>
    <mergeCell ref="A198:D198"/>
    <mergeCell ref="E198:F198"/>
    <mergeCell ref="G198:N198"/>
    <mergeCell ref="A199:D199"/>
    <mergeCell ref="E199:F199"/>
    <mergeCell ref="G199:N199"/>
    <mergeCell ref="A197:D197"/>
    <mergeCell ref="E197:F197"/>
    <mergeCell ref="G197:N197"/>
    <mergeCell ref="A195:N195"/>
    <mergeCell ref="A187:D187"/>
    <mergeCell ref="E187:F187"/>
    <mergeCell ref="A188:D188"/>
    <mergeCell ref="D136:E136"/>
    <mergeCell ref="A137:C137"/>
    <mergeCell ref="A105:G105"/>
    <mergeCell ref="H105:N105"/>
    <mergeCell ref="A106:G113"/>
    <mergeCell ref="H106:N113"/>
    <mergeCell ref="A115:N117"/>
    <mergeCell ref="A118:S118"/>
    <mergeCell ref="A123:D123"/>
    <mergeCell ref="E123:F123"/>
    <mergeCell ref="A124:D124"/>
    <mergeCell ref="E124:F124"/>
    <mergeCell ref="A133:N133"/>
    <mergeCell ref="A135:C135"/>
    <mergeCell ref="A120:N120"/>
    <mergeCell ref="A122:D122"/>
    <mergeCell ref="E122:F122"/>
    <mergeCell ref="A128:D128"/>
    <mergeCell ref="E128:F128"/>
    <mergeCell ref="A125:D125"/>
    <mergeCell ref="E125:F125"/>
    <mergeCell ref="A126:D126"/>
    <mergeCell ref="E126:F126"/>
    <mergeCell ref="A127:D127"/>
    <mergeCell ref="E127:F127"/>
    <mergeCell ref="A95:G98"/>
    <mergeCell ref="H95:N98"/>
    <mergeCell ref="A99:G99"/>
    <mergeCell ref="H99:N99"/>
    <mergeCell ref="M69:N69"/>
    <mergeCell ref="I71:N82"/>
    <mergeCell ref="A84:N86"/>
    <mergeCell ref="A89:N89"/>
    <mergeCell ref="A91:N92"/>
    <mergeCell ref="A94:G94"/>
    <mergeCell ref="H94:N94"/>
    <mergeCell ref="A100:G104"/>
    <mergeCell ref="H100:N104"/>
    <mergeCell ref="M68:N68"/>
    <mergeCell ref="A69:C69"/>
    <mergeCell ref="D69:E69"/>
    <mergeCell ref="F69:G69"/>
    <mergeCell ref="H69:I69"/>
    <mergeCell ref="J69:K69"/>
    <mergeCell ref="A68:C68"/>
    <mergeCell ref="D68:E68"/>
    <mergeCell ref="F68:G68"/>
    <mergeCell ref="H68:I68"/>
    <mergeCell ref="J68:K68"/>
    <mergeCell ref="M67:N67"/>
    <mergeCell ref="A66:C66"/>
    <mergeCell ref="D66:E66"/>
    <mergeCell ref="F66:G66"/>
    <mergeCell ref="H66:I66"/>
    <mergeCell ref="J66:K66"/>
    <mergeCell ref="M66:N66"/>
    <mergeCell ref="A67:C67"/>
    <mergeCell ref="D67:E67"/>
    <mergeCell ref="F67:G67"/>
    <mergeCell ref="H67:I67"/>
    <mergeCell ref="J67:K67"/>
    <mergeCell ref="A59:N59"/>
    <mergeCell ref="A61:N61"/>
    <mergeCell ref="A63:C63"/>
    <mergeCell ref="D63:E63"/>
    <mergeCell ref="F63:G63"/>
    <mergeCell ref="H63:I63"/>
    <mergeCell ref="J63:K63"/>
    <mergeCell ref="M63:N63"/>
    <mergeCell ref="M65:N65"/>
    <mergeCell ref="A64:C64"/>
    <mergeCell ref="D64:E64"/>
    <mergeCell ref="F64:G64"/>
    <mergeCell ref="H64:I64"/>
    <mergeCell ref="J64:K64"/>
    <mergeCell ref="M64:N64"/>
    <mergeCell ref="A65:C65"/>
    <mergeCell ref="D65:E65"/>
    <mergeCell ref="F65:G65"/>
    <mergeCell ref="H65:I65"/>
    <mergeCell ref="J65:K65"/>
    <mergeCell ref="L58:N58"/>
    <mergeCell ref="A57:C57"/>
    <mergeCell ref="D57:E57"/>
    <mergeCell ref="F57:G57"/>
    <mergeCell ref="H57:I57"/>
    <mergeCell ref="J57:K57"/>
    <mergeCell ref="L57:N57"/>
    <mergeCell ref="A58:C58"/>
    <mergeCell ref="D58:E58"/>
    <mergeCell ref="F58:G58"/>
    <mergeCell ref="H58:I58"/>
    <mergeCell ref="J58:K58"/>
    <mergeCell ref="L56:N56"/>
    <mergeCell ref="A55:C55"/>
    <mergeCell ref="D55:E55"/>
    <mergeCell ref="F55:G55"/>
    <mergeCell ref="H55:I55"/>
    <mergeCell ref="J55:K55"/>
    <mergeCell ref="L55:N55"/>
    <mergeCell ref="A56:C56"/>
    <mergeCell ref="D56:E56"/>
    <mergeCell ref="F56:G56"/>
    <mergeCell ref="H56:I56"/>
    <mergeCell ref="J56:K56"/>
    <mergeCell ref="L54:N54"/>
    <mergeCell ref="A53:C53"/>
    <mergeCell ref="D53:E53"/>
    <mergeCell ref="F53:G53"/>
    <mergeCell ref="H53:I53"/>
    <mergeCell ref="J53:K53"/>
    <mergeCell ref="L53:N53"/>
    <mergeCell ref="A54:C54"/>
    <mergeCell ref="D54:E54"/>
    <mergeCell ref="F54:G54"/>
    <mergeCell ref="H54:I54"/>
    <mergeCell ref="J54:K54"/>
    <mergeCell ref="L52:N52"/>
    <mergeCell ref="A47:N47"/>
    <mergeCell ref="A48:N48"/>
    <mergeCell ref="A50:N50"/>
    <mergeCell ref="A51:C51"/>
    <mergeCell ref="D51:E51"/>
    <mergeCell ref="F51:G51"/>
    <mergeCell ref="H51:I51"/>
    <mergeCell ref="J51:K51"/>
    <mergeCell ref="L51:N51"/>
    <mergeCell ref="A52:C52"/>
    <mergeCell ref="D52:E52"/>
    <mergeCell ref="F52:G52"/>
    <mergeCell ref="H52:I52"/>
    <mergeCell ref="J52:K52"/>
    <mergeCell ref="A45:N45"/>
    <mergeCell ref="A42:C42"/>
    <mergeCell ref="D42:E42"/>
    <mergeCell ref="F42:G42"/>
    <mergeCell ref="H42:I42"/>
    <mergeCell ref="J42:K42"/>
    <mergeCell ref="A43:C43"/>
    <mergeCell ref="D43:E43"/>
    <mergeCell ref="F43:G43"/>
    <mergeCell ref="H43:I43"/>
    <mergeCell ref="J43:K43"/>
    <mergeCell ref="A44:C44"/>
    <mergeCell ref="D44:E44"/>
    <mergeCell ref="F44:G44"/>
    <mergeCell ref="H44:I44"/>
    <mergeCell ref="J44:K44"/>
    <mergeCell ref="A41:C41"/>
    <mergeCell ref="D41:E41"/>
    <mergeCell ref="F41:G41"/>
    <mergeCell ref="H41:I41"/>
    <mergeCell ref="J41:K41"/>
    <mergeCell ref="A40:C40"/>
    <mergeCell ref="D40:E40"/>
    <mergeCell ref="F40:G40"/>
    <mergeCell ref="H40:I40"/>
    <mergeCell ref="J40:K40"/>
    <mergeCell ref="A39:C39"/>
    <mergeCell ref="D39:E39"/>
    <mergeCell ref="F39:G39"/>
    <mergeCell ref="H39:I39"/>
    <mergeCell ref="J39:K39"/>
    <mergeCell ref="A38:C38"/>
    <mergeCell ref="D38:E38"/>
    <mergeCell ref="F38:G38"/>
    <mergeCell ref="H38:I38"/>
    <mergeCell ref="J38:K38"/>
    <mergeCell ref="G15:H15"/>
    <mergeCell ref="I15:J15"/>
    <mergeCell ref="A16:D16"/>
    <mergeCell ref="E16:F16"/>
    <mergeCell ref="G16:H16"/>
    <mergeCell ref="I16:J16"/>
    <mergeCell ref="A36:N36"/>
    <mergeCell ref="A18:D18"/>
    <mergeCell ref="E18:F18"/>
    <mergeCell ref="G18:H18"/>
    <mergeCell ref="I18:J18"/>
    <mergeCell ref="A19:D19"/>
    <mergeCell ref="E19:F19"/>
    <mergeCell ref="G19:H19"/>
    <mergeCell ref="I19:J19"/>
    <mergeCell ref="A20:D20"/>
    <mergeCell ref="E20:F20"/>
    <mergeCell ref="G20:H20"/>
    <mergeCell ref="I20:J20"/>
    <mergeCell ref="I22:N34"/>
    <mergeCell ref="A17:D17"/>
    <mergeCell ref="E17:F17"/>
    <mergeCell ref="G17:H17"/>
    <mergeCell ref="I17:J17"/>
    <mergeCell ref="A6:N6"/>
    <mergeCell ref="A8:C8"/>
    <mergeCell ref="D8:F8"/>
    <mergeCell ref="G8:I8"/>
    <mergeCell ref="J8:L8"/>
    <mergeCell ref="M8:N8"/>
    <mergeCell ref="A11:S11"/>
    <mergeCell ref="A9:C9"/>
    <mergeCell ref="D9:F9"/>
    <mergeCell ref="G9:I9"/>
    <mergeCell ref="J9:L9"/>
    <mergeCell ref="M9:N9"/>
    <mergeCell ref="A10:C10"/>
    <mergeCell ref="D10:F10"/>
    <mergeCell ref="G10:I10"/>
    <mergeCell ref="J10:L10"/>
    <mergeCell ref="M10:N10"/>
    <mergeCell ref="A13:N13"/>
    <mergeCell ref="A15:D15"/>
    <mergeCell ref="E15:F15"/>
    <mergeCell ref="A5:N5"/>
    <mergeCell ref="M4:N4"/>
    <mergeCell ref="A1:N1"/>
    <mergeCell ref="A2:N2"/>
    <mergeCell ref="A3:B3"/>
    <mergeCell ref="C3:F3"/>
    <mergeCell ref="G3:H3"/>
    <mergeCell ref="I3:J3"/>
    <mergeCell ref="K3:L3"/>
    <mergeCell ref="M3:N3"/>
    <mergeCell ref="A4:B4"/>
    <mergeCell ref="C4:F4"/>
    <mergeCell ref="G4:H4"/>
    <mergeCell ref="I4:J4"/>
    <mergeCell ref="K4:L4"/>
  </mergeCells>
  <conditionalFormatting sqref="A16:N20">
    <cfRule type="expression" dxfId="16" priority="1">
      <formula>$N16="Selected"</formula>
    </cfRule>
  </conditionalFormatting>
  <dataValidations count="2">
    <dataValidation type="list" showInputMessage="1" showErrorMessage="1" sqref="I3" xr:uid="{00000000-0002-0000-0700-000000000000}">
      <formula1>"Downside,Base,Upside"</formula1>
    </dataValidation>
    <dataValidation type="list" showInputMessage="1" showErrorMessage="1" sqref="C3" xr:uid="{00000000-0002-0000-0700-000001000000}">
      <formula1>_InvestorSelectorList</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D8F42"/>
  </sheetPr>
  <dimension ref="A2:DV205"/>
  <sheetViews>
    <sheetView showGridLines="0" workbookViewId="0"/>
  </sheetViews>
  <sheetFormatPr defaultRowHeight="14.5" x14ac:dyDescent="0.35"/>
  <cols>
    <col min="1" max="1" width="34" customWidth="1"/>
    <col min="2" max="2" width="38" customWidth="1"/>
    <col min="3" max="4" width="24" customWidth="1"/>
    <col min="5" max="5" width="3" hidden="1" customWidth="1"/>
    <col min="6" max="9" width="12" customWidth="1"/>
    <col min="10" max="10" width="34" customWidth="1"/>
    <col min="11" max="11" width="18" customWidth="1"/>
    <col min="12" max="12" width="12" customWidth="1"/>
    <col min="13" max="18" width="14" customWidth="1"/>
    <col min="19" max="126" width="12" customWidth="1"/>
  </cols>
  <sheetData>
    <row r="2" spans="1:18" ht="25" customHeight="1" x14ac:dyDescent="0.35">
      <c r="A2" s="936" t="s">
        <v>670</v>
      </c>
      <c r="B2" s="937"/>
      <c r="C2" s="937"/>
      <c r="D2" s="937"/>
      <c r="E2" s="937"/>
      <c r="F2" s="937"/>
      <c r="G2" s="937"/>
      <c r="H2" s="937"/>
      <c r="I2" s="937"/>
      <c r="J2" s="937"/>
      <c r="K2" s="937"/>
      <c r="L2" s="983" t="str">
        <f>UPPER(Underwriting!$I$2)&amp;" | "&amp;UPPER('VALUATION &amp; RETURNS'!$CR$7)</f>
        <v>MAYABAY ACTIVE (MELBOURNE) PTY LTD | BASE</v>
      </c>
      <c r="M2" s="937"/>
      <c r="N2" s="937"/>
      <c r="O2" s="937"/>
      <c r="P2" s="937"/>
      <c r="Q2" s="937"/>
      <c r="R2" s="937"/>
    </row>
    <row r="4" spans="1:18" ht="24" customHeight="1" x14ac:dyDescent="0.35">
      <c r="A4" s="938" t="s">
        <v>1364</v>
      </c>
      <c r="B4" s="937"/>
      <c r="C4" s="937"/>
      <c r="D4" s="937"/>
      <c r="E4" s="937"/>
      <c r="F4" s="937"/>
      <c r="G4" s="937"/>
      <c r="H4" s="937"/>
      <c r="I4" s="937"/>
      <c r="J4" s="937"/>
      <c r="K4" s="937"/>
      <c r="L4" s="937"/>
      <c r="M4" s="937"/>
      <c r="N4" s="937"/>
      <c r="O4" s="937"/>
      <c r="P4" s="937"/>
      <c r="Q4" s="937"/>
      <c r="R4" s="937"/>
    </row>
    <row r="5" spans="1:18" ht="21" customHeight="1" x14ac:dyDescent="0.35">
      <c r="A5" s="1148" t="s">
        <v>1365</v>
      </c>
      <c r="B5" s="937"/>
      <c r="C5" s="937"/>
      <c r="D5" s="937"/>
      <c r="E5" s="937"/>
      <c r="F5" s="937"/>
      <c r="G5" s="937"/>
      <c r="J5" s="1148" t="s">
        <v>1366</v>
      </c>
      <c r="K5" s="937"/>
      <c r="L5" s="937"/>
      <c r="M5" s="937"/>
      <c r="N5" s="937"/>
      <c r="O5" s="937"/>
      <c r="P5" s="937"/>
      <c r="Q5" s="937"/>
      <c r="R5" s="937"/>
    </row>
    <row r="6" spans="1:18" ht="15" customHeight="1" x14ac:dyDescent="0.35">
      <c r="A6" s="307" t="s">
        <v>1367</v>
      </c>
      <c r="B6" s="880" t="str">
        <f>'VALUATION &amp; RETURNS'!$CR$7</f>
        <v>Base</v>
      </c>
      <c r="C6" s="1146" t="s">
        <v>1368</v>
      </c>
      <c r="D6" s="1147"/>
      <c r="E6" s="1147"/>
      <c r="F6" s="1147"/>
      <c r="G6" s="1147"/>
      <c r="J6" s="307" t="s">
        <v>1369</v>
      </c>
      <c r="K6" s="309">
        <f>SUM($B$9,$B$24,$B$37)</f>
        <v>452100191.871683</v>
      </c>
      <c r="L6" s="308" t="s">
        <v>1370</v>
      </c>
      <c r="M6" s="937"/>
      <c r="N6" s="937"/>
      <c r="O6" s="937"/>
      <c r="P6" s="937"/>
      <c r="Q6" s="937"/>
      <c r="R6" s="937"/>
    </row>
    <row r="7" spans="1:18" ht="15" customHeight="1" x14ac:dyDescent="0.35">
      <c r="A7" s="307" t="s">
        <v>1371</v>
      </c>
      <c r="B7" s="880" t="str">
        <f>'DATA MAP'!$E$85</f>
        <v>Equity First</v>
      </c>
      <c r="C7" s="1146" t="s">
        <v>1372</v>
      </c>
      <c r="D7" s="1147"/>
      <c r="E7" s="1147"/>
      <c r="F7" s="1147"/>
      <c r="G7" s="1147"/>
      <c r="J7" s="307" t="s">
        <v>1305</v>
      </c>
      <c r="K7" s="309">
        <f>MAX($F$92:$DV$92)</f>
        <v>224391875.60728651</v>
      </c>
      <c r="L7" s="308" t="s">
        <v>1370</v>
      </c>
      <c r="M7" s="937"/>
      <c r="N7" s="937"/>
      <c r="O7" s="937"/>
      <c r="P7" s="937"/>
      <c r="Q7" s="937"/>
      <c r="R7" s="937"/>
    </row>
    <row r="8" spans="1:18" ht="15" customHeight="1" x14ac:dyDescent="0.35">
      <c r="A8" s="307" t="s">
        <v>1373</v>
      </c>
      <c r="B8" s="311">
        <f>SUM('FUNDING &amp; CAP TABLE'!$D$8:$D$14)*1000000</f>
        <v>83830999.999999985</v>
      </c>
      <c r="C8" s="1146" t="s">
        <v>1374</v>
      </c>
      <c r="D8" s="1147"/>
      <c r="E8" s="1147"/>
      <c r="F8" s="1147"/>
      <c r="G8" s="1147"/>
      <c r="J8" s="307" t="s">
        <v>1375</v>
      </c>
      <c r="K8" s="309">
        <f>MAX($F$110:$DV$110)</f>
        <v>976604.00736571616</v>
      </c>
      <c r="L8" s="308" t="s">
        <v>1370</v>
      </c>
      <c r="M8" s="937"/>
      <c r="N8" s="937"/>
      <c r="O8" s="937"/>
      <c r="P8" s="937"/>
      <c r="Q8" s="937"/>
      <c r="R8" s="937"/>
    </row>
    <row r="9" spans="1:18" ht="15" customHeight="1" x14ac:dyDescent="0.35">
      <c r="A9" s="307" t="s">
        <v>1376</v>
      </c>
      <c r="B9" s="311">
        <f>Underwriting!$I$57*Underwriting!$C$61</f>
        <v>224428317.58074075</v>
      </c>
      <c r="C9" s="1146" t="s">
        <v>1377</v>
      </c>
      <c r="D9" s="1147"/>
      <c r="E9" s="1147"/>
      <c r="F9" s="1147"/>
      <c r="G9" s="1147"/>
      <c r="J9" s="307" t="s">
        <v>1378</v>
      </c>
      <c r="K9" s="309">
        <f>SUM($F$120:$DV$120)</f>
        <v>226508151.17314392</v>
      </c>
      <c r="L9" s="308" t="s">
        <v>1370</v>
      </c>
      <c r="M9" s="937"/>
      <c r="N9" s="937"/>
      <c r="O9" s="937"/>
      <c r="P9" s="937"/>
      <c r="Q9" s="937"/>
      <c r="R9" s="937"/>
    </row>
    <row r="10" spans="1:18" ht="15" customHeight="1" x14ac:dyDescent="0.35">
      <c r="A10" s="307" t="s">
        <v>1379</v>
      </c>
      <c r="B10" s="312">
        <f>Underwriting!$C$61</f>
        <v>0.5</v>
      </c>
      <c r="C10" s="1146" t="s">
        <v>1380</v>
      </c>
      <c r="D10" s="1147"/>
      <c r="E10" s="1147"/>
      <c r="F10" s="1147"/>
      <c r="G10" s="1147"/>
      <c r="J10" s="307" t="s">
        <v>1381</v>
      </c>
      <c r="K10" s="309">
        <f>SUM($F$82:$DV$82)</f>
        <v>0</v>
      </c>
      <c r="L10" s="308" t="s">
        <v>1370</v>
      </c>
      <c r="M10" s="937"/>
      <c r="N10" s="937"/>
      <c r="O10" s="937"/>
      <c r="P10" s="937"/>
      <c r="Q10" s="937"/>
      <c r="R10" s="937"/>
    </row>
    <row r="11" spans="1:18" ht="15" customHeight="1" x14ac:dyDescent="0.35">
      <c r="A11" s="307" t="s">
        <v>1382</v>
      </c>
      <c r="B11" s="313">
        <f>'DATA MAP'!$E$86</f>
        <v>0.65</v>
      </c>
      <c r="C11" s="1146" t="s">
        <v>1383</v>
      </c>
      <c r="D11" s="1147"/>
      <c r="E11" s="1147"/>
      <c r="F11" s="1147"/>
      <c r="G11" s="1147"/>
      <c r="J11" s="307" t="s">
        <v>1384</v>
      </c>
      <c r="K11" s="309">
        <f>SUM($F$84:$DV$84,$F$108:$DV$108,$F$123:$DV$123)</f>
        <v>55364897.985006653</v>
      </c>
      <c r="L11" s="308" t="s">
        <v>1370</v>
      </c>
      <c r="M11" s="937"/>
      <c r="N11" s="937"/>
      <c r="O11" s="937"/>
      <c r="P11" s="937"/>
      <c r="Q11" s="937"/>
      <c r="R11" s="937"/>
    </row>
    <row r="12" spans="1:18" ht="15" customHeight="1" x14ac:dyDescent="0.35">
      <c r="A12" s="307" t="s">
        <v>1385</v>
      </c>
      <c r="B12" s="740">
        <f>'DATA MAP'!$E$87</f>
        <v>0</v>
      </c>
      <c r="C12" s="1146" t="s">
        <v>1386</v>
      </c>
      <c r="D12" s="1147"/>
      <c r="E12" s="1147"/>
      <c r="F12" s="1147"/>
      <c r="G12" s="1147"/>
      <c r="J12" s="307" t="s">
        <v>1387</v>
      </c>
      <c r="K12" s="309">
        <f>SUM($F$86:$DV$88,$F$109:$DV$109,$F$119:$DV$119)</f>
        <v>2242654.9621103359</v>
      </c>
      <c r="L12" s="308" t="s">
        <v>1370</v>
      </c>
      <c r="M12" s="937"/>
      <c r="N12" s="937"/>
      <c r="O12" s="937"/>
      <c r="P12" s="937"/>
      <c r="Q12" s="937"/>
      <c r="R12" s="937"/>
    </row>
    <row r="13" spans="1:18" ht="15" customHeight="1" x14ac:dyDescent="0.35">
      <c r="A13" s="307" t="s">
        <v>1388</v>
      </c>
      <c r="B13" s="740">
        <f>MAX(0,'URWLD COMPANY INPUTS'!$F$766-B12)</f>
        <v>6.5000000000000002E-2</v>
      </c>
      <c r="C13" s="1146" t="s">
        <v>1389</v>
      </c>
      <c r="D13" s="1147"/>
      <c r="E13" s="1147"/>
      <c r="F13" s="1147"/>
      <c r="G13" s="1147"/>
      <c r="J13" s="307" t="s">
        <v>1390</v>
      </c>
      <c r="K13" s="312">
        <f>IF(SUMPRODUCT($F$65:$DV$65/365,($F$74:$DV$74+$F$92:$DV$92+$F$101:$DV$101+$F$110:$DV$110+$F$116:$DV$116+$F$128:$DV$128)/2)=0,0,SUM($F$82:$DV$82,$F$84:$DV$84,$F$108:$DV$108,$F$123:$DV$123)/SUMPRODUCT($F$65:$DV$65/365,($F$74:$DV$74+$F$92:$DV$92+$F$101:$DV$101+$F$110:$DV$110+$F$116:$DV$116+$F$128:$DV$128)/2))</f>
        <v>6.5041813868542284E-2</v>
      </c>
      <c r="L13" s="308" t="s">
        <v>83</v>
      </c>
      <c r="M13" s="937"/>
      <c r="N13" s="937"/>
      <c r="O13" s="937"/>
      <c r="P13" s="937"/>
      <c r="Q13" s="937"/>
      <c r="R13" s="937"/>
    </row>
    <row r="14" spans="1:18" ht="15" customHeight="1" x14ac:dyDescent="0.35">
      <c r="A14" s="307" t="s">
        <v>1391</v>
      </c>
      <c r="B14" s="313">
        <f>'DATA MAP'!$E$88</f>
        <v>0</v>
      </c>
      <c r="C14" s="1146" t="s">
        <v>1383</v>
      </c>
      <c r="D14" s="1147"/>
      <c r="E14" s="1147"/>
      <c r="F14" s="1147"/>
      <c r="G14" s="1147"/>
      <c r="J14" s="307" t="s">
        <v>994</v>
      </c>
      <c r="K14" s="312">
        <f>IF(SUM($F$77:$DV$77)=0,0,MAX($F$92:$DV$92)/SUM($F$77:$DV$77))</f>
        <v>0.48802719673069272</v>
      </c>
      <c r="L14" s="308" t="s">
        <v>83</v>
      </c>
      <c r="M14" s="937"/>
      <c r="N14" s="937"/>
      <c r="O14" s="937"/>
      <c r="P14" s="937"/>
      <c r="Q14" s="937"/>
      <c r="R14" s="937"/>
    </row>
    <row r="15" spans="1:18" ht="15" customHeight="1" x14ac:dyDescent="0.35">
      <c r="A15" s="307" t="s">
        <v>1392</v>
      </c>
      <c r="B15" s="311">
        <v>0</v>
      </c>
      <c r="C15" s="1146" t="s">
        <v>1393</v>
      </c>
      <c r="D15" s="1147"/>
      <c r="E15" s="1147"/>
      <c r="F15" s="1147"/>
      <c r="G15" s="1147"/>
      <c r="J15" s="307" t="s">
        <v>789</v>
      </c>
      <c r="K15" s="312">
        <f>MAX($F$134:$DV$134)</f>
        <v>0.33327321664151111</v>
      </c>
      <c r="L15" s="308" t="s">
        <v>83</v>
      </c>
      <c r="M15" s="937"/>
      <c r="N15" s="937"/>
      <c r="O15" s="937"/>
      <c r="P15" s="937"/>
      <c r="Q15" s="937"/>
      <c r="R15" s="937"/>
    </row>
    <row r="16" spans="1:18" ht="15" customHeight="1" x14ac:dyDescent="0.35">
      <c r="A16" s="307" t="s">
        <v>1394</v>
      </c>
      <c r="B16" s="313">
        <f>'DATA MAP'!$E$89</f>
        <v>0</v>
      </c>
      <c r="C16" s="1146" t="s">
        <v>1383</v>
      </c>
      <c r="D16" s="1147"/>
      <c r="E16" s="1147"/>
      <c r="F16" s="1147"/>
      <c r="G16" s="1147"/>
      <c r="J16" s="307" t="s">
        <v>1395</v>
      </c>
      <c r="K16" s="312">
        <f>IF($K$15=0,0,Underwriting!$H$190*INDEX($P$31:$P$33,MATCH($B$6,$J$31:$J$33,0))/($K$15*'VALUATION &amp; RETURNS'!$DA$8*1000000*INDEX($O$31:$O$33,MATCH($B$6,$J$31:$J$33,0))))</f>
        <v>0.2010608515036765</v>
      </c>
      <c r="L16" s="308" t="s">
        <v>83</v>
      </c>
      <c r="M16" s="937"/>
      <c r="N16" s="937"/>
      <c r="O16" s="937"/>
      <c r="P16" s="937"/>
      <c r="Q16" s="937"/>
      <c r="R16" s="937"/>
    </row>
    <row r="17" spans="1:18" ht="15" customHeight="1" x14ac:dyDescent="0.35">
      <c r="A17" s="307" t="s">
        <v>1396</v>
      </c>
      <c r="B17" s="317">
        <f>'DATA MAP'!$E$90</f>
        <v>365</v>
      </c>
      <c r="C17" s="1146" t="s">
        <v>1397</v>
      </c>
      <c r="D17" s="1147"/>
      <c r="E17" s="1147"/>
      <c r="F17" s="1147"/>
      <c r="G17" s="1147"/>
      <c r="J17" s="307" t="s">
        <v>1310</v>
      </c>
      <c r="K17" s="314">
        <f>IF(COUNTIF($F$131:$DV$131,"&gt;0")=0,0,SMALL($F$131:$DV$131,COUNTIF($F$131:$DV$131,"&lt;=0")+1))</f>
        <v>3.2003453740212628</v>
      </c>
      <c r="L17" s="308" t="s">
        <v>795</v>
      </c>
      <c r="M17" s="937"/>
      <c r="N17" s="937"/>
      <c r="O17" s="937"/>
      <c r="P17" s="937"/>
      <c r="Q17" s="937"/>
      <c r="R17" s="937"/>
    </row>
    <row r="18" spans="1:18" ht="15" customHeight="1" x14ac:dyDescent="0.35">
      <c r="A18" s="307" t="s">
        <v>1398</v>
      </c>
      <c r="B18" s="315">
        <f>EOMONTH(DATE(VALUE(RIGHT('URWLD COMPANY INPUTS'!$F$46,4)),VALUE(MID('URWLD COMPANY INPUTS'!$F$46,2,1))*3,1),0)</f>
        <v>47299</v>
      </c>
      <c r="C18" s="1146" t="s">
        <v>1399</v>
      </c>
      <c r="D18" s="1147"/>
      <c r="E18" s="1147"/>
      <c r="F18" s="1147"/>
      <c r="G18" s="1147"/>
      <c r="J18" s="307" t="s">
        <v>1312</v>
      </c>
      <c r="K18" s="314">
        <f>IF(COUNTIF($F$131:$DV$131,"&gt;0")=0,0,AVERAGEIF($F$131:$DV$131,"&gt;0"))</f>
        <v>7.7888869449547364</v>
      </c>
      <c r="L18" s="308" t="s">
        <v>795</v>
      </c>
      <c r="M18" s="937"/>
      <c r="N18" s="937"/>
      <c r="O18" s="937"/>
      <c r="P18" s="937"/>
      <c r="Q18" s="937"/>
      <c r="R18" s="937"/>
    </row>
    <row r="19" spans="1:18" ht="15" customHeight="1" x14ac:dyDescent="0.35">
      <c r="A19" s="307" t="s">
        <v>1400</v>
      </c>
      <c r="B19" s="574">
        <f>EOMONTH(B35,3)</f>
        <v>47787</v>
      </c>
      <c r="C19" s="1146" t="s">
        <v>1401</v>
      </c>
      <c r="D19" s="1147"/>
      <c r="E19" s="1147"/>
      <c r="F19" s="1147"/>
      <c r="G19" s="1147"/>
      <c r="J19" s="307" t="s">
        <v>1402</v>
      </c>
      <c r="K19" s="314">
        <f>IF(COUNTIF($F$132:$DV$132,"&gt;0")=0,0,SMALL($F$132:$DV$132,COUNTIF($F$132:$DV$132,"&lt;=0")+1))</f>
        <v>3.3368750989864364</v>
      </c>
      <c r="L19" s="308" t="s">
        <v>795</v>
      </c>
      <c r="M19" s="937"/>
      <c r="N19" s="937"/>
      <c r="O19" s="937"/>
      <c r="P19" s="937"/>
      <c r="Q19" s="937"/>
      <c r="R19" s="937"/>
    </row>
    <row r="20" spans="1:18" ht="15" customHeight="1" x14ac:dyDescent="0.35">
      <c r="A20" s="307" t="s">
        <v>1403</v>
      </c>
      <c r="B20" s="574">
        <f>MAX(EOMONTH(B18,6),B35)</f>
        <v>47695</v>
      </c>
      <c r="C20" s="1146" t="s">
        <v>1404</v>
      </c>
      <c r="D20" s="1147"/>
      <c r="E20" s="1147"/>
      <c r="F20" s="1147"/>
      <c r="G20" s="1147"/>
      <c r="J20" s="307" t="s">
        <v>1405</v>
      </c>
      <c r="K20" s="309">
        <f>MAX($F$130:$DV$130)</f>
        <v>0</v>
      </c>
      <c r="L20" s="308" t="s">
        <v>1370</v>
      </c>
      <c r="M20" s="937"/>
      <c r="N20" s="937"/>
      <c r="O20" s="937"/>
      <c r="P20" s="937"/>
      <c r="Q20" s="937"/>
      <c r="R20" s="937"/>
    </row>
    <row r="21" spans="1:18" ht="15" customHeight="1" x14ac:dyDescent="0.35">
      <c r="A21" s="307" t="s">
        <v>1406</v>
      </c>
      <c r="B21" s="880" t="str">
        <f>'DATA MAP'!$E$91</f>
        <v>Yes</v>
      </c>
      <c r="C21" s="1146" t="s">
        <v>1407</v>
      </c>
      <c r="D21" s="1147"/>
      <c r="E21" s="1147"/>
      <c r="F21" s="1147"/>
      <c r="G21" s="1147"/>
      <c r="J21" s="307" t="s">
        <v>1408</v>
      </c>
      <c r="K21" s="315">
        <f>IF(COUNTIF($F$92:$DV$92,"&gt;0")+COUNTIF($F$110:$DV$110,"&gt;0")+COUNTIF($F$128:$DV$128,"&gt;0")=0,"",LOOKUP(2,1/(($F$92:$DV$92+$F$110:$DV$110+$F$128:$DV$128)&gt;0),$F$64:$DV$64))</f>
        <v>48060</v>
      </c>
      <c r="L21" s="308" t="s">
        <v>787</v>
      </c>
      <c r="M21" s="937"/>
      <c r="N21" s="937"/>
      <c r="O21" s="937"/>
      <c r="P21" s="937"/>
      <c r="Q21" s="937"/>
      <c r="R21" s="937"/>
    </row>
    <row r="22" spans="1:18" ht="15" customHeight="1" x14ac:dyDescent="0.35">
      <c r="J22" s="307" t="s">
        <v>1409</v>
      </c>
      <c r="K22" s="315">
        <f>$B$52</f>
        <v>51348</v>
      </c>
      <c r="L22" s="308" t="s">
        <v>787</v>
      </c>
      <c r="M22" s="937"/>
      <c r="N22" s="937"/>
      <c r="O22" s="937"/>
      <c r="P22" s="937"/>
      <c r="Q22" s="937"/>
      <c r="R22" s="937"/>
    </row>
    <row r="23" spans="1:18" ht="21" customHeight="1" x14ac:dyDescent="0.35">
      <c r="A23" s="1148" t="s">
        <v>1410</v>
      </c>
      <c r="B23" s="937"/>
      <c r="C23" s="937"/>
      <c r="D23" s="937"/>
      <c r="E23" s="937"/>
      <c r="F23" s="937"/>
      <c r="G23" s="937"/>
      <c r="J23" s="307" t="s">
        <v>1411</v>
      </c>
      <c r="K23" s="309">
        <f>MAX($F$129:$DV$129)</f>
        <v>0</v>
      </c>
      <c r="L23" s="308" t="s">
        <v>1370</v>
      </c>
      <c r="M23" s="937"/>
      <c r="N23" s="937"/>
      <c r="O23" s="937"/>
      <c r="P23" s="937"/>
      <c r="Q23" s="937"/>
      <c r="R23" s="937"/>
    </row>
    <row r="24" spans="1:18" ht="15" customHeight="1" x14ac:dyDescent="0.35">
      <c r="A24" s="307" t="s">
        <v>1412</v>
      </c>
      <c r="B24" s="311">
        <f>MAX(Underwriting!$I$74,'DATA MAP'!$E$264*Underwriting!$I$130)</f>
        <v>976604.00736571616</v>
      </c>
      <c r="C24" s="1146" t="s">
        <v>1413</v>
      </c>
      <c r="D24" s="1147"/>
      <c r="E24" s="1147"/>
      <c r="F24" s="1147"/>
      <c r="G24" s="1147"/>
      <c r="J24" s="307" t="s">
        <v>1414</v>
      </c>
      <c r="K24" s="309">
        <f>SUM($F$117:$DV$119,$F$121:$DV$121)</f>
        <v>226508151.17314392</v>
      </c>
      <c r="L24" s="308" t="s">
        <v>1370</v>
      </c>
      <c r="M24" s="937"/>
      <c r="N24" s="937"/>
      <c r="O24" s="937"/>
      <c r="P24" s="937"/>
      <c r="Q24" s="937"/>
      <c r="R24" s="937"/>
    </row>
    <row r="25" spans="1:18" ht="15" customHeight="1" x14ac:dyDescent="0.35">
      <c r="A25" s="307" t="s">
        <v>1415</v>
      </c>
      <c r="B25" s="740">
        <f>'DATA MAP'!$E$92</f>
        <v>0</v>
      </c>
      <c r="C25" s="1146" t="s">
        <v>1386</v>
      </c>
      <c r="D25" s="1147"/>
      <c r="E25" s="1147"/>
      <c r="F25" s="1147"/>
      <c r="G25" s="1147"/>
      <c r="J25" s="307" t="s">
        <v>1416</v>
      </c>
      <c r="K25" s="309">
        <f>SUM($F$121:$DV$121)</f>
        <v>0</v>
      </c>
      <c r="L25" s="308" t="s">
        <v>1370</v>
      </c>
      <c r="M25" s="937"/>
      <c r="N25" s="937"/>
      <c r="O25" s="937"/>
      <c r="P25" s="937"/>
      <c r="Q25" s="937"/>
      <c r="R25" s="937"/>
    </row>
    <row r="26" spans="1:18" ht="15" customHeight="1" x14ac:dyDescent="0.35">
      <c r="A26" s="307" t="s">
        <v>1417</v>
      </c>
      <c r="B26" s="740">
        <f>MAX(0,'URWLD COMPANY INPUTS'!$F$766-B25)</f>
        <v>6.5000000000000002E-2</v>
      </c>
      <c r="C26" s="1146" t="s">
        <v>1389</v>
      </c>
      <c r="D26" s="1147"/>
      <c r="E26" s="1147"/>
      <c r="F26" s="1147"/>
      <c r="G26" s="1147"/>
      <c r="J26" s="307" t="s">
        <v>1418</v>
      </c>
      <c r="K26" s="309">
        <f>SUM($F$78:$DV$78,$F$121:$DV$121,$F$151:$DV$151)</f>
        <v>420272079.34983599</v>
      </c>
      <c r="L26" s="308" t="s">
        <v>1370</v>
      </c>
      <c r="M26" s="937"/>
      <c r="N26" s="937"/>
      <c r="O26" s="937"/>
      <c r="P26" s="937"/>
      <c r="Q26" s="937"/>
      <c r="R26" s="937"/>
    </row>
    <row r="27" spans="1:18" ht="15" customHeight="1" x14ac:dyDescent="0.35">
      <c r="A27" s="307" t="s">
        <v>1419</v>
      </c>
      <c r="B27" s="311">
        <f>'DATA MAP'!$E$93</f>
        <v>100000</v>
      </c>
      <c r="C27" s="1146" t="s">
        <v>1420</v>
      </c>
      <c r="D27" s="1147"/>
      <c r="E27" s="1147"/>
      <c r="F27" s="1147"/>
      <c r="G27" s="1147"/>
      <c r="J27" s="307" t="s">
        <v>1421</v>
      </c>
      <c r="K27" s="309">
        <f>IF(COUNTIF($F$93:$DV$93,"&gt;0")=0,0,SMALL($F$94:$DV$94,COUNTIF($F$93:$DV$93,"&lt;=0")+1))</f>
        <v>36441.973454236984</v>
      </c>
      <c r="L27" s="308" t="s">
        <v>1370</v>
      </c>
      <c r="M27" s="937"/>
      <c r="N27" s="937"/>
      <c r="O27" s="937"/>
      <c r="P27" s="937"/>
      <c r="Q27" s="937"/>
      <c r="R27" s="937"/>
    </row>
    <row r="28" spans="1:18" ht="15" customHeight="1" x14ac:dyDescent="0.35">
      <c r="A28" s="307" t="s">
        <v>1422</v>
      </c>
      <c r="B28" s="313">
        <f>'DATA MAP'!$E$94</f>
        <v>0</v>
      </c>
      <c r="C28" s="1146" t="s">
        <v>1420</v>
      </c>
      <c r="D28" s="1147"/>
      <c r="E28" s="1147"/>
      <c r="F28" s="1147"/>
      <c r="G28" s="1147"/>
    </row>
    <row r="29" spans="1:18" ht="21" customHeight="1" x14ac:dyDescent="0.35">
      <c r="A29" s="307" t="s">
        <v>1423</v>
      </c>
      <c r="B29" s="574">
        <f>EOMONTH($B$35,12)</f>
        <v>48060</v>
      </c>
      <c r="C29" s="1146" t="s">
        <v>1424</v>
      </c>
      <c r="D29" s="1147"/>
      <c r="E29" s="1147"/>
      <c r="F29" s="1147"/>
      <c r="G29" s="1147"/>
      <c r="J29" s="1148" t="s">
        <v>1425</v>
      </c>
      <c r="K29" s="937"/>
      <c r="L29" s="937"/>
      <c r="M29" s="937"/>
      <c r="N29" s="937"/>
      <c r="O29" s="937"/>
      <c r="P29" s="937"/>
      <c r="Q29" s="937"/>
      <c r="R29" s="937"/>
    </row>
    <row r="30" spans="1:18" ht="15" customHeight="1" x14ac:dyDescent="0.35">
      <c r="A30" s="307" t="s">
        <v>1426</v>
      </c>
      <c r="B30" s="323" t="s">
        <v>1427</v>
      </c>
      <c r="C30" s="1146" t="s">
        <v>1428</v>
      </c>
      <c r="D30" s="1147"/>
      <c r="E30" s="1147"/>
      <c r="F30" s="1147"/>
      <c r="G30" s="1147"/>
      <c r="J30" s="306" t="s">
        <v>805</v>
      </c>
      <c r="K30" s="306" t="s">
        <v>1429</v>
      </c>
      <c r="L30" s="306" t="s">
        <v>1430</v>
      </c>
      <c r="M30" s="306" t="s">
        <v>1431</v>
      </c>
      <c r="N30" s="306" t="s">
        <v>1432</v>
      </c>
      <c r="O30" s="306" t="s">
        <v>1433</v>
      </c>
      <c r="P30" s="306" t="s">
        <v>368</v>
      </c>
      <c r="Q30" s="306" t="s">
        <v>1434</v>
      </c>
      <c r="R30" s="306" t="s">
        <v>1435</v>
      </c>
    </row>
    <row r="31" spans="1:18" ht="15" customHeight="1" x14ac:dyDescent="0.35">
      <c r="J31" s="307" t="s">
        <v>826</v>
      </c>
      <c r="K31" s="313">
        <f>'URWLD COMPANY INPUTS'!$F$119-1</f>
        <v>0.10000000000000009</v>
      </c>
      <c r="L31" s="317">
        <v>6</v>
      </c>
      <c r="M31" s="313">
        <v>0.02</v>
      </c>
      <c r="N31" s="313">
        <v>0.8</v>
      </c>
      <c r="O31" s="313">
        <v>0.85</v>
      </c>
      <c r="P31" s="313">
        <v>0.85</v>
      </c>
      <c r="Q31" s="313">
        <v>0.8</v>
      </c>
      <c r="R31" s="313">
        <v>-0.05</v>
      </c>
    </row>
    <row r="32" spans="1:18" ht="21" customHeight="1" x14ac:dyDescent="0.35">
      <c r="A32" s="1148" t="s">
        <v>1436</v>
      </c>
      <c r="B32" s="937"/>
      <c r="C32" s="937"/>
      <c r="D32" s="937"/>
      <c r="E32" s="937"/>
      <c r="F32" s="937"/>
      <c r="G32" s="937"/>
      <c r="J32" s="307" t="s">
        <v>830</v>
      </c>
      <c r="K32" s="313">
        <f>'URWLD COMPANY INPUTS'!$F$118-1</f>
        <v>0</v>
      </c>
      <c r="L32" s="317">
        <v>0</v>
      </c>
      <c r="M32" s="313">
        <v>0</v>
      </c>
      <c r="N32" s="313">
        <v>1</v>
      </c>
      <c r="O32" s="313">
        <v>1</v>
      </c>
      <c r="P32" s="313">
        <v>1</v>
      </c>
      <c r="Q32" s="313">
        <v>1</v>
      </c>
      <c r="R32" s="313">
        <v>0</v>
      </c>
    </row>
    <row r="33" spans="1:18" ht="15" customHeight="1" x14ac:dyDescent="0.35">
      <c r="A33" s="307" t="s">
        <v>1437</v>
      </c>
      <c r="B33" s="880" t="str">
        <f>'DATA MAP'!$E$95</f>
        <v>Stabilisation</v>
      </c>
      <c r="C33" s="1146" t="s">
        <v>1438</v>
      </c>
      <c r="D33" s="1147"/>
      <c r="E33" s="1147"/>
      <c r="F33" s="1147"/>
      <c r="G33" s="1147"/>
      <c r="J33" s="307" t="s">
        <v>834</v>
      </c>
      <c r="K33" s="313">
        <f>'URWLD COMPANY INPUTS'!$F$120-1</f>
        <v>-5.0000000000000044E-2</v>
      </c>
      <c r="L33" s="317">
        <v>-2</v>
      </c>
      <c r="M33" s="313">
        <v>-5.0000000000000001E-3</v>
      </c>
      <c r="N33" s="313">
        <v>1.05</v>
      </c>
      <c r="O33" s="313">
        <v>1.1000000000000001</v>
      </c>
      <c r="P33" s="313">
        <v>1.05</v>
      </c>
      <c r="Q33" s="313">
        <v>1.05</v>
      </c>
      <c r="R33" s="313">
        <v>2.5000000000000001E-2</v>
      </c>
    </row>
    <row r="34" spans="1:18" ht="15" customHeight="1" x14ac:dyDescent="0.35">
      <c r="A34" s="307" t="s">
        <v>1439</v>
      </c>
      <c r="B34" s="66">
        <v>47149</v>
      </c>
      <c r="C34" s="1146" t="s">
        <v>1440</v>
      </c>
      <c r="D34" s="1147"/>
      <c r="E34" s="1147"/>
      <c r="F34" s="1147"/>
      <c r="G34" s="1147"/>
    </row>
    <row r="35" spans="1:18" ht="21" customHeight="1" x14ac:dyDescent="0.35">
      <c r="A35" s="307" t="s">
        <v>1441</v>
      </c>
      <c r="B35" s="315">
        <f>EOMONTH(EDATE(IF(B33="Practical Completion",B18,IF(B33="Stabilisation",EOMONTH(B18,13),B34)),INDEX(L31:L33,MATCH(B6,J31:J33,0))),0)</f>
        <v>47695</v>
      </c>
      <c r="C35" s="1146" t="s">
        <v>1442</v>
      </c>
      <c r="D35" s="1147"/>
      <c r="E35" s="1147"/>
      <c r="F35" s="1147"/>
      <c r="G35" s="1147"/>
      <c r="J35" s="1148" t="s">
        <v>1443</v>
      </c>
      <c r="K35" s="937"/>
      <c r="L35" s="937"/>
      <c r="M35" s="937"/>
      <c r="N35" s="937"/>
      <c r="O35" s="937"/>
      <c r="P35" s="937"/>
      <c r="Q35" s="937"/>
      <c r="R35" s="937"/>
    </row>
    <row r="36" spans="1:18" ht="15" customHeight="1" x14ac:dyDescent="0.35">
      <c r="A36" s="307" t="s">
        <v>1444</v>
      </c>
      <c r="B36" s="880" t="str">
        <f>'DATA MAP'!$E$96</f>
        <v>Yes</v>
      </c>
      <c r="C36" s="1146" t="s">
        <v>1407</v>
      </c>
      <c r="D36" s="1147"/>
      <c r="E36" s="1147"/>
      <c r="F36" s="1147"/>
      <c r="G36" s="1147"/>
      <c r="J36" s="306" t="s">
        <v>805</v>
      </c>
      <c r="K36" s="306" t="s">
        <v>992</v>
      </c>
      <c r="L36" s="306" t="s">
        <v>1445</v>
      </c>
      <c r="M36" s="306" t="s">
        <v>1169</v>
      </c>
      <c r="N36" s="306" t="s">
        <v>1446</v>
      </c>
      <c r="O36" s="306" t="s">
        <v>1310</v>
      </c>
      <c r="P36" s="306" t="s">
        <v>814</v>
      </c>
      <c r="Q36" s="306" t="s">
        <v>1447</v>
      </c>
      <c r="R36" s="306" t="s">
        <v>1448</v>
      </c>
    </row>
    <row r="37" spans="1:18" ht="15" customHeight="1" x14ac:dyDescent="0.35">
      <c r="A37" s="307" t="s">
        <v>1449</v>
      </c>
      <c r="B37" s="311">
        <f>INDEX($N$37:$N$39,MATCH($B$6,$J$37:$J$39,0))</f>
        <v>226695270.28357652</v>
      </c>
      <c r="C37" s="1146" t="s">
        <v>1450</v>
      </c>
      <c r="D37" s="1147"/>
      <c r="E37" s="1147"/>
      <c r="F37" s="1147"/>
      <c r="G37" s="1147"/>
      <c r="J37" s="307" t="str">
        <f>$J$31</f>
        <v>Downside</v>
      </c>
      <c r="K37" s="309">
        <f>MAX(0,MIN($B$9,Underwriting!$I$57*(1+$K$31)*MAX(0,$B$10+$R$31),'VALUATION &amp; RETURNS'!$CU$75*1000000*MAX(0,$B$11+$R$31)))</f>
        <v>222184034.40493336</v>
      </c>
      <c r="L37" s="309">
        <f>MIN(K37,K37/2*MAX(0,$B$12+$B$13+$M$31)*MAX(0,$B$12+$B$13+$L$31)/12)</f>
        <v>4772559.3473584699</v>
      </c>
      <c r="M37" s="309">
        <f>MAX(0,Underwriting!$I$57*(1+$K$31)-K37)</f>
        <v>271558264.27269638</v>
      </c>
      <c r="N37" s="309">
        <f>IF($B$48="",MIN(K37/(1-$B$47),'VALUATION &amp; RETURNS'!$CU$75*1000000*MAX(0,$B$38+$R$31)),MIN(K37/(1-$B$47),'VALUATION &amp; RETURNS'!$CU$75*1000000*MAX(0,$B$38+$R$31),MAX(0,(Underwriting!$I$190*$P$31*$N$31-Underwriting!$I$153)*(1-'URWLD COMPANY INPUTS'!$F$790))/$B$48/MAX(0.0001,$B$39+$B$40+$M$31+1/MAX(1,$B$42))))</f>
        <v>224428317.58074078</v>
      </c>
      <c r="O37" s="314">
        <f>IF(N37=0,0,MAX(0,(Underwriting!$I$190*$P$31*$N$31-Underwriting!$I$153)*(1-'URWLD COMPANY INPUTS'!$F$790))/(N37*MAX(0.0001,$B$39+$B$40+$M$31+1/MAX(1,$B$42))))</f>
        <v>0.87396353728305187</v>
      </c>
      <c r="P37" s="312">
        <f>IF('VALUATION &amp; RETURNS'!CU75*1000000=0,0,N37/('VALUATION &amp; RETURNS'!CU75*1000000))</f>
        <v>0.35485279984064483</v>
      </c>
      <c r="Q37" s="315">
        <f>$B$52</f>
        <v>51348</v>
      </c>
      <c r="R37" s="309">
        <f>MAX(0,K37+K37*$B$47-N37)</f>
        <v>0</v>
      </c>
    </row>
    <row r="38" spans="1:18" ht="15" customHeight="1" x14ac:dyDescent="0.35">
      <c r="A38" s="307" t="s">
        <v>1451</v>
      </c>
      <c r="B38" s="313">
        <f>'DATA MAP'!$E$97</f>
        <v>0.65</v>
      </c>
      <c r="C38" s="1146" t="s">
        <v>1420</v>
      </c>
      <c r="D38" s="1147"/>
      <c r="E38" s="1147"/>
      <c r="F38" s="1147"/>
      <c r="G38" s="1147"/>
      <c r="J38" s="307" t="str">
        <f>$J$32</f>
        <v>Base</v>
      </c>
      <c r="K38" s="309">
        <f>MAX(0,MIN($B$9,Underwriting!$I$57*(1+$K$32)*MAX(0,$B$10+$R$32),'VALUATION &amp; RETURNS'!$CU$76*1000000*MAX(0,$B$11+$R$32)))</f>
        <v>224428317.58074075</v>
      </c>
      <c r="L38" s="309">
        <f>MIN(K38,K38/2*MAX(0,$B$12+$B$13+$M$32)*MAX(0,$B$12+$B$13+$L$32)/12)</f>
        <v>39508.735074109572</v>
      </c>
      <c r="M38" s="309">
        <f>MAX(0,Underwriting!$I$57*(1+$K$32)-K38)</f>
        <v>224428317.58074075</v>
      </c>
      <c r="N38" s="309">
        <f>IF($B$48="",MIN(K38/(1-$B$47),'VALUATION &amp; RETURNS'!$CU$76*1000000*MAX(0,$B$38+$R$32)),MIN(K38/(1-$B$47),'VALUATION &amp; RETURNS'!$CU$76*1000000*MAX(0,$B$38+$R$32),MAX(0,(Underwriting!$I$190*$P$32*$N$32-Underwriting!$I$153)*(1-'URWLD COMPANY INPUTS'!$F$790))/$B$48/MAX(0.0001,$B$39+$B$40+$M$32+1/MAX(1,$B$42))))</f>
        <v>226695270.28357652</v>
      </c>
      <c r="O38" s="314">
        <f>IF(N38=0,0,MAX(0,(Underwriting!$I$190*$P$32*$N$32-Underwriting!$I$153)*(1-'URWLD COMPANY INPUTS'!$F$790))/(N38*MAX(0.0001,$B$39+$B$40+$M$32+1/MAX(1,$B$42))))</f>
        <v>1.5311788892229745</v>
      </c>
      <c r="P38" s="312">
        <f>IF('VALUATION &amp; RETURNS'!CU76*1000000=0,0,N38/('VALUATION &amp; RETURNS'!CU76*1000000))</f>
        <v>0.3335485347150815</v>
      </c>
      <c r="Q38" s="315">
        <f>$B$52</f>
        <v>51348</v>
      </c>
      <c r="R38" s="309">
        <f>MAX(0,K38+K38*$B$47-N38)</f>
        <v>0</v>
      </c>
    </row>
    <row r="39" spans="1:18" ht="15" customHeight="1" x14ac:dyDescent="0.35">
      <c r="A39" s="307" t="s">
        <v>1452</v>
      </c>
      <c r="B39" s="740">
        <f>'DATA MAP'!$E$87</f>
        <v>0</v>
      </c>
      <c r="C39" s="1146" t="s">
        <v>1386</v>
      </c>
      <c r="D39" s="1147"/>
      <c r="E39" s="1147"/>
      <c r="F39" s="1147"/>
      <c r="G39" s="1147"/>
      <c r="J39" s="307" t="str">
        <f>$J$33</f>
        <v>Upside</v>
      </c>
      <c r="K39" s="309">
        <f>MAX(0,MIN($B$9,Underwriting!$I$57*(1+$K$33)*MAX(0,$B$10+$R$33),'VALUATION &amp; RETURNS'!$CU$77*1000000*MAX(0,$B$11+$R$33)))</f>
        <v>223867246.78678888</v>
      </c>
      <c r="L39" s="309">
        <f>MIN(K39,K39/2*MAX(0,$B$12+$B$13+$M$33)*MAX(0,$B$12+$B$13+$L$33)/12)</f>
        <v>0</v>
      </c>
      <c r="M39" s="309">
        <f>MAX(0,Underwriting!$I$57*(1+$K$33)-K39)</f>
        <v>202546556.61661851</v>
      </c>
      <c r="N39" s="309">
        <f>IF($B$48="",MIN(K39/(1-$B$47),'VALUATION &amp; RETURNS'!$CU$77*1000000*MAX(0,$B$38+$R$33)),MIN(K39/(1-$B$47),'VALUATION &amp; RETURNS'!$CU$77*1000000*MAX(0,$B$38+$R$33),MAX(0,(Underwriting!$I$190*$P$33*$N$33-Underwriting!$I$153)*(1-'URWLD COMPANY INPUTS'!$F$790))/$B$48/MAX(0.0001,$B$39+$B$40+$M$33+1/MAX(1,$B$42))))</f>
        <v>226128532.10786757</v>
      </c>
      <c r="O39" s="314">
        <f>IF(N39=0,0,MAX(0,(Underwriting!$I$190*$P$33*$N$33-Underwriting!$I$153)*(1-'URWLD COMPANY INPUTS'!$F$790))/(N39*MAX(0.0001,$B$39+$B$40+$M$33+1/MAX(1,$B$42))))</f>
        <v>1.7830175223188582</v>
      </c>
      <c r="P39" s="312">
        <f>IF('VALUATION &amp; RETURNS'!CU77*1000000=0,0,N39/('VALUATION &amp; RETURNS'!CU77*1000000))</f>
        <v>0.30788824812927124</v>
      </c>
      <c r="Q39" s="315">
        <f>$B$52</f>
        <v>51348</v>
      </c>
      <c r="R39" s="309">
        <f>MAX(0,K39+K39*$B$47-N39)</f>
        <v>0</v>
      </c>
    </row>
    <row r="40" spans="1:18" ht="15" customHeight="1" x14ac:dyDescent="0.35">
      <c r="A40" s="307" t="s">
        <v>1453</v>
      </c>
      <c r="B40" s="740">
        <f>MAX(0,'URWLD COMPANY INPUTS'!$F$766-B39)</f>
        <v>6.5000000000000002E-2</v>
      </c>
      <c r="C40" s="1146" t="s">
        <v>1389</v>
      </c>
      <c r="D40" s="1147"/>
      <c r="E40" s="1147"/>
      <c r="F40" s="1147"/>
      <c r="G40" s="1147"/>
    </row>
    <row r="41" spans="1:18" ht="15" customHeight="1" x14ac:dyDescent="0.35">
      <c r="A41" s="307" t="s">
        <v>1454</v>
      </c>
      <c r="B41" s="317">
        <f>VALUE(LEFT('URWLD COMPANY INPUTS'!$F$771,FIND(" ",'URWLD COMPANY INPUTS'!$F$771)-1))</f>
        <v>10</v>
      </c>
      <c r="C41" s="1146" t="s">
        <v>1455</v>
      </c>
      <c r="D41" s="1147"/>
      <c r="E41" s="1147"/>
      <c r="F41" s="1147"/>
      <c r="G41" s="1147"/>
    </row>
    <row r="42" spans="1:18" ht="15" customHeight="1" x14ac:dyDescent="0.35">
      <c r="A42" s="307" t="s">
        <v>1456</v>
      </c>
      <c r="B42" s="317">
        <f>Underwriting!$G$81</f>
        <v>30</v>
      </c>
      <c r="C42" s="1146" t="s">
        <v>1457</v>
      </c>
      <c r="D42" s="1147"/>
      <c r="E42" s="1147"/>
      <c r="F42" s="1147"/>
      <c r="G42" s="1147"/>
    </row>
    <row r="43" spans="1:18" ht="15" customHeight="1" x14ac:dyDescent="0.35">
      <c r="A43" s="307" t="s">
        <v>1458</v>
      </c>
      <c r="B43" s="317">
        <f>'DATA MAP'!$E$99</f>
        <v>12</v>
      </c>
      <c r="C43" s="1146" t="s">
        <v>1459</v>
      </c>
      <c r="D43" s="1147"/>
      <c r="E43" s="1147"/>
      <c r="F43" s="1147"/>
      <c r="G43" s="1147"/>
    </row>
    <row r="44" spans="1:18" ht="15" customHeight="1" x14ac:dyDescent="0.35">
      <c r="A44" s="307" t="s">
        <v>1460</v>
      </c>
      <c r="B44" s="880" t="str">
        <f>'DATA MAP'!$E$100</f>
        <v>Interest-only followed by amortisation</v>
      </c>
      <c r="C44" s="1146" t="s">
        <v>1461</v>
      </c>
      <c r="D44" s="1147"/>
      <c r="E44" s="1147"/>
      <c r="F44" s="1147"/>
      <c r="G44" s="1147"/>
    </row>
    <row r="45" spans="1:18" ht="15" customHeight="1" x14ac:dyDescent="0.35">
      <c r="A45" s="307" t="s">
        <v>1462</v>
      </c>
      <c r="B45" s="313">
        <f>'DATA MAP'!$E$101</f>
        <v>0.5</v>
      </c>
      <c r="C45" s="1146" t="s">
        <v>1463</v>
      </c>
      <c r="D45" s="1147"/>
      <c r="E45" s="1147"/>
      <c r="F45" s="1147"/>
      <c r="G45" s="1147"/>
    </row>
    <row r="46" spans="1:18" ht="15" customHeight="1" x14ac:dyDescent="0.35">
      <c r="A46" s="307" t="s">
        <v>1464</v>
      </c>
      <c r="B46" s="313">
        <f>'DATA MAP'!$E$102</f>
        <v>0.5</v>
      </c>
      <c r="C46" s="1146" t="s">
        <v>1420</v>
      </c>
      <c r="D46" s="1147"/>
      <c r="E46" s="1147"/>
      <c r="F46" s="1147"/>
      <c r="G46" s="1147"/>
    </row>
    <row r="47" spans="1:18" ht="15" customHeight="1" x14ac:dyDescent="0.35">
      <c r="A47" s="307" t="s">
        <v>1465</v>
      </c>
      <c r="B47" s="313">
        <f>'DATA MAP'!$E$84</f>
        <v>0.01</v>
      </c>
      <c r="C47" s="1146" t="s">
        <v>1466</v>
      </c>
      <c r="D47" s="1147"/>
      <c r="E47" s="1147"/>
      <c r="F47" s="1147"/>
      <c r="G47" s="1147"/>
    </row>
    <row r="48" spans="1:18" ht="15" customHeight="1" x14ac:dyDescent="0.35">
      <c r="A48" s="307" t="s">
        <v>1467</v>
      </c>
      <c r="B48" s="846" t="str">
        <f>IF('URWLD COMPANY INPUTS'!$F$857="","",'URWLD COMPANY INPUTS'!$F$857)</f>
        <v/>
      </c>
      <c r="C48" s="1146" t="s">
        <v>1420</v>
      </c>
      <c r="D48" s="1147"/>
      <c r="E48" s="1147"/>
      <c r="F48" s="1147"/>
      <c r="G48" s="1147"/>
    </row>
    <row r="49" spans="1:126" ht="15" customHeight="1" x14ac:dyDescent="0.35">
      <c r="A49" s="307" t="s">
        <v>1402</v>
      </c>
      <c r="B49" s="846">
        <f>'DATA MAP'!$E$104</f>
        <v>1.5</v>
      </c>
      <c r="C49" s="1146" t="s">
        <v>1420</v>
      </c>
      <c r="D49" s="1147"/>
      <c r="E49" s="1147"/>
      <c r="F49" s="1147"/>
      <c r="G49" s="1147"/>
    </row>
    <row r="50" spans="1:126" ht="15" customHeight="1" x14ac:dyDescent="0.35">
      <c r="A50" s="307" t="s">
        <v>1468</v>
      </c>
      <c r="B50" s="313">
        <f>'DATA MAP'!$E$105</f>
        <v>0.08</v>
      </c>
      <c r="C50" s="1146" t="s">
        <v>1420</v>
      </c>
      <c r="D50" s="1147"/>
      <c r="E50" s="1147"/>
      <c r="F50" s="1147"/>
      <c r="G50" s="1147"/>
    </row>
    <row r="51" spans="1:126" ht="15" customHeight="1" x14ac:dyDescent="0.35">
      <c r="A51" s="307" t="s">
        <v>1469</v>
      </c>
      <c r="B51" s="317">
        <f>'DATA MAP'!$E$106</f>
        <v>0</v>
      </c>
      <c r="C51" s="1146" t="s">
        <v>1459</v>
      </c>
      <c r="D51" s="1147"/>
      <c r="E51" s="1147"/>
      <c r="F51" s="1147"/>
      <c r="G51" s="1147"/>
    </row>
    <row r="52" spans="1:126" ht="15" customHeight="1" x14ac:dyDescent="0.35">
      <c r="A52" s="307" t="s">
        <v>1409</v>
      </c>
      <c r="B52" s="315">
        <f>EOMONTH($B$35,$B$41*12)</f>
        <v>51348</v>
      </c>
      <c r="C52" s="1146" t="s">
        <v>1470</v>
      </c>
      <c r="D52" s="1147"/>
      <c r="E52" s="1147"/>
      <c r="F52" s="1147"/>
      <c r="G52" s="1147"/>
    </row>
    <row r="53" spans="1:126" ht="15" customHeight="1" x14ac:dyDescent="0.35">
      <c r="A53" s="307" t="s">
        <v>1471</v>
      </c>
      <c r="B53" s="323" t="s">
        <v>1472</v>
      </c>
      <c r="C53" s="1146" t="s">
        <v>1473</v>
      </c>
      <c r="D53" s="1147"/>
      <c r="E53" s="1147"/>
      <c r="F53" s="1147"/>
      <c r="G53" s="1147"/>
    </row>
    <row r="60" spans="1:126" ht="22" customHeight="1" x14ac:dyDescent="0.35">
      <c r="A60" s="1148" t="s">
        <v>1474</v>
      </c>
      <c r="B60" s="937"/>
      <c r="C60" s="937"/>
      <c r="D60" s="937"/>
      <c r="E60" s="937"/>
      <c r="F60" s="937"/>
      <c r="G60" s="937"/>
      <c r="H60" s="937"/>
      <c r="I60" s="937"/>
      <c r="J60" s="937"/>
      <c r="K60" s="937"/>
      <c r="L60" s="937"/>
      <c r="M60" s="937"/>
      <c r="N60" s="937"/>
      <c r="O60" s="937"/>
      <c r="P60" s="937"/>
      <c r="Q60" s="937"/>
      <c r="R60" s="937"/>
      <c r="S60" s="937"/>
      <c r="T60" s="937"/>
      <c r="U60" s="937"/>
      <c r="V60" s="937"/>
      <c r="W60" s="937"/>
      <c r="X60" s="937"/>
      <c r="Y60" s="937"/>
      <c r="Z60" s="937"/>
      <c r="AA60" s="937"/>
      <c r="AB60" s="937"/>
      <c r="AC60" s="937"/>
      <c r="AD60" s="937"/>
      <c r="AE60" s="937"/>
      <c r="AF60" s="937"/>
      <c r="AG60" s="937"/>
      <c r="AH60" s="937"/>
      <c r="AI60" s="937"/>
      <c r="AJ60" s="937"/>
      <c r="AK60" s="937"/>
      <c r="AL60" s="937"/>
      <c r="AM60" s="937"/>
      <c r="AN60" s="937"/>
      <c r="AO60" s="937"/>
      <c r="AP60" s="937"/>
      <c r="AQ60" s="937"/>
      <c r="AR60" s="937"/>
      <c r="AS60" s="937"/>
      <c r="AT60" s="937"/>
      <c r="AU60" s="937"/>
      <c r="AV60" s="937"/>
      <c r="AW60" s="937"/>
      <c r="AX60" s="937"/>
      <c r="AY60" s="937"/>
      <c r="AZ60" s="937"/>
      <c r="BA60" s="937"/>
      <c r="BB60" s="937"/>
      <c r="BC60" s="937"/>
      <c r="BD60" s="937"/>
      <c r="BE60" s="937"/>
      <c r="BF60" s="937"/>
      <c r="BG60" s="937"/>
      <c r="BH60" s="937"/>
      <c r="BI60" s="937"/>
      <c r="BJ60" s="937"/>
      <c r="BK60" s="937"/>
      <c r="BL60" s="937"/>
      <c r="BM60" s="937"/>
      <c r="BN60" s="937"/>
      <c r="BO60" s="937"/>
      <c r="BP60" s="937"/>
      <c r="BQ60" s="937"/>
      <c r="BR60" s="937"/>
      <c r="BS60" s="937"/>
      <c r="BT60" s="937"/>
      <c r="BU60" s="937"/>
      <c r="BV60" s="937"/>
      <c r="BW60" s="937"/>
      <c r="BX60" s="937"/>
      <c r="BY60" s="937"/>
      <c r="BZ60" s="937"/>
      <c r="CA60" s="937"/>
      <c r="CB60" s="937"/>
      <c r="CC60" s="937"/>
      <c r="CD60" s="937"/>
      <c r="CE60" s="937"/>
      <c r="CF60" s="937"/>
      <c r="CG60" s="937"/>
      <c r="CH60" s="937"/>
      <c r="CI60" s="937"/>
      <c r="CJ60" s="937"/>
      <c r="CK60" s="937"/>
      <c r="CL60" s="937"/>
      <c r="CM60" s="937"/>
      <c r="CN60" s="937"/>
      <c r="CO60" s="937"/>
      <c r="CP60" s="937"/>
      <c r="CQ60" s="937"/>
      <c r="CR60" s="937"/>
      <c r="CS60" s="937"/>
      <c r="CT60" s="937"/>
      <c r="CU60" s="937"/>
      <c r="CV60" s="937"/>
      <c r="CW60" s="937"/>
      <c r="CX60" s="937"/>
      <c r="CY60" s="937"/>
      <c r="CZ60" s="937"/>
      <c r="DA60" s="937"/>
      <c r="DB60" s="937"/>
      <c r="DC60" s="937"/>
      <c r="DD60" s="937"/>
      <c r="DE60" s="937"/>
      <c r="DF60" s="937"/>
      <c r="DG60" s="937"/>
      <c r="DH60" s="937"/>
      <c r="DI60" s="937"/>
      <c r="DJ60" s="937"/>
      <c r="DK60" s="937"/>
      <c r="DL60" s="937"/>
      <c r="DM60" s="937"/>
      <c r="DN60" s="937"/>
      <c r="DO60" s="937"/>
      <c r="DP60" s="937"/>
      <c r="DQ60" s="937"/>
      <c r="DR60" s="937"/>
      <c r="DS60" s="937"/>
      <c r="DT60" s="937"/>
      <c r="DU60" s="937"/>
      <c r="DV60" s="937"/>
    </row>
    <row r="61" spans="1:126" ht="15" customHeight="1" x14ac:dyDescent="0.35">
      <c r="A61" s="306" t="s">
        <v>1475</v>
      </c>
      <c r="B61" s="306" t="s">
        <v>1476</v>
      </c>
      <c r="C61" s="980" t="s">
        <v>1477</v>
      </c>
      <c r="D61" s="937"/>
    </row>
    <row r="62" spans="1:126" ht="21" customHeight="1" x14ac:dyDescent="0.35">
      <c r="A62" s="1148" t="s">
        <v>1478</v>
      </c>
      <c r="B62" s="937"/>
      <c r="C62" s="937"/>
      <c r="D62" s="937"/>
      <c r="E62" s="937"/>
      <c r="F62" s="937"/>
      <c r="G62" s="937"/>
      <c r="H62" s="937"/>
      <c r="I62" s="937"/>
      <c r="J62" s="937"/>
      <c r="K62" s="937"/>
      <c r="L62" s="937"/>
      <c r="M62" s="937"/>
      <c r="N62" s="937"/>
      <c r="O62" s="937"/>
      <c r="P62" s="937"/>
      <c r="Q62" s="937"/>
      <c r="R62" s="937"/>
      <c r="S62" s="937"/>
      <c r="T62" s="937"/>
      <c r="U62" s="937"/>
      <c r="V62" s="937"/>
      <c r="W62" s="937"/>
      <c r="X62" s="937"/>
      <c r="Y62" s="937"/>
      <c r="Z62" s="937"/>
      <c r="AA62" s="937"/>
      <c r="AB62" s="937"/>
      <c r="AC62" s="937"/>
      <c r="AD62" s="937"/>
      <c r="AE62" s="937"/>
      <c r="AF62" s="937"/>
      <c r="AG62" s="937"/>
      <c r="AH62" s="937"/>
      <c r="AI62" s="937"/>
      <c r="AJ62" s="937"/>
      <c r="AK62" s="937"/>
      <c r="AL62" s="937"/>
      <c r="AM62" s="937"/>
      <c r="AN62" s="937"/>
      <c r="AO62" s="937"/>
      <c r="AP62" s="937"/>
      <c r="AQ62" s="937"/>
      <c r="AR62" s="937"/>
      <c r="AS62" s="937"/>
      <c r="AT62" s="937"/>
      <c r="AU62" s="937"/>
      <c r="AV62" s="937"/>
      <c r="AW62" s="937"/>
      <c r="AX62" s="937"/>
      <c r="AY62" s="937"/>
      <c r="AZ62" s="937"/>
      <c r="BA62" s="937"/>
      <c r="BB62" s="937"/>
      <c r="BC62" s="937"/>
      <c r="BD62" s="937"/>
      <c r="BE62" s="937"/>
      <c r="BF62" s="937"/>
      <c r="BG62" s="937"/>
      <c r="BH62" s="937"/>
      <c r="BI62" s="937"/>
      <c r="BJ62" s="937"/>
      <c r="BK62" s="937"/>
      <c r="BL62" s="937"/>
      <c r="BM62" s="937"/>
      <c r="BN62" s="937"/>
      <c r="BO62" s="937"/>
      <c r="BP62" s="937"/>
      <c r="BQ62" s="937"/>
      <c r="BR62" s="937"/>
      <c r="BS62" s="937"/>
      <c r="BT62" s="937"/>
      <c r="BU62" s="937"/>
      <c r="BV62" s="937"/>
      <c r="BW62" s="937"/>
      <c r="BX62" s="937"/>
      <c r="BY62" s="937"/>
      <c r="BZ62" s="937"/>
      <c r="CA62" s="937"/>
      <c r="CB62" s="937"/>
      <c r="CC62" s="937"/>
      <c r="CD62" s="937"/>
      <c r="CE62" s="937"/>
      <c r="CF62" s="937"/>
      <c r="CG62" s="937"/>
      <c r="CH62" s="937"/>
      <c r="CI62" s="937"/>
      <c r="CJ62" s="937"/>
      <c r="CK62" s="937"/>
      <c r="CL62" s="937"/>
      <c r="CM62" s="937"/>
      <c r="CN62" s="937"/>
      <c r="CO62" s="937"/>
      <c r="CP62" s="937"/>
      <c r="CQ62" s="937"/>
      <c r="CR62" s="937"/>
      <c r="CS62" s="937"/>
      <c r="CT62" s="937"/>
      <c r="CU62" s="937"/>
      <c r="CV62" s="937"/>
      <c r="CW62" s="937"/>
      <c r="CX62" s="937"/>
      <c r="CY62" s="937"/>
      <c r="CZ62" s="937"/>
      <c r="DA62" s="937"/>
      <c r="DB62" s="937"/>
      <c r="DC62" s="937"/>
      <c r="DD62" s="937"/>
      <c r="DE62" s="937"/>
      <c r="DF62" s="937"/>
      <c r="DG62" s="937"/>
      <c r="DH62" s="937"/>
      <c r="DI62" s="937"/>
      <c r="DJ62" s="937"/>
      <c r="DK62" s="937"/>
      <c r="DL62" s="937"/>
      <c r="DM62" s="937"/>
      <c r="DN62" s="937"/>
      <c r="DO62" s="937"/>
      <c r="DP62" s="937"/>
      <c r="DQ62" s="937"/>
      <c r="DR62" s="937"/>
      <c r="DS62" s="937"/>
      <c r="DT62" s="937"/>
      <c r="DU62" s="937"/>
      <c r="DV62" s="937"/>
    </row>
    <row r="63" spans="1:126" ht="15" customHeight="1" x14ac:dyDescent="0.35">
      <c r="A63" s="307" t="s">
        <v>1479</v>
      </c>
      <c r="B63" s="308" t="s">
        <v>536</v>
      </c>
      <c r="C63" s="1146" t="s">
        <v>1480</v>
      </c>
      <c r="D63" s="1147"/>
      <c r="F63" s="316">
        <f>Underwriting!$L$23</f>
        <v>0</v>
      </c>
      <c r="G63" s="316">
        <f>Underwriting!$M$23</f>
        <v>1</v>
      </c>
      <c r="H63" s="316">
        <f>Underwriting!$N$23</f>
        <v>2</v>
      </c>
      <c r="I63" s="316">
        <f>Underwriting!$O$23</f>
        <v>3</v>
      </c>
      <c r="J63" s="316">
        <f>Underwriting!$P$23</f>
        <v>4</v>
      </c>
      <c r="K63" s="316">
        <f>Underwriting!$Q$23</f>
        <v>5</v>
      </c>
      <c r="L63" s="316">
        <f>Underwriting!$R$23</f>
        <v>6</v>
      </c>
      <c r="M63" s="316">
        <f>Underwriting!$S$23</f>
        <v>7</v>
      </c>
      <c r="N63" s="316">
        <f>Underwriting!$T$23</f>
        <v>8</v>
      </c>
      <c r="O63" s="316">
        <f>Underwriting!$U$23</f>
        <v>9</v>
      </c>
      <c r="P63" s="316">
        <f>Underwriting!$V$23</f>
        <v>10</v>
      </c>
      <c r="Q63" s="316">
        <f>Underwriting!$W$23</f>
        <v>11</v>
      </c>
      <c r="R63" s="316">
        <f>Underwriting!$X$23</f>
        <v>12</v>
      </c>
      <c r="S63" s="316">
        <f>Underwriting!$Y$23</f>
        <v>13</v>
      </c>
      <c r="T63" s="316">
        <f>Underwriting!$Z$23</f>
        <v>14</v>
      </c>
      <c r="U63" s="316">
        <f>Underwriting!$AA$23</f>
        <v>15</v>
      </c>
      <c r="V63" s="316">
        <f>Underwriting!$AB$23</f>
        <v>16</v>
      </c>
      <c r="W63" s="316">
        <f>Underwriting!$AC$23</f>
        <v>17</v>
      </c>
      <c r="X63" s="316">
        <f>Underwriting!$AD$23</f>
        <v>18</v>
      </c>
      <c r="Y63" s="316">
        <f>Underwriting!$AE$23</f>
        <v>19</v>
      </c>
      <c r="Z63" s="316">
        <f>Underwriting!$AF$23</f>
        <v>20</v>
      </c>
      <c r="AA63" s="316">
        <f>Underwriting!$AG$23</f>
        <v>21</v>
      </c>
      <c r="AB63" s="316">
        <f>Underwriting!$AH$23</f>
        <v>22</v>
      </c>
      <c r="AC63" s="316">
        <f>Underwriting!$AI$23</f>
        <v>23</v>
      </c>
      <c r="AD63" s="316">
        <f>Underwriting!$AJ$23</f>
        <v>24</v>
      </c>
      <c r="AE63" s="316">
        <f>Underwriting!$AK$23</f>
        <v>25</v>
      </c>
      <c r="AF63" s="316">
        <f>Underwriting!$AL$23</f>
        <v>26</v>
      </c>
      <c r="AG63" s="316">
        <f>Underwriting!$AM$23</f>
        <v>27</v>
      </c>
      <c r="AH63" s="316">
        <f>Underwriting!$AN$23</f>
        <v>28</v>
      </c>
      <c r="AI63" s="316">
        <f>Underwriting!$AO$23</f>
        <v>29</v>
      </c>
      <c r="AJ63" s="316">
        <f>Underwriting!$AP$23</f>
        <v>30</v>
      </c>
      <c r="AK63" s="316">
        <f>Underwriting!$AQ$23</f>
        <v>31</v>
      </c>
      <c r="AL63" s="316">
        <f>Underwriting!$AR$23</f>
        <v>32</v>
      </c>
      <c r="AM63" s="316">
        <f>Underwriting!$AS$23</f>
        <v>33</v>
      </c>
      <c r="AN63" s="316">
        <f>Underwriting!$AT$23</f>
        <v>34</v>
      </c>
      <c r="AO63" s="316">
        <f>Underwriting!$AU$23</f>
        <v>35</v>
      </c>
      <c r="AP63" s="316">
        <f>Underwriting!$AV$23</f>
        <v>36</v>
      </c>
      <c r="AQ63" s="316">
        <f>Underwriting!$AW$23</f>
        <v>37</v>
      </c>
      <c r="AR63" s="316">
        <f>Underwriting!$AX$23</f>
        <v>38</v>
      </c>
      <c r="AS63" s="316">
        <f>Underwriting!$AY$23</f>
        <v>39</v>
      </c>
      <c r="AT63" s="316">
        <f>Underwriting!$AZ$23</f>
        <v>40</v>
      </c>
      <c r="AU63" s="316">
        <f>Underwriting!$BA$23</f>
        <v>41</v>
      </c>
      <c r="AV63" s="316">
        <f>Underwriting!$BB$23</f>
        <v>42</v>
      </c>
      <c r="AW63" s="316">
        <f>Underwriting!$BC$23</f>
        <v>43</v>
      </c>
      <c r="AX63" s="316">
        <f>Underwriting!$BD$23</f>
        <v>44</v>
      </c>
      <c r="AY63" s="316">
        <f>Underwriting!$BE$23</f>
        <v>45</v>
      </c>
      <c r="AZ63" s="316">
        <f>Underwriting!$BF$23</f>
        <v>46</v>
      </c>
      <c r="BA63" s="316">
        <f>Underwriting!$BG$23</f>
        <v>47</v>
      </c>
      <c r="BB63" s="316">
        <f>Underwriting!$BH$23</f>
        <v>48</v>
      </c>
      <c r="BC63" s="316">
        <f>Underwriting!$BI$23</f>
        <v>49</v>
      </c>
      <c r="BD63" s="316">
        <f>Underwriting!$BJ$23</f>
        <v>50</v>
      </c>
      <c r="BE63" s="316">
        <f>Underwriting!$BK$23</f>
        <v>51</v>
      </c>
      <c r="BF63" s="316">
        <f>Underwriting!$BL$23</f>
        <v>52</v>
      </c>
      <c r="BG63" s="316">
        <f>Underwriting!$BM$23</f>
        <v>53</v>
      </c>
      <c r="BH63" s="316">
        <f>Underwriting!$BN$23</f>
        <v>54</v>
      </c>
      <c r="BI63" s="316">
        <f>Underwriting!$BO$23</f>
        <v>55</v>
      </c>
      <c r="BJ63" s="316">
        <f>Underwriting!$BP$23</f>
        <v>56</v>
      </c>
      <c r="BK63" s="316">
        <f>Underwriting!$BQ$23</f>
        <v>57</v>
      </c>
      <c r="BL63" s="316">
        <f>Underwriting!$BR$23</f>
        <v>58</v>
      </c>
      <c r="BM63" s="316">
        <f>Underwriting!$BS$23</f>
        <v>59</v>
      </c>
      <c r="BN63" s="316">
        <f>Underwriting!$BT$23</f>
        <v>60</v>
      </c>
      <c r="BO63" s="316">
        <f>Underwriting!$BU$23</f>
        <v>61</v>
      </c>
      <c r="BP63" s="316">
        <f>Underwriting!$BV$23</f>
        <v>62</v>
      </c>
      <c r="BQ63" s="316">
        <f>Underwriting!$BW$23</f>
        <v>63</v>
      </c>
      <c r="BR63" s="316">
        <f>Underwriting!$BX$23</f>
        <v>64</v>
      </c>
      <c r="BS63" s="316">
        <f>Underwriting!$BY$23</f>
        <v>65</v>
      </c>
      <c r="BT63" s="316">
        <f>Underwriting!$BZ$23</f>
        <v>66</v>
      </c>
      <c r="BU63" s="316">
        <f>Underwriting!$CA$23</f>
        <v>67</v>
      </c>
      <c r="BV63" s="316">
        <f>Underwriting!$CB$23</f>
        <v>68</v>
      </c>
      <c r="BW63" s="316">
        <f>Underwriting!$CC$23</f>
        <v>69</v>
      </c>
      <c r="BX63" s="316">
        <f>Underwriting!$CD$23</f>
        <v>70</v>
      </c>
      <c r="BY63" s="316">
        <f>Underwriting!$CE$23</f>
        <v>71</v>
      </c>
      <c r="BZ63" s="316">
        <f>Underwriting!$CF$23</f>
        <v>72</v>
      </c>
      <c r="CA63" s="316">
        <f>Underwriting!$CG$23</f>
        <v>73</v>
      </c>
      <c r="CB63" s="316">
        <f>Underwriting!$CH$23</f>
        <v>74</v>
      </c>
      <c r="CC63" s="316">
        <f>Underwriting!$CI$23</f>
        <v>75</v>
      </c>
      <c r="CD63" s="316">
        <f>Underwriting!$CJ$23</f>
        <v>76</v>
      </c>
      <c r="CE63" s="316">
        <f>Underwriting!$CK$23</f>
        <v>77</v>
      </c>
      <c r="CF63" s="316">
        <f>Underwriting!$CL$23</f>
        <v>78</v>
      </c>
      <c r="CG63" s="316">
        <f>Underwriting!$CM$23</f>
        <v>79</v>
      </c>
      <c r="CH63" s="316">
        <f>Underwriting!$CN$23</f>
        <v>80</v>
      </c>
      <c r="CI63" s="316">
        <f>Underwriting!$CO$23</f>
        <v>81</v>
      </c>
      <c r="CJ63" s="316">
        <f>Underwriting!$CP$23</f>
        <v>82</v>
      </c>
      <c r="CK63" s="316">
        <f>Underwriting!$CQ$23</f>
        <v>83</v>
      </c>
      <c r="CL63" s="316">
        <f>Underwriting!$CR$23</f>
        <v>84</v>
      </c>
      <c r="CM63" s="316">
        <f>Underwriting!$CS$23</f>
        <v>85</v>
      </c>
      <c r="CN63" s="316">
        <f>Underwriting!$CT$23</f>
        <v>86</v>
      </c>
      <c r="CO63" s="316">
        <f>Underwriting!$CU$23</f>
        <v>87</v>
      </c>
      <c r="CP63" s="316">
        <f>Underwriting!$CV$23</f>
        <v>88</v>
      </c>
      <c r="CQ63" s="316">
        <f>Underwriting!$CW$23</f>
        <v>89</v>
      </c>
      <c r="CR63" s="316">
        <f>Underwriting!$CX$23</f>
        <v>90</v>
      </c>
      <c r="CS63" s="316">
        <f>Underwriting!$CY$23</f>
        <v>91</v>
      </c>
      <c r="CT63" s="316">
        <f>Underwriting!$CZ$23</f>
        <v>92</v>
      </c>
      <c r="CU63" s="316">
        <f>Underwriting!$DA$23</f>
        <v>93</v>
      </c>
      <c r="CV63" s="316">
        <f>Underwriting!$DB$23</f>
        <v>94</v>
      </c>
      <c r="CW63" s="316">
        <f>Underwriting!$DC$23</f>
        <v>95</v>
      </c>
      <c r="CX63" s="316">
        <f>Underwriting!$DD$23</f>
        <v>96</v>
      </c>
      <c r="CY63" s="316">
        <f>Underwriting!$DE$23</f>
        <v>97</v>
      </c>
      <c r="CZ63" s="316">
        <f>Underwriting!$DF$23</f>
        <v>98</v>
      </c>
      <c r="DA63" s="316">
        <f>Underwriting!$DG$23</f>
        <v>99</v>
      </c>
      <c r="DB63" s="316">
        <f>Underwriting!$DH$23</f>
        <v>100</v>
      </c>
      <c r="DC63" s="316">
        <f>Underwriting!$DI$23</f>
        <v>101</v>
      </c>
      <c r="DD63" s="316">
        <f>Underwriting!$DJ$23</f>
        <v>102</v>
      </c>
      <c r="DE63" s="316">
        <f>Underwriting!$DK$23</f>
        <v>103</v>
      </c>
      <c r="DF63" s="316">
        <f>Underwriting!$DL$23</f>
        <v>104</v>
      </c>
      <c r="DG63" s="316">
        <f>Underwriting!$DM$23</f>
        <v>105</v>
      </c>
      <c r="DH63" s="316">
        <f>Underwriting!$DN$23</f>
        <v>106</v>
      </c>
      <c r="DI63" s="316">
        <f>Underwriting!$DO$23</f>
        <v>107</v>
      </c>
      <c r="DJ63" s="316">
        <f>Underwriting!$DP$23</f>
        <v>108</v>
      </c>
      <c r="DK63" s="316">
        <f>Underwriting!$DQ$23</f>
        <v>109</v>
      </c>
      <c r="DL63" s="316">
        <f>Underwriting!$DR$23</f>
        <v>110</v>
      </c>
      <c r="DM63" s="316">
        <f>Underwriting!$DS$23</f>
        <v>111</v>
      </c>
      <c r="DN63" s="316">
        <f>Underwriting!$DT$23</f>
        <v>112</v>
      </c>
      <c r="DO63" s="316">
        <f>Underwriting!$DU$23</f>
        <v>113</v>
      </c>
      <c r="DP63" s="316">
        <f>Underwriting!$DV$23</f>
        <v>114</v>
      </c>
      <c r="DQ63" s="316">
        <f>Underwriting!$DW$23</f>
        <v>115</v>
      </c>
      <c r="DR63" s="316">
        <f>Underwriting!$DX$23</f>
        <v>116</v>
      </c>
      <c r="DS63" s="316">
        <f>Underwriting!$DY$23</f>
        <v>117</v>
      </c>
      <c r="DT63" s="316">
        <f>Underwriting!$DZ$23</f>
        <v>118</v>
      </c>
      <c r="DU63" s="316">
        <f>Underwriting!$EA$23</f>
        <v>119</v>
      </c>
      <c r="DV63" s="316">
        <f>Underwriting!$EB$23</f>
        <v>120</v>
      </c>
    </row>
    <row r="64" spans="1:126" ht="15" customHeight="1" x14ac:dyDescent="0.35">
      <c r="A64" s="307" t="s">
        <v>1173</v>
      </c>
      <c r="B64" s="308" t="s">
        <v>787</v>
      </c>
      <c r="C64" s="1146" t="s">
        <v>1481</v>
      </c>
      <c r="D64" s="1147"/>
      <c r="E64" s="309">
        <v>0</v>
      </c>
      <c r="F64" s="315">
        <f>Underwriting!$L$24</f>
        <v>46203</v>
      </c>
      <c r="G64" s="315">
        <f>Underwriting!$M$24</f>
        <v>46234</v>
      </c>
      <c r="H64" s="315">
        <f>Underwriting!$N$24</f>
        <v>46265</v>
      </c>
      <c r="I64" s="315">
        <f>Underwriting!$O$24</f>
        <v>46295</v>
      </c>
      <c r="J64" s="315">
        <f>Underwriting!$P$24</f>
        <v>46326</v>
      </c>
      <c r="K64" s="315">
        <f>Underwriting!$Q$24</f>
        <v>46356</v>
      </c>
      <c r="L64" s="315">
        <f>Underwriting!$R$24</f>
        <v>46387</v>
      </c>
      <c r="M64" s="315">
        <f>Underwriting!$S$24</f>
        <v>46418</v>
      </c>
      <c r="N64" s="315">
        <f>Underwriting!$T$24</f>
        <v>46446</v>
      </c>
      <c r="O64" s="315">
        <f>Underwriting!$U$24</f>
        <v>46477</v>
      </c>
      <c r="P64" s="315">
        <f>Underwriting!$V$24</f>
        <v>46507</v>
      </c>
      <c r="Q64" s="315">
        <f>Underwriting!$W$24</f>
        <v>46538</v>
      </c>
      <c r="R64" s="315">
        <f>Underwriting!$X$24</f>
        <v>46568</v>
      </c>
      <c r="S64" s="315">
        <f>Underwriting!$Y$24</f>
        <v>46599</v>
      </c>
      <c r="T64" s="315">
        <f>Underwriting!$Z$24</f>
        <v>46630</v>
      </c>
      <c r="U64" s="315">
        <f>Underwriting!$AA$24</f>
        <v>46660</v>
      </c>
      <c r="V64" s="315">
        <f>Underwriting!$AB$24</f>
        <v>46691</v>
      </c>
      <c r="W64" s="315">
        <f>Underwriting!$AC$24</f>
        <v>46721</v>
      </c>
      <c r="X64" s="315">
        <f>Underwriting!$AD$24</f>
        <v>46752</v>
      </c>
      <c r="Y64" s="315">
        <f>Underwriting!$AE$24</f>
        <v>46783</v>
      </c>
      <c r="Z64" s="315">
        <f>Underwriting!$AF$24</f>
        <v>46812</v>
      </c>
      <c r="AA64" s="315">
        <f>Underwriting!$AG$24</f>
        <v>46843</v>
      </c>
      <c r="AB64" s="315">
        <f>Underwriting!$AH$24</f>
        <v>46873</v>
      </c>
      <c r="AC64" s="315">
        <f>Underwriting!$AI$24</f>
        <v>46904</v>
      </c>
      <c r="AD64" s="315">
        <f>Underwriting!$AJ$24</f>
        <v>46934</v>
      </c>
      <c r="AE64" s="315">
        <f>Underwriting!$AK$24</f>
        <v>46965</v>
      </c>
      <c r="AF64" s="315">
        <f>Underwriting!$AL$24</f>
        <v>46996</v>
      </c>
      <c r="AG64" s="315">
        <f>Underwriting!$AM$24</f>
        <v>47026</v>
      </c>
      <c r="AH64" s="315">
        <f>Underwriting!$AN$24</f>
        <v>47057</v>
      </c>
      <c r="AI64" s="315">
        <f>Underwriting!$AO$24</f>
        <v>47087</v>
      </c>
      <c r="AJ64" s="315">
        <f>Underwriting!$AP$24</f>
        <v>47118</v>
      </c>
      <c r="AK64" s="315">
        <f>Underwriting!$AQ$24</f>
        <v>47149</v>
      </c>
      <c r="AL64" s="315">
        <f>Underwriting!$AR$24</f>
        <v>47177</v>
      </c>
      <c r="AM64" s="315">
        <f>Underwriting!$AS$24</f>
        <v>47208</v>
      </c>
      <c r="AN64" s="315">
        <f>Underwriting!$AT$24</f>
        <v>47238</v>
      </c>
      <c r="AO64" s="315">
        <f>Underwriting!$AU$24</f>
        <v>47269</v>
      </c>
      <c r="AP64" s="315">
        <f>Underwriting!$AV$24</f>
        <v>47299</v>
      </c>
      <c r="AQ64" s="315">
        <f>Underwriting!$AW$24</f>
        <v>47330</v>
      </c>
      <c r="AR64" s="315">
        <f>Underwriting!$AX$24</f>
        <v>47361</v>
      </c>
      <c r="AS64" s="315">
        <f>Underwriting!$AY$24</f>
        <v>47391</v>
      </c>
      <c r="AT64" s="315">
        <f>Underwriting!$AZ$24</f>
        <v>47422</v>
      </c>
      <c r="AU64" s="315">
        <f>Underwriting!$BA$24</f>
        <v>47452</v>
      </c>
      <c r="AV64" s="315">
        <f>Underwriting!$BB$24</f>
        <v>47483</v>
      </c>
      <c r="AW64" s="315">
        <f>Underwriting!$BC$24</f>
        <v>47514</v>
      </c>
      <c r="AX64" s="315">
        <f>Underwriting!$BD$24</f>
        <v>47542</v>
      </c>
      <c r="AY64" s="315">
        <f>Underwriting!$BE$24</f>
        <v>47573</v>
      </c>
      <c r="AZ64" s="315">
        <f>Underwriting!$BF$24</f>
        <v>47603</v>
      </c>
      <c r="BA64" s="315">
        <f>Underwriting!$BG$24</f>
        <v>47634</v>
      </c>
      <c r="BB64" s="315">
        <f>Underwriting!$BH$24</f>
        <v>47664</v>
      </c>
      <c r="BC64" s="315">
        <f>Underwriting!$BI$24</f>
        <v>47695</v>
      </c>
      <c r="BD64" s="315">
        <f>Underwriting!$BJ$24</f>
        <v>47726</v>
      </c>
      <c r="BE64" s="315">
        <f>Underwriting!$BK$24</f>
        <v>47756</v>
      </c>
      <c r="BF64" s="315">
        <f>Underwriting!$BL$24</f>
        <v>47787</v>
      </c>
      <c r="BG64" s="315">
        <f>Underwriting!$BM$24</f>
        <v>47817</v>
      </c>
      <c r="BH64" s="315">
        <f>Underwriting!$BN$24</f>
        <v>47848</v>
      </c>
      <c r="BI64" s="315">
        <f>Underwriting!$BO$24</f>
        <v>47879</v>
      </c>
      <c r="BJ64" s="315">
        <f>Underwriting!$BP$24</f>
        <v>47907</v>
      </c>
      <c r="BK64" s="315">
        <f>Underwriting!$BQ$24</f>
        <v>47938</v>
      </c>
      <c r="BL64" s="315">
        <f>Underwriting!$BR$24</f>
        <v>47968</v>
      </c>
      <c r="BM64" s="315">
        <f>Underwriting!$BS$24</f>
        <v>47999</v>
      </c>
      <c r="BN64" s="315">
        <f>Underwriting!$BT$24</f>
        <v>48029</v>
      </c>
      <c r="BO64" s="315">
        <f>Underwriting!$BU$24</f>
        <v>48060</v>
      </c>
      <c r="BP64" s="315">
        <f>Underwriting!$BV$24</f>
        <v>48091</v>
      </c>
      <c r="BQ64" s="315">
        <f>Underwriting!$BW$24</f>
        <v>48121</v>
      </c>
      <c r="BR64" s="315">
        <f>Underwriting!$BX$24</f>
        <v>48152</v>
      </c>
      <c r="BS64" s="315">
        <f>Underwriting!$BY$24</f>
        <v>48182</v>
      </c>
      <c r="BT64" s="315">
        <f>Underwriting!$BZ$24</f>
        <v>48213</v>
      </c>
      <c r="BU64" s="315">
        <f>Underwriting!$CA$24</f>
        <v>48244</v>
      </c>
      <c r="BV64" s="315">
        <f>Underwriting!$CB$24</f>
        <v>48273</v>
      </c>
      <c r="BW64" s="315">
        <f>Underwriting!$CC$24</f>
        <v>48304</v>
      </c>
      <c r="BX64" s="315">
        <f>Underwriting!$CD$24</f>
        <v>48334</v>
      </c>
      <c r="BY64" s="315">
        <f>Underwriting!$CE$24</f>
        <v>48365</v>
      </c>
      <c r="BZ64" s="315">
        <f>Underwriting!$CF$24</f>
        <v>48395</v>
      </c>
      <c r="CA64" s="315">
        <f>Underwriting!$CG$24</f>
        <v>48426</v>
      </c>
      <c r="CB64" s="315">
        <f>Underwriting!$CH$24</f>
        <v>48457</v>
      </c>
      <c r="CC64" s="315">
        <f>Underwriting!$CI$24</f>
        <v>48487</v>
      </c>
      <c r="CD64" s="315">
        <f>Underwriting!$CJ$24</f>
        <v>48518</v>
      </c>
      <c r="CE64" s="315">
        <f>Underwriting!$CK$24</f>
        <v>48548</v>
      </c>
      <c r="CF64" s="315">
        <f>Underwriting!$CL$24</f>
        <v>48579</v>
      </c>
      <c r="CG64" s="315">
        <f>Underwriting!$CM$24</f>
        <v>48610</v>
      </c>
      <c r="CH64" s="315">
        <f>Underwriting!$CN$24</f>
        <v>48638</v>
      </c>
      <c r="CI64" s="315">
        <f>Underwriting!$CO$24</f>
        <v>48669</v>
      </c>
      <c r="CJ64" s="315">
        <f>Underwriting!$CP$24</f>
        <v>48699</v>
      </c>
      <c r="CK64" s="315">
        <f>Underwriting!$CQ$24</f>
        <v>48730</v>
      </c>
      <c r="CL64" s="315">
        <f>Underwriting!$CR$24</f>
        <v>48760</v>
      </c>
      <c r="CM64" s="315">
        <f>Underwriting!$CS$24</f>
        <v>48791</v>
      </c>
      <c r="CN64" s="315">
        <f>Underwriting!$CT$24</f>
        <v>48822</v>
      </c>
      <c r="CO64" s="315">
        <f>Underwriting!$CU$24</f>
        <v>48852</v>
      </c>
      <c r="CP64" s="315">
        <f>Underwriting!$CV$24</f>
        <v>48883</v>
      </c>
      <c r="CQ64" s="315">
        <f>Underwriting!$CW$24</f>
        <v>48913</v>
      </c>
      <c r="CR64" s="315">
        <f>Underwriting!$CX$24</f>
        <v>48944</v>
      </c>
      <c r="CS64" s="315">
        <f>Underwriting!$CY$24</f>
        <v>48975</v>
      </c>
      <c r="CT64" s="315">
        <f>Underwriting!$CZ$24</f>
        <v>49003</v>
      </c>
      <c r="CU64" s="315">
        <f>Underwriting!$DA$24</f>
        <v>49034</v>
      </c>
      <c r="CV64" s="315">
        <f>Underwriting!$DB$24</f>
        <v>49064</v>
      </c>
      <c r="CW64" s="315">
        <f>Underwriting!$DC$24</f>
        <v>49095</v>
      </c>
      <c r="CX64" s="315">
        <f>Underwriting!$DD$24</f>
        <v>49125</v>
      </c>
      <c r="CY64" s="315">
        <f>Underwriting!$DE$24</f>
        <v>49156</v>
      </c>
      <c r="CZ64" s="315">
        <f>Underwriting!$DF$24</f>
        <v>49187</v>
      </c>
      <c r="DA64" s="315">
        <f>Underwriting!$DG$24</f>
        <v>49217</v>
      </c>
      <c r="DB64" s="315">
        <f>Underwriting!$DH$24</f>
        <v>49248</v>
      </c>
      <c r="DC64" s="315">
        <f>Underwriting!$DI$24</f>
        <v>49278</v>
      </c>
      <c r="DD64" s="315">
        <f>Underwriting!$DJ$24</f>
        <v>49309</v>
      </c>
      <c r="DE64" s="315">
        <f>Underwriting!$DK$24</f>
        <v>49340</v>
      </c>
      <c r="DF64" s="315">
        <f>Underwriting!$DL$24</f>
        <v>49368</v>
      </c>
      <c r="DG64" s="315">
        <f>Underwriting!$DM$24</f>
        <v>49399</v>
      </c>
      <c r="DH64" s="315">
        <f>Underwriting!$DN$24</f>
        <v>49429</v>
      </c>
      <c r="DI64" s="315">
        <f>Underwriting!$DO$24</f>
        <v>49460</v>
      </c>
      <c r="DJ64" s="315">
        <f>Underwriting!$DP$24</f>
        <v>49490</v>
      </c>
      <c r="DK64" s="315">
        <f>Underwriting!$DQ$24</f>
        <v>49521</v>
      </c>
      <c r="DL64" s="315">
        <f>Underwriting!$DR$24</f>
        <v>49552</v>
      </c>
      <c r="DM64" s="315">
        <f>Underwriting!$DS$24</f>
        <v>49582</v>
      </c>
      <c r="DN64" s="315">
        <f>Underwriting!$DT$24</f>
        <v>49613</v>
      </c>
      <c r="DO64" s="315">
        <f>Underwriting!$DU$24</f>
        <v>49643</v>
      </c>
      <c r="DP64" s="315">
        <f>Underwriting!$DV$24</f>
        <v>49674</v>
      </c>
      <c r="DQ64" s="315">
        <f>Underwriting!$DW$24</f>
        <v>49705</v>
      </c>
      <c r="DR64" s="315">
        <f>Underwriting!$DX$24</f>
        <v>49734</v>
      </c>
      <c r="DS64" s="315">
        <f>Underwriting!$DY$24</f>
        <v>49765</v>
      </c>
      <c r="DT64" s="315">
        <f>Underwriting!$DZ$24</f>
        <v>49795</v>
      </c>
      <c r="DU64" s="315">
        <f>Underwriting!$EA$24</f>
        <v>49826</v>
      </c>
      <c r="DV64" s="315">
        <f>Underwriting!$EB$24</f>
        <v>49856</v>
      </c>
    </row>
    <row r="65" spans="1:126" ht="15" customHeight="1" x14ac:dyDescent="0.35">
      <c r="A65" s="307" t="s">
        <v>1482</v>
      </c>
      <c r="B65" s="308" t="s">
        <v>1483</v>
      </c>
      <c r="C65" s="1146" t="s">
        <v>1484</v>
      </c>
      <c r="D65" s="1147"/>
      <c r="F65" s="316">
        <f>0</f>
        <v>0</v>
      </c>
      <c r="G65" s="316">
        <f t="shared" ref="G65:AL65" si="0">MAX(0,G$64-F$64)</f>
        <v>31</v>
      </c>
      <c r="H65" s="316">
        <f t="shared" si="0"/>
        <v>31</v>
      </c>
      <c r="I65" s="316">
        <f t="shared" si="0"/>
        <v>30</v>
      </c>
      <c r="J65" s="316">
        <f t="shared" si="0"/>
        <v>31</v>
      </c>
      <c r="K65" s="316">
        <f t="shared" si="0"/>
        <v>30</v>
      </c>
      <c r="L65" s="316">
        <f t="shared" si="0"/>
        <v>31</v>
      </c>
      <c r="M65" s="316">
        <f t="shared" si="0"/>
        <v>31</v>
      </c>
      <c r="N65" s="316">
        <f t="shared" si="0"/>
        <v>28</v>
      </c>
      <c r="O65" s="316">
        <f t="shared" si="0"/>
        <v>31</v>
      </c>
      <c r="P65" s="316">
        <f t="shared" si="0"/>
        <v>30</v>
      </c>
      <c r="Q65" s="316">
        <f t="shared" si="0"/>
        <v>31</v>
      </c>
      <c r="R65" s="316">
        <f t="shared" si="0"/>
        <v>30</v>
      </c>
      <c r="S65" s="316">
        <f t="shared" si="0"/>
        <v>31</v>
      </c>
      <c r="T65" s="316">
        <f t="shared" si="0"/>
        <v>31</v>
      </c>
      <c r="U65" s="316">
        <f t="shared" si="0"/>
        <v>30</v>
      </c>
      <c r="V65" s="316">
        <f t="shared" si="0"/>
        <v>31</v>
      </c>
      <c r="W65" s="316">
        <f t="shared" si="0"/>
        <v>30</v>
      </c>
      <c r="X65" s="316">
        <f t="shared" si="0"/>
        <v>31</v>
      </c>
      <c r="Y65" s="316">
        <f t="shared" si="0"/>
        <v>31</v>
      </c>
      <c r="Z65" s="316">
        <f t="shared" si="0"/>
        <v>29</v>
      </c>
      <c r="AA65" s="316">
        <f t="shared" si="0"/>
        <v>31</v>
      </c>
      <c r="AB65" s="316">
        <f t="shared" si="0"/>
        <v>30</v>
      </c>
      <c r="AC65" s="316">
        <f t="shared" si="0"/>
        <v>31</v>
      </c>
      <c r="AD65" s="316">
        <f t="shared" si="0"/>
        <v>30</v>
      </c>
      <c r="AE65" s="316">
        <f t="shared" si="0"/>
        <v>31</v>
      </c>
      <c r="AF65" s="316">
        <f t="shared" si="0"/>
        <v>31</v>
      </c>
      <c r="AG65" s="316">
        <f t="shared" si="0"/>
        <v>30</v>
      </c>
      <c r="AH65" s="316">
        <f t="shared" si="0"/>
        <v>31</v>
      </c>
      <c r="AI65" s="316">
        <f t="shared" si="0"/>
        <v>30</v>
      </c>
      <c r="AJ65" s="316">
        <f t="shared" si="0"/>
        <v>31</v>
      </c>
      <c r="AK65" s="316">
        <f t="shared" si="0"/>
        <v>31</v>
      </c>
      <c r="AL65" s="316">
        <f t="shared" si="0"/>
        <v>28</v>
      </c>
      <c r="AM65" s="316">
        <f t="shared" ref="AM65:BR65" si="1">MAX(0,AM$64-AL$64)</f>
        <v>31</v>
      </c>
      <c r="AN65" s="316">
        <f t="shared" si="1"/>
        <v>30</v>
      </c>
      <c r="AO65" s="316">
        <f t="shared" si="1"/>
        <v>31</v>
      </c>
      <c r="AP65" s="316">
        <f t="shared" si="1"/>
        <v>30</v>
      </c>
      <c r="AQ65" s="316">
        <f t="shared" si="1"/>
        <v>31</v>
      </c>
      <c r="AR65" s="316">
        <f t="shared" si="1"/>
        <v>31</v>
      </c>
      <c r="AS65" s="316">
        <f t="shared" si="1"/>
        <v>30</v>
      </c>
      <c r="AT65" s="316">
        <f t="shared" si="1"/>
        <v>31</v>
      </c>
      <c r="AU65" s="316">
        <f t="shared" si="1"/>
        <v>30</v>
      </c>
      <c r="AV65" s="316">
        <f t="shared" si="1"/>
        <v>31</v>
      </c>
      <c r="AW65" s="316">
        <f t="shared" si="1"/>
        <v>31</v>
      </c>
      <c r="AX65" s="316">
        <f t="shared" si="1"/>
        <v>28</v>
      </c>
      <c r="AY65" s="316">
        <f t="shared" si="1"/>
        <v>31</v>
      </c>
      <c r="AZ65" s="316">
        <f t="shared" si="1"/>
        <v>30</v>
      </c>
      <c r="BA65" s="316">
        <f t="shared" si="1"/>
        <v>31</v>
      </c>
      <c r="BB65" s="316">
        <f t="shared" si="1"/>
        <v>30</v>
      </c>
      <c r="BC65" s="316">
        <f t="shared" si="1"/>
        <v>31</v>
      </c>
      <c r="BD65" s="316">
        <f t="shared" si="1"/>
        <v>31</v>
      </c>
      <c r="BE65" s="316">
        <f t="shared" si="1"/>
        <v>30</v>
      </c>
      <c r="BF65" s="316">
        <f t="shared" si="1"/>
        <v>31</v>
      </c>
      <c r="BG65" s="316">
        <f t="shared" si="1"/>
        <v>30</v>
      </c>
      <c r="BH65" s="316">
        <f t="shared" si="1"/>
        <v>31</v>
      </c>
      <c r="BI65" s="316">
        <f t="shared" si="1"/>
        <v>31</v>
      </c>
      <c r="BJ65" s="316">
        <f t="shared" si="1"/>
        <v>28</v>
      </c>
      <c r="BK65" s="316">
        <f t="shared" si="1"/>
        <v>31</v>
      </c>
      <c r="BL65" s="316">
        <f t="shared" si="1"/>
        <v>30</v>
      </c>
      <c r="BM65" s="316">
        <f t="shared" si="1"/>
        <v>31</v>
      </c>
      <c r="BN65" s="316">
        <f t="shared" si="1"/>
        <v>30</v>
      </c>
      <c r="BO65" s="316">
        <f t="shared" si="1"/>
        <v>31</v>
      </c>
      <c r="BP65" s="316">
        <f t="shared" si="1"/>
        <v>31</v>
      </c>
      <c r="BQ65" s="316">
        <f t="shared" si="1"/>
        <v>30</v>
      </c>
      <c r="BR65" s="316">
        <f t="shared" si="1"/>
        <v>31</v>
      </c>
      <c r="BS65" s="316">
        <f t="shared" ref="BS65:CX65" si="2">MAX(0,BS$64-BR$64)</f>
        <v>30</v>
      </c>
      <c r="BT65" s="316">
        <f t="shared" si="2"/>
        <v>31</v>
      </c>
      <c r="BU65" s="316">
        <f t="shared" si="2"/>
        <v>31</v>
      </c>
      <c r="BV65" s="316">
        <f t="shared" si="2"/>
        <v>29</v>
      </c>
      <c r="BW65" s="316">
        <f t="shared" si="2"/>
        <v>31</v>
      </c>
      <c r="BX65" s="316">
        <f t="shared" si="2"/>
        <v>30</v>
      </c>
      <c r="BY65" s="316">
        <f t="shared" si="2"/>
        <v>31</v>
      </c>
      <c r="BZ65" s="316">
        <f t="shared" si="2"/>
        <v>30</v>
      </c>
      <c r="CA65" s="316">
        <f t="shared" si="2"/>
        <v>31</v>
      </c>
      <c r="CB65" s="316">
        <f t="shared" si="2"/>
        <v>31</v>
      </c>
      <c r="CC65" s="316">
        <f t="shared" si="2"/>
        <v>30</v>
      </c>
      <c r="CD65" s="316">
        <f t="shared" si="2"/>
        <v>31</v>
      </c>
      <c r="CE65" s="316">
        <f t="shared" si="2"/>
        <v>30</v>
      </c>
      <c r="CF65" s="316">
        <f t="shared" si="2"/>
        <v>31</v>
      </c>
      <c r="CG65" s="316">
        <f t="shared" si="2"/>
        <v>31</v>
      </c>
      <c r="CH65" s="316">
        <f t="shared" si="2"/>
        <v>28</v>
      </c>
      <c r="CI65" s="316">
        <f t="shared" si="2"/>
        <v>31</v>
      </c>
      <c r="CJ65" s="316">
        <f t="shared" si="2"/>
        <v>30</v>
      </c>
      <c r="CK65" s="316">
        <f t="shared" si="2"/>
        <v>31</v>
      </c>
      <c r="CL65" s="316">
        <f t="shared" si="2"/>
        <v>30</v>
      </c>
      <c r="CM65" s="316">
        <f t="shared" si="2"/>
        <v>31</v>
      </c>
      <c r="CN65" s="316">
        <f t="shared" si="2"/>
        <v>31</v>
      </c>
      <c r="CO65" s="316">
        <f t="shared" si="2"/>
        <v>30</v>
      </c>
      <c r="CP65" s="316">
        <f t="shared" si="2"/>
        <v>31</v>
      </c>
      <c r="CQ65" s="316">
        <f t="shared" si="2"/>
        <v>30</v>
      </c>
      <c r="CR65" s="316">
        <f t="shared" si="2"/>
        <v>31</v>
      </c>
      <c r="CS65" s="316">
        <f t="shared" si="2"/>
        <v>31</v>
      </c>
      <c r="CT65" s="316">
        <f t="shared" si="2"/>
        <v>28</v>
      </c>
      <c r="CU65" s="316">
        <f t="shared" si="2"/>
        <v>31</v>
      </c>
      <c r="CV65" s="316">
        <f t="shared" si="2"/>
        <v>30</v>
      </c>
      <c r="CW65" s="316">
        <f t="shared" si="2"/>
        <v>31</v>
      </c>
      <c r="CX65" s="316">
        <f t="shared" si="2"/>
        <v>30</v>
      </c>
      <c r="CY65" s="316">
        <f t="shared" ref="CY65:DV65" si="3">MAX(0,CY$64-CX$64)</f>
        <v>31</v>
      </c>
      <c r="CZ65" s="316">
        <f t="shared" si="3"/>
        <v>31</v>
      </c>
      <c r="DA65" s="316">
        <f t="shared" si="3"/>
        <v>30</v>
      </c>
      <c r="DB65" s="316">
        <f t="shared" si="3"/>
        <v>31</v>
      </c>
      <c r="DC65" s="316">
        <f t="shared" si="3"/>
        <v>30</v>
      </c>
      <c r="DD65" s="316">
        <f t="shared" si="3"/>
        <v>31</v>
      </c>
      <c r="DE65" s="316">
        <f t="shared" si="3"/>
        <v>31</v>
      </c>
      <c r="DF65" s="316">
        <f t="shared" si="3"/>
        <v>28</v>
      </c>
      <c r="DG65" s="316">
        <f t="shared" si="3"/>
        <v>31</v>
      </c>
      <c r="DH65" s="316">
        <f t="shared" si="3"/>
        <v>30</v>
      </c>
      <c r="DI65" s="316">
        <f t="shared" si="3"/>
        <v>31</v>
      </c>
      <c r="DJ65" s="316">
        <f t="shared" si="3"/>
        <v>30</v>
      </c>
      <c r="DK65" s="316">
        <f t="shared" si="3"/>
        <v>31</v>
      </c>
      <c r="DL65" s="316">
        <f t="shared" si="3"/>
        <v>31</v>
      </c>
      <c r="DM65" s="316">
        <f t="shared" si="3"/>
        <v>30</v>
      </c>
      <c r="DN65" s="316">
        <f t="shared" si="3"/>
        <v>31</v>
      </c>
      <c r="DO65" s="316">
        <f t="shared" si="3"/>
        <v>30</v>
      </c>
      <c r="DP65" s="316">
        <f t="shared" si="3"/>
        <v>31</v>
      </c>
      <c r="DQ65" s="316">
        <f t="shared" si="3"/>
        <v>31</v>
      </c>
      <c r="DR65" s="316">
        <f t="shared" si="3"/>
        <v>29</v>
      </c>
      <c r="DS65" s="316">
        <f t="shared" si="3"/>
        <v>31</v>
      </c>
      <c r="DT65" s="316">
        <f t="shared" si="3"/>
        <v>30</v>
      </c>
      <c r="DU65" s="316">
        <f t="shared" si="3"/>
        <v>31</v>
      </c>
      <c r="DV65" s="316">
        <f t="shared" si="3"/>
        <v>30</v>
      </c>
    </row>
    <row r="66" spans="1:126" ht="15" customHeight="1" x14ac:dyDescent="0.35">
      <c r="A66" s="307" t="s">
        <v>1485</v>
      </c>
      <c r="B66" s="308" t="s">
        <v>924</v>
      </c>
      <c r="C66" s="1146" t="s">
        <v>1486</v>
      </c>
      <c r="D66" s="1147"/>
      <c r="F66" s="323" t="str">
        <f t="shared" ref="F66:AK66" si="4">IF(F$64&lt;EOMONTH(EDATE($B$18,INDEX($L$31:$L$33,MATCH($B$6,$J$31:$J$33,0))),0),"Construction",IF(F$64&lt;$B$35,"Completion / stabilisation","Operations / term"))</f>
        <v>Construction</v>
      </c>
      <c r="G66" s="323" t="str">
        <f t="shared" si="4"/>
        <v>Construction</v>
      </c>
      <c r="H66" s="323" t="str">
        <f t="shared" si="4"/>
        <v>Construction</v>
      </c>
      <c r="I66" s="323" t="str">
        <f t="shared" si="4"/>
        <v>Construction</v>
      </c>
      <c r="J66" s="323" t="str">
        <f t="shared" si="4"/>
        <v>Construction</v>
      </c>
      <c r="K66" s="323" t="str">
        <f t="shared" si="4"/>
        <v>Construction</v>
      </c>
      <c r="L66" s="323" t="str">
        <f t="shared" si="4"/>
        <v>Construction</v>
      </c>
      <c r="M66" s="323" t="str">
        <f t="shared" si="4"/>
        <v>Construction</v>
      </c>
      <c r="N66" s="323" t="str">
        <f t="shared" si="4"/>
        <v>Construction</v>
      </c>
      <c r="O66" s="323" t="str">
        <f t="shared" si="4"/>
        <v>Construction</v>
      </c>
      <c r="P66" s="323" t="str">
        <f t="shared" si="4"/>
        <v>Construction</v>
      </c>
      <c r="Q66" s="323" t="str">
        <f t="shared" si="4"/>
        <v>Construction</v>
      </c>
      <c r="R66" s="323" t="str">
        <f t="shared" si="4"/>
        <v>Construction</v>
      </c>
      <c r="S66" s="323" t="str">
        <f t="shared" si="4"/>
        <v>Construction</v>
      </c>
      <c r="T66" s="323" t="str">
        <f t="shared" si="4"/>
        <v>Construction</v>
      </c>
      <c r="U66" s="323" t="str">
        <f t="shared" si="4"/>
        <v>Construction</v>
      </c>
      <c r="V66" s="323" t="str">
        <f t="shared" si="4"/>
        <v>Construction</v>
      </c>
      <c r="W66" s="323" t="str">
        <f t="shared" si="4"/>
        <v>Construction</v>
      </c>
      <c r="X66" s="323" t="str">
        <f t="shared" si="4"/>
        <v>Construction</v>
      </c>
      <c r="Y66" s="323" t="str">
        <f t="shared" si="4"/>
        <v>Construction</v>
      </c>
      <c r="Z66" s="323" t="str">
        <f t="shared" si="4"/>
        <v>Construction</v>
      </c>
      <c r="AA66" s="323" t="str">
        <f t="shared" si="4"/>
        <v>Construction</v>
      </c>
      <c r="AB66" s="323" t="str">
        <f t="shared" si="4"/>
        <v>Construction</v>
      </c>
      <c r="AC66" s="323" t="str">
        <f t="shared" si="4"/>
        <v>Construction</v>
      </c>
      <c r="AD66" s="323" t="str">
        <f t="shared" si="4"/>
        <v>Construction</v>
      </c>
      <c r="AE66" s="323" t="str">
        <f t="shared" si="4"/>
        <v>Construction</v>
      </c>
      <c r="AF66" s="323" t="str">
        <f t="shared" si="4"/>
        <v>Construction</v>
      </c>
      <c r="AG66" s="323" t="str">
        <f t="shared" si="4"/>
        <v>Construction</v>
      </c>
      <c r="AH66" s="323" t="str">
        <f t="shared" si="4"/>
        <v>Construction</v>
      </c>
      <c r="AI66" s="323" t="str">
        <f t="shared" si="4"/>
        <v>Construction</v>
      </c>
      <c r="AJ66" s="323" t="str">
        <f t="shared" si="4"/>
        <v>Construction</v>
      </c>
      <c r="AK66" s="323" t="str">
        <f t="shared" si="4"/>
        <v>Construction</v>
      </c>
      <c r="AL66" s="323" t="str">
        <f t="shared" ref="AL66:BQ66" si="5">IF(AL$64&lt;EOMONTH(EDATE($B$18,INDEX($L$31:$L$33,MATCH($B$6,$J$31:$J$33,0))),0),"Construction",IF(AL$64&lt;$B$35,"Completion / stabilisation","Operations / term"))</f>
        <v>Construction</v>
      </c>
      <c r="AM66" s="323" t="str">
        <f t="shared" si="5"/>
        <v>Construction</v>
      </c>
      <c r="AN66" s="323" t="str">
        <f t="shared" si="5"/>
        <v>Construction</v>
      </c>
      <c r="AO66" s="323" t="str">
        <f t="shared" si="5"/>
        <v>Construction</v>
      </c>
      <c r="AP66" s="323" t="str">
        <f t="shared" si="5"/>
        <v>Completion / stabilisation</v>
      </c>
      <c r="AQ66" s="323" t="str">
        <f t="shared" si="5"/>
        <v>Completion / stabilisation</v>
      </c>
      <c r="AR66" s="323" t="str">
        <f t="shared" si="5"/>
        <v>Completion / stabilisation</v>
      </c>
      <c r="AS66" s="323" t="str">
        <f t="shared" si="5"/>
        <v>Completion / stabilisation</v>
      </c>
      <c r="AT66" s="323" t="str">
        <f t="shared" si="5"/>
        <v>Completion / stabilisation</v>
      </c>
      <c r="AU66" s="323" t="str">
        <f t="shared" si="5"/>
        <v>Completion / stabilisation</v>
      </c>
      <c r="AV66" s="323" t="str">
        <f t="shared" si="5"/>
        <v>Completion / stabilisation</v>
      </c>
      <c r="AW66" s="323" t="str">
        <f t="shared" si="5"/>
        <v>Completion / stabilisation</v>
      </c>
      <c r="AX66" s="323" t="str">
        <f t="shared" si="5"/>
        <v>Completion / stabilisation</v>
      </c>
      <c r="AY66" s="323" t="str">
        <f t="shared" si="5"/>
        <v>Completion / stabilisation</v>
      </c>
      <c r="AZ66" s="323" t="str">
        <f t="shared" si="5"/>
        <v>Completion / stabilisation</v>
      </c>
      <c r="BA66" s="323" t="str">
        <f t="shared" si="5"/>
        <v>Completion / stabilisation</v>
      </c>
      <c r="BB66" s="323" t="str">
        <f t="shared" si="5"/>
        <v>Completion / stabilisation</v>
      </c>
      <c r="BC66" s="323" t="str">
        <f t="shared" si="5"/>
        <v>Operations / term</v>
      </c>
      <c r="BD66" s="323" t="str">
        <f t="shared" si="5"/>
        <v>Operations / term</v>
      </c>
      <c r="BE66" s="323" t="str">
        <f t="shared" si="5"/>
        <v>Operations / term</v>
      </c>
      <c r="BF66" s="323" t="str">
        <f t="shared" si="5"/>
        <v>Operations / term</v>
      </c>
      <c r="BG66" s="323" t="str">
        <f t="shared" si="5"/>
        <v>Operations / term</v>
      </c>
      <c r="BH66" s="323" t="str">
        <f t="shared" si="5"/>
        <v>Operations / term</v>
      </c>
      <c r="BI66" s="323" t="str">
        <f t="shared" si="5"/>
        <v>Operations / term</v>
      </c>
      <c r="BJ66" s="323" t="str">
        <f t="shared" si="5"/>
        <v>Operations / term</v>
      </c>
      <c r="BK66" s="323" t="str">
        <f t="shared" si="5"/>
        <v>Operations / term</v>
      </c>
      <c r="BL66" s="323" t="str">
        <f t="shared" si="5"/>
        <v>Operations / term</v>
      </c>
      <c r="BM66" s="323" t="str">
        <f t="shared" si="5"/>
        <v>Operations / term</v>
      </c>
      <c r="BN66" s="323" t="str">
        <f t="shared" si="5"/>
        <v>Operations / term</v>
      </c>
      <c r="BO66" s="323" t="str">
        <f t="shared" si="5"/>
        <v>Operations / term</v>
      </c>
      <c r="BP66" s="323" t="str">
        <f t="shared" si="5"/>
        <v>Operations / term</v>
      </c>
      <c r="BQ66" s="323" t="str">
        <f t="shared" si="5"/>
        <v>Operations / term</v>
      </c>
      <c r="BR66" s="323" t="str">
        <f t="shared" ref="BR66:CW66" si="6">IF(BR$64&lt;EOMONTH(EDATE($B$18,INDEX($L$31:$L$33,MATCH($B$6,$J$31:$J$33,0))),0),"Construction",IF(BR$64&lt;$B$35,"Completion / stabilisation","Operations / term"))</f>
        <v>Operations / term</v>
      </c>
      <c r="BS66" s="323" t="str">
        <f t="shared" si="6"/>
        <v>Operations / term</v>
      </c>
      <c r="BT66" s="323" t="str">
        <f t="shared" si="6"/>
        <v>Operations / term</v>
      </c>
      <c r="BU66" s="323" t="str">
        <f t="shared" si="6"/>
        <v>Operations / term</v>
      </c>
      <c r="BV66" s="323" t="str">
        <f t="shared" si="6"/>
        <v>Operations / term</v>
      </c>
      <c r="BW66" s="323" t="str">
        <f t="shared" si="6"/>
        <v>Operations / term</v>
      </c>
      <c r="BX66" s="323" t="str">
        <f t="shared" si="6"/>
        <v>Operations / term</v>
      </c>
      <c r="BY66" s="323" t="str">
        <f t="shared" si="6"/>
        <v>Operations / term</v>
      </c>
      <c r="BZ66" s="323" t="str">
        <f t="shared" si="6"/>
        <v>Operations / term</v>
      </c>
      <c r="CA66" s="323" t="str">
        <f t="shared" si="6"/>
        <v>Operations / term</v>
      </c>
      <c r="CB66" s="323" t="str">
        <f t="shared" si="6"/>
        <v>Operations / term</v>
      </c>
      <c r="CC66" s="323" t="str">
        <f t="shared" si="6"/>
        <v>Operations / term</v>
      </c>
      <c r="CD66" s="323" t="str">
        <f t="shared" si="6"/>
        <v>Operations / term</v>
      </c>
      <c r="CE66" s="323" t="str">
        <f t="shared" si="6"/>
        <v>Operations / term</v>
      </c>
      <c r="CF66" s="323" t="str">
        <f t="shared" si="6"/>
        <v>Operations / term</v>
      </c>
      <c r="CG66" s="323" t="str">
        <f t="shared" si="6"/>
        <v>Operations / term</v>
      </c>
      <c r="CH66" s="323" t="str">
        <f t="shared" si="6"/>
        <v>Operations / term</v>
      </c>
      <c r="CI66" s="323" t="str">
        <f t="shared" si="6"/>
        <v>Operations / term</v>
      </c>
      <c r="CJ66" s="323" t="str">
        <f t="shared" si="6"/>
        <v>Operations / term</v>
      </c>
      <c r="CK66" s="323" t="str">
        <f t="shared" si="6"/>
        <v>Operations / term</v>
      </c>
      <c r="CL66" s="323" t="str">
        <f t="shared" si="6"/>
        <v>Operations / term</v>
      </c>
      <c r="CM66" s="323" t="str">
        <f t="shared" si="6"/>
        <v>Operations / term</v>
      </c>
      <c r="CN66" s="323" t="str">
        <f t="shared" si="6"/>
        <v>Operations / term</v>
      </c>
      <c r="CO66" s="323" t="str">
        <f t="shared" si="6"/>
        <v>Operations / term</v>
      </c>
      <c r="CP66" s="323" t="str">
        <f t="shared" si="6"/>
        <v>Operations / term</v>
      </c>
      <c r="CQ66" s="323" t="str">
        <f t="shared" si="6"/>
        <v>Operations / term</v>
      </c>
      <c r="CR66" s="323" t="str">
        <f t="shared" si="6"/>
        <v>Operations / term</v>
      </c>
      <c r="CS66" s="323" t="str">
        <f t="shared" si="6"/>
        <v>Operations / term</v>
      </c>
      <c r="CT66" s="323" t="str">
        <f t="shared" si="6"/>
        <v>Operations / term</v>
      </c>
      <c r="CU66" s="323" t="str">
        <f t="shared" si="6"/>
        <v>Operations / term</v>
      </c>
      <c r="CV66" s="323" t="str">
        <f t="shared" si="6"/>
        <v>Operations / term</v>
      </c>
      <c r="CW66" s="323" t="str">
        <f t="shared" si="6"/>
        <v>Operations / term</v>
      </c>
      <c r="CX66" s="323" t="str">
        <f t="shared" ref="CX66:DV66" si="7">IF(CX$64&lt;EOMONTH(EDATE($B$18,INDEX($L$31:$L$33,MATCH($B$6,$J$31:$J$33,0))),0),"Construction",IF(CX$64&lt;$B$35,"Completion / stabilisation","Operations / term"))</f>
        <v>Operations / term</v>
      </c>
      <c r="CY66" s="323" t="str">
        <f t="shared" si="7"/>
        <v>Operations / term</v>
      </c>
      <c r="CZ66" s="323" t="str">
        <f t="shared" si="7"/>
        <v>Operations / term</v>
      </c>
      <c r="DA66" s="323" t="str">
        <f t="shared" si="7"/>
        <v>Operations / term</v>
      </c>
      <c r="DB66" s="323" t="str">
        <f t="shared" si="7"/>
        <v>Operations / term</v>
      </c>
      <c r="DC66" s="323" t="str">
        <f t="shared" si="7"/>
        <v>Operations / term</v>
      </c>
      <c r="DD66" s="323" t="str">
        <f t="shared" si="7"/>
        <v>Operations / term</v>
      </c>
      <c r="DE66" s="323" t="str">
        <f t="shared" si="7"/>
        <v>Operations / term</v>
      </c>
      <c r="DF66" s="323" t="str">
        <f t="shared" si="7"/>
        <v>Operations / term</v>
      </c>
      <c r="DG66" s="323" t="str">
        <f t="shared" si="7"/>
        <v>Operations / term</v>
      </c>
      <c r="DH66" s="323" t="str">
        <f t="shared" si="7"/>
        <v>Operations / term</v>
      </c>
      <c r="DI66" s="323" t="str">
        <f t="shared" si="7"/>
        <v>Operations / term</v>
      </c>
      <c r="DJ66" s="323" t="str">
        <f t="shared" si="7"/>
        <v>Operations / term</v>
      </c>
      <c r="DK66" s="323" t="str">
        <f t="shared" si="7"/>
        <v>Operations / term</v>
      </c>
      <c r="DL66" s="323" t="str">
        <f t="shared" si="7"/>
        <v>Operations / term</v>
      </c>
      <c r="DM66" s="323" t="str">
        <f t="shared" si="7"/>
        <v>Operations / term</v>
      </c>
      <c r="DN66" s="323" t="str">
        <f t="shared" si="7"/>
        <v>Operations / term</v>
      </c>
      <c r="DO66" s="323" t="str">
        <f t="shared" si="7"/>
        <v>Operations / term</v>
      </c>
      <c r="DP66" s="323" t="str">
        <f t="shared" si="7"/>
        <v>Operations / term</v>
      </c>
      <c r="DQ66" s="323" t="str">
        <f t="shared" si="7"/>
        <v>Operations / term</v>
      </c>
      <c r="DR66" s="323" t="str">
        <f t="shared" si="7"/>
        <v>Operations / term</v>
      </c>
      <c r="DS66" s="323" t="str">
        <f t="shared" si="7"/>
        <v>Operations / term</v>
      </c>
      <c r="DT66" s="323" t="str">
        <f t="shared" si="7"/>
        <v>Operations / term</v>
      </c>
      <c r="DU66" s="323" t="str">
        <f t="shared" si="7"/>
        <v>Operations / term</v>
      </c>
      <c r="DV66" s="323" t="str">
        <f t="shared" si="7"/>
        <v>Operations / term</v>
      </c>
    </row>
    <row r="67" spans="1:126" ht="15" customHeight="1" x14ac:dyDescent="0.35">
      <c r="A67" s="307" t="s">
        <v>1487</v>
      </c>
      <c r="B67" s="308" t="s">
        <v>1488</v>
      </c>
      <c r="C67" s="1146" t="s">
        <v>1489</v>
      </c>
      <c r="D67" s="1147"/>
      <c r="F67" s="316">
        <f t="shared" ref="F67:AK67" si="8">--(AND(F$64&gt;=EOMONTH(EDATE($B$18,INDEX($L$31:$L$33,MATCH($B$6,$J$31:$J$33,0))),0),E$64&lt;EOMONTH(EDATE($B$18,INDEX($L$31:$L$33,MATCH($B$6,$J$31:$J$33,0))),0)))</f>
        <v>0</v>
      </c>
      <c r="G67" s="316">
        <f t="shared" si="8"/>
        <v>0</v>
      </c>
      <c r="H67" s="316">
        <f t="shared" si="8"/>
        <v>0</v>
      </c>
      <c r="I67" s="316">
        <f t="shared" si="8"/>
        <v>0</v>
      </c>
      <c r="J67" s="316">
        <f t="shared" si="8"/>
        <v>0</v>
      </c>
      <c r="K67" s="316">
        <f t="shared" si="8"/>
        <v>0</v>
      </c>
      <c r="L67" s="316">
        <f t="shared" si="8"/>
        <v>0</v>
      </c>
      <c r="M67" s="316">
        <f t="shared" si="8"/>
        <v>0</v>
      </c>
      <c r="N67" s="316">
        <f t="shared" si="8"/>
        <v>0</v>
      </c>
      <c r="O67" s="316">
        <f t="shared" si="8"/>
        <v>0</v>
      </c>
      <c r="P67" s="316">
        <f t="shared" si="8"/>
        <v>0</v>
      </c>
      <c r="Q67" s="316">
        <f t="shared" si="8"/>
        <v>0</v>
      </c>
      <c r="R67" s="316">
        <f t="shared" si="8"/>
        <v>0</v>
      </c>
      <c r="S67" s="316">
        <f t="shared" si="8"/>
        <v>0</v>
      </c>
      <c r="T67" s="316">
        <f t="shared" si="8"/>
        <v>0</v>
      </c>
      <c r="U67" s="316">
        <f t="shared" si="8"/>
        <v>0</v>
      </c>
      <c r="V67" s="316">
        <f t="shared" si="8"/>
        <v>0</v>
      </c>
      <c r="W67" s="316">
        <f t="shared" si="8"/>
        <v>0</v>
      </c>
      <c r="X67" s="316">
        <f t="shared" si="8"/>
        <v>0</v>
      </c>
      <c r="Y67" s="316">
        <f t="shared" si="8"/>
        <v>0</v>
      </c>
      <c r="Z67" s="316">
        <f t="shared" si="8"/>
        <v>0</v>
      </c>
      <c r="AA67" s="316">
        <f t="shared" si="8"/>
        <v>0</v>
      </c>
      <c r="AB67" s="316">
        <f t="shared" si="8"/>
        <v>0</v>
      </c>
      <c r="AC67" s="316">
        <f t="shared" si="8"/>
        <v>0</v>
      </c>
      <c r="AD67" s="316">
        <f t="shared" si="8"/>
        <v>0</v>
      </c>
      <c r="AE67" s="316">
        <f t="shared" si="8"/>
        <v>0</v>
      </c>
      <c r="AF67" s="316">
        <f t="shared" si="8"/>
        <v>0</v>
      </c>
      <c r="AG67" s="316">
        <f t="shared" si="8"/>
        <v>0</v>
      </c>
      <c r="AH67" s="316">
        <f t="shared" si="8"/>
        <v>0</v>
      </c>
      <c r="AI67" s="316">
        <f t="shared" si="8"/>
        <v>0</v>
      </c>
      <c r="AJ67" s="316">
        <f t="shared" si="8"/>
        <v>0</v>
      </c>
      <c r="AK67" s="316">
        <f t="shared" si="8"/>
        <v>0</v>
      </c>
      <c r="AL67" s="316">
        <f t="shared" ref="AL67:BQ67" si="9">--(AND(AL$64&gt;=EOMONTH(EDATE($B$18,INDEX($L$31:$L$33,MATCH($B$6,$J$31:$J$33,0))),0),AK$64&lt;EOMONTH(EDATE($B$18,INDEX($L$31:$L$33,MATCH($B$6,$J$31:$J$33,0))),0)))</f>
        <v>0</v>
      </c>
      <c r="AM67" s="316">
        <f t="shared" si="9"/>
        <v>0</v>
      </c>
      <c r="AN67" s="316">
        <f t="shared" si="9"/>
        <v>0</v>
      </c>
      <c r="AO67" s="316">
        <f t="shared" si="9"/>
        <v>0</v>
      </c>
      <c r="AP67" s="316">
        <f t="shared" si="9"/>
        <v>1</v>
      </c>
      <c r="AQ67" s="316">
        <f t="shared" si="9"/>
        <v>0</v>
      </c>
      <c r="AR67" s="316">
        <f t="shared" si="9"/>
        <v>0</v>
      </c>
      <c r="AS67" s="316">
        <f t="shared" si="9"/>
        <v>0</v>
      </c>
      <c r="AT67" s="316">
        <f t="shared" si="9"/>
        <v>0</v>
      </c>
      <c r="AU67" s="316">
        <f t="shared" si="9"/>
        <v>0</v>
      </c>
      <c r="AV67" s="316">
        <f t="shared" si="9"/>
        <v>0</v>
      </c>
      <c r="AW67" s="316">
        <f t="shared" si="9"/>
        <v>0</v>
      </c>
      <c r="AX67" s="316">
        <f t="shared" si="9"/>
        <v>0</v>
      </c>
      <c r="AY67" s="316">
        <f t="shared" si="9"/>
        <v>0</v>
      </c>
      <c r="AZ67" s="316">
        <f t="shared" si="9"/>
        <v>0</v>
      </c>
      <c r="BA67" s="316">
        <f t="shared" si="9"/>
        <v>0</v>
      </c>
      <c r="BB67" s="316">
        <f t="shared" si="9"/>
        <v>0</v>
      </c>
      <c r="BC67" s="316">
        <f t="shared" si="9"/>
        <v>0</v>
      </c>
      <c r="BD67" s="316">
        <f t="shared" si="9"/>
        <v>0</v>
      </c>
      <c r="BE67" s="316">
        <f t="shared" si="9"/>
        <v>0</v>
      </c>
      <c r="BF67" s="316">
        <f t="shared" si="9"/>
        <v>0</v>
      </c>
      <c r="BG67" s="316">
        <f t="shared" si="9"/>
        <v>0</v>
      </c>
      <c r="BH67" s="316">
        <f t="shared" si="9"/>
        <v>0</v>
      </c>
      <c r="BI67" s="316">
        <f t="shared" si="9"/>
        <v>0</v>
      </c>
      <c r="BJ67" s="316">
        <f t="shared" si="9"/>
        <v>0</v>
      </c>
      <c r="BK67" s="316">
        <f t="shared" si="9"/>
        <v>0</v>
      </c>
      <c r="BL67" s="316">
        <f t="shared" si="9"/>
        <v>0</v>
      </c>
      <c r="BM67" s="316">
        <f t="shared" si="9"/>
        <v>0</v>
      </c>
      <c r="BN67" s="316">
        <f t="shared" si="9"/>
        <v>0</v>
      </c>
      <c r="BO67" s="316">
        <f t="shared" si="9"/>
        <v>0</v>
      </c>
      <c r="BP67" s="316">
        <f t="shared" si="9"/>
        <v>0</v>
      </c>
      <c r="BQ67" s="316">
        <f t="shared" si="9"/>
        <v>0</v>
      </c>
      <c r="BR67" s="316">
        <f t="shared" ref="BR67:CW67" si="10">--(AND(BR$64&gt;=EOMONTH(EDATE($B$18,INDEX($L$31:$L$33,MATCH($B$6,$J$31:$J$33,0))),0),BQ$64&lt;EOMONTH(EDATE($B$18,INDEX($L$31:$L$33,MATCH($B$6,$J$31:$J$33,0))),0)))</f>
        <v>0</v>
      </c>
      <c r="BS67" s="316">
        <f t="shared" si="10"/>
        <v>0</v>
      </c>
      <c r="BT67" s="316">
        <f t="shared" si="10"/>
        <v>0</v>
      </c>
      <c r="BU67" s="316">
        <f t="shared" si="10"/>
        <v>0</v>
      </c>
      <c r="BV67" s="316">
        <f t="shared" si="10"/>
        <v>0</v>
      </c>
      <c r="BW67" s="316">
        <f t="shared" si="10"/>
        <v>0</v>
      </c>
      <c r="BX67" s="316">
        <f t="shared" si="10"/>
        <v>0</v>
      </c>
      <c r="BY67" s="316">
        <f t="shared" si="10"/>
        <v>0</v>
      </c>
      <c r="BZ67" s="316">
        <f t="shared" si="10"/>
        <v>0</v>
      </c>
      <c r="CA67" s="316">
        <f t="shared" si="10"/>
        <v>0</v>
      </c>
      <c r="CB67" s="316">
        <f t="shared" si="10"/>
        <v>0</v>
      </c>
      <c r="CC67" s="316">
        <f t="shared" si="10"/>
        <v>0</v>
      </c>
      <c r="CD67" s="316">
        <f t="shared" si="10"/>
        <v>0</v>
      </c>
      <c r="CE67" s="316">
        <f t="shared" si="10"/>
        <v>0</v>
      </c>
      <c r="CF67" s="316">
        <f t="shared" si="10"/>
        <v>0</v>
      </c>
      <c r="CG67" s="316">
        <f t="shared" si="10"/>
        <v>0</v>
      </c>
      <c r="CH67" s="316">
        <f t="shared" si="10"/>
        <v>0</v>
      </c>
      <c r="CI67" s="316">
        <f t="shared" si="10"/>
        <v>0</v>
      </c>
      <c r="CJ67" s="316">
        <f t="shared" si="10"/>
        <v>0</v>
      </c>
      <c r="CK67" s="316">
        <f t="shared" si="10"/>
        <v>0</v>
      </c>
      <c r="CL67" s="316">
        <f t="shared" si="10"/>
        <v>0</v>
      </c>
      <c r="CM67" s="316">
        <f t="shared" si="10"/>
        <v>0</v>
      </c>
      <c r="CN67" s="316">
        <f t="shared" si="10"/>
        <v>0</v>
      </c>
      <c r="CO67" s="316">
        <f t="shared" si="10"/>
        <v>0</v>
      </c>
      <c r="CP67" s="316">
        <f t="shared" si="10"/>
        <v>0</v>
      </c>
      <c r="CQ67" s="316">
        <f t="shared" si="10"/>
        <v>0</v>
      </c>
      <c r="CR67" s="316">
        <f t="shared" si="10"/>
        <v>0</v>
      </c>
      <c r="CS67" s="316">
        <f t="shared" si="10"/>
        <v>0</v>
      </c>
      <c r="CT67" s="316">
        <f t="shared" si="10"/>
        <v>0</v>
      </c>
      <c r="CU67" s="316">
        <f t="shared" si="10"/>
        <v>0</v>
      </c>
      <c r="CV67" s="316">
        <f t="shared" si="10"/>
        <v>0</v>
      </c>
      <c r="CW67" s="316">
        <f t="shared" si="10"/>
        <v>0</v>
      </c>
      <c r="CX67" s="316">
        <f t="shared" ref="CX67:DV67" si="11">--(AND(CX$64&gt;=EOMONTH(EDATE($B$18,INDEX($L$31:$L$33,MATCH($B$6,$J$31:$J$33,0))),0),CW$64&lt;EOMONTH(EDATE($B$18,INDEX($L$31:$L$33,MATCH($B$6,$J$31:$J$33,0))),0)))</f>
        <v>0</v>
      </c>
      <c r="CY67" s="316">
        <f t="shared" si="11"/>
        <v>0</v>
      </c>
      <c r="CZ67" s="316">
        <f t="shared" si="11"/>
        <v>0</v>
      </c>
      <c r="DA67" s="316">
        <f t="shared" si="11"/>
        <v>0</v>
      </c>
      <c r="DB67" s="316">
        <f t="shared" si="11"/>
        <v>0</v>
      </c>
      <c r="DC67" s="316">
        <f t="shared" si="11"/>
        <v>0</v>
      </c>
      <c r="DD67" s="316">
        <f t="shared" si="11"/>
        <v>0</v>
      </c>
      <c r="DE67" s="316">
        <f t="shared" si="11"/>
        <v>0</v>
      </c>
      <c r="DF67" s="316">
        <f t="shared" si="11"/>
        <v>0</v>
      </c>
      <c r="DG67" s="316">
        <f t="shared" si="11"/>
        <v>0</v>
      </c>
      <c r="DH67" s="316">
        <f t="shared" si="11"/>
        <v>0</v>
      </c>
      <c r="DI67" s="316">
        <f t="shared" si="11"/>
        <v>0</v>
      </c>
      <c r="DJ67" s="316">
        <f t="shared" si="11"/>
        <v>0</v>
      </c>
      <c r="DK67" s="316">
        <f t="shared" si="11"/>
        <v>0</v>
      </c>
      <c r="DL67" s="316">
        <f t="shared" si="11"/>
        <v>0</v>
      </c>
      <c r="DM67" s="316">
        <f t="shared" si="11"/>
        <v>0</v>
      </c>
      <c r="DN67" s="316">
        <f t="shared" si="11"/>
        <v>0</v>
      </c>
      <c r="DO67" s="316">
        <f t="shared" si="11"/>
        <v>0</v>
      </c>
      <c r="DP67" s="316">
        <f t="shared" si="11"/>
        <v>0</v>
      </c>
      <c r="DQ67" s="316">
        <f t="shared" si="11"/>
        <v>0</v>
      </c>
      <c r="DR67" s="316">
        <f t="shared" si="11"/>
        <v>0</v>
      </c>
      <c r="DS67" s="316">
        <f t="shared" si="11"/>
        <v>0</v>
      </c>
      <c r="DT67" s="316">
        <f t="shared" si="11"/>
        <v>0</v>
      </c>
      <c r="DU67" s="316">
        <f t="shared" si="11"/>
        <v>0</v>
      </c>
      <c r="DV67" s="316">
        <f t="shared" si="11"/>
        <v>0</v>
      </c>
    </row>
    <row r="68" spans="1:126" ht="15" customHeight="1" x14ac:dyDescent="0.35">
      <c r="A68" s="307" t="s">
        <v>1490</v>
      </c>
      <c r="B68" s="308" t="s">
        <v>1488</v>
      </c>
      <c r="C68" s="1146" t="s">
        <v>1489</v>
      </c>
      <c r="D68" s="1147"/>
      <c r="F68" s="316">
        <f>--(AND(F$64&gt;=EOMONTH(EDATE(INDEX(Underwriting!$L$24:$EN$24,1,Underwriting!$D$89+1),INDEX($L$31:$L$33,MATCH($B$6,$J$31:$J$33,0))),0),E$64&lt;EOMONTH(EDATE(INDEX(Underwriting!$L$24:$EN$24,1,Underwriting!$D$89+1),INDEX($L$31:$L$33,MATCH($B$6,$J$31:$J$33,0))),0)))</f>
        <v>0</v>
      </c>
      <c r="G68" s="316">
        <f>--(AND(G$64&gt;=EOMONTH(EDATE(INDEX(Underwriting!$L$24:$EN$24,1,Underwriting!$D$89+1),INDEX($L$31:$L$33,MATCH($B$6,$J$31:$J$33,0))),0),F$64&lt;EOMONTH(EDATE(INDEX(Underwriting!$L$24:$EN$24,1,Underwriting!$D$89+1),INDEX($L$31:$L$33,MATCH($B$6,$J$31:$J$33,0))),0)))</f>
        <v>0</v>
      </c>
      <c r="H68" s="316">
        <f>--(AND(H$64&gt;=EOMONTH(EDATE(INDEX(Underwriting!$L$24:$EN$24,1,Underwriting!$D$89+1),INDEX($L$31:$L$33,MATCH($B$6,$J$31:$J$33,0))),0),G$64&lt;EOMONTH(EDATE(INDEX(Underwriting!$L$24:$EN$24,1,Underwriting!$D$89+1),INDEX($L$31:$L$33,MATCH($B$6,$J$31:$J$33,0))),0)))</f>
        <v>0</v>
      </c>
      <c r="I68" s="316">
        <f>--(AND(I$64&gt;=EOMONTH(EDATE(INDEX(Underwriting!$L$24:$EN$24,1,Underwriting!$D$89+1),INDEX($L$31:$L$33,MATCH($B$6,$J$31:$J$33,0))),0),H$64&lt;EOMONTH(EDATE(INDEX(Underwriting!$L$24:$EN$24,1,Underwriting!$D$89+1),INDEX($L$31:$L$33,MATCH($B$6,$J$31:$J$33,0))),0)))</f>
        <v>0</v>
      </c>
      <c r="J68" s="316">
        <f>--(AND(J$64&gt;=EOMONTH(EDATE(INDEX(Underwriting!$L$24:$EN$24,1,Underwriting!$D$89+1),INDEX($L$31:$L$33,MATCH($B$6,$J$31:$J$33,0))),0),I$64&lt;EOMONTH(EDATE(INDEX(Underwriting!$L$24:$EN$24,1,Underwriting!$D$89+1),INDEX($L$31:$L$33,MATCH($B$6,$J$31:$J$33,0))),0)))</f>
        <v>0</v>
      </c>
      <c r="K68" s="316">
        <f>--(AND(K$64&gt;=EOMONTH(EDATE(INDEX(Underwriting!$L$24:$EN$24,1,Underwriting!$D$89+1),INDEX($L$31:$L$33,MATCH($B$6,$J$31:$J$33,0))),0),J$64&lt;EOMONTH(EDATE(INDEX(Underwriting!$L$24:$EN$24,1,Underwriting!$D$89+1),INDEX($L$31:$L$33,MATCH($B$6,$J$31:$J$33,0))),0)))</f>
        <v>0</v>
      </c>
      <c r="L68" s="316">
        <f>--(AND(L$64&gt;=EOMONTH(EDATE(INDEX(Underwriting!$L$24:$EN$24,1,Underwriting!$D$89+1),INDEX($L$31:$L$33,MATCH($B$6,$J$31:$J$33,0))),0),K$64&lt;EOMONTH(EDATE(INDEX(Underwriting!$L$24:$EN$24,1,Underwriting!$D$89+1),INDEX($L$31:$L$33,MATCH($B$6,$J$31:$J$33,0))),0)))</f>
        <v>0</v>
      </c>
      <c r="M68" s="316">
        <f>--(AND(M$64&gt;=EOMONTH(EDATE(INDEX(Underwriting!$L$24:$EN$24,1,Underwriting!$D$89+1),INDEX($L$31:$L$33,MATCH($B$6,$J$31:$J$33,0))),0),L$64&lt;EOMONTH(EDATE(INDEX(Underwriting!$L$24:$EN$24,1,Underwriting!$D$89+1),INDEX($L$31:$L$33,MATCH($B$6,$J$31:$J$33,0))),0)))</f>
        <v>0</v>
      </c>
      <c r="N68" s="316">
        <f>--(AND(N$64&gt;=EOMONTH(EDATE(INDEX(Underwriting!$L$24:$EN$24,1,Underwriting!$D$89+1),INDEX($L$31:$L$33,MATCH($B$6,$J$31:$J$33,0))),0),M$64&lt;EOMONTH(EDATE(INDEX(Underwriting!$L$24:$EN$24,1,Underwriting!$D$89+1),INDEX($L$31:$L$33,MATCH($B$6,$J$31:$J$33,0))),0)))</f>
        <v>0</v>
      </c>
      <c r="O68" s="316">
        <f>--(AND(O$64&gt;=EOMONTH(EDATE(INDEX(Underwriting!$L$24:$EN$24,1,Underwriting!$D$89+1),INDEX($L$31:$L$33,MATCH($B$6,$J$31:$J$33,0))),0),N$64&lt;EOMONTH(EDATE(INDEX(Underwriting!$L$24:$EN$24,1,Underwriting!$D$89+1),INDEX($L$31:$L$33,MATCH($B$6,$J$31:$J$33,0))),0)))</f>
        <v>0</v>
      </c>
      <c r="P68" s="316">
        <f>--(AND(P$64&gt;=EOMONTH(EDATE(INDEX(Underwriting!$L$24:$EN$24,1,Underwriting!$D$89+1),INDEX($L$31:$L$33,MATCH($B$6,$J$31:$J$33,0))),0),O$64&lt;EOMONTH(EDATE(INDEX(Underwriting!$L$24:$EN$24,1,Underwriting!$D$89+1),INDEX($L$31:$L$33,MATCH($B$6,$J$31:$J$33,0))),0)))</f>
        <v>0</v>
      </c>
      <c r="Q68" s="316">
        <f>--(AND(Q$64&gt;=EOMONTH(EDATE(INDEX(Underwriting!$L$24:$EN$24,1,Underwriting!$D$89+1),INDEX($L$31:$L$33,MATCH($B$6,$J$31:$J$33,0))),0),P$64&lt;EOMONTH(EDATE(INDEX(Underwriting!$L$24:$EN$24,1,Underwriting!$D$89+1),INDEX($L$31:$L$33,MATCH($B$6,$J$31:$J$33,0))),0)))</f>
        <v>0</v>
      </c>
      <c r="R68" s="316">
        <f>--(AND(R$64&gt;=EOMONTH(EDATE(INDEX(Underwriting!$L$24:$EN$24,1,Underwriting!$D$89+1),INDEX($L$31:$L$33,MATCH($B$6,$J$31:$J$33,0))),0),Q$64&lt;EOMONTH(EDATE(INDEX(Underwriting!$L$24:$EN$24,1,Underwriting!$D$89+1),INDEX($L$31:$L$33,MATCH($B$6,$J$31:$J$33,0))),0)))</f>
        <v>0</v>
      </c>
      <c r="S68" s="316">
        <f>--(AND(S$64&gt;=EOMONTH(EDATE(INDEX(Underwriting!$L$24:$EN$24,1,Underwriting!$D$89+1),INDEX($L$31:$L$33,MATCH($B$6,$J$31:$J$33,0))),0),R$64&lt;EOMONTH(EDATE(INDEX(Underwriting!$L$24:$EN$24,1,Underwriting!$D$89+1),INDEX($L$31:$L$33,MATCH($B$6,$J$31:$J$33,0))),0)))</f>
        <v>0</v>
      </c>
      <c r="T68" s="316">
        <f>--(AND(T$64&gt;=EOMONTH(EDATE(INDEX(Underwriting!$L$24:$EN$24,1,Underwriting!$D$89+1),INDEX($L$31:$L$33,MATCH($B$6,$J$31:$J$33,0))),0),S$64&lt;EOMONTH(EDATE(INDEX(Underwriting!$L$24:$EN$24,1,Underwriting!$D$89+1),INDEX($L$31:$L$33,MATCH($B$6,$J$31:$J$33,0))),0)))</f>
        <v>0</v>
      </c>
      <c r="U68" s="316">
        <f>--(AND(U$64&gt;=EOMONTH(EDATE(INDEX(Underwriting!$L$24:$EN$24,1,Underwriting!$D$89+1),INDEX($L$31:$L$33,MATCH($B$6,$J$31:$J$33,0))),0),T$64&lt;EOMONTH(EDATE(INDEX(Underwriting!$L$24:$EN$24,1,Underwriting!$D$89+1),INDEX($L$31:$L$33,MATCH($B$6,$J$31:$J$33,0))),0)))</f>
        <v>0</v>
      </c>
      <c r="V68" s="316">
        <f>--(AND(V$64&gt;=EOMONTH(EDATE(INDEX(Underwriting!$L$24:$EN$24,1,Underwriting!$D$89+1),INDEX($L$31:$L$33,MATCH($B$6,$J$31:$J$33,0))),0),U$64&lt;EOMONTH(EDATE(INDEX(Underwriting!$L$24:$EN$24,1,Underwriting!$D$89+1),INDEX($L$31:$L$33,MATCH($B$6,$J$31:$J$33,0))),0)))</f>
        <v>0</v>
      </c>
      <c r="W68" s="316">
        <f>--(AND(W$64&gt;=EOMONTH(EDATE(INDEX(Underwriting!$L$24:$EN$24,1,Underwriting!$D$89+1),INDEX($L$31:$L$33,MATCH($B$6,$J$31:$J$33,0))),0),V$64&lt;EOMONTH(EDATE(INDEX(Underwriting!$L$24:$EN$24,1,Underwriting!$D$89+1),INDEX($L$31:$L$33,MATCH($B$6,$J$31:$J$33,0))),0)))</f>
        <v>0</v>
      </c>
      <c r="X68" s="316">
        <f>--(AND(X$64&gt;=EOMONTH(EDATE(INDEX(Underwriting!$L$24:$EN$24,1,Underwriting!$D$89+1),INDEX($L$31:$L$33,MATCH($B$6,$J$31:$J$33,0))),0),W$64&lt;EOMONTH(EDATE(INDEX(Underwriting!$L$24:$EN$24,1,Underwriting!$D$89+1),INDEX($L$31:$L$33,MATCH($B$6,$J$31:$J$33,0))),0)))</f>
        <v>0</v>
      </c>
      <c r="Y68" s="316">
        <f>--(AND(Y$64&gt;=EOMONTH(EDATE(INDEX(Underwriting!$L$24:$EN$24,1,Underwriting!$D$89+1),INDEX($L$31:$L$33,MATCH($B$6,$J$31:$J$33,0))),0),X$64&lt;EOMONTH(EDATE(INDEX(Underwriting!$L$24:$EN$24,1,Underwriting!$D$89+1),INDEX($L$31:$L$33,MATCH($B$6,$J$31:$J$33,0))),0)))</f>
        <v>0</v>
      </c>
      <c r="Z68" s="316">
        <f>--(AND(Z$64&gt;=EOMONTH(EDATE(INDEX(Underwriting!$L$24:$EN$24,1,Underwriting!$D$89+1),INDEX($L$31:$L$33,MATCH($B$6,$J$31:$J$33,0))),0),Y$64&lt;EOMONTH(EDATE(INDEX(Underwriting!$L$24:$EN$24,1,Underwriting!$D$89+1),INDEX($L$31:$L$33,MATCH($B$6,$J$31:$J$33,0))),0)))</f>
        <v>0</v>
      </c>
      <c r="AA68" s="316">
        <f>--(AND(AA$64&gt;=EOMONTH(EDATE(INDEX(Underwriting!$L$24:$EN$24,1,Underwriting!$D$89+1),INDEX($L$31:$L$33,MATCH($B$6,$J$31:$J$33,0))),0),Z$64&lt;EOMONTH(EDATE(INDEX(Underwriting!$L$24:$EN$24,1,Underwriting!$D$89+1),INDEX($L$31:$L$33,MATCH($B$6,$J$31:$J$33,0))),0)))</f>
        <v>0</v>
      </c>
      <c r="AB68" s="316">
        <f>--(AND(AB$64&gt;=EOMONTH(EDATE(INDEX(Underwriting!$L$24:$EN$24,1,Underwriting!$D$89+1),INDEX($L$31:$L$33,MATCH($B$6,$J$31:$J$33,0))),0),AA$64&lt;EOMONTH(EDATE(INDEX(Underwriting!$L$24:$EN$24,1,Underwriting!$D$89+1),INDEX($L$31:$L$33,MATCH($B$6,$J$31:$J$33,0))),0)))</f>
        <v>0</v>
      </c>
      <c r="AC68" s="316">
        <f>--(AND(AC$64&gt;=EOMONTH(EDATE(INDEX(Underwriting!$L$24:$EN$24,1,Underwriting!$D$89+1),INDEX($L$31:$L$33,MATCH($B$6,$J$31:$J$33,0))),0),AB$64&lt;EOMONTH(EDATE(INDEX(Underwriting!$L$24:$EN$24,1,Underwriting!$D$89+1),INDEX($L$31:$L$33,MATCH($B$6,$J$31:$J$33,0))),0)))</f>
        <v>0</v>
      </c>
      <c r="AD68" s="316">
        <f>--(AND(AD$64&gt;=EOMONTH(EDATE(INDEX(Underwriting!$L$24:$EN$24,1,Underwriting!$D$89+1),INDEX($L$31:$L$33,MATCH($B$6,$J$31:$J$33,0))),0),AC$64&lt;EOMONTH(EDATE(INDEX(Underwriting!$L$24:$EN$24,1,Underwriting!$D$89+1),INDEX($L$31:$L$33,MATCH($B$6,$J$31:$J$33,0))),0)))</f>
        <v>0</v>
      </c>
      <c r="AE68" s="316">
        <f>--(AND(AE$64&gt;=EOMONTH(EDATE(INDEX(Underwriting!$L$24:$EN$24,1,Underwriting!$D$89+1),INDEX($L$31:$L$33,MATCH($B$6,$J$31:$J$33,0))),0),AD$64&lt;EOMONTH(EDATE(INDEX(Underwriting!$L$24:$EN$24,1,Underwriting!$D$89+1),INDEX($L$31:$L$33,MATCH($B$6,$J$31:$J$33,0))),0)))</f>
        <v>0</v>
      </c>
      <c r="AF68" s="316">
        <f>--(AND(AF$64&gt;=EOMONTH(EDATE(INDEX(Underwriting!$L$24:$EN$24,1,Underwriting!$D$89+1),INDEX($L$31:$L$33,MATCH($B$6,$J$31:$J$33,0))),0),AE$64&lt;EOMONTH(EDATE(INDEX(Underwriting!$L$24:$EN$24,1,Underwriting!$D$89+1),INDEX($L$31:$L$33,MATCH($B$6,$J$31:$J$33,0))),0)))</f>
        <v>0</v>
      </c>
      <c r="AG68" s="316">
        <f>--(AND(AG$64&gt;=EOMONTH(EDATE(INDEX(Underwriting!$L$24:$EN$24,1,Underwriting!$D$89+1),INDEX($L$31:$L$33,MATCH($B$6,$J$31:$J$33,0))),0),AF$64&lt;EOMONTH(EDATE(INDEX(Underwriting!$L$24:$EN$24,1,Underwriting!$D$89+1),INDEX($L$31:$L$33,MATCH($B$6,$J$31:$J$33,0))),0)))</f>
        <v>0</v>
      </c>
      <c r="AH68" s="316">
        <f>--(AND(AH$64&gt;=EOMONTH(EDATE(INDEX(Underwriting!$L$24:$EN$24,1,Underwriting!$D$89+1),INDEX($L$31:$L$33,MATCH($B$6,$J$31:$J$33,0))),0),AG$64&lt;EOMONTH(EDATE(INDEX(Underwriting!$L$24:$EN$24,1,Underwriting!$D$89+1),INDEX($L$31:$L$33,MATCH($B$6,$J$31:$J$33,0))),0)))</f>
        <v>0</v>
      </c>
      <c r="AI68" s="316">
        <f>--(AND(AI$64&gt;=EOMONTH(EDATE(INDEX(Underwriting!$L$24:$EN$24,1,Underwriting!$D$89+1),INDEX($L$31:$L$33,MATCH($B$6,$J$31:$J$33,0))),0),AH$64&lt;EOMONTH(EDATE(INDEX(Underwriting!$L$24:$EN$24,1,Underwriting!$D$89+1),INDEX($L$31:$L$33,MATCH($B$6,$J$31:$J$33,0))),0)))</f>
        <v>0</v>
      </c>
      <c r="AJ68" s="316">
        <f>--(AND(AJ$64&gt;=EOMONTH(EDATE(INDEX(Underwriting!$L$24:$EN$24,1,Underwriting!$D$89+1),INDEX($L$31:$L$33,MATCH($B$6,$J$31:$J$33,0))),0),AI$64&lt;EOMONTH(EDATE(INDEX(Underwriting!$L$24:$EN$24,1,Underwriting!$D$89+1),INDEX($L$31:$L$33,MATCH($B$6,$J$31:$J$33,0))),0)))</f>
        <v>0</v>
      </c>
      <c r="AK68" s="316">
        <f>--(AND(AK$64&gt;=EOMONTH(EDATE(INDEX(Underwriting!$L$24:$EN$24,1,Underwriting!$D$89+1),INDEX($L$31:$L$33,MATCH($B$6,$J$31:$J$33,0))),0),AJ$64&lt;EOMONTH(EDATE(INDEX(Underwriting!$L$24:$EN$24,1,Underwriting!$D$89+1),INDEX($L$31:$L$33,MATCH($B$6,$J$31:$J$33,0))),0)))</f>
        <v>0</v>
      </c>
      <c r="AL68" s="316">
        <f>--(AND(AL$64&gt;=EOMONTH(EDATE(INDEX(Underwriting!$L$24:$EN$24,1,Underwriting!$D$89+1),INDEX($L$31:$L$33,MATCH($B$6,$J$31:$J$33,0))),0),AK$64&lt;EOMONTH(EDATE(INDEX(Underwriting!$L$24:$EN$24,1,Underwriting!$D$89+1),INDEX($L$31:$L$33,MATCH($B$6,$J$31:$J$33,0))),0)))</f>
        <v>0</v>
      </c>
      <c r="AM68" s="316">
        <f>--(AND(AM$64&gt;=EOMONTH(EDATE(INDEX(Underwriting!$L$24:$EN$24,1,Underwriting!$D$89+1),INDEX($L$31:$L$33,MATCH($B$6,$J$31:$J$33,0))),0),AL$64&lt;EOMONTH(EDATE(INDEX(Underwriting!$L$24:$EN$24,1,Underwriting!$D$89+1),INDEX($L$31:$L$33,MATCH($B$6,$J$31:$J$33,0))),0)))</f>
        <v>0</v>
      </c>
      <c r="AN68" s="316">
        <f>--(AND(AN$64&gt;=EOMONTH(EDATE(INDEX(Underwriting!$L$24:$EN$24,1,Underwriting!$D$89+1),INDEX($L$31:$L$33,MATCH($B$6,$J$31:$J$33,0))),0),AM$64&lt;EOMONTH(EDATE(INDEX(Underwriting!$L$24:$EN$24,1,Underwriting!$D$89+1),INDEX($L$31:$L$33,MATCH($B$6,$J$31:$J$33,0))),0)))</f>
        <v>0</v>
      </c>
      <c r="AO68" s="316">
        <f>--(AND(AO$64&gt;=EOMONTH(EDATE(INDEX(Underwriting!$L$24:$EN$24,1,Underwriting!$D$89+1),INDEX($L$31:$L$33,MATCH($B$6,$J$31:$J$33,0))),0),AN$64&lt;EOMONTH(EDATE(INDEX(Underwriting!$L$24:$EN$24,1,Underwriting!$D$89+1),INDEX($L$31:$L$33,MATCH($B$6,$J$31:$J$33,0))),0)))</f>
        <v>0</v>
      </c>
      <c r="AP68" s="316">
        <f>--(AND(AP$64&gt;=EOMONTH(EDATE(INDEX(Underwriting!$L$24:$EN$24,1,Underwriting!$D$89+1),INDEX($L$31:$L$33,MATCH($B$6,$J$31:$J$33,0))),0),AO$64&lt;EOMONTH(EDATE(INDEX(Underwriting!$L$24:$EN$24,1,Underwriting!$D$89+1),INDEX($L$31:$L$33,MATCH($B$6,$J$31:$J$33,0))),0)))</f>
        <v>0</v>
      </c>
      <c r="AQ68" s="316">
        <f>--(AND(AQ$64&gt;=EOMONTH(EDATE(INDEX(Underwriting!$L$24:$EN$24,1,Underwriting!$D$89+1),INDEX($L$31:$L$33,MATCH($B$6,$J$31:$J$33,0))),0),AP$64&lt;EOMONTH(EDATE(INDEX(Underwriting!$L$24:$EN$24,1,Underwriting!$D$89+1),INDEX($L$31:$L$33,MATCH($B$6,$J$31:$J$33,0))),0)))</f>
        <v>0</v>
      </c>
      <c r="AR68" s="316">
        <f>--(AND(AR$64&gt;=EOMONTH(EDATE(INDEX(Underwriting!$L$24:$EN$24,1,Underwriting!$D$89+1),INDEX($L$31:$L$33,MATCH($B$6,$J$31:$J$33,0))),0),AQ$64&lt;EOMONTH(EDATE(INDEX(Underwriting!$L$24:$EN$24,1,Underwriting!$D$89+1),INDEX($L$31:$L$33,MATCH($B$6,$J$31:$J$33,0))),0)))</f>
        <v>0</v>
      </c>
      <c r="AS68" s="316">
        <f>--(AND(AS$64&gt;=EOMONTH(EDATE(INDEX(Underwriting!$L$24:$EN$24,1,Underwriting!$D$89+1),INDEX($L$31:$L$33,MATCH($B$6,$J$31:$J$33,0))),0),AR$64&lt;EOMONTH(EDATE(INDEX(Underwriting!$L$24:$EN$24,1,Underwriting!$D$89+1),INDEX($L$31:$L$33,MATCH($B$6,$J$31:$J$33,0))),0)))</f>
        <v>0</v>
      </c>
      <c r="AT68" s="316">
        <f>--(AND(AT$64&gt;=EOMONTH(EDATE(INDEX(Underwriting!$L$24:$EN$24,1,Underwriting!$D$89+1),INDEX($L$31:$L$33,MATCH($B$6,$J$31:$J$33,0))),0),AS$64&lt;EOMONTH(EDATE(INDEX(Underwriting!$L$24:$EN$24,1,Underwriting!$D$89+1),INDEX($L$31:$L$33,MATCH($B$6,$J$31:$J$33,0))),0)))</f>
        <v>0</v>
      </c>
      <c r="AU68" s="316">
        <f>--(AND(AU$64&gt;=EOMONTH(EDATE(INDEX(Underwriting!$L$24:$EN$24,1,Underwriting!$D$89+1),INDEX($L$31:$L$33,MATCH($B$6,$J$31:$J$33,0))),0),AT$64&lt;EOMONTH(EDATE(INDEX(Underwriting!$L$24:$EN$24,1,Underwriting!$D$89+1),INDEX($L$31:$L$33,MATCH($B$6,$J$31:$J$33,0))),0)))</f>
        <v>0</v>
      </c>
      <c r="AV68" s="316">
        <f>--(AND(AV$64&gt;=EOMONTH(EDATE(INDEX(Underwriting!$L$24:$EN$24,1,Underwriting!$D$89+1),INDEX($L$31:$L$33,MATCH($B$6,$J$31:$J$33,0))),0),AU$64&lt;EOMONTH(EDATE(INDEX(Underwriting!$L$24:$EN$24,1,Underwriting!$D$89+1),INDEX($L$31:$L$33,MATCH($B$6,$J$31:$J$33,0))),0)))</f>
        <v>0</v>
      </c>
      <c r="AW68" s="316">
        <f>--(AND(AW$64&gt;=EOMONTH(EDATE(INDEX(Underwriting!$L$24:$EN$24,1,Underwriting!$D$89+1),INDEX($L$31:$L$33,MATCH($B$6,$J$31:$J$33,0))),0),AV$64&lt;EOMONTH(EDATE(INDEX(Underwriting!$L$24:$EN$24,1,Underwriting!$D$89+1),INDEX($L$31:$L$33,MATCH($B$6,$J$31:$J$33,0))),0)))</f>
        <v>0</v>
      </c>
      <c r="AX68" s="316">
        <f>--(AND(AX$64&gt;=EOMONTH(EDATE(INDEX(Underwriting!$L$24:$EN$24,1,Underwriting!$D$89+1),INDEX($L$31:$L$33,MATCH($B$6,$J$31:$J$33,0))),0),AW$64&lt;EOMONTH(EDATE(INDEX(Underwriting!$L$24:$EN$24,1,Underwriting!$D$89+1),INDEX($L$31:$L$33,MATCH($B$6,$J$31:$J$33,0))),0)))</f>
        <v>0</v>
      </c>
      <c r="AY68" s="316">
        <f>--(AND(AY$64&gt;=EOMONTH(EDATE(INDEX(Underwriting!$L$24:$EN$24,1,Underwriting!$D$89+1),INDEX($L$31:$L$33,MATCH($B$6,$J$31:$J$33,0))),0),AX$64&lt;EOMONTH(EDATE(INDEX(Underwriting!$L$24:$EN$24,1,Underwriting!$D$89+1),INDEX($L$31:$L$33,MATCH($B$6,$J$31:$J$33,0))),0)))</f>
        <v>0</v>
      </c>
      <c r="AZ68" s="316">
        <f>--(AND(AZ$64&gt;=EOMONTH(EDATE(INDEX(Underwriting!$L$24:$EN$24,1,Underwriting!$D$89+1),INDEX($L$31:$L$33,MATCH($B$6,$J$31:$J$33,0))),0),AY$64&lt;EOMONTH(EDATE(INDEX(Underwriting!$L$24:$EN$24,1,Underwriting!$D$89+1),INDEX($L$31:$L$33,MATCH($B$6,$J$31:$J$33,0))),0)))</f>
        <v>0</v>
      </c>
      <c r="BA68" s="316">
        <f>--(AND(BA$64&gt;=EOMONTH(EDATE(INDEX(Underwriting!$L$24:$EN$24,1,Underwriting!$D$89+1),INDEX($L$31:$L$33,MATCH($B$6,$J$31:$J$33,0))),0),AZ$64&lt;EOMONTH(EDATE(INDEX(Underwriting!$L$24:$EN$24,1,Underwriting!$D$89+1),INDEX($L$31:$L$33,MATCH($B$6,$J$31:$J$33,0))),0)))</f>
        <v>0</v>
      </c>
      <c r="BB68" s="316">
        <f>--(AND(BB$64&gt;=EOMONTH(EDATE(INDEX(Underwriting!$L$24:$EN$24,1,Underwriting!$D$89+1),INDEX($L$31:$L$33,MATCH($B$6,$J$31:$J$33,0))),0),BA$64&lt;EOMONTH(EDATE(INDEX(Underwriting!$L$24:$EN$24,1,Underwriting!$D$89+1),INDEX($L$31:$L$33,MATCH($B$6,$J$31:$J$33,0))),0)))</f>
        <v>0</v>
      </c>
      <c r="BC68" s="316">
        <f>--(AND(BC$64&gt;=EOMONTH(EDATE(INDEX(Underwriting!$L$24:$EN$24,1,Underwriting!$D$89+1),INDEX($L$31:$L$33,MATCH($B$6,$J$31:$J$33,0))),0),BB$64&lt;EOMONTH(EDATE(INDEX(Underwriting!$L$24:$EN$24,1,Underwriting!$D$89+1),INDEX($L$31:$L$33,MATCH($B$6,$J$31:$J$33,0))),0)))</f>
        <v>1</v>
      </c>
      <c r="BD68" s="316">
        <f>--(AND(BD$64&gt;=EOMONTH(EDATE(INDEX(Underwriting!$L$24:$EN$24,1,Underwriting!$D$89+1),INDEX($L$31:$L$33,MATCH($B$6,$J$31:$J$33,0))),0),BC$64&lt;EOMONTH(EDATE(INDEX(Underwriting!$L$24:$EN$24,1,Underwriting!$D$89+1),INDEX($L$31:$L$33,MATCH($B$6,$J$31:$J$33,0))),0)))</f>
        <v>0</v>
      </c>
      <c r="BE68" s="316">
        <f>--(AND(BE$64&gt;=EOMONTH(EDATE(INDEX(Underwriting!$L$24:$EN$24,1,Underwriting!$D$89+1),INDEX($L$31:$L$33,MATCH($B$6,$J$31:$J$33,0))),0),BD$64&lt;EOMONTH(EDATE(INDEX(Underwriting!$L$24:$EN$24,1,Underwriting!$D$89+1),INDEX($L$31:$L$33,MATCH($B$6,$J$31:$J$33,0))),0)))</f>
        <v>0</v>
      </c>
      <c r="BF68" s="316">
        <f>--(AND(BF$64&gt;=EOMONTH(EDATE(INDEX(Underwriting!$L$24:$EN$24,1,Underwriting!$D$89+1),INDEX($L$31:$L$33,MATCH($B$6,$J$31:$J$33,0))),0),BE$64&lt;EOMONTH(EDATE(INDEX(Underwriting!$L$24:$EN$24,1,Underwriting!$D$89+1),INDEX($L$31:$L$33,MATCH($B$6,$J$31:$J$33,0))),0)))</f>
        <v>0</v>
      </c>
      <c r="BG68" s="316">
        <f>--(AND(BG$64&gt;=EOMONTH(EDATE(INDEX(Underwriting!$L$24:$EN$24,1,Underwriting!$D$89+1),INDEX($L$31:$L$33,MATCH($B$6,$J$31:$J$33,0))),0),BF$64&lt;EOMONTH(EDATE(INDEX(Underwriting!$L$24:$EN$24,1,Underwriting!$D$89+1),INDEX($L$31:$L$33,MATCH($B$6,$J$31:$J$33,0))),0)))</f>
        <v>0</v>
      </c>
      <c r="BH68" s="316">
        <f>--(AND(BH$64&gt;=EOMONTH(EDATE(INDEX(Underwriting!$L$24:$EN$24,1,Underwriting!$D$89+1),INDEX($L$31:$L$33,MATCH($B$6,$J$31:$J$33,0))),0),BG$64&lt;EOMONTH(EDATE(INDEX(Underwriting!$L$24:$EN$24,1,Underwriting!$D$89+1),INDEX($L$31:$L$33,MATCH($B$6,$J$31:$J$33,0))),0)))</f>
        <v>0</v>
      </c>
      <c r="BI68" s="316">
        <f>--(AND(BI$64&gt;=EOMONTH(EDATE(INDEX(Underwriting!$L$24:$EN$24,1,Underwriting!$D$89+1),INDEX($L$31:$L$33,MATCH($B$6,$J$31:$J$33,0))),0),BH$64&lt;EOMONTH(EDATE(INDEX(Underwriting!$L$24:$EN$24,1,Underwriting!$D$89+1),INDEX($L$31:$L$33,MATCH($B$6,$J$31:$J$33,0))),0)))</f>
        <v>0</v>
      </c>
      <c r="BJ68" s="316">
        <f>--(AND(BJ$64&gt;=EOMONTH(EDATE(INDEX(Underwriting!$L$24:$EN$24,1,Underwriting!$D$89+1),INDEX($L$31:$L$33,MATCH($B$6,$J$31:$J$33,0))),0),BI$64&lt;EOMONTH(EDATE(INDEX(Underwriting!$L$24:$EN$24,1,Underwriting!$D$89+1),INDEX($L$31:$L$33,MATCH($B$6,$J$31:$J$33,0))),0)))</f>
        <v>0</v>
      </c>
      <c r="BK68" s="316">
        <f>--(AND(BK$64&gt;=EOMONTH(EDATE(INDEX(Underwriting!$L$24:$EN$24,1,Underwriting!$D$89+1),INDEX($L$31:$L$33,MATCH($B$6,$J$31:$J$33,0))),0),BJ$64&lt;EOMONTH(EDATE(INDEX(Underwriting!$L$24:$EN$24,1,Underwriting!$D$89+1),INDEX($L$31:$L$33,MATCH($B$6,$J$31:$J$33,0))),0)))</f>
        <v>0</v>
      </c>
      <c r="BL68" s="316">
        <f>--(AND(BL$64&gt;=EOMONTH(EDATE(INDEX(Underwriting!$L$24:$EN$24,1,Underwriting!$D$89+1),INDEX($L$31:$L$33,MATCH($B$6,$J$31:$J$33,0))),0),BK$64&lt;EOMONTH(EDATE(INDEX(Underwriting!$L$24:$EN$24,1,Underwriting!$D$89+1),INDEX($L$31:$L$33,MATCH($B$6,$J$31:$J$33,0))),0)))</f>
        <v>0</v>
      </c>
      <c r="BM68" s="316">
        <f>--(AND(BM$64&gt;=EOMONTH(EDATE(INDEX(Underwriting!$L$24:$EN$24,1,Underwriting!$D$89+1),INDEX($L$31:$L$33,MATCH($B$6,$J$31:$J$33,0))),0),BL$64&lt;EOMONTH(EDATE(INDEX(Underwriting!$L$24:$EN$24,1,Underwriting!$D$89+1),INDEX($L$31:$L$33,MATCH($B$6,$J$31:$J$33,0))),0)))</f>
        <v>0</v>
      </c>
      <c r="BN68" s="316">
        <f>--(AND(BN$64&gt;=EOMONTH(EDATE(INDEX(Underwriting!$L$24:$EN$24,1,Underwriting!$D$89+1),INDEX($L$31:$L$33,MATCH($B$6,$J$31:$J$33,0))),0),BM$64&lt;EOMONTH(EDATE(INDEX(Underwriting!$L$24:$EN$24,1,Underwriting!$D$89+1),INDEX($L$31:$L$33,MATCH($B$6,$J$31:$J$33,0))),0)))</f>
        <v>0</v>
      </c>
      <c r="BO68" s="316">
        <f>--(AND(BO$64&gt;=EOMONTH(EDATE(INDEX(Underwriting!$L$24:$EN$24,1,Underwriting!$D$89+1),INDEX($L$31:$L$33,MATCH($B$6,$J$31:$J$33,0))),0),BN$64&lt;EOMONTH(EDATE(INDEX(Underwriting!$L$24:$EN$24,1,Underwriting!$D$89+1),INDEX($L$31:$L$33,MATCH($B$6,$J$31:$J$33,0))),0)))</f>
        <v>0</v>
      </c>
      <c r="BP68" s="316">
        <f>--(AND(BP$64&gt;=EOMONTH(EDATE(INDEX(Underwriting!$L$24:$EN$24,1,Underwriting!$D$89+1),INDEX($L$31:$L$33,MATCH($B$6,$J$31:$J$33,0))),0),BO$64&lt;EOMONTH(EDATE(INDEX(Underwriting!$L$24:$EN$24,1,Underwriting!$D$89+1),INDEX($L$31:$L$33,MATCH($B$6,$J$31:$J$33,0))),0)))</f>
        <v>0</v>
      </c>
      <c r="BQ68" s="316">
        <f>--(AND(BQ$64&gt;=EOMONTH(EDATE(INDEX(Underwriting!$L$24:$EN$24,1,Underwriting!$D$89+1),INDEX($L$31:$L$33,MATCH($B$6,$J$31:$J$33,0))),0),BP$64&lt;EOMONTH(EDATE(INDEX(Underwriting!$L$24:$EN$24,1,Underwriting!$D$89+1),INDEX($L$31:$L$33,MATCH($B$6,$J$31:$J$33,0))),0)))</f>
        <v>0</v>
      </c>
      <c r="BR68" s="316">
        <f>--(AND(BR$64&gt;=EOMONTH(EDATE(INDEX(Underwriting!$L$24:$EN$24,1,Underwriting!$D$89+1),INDEX($L$31:$L$33,MATCH($B$6,$J$31:$J$33,0))),0),BQ$64&lt;EOMONTH(EDATE(INDEX(Underwriting!$L$24:$EN$24,1,Underwriting!$D$89+1),INDEX($L$31:$L$33,MATCH($B$6,$J$31:$J$33,0))),0)))</f>
        <v>0</v>
      </c>
      <c r="BS68" s="316">
        <f>--(AND(BS$64&gt;=EOMONTH(EDATE(INDEX(Underwriting!$L$24:$EN$24,1,Underwriting!$D$89+1),INDEX($L$31:$L$33,MATCH($B$6,$J$31:$J$33,0))),0),BR$64&lt;EOMONTH(EDATE(INDEX(Underwriting!$L$24:$EN$24,1,Underwriting!$D$89+1),INDEX($L$31:$L$33,MATCH($B$6,$J$31:$J$33,0))),0)))</f>
        <v>0</v>
      </c>
      <c r="BT68" s="316">
        <f>--(AND(BT$64&gt;=EOMONTH(EDATE(INDEX(Underwriting!$L$24:$EN$24,1,Underwriting!$D$89+1),INDEX($L$31:$L$33,MATCH($B$6,$J$31:$J$33,0))),0),BS$64&lt;EOMONTH(EDATE(INDEX(Underwriting!$L$24:$EN$24,1,Underwriting!$D$89+1),INDEX($L$31:$L$33,MATCH($B$6,$J$31:$J$33,0))),0)))</f>
        <v>0</v>
      </c>
      <c r="BU68" s="316">
        <f>--(AND(BU$64&gt;=EOMONTH(EDATE(INDEX(Underwriting!$L$24:$EN$24,1,Underwriting!$D$89+1),INDEX($L$31:$L$33,MATCH($B$6,$J$31:$J$33,0))),0),BT$64&lt;EOMONTH(EDATE(INDEX(Underwriting!$L$24:$EN$24,1,Underwriting!$D$89+1),INDEX($L$31:$L$33,MATCH($B$6,$J$31:$J$33,0))),0)))</f>
        <v>0</v>
      </c>
      <c r="BV68" s="316">
        <f>--(AND(BV$64&gt;=EOMONTH(EDATE(INDEX(Underwriting!$L$24:$EN$24,1,Underwriting!$D$89+1),INDEX($L$31:$L$33,MATCH($B$6,$J$31:$J$33,0))),0),BU$64&lt;EOMONTH(EDATE(INDEX(Underwriting!$L$24:$EN$24,1,Underwriting!$D$89+1),INDEX($L$31:$L$33,MATCH($B$6,$J$31:$J$33,0))),0)))</f>
        <v>0</v>
      </c>
      <c r="BW68" s="316">
        <f>--(AND(BW$64&gt;=EOMONTH(EDATE(INDEX(Underwriting!$L$24:$EN$24,1,Underwriting!$D$89+1),INDEX($L$31:$L$33,MATCH($B$6,$J$31:$J$33,0))),0),BV$64&lt;EOMONTH(EDATE(INDEX(Underwriting!$L$24:$EN$24,1,Underwriting!$D$89+1),INDEX($L$31:$L$33,MATCH($B$6,$J$31:$J$33,0))),0)))</f>
        <v>0</v>
      </c>
      <c r="BX68" s="316">
        <f>--(AND(BX$64&gt;=EOMONTH(EDATE(INDEX(Underwriting!$L$24:$EN$24,1,Underwriting!$D$89+1),INDEX($L$31:$L$33,MATCH($B$6,$J$31:$J$33,0))),0),BW$64&lt;EOMONTH(EDATE(INDEX(Underwriting!$L$24:$EN$24,1,Underwriting!$D$89+1),INDEX($L$31:$L$33,MATCH($B$6,$J$31:$J$33,0))),0)))</f>
        <v>0</v>
      </c>
      <c r="BY68" s="316">
        <f>--(AND(BY$64&gt;=EOMONTH(EDATE(INDEX(Underwriting!$L$24:$EN$24,1,Underwriting!$D$89+1),INDEX($L$31:$L$33,MATCH($B$6,$J$31:$J$33,0))),0),BX$64&lt;EOMONTH(EDATE(INDEX(Underwriting!$L$24:$EN$24,1,Underwriting!$D$89+1),INDEX($L$31:$L$33,MATCH($B$6,$J$31:$J$33,0))),0)))</f>
        <v>0</v>
      </c>
      <c r="BZ68" s="316">
        <f>--(AND(BZ$64&gt;=EOMONTH(EDATE(INDEX(Underwriting!$L$24:$EN$24,1,Underwriting!$D$89+1),INDEX($L$31:$L$33,MATCH($B$6,$J$31:$J$33,0))),0),BY$64&lt;EOMONTH(EDATE(INDEX(Underwriting!$L$24:$EN$24,1,Underwriting!$D$89+1),INDEX($L$31:$L$33,MATCH($B$6,$J$31:$J$33,0))),0)))</f>
        <v>0</v>
      </c>
      <c r="CA68" s="316">
        <f>--(AND(CA$64&gt;=EOMONTH(EDATE(INDEX(Underwriting!$L$24:$EN$24,1,Underwriting!$D$89+1),INDEX($L$31:$L$33,MATCH($B$6,$J$31:$J$33,0))),0),BZ$64&lt;EOMONTH(EDATE(INDEX(Underwriting!$L$24:$EN$24,1,Underwriting!$D$89+1),INDEX($L$31:$L$33,MATCH($B$6,$J$31:$J$33,0))),0)))</f>
        <v>0</v>
      </c>
      <c r="CB68" s="316">
        <f>--(AND(CB$64&gt;=EOMONTH(EDATE(INDEX(Underwriting!$L$24:$EN$24,1,Underwriting!$D$89+1),INDEX($L$31:$L$33,MATCH($B$6,$J$31:$J$33,0))),0),CA$64&lt;EOMONTH(EDATE(INDEX(Underwriting!$L$24:$EN$24,1,Underwriting!$D$89+1),INDEX($L$31:$L$33,MATCH($B$6,$J$31:$J$33,0))),0)))</f>
        <v>0</v>
      </c>
      <c r="CC68" s="316">
        <f>--(AND(CC$64&gt;=EOMONTH(EDATE(INDEX(Underwriting!$L$24:$EN$24,1,Underwriting!$D$89+1),INDEX($L$31:$L$33,MATCH($B$6,$J$31:$J$33,0))),0),CB$64&lt;EOMONTH(EDATE(INDEX(Underwriting!$L$24:$EN$24,1,Underwriting!$D$89+1),INDEX($L$31:$L$33,MATCH($B$6,$J$31:$J$33,0))),0)))</f>
        <v>0</v>
      </c>
      <c r="CD68" s="316">
        <f>--(AND(CD$64&gt;=EOMONTH(EDATE(INDEX(Underwriting!$L$24:$EN$24,1,Underwriting!$D$89+1),INDEX($L$31:$L$33,MATCH($B$6,$J$31:$J$33,0))),0),CC$64&lt;EOMONTH(EDATE(INDEX(Underwriting!$L$24:$EN$24,1,Underwriting!$D$89+1),INDEX($L$31:$L$33,MATCH($B$6,$J$31:$J$33,0))),0)))</f>
        <v>0</v>
      </c>
      <c r="CE68" s="316">
        <f>--(AND(CE$64&gt;=EOMONTH(EDATE(INDEX(Underwriting!$L$24:$EN$24,1,Underwriting!$D$89+1),INDEX($L$31:$L$33,MATCH($B$6,$J$31:$J$33,0))),0),CD$64&lt;EOMONTH(EDATE(INDEX(Underwriting!$L$24:$EN$24,1,Underwriting!$D$89+1),INDEX($L$31:$L$33,MATCH($B$6,$J$31:$J$33,0))),0)))</f>
        <v>0</v>
      </c>
      <c r="CF68" s="316">
        <f>--(AND(CF$64&gt;=EOMONTH(EDATE(INDEX(Underwriting!$L$24:$EN$24,1,Underwriting!$D$89+1),INDEX($L$31:$L$33,MATCH($B$6,$J$31:$J$33,0))),0),CE$64&lt;EOMONTH(EDATE(INDEX(Underwriting!$L$24:$EN$24,1,Underwriting!$D$89+1),INDEX($L$31:$L$33,MATCH($B$6,$J$31:$J$33,0))),0)))</f>
        <v>0</v>
      </c>
      <c r="CG68" s="316">
        <f>--(AND(CG$64&gt;=EOMONTH(EDATE(INDEX(Underwriting!$L$24:$EN$24,1,Underwriting!$D$89+1),INDEX($L$31:$L$33,MATCH($B$6,$J$31:$J$33,0))),0),CF$64&lt;EOMONTH(EDATE(INDEX(Underwriting!$L$24:$EN$24,1,Underwriting!$D$89+1),INDEX($L$31:$L$33,MATCH($B$6,$J$31:$J$33,0))),0)))</f>
        <v>0</v>
      </c>
      <c r="CH68" s="316">
        <f>--(AND(CH$64&gt;=EOMONTH(EDATE(INDEX(Underwriting!$L$24:$EN$24,1,Underwriting!$D$89+1),INDEX($L$31:$L$33,MATCH($B$6,$J$31:$J$33,0))),0),CG$64&lt;EOMONTH(EDATE(INDEX(Underwriting!$L$24:$EN$24,1,Underwriting!$D$89+1),INDEX($L$31:$L$33,MATCH($B$6,$J$31:$J$33,0))),0)))</f>
        <v>0</v>
      </c>
      <c r="CI68" s="316">
        <f>--(AND(CI$64&gt;=EOMONTH(EDATE(INDEX(Underwriting!$L$24:$EN$24,1,Underwriting!$D$89+1),INDEX($L$31:$L$33,MATCH($B$6,$J$31:$J$33,0))),0),CH$64&lt;EOMONTH(EDATE(INDEX(Underwriting!$L$24:$EN$24,1,Underwriting!$D$89+1),INDEX($L$31:$L$33,MATCH($B$6,$J$31:$J$33,0))),0)))</f>
        <v>0</v>
      </c>
      <c r="CJ68" s="316">
        <f>--(AND(CJ$64&gt;=EOMONTH(EDATE(INDEX(Underwriting!$L$24:$EN$24,1,Underwriting!$D$89+1),INDEX($L$31:$L$33,MATCH($B$6,$J$31:$J$33,0))),0),CI$64&lt;EOMONTH(EDATE(INDEX(Underwriting!$L$24:$EN$24,1,Underwriting!$D$89+1),INDEX($L$31:$L$33,MATCH($B$6,$J$31:$J$33,0))),0)))</f>
        <v>0</v>
      </c>
      <c r="CK68" s="316">
        <f>--(AND(CK$64&gt;=EOMONTH(EDATE(INDEX(Underwriting!$L$24:$EN$24,1,Underwriting!$D$89+1),INDEX($L$31:$L$33,MATCH($B$6,$J$31:$J$33,0))),0),CJ$64&lt;EOMONTH(EDATE(INDEX(Underwriting!$L$24:$EN$24,1,Underwriting!$D$89+1),INDEX($L$31:$L$33,MATCH($B$6,$J$31:$J$33,0))),0)))</f>
        <v>0</v>
      </c>
      <c r="CL68" s="316">
        <f>--(AND(CL$64&gt;=EOMONTH(EDATE(INDEX(Underwriting!$L$24:$EN$24,1,Underwriting!$D$89+1),INDEX($L$31:$L$33,MATCH($B$6,$J$31:$J$33,0))),0),CK$64&lt;EOMONTH(EDATE(INDEX(Underwriting!$L$24:$EN$24,1,Underwriting!$D$89+1),INDEX($L$31:$L$33,MATCH($B$6,$J$31:$J$33,0))),0)))</f>
        <v>0</v>
      </c>
      <c r="CM68" s="316">
        <f>--(AND(CM$64&gt;=EOMONTH(EDATE(INDEX(Underwriting!$L$24:$EN$24,1,Underwriting!$D$89+1),INDEX($L$31:$L$33,MATCH($B$6,$J$31:$J$33,0))),0),CL$64&lt;EOMONTH(EDATE(INDEX(Underwriting!$L$24:$EN$24,1,Underwriting!$D$89+1),INDEX($L$31:$L$33,MATCH($B$6,$J$31:$J$33,0))),0)))</f>
        <v>0</v>
      </c>
      <c r="CN68" s="316">
        <f>--(AND(CN$64&gt;=EOMONTH(EDATE(INDEX(Underwriting!$L$24:$EN$24,1,Underwriting!$D$89+1),INDEX($L$31:$L$33,MATCH($B$6,$J$31:$J$33,0))),0),CM$64&lt;EOMONTH(EDATE(INDEX(Underwriting!$L$24:$EN$24,1,Underwriting!$D$89+1),INDEX($L$31:$L$33,MATCH($B$6,$J$31:$J$33,0))),0)))</f>
        <v>0</v>
      </c>
      <c r="CO68" s="316">
        <f>--(AND(CO$64&gt;=EOMONTH(EDATE(INDEX(Underwriting!$L$24:$EN$24,1,Underwriting!$D$89+1),INDEX($L$31:$L$33,MATCH($B$6,$J$31:$J$33,0))),0),CN$64&lt;EOMONTH(EDATE(INDEX(Underwriting!$L$24:$EN$24,1,Underwriting!$D$89+1),INDEX($L$31:$L$33,MATCH($B$6,$J$31:$J$33,0))),0)))</f>
        <v>0</v>
      </c>
      <c r="CP68" s="316">
        <f>--(AND(CP$64&gt;=EOMONTH(EDATE(INDEX(Underwriting!$L$24:$EN$24,1,Underwriting!$D$89+1),INDEX($L$31:$L$33,MATCH($B$6,$J$31:$J$33,0))),0),CO$64&lt;EOMONTH(EDATE(INDEX(Underwriting!$L$24:$EN$24,1,Underwriting!$D$89+1),INDEX($L$31:$L$33,MATCH($B$6,$J$31:$J$33,0))),0)))</f>
        <v>0</v>
      </c>
      <c r="CQ68" s="316">
        <f>--(AND(CQ$64&gt;=EOMONTH(EDATE(INDEX(Underwriting!$L$24:$EN$24,1,Underwriting!$D$89+1),INDEX($L$31:$L$33,MATCH($B$6,$J$31:$J$33,0))),0),CP$64&lt;EOMONTH(EDATE(INDEX(Underwriting!$L$24:$EN$24,1,Underwriting!$D$89+1),INDEX($L$31:$L$33,MATCH($B$6,$J$31:$J$33,0))),0)))</f>
        <v>0</v>
      </c>
      <c r="CR68" s="316">
        <f>--(AND(CR$64&gt;=EOMONTH(EDATE(INDEX(Underwriting!$L$24:$EN$24,1,Underwriting!$D$89+1),INDEX($L$31:$L$33,MATCH($B$6,$J$31:$J$33,0))),0),CQ$64&lt;EOMONTH(EDATE(INDEX(Underwriting!$L$24:$EN$24,1,Underwriting!$D$89+1),INDEX($L$31:$L$33,MATCH($B$6,$J$31:$J$33,0))),0)))</f>
        <v>0</v>
      </c>
      <c r="CS68" s="316">
        <f>--(AND(CS$64&gt;=EOMONTH(EDATE(INDEX(Underwriting!$L$24:$EN$24,1,Underwriting!$D$89+1),INDEX($L$31:$L$33,MATCH($B$6,$J$31:$J$33,0))),0),CR$64&lt;EOMONTH(EDATE(INDEX(Underwriting!$L$24:$EN$24,1,Underwriting!$D$89+1),INDEX($L$31:$L$33,MATCH($B$6,$J$31:$J$33,0))),0)))</f>
        <v>0</v>
      </c>
      <c r="CT68" s="316">
        <f>--(AND(CT$64&gt;=EOMONTH(EDATE(INDEX(Underwriting!$L$24:$EN$24,1,Underwriting!$D$89+1),INDEX($L$31:$L$33,MATCH($B$6,$J$31:$J$33,0))),0),CS$64&lt;EOMONTH(EDATE(INDEX(Underwriting!$L$24:$EN$24,1,Underwriting!$D$89+1),INDEX($L$31:$L$33,MATCH($B$6,$J$31:$J$33,0))),0)))</f>
        <v>0</v>
      </c>
      <c r="CU68" s="316">
        <f>--(AND(CU$64&gt;=EOMONTH(EDATE(INDEX(Underwriting!$L$24:$EN$24,1,Underwriting!$D$89+1),INDEX($L$31:$L$33,MATCH($B$6,$J$31:$J$33,0))),0),CT$64&lt;EOMONTH(EDATE(INDEX(Underwriting!$L$24:$EN$24,1,Underwriting!$D$89+1),INDEX($L$31:$L$33,MATCH($B$6,$J$31:$J$33,0))),0)))</f>
        <v>0</v>
      </c>
      <c r="CV68" s="316">
        <f>--(AND(CV$64&gt;=EOMONTH(EDATE(INDEX(Underwriting!$L$24:$EN$24,1,Underwriting!$D$89+1),INDEX($L$31:$L$33,MATCH($B$6,$J$31:$J$33,0))),0),CU$64&lt;EOMONTH(EDATE(INDEX(Underwriting!$L$24:$EN$24,1,Underwriting!$D$89+1),INDEX($L$31:$L$33,MATCH($B$6,$J$31:$J$33,0))),0)))</f>
        <v>0</v>
      </c>
      <c r="CW68" s="316">
        <f>--(AND(CW$64&gt;=EOMONTH(EDATE(INDEX(Underwriting!$L$24:$EN$24,1,Underwriting!$D$89+1),INDEX($L$31:$L$33,MATCH($B$6,$J$31:$J$33,0))),0),CV$64&lt;EOMONTH(EDATE(INDEX(Underwriting!$L$24:$EN$24,1,Underwriting!$D$89+1),INDEX($L$31:$L$33,MATCH($B$6,$J$31:$J$33,0))),0)))</f>
        <v>0</v>
      </c>
      <c r="CX68" s="316">
        <f>--(AND(CX$64&gt;=EOMONTH(EDATE(INDEX(Underwriting!$L$24:$EN$24,1,Underwriting!$D$89+1),INDEX($L$31:$L$33,MATCH($B$6,$J$31:$J$33,0))),0),CW$64&lt;EOMONTH(EDATE(INDEX(Underwriting!$L$24:$EN$24,1,Underwriting!$D$89+1),INDEX($L$31:$L$33,MATCH($B$6,$J$31:$J$33,0))),0)))</f>
        <v>0</v>
      </c>
      <c r="CY68" s="316">
        <f>--(AND(CY$64&gt;=EOMONTH(EDATE(INDEX(Underwriting!$L$24:$EN$24,1,Underwriting!$D$89+1),INDEX($L$31:$L$33,MATCH($B$6,$J$31:$J$33,0))),0),CX$64&lt;EOMONTH(EDATE(INDEX(Underwriting!$L$24:$EN$24,1,Underwriting!$D$89+1),INDEX($L$31:$L$33,MATCH($B$6,$J$31:$J$33,0))),0)))</f>
        <v>0</v>
      </c>
      <c r="CZ68" s="316">
        <f>--(AND(CZ$64&gt;=EOMONTH(EDATE(INDEX(Underwriting!$L$24:$EN$24,1,Underwriting!$D$89+1),INDEX($L$31:$L$33,MATCH($B$6,$J$31:$J$33,0))),0),CY$64&lt;EOMONTH(EDATE(INDEX(Underwriting!$L$24:$EN$24,1,Underwriting!$D$89+1),INDEX($L$31:$L$33,MATCH($B$6,$J$31:$J$33,0))),0)))</f>
        <v>0</v>
      </c>
      <c r="DA68" s="316">
        <f>--(AND(DA$64&gt;=EOMONTH(EDATE(INDEX(Underwriting!$L$24:$EN$24,1,Underwriting!$D$89+1),INDEX($L$31:$L$33,MATCH($B$6,$J$31:$J$33,0))),0),CZ$64&lt;EOMONTH(EDATE(INDEX(Underwriting!$L$24:$EN$24,1,Underwriting!$D$89+1),INDEX($L$31:$L$33,MATCH($B$6,$J$31:$J$33,0))),0)))</f>
        <v>0</v>
      </c>
      <c r="DB68" s="316">
        <f>--(AND(DB$64&gt;=EOMONTH(EDATE(INDEX(Underwriting!$L$24:$EN$24,1,Underwriting!$D$89+1),INDEX($L$31:$L$33,MATCH($B$6,$J$31:$J$33,0))),0),DA$64&lt;EOMONTH(EDATE(INDEX(Underwriting!$L$24:$EN$24,1,Underwriting!$D$89+1),INDEX($L$31:$L$33,MATCH($B$6,$J$31:$J$33,0))),0)))</f>
        <v>0</v>
      </c>
      <c r="DC68" s="316">
        <f>--(AND(DC$64&gt;=EOMONTH(EDATE(INDEX(Underwriting!$L$24:$EN$24,1,Underwriting!$D$89+1),INDEX($L$31:$L$33,MATCH($B$6,$J$31:$J$33,0))),0),DB$64&lt;EOMONTH(EDATE(INDEX(Underwriting!$L$24:$EN$24,1,Underwriting!$D$89+1),INDEX($L$31:$L$33,MATCH($B$6,$J$31:$J$33,0))),0)))</f>
        <v>0</v>
      </c>
      <c r="DD68" s="316">
        <f>--(AND(DD$64&gt;=EOMONTH(EDATE(INDEX(Underwriting!$L$24:$EN$24,1,Underwriting!$D$89+1),INDEX($L$31:$L$33,MATCH($B$6,$J$31:$J$33,0))),0),DC$64&lt;EOMONTH(EDATE(INDEX(Underwriting!$L$24:$EN$24,1,Underwriting!$D$89+1),INDEX($L$31:$L$33,MATCH($B$6,$J$31:$J$33,0))),0)))</f>
        <v>0</v>
      </c>
      <c r="DE68" s="316">
        <f>--(AND(DE$64&gt;=EOMONTH(EDATE(INDEX(Underwriting!$L$24:$EN$24,1,Underwriting!$D$89+1),INDEX($L$31:$L$33,MATCH($B$6,$J$31:$J$33,0))),0),DD$64&lt;EOMONTH(EDATE(INDEX(Underwriting!$L$24:$EN$24,1,Underwriting!$D$89+1),INDEX($L$31:$L$33,MATCH($B$6,$J$31:$J$33,0))),0)))</f>
        <v>0</v>
      </c>
      <c r="DF68" s="316">
        <f>--(AND(DF$64&gt;=EOMONTH(EDATE(INDEX(Underwriting!$L$24:$EN$24,1,Underwriting!$D$89+1),INDEX($L$31:$L$33,MATCH($B$6,$J$31:$J$33,0))),0),DE$64&lt;EOMONTH(EDATE(INDEX(Underwriting!$L$24:$EN$24,1,Underwriting!$D$89+1),INDEX($L$31:$L$33,MATCH($B$6,$J$31:$J$33,0))),0)))</f>
        <v>0</v>
      </c>
      <c r="DG68" s="316">
        <f>--(AND(DG$64&gt;=EOMONTH(EDATE(INDEX(Underwriting!$L$24:$EN$24,1,Underwriting!$D$89+1),INDEX($L$31:$L$33,MATCH($B$6,$J$31:$J$33,0))),0),DF$64&lt;EOMONTH(EDATE(INDEX(Underwriting!$L$24:$EN$24,1,Underwriting!$D$89+1),INDEX($L$31:$L$33,MATCH($B$6,$J$31:$J$33,0))),0)))</f>
        <v>0</v>
      </c>
      <c r="DH68" s="316">
        <f>--(AND(DH$64&gt;=EOMONTH(EDATE(INDEX(Underwriting!$L$24:$EN$24,1,Underwriting!$D$89+1),INDEX($L$31:$L$33,MATCH($B$6,$J$31:$J$33,0))),0),DG$64&lt;EOMONTH(EDATE(INDEX(Underwriting!$L$24:$EN$24,1,Underwriting!$D$89+1),INDEX($L$31:$L$33,MATCH($B$6,$J$31:$J$33,0))),0)))</f>
        <v>0</v>
      </c>
      <c r="DI68" s="316">
        <f>--(AND(DI$64&gt;=EOMONTH(EDATE(INDEX(Underwriting!$L$24:$EN$24,1,Underwriting!$D$89+1),INDEX($L$31:$L$33,MATCH($B$6,$J$31:$J$33,0))),0),DH$64&lt;EOMONTH(EDATE(INDEX(Underwriting!$L$24:$EN$24,1,Underwriting!$D$89+1),INDEX($L$31:$L$33,MATCH($B$6,$J$31:$J$33,0))),0)))</f>
        <v>0</v>
      </c>
      <c r="DJ68" s="316">
        <f>--(AND(DJ$64&gt;=EOMONTH(EDATE(INDEX(Underwriting!$L$24:$EN$24,1,Underwriting!$D$89+1),INDEX($L$31:$L$33,MATCH($B$6,$J$31:$J$33,0))),0),DI$64&lt;EOMONTH(EDATE(INDEX(Underwriting!$L$24:$EN$24,1,Underwriting!$D$89+1),INDEX($L$31:$L$33,MATCH($B$6,$J$31:$J$33,0))),0)))</f>
        <v>0</v>
      </c>
      <c r="DK68" s="316">
        <f>--(AND(DK$64&gt;=EOMONTH(EDATE(INDEX(Underwriting!$L$24:$EN$24,1,Underwriting!$D$89+1),INDEX($L$31:$L$33,MATCH($B$6,$J$31:$J$33,0))),0),DJ$64&lt;EOMONTH(EDATE(INDEX(Underwriting!$L$24:$EN$24,1,Underwriting!$D$89+1),INDEX($L$31:$L$33,MATCH($B$6,$J$31:$J$33,0))),0)))</f>
        <v>0</v>
      </c>
      <c r="DL68" s="316">
        <f>--(AND(DL$64&gt;=EOMONTH(EDATE(INDEX(Underwriting!$L$24:$EN$24,1,Underwriting!$D$89+1),INDEX($L$31:$L$33,MATCH($B$6,$J$31:$J$33,0))),0),DK$64&lt;EOMONTH(EDATE(INDEX(Underwriting!$L$24:$EN$24,1,Underwriting!$D$89+1),INDEX($L$31:$L$33,MATCH($B$6,$J$31:$J$33,0))),0)))</f>
        <v>0</v>
      </c>
      <c r="DM68" s="316">
        <f>--(AND(DM$64&gt;=EOMONTH(EDATE(INDEX(Underwriting!$L$24:$EN$24,1,Underwriting!$D$89+1),INDEX($L$31:$L$33,MATCH($B$6,$J$31:$J$33,0))),0),DL$64&lt;EOMONTH(EDATE(INDEX(Underwriting!$L$24:$EN$24,1,Underwriting!$D$89+1),INDEX($L$31:$L$33,MATCH($B$6,$J$31:$J$33,0))),0)))</f>
        <v>0</v>
      </c>
      <c r="DN68" s="316">
        <f>--(AND(DN$64&gt;=EOMONTH(EDATE(INDEX(Underwriting!$L$24:$EN$24,1,Underwriting!$D$89+1),INDEX($L$31:$L$33,MATCH($B$6,$J$31:$J$33,0))),0),DM$64&lt;EOMONTH(EDATE(INDEX(Underwriting!$L$24:$EN$24,1,Underwriting!$D$89+1),INDEX($L$31:$L$33,MATCH($B$6,$J$31:$J$33,0))),0)))</f>
        <v>0</v>
      </c>
      <c r="DO68" s="316">
        <f>--(AND(DO$64&gt;=EOMONTH(EDATE(INDEX(Underwriting!$L$24:$EN$24,1,Underwriting!$D$89+1),INDEX($L$31:$L$33,MATCH($B$6,$J$31:$J$33,0))),0),DN$64&lt;EOMONTH(EDATE(INDEX(Underwriting!$L$24:$EN$24,1,Underwriting!$D$89+1),INDEX($L$31:$L$33,MATCH($B$6,$J$31:$J$33,0))),0)))</f>
        <v>0</v>
      </c>
      <c r="DP68" s="316">
        <f>--(AND(DP$64&gt;=EOMONTH(EDATE(INDEX(Underwriting!$L$24:$EN$24,1,Underwriting!$D$89+1),INDEX($L$31:$L$33,MATCH($B$6,$J$31:$J$33,0))),0),DO$64&lt;EOMONTH(EDATE(INDEX(Underwriting!$L$24:$EN$24,1,Underwriting!$D$89+1),INDEX($L$31:$L$33,MATCH($B$6,$J$31:$J$33,0))),0)))</f>
        <v>0</v>
      </c>
      <c r="DQ68" s="316">
        <f>--(AND(DQ$64&gt;=EOMONTH(EDATE(INDEX(Underwriting!$L$24:$EN$24,1,Underwriting!$D$89+1),INDEX($L$31:$L$33,MATCH($B$6,$J$31:$J$33,0))),0),DP$64&lt;EOMONTH(EDATE(INDEX(Underwriting!$L$24:$EN$24,1,Underwriting!$D$89+1),INDEX($L$31:$L$33,MATCH($B$6,$J$31:$J$33,0))),0)))</f>
        <v>0</v>
      </c>
      <c r="DR68" s="316">
        <f>--(AND(DR$64&gt;=EOMONTH(EDATE(INDEX(Underwriting!$L$24:$EN$24,1,Underwriting!$D$89+1),INDEX($L$31:$L$33,MATCH($B$6,$J$31:$J$33,0))),0),DQ$64&lt;EOMONTH(EDATE(INDEX(Underwriting!$L$24:$EN$24,1,Underwriting!$D$89+1),INDEX($L$31:$L$33,MATCH($B$6,$J$31:$J$33,0))),0)))</f>
        <v>0</v>
      </c>
      <c r="DS68" s="316">
        <f>--(AND(DS$64&gt;=EOMONTH(EDATE(INDEX(Underwriting!$L$24:$EN$24,1,Underwriting!$D$89+1),INDEX($L$31:$L$33,MATCH($B$6,$J$31:$J$33,0))),0),DR$64&lt;EOMONTH(EDATE(INDEX(Underwriting!$L$24:$EN$24,1,Underwriting!$D$89+1),INDEX($L$31:$L$33,MATCH($B$6,$J$31:$J$33,0))),0)))</f>
        <v>0</v>
      </c>
      <c r="DT68" s="316">
        <f>--(AND(DT$64&gt;=EOMONTH(EDATE(INDEX(Underwriting!$L$24:$EN$24,1,Underwriting!$D$89+1),INDEX($L$31:$L$33,MATCH($B$6,$J$31:$J$33,0))),0),DS$64&lt;EOMONTH(EDATE(INDEX(Underwriting!$L$24:$EN$24,1,Underwriting!$D$89+1),INDEX($L$31:$L$33,MATCH($B$6,$J$31:$J$33,0))),0)))</f>
        <v>0</v>
      </c>
      <c r="DU68" s="316">
        <f>--(AND(DU$64&gt;=EOMONTH(EDATE(INDEX(Underwriting!$L$24:$EN$24,1,Underwriting!$D$89+1),INDEX($L$31:$L$33,MATCH($B$6,$J$31:$J$33,0))),0),DT$64&lt;EOMONTH(EDATE(INDEX(Underwriting!$L$24:$EN$24,1,Underwriting!$D$89+1),INDEX($L$31:$L$33,MATCH($B$6,$J$31:$J$33,0))),0)))</f>
        <v>0</v>
      </c>
      <c r="DV68" s="316">
        <f>--(AND(DV$64&gt;=EOMONTH(EDATE(INDEX(Underwriting!$L$24:$EN$24,1,Underwriting!$D$89+1),INDEX($L$31:$L$33,MATCH($B$6,$J$31:$J$33,0))),0),DU$64&lt;EOMONTH(EDATE(INDEX(Underwriting!$L$24:$EN$24,1,Underwriting!$D$89+1),INDEX($L$31:$L$33,MATCH($B$6,$J$31:$J$33,0))),0)))</f>
        <v>0</v>
      </c>
    </row>
    <row r="69" spans="1:126" ht="15" customHeight="1" x14ac:dyDescent="0.35">
      <c r="A69" s="307" t="s">
        <v>1491</v>
      </c>
      <c r="B69" s="308" t="s">
        <v>1488</v>
      </c>
      <c r="C69" s="1146" t="s">
        <v>1492</v>
      </c>
      <c r="D69" s="1147"/>
      <c r="F69" s="316">
        <f t="shared" ref="F69:AK69" si="12">--(AND(F$64&gt;=$B$35,E$64&lt;$B$35))</f>
        <v>0</v>
      </c>
      <c r="G69" s="316">
        <f t="shared" si="12"/>
        <v>0</v>
      </c>
      <c r="H69" s="316">
        <f t="shared" si="12"/>
        <v>0</v>
      </c>
      <c r="I69" s="316">
        <f t="shared" si="12"/>
        <v>0</v>
      </c>
      <c r="J69" s="316">
        <f t="shared" si="12"/>
        <v>0</v>
      </c>
      <c r="K69" s="316">
        <f t="shared" si="12"/>
        <v>0</v>
      </c>
      <c r="L69" s="316">
        <f t="shared" si="12"/>
        <v>0</v>
      </c>
      <c r="M69" s="316">
        <f t="shared" si="12"/>
        <v>0</v>
      </c>
      <c r="N69" s="316">
        <f t="shared" si="12"/>
        <v>0</v>
      </c>
      <c r="O69" s="316">
        <f t="shared" si="12"/>
        <v>0</v>
      </c>
      <c r="P69" s="316">
        <f t="shared" si="12"/>
        <v>0</v>
      </c>
      <c r="Q69" s="316">
        <f t="shared" si="12"/>
        <v>0</v>
      </c>
      <c r="R69" s="316">
        <f t="shared" si="12"/>
        <v>0</v>
      </c>
      <c r="S69" s="316">
        <f t="shared" si="12"/>
        <v>0</v>
      </c>
      <c r="T69" s="316">
        <f t="shared" si="12"/>
        <v>0</v>
      </c>
      <c r="U69" s="316">
        <f t="shared" si="12"/>
        <v>0</v>
      </c>
      <c r="V69" s="316">
        <f t="shared" si="12"/>
        <v>0</v>
      </c>
      <c r="W69" s="316">
        <f t="shared" si="12"/>
        <v>0</v>
      </c>
      <c r="X69" s="316">
        <f t="shared" si="12"/>
        <v>0</v>
      </c>
      <c r="Y69" s="316">
        <f t="shared" si="12"/>
        <v>0</v>
      </c>
      <c r="Z69" s="316">
        <f t="shared" si="12"/>
        <v>0</v>
      </c>
      <c r="AA69" s="316">
        <f t="shared" si="12"/>
        <v>0</v>
      </c>
      <c r="AB69" s="316">
        <f t="shared" si="12"/>
        <v>0</v>
      </c>
      <c r="AC69" s="316">
        <f t="shared" si="12"/>
        <v>0</v>
      </c>
      <c r="AD69" s="316">
        <f t="shared" si="12"/>
        <v>0</v>
      </c>
      <c r="AE69" s="316">
        <f t="shared" si="12"/>
        <v>0</v>
      </c>
      <c r="AF69" s="316">
        <f t="shared" si="12"/>
        <v>0</v>
      </c>
      <c r="AG69" s="316">
        <f t="shared" si="12"/>
        <v>0</v>
      </c>
      <c r="AH69" s="316">
        <f t="shared" si="12"/>
        <v>0</v>
      </c>
      <c r="AI69" s="316">
        <f t="shared" si="12"/>
        <v>0</v>
      </c>
      <c r="AJ69" s="316">
        <f t="shared" si="12"/>
        <v>0</v>
      </c>
      <c r="AK69" s="316">
        <f t="shared" si="12"/>
        <v>0</v>
      </c>
      <c r="AL69" s="316">
        <f t="shared" ref="AL69:BQ69" si="13">--(AND(AL$64&gt;=$B$35,AK$64&lt;$B$35))</f>
        <v>0</v>
      </c>
      <c r="AM69" s="316">
        <f t="shared" si="13"/>
        <v>0</v>
      </c>
      <c r="AN69" s="316">
        <f t="shared" si="13"/>
        <v>0</v>
      </c>
      <c r="AO69" s="316">
        <f t="shared" si="13"/>
        <v>0</v>
      </c>
      <c r="AP69" s="316">
        <f t="shared" si="13"/>
        <v>0</v>
      </c>
      <c r="AQ69" s="316">
        <f t="shared" si="13"/>
        <v>0</v>
      </c>
      <c r="AR69" s="316">
        <f t="shared" si="13"/>
        <v>0</v>
      </c>
      <c r="AS69" s="316">
        <f t="shared" si="13"/>
        <v>0</v>
      </c>
      <c r="AT69" s="316">
        <f t="shared" si="13"/>
        <v>0</v>
      </c>
      <c r="AU69" s="316">
        <f t="shared" si="13"/>
        <v>0</v>
      </c>
      <c r="AV69" s="316">
        <f t="shared" si="13"/>
        <v>0</v>
      </c>
      <c r="AW69" s="316">
        <f t="shared" si="13"/>
        <v>0</v>
      </c>
      <c r="AX69" s="316">
        <f t="shared" si="13"/>
        <v>0</v>
      </c>
      <c r="AY69" s="316">
        <f t="shared" si="13"/>
        <v>0</v>
      </c>
      <c r="AZ69" s="316">
        <f t="shared" si="13"/>
        <v>0</v>
      </c>
      <c r="BA69" s="316">
        <f t="shared" si="13"/>
        <v>0</v>
      </c>
      <c r="BB69" s="316">
        <f t="shared" si="13"/>
        <v>0</v>
      </c>
      <c r="BC69" s="316">
        <f t="shared" si="13"/>
        <v>1</v>
      </c>
      <c r="BD69" s="316">
        <f t="shared" si="13"/>
        <v>0</v>
      </c>
      <c r="BE69" s="316">
        <f t="shared" si="13"/>
        <v>0</v>
      </c>
      <c r="BF69" s="316">
        <f t="shared" si="13"/>
        <v>0</v>
      </c>
      <c r="BG69" s="316">
        <f t="shared" si="13"/>
        <v>0</v>
      </c>
      <c r="BH69" s="316">
        <f t="shared" si="13"/>
        <v>0</v>
      </c>
      <c r="BI69" s="316">
        <f t="shared" si="13"/>
        <v>0</v>
      </c>
      <c r="BJ69" s="316">
        <f t="shared" si="13"/>
        <v>0</v>
      </c>
      <c r="BK69" s="316">
        <f t="shared" si="13"/>
        <v>0</v>
      </c>
      <c r="BL69" s="316">
        <f t="shared" si="13"/>
        <v>0</v>
      </c>
      <c r="BM69" s="316">
        <f t="shared" si="13"/>
        <v>0</v>
      </c>
      <c r="BN69" s="316">
        <f t="shared" si="13"/>
        <v>0</v>
      </c>
      <c r="BO69" s="316">
        <f t="shared" si="13"/>
        <v>0</v>
      </c>
      <c r="BP69" s="316">
        <f t="shared" si="13"/>
        <v>0</v>
      </c>
      <c r="BQ69" s="316">
        <f t="shared" si="13"/>
        <v>0</v>
      </c>
      <c r="BR69" s="316">
        <f t="shared" ref="BR69:CW69" si="14">--(AND(BR$64&gt;=$B$35,BQ$64&lt;$B$35))</f>
        <v>0</v>
      </c>
      <c r="BS69" s="316">
        <f t="shared" si="14"/>
        <v>0</v>
      </c>
      <c r="BT69" s="316">
        <f t="shared" si="14"/>
        <v>0</v>
      </c>
      <c r="BU69" s="316">
        <f t="shared" si="14"/>
        <v>0</v>
      </c>
      <c r="BV69" s="316">
        <f t="shared" si="14"/>
        <v>0</v>
      </c>
      <c r="BW69" s="316">
        <f t="shared" si="14"/>
        <v>0</v>
      </c>
      <c r="BX69" s="316">
        <f t="shared" si="14"/>
        <v>0</v>
      </c>
      <c r="BY69" s="316">
        <f t="shared" si="14"/>
        <v>0</v>
      </c>
      <c r="BZ69" s="316">
        <f t="shared" si="14"/>
        <v>0</v>
      </c>
      <c r="CA69" s="316">
        <f t="shared" si="14"/>
        <v>0</v>
      </c>
      <c r="CB69" s="316">
        <f t="shared" si="14"/>
        <v>0</v>
      </c>
      <c r="CC69" s="316">
        <f t="shared" si="14"/>
        <v>0</v>
      </c>
      <c r="CD69" s="316">
        <f t="shared" si="14"/>
        <v>0</v>
      </c>
      <c r="CE69" s="316">
        <f t="shared" si="14"/>
        <v>0</v>
      </c>
      <c r="CF69" s="316">
        <f t="shared" si="14"/>
        <v>0</v>
      </c>
      <c r="CG69" s="316">
        <f t="shared" si="14"/>
        <v>0</v>
      </c>
      <c r="CH69" s="316">
        <f t="shared" si="14"/>
        <v>0</v>
      </c>
      <c r="CI69" s="316">
        <f t="shared" si="14"/>
        <v>0</v>
      </c>
      <c r="CJ69" s="316">
        <f t="shared" si="14"/>
        <v>0</v>
      </c>
      <c r="CK69" s="316">
        <f t="shared" si="14"/>
        <v>0</v>
      </c>
      <c r="CL69" s="316">
        <f t="shared" si="14"/>
        <v>0</v>
      </c>
      <c r="CM69" s="316">
        <f t="shared" si="14"/>
        <v>0</v>
      </c>
      <c r="CN69" s="316">
        <f t="shared" si="14"/>
        <v>0</v>
      </c>
      <c r="CO69" s="316">
        <f t="shared" si="14"/>
        <v>0</v>
      </c>
      <c r="CP69" s="316">
        <f t="shared" si="14"/>
        <v>0</v>
      </c>
      <c r="CQ69" s="316">
        <f t="shared" si="14"/>
        <v>0</v>
      </c>
      <c r="CR69" s="316">
        <f t="shared" si="14"/>
        <v>0</v>
      </c>
      <c r="CS69" s="316">
        <f t="shared" si="14"/>
        <v>0</v>
      </c>
      <c r="CT69" s="316">
        <f t="shared" si="14"/>
        <v>0</v>
      </c>
      <c r="CU69" s="316">
        <f t="shared" si="14"/>
        <v>0</v>
      </c>
      <c r="CV69" s="316">
        <f t="shared" si="14"/>
        <v>0</v>
      </c>
      <c r="CW69" s="316">
        <f t="shared" si="14"/>
        <v>0</v>
      </c>
      <c r="CX69" s="316">
        <f t="shared" ref="CX69:DV69" si="15">--(AND(CX$64&gt;=$B$35,CW$64&lt;$B$35))</f>
        <v>0</v>
      </c>
      <c r="CY69" s="316">
        <f t="shared" si="15"/>
        <v>0</v>
      </c>
      <c r="CZ69" s="316">
        <f t="shared" si="15"/>
        <v>0</v>
      </c>
      <c r="DA69" s="316">
        <f t="shared" si="15"/>
        <v>0</v>
      </c>
      <c r="DB69" s="316">
        <f t="shared" si="15"/>
        <v>0</v>
      </c>
      <c r="DC69" s="316">
        <f t="shared" si="15"/>
        <v>0</v>
      </c>
      <c r="DD69" s="316">
        <f t="shared" si="15"/>
        <v>0</v>
      </c>
      <c r="DE69" s="316">
        <f t="shared" si="15"/>
        <v>0</v>
      </c>
      <c r="DF69" s="316">
        <f t="shared" si="15"/>
        <v>0</v>
      </c>
      <c r="DG69" s="316">
        <f t="shared" si="15"/>
        <v>0</v>
      </c>
      <c r="DH69" s="316">
        <f t="shared" si="15"/>
        <v>0</v>
      </c>
      <c r="DI69" s="316">
        <f t="shared" si="15"/>
        <v>0</v>
      </c>
      <c r="DJ69" s="316">
        <f t="shared" si="15"/>
        <v>0</v>
      </c>
      <c r="DK69" s="316">
        <f t="shared" si="15"/>
        <v>0</v>
      </c>
      <c r="DL69" s="316">
        <f t="shared" si="15"/>
        <v>0</v>
      </c>
      <c r="DM69" s="316">
        <f t="shared" si="15"/>
        <v>0</v>
      </c>
      <c r="DN69" s="316">
        <f t="shared" si="15"/>
        <v>0</v>
      </c>
      <c r="DO69" s="316">
        <f t="shared" si="15"/>
        <v>0</v>
      </c>
      <c r="DP69" s="316">
        <f t="shared" si="15"/>
        <v>0</v>
      </c>
      <c r="DQ69" s="316">
        <f t="shared" si="15"/>
        <v>0</v>
      </c>
      <c r="DR69" s="316">
        <f t="shared" si="15"/>
        <v>0</v>
      </c>
      <c r="DS69" s="316">
        <f t="shared" si="15"/>
        <v>0</v>
      </c>
      <c r="DT69" s="316">
        <f t="shared" si="15"/>
        <v>0</v>
      </c>
      <c r="DU69" s="316">
        <f t="shared" si="15"/>
        <v>0</v>
      </c>
      <c r="DV69" s="316">
        <f t="shared" si="15"/>
        <v>0</v>
      </c>
    </row>
    <row r="70" spans="1:126" ht="15" customHeight="1" x14ac:dyDescent="0.35">
      <c r="A70" s="307" t="s">
        <v>1493</v>
      </c>
      <c r="B70" s="308" t="s">
        <v>1488</v>
      </c>
      <c r="C70" s="1146" t="s">
        <v>1494</v>
      </c>
      <c r="D70" s="1147"/>
      <c r="F70" s="316">
        <f>--(F$63=Underwriting!$D$164)</f>
        <v>0</v>
      </c>
      <c r="G70" s="316">
        <f>--(G$63=Underwriting!$D$164)</f>
        <v>0</v>
      </c>
      <c r="H70" s="316">
        <f>--(H$63=Underwriting!$D$164)</f>
        <v>0</v>
      </c>
      <c r="I70" s="316">
        <f>--(I$63=Underwriting!$D$164)</f>
        <v>0</v>
      </c>
      <c r="J70" s="316">
        <f>--(J$63=Underwriting!$D$164)</f>
        <v>0</v>
      </c>
      <c r="K70" s="316">
        <f>--(K$63=Underwriting!$D$164)</f>
        <v>0</v>
      </c>
      <c r="L70" s="316">
        <f>--(L$63=Underwriting!$D$164)</f>
        <v>0</v>
      </c>
      <c r="M70" s="316">
        <f>--(M$63=Underwriting!$D$164)</f>
        <v>0</v>
      </c>
      <c r="N70" s="316">
        <f>--(N$63=Underwriting!$D$164)</f>
        <v>0</v>
      </c>
      <c r="O70" s="316">
        <f>--(O$63=Underwriting!$D$164)</f>
        <v>0</v>
      </c>
      <c r="P70" s="316">
        <f>--(P$63=Underwriting!$D$164)</f>
        <v>0</v>
      </c>
      <c r="Q70" s="316">
        <f>--(Q$63=Underwriting!$D$164)</f>
        <v>0</v>
      </c>
      <c r="R70" s="316">
        <f>--(R$63=Underwriting!$D$164)</f>
        <v>0</v>
      </c>
      <c r="S70" s="316">
        <f>--(S$63=Underwriting!$D$164)</f>
        <v>0</v>
      </c>
      <c r="T70" s="316">
        <f>--(T$63=Underwriting!$D$164)</f>
        <v>0</v>
      </c>
      <c r="U70" s="316">
        <f>--(U$63=Underwriting!$D$164)</f>
        <v>0</v>
      </c>
      <c r="V70" s="316">
        <f>--(V$63=Underwriting!$D$164)</f>
        <v>0</v>
      </c>
      <c r="W70" s="316">
        <f>--(W$63=Underwriting!$D$164)</f>
        <v>0</v>
      </c>
      <c r="X70" s="316">
        <f>--(X$63=Underwriting!$D$164)</f>
        <v>0</v>
      </c>
      <c r="Y70" s="316">
        <f>--(Y$63=Underwriting!$D$164)</f>
        <v>0</v>
      </c>
      <c r="Z70" s="316">
        <f>--(Z$63=Underwriting!$D$164)</f>
        <v>0</v>
      </c>
      <c r="AA70" s="316">
        <f>--(AA$63=Underwriting!$D$164)</f>
        <v>0</v>
      </c>
      <c r="AB70" s="316">
        <f>--(AB$63=Underwriting!$D$164)</f>
        <v>0</v>
      </c>
      <c r="AC70" s="316">
        <f>--(AC$63=Underwriting!$D$164)</f>
        <v>0</v>
      </c>
      <c r="AD70" s="316">
        <f>--(AD$63=Underwriting!$D$164)</f>
        <v>0</v>
      </c>
      <c r="AE70" s="316">
        <f>--(AE$63=Underwriting!$D$164)</f>
        <v>0</v>
      </c>
      <c r="AF70" s="316">
        <f>--(AF$63=Underwriting!$D$164)</f>
        <v>0</v>
      </c>
      <c r="AG70" s="316">
        <f>--(AG$63=Underwriting!$D$164)</f>
        <v>0</v>
      </c>
      <c r="AH70" s="316">
        <f>--(AH$63=Underwriting!$D$164)</f>
        <v>0</v>
      </c>
      <c r="AI70" s="316">
        <f>--(AI$63=Underwriting!$D$164)</f>
        <v>0</v>
      </c>
      <c r="AJ70" s="316">
        <f>--(AJ$63=Underwriting!$D$164)</f>
        <v>0</v>
      </c>
      <c r="AK70" s="316">
        <f>--(AK$63=Underwriting!$D$164)</f>
        <v>0</v>
      </c>
      <c r="AL70" s="316">
        <f>--(AL$63=Underwriting!$D$164)</f>
        <v>0</v>
      </c>
      <c r="AM70" s="316">
        <f>--(AM$63=Underwriting!$D$164)</f>
        <v>0</v>
      </c>
      <c r="AN70" s="316">
        <f>--(AN$63=Underwriting!$D$164)</f>
        <v>0</v>
      </c>
      <c r="AO70" s="316">
        <f>--(AO$63=Underwriting!$D$164)</f>
        <v>0</v>
      </c>
      <c r="AP70" s="316">
        <f>--(AP$63=Underwriting!$D$164)</f>
        <v>0</v>
      </c>
      <c r="AQ70" s="316">
        <f>--(AQ$63=Underwriting!$D$164)</f>
        <v>0</v>
      </c>
      <c r="AR70" s="316">
        <f>--(AR$63=Underwriting!$D$164)</f>
        <v>0</v>
      </c>
      <c r="AS70" s="316">
        <f>--(AS$63=Underwriting!$D$164)</f>
        <v>0</v>
      </c>
      <c r="AT70" s="316">
        <f>--(AT$63=Underwriting!$D$164)</f>
        <v>0</v>
      </c>
      <c r="AU70" s="316">
        <f>--(AU$63=Underwriting!$D$164)</f>
        <v>0</v>
      </c>
      <c r="AV70" s="316">
        <f>--(AV$63=Underwriting!$D$164)</f>
        <v>0</v>
      </c>
      <c r="AW70" s="316">
        <f>--(AW$63=Underwriting!$D$164)</f>
        <v>0</v>
      </c>
      <c r="AX70" s="316">
        <f>--(AX$63=Underwriting!$D$164)</f>
        <v>0</v>
      </c>
      <c r="AY70" s="316">
        <f>--(AY$63=Underwriting!$D$164)</f>
        <v>0</v>
      </c>
      <c r="AZ70" s="316">
        <f>--(AZ$63=Underwriting!$D$164)</f>
        <v>0</v>
      </c>
      <c r="BA70" s="316">
        <f>--(BA$63=Underwriting!$D$164)</f>
        <v>0</v>
      </c>
      <c r="BB70" s="316">
        <f>--(BB$63=Underwriting!$D$164)</f>
        <v>0</v>
      </c>
      <c r="BC70" s="316">
        <f>--(BC$63=Underwriting!$D$164)</f>
        <v>0</v>
      </c>
      <c r="BD70" s="316">
        <f>--(BD$63=Underwriting!$D$164)</f>
        <v>0</v>
      </c>
      <c r="BE70" s="316">
        <f>--(BE$63=Underwriting!$D$164)</f>
        <v>0</v>
      </c>
      <c r="BF70" s="316">
        <f>--(BF$63=Underwriting!$D$164)</f>
        <v>0</v>
      </c>
      <c r="BG70" s="316">
        <f>--(BG$63=Underwriting!$D$164)</f>
        <v>0</v>
      </c>
      <c r="BH70" s="316">
        <f>--(BH$63=Underwriting!$D$164)</f>
        <v>0</v>
      </c>
      <c r="BI70" s="316">
        <f>--(BI$63=Underwriting!$D$164)</f>
        <v>0</v>
      </c>
      <c r="BJ70" s="316">
        <f>--(BJ$63=Underwriting!$D$164)</f>
        <v>0</v>
      </c>
      <c r="BK70" s="316">
        <f>--(BK$63=Underwriting!$D$164)</f>
        <v>0</v>
      </c>
      <c r="BL70" s="316">
        <f>--(BL$63=Underwriting!$D$164)</f>
        <v>0</v>
      </c>
      <c r="BM70" s="316">
        <f>--(BM$63=Underwriting!$D$164)</f>
        <v>0</v>
      </c>
      <c r="BN70" s="316">
        <f>--(BN$63=Underwriting!$D$164)</f>
        <v>0</v>
      </c>
      <c r="BO70" s="316">
        <f>--(BO$63=Underwriting!$D$164)</f>
        <v>1</v>
      </c>
      <c r="BP70" s="316">
        <f>--(BP$63=Underwriting!$D$164)</f>
        <v>0</v>
      </c>
      <c r="BQ70" s="316">
        <f>--(BQ$63=Underwriting!$D$164)</f>
        <v>0</v>
      </c>
      <c r="BR70" s="316">
        <f>--(BR$63=Underwriting!$D$164)</f>
        <v>0</v>
      </c>
      <c r="BS70" s="316">
        <f>--(BS$63=Underwriting!$D$164)</f>
        <v>0</v>
      </c>
      <c r="BT70" s="316">
        <f>--(BT$63=Underwriting!$D$164)</f>
        <v>0</v>
      </c>
      <c r="BU70" s="316">
        <f>--(BU$63=Underwriting!$D$164)</f>
        <v>0</v>
      </c>
      <c r="BV70" s="316">
        <f>--(BV$63=Underwriting!$D$164)</f>
        <v>0</v>
      </c>
      <c r="BW70" s="316">
        <f>--(BW$63=Underwriting!$D$164)</f>
        <v>0</v>
      </c>
      <c r="BX70" s="316">
        <f>--(BX$63=Underwriting!$D$164)</f>
        <v>0</v>
      </c>
      <c r="BY70" s="316">
        <f>--(BY$63=Underwriting!$D$164)</f>
        <v>0</v>
      </c>
      <c r="BZ70" s="316">
        <f>--(BZ$63=Underwriting!$D$164)</f>
        <v>0</v>
      </c>
      <c r="CA70" s="316">
        <f>--(CA$63=Underwriting!$D$164)</f>
        <v>0</v>
      </c>
      <c r="CB70" s="316">
        <f>--(CB$63=Underwriting!$D$164)</f>
        <v>0</v>
      </c>
      <c r="CC70" s="316">
        <f>--(CC$63=Underwriting!$D$164)</f>
        <v>0</v>
      </c>
      <c r="CD70" s="316">
        <f>--(CD$63=Underwriting!$D$164)</f>
        <v>0</v>
      </c>
      <c r="CE70" s="316">
        <f>--(CE$63=Underwriting!$D$164)</f>
        <v>0</v>
      </c>
      <c r="CF70" s="316">
        <f>--(CF$63=Underwriting!$D$164)</f>
        <v>0</v>
      </c>
      <c r="CG70" s="316">
        <f>--(CG$63=Underwriting!$D$164)</f>
        <v>0</v>
      </c>
      <c r="CH70" s="316">
        <f>--(CH$63=Underwriting!$D$164)</f>
        <v>0</v>
      </c>
      <c r="CI70" s="316">
        <f>--(CI$63=Underwriting!$D$164)</f>
        <v>0</v>
      </c>
      <c r="CJ70" s="316">
        <f>--(CJ$63=Underwriting!$D$164)</f>
        <v>0</v>
      </c>
      <c r="CK70" s="316">
        <f>--(CK$63=Underwriting!$D$164)</f>
        <v>0</v>
      </c>
      <c r="CL70" s="316">
        <f>--(CL$63=Underwriting!$D$164)</f>
        <v>0</v>
      </c>
      <c r="CM70" s="316">
        <f>--(CM$63=Underwriting!$D$164)</f>
        <v>0</v>
      </c>
      <c r="CN70" s="316">
        <f>--(CN$63=Underwriting!$D$164)</f>
        <v>0</v>
      </c>
      <c r="CO70" s="316">
        <f>--(CO$63=Underwriting!$D$164)</f>
        <v>0</v>
      </c>
      <c r="CP70" s="316">
        <f>--(CP$63=Underwriting!$D$164)</f>
        <v>0</v>
      </c>
      <c r="CQ70" s="316">
        <f>--(CQ$63=Underwriting!$D$164)</f>
        <v>0</v>
      </c>
      <c r="CR70" s="316">
        <f>--(CR$63=Underwriting!$D$164)</f>
        <v>0</v>
      </c>
      <c r="CS70" s="316">
        <f>--(CS$63=Underwriting!$D$164)</f>
        <v>0</v>
      </c>
      <c r="CT70" s="316">
        <f>--(CT$63=Underwriting!$D$164)</f>
        <v>0</v>
      </c>
      <c r="CU70" s="316">
        <f>--(CU$63=Underwriting!$D$164)</f>
        <v>0</v>
      </c>
      <c r="CV70" s="316">
        <f>--(CV$63=Underwriting!$D$164)</f>
        <v>0</v>
      </c>
      <c r="CW70" s="316">
        <f>--(CW$63=Underwriting!$D$164)</f>
        <v>0</v>
      </c>
      <c r="CX70" s="316">
        <f>--(CX$63=Underwriting!$D$164)</f>
        <v>0</v>
      </c>
      <c r="CY70" s="316">
        <f>--(CY$63=Underwriting!$D$164)</f>
        <v>0</v>
      </c>
      <c r="CZ70" s="316">
        <f>--(CZ$63=Underwriting!$D$164)</f>
        <v>0</v>
      </c>
      <c r="DA70" s="316">
        <f>--(DA$63=Underwriting!$D$164)</f>
        <v>0</v>
      </c>
      <c r="DB70" s="316">
        <f>--(DB$63=Underwriting!$D$164)</f>
        <v>0</v>
      </c>
      <c r="DC70" s="316">
        <f>--(DC$63=Underwriting!$D$164)</f>
        <v>0</v>
      </c>
      <c r="DD70" s="316">
        <f>--(DD$63=Underwriting!$D$164)</f>
        <v>0</v>
      </c>
      <c r="DE70" s="316">
        <f>--(DE$63=Underwriting!$D$164)</f>
        <v>0</v>
      </c>
      <c r="DF70" s="316">
        <f>--(DF$63=Underwriting!$D$164)</f>
        <v>0</v>
      </c>
      <c r="DG70" s="316">
        <f>--(DG$63=Underwriting!$D$164)</f>
        <v>0</v>
      </c>
      <c r="DH70" s="316">
        <f>--(DH$63=Underwriting!$D$164)</f>
        <v>0</v>
      </c>
      <c r="DI70" s="316">
        <f>--(DI$63=Underwriting!$D$164)</f>
        <v>0</v>
      </c>
      <c r="DJ70" s="316">
        <f>--(DJ$63=Underwriting!$D$164)</f>
        <v>0</v>
      </c>
      <c r="DK70" s="316">
        <f>--(DK$63=Underwriting!$D$164)</f>
        <v>0</v>
      </c>
      <c r="DL70" s="316">
        <f>--(DL$63=Underwriting!$D$164)</f>
        <v>0</v>
      </c>
      <c r="DM70" s="316">
        <f>--(DM$63=Underwriting!$D$164)</f>
        <v>0</v>
      </c>
      <c r="DN70" s="316">
        <f>--(DN$63=Underwriting!$D$164)</f>
        <v>0</v>
      </c>
      <c r="DO70" s="316">
        <f>--(DO$63=Underwriting!$D$164)</f>
        <v>0</v>
      </c>
      <c r="DP70" s="316">
        <f>--(DP$63=Underwriting!$D$164)</f>
        <v>0</v>
      </c>
      <c r="DQ70" s="316">
        <f>--(DQ$63=Underwriting!$D$164)</f>
        <v>0</v>
      </c>
      <c r="DR70" s="316">
        <f>--(DR$63=Underwriting!$D$164)</f>
        <v>0</v>
      </c>
      <c r="DS70" s="316">
        <f>--(DS$63=Underwriting!$D$164)</f>
        <v>0</v>
      </c>
      <c r="DT70" s="316">
        <f>--(DT$63=Underwriting!$D$164)</f>
        <v>0</v>
      </c>
      <c r="DU70" s="316">
        <f>--(DU$63=Underwriting!$D$164)</f>
        <v>0</v>
      </c>
      <c r="DV70" s="316">
        <f>--(DV$63=Underwriting!$D$164)</f>
        <v>0</v>
      </c>
    </row>
    <row r="72" spans="1:126" ht="21" customHeight="1" x14ac:dyDescent="0.35">
      <c r="A72" s="1148" t="s">
        <v>1495</v>
      </c>
      <c r="B72" s="937"/>
      <c r="C72" s="937"/>
      <c r="D72" s="937"/>
      <c r="E72" s="937"/>
      <c r="F72" s="937"/>
      <c r="G72" s="937"/>
      <c r="H72" s="937"/>
      <c r="I72" s="937"/>
      <c r="J72" s="937"/>
      <c r="K72" s="937"/>
      <c r="L72" s="937"/>
      <c r="M72" s="937"/>
      <c r="N72" s="937"/>
      <c r="O72" s="937"/>
      <c r="P72" s="937"/>
      <c r="Q72" s="937"/>
      <c r="R72" s="937"/>
      <c r="S72" s="937"/>
      <c r="T72" s="937"/>
      <c r="U72" s="937"/>
      <c r="V72" s="937"/>
      <c r="W72" s="937"/>
      <c r="X72" s="937"/>
      <c r="Y72" s="937"/>
      <c r="Z72" s="937"/>
      <c r="AA72" s="937"/>
      <c r="AB72" s="937"/>
      <c r="AC72" s="937"/>
      <c r="AD72" s="937"/>
      <c r="AE72" s="937"/>
      <c r="AF72" s="937"/>
      <c r="AG72" s="937"/>
      <c r="AH72" s="937"/>
      <c r="AI72" s="937"/>
      <c r="AJ72" s="937"/>
      <c r="AK72" s="937"/>
      <c r="AL72" s="937"/>
      <c r="AM72" s="937"/>
      <c r="AN72" s="937"/>
      <c r="AO72" s="937"/>
      <c r="AP72" s="937"/>
      <c r="AQ72" s="937"/>
      <c r="AR72" s="937"/>
      <c r="AS72" s="937"/>
      <c r="AT72" s="937"/>
      <c r="AU72" s="937"/>
      <c r="AV72" s="937"/>
      <c r="AW72" s="937"/>
      <c r="AX72" s="937"/>
      <c r="AY72" s="937"/>
      <c r="AZ72" s="937"/>
      <c r="BA72" s="937"/>
      <c r="BB72" s="937"/>
      <c r="BC72" s="937"/>
      <c r="BD72" s="937"/>
      <c r="BE72" s="937"/>
      <c r="BF72" s="937"/>
      <c r="BG72" s="937"/>
      <c r="BH72" s="937"/>
      <c r="BI72" s="937"/>
      <c r="BJ72" s="937"/>
      <c r="BK72" s="937"/>
      <c r="BL72" s="937"/>
      <c r="BM72" s="937"/>
      <c r="BN72" s="937"/>
      <c r="BO72" s="937"/>
      <c r="BP72" s="937"/>
      <c r="BQ72" s="937"/>
      <c r="BR72" s="937"/>
      <c r="BS72" s="937"/>
      <c r="BT72" s="937"/>
      <c r="BU72" s="937"/>
      <c r="BV72" s="937"/>
      <c r="BW72" s="937"/>
      <c r="BX72" s="937"/>
      <c r="BY72" s="937"/>
      <c r="BZ72" s="937"/>
      <c r="CA72" s="937"/>
      <c r="CB72" s="937"/>
      <c r="CC72" s="937"/>
      <c r="CD72" s="937"/>
      <c r="CE72" s="937"/>
      <c r="CF72" s="937"/>
      <c r="CG72" s="937"/>
      <c r="CH72" s="937"/>
      <c r="CI72" s="937"/>
      <c r="CJ72" s="937"/>
      <c r="CK72" s="937"/>
      <c r="CL72" s="937"/>
      <c r="CM72" s="937"/>
      <c r="CN72" s="937"/>
      <c r="CO72" s="937"/>
      <c r="CP72" s="937"/>
      <c r="CQ72" s="937"/>
      <c r="CR72" s="937"/>
      <c r="CS72" s="937"/>
      <c r="CT72" s="937"/>
      <c r="CU72" s="937"/>
      <c r="CV72" s="937"/>
      <c r="CW72" s="937"/>
      <c r="CX72" s="937"/>
      <c r="CY72" s="937"/>
      <c r="CZ72" s="937"/>
      <c r="DA72" s="937"/>
      <c r="DB72" s="937"/>
      <c r="DC72" s="937"/>
      <c r="DD72" s="937"/>
      <c r="DE72" s="937"/>
      <c r="DF72" s="937"/>
      <c r="DG72" s="937"/>
      <c r="DH72" s="937"/>
      <c r="DI72" s="937"/>
      <c r="DJ72" s="937"/>
      <c r="DK72" s="937"/>
      <c r="DL72" s="937"/>
      <c r="DM72" s="937"/>
      <c r="DN72" s="937"/>
      <c r="DO72" s="937"/>
      <c r="DP72" s="937"/>
      <c r="DQ72" s="937"/>
      <c r="DR72" s="937"/>
      <c r="DS72" s="937"/>
      <c r="DT72" s="937"/>
      <c r="DU72" s="937"/>
      <c r="DV72" s="937"/>
    </row>
    <row r="73" spans="1:126" ht="15" customHeight="1" x14ac:dyDescent="0.35">
      <c r="A73" s="307" t="s">
        <v>1496</v>
      </c>
      <c r="B73" s="308" t="s">
        <v>1370</v>
      </c>
      <c r="C73" s="1146" t="s">
        <v>1497</v>
      </c>
      <c r="D73" s="1147"/>
      <c r="F73" s="309">
        <f t="shared" ref="F73:AK73" si="16">IF(F$63=0,$B$9,E$93)</f>
        <v>224428317.58074075</v>
      </c>
      <c r="G73" s="309">
        <f t="shared" si="16"/>
        <v>224428317.58074075</v>
      </c>
      <c r="H73" s="309">
        <f t="shared" si="16"/>
        <v>224428317.58074075</v>
      </c>
      <c r="I73" s="309">
        <f t="shared" si="16"/>
        <v>224428317.58074075</v>
      </c>
      <c r="J73" s="309">
        <f t="shared" si="16"/>
        <v>224428317.58074075</v>
      </c>
      <c r="K73" s="309">
        <f t="shared" si="16"/>
        <v>224428317.58074075</v>
      </c>
      <c r="L73" s="309">
        <f t="shared" si="16"/>
        <v>224428317.58074075</v>
      </c>
      <c r="M73" s="309">
        <f t="shared" si="16"/>
        <v>224428317.58074075</v>
      </c>
      <c r="N73" s="309">
        <f t="shared" si="16"/>
        <v>224428317.58074075</v>
      </c>
      <c r="O73" s="309">
        <f t="shared" si="16"/>
        <v>224428317.58074075</v>
      </c>
      <c r="P73" s="309">
        <f t="shared" si="16"/>
        <v>224428317.58074075</v>
      </c>
      <c r="Q73" s="309">
        <f t="shared" si="16"/>
        <v>224428317.58074075</v>
      </c>
      <c r="R73" s="309">
        <f t="shared" si="16"/>
        <v>224428317.58074075</v>
      </c>
      <c r="S73" s="309">
        <f t="shared" si="16"/>
        <v>224428317.58074075</v>
      </c>
      <c r="T73" s="309">
        <f t="shared" si="16"/>
        <v>224428317.58074075</v>
      </c>
      <c r="U73" s="309">
        <f t="shared" si="16"/>
        <v>224428317.58074075</v>
      </c>
      <c r="V73" s="309">
        <f t="shared" si="16"/>
        <v>224428317.58074075</v>
      </c>
      <c r="W73" s="309">
        <f t="shared" si="16"/>
        <v>224428317.58074075</v>
      </c>
      <c r="X73" s="309">
        <f t="shared" si="16"/>
        <v>224428317.58074075</v>
      </c>
      <c r="Y73" s="309">
        <f t="shared" si="16"/>
        <v>224428317.58074075</v>
      </c>
      <c r="Z73" s="309">
        <f t="shared" si="16"/>
        <v>224428317.58074075</v>
      </c>
      <c r="AA73" s="309">
        <f t="shared" si="16"/>
        <v>224428317.58074075</v>
      </c>
      <c r="AB73" s="309">
        <f t="shared" si="16"/>
        <v>224428317.58074075</v>
      </c>
      <c r="AC73" s="309">
        <f t="shared" si="16"/>
        <v>224428317.58074075</v>
      </c>
      <c r="AD73" s="309">
        <f t="shared" si="16"/>
        <v>224428317.58074075</v>
      </c>
      <c r="AE73" s="309">
        <f t="shared" si="16"/>
        <v>224428317.58074075</v>
      </c>
      <c r="AF73" s="309">
        <f t="shared" si="16"/>
        <v>224428317.58074075</v>
      </c>
      <c r="AG73" s="309">
        <f t="shared" si="16"/>
        <v>224428317.58074075</v>
      </c>
      <c r="AH73" s="309">
        <f t="shared" si="16"/>
        <v>224428317.58074075</v>
      </c>
      <c r="AI73" s="309">
        <f t="shared" si="16"/>
        <v>224428317.58074075</v>
      </c>
      <c r="AJ73" s="309">
        <f t="shared" si="16"/>
        <v>224428317.58074075</v>
      </c>
      <c r="AK73" s="309">
        <f t="shared" si="16"/>
        <v>224428317.58074075</v>
      </c>
      <c r="AL73" s="309">
        <f t="shared" ref="AL73:BQ73" si="17">IF(AL$63=0,$B$9,AK$93)</f>
        <v>224428317.58074075</v>
      </c>
      <c r="AM73" s="309">
        <f t="shared" si="17"/>
        <v>224428317.58074075</v>
      </c>
      <c r="AN73" s="309">
        <f t="shared" si="17"/>
        <v>224428317.58074075</v>
      </c>
      <c r="AO73" s="309">
        <f t="shared" si="17"/>
        <v>224428317.58074075</v>
      </c>
      <c r="AP73" s="309">
        <f t="shared" si="17"/>
        <v>224428317.58074075</v>
      </c>
      <c r="AQ73" s="309">
        <f t="shared" si="17"/>
        <v>224428317.58074075</v>
      </c>
      <c r="AR73" s="309">
        <f t="shared" si="17"/>
        <v>224428317.58074075</v>
      </c>
      <c r="AS73" s="309">
        <f t="shared" si="17"/>
        <v>224428317.58074075</v>
      </c>
      <c r="AT73" s="309">
        <f t="shared" si="17"/>
        <v>224428317.58074075</v>
      </c>
      <c r="AU73" s="309">
        <f t="shared" si="17"/>
        <v>224428317.58074075</v>
      </c>
      <c r="AV73" s="309">
        <f t="shared" si="17"/>
        <v>224428317.58074075</v>
      </c>
      <c r="AW73" s="309">
        <f t="shared" si="17"/>
        <v>224428317.58074075</v>
      </c>
      <c r="AX73" s="309">
        <f t="shared" si="17"/>
        <v>224428317.58074075</v>
      </c>
      <c r="AY73" s="309">
        <f t="shared" si="17"/>
        <v>224428317.58074075</v>
      </c>
      <c r="AZ73" s="309">
        <f t="shared" si="17"/>
        <v>224428317.58074075</v>
      </c>
      <c r="BA73" s="309">
        <f t="shared" si="17"/>
        <v>224428317.58074075</v>
      </c>
      <c r="BB73" s="309">
        <f t="shared" si="17"/>
        <v>224428317.58074075</v>
      </c>
      <c r="BC73" s="309">
        <f t="shared" si="17"/>
        <v>224428317.58074075</v>
      </c>
      <c r="BD73" s="309">
        <f t="shared" si="17"/>
        <v>0</v>
      </c>
      <c r="BE73" s="309">
        <f t="shared" si="17"/>
        <v>0</v>
      </c>
      <c r="BF73" s="309">
        <f t="shared" si="17"/>
        <v>0</v>
      </c>
      <c r="BG73" s="309">
        <f t="shared" si="17"/>
        <v>0</v>
      </c>
      <c r="BH73" s="309">
        <f t="shared" si="17"/>
        <v>0</v>
      </c>
      <c r="BI73" s="309">
        <f t="shared" si="17"/>
        <v>0</v>
      </c>
      <c r="BJ73" s="309">
        <f t="shared" si="17"/>
        <v>0</v>
      </c>
      <c r="BK73" s="309">
        <f t="shared" si="17"/>
        <v>0</v>
      </c>
      <c r="BL73" s="309">
        <f t="shared" si="17"/>
        <v>0</v>
      </c>
      <c r="BM73" s="309">
        <f t="shared" si="17"/>
        <v>0</v>
      </c>
      <c r="BN73" s="309">
        <f t="shared" si="17"/>
        <v>0</v>
      </c>
      <c r="BO73" s="309">
        <f t="shared" si="17"/>
        <v>0</v>
      </c>
      <c r="BP73" s="309">
        <f t="shared" si="17"/>
        <v>0</v>
      </c>
      <c r="BQ73" s="309">
        <f t="shared" si="17"/>
        <v>0</v>
      </c>
      <c r="BR73" s="309">
        <f t="shared" ref="BR73:CW73" si="18">IF(BR$63=0,$B$9,BQ$93)</f>
        <v>0</v>
      </c>
      <c r="BS73" s="309">
        <f t="shared" si="18"/>
        <v>0</v>
      </c>
      <c r="BT73" s="309">
        <f t="shared" si="18"/>
        <v>0</v>
      </c>
      <c r="BU73" s="309">
        <f t="shared" si="18"/>
        <v>0</v>
      </c>
      <c r="BV73" s="309">
        <f t="shared" si="18"/>
        <v>0</v>
      </c>
      <c r="BW73" s="309">
        <f t="shared" si="18"/>
        <v>0</v>
      </c>
      <c r="BX73" s="309">
        <f t="shared" si="18"/>
        <v>0</v>
      </c>
      <c r="BY73" s="309">
        <f t="shared" si="18"/>
        <v>0</v>
      </c>
      <c r="BZ73" s="309">
        <f t="shared" si="18"/>
        <v>0</v>
      </c>
      <c r="CA73" s="309">
        <f t="shared" si="18"/>
        <v>0</v>
      </c>
      <c r="CB73" s="309">
        <f t="shared" si="18"/>
        <v>0</v>
      </c>
      <c r="CC73" s="309">
        <f t="shared" si="18"/>
        <v>0</v>
      </c>
      <c r="CD73" s="309">
        <f t="shared" si="18"/>
        <v>0</v>
      </c>
      <c r="CE73" s="309">
        <f t="shared" si="18"/>
        <v>0</v>
      </c>
      <c r="CF73" s="309">
        <f t="shared" si="18"/>
        <v>0</v>
      </c>
      <c r="CG73" s="309">
        <f t="shared" si="18"/>
        <v>0</v>
      </c>
      <c r="CH73" s="309">
        <f t="shared" si="18"/>
        <v>0</v>
      </c>
      <c r="CI73" s="309">
        <f t="shared" si="18"/>
        <v>0</v>
      </c>
      <c r="CJ73" s="309">
        <f t="shared" si="18"/>
        <v>0</v>
      </c>
      <c r="CK73" s="309">
        <f t="shared" si="18"/>
        <v>0</v>
      </c>
      <c r="CL73" s="309">
        <f t="shared" si="18"/>
        <v>0</v>
      </c>
      <c r="CM73" s="309">
        <f t="shared" si="18"/>
        <v>0</v>
      </c>
      <c r="CN73" s="309">
        <f t="shared" si="18"/>
        <v>0</v>
      </c>
      <c r="CO73" s="309">
        <f t="shared" si="18"/>
        <v>0</v>
      </c>
      <c r="CP73" s="309">
        <f t="shared" si="18"/>
        <v>0</v>
      </c>
      <c r="CQ73" s="309">
        <f t="shared" si="18"/>
        <v>0</v>
      </c>
      <c r="CR73" s="309">
        <f t="shared" si="18"/>
        <v>0</v>
      </c>
      <c r="CS73" s="309">
        <f t="shared" si="18"/>
        <v>0</v>
      </c>
      <c r="CT73" s="309">
        <f t="shared" si="18"/>
        <v>0</v>
      </c>
      <c r="CU73" s="309">
        <f t="shared" si="18"/>
        <v>0</v>
      </c>
      <c r="CV73" s="309">
        <f t="shared" si="18"/>
        <v>0</v>
      </c>
      <c r="CW73" s="309">
        <f t="shared" si="18"/>
        <v>0</v>
      </c>
      <c r="CX73" s="309">
        <f t="shared" ref="CX73:DV73" si="19">IF(CX$63=0,$B$9,CW$93)</f>
        <v>0</v>
      </c>
      <c r="CY73" s="309">
        <f t="shared" si="19"/>
        <v>0</v>
      </c>
      <c r="CZ73" s="309">
        <f t="shared" si="19"/>
        <v>0</v>
      </c>
      <c r="DA73" s="309">
        <f t="shared" si="19"/>
        <v>0</v>
      </c>
      <c r="DB73" s="309">
        <f t="shared" si="19"/>
        <v>0</v>
      </c>
      <c r="DC73" s="309">
        <f t="shared" si="19"/>
        <v>0</v>
      </c>
      <c r="DD73" s="309">
        <f t="shared" si="19"/>
        <v>0</v>
      </c>
      <c r="DE73" s="309">
        <f t="shared" si="19"/>
        <v>0</v>
      </c>
      <c r="DF73" s="309">
        <f t="shared" si="19"/>
        <v>0</v>
      </c>
      <c r="DG73" s="309">
        <f t="shared" si="19"/>
        <v>0</v>
      </c>
      <c r="DH73" s="309">
        <f t="shared" si="19"/>
        <v>0</v>
      </c>
      <c r="DI73" s="309">
        <f t="shared" si="19"/>
        <v>0</v>
      </c>
      <c r="DJ73" s="309">
        <f t="shared" si="19"/>
        <v>0</v>
      </c>
      <c r="DK73" s="309">
        <f t="shared" si="19"/>
        <v>0</v>
      </c>
      <c r="DL73" s="309">
        <f t="shared" si="19"/>
        <v>0</v>
      </c>
      <c r="DM73" s="309">
        <f t="shared" si="19"/>
        <v>0</v>
      </c>
      <c r="DN73" s="309">
        <f t="shared" si="19"/>
        <v>0</v>
      </c>
      <c r="DO73" s="309">
        <f t="shared" si="19"/>
        <v>0</v>
      </c>
      <c r="DP73" s="309">
        <f t="shared" si="19"/>
        <v>0</v>
      </c>
      <c r="DQ73" s="309">
        <f t="shared" si="19"/>
        <v>0</v>
      </c>
      <c r="DR73" s="309">
        <f t="shared" si="19"/>
        <v>0</v>
      </c>
      <c r="DS73" s="309">
        <f t="shared" si="19"/>
        <v>0</v>
      </c>
      <c r="DT73" s="309">
        <f t="shared" si="19"/>
        <v>0</v>
      </c>
      <c r="DU73" s="309">
        <f t="shared" si="19"/>
        <v>0</v>
      </c>
      <c r="DV73" s="309">
        <f t="shared" si="19"/>
        <v>0</v>
      </c>
    </row>
    <row r="74" spans="1:126" ht="15" customHeight="1" x14ac:dyDescent="0.35">
      <c r="A74" s="307" t="s">
        <v>1498</v>
      </c>
      <c r="B74" s="308" t="s">
        <v>1370</v>
      </c>
      <c r="C74" s="1146" t="s">
        <v>1499</v>
      </c>
      <c r="D74" s="1147"/>
      <c r="E74" s="309">
        <v>0</v>
      </c>
      <c r="F74" s="309">
        <f t="shared" ref="F74:AK74" si="20">E$92</f>
        <v>0</v>
      </c>
      <c r="G74" s="309">
        <f t="shared" si="20"/>
        <v>16628131.21831876</v>
      </c>
      <c r="H74" s="309">
        <f t="shared" si="20"/>
        <v>17580721.849414673</v>
      </c>
      <c r="I74" s="309">
        <f t="shared" si="20"/>
        <v>11384802.582082724</v>
      </c>
      <c r="J74" s="309">
        <f t="shared" si="20"/>
        <v>12978057.900325164</v>
      </c>
      <c r="K74" s="309">
        <f t="shared" si="20"/>
        <v>15129184.163516741</v>
      </c>
      <c r="L74" s="309">
        <f t="shared" si="20"/>
        <v>18027823.946427755</v>
      </c>
      <c r="M74" s="309">
        <f t="shared" si="20"/>
        <v>21896634.017165743</v>
      </c>
      <c r="N74" s="309">
        <f t="shared" si="20"/>
        <v>26983886.446773604</v>
      </c>
      <c r="O74" s="309">
        <f t="shared" si="20"/>
        <v>33550110.817182142</v>
      </c>
      <c r="P74" s="309">
        <f t="shared" si="20"/>
        <v>41848627.937755942</v>
      </c>
      <c r="Q74" s="309">
        <f t="shared" si="20"/>
        <v>52100868.103412196</v>
      </c>
      <c r="R74" s="309">
        <f t="shared" si="20"/>
        <v>64468566.251076169</v>
      </c>
      <c r="S74" s="309">
        <f t="shared" si="20"/>
        <v>79026050.908906221</v>
      </c>
      <c r="T74" s="309">
        <f t="shared" si="20"/>
        <v>93458385.953308731</v>
      </c>
      <c r="U74" s="309">
        <f t="shared" si="20"/>
        <v>102808629.90103135</v>
      </c>
      <c r="V74" s="309">
        <f t="shared" si="20"/>
        <v>113007200.90478024</v>
      </c>
      <c r="W74" s="309">
        <f t="shared" si="20"/>
        <v>123847488.99518724</v>
      </c>
      <c r="X74" s="309">
        <f t="shared" si="20"/>
        <v>135074964.50307694</v>
      </c>
      <c r="Y74" s="309">
        <f t="shared" si="20"/>
        <v>146405135.8053059</v>
      </c>
      <c r="Z74" s="309">
        <f t="shared" si="20"/>
        <v>157545334.50682876</v>
      </c>
      <c r="AA74" s="309">
        <f t="shared" si="20"/>
        <v>168172199.9967193</v>
      </c>
      <c r="AB74" s="309">
        <f t="shared" si="20"/>
        <v>178137634.14299893</v>
      </c>
      <c r="AC74" s="309">
        <f t="shared" si="20"/>
        <v>187251037.16281167</v>
      </c>
      <c r="AD74" s="309">
        <f t="shared" si="20"/>
        <v>195380303.17536294</v>
      </c>
      <c r="AE74" s="309">
        <f t="shared" si="20"/>
        <v>202455473.87338945</v>
      </c>
      <c r="AF74" s="309">
        <f t="shared" si="20"/>
        <v>208466037.22401142</v>
      </c>
      <c r="AG74" s="309">
        <f t="shared" si="20"/>
        <v>213452986.73721382</v>
      </c>
      <c r="AH74" s="309">
        <f t="shared" si="20"/>
        <v>217497340.13359717</v>
      </c>
      <c r="AI74" s="309">
        <f t="shared" si="20"/>
        <v>220707037.19515038</v>
      </c>
      <c r="AJ74" s="309">
        <f t="shared" si="20"/>
        <v>223204012.57765567</v>
      </c>
      <c r="AK74" s="309">
        <f t="shared" si="20"/>
        <v>224218678.65373945</v>
      </c>
      <c r="AL74" s="309">
        <f t="shared" ref="AL74:BQ74" si="21">AK$92</f>
        <v>224258746.4494743</v>
      </c>
      <c r="AM74" s="309">
        <f t="shared" si="21"/>
        <v>224295606.36589381</v>
      </c>
      <c r="AN74" s="309">
        <f t="shared" si="21"/>
        <v>224327719.9553408</v>
      </c>
      <c r="AO74" s="309">
        <f t="shared" si="21"/>
        <v>224354399.9878535</v>
      </c>
      <c r="AP74" s="309">
        <f t="shared" si="21"/>
        <v>224375634.10250989</v>
      </c>
      <c r="AQ74" s="309">
        <f t="shared" si="21"/>
        <v>224391875.60728651</v>
      </c>
      <c r="AR74" s="309">
        <f t="shared" si="21"/>
        <v>224321313.33831644</v>
      </c>
      <c r="AS74" s="309">
        <f t="shared" si="21"/>
        <v>224265496.21103358</v>
      </c>
      <c r="AT74" s="309">
        <f t="shared" si="21"/>
        <v>224265496.21103358</v>
      </c>
      <c r="AU74" s="309">
        <f t="shared" si="21"/>
        <v>224265496.21103358</v>
      </c>
      <c r="AV74" s="309">
        <f t="shared" si="21"/>
        <v>224265496.21103358</v>
      </c>
      <c r="AW74" s="309">
        <f t="shared" si="21"/>
        <v>224265496.21103358</v>
      </c>
      <c r="AX74" s="309">
        <f t="shared" si="21"/>
        <v>224265496.21103358</v>
      </c>
      <c r="AY74" s="309">
        <f t="shared" si="21"/>
        <v>224265496.21103358</v>
      </c>
      <c r="AZ74" s="309">
        <f t="shared" si="21"/>
        <v>224265496.21103358</v>
      </c>
      <c r="BA74" s="309">
        <f t="shared" si="21"/>
        <v>224265496.21103358</v>
      </c>
      <c r="BB74" s="309">
        <f t="shared" si="21"/>
        <v>224265496.21103358</v>
      </c>
      <c r="BC74" s="309">
        <f t="shared" si="21"/>
        <v>224265496.21103358</v>
      </c>
      <c r="BD74" s="309">
        <f t="shared" si="21"/>
        <v>0</v>
      </c>
      <c r="BE74" s="309">
        <f t="shared" si="21"/>
        <v>0</v>
      </c>
      <c r="BF74" s="309">
        <f t="shared" si="21"/>
        <v>0</v>
      </c>
      <c r="BG74" s="309">
        <f t="shared" si="21"/>
        <v>0</v>
      </c>
      <c r="BH74" s="309">
        <f t="shared" si="21"/>
        <v>0</v>
      </c>
      <c r="BI74" s="309">
        <f t="shared" si="21"/>
        <v>0</v>
      </c>
      <c r="BJ74" s="309">
        <f t="shared" si="21"/>
        <v>0</v>
      </c>
      <c r="BK74" s="309">
        <f t="shared" si="21"/>
        <v>0</v>
      </c>
      <c r="BL74" s="309">
        <f t="shared" si="21"/>
        <v>0</v>
      </c>
      <c r="BM74" s="309">
        <f t="shared" si="21"/>
        <v>0</v>
      </c>
      <c r="BN74" s="309">
        <f t="shared" si="21"/>
        <v>0</v>
      </c>
      <c r="BO74" s="309">
        <f t="shared" si="21"/>
        <v>0</v>
      </c>
      <c r="BP74" s="309">
        <f t="shared" si="21"/>
        <v>0</v>
      </c>
      <c r="BQ74" s="309">
        <f t="shared" si="21"/>
        <v>0</v>
      </c>
      <c r="BR74" s="309">
        <f t="shared" ref="BR74:CW74" si="22">BQ$92</f>
        <v>0</v>
      </c>
      <c r="BS74" s="309">
        <f t="shared" si="22"/>
        <v>0</v>
      </c>
      <c r="BT74" s="309">
        <f t="shared" si="22"/>
        <v>0</v>
      </c>
      <c r="BU74" s="309">
        <f t="shared" si="22"/>
        <v>0</v>
      </c>
      <c r="BV74" s="309">
        <f t="shared" si="22"/>
        <v>0</v>
      </c>
      <c r="BW74" s="309">
        <f t="shared" si="22"/>
        <v>0</v>
      </c>
      <c r="BX74" s="309">
        <f t="shared" si="22"/>
        <v>0</v>
      </c>
      <c r="BY74" s="309">
        <f t="shared" si="22"/>
        <v>0</v>
      </c>
      <c r="BZ74" s="309">
        <f t="shared" si="22"/>
        <v>0</v>
      </c>
      <c r="CA74" s="309">
        <f t="shared" si="22"/>
        <v>0</v>
      </c>
      <c r="CB74" s="309">
        <f t="shared" si="22"/>
        <v>0</v>
      </c>
      <c r="CC74" s="309">
        <f t="shared" si="22"/>
        <v>0</v>
      </c>
      <c r="CD74" s="309">
        <f t="shared" si="22"/>
        <v>0</v>
      </c>
      <c r="CE74" s="309">
        <f t="shared" si="22"/>
        <v>0</v>
      </c>
      <c r="CF74" s="309">
        <f t="shared" si="22"/>
        <v>0</v>
      </c>
      <c r="CG74" s="309">
        <f t="shared" si="22"/>
        <v>0</v>
      </c>
      <c r="CH74" s="309">
        <f t="shared" si="22"/>
        <v>0</v>
      </c>
      <c r="CI74" s="309">
        <f t="shared" si="22"/>
        <v>0</v>
      </c>
      <c r="CJ74" s="309">
        <f t="shared" si="22"/>
        <v>0</v>
      </c>
      <c r="CK74" s="309">
        <f t="shared" si="22"/>
        <v>0</v>
      </c>
      <c r="CL74" s="309">
        <f t="shared" si="22"/>
        <v>0</v>
      </c>
      <c r="CM74" s="309">
        <f t="shared" si="22"/>
        <v>0</v>
      </c>
      <c r="CN74" s="309">
        <f t="shared" si="22"/>
        <v>0</v>
      </c>
      <c r="CO74" s="309">
        <f t="shared" si="22"/>
        <v>0</v>
      </c>
      <c r="CP74" s="309">
        <f t="shared" si="22"/>
        <v>0</v>
      </c>
      <c r="CQ74" s="309">
        <f t="shared" si="22"/>
        <v>0</v>
      </c>
      <c r="CR74" s="309">
        <f t="shared" si="22"/>
        <v>0</v>
      </c>
      <c r="CS74" s="309">
        <f t="shared" si="22"/>
        <v>0</v>
      </c>
      <c r="CT74" s="309">
        <f t="shared" si="22"/>
        <v>0</v>
      </c>
      <c r="CU74" s="309">
        <f t="shared" si="22"/>
        <v>0</v>
      </c>
      <c r="CV74" s="309">
        <f t="shared" si="22"/>
        <v>0</v>
      </c>
      <c r="CW74" s="309">
        <f t="shared" si="22"/>
        <v>0</v>
      </c>
      <c r="CX74" s="309">
        <f t="shared" ref="CX74:DV74" si="23">CW$92</f>
        <v>0</v>
      </c>
      <c r="CY74" s="309">
        <f t="shared" si="23"/>
        <v>0</v>
      </c>
      <c r="CZ74" s="309">
        <f t="shared" si="23"/>
        <v>0</v>
      </c>
      <c r="DA74" s="309">
        <f t="shared" si="23"/>
        <v>0</v>
      </c>
      <c r="DB74" s="309">
        <f t="shared" si="23"/>
        <v>0</v>
      </c>
      <c r="DC74" s="309">
        <f t="shared" si="23"/>
        <v>0</v>
      </c>
      <c r="DD74" s="309">
        <f t="shared" si="23"/>
        <v>0</v>
      </c>
      <c r="DE74" s="309">
        <f t="shared" si="23"/>
        <v>0</v>
      </c>
      <c r="DF74" s="309">
        <f t="shared" si="23"/>
        <v>0</v>
      </c>
      <c r="DG74" s="309">
        <f t="shared" si="23"/>
        <v>0</v>
      </c>
      <c r="DH74" s="309">
        <f t="shared" si="23"/>
        <v>0</v>
      </c>
      <c r="DI74" s="309">
        <f t="shared" si="23"/>
        <v>0</v>
      </c>
      <c r="DJ74" s="309">
        <f t="shared" si="23"/>
        <v>0</v>
      </c>
      <c r="DK74" s="309">
        <f t="shared" si="23"/>
        <v>0</v>
      </c>
      <c r="DL74" s="309">
        <f t="shared" si="23"/>
        <v>0</v>
      </c>
      <c r="DM74" s="309">
        <f t="shared" si="23"/>
        <v>0</v>
      </c>
      <c r="DN74" s="309">
        <f t="shared" si="23"/>
        <v>0</v>
      </c>
      <c r="DO74" s="309">
        <f t="shared" si="23"/>
        <v>0</v>
      </c>
      <c r="DP74" s="309">
        <f t="shared" si="23"/>
        <v>0</v>
      </c>
      <c r="DQ74" s="309">
        <f t="shared" si="23"/>
        <v>0</v>
      </c>
      <c r="DR74" s="309">
        <f t="shared" si="23"/>
        <v>0</v>
      </c>
      <c r="DS74" s="309">
        <f t="shared" si="23"/>
        <v>0</v>
      </c>
      <c r="DT74" s="309">
        <f t="shared" si="23"/>
        <v>0</v>
      </c>
      <c r="DU74" s="309">
        <f t="shared" si="23"/>
        <v>0</v>
      </c>
      <c r="DV74" s="309">
        <f t="shared" si="23"/>
        <v>0</v>
      </c>
    </row>
    <row r="75" spans="1:126" ht="15" customHeight="1" x14ac:dyDescent="0.35">
      <c r="A75" s="307" t="s">
        <v>1500</v>
      </c>
      <c r="B75" s="308" t="s">
        <v>1370</v>
      </c>
      <c r="C75" s="1146" t="s">
        <v>1501</v>
      </c>
      <c r="D75" s="1147"/>
      <c r="F75" s="309">
        <f>MAX(0,Underwriting!$L$196)</f>
        <v>93017714.091035873</v>
      </c>
      <c r="G75" s="309">
        <f>MAX(0,Underwriting!$M$196)</f>
        <v>882028.36212584306</v>
      </c>
      <c r="H75" s="309">
        <f>MAX(0,Underwriting!$N$196)</f>
        <v>1153238.7592138182</v>
      </c>
      <c r="I75" s="309">
        <f>MAX(0,Underwriting!$O$196)</f>
        <v>1540571.8400115801</v>
      </c>
      <c r="J75" s="309">
        <f>MAX(0,Underwriting!$P$196)</f>
        <v>2077208.6703043352</v>
      </c>
      <c r="K75" s="309">
        <f>MAX(0,Underwriting!$Q$196)</f>
        <v>2798042.1575110573</v>
      </c>
      <c r="L75" s="309">
        <f>MAX(0,Underwriting!$R$196)</f>
        <v>3736098.8558910517</v>
      </c>
      <c r="M75" s="309">
        <f>MAX(0,Underwriting!$S$196)</f>
        <v>4917681.2983414307</v>
      </c>
      <c r="N75" s="309">
        <f>MAX(0,Underwriting!$T$196)</f>
        <v>6356585.443407244</v>
      </c>
      <c r="O75" s="309">
        <f>MAX(0,Underwriting!$U$196)</f>
        <v>8048084.8374454733</v>
      </c>
      <c r="P75" s="309">
        <f>MAX(0,Underwriting!$V$196)</f>
        <v>9963673.1491933651</v>
      </c>
      <c r="Q75" s="309">
        <f>MAX(0,Underwriting!$W$196)</f>
        <v>12047726.791351493</v>
      </c>
      <c r="R75" s="309">
        <f>MAX(0,Underwriting!$X$196)</f>
        <v>14217202.323856961</v>
      </c>
      <c r="S75" s="309">
        <f>MAX(0,Underwriting!$Y$196)</f>
        <v>16365167.698586643</v>
      </c>
      <c r="T75" s="309">
        <f>MAX(0,Underwriting!$Z$196)</f>
        <v>18368392.667920161</v>
      </c>
      <c r="U75" s="309">
        <f>MAX(0,Underwriting!$AA$196)</f>
        <v>20098477.243874725</v>
      </c>
      <c r="V75" s="309">
        <f>MAX(0,Underwriting!$AB$196)</f>
        <v>21435229.253932979</v>
      </c>
      <c r="W75" s="309">
        <f>MAX(0,Underwriting!$AC$196)</f>
        <v>22280397.403045714</v>
      </c>
      <c r="X75" s="309">
        <f>MAX(0,Underwriting!$AD$196)</f>
        <v>22569593.467381995</v>
      </c>
      <c r="Y75" s="309">
        <f>MAX(0,Underwriting!$AE$196)</f>
        <v>22280397.403045733</v>
      </c>
      <c r="Z75" s="309">
        <f>MAX(0,Underwriting!$AF$196)</f>
        <v>21435229.253932942</v>
      </c>
      <c r="AA75" s="309">
        <f>MAX(0,Underwriting!$AG$196)</f>
        <v>20098477.243874762</v>
      </c>
      <c r="AB75" s="309">
        <f>MAX(0,Underwriting!$AH$196)</f>
        <v>18368392.667920135</v>
      </c>
      <c r="AC75" s="309">
        <f>MAX(0,Underwriting!$AI$196)</f>
        <v>16365167.698586643</v>
      </c>
      <c r="AD75" s="309">
        <f>MAX(0,Underwriting!$AJ$196)</f>
        <v>14217202.323856987</v>
      </c>
      <c r="AE75" s="309">
        <f>MAX(0,Underwriting!$AK$196)</f>
        <v>12047726.791351464</v>
      </c>
      <c r="AF75" s="309">
        <f>MAX(0,Underwriting!$AL$196)</f>
        <v>9963673.1491933651</v>
      </c>
      <c r="AG75" s="309">
        <f>MAX(0,Underwriting!$AM$196)</f>
        <v>8048084.8374454975</v>
      </c>
      <c r="AH75" s="309">
        <f>MAX(0,Underwriting!$AN$196)</f>
        <v>6356585.4434072273</v>
      </c>
      <c r="AI75" s="309">
        <f>MAX(0,Underwriting!$AO$196)</f>
        <v>4917681.2983414317</v>
      </c>
      <c r="AJ75" s="309">
        <f>MAX(0,Underwriting!$AP$196)</f>
        <v>3736098.8558910657</v>
      </c>
      <c r="AK75" s="309">
        <f>MAX(0,Underwriting!$AQ$196)</f>
        <v>2798042.157511042</v>
      </c>
      <c r="AL75" s="309">
        <f>MAX(0,Underwriting!$AR$196)</f>
        <v>2077208.670304341</v>
      </c>
      <c r="AM75" s="309">
        <f>MAX(0,Underwriting!$AS$196)</f>
        <v>1540571.8400115611</v>
      </c>
      <c r="AN75" s="309">
        <f>MAX(0,Underwriting!$AT$196)</f>
        <v>1153238.7592138406</v>
      </c>
      <c r="AO75" s="309">
        <f>MAX(0,Underwriting!$AU$196)</f>
        <v>882028.36212582723</v>
      </c>
      <c r="AP75" s="309">
        <f>MAX(0,Underwriting!$AV$196)</f>
        <v>697714.0910358784</v>
      </c>
      <c r="AQ75" s="309">
        <f>MAX(0,Underwriting!$AW$196)</f>
        <v>0</v>
      </c>
      <c r="AR75" s="309">
        <f>MAX(0,Underwriting!$AX$196)</f>
        <v>0</v>
      </c>
      <c r="AS75" s="309">
        <f>MAX(0,Underwriting!$AY$196)</f>
        <v>0</v>
      </c>
      <c r="AT75" s="309">
        <f>MAX(0,Underwriting!$AZ$196)</f>
        <v>0</v>
      </c>
      <c r="AU75" s="309">
        <f>MAX(0,Underwriting!$BA$196)</f>
        <v>0</v>
      </c>
      <c r="AV75" s="309">
        <f>MAX(0,Underwriting!$BB$196)</f>
        <v>0</v>
      </c>
      <c r="AW75" s="309">
        <f>MAX(0,Underwriting!$BC$196)</f>
        <v>0</v>
      </c>
      <c r="AX75" s="309">
        <f>MAX(0,Underwriting!$BD$196)</f>
        <v>0</v>
      </c>
      <c r="AY75" s="309">
        <f>MAX(0,Underwriting!$BE$196)</f>
        <v>0</v>
      </c>
      <c r="AZ75" s="309">
        <f>MAX(0,Underwriting!$BF$196)</f>
        <v>0</v>
      </c>
      <c r="BA75" s="309">
        <f>MAX(0,Underwriting!$BG$196)</f>
        <v>0</v>
      </c>
      <c r="BB75" s="309">
        <f>MAX(0,Underwriting!$BH$196)</f>
        <v>0</v>
      </c>
      <c r="BC75" s="309">
        <f>MAX(0,Underwriting!$BI$196)</f>
        <v>0</v>
      </c>
      <c r="BD75" s="309">
        <f>MAX(0,Underwriting!$BJ$196)</f>
        <v>0</v>
      </c>
      <c r="BE75" s="309">
        <f>MAX(0,Underwriting!$BK$196)</f>
        <v>0</v>
      </c>
      <c r="BF75" s="309">
        <f>MAX(0,Underwriting!$BL$196)</f>
        <v>0</v>
      </c>
      <c r="BG75" s="309">
        <f>MAX(0,Underwriting!$BM$196)</f>
        <v>0</v>
      </c>
      <c r="BH75" s="309">
        <f>MAX(0,Underwriting!$BN$196)</f>
        <v>0</v>
      </c>
      <c r="BI75" s="309">
        <f>MAX(0,Underwriting!$BO$196)</f>
        <v>0</v>
      </c>
      <c r="BJ75" s="309">
        <f>MAX(0,Underwriting!$BP$196)</f>
        <v>0</v>
      </c>
      <c r="BK75" s="309">
        <f>MAX(0,Underwriting!$BQ$196)</f>
        <v>0</v>
      </c>
      <c r="BL75" s="309">
        <f>MAX(0,Underwriting!$BR$196)</f>
        <v>0</v>
      </c>
      <c r="BM75" s="309">
        <f>MAX(0,Underwriting!$BS$196)</f>
        <v>0</v>
      </c>
      <c r="BN75" s="309">
        <f>MAX(0,Underwriting!$BT$196)</f>
        <v>0</v>
      </c>
      <c r="BO75" s="309">
        <f>MAX(0,Underwriting!$BU$196)</f>
        <v>0</v>
      </c>
      <c r="BP75" s="309">
        <f>MAX(0,Underwriting!$BV$196)</f>
        <v>0</v>
      </c>
      <c r="BQ75" s="309">
        <f>MAX(0,Underwriting!$BW$196)</f>
        <v>0</v>
      </c>
      <c r="BR75" s="309">
        <f>MAX(0,Underwriting!$BX$196)</f>
        <v>0</v>
      </c>
      <c r="BS75" s="309">
        <f>MAX(0,Underwriting!$BY$196)</f>
        <v>0</v>
      </c>
      <c r="BT75" s="309">
        <f>MAX(0,Underwriting!$BZ$196)</f>
        <v>0</v>
      </c>
      <c r="BU75" s="309">
        <f>MAX(0,Underwriting!$CA$196)</f>
        <v>0</v>
      </c>
      <c r="BV75" s="309">
        <f>MAX(0,Underwriting!$CB$196)</f>
        <v>0</v>
      </c>
      <c r="BW75" s="309">
        <f>MAX(0,Underwriting!$CC$196)</f>
        <v>0</v>
      </c>
      <c r="BX75" s="309">
        <f>MAX(0,Underwriting!$CD$196)</f>
        <v>0</v>
      </c>
      <c r="BY75" s="309">
        <f>MAX(0,Underwriting!$CE$196)</f>
        <v>0</v>
      </c>
      <c r="BZ75" s="309">
        <f>MAX(0,Underwriting!$CF$196)</f>
        <v>0</v>
      </c>
      <c r="CA75" s="309">
        <f>MAX(0,Underwriting!$CG$196)</f>
        <v>0</v>
      </c>
      <c r="CB75" s="309">
        <f>MAX(0,Underwriting!$CH$196)</f>
        <v>0</v>
      </c>
      <c r="CC75" s="309">
        <f>MAX(0,Underwriting!$CI$196)</f>
        <v>0</v>
      </c>
      <c r="CD75" s="309">
        <f>MAX(0,Underwriting!$CJ$196)</f>
        <v>0</v>
      </c>
      <c r="CE75" s="309">
        <f>MAX(0,Underwriting!$CK$196)</f>
        <v>0</v>
      </c>
      <c r="CF75" s="309">
        <f>MAX(0,Underwriting!$CL$196)</f>
        <v>0</v>
      </c>
      <c r="CG75" s="309">
        <f>MAX(0,Underwriting!$CM$196)</f>
        <v>0</v>
      </c>
      <c r="CH75" s="309">
        <f>MAX(0,Underwriting!$CN$196)</f>
        <v>0</v>
      </c>
      <c r="CI75" s="309">
        <f>MAX(0,Underwriting!$CO$196)</f>
        <v>0</v>
      </c>
      <c r="CJ75" s="309">
        <f>MAX(0,Underwriting!$CP$196)</f>
        <v>0</v>
      </c>
      <c r="CK75" s="309">
        <f>MAX(0,Underwriting!$CQ$196)</f>
        <v>0</v>
      </c>
      <c r="CL75" s="309">
        <f>MAX(0,Underwriting!$CR$196)</f>
        <v>0</v>
      </c>
      <c r="CM75" s="309">
        <f>MAX(0,Underwriting!$CS$196)</f>
        <v>0</v>
      </c>
      <c r="CN75" s="309">
        <f>MAX(0,Underwriting!$CT$196)</f>
        <v>0</v>
      </c>
      <c r="CO75" s="309">
        <f>MAX(0,Underwriting!$CU$196)</f>
        <v>0</v>
      </c>
      <c r="CP75" s="309">
        <f>MAX(0,Underwriting!$CV$196)</f>
        <v>0</v>
      </c>
      <c r="CQ75" s="309">
        <f>MAX(0,Underwriting!$CW$196)</f>
        <v>0</v>
      </c>
      <c r="CR75" s="309">
        <f>MAX(0,Underwriting!$CX$196)</f>
        <v>0</v>
      </c>
      <c r="CS75" s="309">
        <f>MAX(0,Underwriting!$CY$196)</f>
        <v>0</v>
      </c>
      <c r="CT75" s="309">
        <f>MAX(0,Underwriting!$CZ$196)</f>
        <v>0</v>
      </c>
      <c r="CU75" s="309">
        <f>MAX(0,Underwriting!$DA$196)</f>
        <v>0</v>
      </c>
      <c r="CV75" s="309">
        <f>MAX(0,Underwriting!$DB$196)</f>
        <v>0</v>
      </c>
      <c r="CW75" s="309">
        <f>MAX(0,Underwriting!$DC$196)</f>
        <v>0</v>
      </c>
      <c r="CX75" s="309">
        <f>MAX(0,Underwriting!$DD$196)</f>
        <v>0</v>
      </c>
      <c r="CY75" s="309">
        <f>MAX(0,Underwriting!$DE$196)</f>
        <v>0</v>
      </c>
      <c r="CZ75" s="309">
        <f>MAX(0,Underwriting!$DF$196)</f>
        <v>0</v>
      </c>
      <c r="DA75" s="309">
        <f>MAX(0,Underwriting!$DG$196)</f>
        <v>0</v>
      </c>
      <c r="DB75" s="309">
        <f>MAX(0,Underwriting!$DH$196)</f>
        <v>0</v>
      </c>
      <c r="DC75" s="309">
        <f>MAX(0,Underwriting!$DI$196)</f>
        <v>0</v>
      </c>
      <c r="DD75" s="309">
        <f>MAX(0,Underwriting!$DJ$196)</f>
        <v>0</v>
      </c>
      <c r="DE75" s="309">
        <f>MAX(0,Underwriting!$DK$196)</f>
        <v>0</v>
      </c>
      <c r="DF75" s="309">
        <f>MAX(0,Underwriting!$DL$196)</f>
        <v>0</v>
      </c>
      <c r="DG75" s="309">
        <f>MAX(0,Underwriting!$DM$196)</f>
        <v>0</v>
      </c>
      <c r="DH75" s="309">
        <f>MAX(0,Underwriting!$DN$196)</f>
        <v>0</v>
      </c>
      <c r="DI75" s="309">
        <f>MAX(0,Underwriting!$DO$196)</f>
        <v>0</v>
      </c>
      <c r="DJ75" s="309">
        <f>MAX(0,Underwriting!$DP$196)</f>
        <v>0</v>
      </c>
      <c r="DK75" s="309">
        <f>MAX(0,Underwriting!$DQ$196)</f>
        <v>0</v>
      </c>
      <c r="DL75" s="309">
        <f>MAX(0,Underwriting!$DR$196)</f>
        <v>0</v>
      </c>
      <c r="DM75" s="309">
        <f>MAX(0,Underwriting!$DS$196)</f>
        <v>0</v>
      </c>
      <c r="DN75" s="309">
        <f>MAX(0,Underwriting!$DT$196)</f>
        <v>0</v>
      </c>
      <c r="DO75" s="309">
        <f>MAX(0,Underwriting!$DU$196)</f>
        <v>0</v>
      </c>
      <c r="DP75" s="309">
        <f>MAX(0,Underwriting!$DV$196)</f>
        <v>0</v>
      </c>
      <c r="DQ75" s="309">
        <f>MAX(0,Underwriting!$DW$196)</f>
        <v>0</v>
      </c>
      <c r="DR75" s="309">
        <f>MAX(0,Underwriting!$DX$196)</f>
        <v>0</v>
      </c>
      <c r="DS75" s="309">
        <f>MAX(0,Underwriting!$DY$196)</f>
        <v>0</v>
      </c>
      <c r="DT75" s="309">
        <f>MAX(0,Underwriting!$DZ$196)</f>
        <v>0</v>
      </c>
      <c r="DU75" s="309">
        <f>MAX(0,Underwriting!$EA$196)</f>
        <v>0</v>
      </c>
      <c r="DV75" s="309">
        <f>MAX(0,Underwriting!$EB$196)</f>
        <v>0</v>
      </c>
    </row>
    <row r="76" spans="1:126" ht="15" customHeight="1" x14ac:dyDescent="0.35">
      <c r="A76" s="307" t="s">
        <v>1502</v>
      </c>
      <c r="B76" s="308" t="s">
        <v>1370</v>
      </c>
      <c r="C76" s="1146" t="s">
        <v>1503</v>
      </c>
      <c r="D76" s="1147"/>
      <c r="F76" s="309">
        <f t="shared" ref="F76:AK76" si="24">F$75*INDEX($K$31:$K$33,MATCH($B$6,$J$31:$J$33,0))</f>
        <v>0</v>
      </c>
      <c r="G76" s="309">
        <f t="shared" si="24"/>
        <v>0</v>
      </c>
      <c r="H76" s="309">
        <f t="shared" si="24"/>
        <v>0</v>
      </c>
      <c r="I76" s="309">
        <f t="shared" si="24"/>
        <v>0</v>
      </c>
      <c r="J76" s="309">
        <f t="shared" si="24"/>
        <v>0</v>
      </c>
      <c r="K76" s="309">
        <f t="shared" si="24"/>
        <v>0</v>
      </c>
      <c r="L76" s="309">
        <f t="shared" si="24"/>
        <v>0</v>
      </c>
      <c r="M76" s="309">
        <f t="shared" si="24"/>
        <v>0</v>
      </c>
      <c r="N76" s="309">
        <f t="shared" si="24"/>
        <v>0</v>
      </c>
      <c r="O76" s="309">
        <f t="shared" si="24"/>
        <v>0</v>
      </c>
      <c r="P76" s="309">
        <f t="shared" si="24"/>
        <v>0</v>
      </c>
      <c r="Q76" s="309">
        <f t="shared" si="24"/>
        <v>0</v>
      </c>
      <c r="R76" s="309">
        <f t="shared" si="24"/>
        <v>0</v>
      </c>
      <c r="S76" s="309">
        <f t="shared" si="24"/>
        <v>0</v>
      </c>
      <c r="T76" s="309">
        <f t="shared" si="24"/>
        <v>0</v>
      </c>
      <c r="U76" s="309">
        <f t="shared" si="24"/>
        <v>0</v>
      </c>
      <c r="V76" s="309">
        <f t="shared" si="24"/>
        <v>0</v>
      </c>
      <c r="W76" s="309">
        <f t="shared" si="24"/>
        <v>0</v>
      </c>
      <c r="X76" s="309">
        <f t="shared" si="24"/>
        <v>0</v>
      </c>
      <c r="Y76" s="309">
        <f t="shared" si="24"/>
        <v>0</v>
      </c>
      <c r="Z76" s="309">
        <f t="shared" si="24"/>
        <v>0</v>
      </c>
      <c r="AA76" s="309">
        <f t="shared" si="24"/>
        <v>0</v>
      </c>
      <c r="AB76" s="309">
        <f t="shared" si="24"/>
        <v>0</v>
      </c>
      <c r="AC76" s="309">
        <f t="shared" si="24"/>
        <v>0</v>
      </c>
      <c r="AD76" s="309">
        <f t="shared" si="24"/>
        <v>0</v>
      </c>
      <c r="AE76" s="309">
        <f t="shared" si="24"/>
        <v>0</v>
      </c>
      <c r="AF76" s="309">
        <f t="shared" si="24"/>
        <v>0</v>
      </c>
      <c r="AG76" s="309">
        <f t="shared" si="24"/>
        <v>0</v>
      </c>
      <c r="AH76" s="309">
        <f t="shared" si="24"/>
        <v>0</v>
      </c>
      <c r="AI76" s="309">
        <f t="shared" si="24"/>
        <v>0</v>
      </c>
      <c r="AJ76" s="309">
        <f t="shared" si="24"/>
        <v>0</v>
      </c>
      <c r="AK76" s="309">
        <f t="shared" si="24"/>
        <v>0</v>
      </c>
      <c r="AL76" s="309">
        <f t="shared" ref="AL76:BQ76" si="25">AL$75*INDEX($K$31:$K$33,MATCH($B$6,$J$31:$J$33,0))</f>
        <v>0</v>
      </c>
      <c r="AM76" s="309">
        <f t="shared" si="25"/>
        <v>0</v>
      </c>
      <c r="AN76" s="309">
        <f t="shared" si="25"/>
        <v>0</v>
      </c>
      <c r="AO76" s="309">
        <f t="shared" si="25"/>
        <v>0</v>
      </c>
      <c r="AP76" s="309">
        <f t="shared" si="25"/>
        <v>0</v>
      </c>
      <c r="AQ76" s="309">
        <f t="shared" si="25"/>
        <v>0</v>
      </c>
      <c r="AR76" s="309">
        <f t="shared" si="25"/>
        <v>0</v>
      </c>
      <c r="AS76" s="309">
        <f t="shared" si="25"/>
        <v>0</v>
      </c>
      <c r="AT76" s="309">
        <f t="shared" si="25"/>
        <v>0</v>
      </c>
      <c r="AU76" s="309">
        <f t="shared" si="25"/>
        <v>0</v>
      </c>
      <c r="AV76" s="309">
        <f t="shared" si="25"/>
        <v>0</v>
      </c>
      <c r="AW76" s="309">
        <f t="shared" si="25"/>
        <v>0</v>
      </c>
      <c r="AX76" s="309">
        <f t="shared" si="25"/>
        <v>0</v>
      </c>
      <c r="AY76" s="309">
        <f t="shared" si="25"/>
        <v>0</v>
      </c>
      <c r="AZ76" s="309">
        <f t="shared" si="25"/>
        <v>0</v>
      </c>
      <c r="BA76" s="309">
        <f t="shared" si="25"/>
        <v>0</v>
      </c>
      <c r="BB76" s="309">
        <f t="shared" si="25"/>
        <v>0</v>
      </c>
      <c r="BC76" s="309">
        <f t="shared" si="25"/>
        <v>0</v>
      </c>
      <c r="BD76" s="309">
        <f t="shared" si="25"/>
        <v>0</v>
      </c>
      <c r="BE76" s="309">
        <f t="shared" si="25"/>
        <v>0</v>
      </c>
      <c r="BF76" s="309">
        <f t="shared" si="25"/>
        <v>0</v>
      </c>
      <c r="BG76" s="309">
        <f t="shared" si="25"/>
        <v>0</v>
      </c>
      <c r="BH76" s="309">
        <f t="shared" si="25"/>
        <v>0</v>
      </c>
      <c r="BI76" s="309">
        <f t="shared" si="25"/>
        <v>0</v>
      </c>
      <c r="BJ76" s="309">
        <f t="shared" si="25"/>
        <v>0</v>
      </c>
      <c r="BK76" s="309">
        <f t="shared" si="25"/>
        <v>0</v>
      </c>
      <c r="BL76" s="309">
        <f t="shared" si="25"/>
        <v>0</v>
      </c>
      <c r="BM76" s="309">
        <f t="shared" si="25"/>
        <v>0</v>
      </c>
      <c r="BN76" s="309">
        <f t="shared" si="25"/>
        <v>0</v>
      </c>
      <c r="BO76" s="309">
        <f t="shared" si="25"/>
        <v>0</v>
      </c>
      <c r="BP76" s="309">
        <f t="shared" si="25"/>
        <v>0</v>
      </c>
      <c r="BQ76" s="309">
        <f t="shared" si="25"/>
        <v>0</v>
      </c>
      <c r="BR76" s="309">
        <f t="shared" ref="BR76:CW76" si="26">BR$75*INDEX($K$31:$K$33,MATCH($B$6,$J$31:$J$33,0))</f>
        <v>0</v>
      </c>
      <c r="BS76" s="309">
        <f t="shared" si="26"/>
        <v>0</v>
      </c>
      <c r="BT76" s="309">
        <f t="shared" si="26"/>
        <v>0</v>
      </c>
      <c r="BU76" s="309">
        <f t="shared" si="26"/>
        <v>0</v>
      </c>
      <c r="BV76" s="309">
        <f t="shared" si="26"/>
        <v>0</v>
      </c>
      <c r="BW76" s="309">
        <f t="shared" si="26"/>
        <v>0</v>
      </c>
      <c r="BX76" s="309">
        <f t="shared" si="26"/>
        <v>0</v>
      </c>
      <c r="BY76" s="309">
        <f t="shared" si="26"/>
        <v>0</v>
      </c>
      <c r="BZ76" s="309">
        <f t="shared" si="26"/>
        <v>0</v>
      </c>
      <c r="CA76" s="309">
        <f t="shared" si="26"/>
        <v>0</v>
      </c>
      <c r="CB76" s="309">
        <f t="shared" si="26"/>
        <v>0</v>
      </c>
      <c r="CC76" s="309">
        <f t="shared" si="26"/>
        <v>0</v>
      </c>
      <c r="CD76" s="309">
        <f t="shared" si="26"/>
        <v>0</v>
      </c>
      <c r="CE76" s="309">
        <f t="shared" si="26"/>
        <v>0</v>
      </c>
      <c r="CF76" s="309">
        <f t="shared" si="26"/>
        <v>0</v>
      </c>
      <c r="CG76" s="309">
        <f t="shared" si="26"/>
        <v>0</v>
      </c>
      <c r="CH76" s="309">
        <f t="shared" si="26"/>
        <v>0</v>
      </c>
      <c r="CI76" s="309">
        <f t="shared" si="26"/>
        <v>0</v>
      </c>
      <c r="CJ76" s="309">
        <f t="shared" si="26"/>
        <v>0</v>
      </c>
      <c r="CK76" s="309">
        <f t="shared" si="26"/>
        <v>0</v>
      </c>
      <c r="CL76" s="309">
        <f t="shared" si="26"/>
        <v>0</v>
      </c>
      <c r="CM76" s="309">
        <f t="shared" si="26"/>
        <v>0</v>
      </c>
      <c r="CN76" s="309">
        <f t="shared" si="26"/>
        <v>0</v>
      </c>
      <c r="CO76" s="309">
        <f t="shared" si="26"/>
        <v>0</v>
      </c>
      <c r="CP76" s="309">
        <f t="shared" si="26"/>
        <v>0</v>
      </c>
      <c r="CQ76" s="309">
        <f t="shared" si="26"/>
        <v>0</v>
      </c>
      <c r="CR76" s="309">
        <f t="shared" si="26"/>
        <v>0</v>
      </c>
      <c r="CS76" s="309">
        <f t="shared" si="26"/>
        <v>0</v>
      </c>
      <c r="CT76" s="309">
        <f t="shared" si="26"/>
        <v>0</v>
      </c>
      <c r="CU76" s="309">
        <f t="shared" si="26"/>
        <v>0</v>
      </c>
      <c r="CV76" s="309">
        <f t="shared" si="26"/>
        <v>0</v>
      </c>
      <c r="CW76" s="309">
        <f t="shared" si="26"/>
        <v>0</v>
      </c>
      <c r="CX76" s="309">
        <f t="shared" ref="CX76:DV76" si="27">CX$75*INDEX($K$31:$K$33,MATCH($B$6,$J$31:$J$33,0))</f>
        <v>0</v>
      </c>
      <c r="CY76" s="309">
        <f t="shared" si="27"/>
        <v>0</v>
      </c>
      <c r="CZ76" s="309">
        <f t="shared" si="27"/>
        <v>0</v>
      </c>
      <c r="DA76" s="309">
        <f t="shared" si="27"/>
        <v>0</v>
      </c>
      <c r="DB76" s="309">
        <f t="shared" si="27"/>
        <v>0</v>
      </c>
      <c r="DC76" s="309">
        <f t="shared" si="27"/>
        <v>0</v>
      </c>
      <c r="DD76" s="309">
        <f t="shared" si="27"/>
        <v>0</v>
      </c>
      <c r="DE76" s="309">
        <f t="shared" si="27"/>
        <v>0</v>
      </c>
      <c r="DF76" s="309">
        <f t="shared" si="27"/>
        <v>0</v>
      </c>
      <c r="DG76" s="309">
        <f t="shared" si="27"/>
        <v>0</v>
      </c>
      <c r="DH76" s="309">
        <f t="shared" si="27"/>
        <v>0</v>
      </c>
      <c r="DI76" s="309">
        <f t="shared" si="27"/>
        <v>0</v>
      </c>
      <c r="DJ76" s="309">
        <f t="shared" si="27"/>
        <v>0</v>
      </c>
      <c r="DK76" s="309">
        <f t="shared" si="27"/>
        <v>0</v>
      </c>
      <c r="DL76" s="309">
        <f t="shared" si="27"/>
        <v>0</v>
      </c>
      <c r="DM76" s="309">
        <f t="shared" si="27"/>
        <v>0</v>
      </c>
      <c r="DN76" s="309">
        <f t="shared" si="27"/>
        <v>0</v>
      </c>
      <c r="DO76" s="309">
        <f t="shared" si="27"/>
        <v>0</v>
      </c>
      <c r="DP76" s="309">
        <f t="shared" si="27"/>
        <v>0</v>
      </c>
      <c r="DQ76" s="309">
        <f t="shared" si="27"/>
        <v>0</v>
      </c>
      <c r="DR76" s="309">
        <f t="shared" si="27"/>
        <v>0</v>
      </c>
      <c r="DS76" s="309">
        <f t="shared" si="27"/>
        <v>0</v>
      </c>
      <c r="DT76" s="309">
        <f t="shared" si="27"/>
        <v>0</v>
      </c>
      <c r="DU76" s="309">
        <f t="shared" si="27"/>
        <v>0</v>
      </c>
      <c r="DV76" s="309">
        <f t="shared" si="27"/>
        <v>0</v>
      </c>
    </row>
    <row r="77" spans="1:126" ht="15" customHeight="1" x14ac:dyDescent="0.35">
      <c r="A77" s="307" t="s">
        <v>1504</v>
      </c>
      <c r="B77" s="308" t="s">
        <v>1370</v>
      </c>
      <c r="C77" s="1146" t="s">
        <v>1505</v>
      </c>
      <c r="D77" s="1147"/>
      <c r="F77" s="309">
        <f t="shared" ref="F77:AK77" si="28">MAX(0,SUM(F$75:F$76,F$87)+MAX(0,F$188))</f>
        <v>100459131.21831875</v>
      </c>
      <c r="G77" s="309">
        <f t="shared" si="28"/>
        <v>952590.63109591056</v>
      </c>
      <c r="H77" s="309">
        <f t="shared" si="28"/>
        <v>1153238.7592138182</v>
      </c>
      <c r="I77" s="309">
        <f t="shared" si="28"/>
        <v>1593255.3182424391</v>
      </c>
      <c r="J77" s="309">
        <f t="shared" si="28"/>
        <v>2151126.2631915766</v>
      </c>
      <c r="K77" s="309">
        <f t="shared" si="28"/>
        <v>2898639.7829110157</v>
      </c>
      <c r="L77" s="309">
        <f t="shared" si="28"/>
        <v>3868810.0707379892</v>
      </c>
      <c r="M77" s="309">
        <f t="shared" si="28"/>
        <v>5087252.4296078607</v>
      </c>
      <c r="N77" s="309">
        <f t="shared" si="28"/>
        <v>6566224.3704085397</v>
      </c>
      <c r="O77" s="309">
        <f t="shared" si="28"/>
        <v>8298517.1205737963</v>
      </c>
      <c r="P77" s="309">
        <f t="shared" si="28"/>
        <v>10252240.165656256</v>
      </c>
      <c r="Q77" s="309">
        <f t="shared" si="28"/>
        <v>12367698.147663975</v>
      </c>
      <c r="R77" s="309">
        <f t="shared" si="28"/>
        <v>14557484.657830048</v>
      </c>
      <c r="S77" s="309">
        <f t="shared" si="28"/>
        <v>16710562.971165454</v>
      </c>
      <c r="T77" s="309">
        <f t="shared" si="28"/>
        <v>18700487.895445216</v>
      </c>
      <c r="U77" s="309">
        <f t="shared" si="28"/>
        <v>20397142.007497773</v>
      </c>
      <c r="V77" s="309">
        <f t="shared" si="28"/>
        <v>21680576.180814005</v>
      </c>
      <c r="W77" s="309">
        <f t="shared" si="28"/>
        <v>22454951.015779395</v>
      </c>
      <c r="X77" s="309">
        <f t="shared" si="28"/>
        <v>22660342.604457915</v>
      </c>
      <c r="Y77" s="309">
        <f t="shared" si="28"/>
        <v>22280397.403045733</v>
      </c>
      <c r="Z77" s="309">
        <f t="shared" si="28"/>
        <v>21435229.253932942</v>
      </c>
      <c r="AA77" s="309">
        <f t="shared" si="28"/>
        <v>20098477.243874762</v>
      </c>
      <c r="AB77" s="309">
        <f t="shared" si="28"/>
        <v>18368392.667920135</v>
      </c>
      <c r="AC77" s="309">
        <f t="shared" si="28"/>
        <v>16365167.698586643</v>
      </c>
      <c r="AD77" s="309">
        <f t="shared" si="28"/>
        <v>14217202.323856987</v>
      </c>
      <c r="AE77" s="309">
        <f t="shared" si="28"/>
        <v>12047726.791351464</v>
      </c>
      <c r="AF77" s="309">
        <f t="shared" si="28"/>
        <v>9963673.1491933651</v>
      </c>
      <c r="AG77" s="309">
        <f t="shared" si="28"/>
        <v>8048084.8374454975</v>
      </c>
      <c r="AH77" s="309">
        <f t="shared" si="28"/>
        <v>6356585.4434072273</v>
      </c>
      <c r="AI77" s="309">
        <f t="shared" si="28"/>
        <v>4917681.2983414317</v>
      </c>
      <c r="AJ77" s="309">
        <f t="shared" si="28"/>
        <v>3736098.8558910657</v>
      </c>
      <c r="AK77" s="309">
        <f t="shared" si="28"/>
        <v>2798042.157511042</v>
      </c>
      <c r="AL77" s="309">
        <f t="shared" ref="AL77:BQ77" si="29">MAX(0,SUM(AL$75:AL$76,AL$87)+MAX(0,AL$188))</f>
        <v>2077208.670304341</v>
      </c>
      <c r="AM77" s="309">
        <f t="shared" si="29"/>
        <v>1540571.8400115611</v>
      </c>
      <c r="AN77" s="309">
        <f t="shared" si="29"/>
        <v>1153238.7592138406</v>
      </c>
      <c r="AO77" s="309">
        <f t="shared" si="29"/>
        <v>882028.36212582723</v>
      </c>
      <c r="AP77" s="309">
        <f t="shared" si="29"/>
        <v>697714.0910358784</v>
      </c>
      <c r="AQ77" s="309">
        <f t="shared" si="29"/>
        <v>0</v>
      </c>
      <c r="AR77" s="309">
        <f t="shared" si="29"/>
        <v>0</v>
      </c>
      <c r="AS77" s="309">
        <f t="shared" si="29"/>
        <v>0</v>
      </c>
      <c r="AT77" s="309">
        <f t="shared" si="29"/>
        <v>0</v>
      </c>
      <c r="AU77" s="309">
        <f t="shared" si="29"/>
        <v>0</v>
      </c>
      <c r="AV77" s="309">
        <f t="shared" si="29"/>
        <v>0</v>
      </c>
      <c r="AW77" s="309">
        <f t="shared" si="29"/>
        <v>0</v>
      </c>
      <c r="AX77" s="309">
        <f t="shared" si="29"/>
        <v>0</v>
      </c>
      <c r="AY77" s="309">
        <f t="shared" si="29"/>
        <v>0</v>
      </c>
      <c r="AZ77" s="309">
        <f t="shared" si="29"/>
        <v>0</v>
      </c>
      <c r="BA77" s="309">
        <f t="shared" si="29"/>
        <v>0</v>
      </c>
      <c r="BB77" s="309">
        <f t="shared" si="29"/>
        <v>0</v>
      </c>
      <c r="BC77" s="309">
        <f t="shared" si="29"/>
        <v>0</v>
      </c>
      <c r="BD77" s="309">
        <f t="shared" si="29"/>
        <v>0</v>
      </c>
      <c r="BE77" s="309">
        <f t="shared" si="29"/>
        <v>0</v>
      </c>
      <c r="BF77" s="309">
        <f t="shared" si="29"/>
        <v>0</v>
      </c>
      <c r="BG77" s="309">
        <f t="shared" si="29"/>
        <v>0</v>
      </c>
      <c r="BH77" s="309">
        <f t="shared" si="29"/>
        <v>0</v>
      </c>
      <c r="BI77" s="309">
        <f t="shared" si="29"/>
        <v>0</v>
      </c>
      <c r="BJ77" s="309">
        <f t="shared" si="29"/>
        <v>0</v>
      </c>
      <c r="BK77" s="309">
        <f t="shared" si="29"/>
        <v>0</v>
      </c>
      <c r="BL77" s="309">
        <f t="shared" si="29"/>
        <v>0</v>
      </c>
      <c r="BM77" s="309">
        <f t="shared" si="29"/>
        <v>0</v>
      </c>
      <c r="BN77" s="309">
        <f t="shared" si="29"/>
        <v>0</v>
      </c>
      <c r="BO77" s="309">
        <f t="shared" si="29"/>
        <v>0</v>
      </c>
      <c r="BP77" s="309">
        <f t="shared" si="29"/>
        <v>0</v>
      </c>
      <c r="BQ77" s="309">
        <f t="shared" si="29"/>
        <v>0</v>
      </c>
      <c r="BR77" s="309">
        <f t="shared" ref="BR77:CW77" si="30">MAX(0,SUM(BR$75:BR$76,BR$87)+MAX(0,BR$188))</f>
        <v>0</v>
      </c>
      <c r="BS77" s="309">
        <f t="shared" si="30"/>
        <v>0</v>
      </c>
      <c r="BT77" s="309">
        <f t="shared" si="30"/>
        <v>0</v>
      </c>
      <c r="BU77" s="309">
        <f t="shared" si="30"/>
        <v>0</v>
      </c>
      <c r="BV77" s="309">
        <f t="shared" si="30"/>
        <v>0</v>
      </c>
      <c r="BW77" s="309">
        <f t="shared" si="30"/>
        <v>0</v>
      </c>
      <c r="BX77" s="309">
        <f t="shared" si="30"/>
        <v>0</v>
      </c>
      <c r="BY77" s="309">
        <f t="shared" si="30"/>
        <v>0</v>
      </c>
      <c r="BZ77" s="309">
        <f t="shared" si="30"/>
        <v>0</v>
      </c>
      <c r="CA77" s="309">
        <f t="shared" si="30"/>
        <v>0</v>
      </c>
      <c r="CB77" s="309">
        <f t="shared" si="30"/>
        <v>0</v>
      </c>
      <c r="CC77" s="309">
        <f t="shared" si="30"/>
        <v>0</v>
      </c>
      <c r="CD77" s="309">
        <f t="shared" si="30"/>
        <v>0</v>
      </c>
      <c r="CE77" s="309">
        <f t="shared" si="30"/>
        <v>0</v>
      </c>
      <c r="CF77" s="309">
        <f t="shared" si="30"/>
        <v>0</v>
      </c>
      <c r="CG77" s="309">
        <f t="shared" si="30"/>
        <v>0</v>
      </c>
      <c r="CH77" s="309">
        <f t="shared" si="30"/>
        <v>0</v>
      </c>
      <c r="CI77" s="309">
        <f t="shared" si="30"/>
        <v>0</v>
      </c>
      <c r="CJ77" s="309">
        <f t="shared" si="30"/>
        <v>0</v>
      </c>
      <c r="CK77" s="309">
        <f t="shared" si="30"/>
        <v>0</v>
      </c>
      <c r="CL77" s="309">
        <f t="shared" si="30"/>
        <v>0</v>
      </c>
      <c r="CM77" s="309">
        <f t="shared" si="30"/>
        <v>0</v>
      </c>
      <c r="CN77" s="309">
        <f t="shared" si="30"/>
        <v>0</v>
      </c>
      <c r="CO77" s="309">
        <f t="shared" si="30"/>
        <v>0</v>
      </c>
      <c r="CP77" s="309">
        <f t="shared" si="30"/>
        <v>0</v>
      </c>
      <c r="CQ77" s="309">
        <f t="shared" si="30"/>
        <v>0</v>
      </c>
      <c r="CR77" s="309">
        <f t="shared" si="30"/>
        <v>0</v>
      </c>
      <c r="CS77" s="309">
        <f t="shared" si="30"/>
        <v>0</v>
      </c>
      <c r="CT77" s="309">
        <f t="shared" si="30"/>
        <v>0</v>
      </c>
      <c r="CU77" s="309">
        <f t="shared" si="30"/>
        <v>0</v>
      </c>
      <c r="CV77" s="309">
        <f t="shared" si="30"/>
        <v>0</v>
      </c>
      <c r="CW77" s="309">
        <f t="shared" si="30"/>
        <v>0</v>
      </c>
      <c r="CX77" s="309">
        <f t="shared" ref="CX77:DV77" si="31">MAX(0,SUM(CX$75:CX$76,CX$87)+MAX(0,CX$188))</f>
        <v>0</v>
      </c>
      <c r="CY77" s="309">
        <f t="shared" si="31"/>
        <v>0</v>
      </c>
      <c r="CZ77" s="309">
        <f t="shared" si="31"/>
        <v>0</v>
      </c>
      <c r="DA77" s="309">
        <f t="shared" si="31"/>
        <v>0</v>
      </c>
      <c r="DB77" s="309">
        <f t="shared" si="31"/>
        <v>0</v>
      </c>
      <c r="DC77" s="309">
        <f t="shared" si="31"/>
        <v>0</v>
      </c>
      <c r="DD77" s="309">
        <f t="shared" si="31"/>
        <v>0</v>
      </c>
      <c r="DE77" s="309">
        <f t="shared" si="31"/>
        <v>0</v>
      </c>
      <c r="DF77" s="309">
        <f t="shared" si="31"/>
        <v>0</v>
      </c>
      <c r="DG77" s="309">
        <f t="shared" si="31"/>
        <v>0</v>
      </c>
      <c r="DH77" s="309">
        <f t="shared" si="31"/>
        <v>0</v>
      </c>
      <c r="DI77" s="309">
        <f t="shared" si="31"/>
        <v>0</v>
      </c>
      <c r="DJ77" s="309">
        <f t="shared" si="31"/>
        <v>0</v>
      </c>
      <c r="DK77" s="309">
        <f t="shared" si="31"/>
        <v>0</v>
      </c>
      <c r="DL77" s="309">
        <f t="shared" si="31"/>
        <v>0</v>
      </c>
      <c r="DM77" s="309">
        <f t="shared" si="31"/>
        <v>0</v>
      </c>
      <c r="DN77" s="309">
        <f t="shared" si="31"/>
        <v>0</v>
      </c>
      <c r="DO77" s="309">
        <f t="shared" si="31"/>
        <v>0</v>
      </c>
      <c r="DP77" s="309">
        <f t="shared" si="31"/>
        <v>0</v>
      </c>
      <c r="DQ77" s="309">
        <f t="shared" si="31"/>
        <v>0</v>
      </c>
      <c r="DR77" s="309">
        <f t="shared" si="31"/>
        <v>0</v>
      </c>
      <c r="DS77" s="309">
        <f t="shared" si="31"/>
        <v>0</v>
      </c>
      <c r="DT77" s="309">
        <f t="shared" si="31"/>
        <v>0</v>
      </c>
      <c r="DU77" s="309">
        <f t="shared" si="31"/>
        <v>0</v>
      </c>
      <c r="DV77" s="309">
        <f t="shared" si="31"/>
        <v>0</v>
      </c>
    </row>
    <row r="78" spans="1:126" ht="15" customHeight="1" x14ac:dyDescent="0.35">
      <c r="A78" s="307" t="s">
        <v>1506</v>
      </c>
      <c r="B78" s="308" t="s">
        <v>1370</v>
      </c>
      <c r="C78" s="1146" t="s">
        <v>1507</v>
      </c>
      <c r="D78" s="1147"/>
      <c r="F78" s="309">
        <f t="shared" ref="F78:AK78" si="32">MAX(0,F$77-F$81)</f>
        <v>83830999.999999985</v>
      </c>
      <c r="G78" s="309">
        <f t="shared" si="32"/>
        <v>0</v>
      </c>
      <c r="H78" s="309">
        <f t="shared" si="32"/>
        <v>0</v>
      </c>
      <c r="I78" s="309">
        <f t="shared" si="32"/>
        <v>0</v>
      </c>
      <c r="J78" s="309">
        <f t="shared" si="32"/>
        <v>0</v>
      </c>
      <c r="K78" s="309">
        <f t="shared" si="32"/>
        <v>0</v>
      </c>
      <c r="L78" s="309">
        <f t="shared" si="32"/>
        <v>0</v>
      </c>
      <c r="M78" s="309">
        <f t="shared" si="32"/>
        <v>0</v>
      </c>
      <c r="N78" s="309">
        <f t="shared" si="32"/>
        <v>0</v>
      </c>
      <c r="O78" s="309">
        <f t="shared" si="32"/>
        <v>0</v>
      </c>
      <c r="P78" s="309">
        <f t="shared" si="32"/>
        <v>0</v>
      </c>
      <c r="Q78" s="309">
        <f t="shared" si="32"/>
        <v>0</v>
      </c>
      <c r="R78" s="309">
        <f t="shared" si="32"/>
        <v>0</v>
      </c>
      <c r="S78" s="309">
        <f t="shared" si="32"/>
        <v>2278227.9267629441</v>
      </c>
      <c r="T78" s="309">
        <f t="shared" si="32"/>
        <v>9350243.9477226026</v>
      </c>
      <c r="U78" s="309">
        <f t="shared" si="32"/>
        <v>10198571.003748879</v>
      </c>
      <c r="V78" s="309">
        <f t="shared" si="32"/>
        <v>10840288.090407006</v>
      </c>
      <c r="W78" s="309">
        <f t="shared" si="32"/>
        <v>11227475.507889692</v>
      </c>
      <c r="X78" s="309">
        <f t="shared" si="32"/>
        <v>11330171.302228957</v>
      </c>
      <c r="Y78" s="309">
        <f t="shared" si="32"/>
        <v>11140198.701522876</v>
      </c>
      <c r="Z78" s="309">
        <f t="shared" si="32"/>
        <v>10717614.626966465</v>
      </c>
      <c r="AA78" s="309">
        <f t="shared" si="32"/>
        <v>9958489.4848614372</v>
      </c>
      <c r="AB78" s="309">
        <f t="shared" si="32"/>
        <v>9009642.7212263867</v>
      </c>
      <c r="AC78" s="309">
        <f t="shared" si="32"/>
        <v>7937236.9224123061</v>
      </c>
      <c r="AD78" s="309">
        <f t="shared" si="32"/>
        <v>6809936.3983054236</v>
      </c>
      <c r="AE78" s="309">
        <f t="shared" si="32"/>
        <v>5691768.1681506895</v>
      </c>
      <c r="AF78" s="309">
        <f t="shared" si="32"/>
        <v>4636441.3020178862</v>
      </c>
      <c r="AG78" s="309">
        <f t="shared" si="32"/>
        <v>3683760.0847496688</v>
      </c>
      <c r="AH78" s="309">
        <f t="shared" si="32"/>
        <v>2858321.365391125</v>
      </c>
      <c r="AI78" s="309">
        <f t="shared" si="32"/>
        <v>2170273.6327078128</v>
      </c>
      <c r="AJ78" s="309">
        <f t="shared" si="32"/>
        <v>2511793.8528059889</v>
      </c>
      <c r="AK78" s="309">
        <f t="shared" si="32"/>
        <v>2588403.2305097445</v>
      </c>
      <c r="AL78" s="309">
        <f t="shared" ref="AL78:BQ78" si="33">MAX(0,AL$77-AL$81)</f>
        <v>1907637.5390378961</v>
      </c>
      <c r="AM78" s="309">
        <f t="shared" si="33"/>
        <v>1407860.6251646222</v>
      </c>
      <c r="AN78" s="309">
        <f t="shared" si="33"/>
        <v>1052641.1338138934</v>
      </c>
      <c r="AO78" s="309">
        <f t="shared" si="33"/>
        <v>808110.76923857466</v>
      </c>
      <c r="AP78" s="309">
        <f t="shared" si="33"/>
        <v>645030.61280501459</v>
      </c>
      <c r="AQ78" s="309">
        <f t="shared" si="33"/>
        <v>0</v>
      </c>
      <c r="AR78" s="309">
        <f t="shared" si="33"/>
        <v>0</v>
      </c>
      <c r="AS78" s="309">
        <f t="shared" si="33"/>
        <v>0</v>
      </c>
      <c r="AT78" s="309">
        <f t="shared" si="33"/>
        <v>0</v>
      </c>
      <c r="AU78" s="309">
        <f t="shared" si="33"/>
        <v>0</v>
      </c>
      <c r="AV78" s="309">
        <f t="shared" si="33"/>
        <v>0</v>
      </c>
      <c r="AW78" s="309">
        <f t="shared" si="33"/>
        <v>0</v>
      </c>
      <c r="AX78" s="309">
        <f t="shared" si="33"/>
        <v>0</v>
      </c>
      <c r="AY78" s="309">
        <f t="shared" si="33"/>
        <v>0</v>
      </c>
      <c r="AZ78" s="309">
        <f t="shared" si="33"/>
        <v>0</v>
      </c>
      <c r="BA78" s="309">
        <f t="shared" si="33"/>
        <v>0</v>
      </c>
      <c r="BB78" s="309">
        <f t="shared" si="33"/>
        <v>0</v>
      </c>
      <c r="BC78" s="309">
        <f t="shared" si="33"/>
        <v>0</v>
      </c>
      <c r="BD78" s="309">
        <f t="shared" si="33"/>
        <v>0</v>
      </c>
      <c r="BE78" s="309">
        <f t="shared" si="33"/>
        <v>0</v>
      </c>
      <c r="BF78" s="309">
        <f t="shared" si="33"/>
        <v>0</v>
      </c>
      <c r="BG78" s="309">
        <f t="shared" si="33"/>
        <v>0</v>
      </c>
      <c r="BH78" s="309">
        <f t="shared" si="33"/>
        <v>0</v>
      </c>
      <c r="BI78" s="309">
        <f t="shared" si="33"/>
        <v>0</v>
      </c>
      <c r="BJ78" s="309">
        <f t="shared" si="33"/>
        <v>0</v>
      </c>
      <c r="BK78" s="309">
        <f t="shared" si="33"/>
        <v>0</v>
      </c>
      <c r="BL78" s="309">
        <f t="shared" si="33"/>
        <v>0</v>
      </c>
      <c r="BM78" s="309">
        <f t="shared" si="33"/>
        <v>0</v>
      </c>
      <c r="BN78" s="309">
        <f t="shared" si="33"/>
        <v>0</v>
      </c>
      <c r="BO78" s="309">
        <f t="shared" si="33"/>
        <v>0</v>
      </c>
      <c r="BP78" s="309">
        <f t="shared" si="33"/>
        <v>0</v>
      </c>
      <c r="BQ78" s="309">
        <f t="shared" si="33"/>
        <v>0</v>
      </c>
      <c r="BR78" s="309">
        <f t="shared" ref="BR78:CW78" si="34">MAX(0,BR$77-BR$81)</f>
        <v>0</v>
      </c>
      <c r="BS78" s="309">
        <f t="shared" si="34"/>
        <v>0</v>
      </c>
      <c r="BT78" s="309">
        <f t="shared" si="34"/>
        <v>0</v>
      </c>
      <c r="BU78" s="309">
        <f t="shared" si="34"/>
        <v>0</v>
      </c>
      <c r="BV78" s="309">
        <f t="shared" si="34"/>
        <v>0</v>
      </c>
      <c r="BW78" s="309">
        <f t="shared" si="34"/>
        <v>0</v>
      </c>
      <c r="BX78" s="309">
        <f t="shared" si="34"/>
        <v>0</v>
      </c>
      <c r="BY78" s="309">
        <f t="shared" si="34"/>
        <v>0</v>
      </c>
      <c r="BZ78" s="309">
        <f t="shared" si="34"/>
        <v>0</v>
      </c>
      <c r="CA78" s="309">
        <f t="shared" si="34"/>
        <v>0</v>
      </c>
      <c r="CB78" s="309">
        <f t="shared" si="34"/>
        <v>0</v>
      </c>
      <c r="CC78" s="309">
        <f t="shared" si="34"/>
        <v>0</v>
      </c>
      <c r="CD78" s="309">
        <f t="shared" si="34"/>
        <v>0</v>
      </c>
      <c r="CE78" s="309">
        <f t="shared" si="34"/>
        <v>0</v>
      </c>
      <c r="CF78" s="309">
        <f t="shared" si="34"/>
        <v>0</v>
      </c>
      <c r="CG78" s="309">
        <f t="shared" si="34"/>
        <v>0</v>
      </c>
      <c r="CH78" s="309">
        <f t="shared" si="34"/>
        <v>0</v>
      </c>
      <c r="CI78" s="309">
        <f t="shared" si="34"/>
        <v>0</v>
      </c>
      <c r="CJ78" s="309">
        <f t="shared" si="34"/>
        <v>0</v>
      </c>
      <c r="CK78" s="309">
        <f t="shared" si="34"/>
        <v>0</v>
      </c>
      <c r="CL78" s="309">
        <f t="shared" si="34"/>
        <v>0</v>
      </c>
      <c r="CM78" s="309">
        <f t="shared" si="34"/>
        <v>0</v>
      </c>
      <c r="CN78" s="309">
        <f t="shared" si="34"/>
        <v>0</v>
      </c>
      <c r="CO78" s="309">
        <f t="shared" si="34"/>
        <v>0</v>
      </c>
      <c r="CP78" s="309">
        <f t="shared" si="34"/>
        <v>0</v>
      </c>
      <c r="CQ78" s="309">
        <f t="shared" si="34"/>
        <v>0</v>
      </c>
      <c r="CR78" s="309">
        <f t="shared" si="34"/>
        <v>0</v>
      </c>
      <c r="CS78" s="309">
        <f t="shared" si="34"/>
        <v>0</v>
      </c>
      <c r="CT78" s="309">
        <f t="shared" si="34"/>
        <v>0</v>
      </c>
      <c r="CU78" s="309">
        <f t="shared" si="34"/>
        <v>0</v>
      </c>
      <c r="CV78" s="309">
        <f t="shared" si="34"/>
        <v>0</v>
      </c>
      <c r="CW78" s="309">
        <f t="shared" si="34"/>
        <v>0</v>
      </c>
      <c r="CX78" s="309">
        <f t="shared" ref="CX78:DV78" si="35">MAX(0,CX$77-CX$81)</f>
        <v>0</v>
      </c>
      <c r="CY78" s="309">
        <f t="shared" si="35"/>
        <v>0</v>
      </c>
      <c r="CZ78" s="309">
        <f t="shared" si="35"/>
        <v>0</v>
      </c>
      <c r="DA78" s="309">
        <f t="shared" si="35"/>
        <v>0</v>
      </c>
      <c r="DB78" s="309">
        <f t="shared" si="35"/>
        <v>0</v>
      </c>
      <c r="DC78" s="309">
        <f t="shared" si="35"/>
        <v>0</v>
      </c>
      <c r="DD78" s="309">
        <f t="shared" si="35"/>
        <v>0</v>
      </c>
      <c r="DE78" s="309">
        <f t="shared" si="35"/>
        <v>0</v>
      </c>
      <c r="DF78" s="309">
        <f t="shared" si="35"/>
        <v>0</v>
      </c>
      <c r="DG78" s="309">
        <f t="shared" si="35"/>
        <v>0</v>
      </c>
      <c r="DH78" s="309">
        <f t="shared" si="35"/>
        <v>0</v>
      </c>
      <c r="DI78" s="309">
        <f t="shared" si="35"/>
        <v>0</v>
      </c>
      <c r="DJ78" s="309">
        <f t="shared" si="35"/>
        <v>0</v>
      </c>
      <c r="DK78" s="309">
        <f t="shared" si="35"/>
        <v>0</v>
      </c>
      <c r="DL78" s="309">
        <f t="shared" si="35"/>
        <v>0</v>
      </c>
      <c r="DM78" s="309">
        <f t="shared" si="35"/>
        <v>0</v>
      </c>
      <c r="DN78" s="309">
        <f t="shared" si="35"/>
        <v>0</v>
      </c>
      <c r="DO78" s="309">
        <f t="shared" si="35"/>
        <v>0</v>
      </c>
      <c r="DP78" s="309">
        <f t="shared" si="35"/>
        <v>0</v>
      </c>
      <c r="DQ78" s="309">
        <f t="shared" si="35"/>
        <v>0</v>
      </c>
      <c r="DR78" s="309">
        <f t="shared" si="35"/>
        <v>0</v>
      </c>
      <c r="DS78" s="309">
        <f t="shared" si="35"/>
        <v>0</v>
      </c>
      <c r="DT78" s="309">
        <f t="shared" si="35"/>
        <v>0</v>
      </c>
      <c r="DU78" s="309">
        <f t="shared" si="35"/>
        <v>0</v>
      </c>
      <c r="DV78" s="309">
        <f t="shared" si="35"/>
        <v>0</v>
      </c>
    </row>
    <row r="79" spans="1:126" ht="15" customHeight="1" x14ac:dyDescent="0.35">
      <c r="A79" s="307" t="s">
        <v>1508</v>
      </c>
      <c r="B79" s="308" t="s">
        <v>1370</v>
      </c>
      <c r="C79" s="1146" t="s">
        <v>1509</v>
      </c>
      <c r="D79" s="1147"/>
      <c r="F79" s="309">
        <f>IF(OR($B$7="Equity First",$B$7="Debt Last"),MAX(0,SUM($F$77:F$77)-$B$8-0),F$77*MAX(0,MIN(1,$B$10+INDEX($R$31:$R$33,MATCH($B$6,$J$31:$J$33,0)))))</f>
        <v>16628131.21831876</v>
      </c>
      <c r="G79" s="309">
        <f>IF(OR($B$7="Equity First",$B$7="Debt Last"),MAX(0,SUM($F$77:G$77)-$B$8-SUM($F$81:F$81)),G$77*MAX(0,MIN(1,$B$10+INDEX($R$31:$R$33,MATCH($B$6,$J$31:$J$33,0)))))</f>
        <v>952590.63109591603</v>
      </c>
      <c r="H79" s="309">
        <f>IF(OR($B$7="Equity First",$B$7="Debt Last"),MAX(0,SUM($F$77:H$77)-$B$8-SUM($F$81:G$81)),H$77*MAX(0,MIN(1,$B$10+INDEX($R$31:$R$33,MATCH($B$6,$J$31:$J$33,0)))))</f>
        <v>1153238.7592138238</v>
      </c>
      <c r="I79" s="309">
        <f>IF(OR($B$7="Equity First",$B$7="Debt Last"),MAX(0,SUM($F$77:I$77)-$B$8-SUM($F$81:H$81)),I$77*MAX(0,MIN(1,$B$10+INDEX($R$31:$R$33,MATCH($B$6,$J$31:$J$33,0)))))</f>
        <v>1593255.318242453</v>
      </c>
      <c r="J79" s="309">
        <f>IF(OR($B$7="Equity First",$B$7="Debt Last"),MAX(0,SUM($F$77:J$77)-$B$8-SUM($F$81:I$81)),J$77*MAX(0,MIN(1,$B$10+INDEX($R$31:$R$33,MATCH($B$6,$J$31:$J$33,0)))))</f>
        <v>2151126.2631915957</v>
      </c>
      <c r="K79" s="309">
        <f>IF(OR($B$7="Equity First",$B$7="Debt Last"),MAX(0,SUM($F$77:K$77)-$B$8-SUM($F$81:J$81)),K$77*MAX(0,MIN(1,$B$10+INDEX($R$31:$R$33,MATCH($B$6,$J$31:$J$33,0)))))</f>
        <v>2898639.7829110362</v>
      </c>
      <c r="L79" s="309">
        <f>IF(OR($B$7="Equity First",$B$7="Debt Last"),MAX(0,SUM($F$77:L$77)-$B$8-SUM($F$81:K$81)),L$77*MAX(0,MIN(1,$B$10+INDEX($R$31:$R$33,MATCH($B$6,$J$31:$J$33,0)))))</f>
        <v>3868810.0707380101</v>
      </c>
      <c r="M79" s="309">
        <f>IF(OR($B$7="Equity First",$B$7="Debt Last"),MAX(0,SUM($F$77:M$77)-$B$8-SUM($F$81:L$81)),M$77*MAX(0,MIN(1,$B$10+INDEX($R$31:$R$33,MATCH($B$6,$J$31:$J$33,0)))))</f>
        <v>5087252.4296078905</v>
      </c>
      <c r="N79" s="309">
        <f>IF(OR($B$7="Equity First",$B$7="Debt Last"),MAX(0,SUM($F$77:N$77)-$B$8-SUM($F$81:M$81)),N$77*MAX(0,MIN(1,$B$10+INDEX($R$31:$R$33,MATCH($B$6,$J$31:$J$33,0)))))</f>
        <v>6566224.3704085648</v>
      </c>
      <c r="O79" s="309">
        <f>IF(OR($B$7="Equity First",$B$7="Debt Last"),MAX(0,SUM($F$77:O$77)-$B$8-SUM($F$81:N$81)),O$77*MAX(0,MIN(1,$B$10+INDEX($R$31:$R$33,MATCH($B$6,$J$31:$J$33,0)))))</f>
        <v>8298517.1205738112</v>
      </c>
      <c r="P79" s="309">
        <f>IF(OR($B$7="Equity First",$B$7="Debt Last"),MAX(0,SUM($F$77:P$77)-$B$8-SUM($F$81:O$81)),P$77*MAX(0,MIN(1,$B$10+INDEX($R$31:$R$33,MATCH($B$6,$J$31:$J$33,0)))))</f>
        <v>10252240.165656283</v>
      </c>
      <c r="Q79" s="309">
        <f>IF(OR($B$7="Equity First",$B$7="Debt Last"),MAX(0,SUM($F$77:Q$77)-$B$8-SUM($F$81:P$81)),Q$77*MAX(0,MIN(1,$B$10+INDEX($R$31:$R$33,MATCH($B$6,$J$31:$J$33,0)))))</f>
        <v>12367698.147664011</v>
      </c>
      <c r="R79" s="309">
        <f>IF(OR($B$7="Equity First",$B$7="Debt Last"),MAX(0,SUM($F$77:R$77)-$B$8-SUM($F$81:Q$81)),R$77*MAX(0,MIN(1,$B$10+INDEX($R$31:$R$33,MATCH($B$6,$J$31:$J$33,0)))))</f>
        <v>14557484.657830089</v>
      </c>
      <c r="S79" s="309">
        <f>IF(OR($B$7="Equity First",$B$7="Debt Last"),MAX(0,SUM($F$77:S$77)-$B$8-SUM($F$81:R$81)),S$77*MAX(0,MIN(1,$B$10+INDEX($R$31:$R$33,MATCH($B$6,$J$31:$J$33,0)))))</f>
        <v>16710562.971165493</v>
      </c>
      <c r="T79" s="309">
        <f>IF(OR($B$7="Equity First",$B$7="Debt Last"),MAX(0,SUM($F$77:T$77)-$B$8-SUM($F$81:S$81)),T$77*MAX(0,MIN(1,$B$10+INDEX($R$31:$R$33,MATCH($B$6,$J$31:$J$33,0)))))</f>
        <v>20978715.822208211</v>
      </c>
      <c r="U79" s="309">
        <f>IF(OR($B$7="Equity First",$B$7="Debt Last"),MAX(0,SUM($F$77:U$77)-$B$8-SUM($F$81:T$81)),U$77*MAX(0,MIN(1,$B$10+INDEX($R$31:$R$33,MATCH($B$6,$J$31:$J$33,0)))))</f>
        <v>32025613.88198337</v>
      </c>
      <c r="V79" s="309">
        <f>IF(OR($B$7="Equity First",$B$7="Debt Last"),MAX(0,SUM($F$77:V$77)-$B$8-SUM($F$81:U$81)),V$77*MAX(0,MIN(1,$B$10+INDEX($R$31:$R$33,MATCH($B$6,$J$31:$J$33,0)))))</f>
        <v>43507619.059048504</v>
      </c>
      <c r="W79" s="309">
        <f>IF(OR($B$7="Equity First",$B$7="Debt Last"),MAX(0,SUM($F$77:W$77)-$B$8-SUM($F$81:V$81)),W$77*MAX(0,MIN(1,$B$10+INDEX($R$31:$R$33,MATCH($B$6,$J$31:$J$33,0)))))</f>
        <v>55122281.984420881</v>
      </c>
      <c r="X79" s="309">
        <f>IF(OR($B$7="Equity First",$B$7="Debt Last"),MAX(0,SUM($F$77:X$77)-$B$8-SUM($F$81:W$81)),X$77*MAX(0,MIN(1,$B$10+INDEX($R$31:$R$33,MATCH($B$6,$J$31:$J$33,0)))))</f>
        <v>66555149.080989093</v>
      </c>
      <c r="Y79" s="309">
        <f>IF(OR($B$7="Equity First",$B$7="Debt Last"),MAX(0,SUM($F$77:Y$77)-$B$8-SUM($F$81:X$81)),Y$77*MAX(0,MIN(1,$B$10+INDEX($R$31:$R$33,MATCH($B$6,$J$31:$J$33,0)))))</f>
        <v>77505375.181805849</v>
      </c>
      <c r="Z79" s="309">
        <f>IF(OR($B$7="Equity First",$B$7="Debt Last"),MAX(0,SUM($F$77:Z$77)-$B$8-SUM($F$81:Y$81)),Z$77*MAX(0,MIN(1,$B$10+INDEX($R$31:$R$33,MATCH($B$6,$J$31:$J$33,0)))))</f>
        <v>87800405.734215945</v>
      </c>
      <c r="AA79" s="309">
        <f>IF(OR($B$7="Equity First",$B$7="Debt Last"),MAX(0,SUM($F$77:AA$77)-$B$8-SUM($F$81:Z$81)),AA$77*MAX(0,MIN(1,$B$10+INDEX($R$31:$R$33,MATCH($B$6,$J$31:$J$33,0)))))</f>
        <v>97181268.351124257</v>
      </c>
      <c r="AB79" s="309">
        <f>IF(OR($B$7="Equity First",$B$7="Debt Last"),MAX(0,SUM($F$77:AB$77)-$B$8-SUM($F$81:AA$81)),AB$77*MAX(0,MIN(1,$B$10+INDEX($R$31:$R$33,MATCH($B$6,$J$31:$J$33,0)))))</f>
        <v>105409673.26003104</v>
      </c>
      <c r="AC79" s="309">
        <f>IF(OR($B$7="Equity First",$B$7="Debt Last"),MAX(0,SUM($F$77:AC$77)-$B$8-SUM($F$81:AB$81)),AC$77*MAX(0,MIN(1,$B$10+INDEX($R$31:$R$33,MATCH($B$6,$J$31:$J$33,0)))))</f>
        <v>112416091.01192394</v>
      </c>
      <c r="AD79" s="309">
        <f>IF(OR($B$7="Equity First",$B$7="Debt Last"),MAX(0,SUM($F$77:AD$77)-$B$8-SUM($F$81:AC$81)),AD$77*MAX(0,MIN(1,$B$10+INDEX($R$31:$R$33,MATCH($B$6,$J$31:$J$33,0)))))</f>
        <v>118205362.55960661</v>
      </c>
      <c r="AE79" s="309">
        <f>IF(OR($B$7="Equity First",$B$7="Debt Last"),MAX(0,SUM($F$77:AE$77)-$B$8-SUM($F$81:AD$81)),AE$77*MAX(0,MIN(1,$B$10+INDEX($R$31:$R$33,MATCH($B$6,$J$31:$J$33,0)))))</f>
        <v>122845823.42540649</v>
      </c>
      <c r="AF79" s="309">
        <f>IF(OR($B$7="Equity First",$B$7="Debt Last"),MAX(0,SUM($F$77:AF$77)-$B$8-SUM($F$81:AE$81)),AF$77*MAX(0,MIN(1,$B$10+INDEX($R$31:$R$33,MATCH($B$6,$J$31:$J$33,0)))))</f>
        <v>126453537.95139906</v>
      </c>
      <c r="AG79" s="309">
        <f>IF(OR($B$7="Equity First",$B$7="Debt Last"),MAX(0,SUM($F$77:AG$77)-$B$8-SUM($F$81:AF$81)),AG$77*MAX(0,MIN(1,$B$10+INDEX($R$31:$R$33,MATCH($B$6,$J$31:$J$33,0)))))</f>
        <v>129174390.94166908</v>
      </c>
      <c r="AH79" s="309">
        <f>IF(OR($B$7="Equity First",$B$7="Debt Last"),MAX(0,SUM($F$77:AH$77)-$B$8-SUM($F$81:AG$81)),AH$77*MAX(0,MIN(1,$B$10+INDEX($R$31:$R$33,MATCH($B$6,$J$31:$J$33,0)))))</f>
        <v>131166651.63238049</v>
      </c>
      <c r="AI79" s="309">
        <f>IF(OR($B$7="Equity First",$B$7="Debt Last"),MAX(0,SUM($F$77:AI$77)-$B$8-SUM($F$81:AH$81)),AI$77*MAX(0,MIN(1,$B$10+INDEX($R$31:$R$33,MATCH($B$6,$J$31:$J$33,0)))))</f>
        <v>132586068.85270584</v>
      </c>
      <c r="AJ79" s="309">
        <f>IF(OR($B$7="Equity First",$B$7="Debt Last"),MAX(0,SUM($F$77:AJ$77)-$B$8-SUM($F$81:AI$81)),AJ$77*MAX(0,MIN(1,$B$10+INDEX($R$31:$R$33,MATCH($B$6,$J$31:$J$33,0)))))</f>
        <v>133574760.04296327</v>
      </c>
      <c r="AK79" s="309">
        <f>IF(OR($B$7="Equity First",$B$7="Debt Last"),MAX(0,SUM($F$77:AK$77)-$B$8-SUM($F$81:AJ$81)),AK$77*MAX(0,MIN(1,$B$10+INDEX($R$31:$R$33,MATCH($B$6,$J$31:$J$33,0)))))</f>
        <v>135148497.19738925</v>
      </c>
      <c r="AL79" s="309">
        <f>IF(OR($B$7="Equity First",$B$7="Debt Last"),MAX(0,SUM($F$77:AL$77)-$B$8-SUM($F$81:AK$81)),AL$77*MAX(0,MIN(1,$B$10+INDEX($R$31:$R$33,MATCH($B$6,$J$31:$J$33,0)))))</f>
        <v>137016066.94069231</v>
      </c>
      <c r="AM79" s="309">
        <f>IF(OR($B$7="Equity First",$B$7="Debt Last"),MAX(0,SUM($F$77:AM$77)-$B$8-SUM($F$81:AL$81)),AM$77*MAX(0,MIN(1,$B$10+INDEX($R$31:$R$33,MATCH($B$6,$J$31:$J$33,0)))))</f>
        <v>138387067.6494374</v>
      </c>
      <c r="AN79" s="309">
        <f>IF(OR($B$7="Equity First",$B$7="Debt Last"),MAX(0,SUM($F$77:AN$77)-$B$8-SUM($F$81:AM$81)),AN$77*MAX(0,MIN(1,$B$10+INDEX($R$31:$R$33,MATCH($B$6,$J$31:$J$33,0)))))</f>
        <v>139407595.19380432</v>
      </c>
      <c r="AO79" s="309">
        <f>IF(OR($B$7="Equity First",$B$7="Debt Last"),MAX(0,SUM($F$77:AO$77)-$B$8-SUM($F$81:AN$81)),AO$77*MAX(0,MIN(1,$B$10+INDEX($R$31:$R$33,MATCH($B$6,$J$31:$J$33,0)))))</f>
        <v>140189025.93053019</v>
      </c>
      <c r="AP79" s="309">
        <f>IF(OR($B$7="Equity First",$B$7="Debt Last"),MAX(0,SUM($F$77:AP$77)-$B$8-SUM($F$81:AO$81)),AP$77*MAX(0,MIN(1,$B$10+INDEX($R$31:$R$33,MATCH($B$6,$J$31:$J$33,0)))))</f>
        <v>140812822.42867884</v>
      </c>
      <c r="AQ79" s="309">
        <f>IF(OR($B$7="Equity First",$B$7="Debt Last"),MAX(0,SUM($F$77:AQ$77)-$B$8-SUM($F$81:AP$81)),AQ$77*MAX(0,MIN(1,$B$10+INDEX($R$31:$R$33,MATCH($B$6,$J$31:$J$33,0)))))</f>
        <v>140760138.95044798</v>
      </c>
      <c r="AR79" s="309">
        <f>IF(OR($B$7="Equity First",$B$7="Debt Last"),MAX(0,SUM($F$77:AR$77)-$B$8-SUM($F$81:AQ$81)),AR$77*MAX(0,MIN(1,$B$10+INDEX($R$31:$R$33,MATCH($B$6,$J$31:$J$33,0)))))</f>
        <v>140760138.95044798</v>
      </c>
      <c r="AS79" s="309">
        <f>IF(OR($B$7="Equity First",$B$7="Debt Last"),MAX(0,SUM($F$77:AS$77)-$B$8-SUM($F$81:AR$81)),AS$77*MAX(0,MIN(1,$B$10+INDEX($R$31:$R$33,MATCH($B$6,$J$31:$J$33,0)))))</f>
        <v>140760138.95044798</v>
      </c>
      <c r="AT79" s="309">
        <f>IF(OR($B$7="Equity First",$B$7="Debt Last"),MAX(0,SUM($F$77:AT$77)-$B$8-SUM($F$81:AS$81)),AT$77*MAX(0,MIN(1,$B$10+INDEX($R$31:$R$33,MATCH($B$6,$J$31:$J$33,0)))))</f>
        <v>140760138.95044798</v>
      </c>
      <c r="AU79" s="309">
        <f>IF(OR($B$7="Equity First",$B$7="Debt Last"),MAX(0,SUM($F$77:AU$77)-$B$8-SUM($F$81:AT$81)),AU$77*MAX(0,MIN(1,$B$10+INDEX($R$31:$R$33,MATCH($B$6,$J$31:$J$33,0)))))</f>
        <v>140760138.95044798</v>
      </c>
      <c r="AV79" s="309">
        <f>IF(OR($B$7="Equity First",$B$7="Debt Last"),MAX(0,SUM($F$77:AV$77)-$B$8-SUM($F$81:AU$81)),AV$77*MAX(0,MIN(1,$B$10+INDEX($R$31:$R$33,MATCH($B$6,$J$31:$J$33,0)))))</f>
        <v>140760138.95044798</v>
      </c>
      <c r="AW79" s="309">
        <f>IF(OR($B$7="Equity First",$B$7="Debt Last"),MAX(0,SUM($F$77:AW$77)-$B$8-SUM($F$81:AV$81)),AW$77*MAX(0,MIN(1,$B$10+INDEX($R$31:$R$33,MATCH($B$6,$J$31:$J$33,0)))))</f>
        <v>140760138.95044798</v>
      </c>
      <c r="AX79" s="309">
        <f>IF(OR($B$7="Equity First",$B$7="Debt Last"),MAX(0,SUM($F$77:AX$77)-$B$8-SUM($F$81:AW$81)),AX$77*MAX(0,MIN(1,$B$10+INDEX($R$31:$R$33,MATCH($B$6,$J$31:$J$33,0)))))</f>
        <v>140760138.95044798</v>
      </c>
      <c r="AY79" s="309">
        <f>IF(OR($B$7="Equity First",$B$7="Debt Last"),MAX(0,SUM($F$77:AY$77)-$B$8-SUM($F$81:AX$81)),AY$77*MAX(0,MIN(1,$B$10+INDEX($R$31:$R$33,MATCH($B$6,$J$31:$J$33,0)))))</f>
        <v>140760138.95044798</v>
      </c>
      <c r="AZ79" s="309">
        <f>IF(OR($B$7="Equity First",$B$7="Debt Last"),MAX(0,SUM($F$77:AZ$77)-$B$8-SUM($F$81:AY$81)),AZ$77*MAX(0,MIN(1,$B$10+INDEX($R$31:$R$33,MATCH($B$6,$J$31:$J$33,0)))))</f>
        <v>140760138.95044798</v>
      </c>
      <c r="BA79" s="309">
        <f>IF(OR($B$7="Equity First",$B$7="Debt Last"),MAX(0,SUM($F$77:BA$77)-$B$8-SUM($F$81:AZ$81)),BA$77*MAX(0,MIN(1,$B$10+INDEX($R$31:$R$33,MATCH($B$6,$J$31:$J$33,0)))))</f>
        <v>140760138.95044798</v>
      </c>
      <c r="BB79" s="309">
        <f>IF(OR($B$7="Equity First",$B$7="Debt Last"),MAX(0,SUM($F$77:BB$77)-$B$8-SUM($F$81:BA$81)),BB$77*MAX(0,MIN(1,$B$10+INDEX($R$31:$R$33,MATCH($B$6,$J$31:$J$33,0)))))</f>
        <v>140760138.95044798</v>
      </c>
      <c r="BC79" s="309">
        <f>IF(OR($B$7="Equity First",$B$7="Debt Last"),MAX(0,SUM($F$77:BC$77)-$B$8-SUM($F$81:BB$81)),BC$77*MAX(0,MIN(1,$B$10+INDEX($R$31:$R$33,MATCH($B$6,$J$31:$J$33,0)))))</f>
        <v>140760138.95044798</v>
      </c>
      <c r="BD79" s="309">
        <f>IF(OR($B$7="Equity First",$B$7="Debt Last"),MAX(0,SUM($F$77:BD$77)-$B$8-SUM($F$81:BC$81)),BD$77*MAX(0,MIN(1,$B$10+INDEX($R$31:$R$33,MATCH($B$6,$J$31:$J$33,0)))))</f>
        <v>140760138.95044798</v>
      </c>
      <c r="BE79" s="309">
        <f>IF(OR($B$7="Equity First",$B$7="Debt Last"),MAX(0,SUM($F$77:BE$77)-$B$8-SUM($F$81:BD$81)),BE$77*MAX(0,MIN(1,$B$10+INDEX($R$31:$R$33,MATCH($B$6,$J$31:$J$33,0)))))</f>
        <v>140760138.95044798</v>
      </c>
      <c r="BF79" s="309">
        <f>IF(OR($B$7="Equity First",$B$7="Debt Last"),MAX(0,SUM($F$77:BF$77)-$B$8-SUM($F$81:BE$81)),BF$77*MAX(0,MIN(1,$B$10+INDEX($R$31:$R$33,MATCH($B$6,$J$31:$J$33,0)))))</f>
        <v>140760138.95044798</v>
      </c>
      <c r="BG79" s="309">
        <f>IF(OR($B$7="Equity First",$B$7="Debt Last"),MAX(0,SUM($F$77:BG$77)-$B$8-SUM($F$81:BF$81)),BG$77*MAX(0,MIN(1,$B$10+INDEX($R$31:$R$33,MATCH($B$6,$J$31:$J$33,0)))))</f>
        <v>140760138.95044798</v>
      </c>
      <c r="BH79" s="309">
        <f>IF(OR($B$7="Equity First",$B$7="Debt Last"),MAX(0,SUM($F$77:BH$77)-$B$8-SUM($F$81:BG$81)),BH$77*MAX(0,MIN(1,$B$10+INDEX($R$31:$R$33,MATCH($B$6,$J$31:$J$33,0)))))</f>
        <v>140760138.95044798</v>
      </c>
      <c r="BI79" s="309">
        <f>IF(OR($B$7="Equity First",$B$7="Debt Last"),MAX(0,SUM($F$77:BI$77)-$B$8-SUM($F$81:BH$81)),BI$77*MAX(0,MIN(1,$B$10+INDEX($R$31:$R$33,MATCH($B$6,$J$31:$J$33,0)))))</f>
        <v>140760138.95044798</v>
      </c>
      <c r="BJ79" s="309">
        <f>IF(OR($B$7="Equity First",$B$7="Debt Last"),MAX(0,SUM($F$77:BJ$77)-$B$8-SUM($F$81:BI$81)),BJ$77*MAX(0,MIN(1,$B$10+INDEX($R$31:$R$33,MATCH($B$6,$J$31:$J$33,0)))))</f>
        <v>140760138.95044798</v>
      </c>
      <c r="BK79" s="309">
        <f>IF(OR($B$7="Equity First",$B$7="Debt Last"),MAX(0,SUM($F$77:BK$77)-$B$8-SUM($F$81:BJ$81)),BK$77*MAX(0,MIN(1,$B$10+INDEX($R$31:$R$33,MATCH($B$6,$J$31:$J$33,0)))))</f>
        <v>140760138.95044798</v>
      </c>
      <c r="BL79" s="309">
        <f>IF(OR($B$7="Equity First",$B$7="Debt Last"),MAX(0,SUM($F$77:BL$77)-$B$8-SUM($F$81:BK$81)),BL$77*MAX(0,MIN(1,$B$10+INDEX($R$31:$R$33,MATCH($B$6,$J$31:$J$33,0)))))</f>
        <v>140760138.95044798</v>
      </c>
      <c r="BM79" s="309">
        <f>IF(OR($B$7="Equity First",$B$7="Debt Last"),MAX(0,SUM($F$77:BM$77)-$B$8-SUM($F$81:BL$81)),BM$77*MAX(0,MIN(1,$B$10+INDEX($R$31:$R$33,MATCH($B$6,$J$31:$J$33,0)))))</f>
        <v>140760138.95044798</v>
      </c>
      <c r="BN79" s="309">
        <f>IF(OR($B$7="Equity First",$B$7="Debt Last"),MAX(0,SUM($F$77:BN$77)-$B$8-SUM($F$81:BM$81)),BN$77*MAX(0,MIN(1,$B$10+INDEX($R$31:$R$33,MATCH($B$6,$J$31:$J$33,0)))))</f>
        <v>140760138.95044798</v>
      </c>
      <c r="BO79" s="309">
        <f>IF(OR($B$7="Equity First",$B$7="Debt Last"),MAX(0,SUM($F$77:BO$77)-$B$8-SUM($F$81:BN$81)),BO$77*MAX(0,MIN(1,$B$10+INDEX($R$31:$R$33,MATCH($B$6,$J$31:$J$33,0)))))</f>
        <v>140760138.95044798</v>
      </c>
      <c r="BP79" s="309">
        <f>IF(OR($B$7="Equity First",$B$7="Debt Last"),MAX(0,SUM($F$77:BP$77)-$B$8-SUM($F$81:BO$81)),BP$77*MAX(0,MIN(1,$B$10+INDEX($R$31:$R$33,MATCH($B$6,$J$31:$J$33,0)))))</f>
        <v>140760138.95044798</v>
      </c>
      <c r="BQ79" s="309">
        <f>IF(OR($B$7="Equity First",$B$7="Debt Last"),MAX(0,SUM($F$77:BQ$77)-$B$8-SUM($F$81:BP$81)),BQ$77*MAX(0,MIN(1,$B$10+INDEX($R$31:$R$33,MATCH($B$6,$J$31:$J$33,0)))))</f>
        <v>140760138.95044798</v>
      </c>
      <c r="BR79" s="309">
        <f>IF(OR($B$7="Equity First",$B$7="Debt Last"),MAX(0,SUM($F$77:BR$77)-$B$8-SUM($F$81:BQ$81)),BR$77*MAX(0,MIN(1,$B$10+INDEX($R$31:$R$33,MATCH($B$6,$J$31:$J$33,0)))))</f>
        <v>140760138.95044798</v>
      </c>
      <c r="BS79" s="309">
        <f>IF(OR($B$7="Equity First",$B$7="Debt Last"),MAX(0,SUM($F$77:BS$77)-$B$8-SUM($F$81:BR$81)),BS$77*MAX(0,MIN(1,$B$10+INDEX($R$31:$R$33,MATCH($B$6,$J$31:$J$33,0)))))</f>
        <v>140760138.95044798</v>
      </c>
      <c r="BT79" s="309">
        <f>IF(OR($B$7="Equity First",$B$7="Debt Last"),MAX(0,SUM($F$77:BT$77)-$B$8-SUM($F$81:BS$81)),BT$77*MAX(0,MIN(1,$B$10+INDEX($R$31:$R$33,MATCH($B$6,$J$31:$J$33,0)))))</f>
        <v>140760138.95044798</v>
      </c>
      <c r="BU79" s="309">
        <f>IF(OR($B$7="Equity First",$B$7="Debt Last"),MAX(0,SUM($F$77:BU$77)-$B$8-SUM($F$81:BT$81)),BU$77*MAX(0,MIN(1,$B$10+INDEX($R$31:$R$33,MATCH($B$6,$J$31:$J$33,0)))))</f>
        <v>140760138.95044798</v>
      </c>
      <c r="BV79" s="309">
        <f>IF(OR($B$7="Equity First",$B$7="Debt Last"),MAX(0,SUM($F$77:BV$77)-$B$8-SUM($F$81:BU$81)),BV$77*MAX(0,MIN(1,$B$10+INDEX($R$31:$R$33,MATCH($B$6,$J$31:$J$33,0)))))</f>
        <v>140760138.95044798</v>
      </c>
      <c r="BW79" s="309">
        <f>IF(OR($B$7="Equity First",$B$7="Debt Last"),MAX(0,SUM($F$77:BW$77)-$B$8-SUM($F$81:BV$81)),BW$77*MAX(0,MIN(1,$B$10+INDEX($R$31:$R$33,MATCH($B$6,$J$31:$J$33,0)))))</f>
        <v>140760138.95044798</v>
      </c>
      <c r="BX79" s="309">
        <f>IF(OR($B$7="Equity First",$B$7="Debt Last"),MAX(0,SUM($F$77:BX$77)-$B$8-SUM($F$81:BW$81)),BX$77*MAX(0,MIN(1,$B$10+INDEX($R$31:$R$33,MATCH($B$6,$J$31:$J$33,0)))))</f>
        <v>140760138.95044798</v>
      </c>
      <c r="BY79" s="309">
        <f>IF(OR($B$7="Equity First",$B$7="Debt Last"),MAX(0,SUM($F$77:BY$77)-$B$8-SUM($F$81:BX$81)),BY$77*MAX(0,MIN(1,$B$10+INDEX($R$31:$R$33,MATCH($B$6,$J$31:$J$33,0)))))</f>
        <v>140760138.95044798</v>
      </c>
      <c r="BZ79" s="309">
        <f>IF(OR($B$7="Equity First",$B$7="Debt Last"),MAX(0,SUM($F$77:BZ$77)-$B$8-SUM($F$81:BY$81)),BZ$77*MAX(0,MIN(1,$B$10+INDEX($R$31:$R$33,MATCH($B$6,$J$31:$J$33,0)))))</f>
        <v>140760138.95044798</v>
      </c>
      <c r="CA79" s="309">
        <f>IF(OR($B$7="Equity First",$B$7="Debt Last"),MAX(0,SUM($F$77:CA$77)-$B$8-SUM($F$81:BZ$81)),CA$77*MAX(0,MIN(1,$B$10+INDEX($R$31:$R$33,MATCH($B$6,$J$31:$J$33,0)))))</f>
        <v>140760138.95044798</v>
      </c>
      <c r="CB79" s="309">
        <f>IF(OR($B$7="Equity First",$B$7="Debt Last"),MAX(0,SUM($F$77:CB$77)-$B$8-SUM($F$81:CA$81)),CB$77*MAX(0,MIN(1,$B$10+INDEX($R$31:$R$33,MATCH($B$6,$J$31:$J$33,0)))))</f>
        <v>140760138.95044798</v>
      </c>
      <c r="CC79" s="309">
        <f>IF(OR($B$7="Equity First",$B$7="Debt Last"),MAX(0,SUM($F$77:CC$77)-$B$8-SUM($F$81:CB$81)),CC$77*MAX(0,MIN(1,$B$10+INDEX($R$31:$R$33,MATCH($B$6,$J$31:$J$33,0)))))</f>
        <v>140760138.95044798</v>
      </c>
      <c r="CD79" s="309">
        <f>IF(OR($B$7="Equity First",$B$7="Debt Last"),MAX(0,SUM($F$77:CD$77)-$B$8-SUM($F$81:CC$81)),CD$77*MAX(0,MIN(1,$B$10+INDEX($R$31:$R$33,MATCH($B$6,$J$31:$J$33,0)))))</f>
        <v>140760138.95044798</v>
      </c>
      <c r="CE79" s="309">
        <f>IF(OR($B$7="Equity First",$B$7="Debt Last"),MAX(0,SUM($F$77:CE$77)-$B$8-SUM($F$81:CD$81)),CE$77*MAX(0,MIN(1,$B$10+INDEX($R$31:$R$33,MATCH($B$6,$J$31:$J$33,0)))))</f>
        <v>140760138.95044798</v>
      </c>
      <c r="CF79" s="309">
        <f>IF(OR($B$7="Equity First",$B$7="Debt Last"),MAX(0,SUM($F$77:CF$77)-$B$8-SUM($F$81:CE$81)),CF$77*MAX(0,MIN(1,$B$10+INDEX($R$31:$R$33,MATCH($B$6,$J$31:$J$33,0)))))</f>
        <v>140760138.95044798</v>
      </c>
      <c r="CG79" s="309">
        <f>IF(OR($B$7="Equity First",$B$7="Debt Last"),MAX(0,SUM($F$77:CG$77)-$B$8-SUM($F$81:CF$81)),CG$77*MAX(0,MIN(1,$B$10+INDEX($R$31:$R$33,MATCH($B$6,$J$31:$J$33,0)))))</f>
        <v>140760138.95044798</v>
      </c>
      <c r="CH79" s="309">
        <f>IF(OR($B$7="Equity First",$B$7="Debt Last"),MAX(0,SUM($F$77:CH$77)-$B$8-SUM($F$81:CG$81)),CH$77*MAX(0,MIN(1,$B$10+INDEX($R$31:$R$33,MATCH($B$6,$J$31:$J$33,0)))))</f>
        <v>140760138.95044798</v>
      </c>
      <c r="CI79" s="309">
        <f>IF(OR($B$7="Equity First",$B$7="Debt Last"),MAX(0,SUM($F$77:CI$77)-$B$8-SUM($F$81:CH$81)),CI$77*MAX(0,MIN(1,$B$10+INDEX($R$31:$R$33,MATCH($B$6,$J$31:$J$33,0)))))</f>
        <v>140760138.95044798</v>
      </c>
      <c r="CJ79" s="309">
        <f>IF(OR($B$7="Equity First",$B$7="Debt Last"),MAX(0,SUM($F$77:CJ$77)-$B$8-SUM($F$81:CI$81)),CJ$77*MAX(0,MIN(1,$B$10+INDEX($R$31:$R$33,MATCH($B$6,$J$31:$J$33,0)))))</f>
        <v>140760138.95044798</v>
      </c>
      <c r="CK79" s="309">
        <f>IF(OR($B$7="Equity First",$B$7="Debt Last"),MAX(0,SUM($F$77:CK$77)-$B$8-SUM($F$81:CJ$81)),CK$77*MAX(0,MIN(1,$B$10+INDEX($R$31:$R$33,MATCH($B$6,$J$31:$J$33,0)))))</f>
        <v>140760138.95044798</v>
      </c>
      <c r="CL79" s="309">
        <f>IF(OR($B$7="Equity First",$B$7="Debt Last"),MAX(0,SUM($F$77:CL$77)-$B$8-SUM($F$81:CK$81)),CL$77*MAX(0,MIN(1,$B$10+INDEX($R$31:$R$33,MATCH($B$6,$J$31:$J$33,0)))))</f>
        <v>140760138.95044798</v>
      </c>
      <c r="CM79" s="309">
        <f>IF(OR($B$7="Equity First",$B$7="Debt Last"),MAX(0,SUM($F$77:CM$77)-$B$8-SUM($F$81:CL$81)),CM$77*MAX(0,MIN(1,$B$10+INDEX($R$31:$R$33,MATCH($B$6,$J$31:$J$33,0)))))</f>
        <v>140760138.95044798</v>
      </c>
      <c r="CN79" s="309">
        <f>IF(OR($B$7="Equity First",$B$7="Debt Last"),MAX(0,SUM($F$77:CN$77)-$B$8-SUM($F$81:CM$81)),CN$77*MAX(0,MIN(1,$B$10+INDEX($R$31:$R$33,MATCH($B$6,$J$31:$J$33,0)))))</f>
        <v>140760138.95044798</v>
      </c>
      <c r="CO79" s="309">
        <f>IF(OR($B$7="Equity First",$B$7="Debt Last"),MAX(0,SUM($F$77:CO$77)-$B$8-SUM($F$81:CN$81)),CO$77*MAX(0,MIN(1,$B$10+INDEX($R$31:$R$33,MATCH($B$6,$J$31:$J$33,0)))))</f>
        <v>140760138.95044798</v>
      </c>
      <c r="CP79" s="309">
        <f>IF(OR($B$7="Equity First",$B$7="Debt Last"),MAX(0,SUM($F$77:CP$77)-$B$8-SUM($F$81:CO$81)),CP$77*MAX(0,MIN(1,$B$10+INDEX($R$31:$R$33,MATCH($B$6,$J$31:$J$33,0)))))</f>
        <v>140760138.95044798</v>
      </c>
      <c r="CQ79" s="309">
        <f>IF(OR($B$7="Equity First",$B$7="Debt Last"),MAX(0,SUM($F$77:CQ$77)-$B$8-SUM($F$81:CP$81)),CQ$77*MAX(0,MIN(1,$B$10+INDEX($R$31:$R$33,MATCH($B$6,$J$31:$J$33,0)))))</f>
        <v>140760138.95044798</v>
      </c>
      <c r="CR79" s="309">
        <f>IF(OR($B$7="Equity First",$B$7="Debt Last"),MAX(0,SUM($F$77:CR$77)-$B$8-SUM($F$81:CQ$81)),CR$77*MAX(0,MIN(1,$B$10+INDEX($R$31:$R$33,MATCH($B$6,$J$31:$J$33,0)))))</f>
        <v>140760138.95044798</v>
      </c>
      <c r="CS79" s="309">
        <f>IF(OR($B$7="Equity First",$B$7="Debt Last"),MAX(0,SUM($F$77:CS$77)-$B$8-SUM($F$81:CR$81)),CS$77*MAX(0,MIN(1,$B$10+INDEX($R$31:$R$33,MATCH($B$6,$J$31:$J$33,0)))))</f>
        <v>140760138.95044798</v>
      </c>
      <c r="CT79" s="309">
        <f>IF(OR($B$7="Equity First",$B$7="Debt Last"),MAX(0,SUM($F$77:CT$77)-$B$8-SUM($F$81:CS$81)),CT$77*MAX(0,MIN(1,$B$10+INDEX($R$31:$R$33,MATCH($B$6,$J$31:$J$33,0)))))</f>
        <v>140760138.95044798</v>
      </c>
      <c r="CU79" s="309">
        <f>IF(OR($B$7="Equity First",$B$7="Debt Last"),MAX(0,SUM($F$77:CU$77)-$B$8-SUM($F$81:CT$81)),CU$77*MAX(0,MIN(1,$B$10+INDEX($R$31:$R$33,MATCH($B$6,$J$31:$J$33,0)))))</f>
        <v>140760138.95044798</v>
      </c>
      <c r="CV79" s="309">
        <f>IF(OR($B$7="Equity First",$B$7="Debt Last"),MAX(0,SUM($F$77:CV$77)-$B$8-SUM($F$81:CU$81)),CV$77*MAX(0,MIN(1,$B$10+INDEX($R$31:$R$33,MATCH($B$6,$J$31:$J$33,0)))))</f>
        <v>140760138.95044798</v>
      </c>
      <c r="CW79" s="309">
        <f>IF(OR($B$7="Equity First",$B$7="Debt Last"),MAX(0,SUM($F$77:CW$77)-$B$8-SUM($F$81:CV$81)),CW$77*MAX(0,MIN(1,$B$10+INDEX($R$31:$R$33,MATCH($B$6,$J$31:$J$33,0)))))</f>
        <v>140760138.95044798</v>
      </c>
      <c r="CX79" s="309">
        <f>IF(OR($B$7="Equity First",$B$7="Debt Last"),MAX(0,SUM($F$77:CX$77)-$B$8-SUM($F$81:CW$81)),CX$77*MAX(0,MIN(1,$B$10+INDEX($R$31:$R$33,MATCH($B$6,$J$31:$J$33,0)))))</f>
        <v>140760138.95044798</v>
      </c>
      <c r="CY79" s="309">
        <f>IF(OR($B$7="Equity First",$B$7="Debt Last"),MAX(0,SUM($F$77:CY$77)-$B$8-SUM($F$81:CX$81)),CY$77*MAX(0,MIN(1,$B$10+INDEX($R$31:$R$33,MATCH($B$6,$J$31:$J$33,0)))))</f>
        <v>140760138.95044798</v>
      </c>
      <c r="CZ79" s="309">
        <f>IF(OR($B$7="Equity First",$B$7="Debt Last"),MAX(0,SUM($F$77:CZ$77)-$B$8-SUM($F$81:CY$81)),CZ$77*MAX(0,MIN(1,$B$10+INDEX($R$31:$R$33,MATCH($B$6,$J$31:$J$33,0)))))</f>
        <v>140760138.95044798</v>
      </c>
      <c r="DA79" s="309">
        <f>IF(OR($B$7="Equity First",$B$7="Debt Last"),MAX(0,SUM($F$77:DA$77)-$B$8-SUM($F$81:CZ$81)),DA$77*MAX(0,MIN(1,$B$10+INDEX($R$31:$R$33,MATCH($B$6,$J$31:$J$33,0)))))</f>
        <v>140760138.95044798</v>
      </c>
      <c r="DB79" s="309">
        <f>IF(OR($B$7="Equity First",$B$7="Debt Last"),MAX(0,SUM($F$77:DB$77)-$B$8-SUM($F$81:DA$81)),DB$77*MAX(0,MIN(1,$B$10+INDEX($R$31:$R$33,MATCH($B$6,$J$31:$J$33,0)))))</f>
        <v>140760138.95044798</v>
      </c>
      <c r="DC79" s="309">
        <f>IF(OR($B$7="Equity First",$B$7="Debt Last"),MAX(0,SUM($F$77:DC$77)-$B$8-SUM($F$81:DB$81)),DC$77*MAX(0,MIN(1,$B$10+INDEX($R$31:$R$33,MATCH($B$6,$J$31:$J$33,0)))))</f>
        <v>140760138.95044798</v>
      </c>
      <c r="DD79" s="309">
        <f>IF(OR($B$7="Equity First",$B$7="Debt Last"),MAX(0,SUM($F$77:DD$77)-$B$8-SUM($F$81:DC$81)),DD$77*MAX(0,MIN(1,$B$10+INDEX($R$31:$R$33,MATCH($B$6,$J$31:$J$33,0)))))</f>
        <v>140760138.95044798</v>
      </c>
      <c r="DE79" s="309">
        <f>IF(OR($B$7="Equity First",$B$7="Debt Last"),MAX(0,SUM($F$77:DE$77)-$B$8-SUM($F$81:DD$81)),DE$77*MAX(0,MIN(1,$B$10+INDEX($R$31:$R$33,MATCH($B$6,$J$31:$J$33,0)))))</f>
        <v>140760138.95044798</v>
      </c>
      <c r="DF79" s="309">
        <f>IF(OR($B$7="Equity First",$B$7="Debt Last"),MAX(0,SUM($F$77:DF$77)-$B$8-SUM($F$81:DE$81)),DF$77*MAX(0,MIN(1,$B$10+INDEX($R$31:$R$33,MATCH($B$6,$J$31:$J$33,0)))))</f>
        <v>140760138.95044798</v>
      </c>
      <c r="DG79" s="309">
        <f>IF(OR($B$7="Equity First",$B$7="Debt Last"),MAX(0,SUM($F$77:DG$77)-$B$8-SUM($F$81:DF$81)),DG$77*MAX(0,MIN(1,$B$10+INDEX($R$31:$R$33,MATCH($B$6,$J$31:$J$33,0)))))</f>
        <v>140760138.95044798</v>
      </c>
      <c r="DH79" s="309">
        <f>IF(OR($B$7="Equity First",$B$7="Debt Last"),MAX(0,SUM($F$77:DH$77)-$B$8-SUM($F$81:DG$81)),DH$77*MAX(0,MIN(1,$B$10+INDEX($R$31:$R$33,MATCH($B$6,$J$31:$J$33,0)))))</f>
        <v>140760138.95044798</v>
      </c>
      <c r="DI79" s="309">
        <f>IF(OR($B$7="Equity First",$B$7="Debt Last"),MAX(0,SUM($F$77:DI$77)-$B$8-SUM($F$81:DH$81)),DI$77*MAX(0,MIN(1,$B$10+INDEX($R$31:$R$33,MATCH($B$6,$J$31:$J$33,0)))))</f>
        <v>140760138.95044798</v>
      </c>
      <c r="DJ79" s="309">
        <f>IF(OR($B$7="Equity First",$B$7="Debt Last"),MAX(0,SUM($F$77:DJ$77)-$B$8-SUM($F$81:DI$81)),DJ$77*MAX(0,MIN(1,$B$10+INDEX($R$31:$R$33,MATCH($B$6,$J$31:$J$33,0)))))</f>
        <v>140760138.95044798</v>
      </c>
      <c r="DK79" s="309">
        <f>IF(OR($B$7="Equity First",$B$7="Debt Last"),MAX(0,SUM($F$77:DK$77)-$B$8-SUM($F$81:DJ$81)),DK$77*MAX(0,MIN(1,$B$10+INDEX($R$31:$R$33,MATCH($B$6,$J$31:$J$33,0)))))</f>
        <v>140760138.95044798</v>
      </c>
      <c r="DL79" s="309">
        <f>IF(OR($B$7="Equity First",$B$7="Debt Last"),MAX(0,SUM($F$77:DL$77)-$B$8-SUM($F$81:DK$81)),DL$77*MAX(0,MIN(1,$B$10+INDEX($R$31:$R$33,MATCH($B$6,$J$31:$J$33,0)))))</f>
        <v>140760138.95044798</v>
      </c>
      <c r="DM79" s="309">
        <f>IF(OR($B$7="Equity First",$B$7="Debt Last"),MAX(0,SUM($F$77:DM$77)-$B$8-SUM($F$81:DL$81)),DM$77*MAX(0,MIN(1,$B$10+INDEX($R$31:$R$33,MATCH($B$6,$J$31:$J$33,0)))))</f>
        <v>140760138.95044798</v>
      </c>
      <c r="DN79" s="309">
        <f>IF(OR($B$7="Equity First",$B$7="Debt Last"),MAX(0,SUM($F$77:DN$77)-$B$8-SUM($F$81:DM$81)),DN$77*MAX(0,MIN(1,$B$10+INDEX($R$31:$R$33,MATCH($B$6,$J$31:$J$33,0)))))</f>
        <v>140760138.95044798</v>
      </c>
      <c r="DO79" s="309">
        <f>IF(OR($B$7="Equity First",$B$7="Debt Last"),MAX(0,SUM($F$77:DO$77)-$B$8-SUM($F$81:DN$81)),DO$77*MAX(0,MIN(1,$B$10+INDEX($R$31:$R$33,MATCH($B$6,$J$31:$J$33,0)))))</f>
        <v>140760138.95044798</v>
      </c>
      <c r="DP79" s="309">
        <f>IF(OR($B$7="Equity First",$B$7="Debt Last"),MAX(0,SUM($F$77:DP$77)-$B$8-SUM($F$81:DO$81)),DP$77*MAX(0,MIN(1,$B$10+INDEX($R$31:$R$33,MATCH($B$6,$J$31:$J$33,0)))))</f>
        <v>140760138.95044798</v>
      </c>
      <c r="DQ79" s="309">
        <f>IF(OR($B$7="Equity First",$B$7="Debt Last"),MAX(0,SUM($F$77:DQ$77)-$B$8-SUM($F$81:DP$81)),DQ$77*MAX(0,MIN(1,$B$10+INDEX($R$31:$R$33,MATCH($B$6,$J$31:$J$33,0)))))</f>
        <v>140760138.95044798</v>
      </c>
      <c r="DR79" s="309">
        <f>IF(OR($B$7="Equity First",$B$7="Debt Last"),MAX(0,SUM($F$77:DR$77)-$B$8-SUM($F$81:DQ$81)),DR$77*MAX(0,MIN(1,$B$10+INDEX($R$31:$R$33,MATCH($B$6,$J$31:$J$33,0)))))</f>
        <v>140760138.95044798</v>
      </c>
      <c r="DS79" s="309">
        <f>IF(OR($B$7="Equity First",$B$7="Debt Last"),MAX(0,SUM($F$77:DS$77)-$B$8-SUM($F$81:DR$81)),DS$77*MAX(0,MIN(1,$B$10+INDEX($R$31:$R$33,MATCH($B$6,$J$31:$J$33,0)))))</f>
        <v>140760138.95044798</v>
      </c>
      <c r="DT79" s="309">
        <f>IF(OR($B$7="Equity First",$B$7="Debt Last"),MAX(0,SUM($F$77:DT$77)-$B$8-SUM($F$81:DS$81)),DT$77*MAX(0,MIN(1,$B$10+INDEX($R$31:$R$33,MATCH($B$6,$J$31:$J$33,0)))))</f>
        <v>140760138.95044798</v>
      </c>
      <c r="DU79" s="309">
        <f>IF(OR($B$7="Equity First",$B$7="Debt Last"),MAX(0,SUM($F$77:DU$77)-$B$8-SUM($F$81:DT$81)),DU$77*MAX(0,MIN(1,$B$10+INDEX($R$31:$R$33,MATCH($B$6,$J$31:$J$33,0)))))</f>
        <v>140760138.95044798</v>
      </c>
      <c r="DV79" s="309">
        <f>IF(OR($B$7="Equity First",$B$7="Debt Last"),MAX(0,SUM($F$77:DV$77)-$B$8-SUM($F$81:DU$81)),DV$77*MAX(0,MIN(1,$B$10+INDEX($R$31:$R$33,MATCH($B$6,$J$31:$J$33,0)))))</f>
        <v>140760138.95044798</v>
      </c>
    </row>
    <row r="80" spans="1:126" ht="15" customHeight="1" x14ac:dyDescent="0.35">
      <c r="A80" s="307" t="s">
        <v>1510</v>
      </c>
      <c r="B80" s="308" t="s">
        <v>1370</v>
      </c>
      <c r="C80" s="1146" t="s">
        <v>1511</v>
      </c>
      <c r="D80" s="1147"/>
      <c r="F80" s="309">
        <f>IF(AND(F$64&lt;=$B$19,F$64&lt;=$B$20,F$64&lt;$B$35,OR($B$21="No",AND(F$74&lt;=$B$9,F$74&lt;=MAX(0,$B$10+INDEX($R$31:$R$33,MATCH($B$6,$J$31:$J$33,0)))*SUM($F$77:F$77),F$74&lt;=MAX(0,$B$11+INDEX($R$31:$R$33,MATCH($B$6,$J$31:$J$33,0)))*'VALUATION &amp; RETURNS'!$DA$8*1000000*INDEX($O$31:$O$33,MATCH($B$6,$J$31:$J$33,0))))),MAX(0,MIN(F$77,F$79,F$73-F$74-F$82,MAX(0,$B$10+INDEX($R$31:$R$33,MATCH($B$6,$J$31:$J$33,0)))*SUM($F$77:F$77)-F$74-F$82,MAX(0,$B$11+INDEX($R$31:$R$33,MATCH($B$6,$J$31:$J$33,0)))*'VALUATION &amp; RETURNS'!$DA$8*1000000*INDEX($O$31:$O$33,MATCH($B$6,$J$31:$J$33,0))-F$74-F$82)),0)</f>
        <v>16628131.21831876</v>
      </c>
      <c r="G80" s="309">
        <f>IF(AND(G$64&lt;=$B$19,G$64&lt;=$B$20,G$64&lt;$B$35,OR($B$21="No",AND(G$74&lt;=$B$9,G$74&lt;=MAX(0,$B$10+INDEX($R$31:$R$33,MATCH($B$6,$J$31:$J$33,0)))*SUM($F$77:G$77),G$74&lt;=MAX(0,$B$11+INDEX($R$31:$R$33,MATCH($B$6,$J$31:$J$33,0)))*'VALUATION &amp; RETURNS'!$DA$8*1000000*INDEX($O$31:$O$33,MATCH($B$6,$J$31:$J$33,0))))),MAX(0,MIN(G$77,G$79,G$73-G$74-G$82,MAX(0,$B$10+INDEX($R$31:$R$33,MATCH($B$6,$J$31:$J$33,0)))*SUM($F$77:G$77)-G$74-G$82,MAX(0,$B$11+INDEX($R$31:$R$33,MATCH($B$6,$J$31:$J$33,0)))*'VALUATION &amp; RETURNS'!$DA$8*1000000*INDEX($O$31:$O$33,MATCH($B$6,$J$31:$J$33,0))-G$74-G$82)),0)</f>
        <v>952590.63109591056</v>
      </c>
      <c r="H80" s="309">
        <f>IF(AND(H$64&lt;=$B$19,H$64&lt;=$B$20,H$64&lt;$B$35,OR($B$21="No",AND(H$74&lt;=$B$9,H$74&lt;=MAX(0,$B$10+INDEX($R$31:$R$33,MATCH($B$6,$J$31:$J$33,0)))*SUM($F$77:H$77),H$74&lt;=MAX(0,$B$11+INDEX($R$31:$R$33,MATCH($B$6,$J$31:$J$33,0)))*'VALUATION &amp; RETURNS'!$DA$8*1000000*INDEX($O$31:$O$33,MATCH($B$6,$J$31:$J$33,0))))),MAX(0,MIN(H$77,H$79,H$73-H$74-H$82,MAX(0,$B$10+INDEX($R$31:$R$33,MATCH($B$6,$J$31:$J$33,0)))*SUM($F$77:H$77)-H$74-H$82,MAX(0,$B$11+INDEX($R$31:$R$33,MATCH($B$6,$J$31:$J$33,0)))*'VALUATION &amp; RETURNS'!$DA$8*1000000*INDEX($O$31:$O$33,MATCH($B$6,$J$31:$J$33,0))-H$74-H$82)),0)</f>
        <v>1153238.7592138182</v>
      </c>
      <c r="I80" s="309">
        <f>IF(AND(I$64&lt;=$B$19,I$64&lt;=$B$20,I$64&lt;$B$35,OR($B$21="No",AND(I$74&lt;=$B$9,I$74&lt;=MAX(0,$B$10+INDEX($R$31:$R$33,MATCH($B$6,$J$31:$J$33,0)))*SUM($F$77:I$77),I$74&lt;=MAX(0,$B$11+INDEX($R$31:$R$33,MATCH($B$6,$J$31:$J$33,0)))*'VALUATION &amp; RETURNS'!$DA$8*1000000*INDEX($O$31:$O$33,MATCH($B$6,$J$31:$J$33,0))))),MAX(0,MIN(I$77,I$79,I$73-I$74-I$82,MAX(0,$B$10+INDEX($R$31:$R$33,MATCH($B$6,$J$31:$J$33,0)))*SUM($F$77:I$77)-I$74-I$82,MAX(0,$B$11+INDEX($R$31:$R$33,MATCH($B$6,$J$31:$J$33,0)))*'VALUATION &amp; RETURNS'!$DA$8*1000000*INDEX($O$31:$O$33,MATCH($B$6,$J$31:$J$33,0))-I$74-I$82)),0)</f>
        <v>1593255.3182424391</v>
      </c>
      <c r="J80" s="309">
        <f>IF(AND(J$64&lt;=$B$19,J$64&lt;=$B$20,J$64&lt;$B$35,OR($B$21="No",AND(J$74&lt;=$B$9,J$74&lt;=MAX(0,$B$10+INDEX($R$31:$R$33,MATCH($B$6,$J$31:$J$33,0)))*SUM($F$77:J$77),J$74&lt;=MAX(0,$B$11+INDEX($R$31:$R$33,MATCH($B$6,$J$31:$J$33,0)))*'VALUATION &amp; RETURNS'!$DA$8*1000000*INDEX($O$31:$O$33,MATCH($B$6,$J$31:$J$33,0))))),MAX(0,MIN(J$77,J$79,J$73-J$74-J$82,MAX(0,$B$10+INDEX($R$31:$R$33,MATCH($B$6,$J$31:$J$33,0)))*SUM($F$77:J$77)-J$74-J$82,MAX(0,$B$11+INDEX($R$31:$R$33,MATCH($B$6,$J$31:$J$33,0)))*'VALUATION &amp; RETURNS'!$DA$8*1000000*INDEX($O$31:$O$33,MATCH($B$6,$J$31:$J$33,0))-J$74-J$82)),0)</f>
        <v>2151126.2631915766</v>
      </c>
      <c r="K80" s="309">
        <f>IF(AND(K$64&lt;=$B$19,K$64&lt;=$B$20,K$64&lt;$B$35,OR($B$21="No",AND(K$74&lt;=$B$9,K$74&lt;=MAX(0,$B$10+INDEX($R$31:$R$33,MATCH($B$6,$J$31:$J$33,0)))*SUM($F$77:K$77),K$74&lt;=MAX(0,$B$11+INDEX($R$31:$R$33,MATCH($B$6,$J$31:$J$33,0)))*'VALUATION &amp; RETURNS'!$DA$8*1000000*INDEX($O$31:$O$33,MATCH($B$6,$J$31:$J$33,0))))),MAX(0,MIN(K$77,K$79,K$73-K$74-K$82,MAX(0,$B$10+INDEX($R$31:$R$33,MATCH($B$6,$J$31:$J$33,0)))*SUM($F$77:K$77)-K$74-K$82,MAX(0,$B$11+INDEX($R$31:$R$33,MATCH($B$6,$J$31:$J$33,0)))*'VALUATION &amp; RETURNS'!$DA$8*1000000*INDEX($O$31:$O$33,MATCH($B$6,$J$31:$J$33,0))-K$74-K$82)),0)</f>
        <v>2898639.7829110157</v>
      </c>
      <c r="L80" s="309">
        <f>IF(AND(L$64&lt;=$B$19,L$64&lt;=$B$20,L$64&lt;$B$35,OR($B$21="No",AND(L$74&lt;=$B$9,L$74&lt;=MAX(0,$B$10+INDEX($R$31:$R$33,MATCH($B$6,$J$31:$J$33,0)))*SUM($F$77:L$77),L$74&lt;=MAX(0,$B$11+INDEX($R$31:$R$33,MATCH($B$6,$J$31:$J$33,0)))*'VALUATION &amp; RETURNS'!$DA$8*1000000*INDEX($O$31:$O$33,MATCH($B$6,$J$31:$J$33,0))))),MAX(0,MIN(L$77,L$79,L$73-L$74-L$82,MAX(0,$B$10+INDEX($R$31:$R$33,MATCH($B$6,$J$31:$J$33,0)))*SUM($F$77:L$77)-L$74-L$82,MAX(0,$B$11+INDEX($R$31:$R$33,MATCH($B$6,$J$31:$J$33,0)))*'VALUATION &amp; RETURNS'!$DA$8*1000000*INDEX($O$31:$O$33,MATCH($B$6,$J$31:$J$33,0))-L$74-L$82)),0)</f>
        <v>3868810.0707379892</v>
      </c>
      <c r="M80" s="309">
        <f>IF(AND(M$64&lt;=$B$19,M$64&lt;=$B$20,M$64&lt;$B$35,OR($B$21="No",AND(M$74&lt;=$B$9,M$74&lt;=MAX(0,$B$10+INDEX($R$31:$R$33,MATCH($B$6,$J$31:$J$33,0)))*SUM($F$77:M$77),M$74&lt;=MAX(0,$B$11+INDEX($R$31:$R$33,MATCH($B$6,$J$31:$J$33,0)))*'VALUATION &amp; RETURNS'!$DA$8*1000000*INDEX($O$31:$O$33,MATCH($B$6,$J$31:$J$33,0))))),MAX(0,MIN(M$77,M$79,M$73-M$74-M$82,MAX(0,$B$10+INDEX($R$31:$R$33,MATCH($B$6,$J$31:$J$33,0)))*SUM($F$77:M$77)-M$74-M$82,MAX(0,$B$11+INDEX($R$31:$R$33,MATCH($B$6,$J$31:$J$33,0)))*'VALUATION &amp; RETURNS'!$DA$8*1000000*INDEX($O$31:$O$33,MATCH($B$6,$J$31:$J$33,0))-M$74-M$82)),0)</f>
        <v>5087252.4296078607</v>
      </c>
      <c r="N80" s="309">
        <f>IF(AND(N$64&lt;=$B$19,N$64&lt;=$B$20,N$64&lt;$B$35,OR($B$21="No",AND(N$74&lt;=$B$9,N$74&lt;=MAX(0,$B$10+INDEX($R$31:$R$33,MATCH($B$6,$J$31:$J$33,0)))*SUM($F$77:N$77),N$74&lt;=MAX(0,$B$11+INDEX($R$31:$R$33,MATCH($B$6,$J$31:$J$33,0)))*'VALUATION &amp; RETURNS'!$DA$8*1000000*INDEX($O$31:$O$33,MATCH($B$6,$J$31:$J$33,0))))),MAX(0,MIN(N$77,N$79,N$73-N$74-N$82,MAX(0,$B$10+INDEX($R$31:$R$33,MATCH($B$6,$J$31:$J$33,0)))*SUM($F$77:N$77)-N$74-N$82,MAX(0,$B$11+INDEX($R$31:$R$33,MATCH($B$6,$J$31:$J$33,0)))*'VALUATION &amp; RETURNS'!$DA$8*1000000*INDEX($O$31:$O$33,MATCH($B$6,$J$31:$J$33,0))-N$74-N$82)),0)</f>
        <v>6566224.3704085397</v>
      </c>
      <c r="O80" s="309">
        <f>IF(AND(O$64&lt;=$B$19,O$64&lt;=$B$20,O$64&lt;$B$35,OR($B$21="No",AND(O$74&lt;=$B$9,O$74&lt;=MAX(0,$B$10+INDEX($R$31:$R$33,MATCH($B$6,$J$31:$J$33,0)))*SUM($F$77:O$77),O$74&lt;=MAX(0,$B$11+INDEX($R$31:$R$33,MATCH($B$6,$J$31:$J$33,0)))*'VALUATION &amp; RETURNS'!$DA$8*1000000*INDEX($O$31:$O$33,MATCH($B$6,$J$31:$J$33,0))))),MAX(0,MIN(O$77,O$79,O$73-O$74-O$82,MAX(0,$B$10+INDEX($R$31:$R$33,MATCH($B$6,$J$31:$J$33,0)))*SUM($F$77:O$77)-O$74-O$82,MAX(0,$B$11+INDEX($R$31:$R$33,MATCH($B$6,$J$31:$J$33,0)))*'VALUATION &amp; RETURNS'!$DA$8*1000000*INDEX($O$31:$O$33,MATCH($B$6,$J$31:$J$33,0))-O$74-O$82)),0)</f>
        <v>8298517.1205737963</v>
      </c>
      <c r="P80" s="309">
        <f>IF(AND(P$64&lt;=$B$19,P$64&lt;=$B$20,P$64&lt;$B$35,OR($B$21="No",AND(P$74&lt;=$B$9,P$74&lt;=MAX(0,$B$10+INDEX($R$31:$R$33,MATCH($B$6,$J$31:$J$33,0)))*SUM($F$77:P$77),P$74&lt;=MAX(0,$B$11+INDEX($R$31:$R$33,MATCH($B$6,$J$31:$J$33,0)))*'VALUATION &amp; RETURNS'!$DA$8*1000000*INDEX($O$31:$O$33,MATCH($B$6,$J$31:$J$33,0))))),MAX(0,MIN(P$77,P$79,P$73-P$74-P$82,MAX(0,$B$10+INDEX($R$31:$R$33,MATCH($B$6,$J$31:$J$33,0)))*SUM($F$77:P$77)-P$74-P$82,MAX(0,$B$11+INDEX($R$31:$R$33,MATCH($B$6,$J$31:$J$33,0)))*'VALUATION &amp; RETURNS'!$DA$8*1000000*INDEX($O$31:$O$33,MATCH($B$6,$J$31:$J$33,0))-P$74-P$82)),0)</f>
        <v>10252240.165656256</v>
      </c>
      <c r="Q80" s="309">
        <f>IF(AND(Q$64&lt;=$B$19,Q$64&lt;=$B$20,Q$64&lt;$B$35,OR($B$21="No",AND(Q$74&lt;=$B$9,Q$74&lt;=MAX(0,$B$10+INDEX($R$31:$R$33,MATCH($B$6,$J$31:$J$33,0)))*SUM($F$77:Q$77),Q$74&lt;=MAX(0,$B$11+INDEX($R$31:$R$33,MATCH($B$6,$J$31:$J$33,0)))*'VALUATION &amp; RETURNS'!$DA$8*1000000*INDEX($O$31:$O$33,MATCH($B$6,$J$31:$J$33,0))))),MAX(0,MIN(Q$77,Q$79,Q$73-Q$74-Q$82,MAX(0,$B$10+INDEX($R$31:$R$33,MATCH($B$6,$J$31:$J$33,0)))*SUM($F$77:Q$77)-Q$74-Q$82,MAX(0,$B$11+INDEX($R$31:$R$33,MATCH($B$6,$J$31:$J$33,0)))*'VALUATION &amp; RETURNS'!$DA$8*1000000*INDEX($O$31:$O$33,MATCH($B$6,$J$31:$J$33,0))-Q$74-Q$82)),0)</f>
        <v>12367698.147663975</v>
      </c>
      <c r="R80" s="309">
        <f>IF(AND(R$64&lt;=$B$19,R$64&lt;=$B$20,R$64&lt;$B$35,OR($B$21="No",AND(R$74&lt;=$B$9,R$74&lt;=MAX(0,$B$10+INDEX($R$31:$R$33,MATCH($B$6,$J$31:$J$33,0)))*SUM($F$77:R$77),R$74&lt;=MAX(0,$B$11+INDEX($R$31:$R$33,MATCH($B$6,$J$31:$J$33,0)))*'VALUATION &amp; RETURNS'!$DA$8*1000000*INDEX($O$31:$O$33,MATCH($B$6,$J$31:$J$33,0))))),MAX(0,MIN(R$77,R$79,R$73-R$74-R$82,MAX(0,$B$10+INDEX($R$31:$R$33,MATCH($B$6,$J$31:$J$33,0)))*SUM($F$77:R$77)-R$74-R$82,MAX(0,$B$11+INDEX($R$31:$R$33,MATCH($B$6,$J$31:$J$33,0)))*'VALUATION &amp; RETURNS'!$DA$8*1000000*INDEX($O$31:$O$33,MATCH($B$6,$J$31:$J$33,0))-R$74-R$82)),0)</f>
        <v>14557484.657830048</v>
      </c>
      <c r="S80" s="309">
        <f>IF(AND(S$64&lt;=$B$19,S$64&lt;=$B$20,S$64&lt;$B$35,OR($B$21="No",AND(S$74&lt;=$B$9,S$74&lt;=MAX(0,$B$10+INDEX($R$31:$R$33,MATCH($B$6,$J$31:$J$33,0)))*SUM($F$77:S$77),S$74&lt;=MAX(0,$B$11+INDEX($R$31:$R$33,MATCH($B$6,$J$31:$J$33,0)))*'VALUATION &amp; RETURNS'!$DA$8*1000000*INDEX($O$31:$O$33,MATCH($B$6,$J$31:$J$33,0))))),MAX(0,MIN(S$77,S$79,S$73-S$74-S$82,MAX(0,$B$10+INDEX($R$31:$R$33,MATCH($B$6,$J$31:$J$33,0)))*SUM($F$77:S$77)-S$74-S$82,MAX(0,$B$11+INDEX($R$31:$R$33,MATCH($B$6,$J$31:$J$33,0)))*'VALUATION &amp; RETURNS'!$DA$8*1000000*INDEX($O$31:$O$33,MATCH($B$6,$J$31:$J$33,0))-S$74-S$82)),0)</f>
        <v>14432335.04440251</v>
      </c>
      <c r="T80" s="309">
        <f>IF(AND(T$64&lt;=$B$19,T$64&lt;=$B$20,T$64&lt;$B$35,OR($B$21="No",AND(T$74&lt;=$B$9,T$74&lt;=MAX(0,$B$10+INDEX($R$31:$R$33,MATCH($B$6,$J$31:$J$33,0)))*SUM($F$77:T$77),T$74&lt;=MAX(0,$B$11+INDEX($R$31:$R$33,MATCH($B$6,$J$31:$J$33,0)))*'VALUATION &amp; RETURNS'!$DA$8*1000000*INDEX($O$31:$O$33,MATCH($B$6,$J$31:$J$33,0))))),MAX(0,MIN(T$77,T$79,T$73-T$74-T$82,MAX(0,$B$10+INDEX($R$31:$R$33,MATCH($B$6,$J$31:$J$33,0)))*SUM($F$77:T$77)-T$74-T$82,MAX(0,$B$11+INDEX($R$31:$R$33,MATCH($B$6,$J$31:$J$33,0)))*'VALUATION &amp; RETURNS'!$DA$8*1000000*INDEX($O$31:$O$33,MATCH($B$6,$J$31:$J$33,0))-T$74-T$82)),0)</f>
        <v>9350243.9477226138</v>
      </c>
      <c r="U80" s="309">
        <f>IF(AND(U$64&lt;=$B$19,U$64&lt;=$B$20,U$64&lt;$B$35,OR($B$21="No",AND(U$74&lt;=$B$9,U$74&lt;=MAX(0,$B$10+INDEX($R$31:$R$33,MATCH($B$6,$J$31:$J$33,0)))*SUM($F$77:U$77),U$74&lt;=MAX(0,$B$11+INDEX($R$31:$R$33,MATCH($B$6,$J$31:$J$33,0)))*'VALUATION &amp; RETURNS'!$DA$8*1000000*INDEX($O$31:$O$33,MATCH($B$6,$J$31:$J$33,0))))),MAX(0,MIN(U$77,U$79,U$73-U$74-U$82,MAX(0,$B$10+INDEX($R$31:$R$33,MATCH($B$6,$J$31:$J$33,0)))*SUM($F$77:U$77)-U$74-U$82,MAX(0,$B$11+INDEX($R$31:$R$33,MATCH($B$6,$J$31:$J$33,0)))*'VALUATION &amp; RETURNS'!$DA$8*1000000*INDEX($O$31:$O$33,MATCH($B$6,$J$31:$J$33,0))-U$74-U$82)),0)</f>
        <v>10198571.003748894</v>
      </c>
      <c r="V80" s="309">
        <f>IF(AND(V$64&lt;=$B$19,V$64&lt;=$B$20,V$64&lt;$B$35,OR($B$21="No",AND(V$74&lt;=$B$9,V$74&lt;=MAX(0,$B$10+INDEX($R$31:$R$33,MATCH($B$6,$J$31:$J$33,0)))*SUM($F$77:V$77),V$74&lt;=MAX(0,$B$11+INDEX($R$31:$R$33,MATCH($B$6,$J$31:$J$33,0)))*'VALUATION &amp; RETURNS'!$DA$8*1000000*INDEX($O$31:$O$33,MATCH($B$6,$J$31:$J$33,0))))),MAX(0,MIN(V$77,V$79,V$73-V$74-V$82,MAX(0,$B$10+INDEX($R$31:$R$33,MATCH($B$6,$J$31:$J$33,0)))*SUM($F$77:V$77)-V$74-V$82,MAX(0,$B$11+INDEX($R$31:$R$33,MATCH($B$6,$J$31:$J$33,0)))*'VALUATION &amp; RETURNS'!$DA$8*1000000*INDEX($O$31:$O$33,MATCH($B$6,$J$31:$J$33,0))-V$74-V$82)),0)</f>
        <v>10840288.090406999</v>
      </c>
      <c r="W80" s="309">
        <f>IF(AND(W$64&lt;=$B$19,W$64&lt;=$B$20,W$64&lt;$B$35,OR($B$21="No",AND(W$74&lt;=$B$9,W$74&lt;=MAX(0,$B$10+INDEX($R$31:$R$33,MATCH($B$6,$J$31:$J$33,0)))*SUM($F$77:W$77),W$74&lt;=MAX(0,$B$11+INDEX($R$31:$R$33,MATCH($B$6,$J$31:$J$33,0)))*'VALUATION &amp; RETURNS'!$DA$8*1000000*INDEX($O$31:$O$33,MATCH($B$6,$J$31:$J$33,0))))),MAX(0,MIN(W$77,W$79,W$73-W$74-W$82,MAX(0,$B$10+INDEX($R$31:$R$33,MATCH($B$6,$J$31:$J$33,0)))*SUM($F$77:W$77)-W$74-W$82,MAX(0,$B$11+INDEX($R$31:$R$33,MATCH($B$6,$J$31:$J$33,0)))*'VALUATION &amp; RETURNS'!$DA$8*1000000*INDEX($O$31:$O$33,MATCH($B$6,$J$31:$J$33,0))-W$74-W$82)),0)</f>
        <v>11227475.507889703</v>
      </c>
      <c r="X80" s="309">
        <f>IF(AND(X$64&lt;=$B$19,X$64&lt;=$B$20,X$64&lt;$B$35,OR($B$21="No",AND(X$74&lt;=$B$9,X$74&lt;=MAX(0,$B$10+INDEX($R$31:$R$33,MATCH($B$6,$J$31:$J$33,0)))*SUM($F$77:X$77),X$74&lt;=MAX(0,$B$11+INDEX($R$31:$R$33,MATCH($B$6,$J$31:$J$33,0)))*'VALUATION &amp; RETURNS'!$DA$8*1000000*INDEX($O$31:$O$33,MATCH($B$6,$J$31:$J$33,0))))),MAX(0,MIN(X$77,X$79,X$73-X$74-X$82,MAX(0,$B$10+INDEX($R$31:$R$33,MATCH($B$6,$J$31:$J$33,0)))*SUM($F$77:X$77)-X$74-X$82,MAX(0,$B$11+INDEX($R$31:$R$33,MATCH($B$6,$J$31:$J$33,0)))*'VALUATION &amp; RETURNS'!$DA$8*1000000*INDEX($O$31:$O$33,MATCH($B$6,$J$31:$J$33,0))-X$74-X$82)),0)</f>
        <v>11330171.302228957</v>
      </c>
      <c r="Y80" s="309">
        <f>IF(AND(Y$64&lt;=$B$19,Y$64&lt;=$B$20,Y$64&lt;$B$35,OR($B$21="No",AND(Y$74&lt;=$B$9,Y$74&lt;=MAX(0,$B$10+INDEX($R$31:$R$33,MATCH($B$6,$J$31:$J$33,0)))*SUM($F$77:Y$77),Y$74&lt;=MAX(0,$B$11+INDEX($R$31:$R$33,MATCH($B$6,$J$31:$J$33,0)))*'VALUATION &amp; RETURNS'!$DA$8*1000000*INDEX($O$31:$O$33,MATCH($B$6,$J$31:$J$33,0))))),MAX(0,MIN(Y$77,Y$79,Y$73-Y$74-Y$82,MAX(0,$B$10+INDEX($R$31:$R$33,MATCH($B$6,$J$31:$J$33,0)))*SUM($F$77:Y$77)-Y$74-Y$82,MAX(0,$B$11+INDEX($R$31:$R$33,MATCH($B$6,$J$31:$J$33,0)))*'VALUATION &amp; RETURNS'!$DA$8*1000000*INDEX($O$31:$O$33,MATCH($B$6,$J$31:$J$33,0))-Y$74-Y$82)),0)</f>
        <v>11140198.701522857</v>
      </c>
      <c r="Z80" s="309">
        <f>IF(AND(Z$64&lt;=$B$19,Z$64&lt;=$B$20,Z$64&lt;$B$35,OR($B$21="No",AND(Z$74&lt;=$B$9,Z$74&lt;=MAX(0,$B$10+INDEX($R$31:$R$33,MATCH($B$6,$J$31:$J$33,0)))*SUM($F$77:Z$77),Z$74&lt;=MAX(0,$B$11+INDEX($R$31:$R$33,MATCH($B$6,$J$31:$J$33,0)))*'VALUATION &amp; RETURNS'!$DA$8*1000000*INDEX($O$31:$O$33,MATCH($B$6,$J$31:$J$33,0))))),MAX(0,MIN(Z$77,Z$79,Z$73-Z$74-Z$82,MAX(0,$B$10+INDEX($R$31:$R$33,MATCH($B$6,$J$31:$J$33,0)))*SUM($F$77:Z$77)-Z$74-Z$82,MAX(0,$B$11+INDEX($R$31:$R$33,MATCH($B$6,$J$31:$J$33,0)))*'VALUATION &amp; RETURNS'!$DA$8*1000000*INDEX($O$31:$O$33,MATCH($B$6,$J$31:$J$33,0))-Z$74-Z$82)),0)</f>
        <v>10717614.626966476</v>
      </c>
      <c r="AA80" s="309">
        <f>IF(AND(AA$64&lt;=$B$19,AA$64&lt;=$B$20,AA$64&lt;$B$35,OR($B$21="No",AND(AA$74&lt;=$B$9,AA$74&lt;=MAX(0,$B$10+INDEX($R$31:$R$33,MATCH($B$6,$J$31:$J$33,0)))*SUM($F$77:AA$77),AA$74&lt;=MAX(0,$B$11+INDEX($R$31:$R$33,MATCH($B$6,$J$31:$J$33,0)))*'VALUATION &amp; RETURNS'!$DA$8*1000000*INDEX($O$31:$O$33,MATCH($B$6,$J$31:$J$33,0))))),MAX(0,MIN(AA$77,AA$79,AA$73-AA$74-AA$82,MAX(0,$B$10+INDEX($R$31:$R$33,MATCH($B$6,$J$31:$J$33,0)))*SUM($F$77:AA$77)-AA$74-AA$82,MAX(0,$B$11+INDEX($R$31:$R$33,MATCH($B$6,$J$31:$J$33,0)))*'VALUATION &amp; RETURNS'!$DA$8*1000000*INDEX($O$31:$O$33,MATCH($B$6,$J$31:$J$33,0))-AA$74-AA$82)),0)</f>
        <v>10139987.759013325</v>
      </c>
      <c r="AB80" s="309">
        <f>IF(AND(AB$64&lt;=$B$19,AB$64&lt;=$B$20,AB$64&lt;$B$35,OR($B$21="No",AND(AB$74&lt;=$B$9,AB$74&lt;=MAX(0,$B$10+INDEX($R$31:$R$33,MATCH($B$6,$J$31:$J$33,0)))*SUM($F$77:AB$77),AB$74&lt;=MAX(0,$B$11+INDEX($R$31:$R$33,MATCH($B$6,$J$31:$J$33,0)))*'VALUATION &amp; RETURNS'!$DA$8*1000000*INDEX($O$31:$O$33,MATCH($B$6,$J$31:$J$33,0))))),MAX(0,MIN(AB$77,AB$79,AB$73-AB$74-AB$82,MAX(0,$B$10+INDEX($R$31:$R$33,MATCH($B$6,$J$31:$J$33,0)))*SUM($F$77:AB$77)-AB$74-AB$82,MAX(0,$B$11+INDEX($R$31:$R$33,MATCH($B$6,$J$31:$J$33,0)))*'VALUATION &amp; RETURNS'!$DA$8*1000000*INDEX($O$31:$O$33,MATCH($B$6,$J$31:$J$33,0))-AB$74-AB$82)),0)</f>
        <v>9358749.9466937482</v>
      </c>
      <c r="AC80" s="309">
        <f>IF(AND(AC$64&lt;=$B$19,AC$64&lt;=$B$20,AC$64&lt;$B$35,OR($B$21="No",AND(AC$74&lt;=$B$9,AC$74&lt;=MAX(0,$B$10+INDEX($R$31:$R$33,MATCH($B$6,$J$31:$J$33,0)))*SUM($F$77:AC$77),AC$74&lt;=MAX(0,$B$11+INDEX($R$31:$R$33,MATCH($B$6,$J$31:$J$33,0)))*'VALUATION &amp; RETURNS'!$DA$8*1000000*INDEX($O$31:$O$33,MATCH($B$6,$J$31:$J$33,0))))),MAX(0,MIN(AC$77,AC$79,AC$73-AC$74-AC$82,MAX(0,$B$10+INDEX($R$31:$R$33,MATCH($B$6,$J$31:$J$33,0)))*SUM($F$77:AC$77)-AC$74-AC$82,MAX(0,$B$11+INDEX($R$31:$R$33,MATCH($B$6,$J$31:$J$33,0)))*'VALUATION &amp; RETURNS'!$DA$8*1000000*INDEX($O$31:$O$33,MATCH($B$6,$J$31:$J$33,0))-AC$74-AC$82)),0)</f>
        <v>8427930.7761743367</v>
      </c>
      <c r="AD80" s="309">
        <f>IF(AND(AD$64&lt;=$B$19,AD$64&lt;=$B$20,AD$64&lt;$B$35,OR($B$21="No",AND(AD$74&lt;=$B$9,AD$74&lt;=MAX(0,$B$10+INDEX($R$31:$R$33,MATCH($B$6,$J$31:$J$33,0)))*SUM($F$77:AD$77),AD$74&lt;=MAX(0,$B$11+INDEX($R$31:$R$33,MATCH($B$6,$J$31:$J$33,0)))*'VALUATION &amp; RETURNS'!$DA$8*1000000*INDEX($O$31:$O$33,MATCH($B$6,$J$31:$J$33,0))))),MAX(0,MIN(AD$77,AD$79,AD$73-AD$74-AD$82,MAX(0,$B$10+INDEX($R$31:$R$33,MATCH($B$6,$J$31:$J$33,0)))*SUM($F$77:AD$77)-AD$74-AD$82,MAX(0,$B$11+INDEX($R$31:$R$33,MATCH($B$6,$J$31:$J$33,0)))*'VALUATION &amp; RETURNS'!$DA$8*1000000*INDEX($O$31:$O$33,MATCH($B$6,$J$31:$J$33,0))-AD$74-AD$82)),0)</f>
        <v>7407265.9255515635</v>
      </c>
      <c r="AE80" s="309">
        <f>IF(AND(AE$64&lt;=$B$19,AE$64&lt;=$B$20,AE$64&lt;$B$35,OR($B$21="No",AND(AE$74&lt;=$B$9,AE$74&lt;=MAX(0,$B$10+INDEX($R$31:$R$33,MATCH($B$6,$J$31:$J$33,0)))*SUM($F$77:AE$77),AE$74&lt;=MAX(0,$B$11+INDEX($R$31:$R$33,MATCH($B$6,$J$31:$J$33,0)))*'VALUATION &amp; RETURNS'!$DA$8*1000000*INDEX($O$31:$O$33,MATCH($B$6,$J$31:$J$33,0))))),MAX(0,MIN(AE$77,AE$79,AE$73-AE$74-AE$82,MAX(0,$B$10+INDEX($R$31:$R$33,MATCH($B$6,$J$31:$J$33,0)))*SUM($F$77:AE$77)-AE$74-AE$82,MAX(0,$B$11+INDEX($R$31:$R$33,MATCH($B$6,$J$31:$J$33,0)))*'VALUATION &amp; RETURNS'!$DA$8*1000000*INDEX($O$31:$O$33,MATCH($B$6,$J$31:$J$33,0))-AE$74-AE$82)),0)</f>
        <v>6355958.6232007742</v>
      </c>
      <c r="AF80" s="309">
        <f>IF(AND(AF$64&lt;=$B$19,AF$64&lt;=$B$20,AF$64&lt;$B$35,OR($B$21="No",AND(AF$74&lt;=$B$9,AF$74&lt;=MAX(0,$B$10+INDEX($R$31:$R$33,MATCH($B$6,$J$31:$J$33,0)))*SUM($F$77:AF$77),AF$74&lt;=MAX(0,$B$11+INDEX($R$31:$R$33,MATCH($B$6,$J$31:$J$33,0)))*'VALUATION &amp; RETURNS'!$DA$8*1000000*INDEX($O$31:$O$33,MATCH($B$6,$J$31:$J$33,0))))),MAX(0,MIN(AF$77,AF$79,AF$73-AF$74-AF$82,MAX(0,$B$10+INDEX($R$31:$R$33,MATCH($B$6,$J$31:$J$33,0)))*SUM($F$77:AF$77)-AF$74-AF$82,MAX(0,$B$11+INDEX($R$31:$R$33,MATCH($B$6,$J$31:$J$33,0)))*'VALUATION &amp; RETURNS'!$DA$8*1000000*INDEX($O$31:$O$33,MATCH($B$6,$J$31:$J$33,0))-AF$74-AF$82)),0)</f>
        <v>5327231.8471754789</v>
      </c>
      <c r="AG80" s="309">
        <f>IF(AND(AG$64&lt;=$B$19,AG$64&lt;=$B$20,AG$64&lt;$B$35,OR($B$21="No",AND(AG$74&lt;=$B$9,AG$74&lt;=MAX(0,$B$10+INDEX($R$31:$R$33,MATCH($B$6,$J$31:$J$33,0)))*SUM($F$77:AG$77),AG$74&lt;=MAX(0,$B$11+INDEX($R$31:$R$33,MATCH($B$6,$J$31:$J$33,0)))*'VALUATION &amp; RETURNS'!$DA$8*1000000*INDEX($O$31:$O$33,MATCH($B$6,$J$31:$J$33,0))))),MAX(0,MIN(AG$77,AG$79,AG$73-AG$74-AG$82,MAX(0,$B$10+INDEX($R$31:$R$33,MATCH($B$6,$J$31:$J$33,0)))*SUM($F$77:AG$77)-AG$74-AG$82,MAX(0,$B$11+INDEX($R$31:$R$33,MATCH($B$6,$J$31:$J$33,0)))*'VALUATION &amp; RETURNS'!$DA$8*1000000*INDEX($O$31:$O$33,MATCH($B$6,$J$31:$J$33,0))-AG$74-AG$82)),0)</f>
        <v>4364324.7526958287</v>
      </c>
      <c r="AH80" s="309">
        <f>IF(AND(AH$64&lt;=$B$19,AH$64&lt;=$B$20,AH$64&lt;$B$35,OR($B$21="No",AND(AH$74&lt;=$B$9,AH$74&lt;=MAX(0,$B$10+INDEX($R$31:$R$33,MATCH($B$6,$J$31:$J$33,0)))*SUM($F$77:AH$77),AH$74&lt;=MAX(0,$B$11+INDEX($R$31:$R$33,MATCH($B$6,$J$31:$J$33,0)))*'VALUATION &amp; RETURNS'!$DA$8*1000000*INDEX($O$31:$O$33,MATCH($B$6,$J$31:$J$33,0))))),MAX(0,MIN(AH$77,AH$79,AH$73-AH$74-AH$82,MAX(0,$B$10+INDEX($R$31:$R$33,MATCH($B$6,$J$31:$J$33,0)))*SUM($F$77:AH$77)-AH$74-AH$82,MAX(0,$B$11+INDEX($R$31:$R$33,MATCH($B$6,$J$31:$J$33,0)))*'VALUATION &amp; RETURNS'!$DA$8*1000000*INDEX($O$31:$O$33,MATCH($B$6,$J$31:$J$33,0))-AH$74-AH$82)),0)</f>
        <v>3498264.0780161023</v>
      </c>
      <c r="AI80" s="309">
        <f>IF(AND(AI$64&lt;=$B$19,AI$64&lt;=$B$20,AI$64&lt;$B$35,OR($B$21="No",AND(AI$74&lt;=$B$9,AI$74&lt;=MAX(0,$B$10+INDEX($R$31:$R$33,MATCH($B$6,$J$31:$J$33,0)))*SUM($F$77:AI$77),AI$74&lt;=MAX(0,$B$11+INDEX($R$31:$R$33,MATCH($B$6,$J$31:$J$33,0)))*'VALUATION &amp; RETURNS'!$DA$8*1000000*INDEX($O$31:$O$33,MATCH($B$6,$J$31:$J$33,0))))),MAX(0,MIN(AI$77,AI$79,AI$73-AI$74-AI$82,MAX(0,$B$10+INDEX($R$31:$R$33,MATCH($B$6,$J$31:$J$33,0)))*SUM($F$77:AI$77)-AI$74-AI$82,MAX(0,$B$11+INDEX($R$31:$R$33,MATCH($B$6,$J$31:$J$33,0)))*'VALUATION &amp; RETURNS'!$DA$8*1000000*INDEX($O$31:$O$33,MATCH($B$6,$J$31:$J$33,0))-AI$74-AI$82)),0)</f>
        <v>2747407.6656336188</v>
      </c>
      <c r="AJ80" s="309">
        <f>IF(AND(AJ$64&lt;=$B$19,AJ$64&lt;=$B$20,AJ$64&lt;$B$35,OR($B$21="No",AND(AJ$74&lt;=$B$9,AJ$74&lt;=MAX(0,$B$10+INDEX($R$31:$R$33,MATCH($B$6,$J$31:$J$33,0)))*SUM($F$77:AJ$77),AJ$74&lt;=MAX(0,$B$11+INDEX($R$31:$R$33,MATCH($B$6,$J$31:$J$33,0)))*'VALUATION &amp; RETURNS'!$DA$8*1000000*INDEX($O$31:$O$33,MATCH($B$6,$J$31:$J$33,0))))),MAX(0,MIN(AJ$77,AJ$79,AJ$73-AJ$74-AJ$82,MAX(0,$B$10+INDEX($R$31:$R$33,MATCH($B$6,$J$31:$J$33,0)))*SUM($F$77:AJ$77)-AJ$74-AJ$82,MAX(0,$B$11+INDEX($R$31:$R$33,MATCH($B$6,$J$31:$J$33,0)))*'VALUATION &amp; RETURNS'!$DA$8*1000000*INDEX($O$31:$O$33,MATCH($B$6,$J$31:$J$33,0))-AJ$74-AJ$82)),0)</f>
        <v>1224305.0030850768</v>
      </c>
      <c r="AK80" s="309">
        <f>IF(AND(AK$64&lt;=$B$19,AK$64&lt;=$B$20,AK$64&lt;$B$35,OR($B$21="No",AND(AK$74&lt;=$B$9,AK$74&lt;=MAX(0,$B$10+INDEX($R$31:$R$33,MATCH($B$6,$J$31:$J$33,0)))*SUM($F$77:AK$77),AK$74&lt;=MAX(0,$B$11+INDEX($R$31:$R$33,MATCH($B$6,$J$31:$J$33,0)))*'VALUATION &amp; RETURNS'!$DA$8*1000000*INDEX($O$31:$O$33,MATCH($B$6,$J$31:$J$33,0))))),MAX(0,MIN(AK$77,AK$79,AK$73-AK$74-AK$82,MAX(0,$B$10+INDEX($R$31:$R$33,MATCH($B$6,$J$31:$J$33,0)))*SUM($F$77:AK$77)-AK$74-AK$82,MAX(0,$B$11+INDEX($R$31:$R$33,MATCH($B$6,$J$31:$J$33,0)))*'VALUATION &amp; RETURNS'!$DA$8*1000000*INDEX($O$31:$O$33,MATCH($B$6,$J$31:$J$33,0))-AK$74-AK$82)),0)</f>
        <v>209638.92700129747</v>
      </c>
      <c r="AL80" s="309">
        <f>IF(AND(AL$64&lt;=$B$19,AL$64&lt;=$B$20,AL$64&lt;$B$35,OR($B$21="No",AND(AL$74&lt;=$B$9,AL$74&lt;=MAX(0,$B$10+INDEX($R$31:$R$33,MATCH($B$6,$J$31:$J$33,0)))*SUM($F$77:AL$77),AL$74&lt;=MAX(0,$B$11+INDEX($R$31:$R$33,MATCH($B$6,$J$31:$J$33,0)))*'VALUATION &amp; RETURNS'!$DA$8*1000000*INDEX($O$31:$O$33,MATCH($B$6,$J$31:$J$33,0))))),MAX(0,MIN(AL$77,AL$79,AL$73-AL$74-AL$82,MAX(0,$B$10+INDEX($R$31:$R$33,MATCH($B$6,$J$31:$J$33,0)))*SUM($F$77:AL$77)-AL$74-AL$82,MAX(0,$B$11+INDEX($R$31:$R$33,MATCH($B$6,$J$31:$J$33,0)))*'VALUATION &amp; RETURNS'!$DA$8*1000000*INDEX($O$31:$O$33,MATCH($B$6,$J$31:$J$33,0))-AL$74-AL$82)),0)</f>
        <v>169571.13126644492</v>
      </c>
      <c r="AM80" s="309">
        <f>IF(AND(AM$64&lt;=$B$19,AM$64&lt;=$B$20,AM$64&lt;$B$35,OR($B$21="No",AND(AM$74&lt;=$B$9,AM$74&lt;=MAX(0,$B$10+INDEX($R$31:$R$33,MATCH($B$6,$J$31:$J$33,0)))*SUM($F$77:AM$77),AM$74&lt;=MAX(0,$B$11+INDEX($R$31:$R$33,MATCH($B$6,$J$31:$J$33,0)))*'VALUATION &amp; RETURNS'!$DA$8*1000000*INDEX($O$31:$O$33,MATCH($B$6,$J$31:$J$33,0))))),MAX(0,MIN(AM$77,AM$79,AM$73-AM$74-AM$82,MAX(0,$B$10+INDEX($R$31:$R$33,MATCH($B$6,$J$31:$J$33,0)))*SUM($F$77:AM$77)-AM$74-AM$82,MAX(0,$B$11+INDEX($R$31:$R$33,MATCH($B$6,$J$31:$J$33,0)))*'VALUATION &amp; RETURNS'!$DA$8*1000000*INDEX($O$31:$O$33,MATCH($B$6,$J$31:$J$33,0))-AM$74-AM$82)),0)</f>
        <v>132711.21484693885</v>
      </c>
      <c r="AN80" s="309">
        <f>IF(AND(AN$64&lt;=$B$19,AN$64&lt;=$B$20,AN$64&lt;$B$35,OR($B$21="No",AND(AN$74&lt;=$B$9,AN$74&lt;=MAX(0,$B$10+INDEX($R$31:$R$33,MATCH($B$6,$J$31:$J$33,0)))*SUM($F$77:AN$77),AN$74&lt;=MAX(0,$B$11+INDEX($R$31:$R$33,MATCH($B$6,$J$31:$J$33,0)))*'VALUATION &amp; RETURNS'!$DA$8*1000000*INDEX($O$31:$O$33,MATCH($B$6,$J$31:$J$33,0))))),MAX(0,MIN(AN$77,AN$79,AN$73-AN$74-AN$82,MAX(0,$B$10+INDEX($R$31:$R$33,MATCH($B$6,$J$31:$J$33,0)))*SUM($F$77:AN$77)-AN$74-AN$82,MAX(0,$B$11+INDEX($R$31:$R$33,MATCH($B$6,$J$31:$J$33,0)))*'VALUATION &amp; RETURNS'!$DA$8*1000000*INDEX($O$31:$O$33,MATCH($B$6,$J$31:$J$33,0))-AN$74-AN$82)),0)</f>
        <v>100597.62539994717</v>
      </c>
      <c r="AO80" s="309">
        <f>IF(AND(AO$64&lt;=$B$19,AO$64&lt;=$B$20,AO$64&lt;$B$35,OR($B$21="No",AND(AO$74&lt;=$B$9,AO$74&lt;=MAX(0,$B$10+INDEX($R$31:$R$33,MATCH($B$6,$J$31:$J$33,0)))*SUM($F$77:AO$77),AO$74&lt;=MAX(0,$B$11+INDEX($R$31:$R$33,MATCH($B$6,$J$31:$J$33,0)))*'VALUATION &amp; RETURNS'!$DA$8*1000000*INDEX($O$31:$O$33,MATCH($B$6,$J$31:$J$33,0))))),MAX(0,MIN(AO$77,AO$79,AO$73-AO$74-AO$82,MAX(0,$B$10+INDEX($R$31:$R$33,MATCH($B$6,$J$31:$J$33,0)))*SUM($F$77:AO$77)-AO$74-AO$82,MAX(0,$B$11+INDEX($R$31:$R$33,MATCH($B$6,$J$31:$J$33,0)))*'VALUATION &amp; RETURNS'!$DA$8*1000000*INDEX($O$31:$O$33,MATCH($B$6,$J$31:$J$33,0))-AO$74-AO$82)),0)</f>
        <v>73917.592887252569</v>
      </c>
      <c r="AP80" s="309">
        <f>IF(AND(AP$64&lt;=$B$19,AP$64&lt;=$B$20,AP$64&lt;$B$35,OR($B$21="No",AND(AP$74&lt;=$B$9,AP$74&lt;=MAX(0,$B$10+INDEX($R$31:$R$33,MATCH($B$6,$J$31:$J$33,0)))*SUM($F$77:AP$77),AP$74&lt;=MAX(0,$B$11+INDEX($R$31:$R$33,MATCH($B$6,$J$31:$J$33,0)))*'VALUATION &amp; RETURNS'!$DA$8*1000000*INDEX($O$31:$O$33,MATCH($B$6,$J$31:$J$33,0))))),MAX(0,MIN(AP$77,AP$79,AP$73-AP$74-AP$82,MAX(0,$B$10+INDEX($R$31:$R$33,MATCH($B$6,$J$31:$J$33,0)))*SUM($F$77:AP$77)-AP$74-AP$82,MAX(0,$B$11+INDEX($R$31:$R$33,MATCH($B$6,$J$31:$J$33,0)))*'VALUATION &amp; RETURNS'!$DA$8*1000000*INDEX($O$31:$O$33,MATCH($B$6,$J$31:$J$33,0))-AP$74-AP$82)),0)</f>
        <v>52683.47823086381</v>
      </c>
      <c r="AQ80" s="309">
        <f>IF(AND(AQ$64&lt;=$B$19,AQ$64&lt;=$B$20,AQ$64&lt;$B$35,OR($B$21="No",AND(AQ$74&lt;=$B$9,AQ$74&lt;=MAX(0,$B$10+INDEX($R$31:$R$33,MATCH($B$6,$J$31:$J$33,0)))*SUM($F$77:AQ$77),AQ$74&lt;=MAX(0,$B$11+INDEX($R$31:$R$33,MATCH($B$6,$J$31:$J$33,0)))*'VALUATION &amp; RETURNS'!$DA$8*1000000*INDEX($O$31:$O$33,MATCH($B$6,$J$31:$J$33,0))))),MAX(0,MIN(AQ$77,AQ$79,AQ$73-AQ$74-AQ$82,MAX(0,$B$10+INDEX($R$31:$R$33,MATCH($B$6,$J$31:$J$33,0)))*SUM($F$77:AQ$77)-AQ$74-AQ$82,MAX(0,$B$11+INDEX($R$31:$R$33,MATCH($B$6,$J$31:$J$33,0)))*'VALUATION &amp; RETURNS'!$DA$8*1000000*INDEX($O$31:$O$33,MATCH($B$6,$J$31:$J$33,0))-AQ$74-AQ$82)),0)</f>
        <v>0</v>
      </c>
      <c r="AR80" s="309">
        <f>IF(AND(AR$64&lt;=$B$19,AR$64&lt;=$B$20,AR$64&lt;$B$35,OR($B$21="No",AND(AR$74&lt;=$B$9,AR$74&lt;=MAX(0,$B$10+INDEX($R$31:$R$33,MATCH($B$6,$J$31:$J$33,0)))*SUM($F$77:AR$77),AR$74&lt;=MAX(0,$B$11+INDEX($R$31:$R$33,MATCH($B$6,$J$31:$J$33,0)))*'VALUATION &amp; RETURNS'!$DA$8*1000000*INDEX($O$31:$O$33,MATCH($B$6,$J$31:$J$33,0))))),MAX(0,MIN(AR$77,AR$79,AR$73-AR$74-AR$82,MAX(0,$B$10+INDEX($R$31:$R$33,MATCH($B$6,$J$31:$J$33,0)))*SUM($F$77:AR$77)-AR$74-AR$82,MAX(0,$B$11+INDEX($R$31:$R$33,MATCH($B$6,$J$31:$J$33,0)))*'VALUATION &amp; RETURNS'!$DA$8*1000000*INDEX($O$31:$O$33,MATCH($B$6,$J$31:$J$33,0))-AR$74-AR$82)),0)</f>
        <v>0</v>
      </c>
      <c r="AS80" s="309">
        <f>IF(AND(AS$64&lt;=$B$19,AS$64&lt;=$B$20,AS$64&lt;$B$35,OR($B$21="No",AND(AS$74&lt;=$B$9,AS$74&lt;=MAX(0,$B$10+INDEX($R$31:$R$33,MATCH($B$6,$J$31:$J$33,0)))*SUM($F$77:AS$77),AS$74&lt;=MAX(0,$B$11+INDEX($R$31:$R$33,MATCH($B$6,$J$31:$J$33,0)))*'VALUATION &amp; RETURNS'!$DA$8*1000000*INDEX($O$31:$O$33,MATCH($B$6,$J$31:$J$33,0))))),MAX(0,MIN(AS$77,AS$79,AS$73-AS$74-AS$82,MAX(0,$B$10+INDEX($R$31:$R$33,MATCH($B$6,$J$31:$J$33,0)))*SUM($F$77:AS$77)-AS$74-AS$82,MAX(0,$B$11+INDEX($R$31:$R$33,MATCH($B$6,$J$31:$J$33,0)))*'VALUATION &amp; RETURNS'!$DA$8*1000000*INDEX($O$31:$O$33,MATCH($B$6,$J$31:$J$33,0))-AS$74-AS$82)),0)</f>
        <v>0</v>
      </c>
      <c r="AT80" s="309">
        <f>IF(AND(AT$64&lt;=$B$19,AT$64&lt;=$B$20,AT$64&lt;$B$35,OR($B$21="No",AND(AT$74&lt;=$B$9,AT$74&lt;=MAX(0,$B$10+INDEX($R$31:$R$33,MATCH($B$6,$J$31:$J$33,0)))*SUM($F$77:AT$77),AT$74&lt;=MAX(0,$B$11+INDEX($R$31:$R$33,MATCH($B$6,$J$31:$J$33,0)))*'VALUATION &amp; RETURNS'!$DA$8*1000000*INDEX($O$31:$O$33,MATCH($B$6,$J$31:$J$33,0))))),MAX(0,MIN(AT$77,AT$79,AT$73-AT$74-AT$82,MAX(0,$B$10+INDEX($R$31:$R$33,MATCH($B$6,$J$31:$J$33,0)))*SUM($F$77:AT$77)-AT$74-AT$82,MAX(0,$B$11+INDEX($R$31:$R$33,MATCH($B$6,$J$31:$J$33,0)))*'VALUATION &amp; RETURNS'!$DA$8*1000000*INDEX($O$31:$O$33,MATCH($B$6,$J$31:$J$33,0))-AT$74-AT$82)),0)</f>
        <v>0</v>
      </c>
      <c r="AU80" s="309">
        <f>IF(AND(AU$64&lt;=$B$19,AU$64&lt;=$B$20,AU$64&lt;$B$35,OR($B$21="No",AND(AU$74&lt;=$B$9,AU$74&lt;=MAX(0,$B$10+INDEX($R$31:$R$33,MATCH($B$6,$J$31:$J$33,0)))*SUM($F$77:AU$77),AU$74&lt;=MAX(0,$B$11+INDEX($R$31:$R$33,MATCH($B$6,$J$31:$J$33,0)))*'VALUATION &amp; RETURNS'!$DA$8*1000000*INDEX($O$31:$O$33,MATCH($B$6,$J$31:$J$33,0))))),MAX(0,MIN(AU$77,AU$79,AU$73-AU$74-AU$82,MAX(0,$B$10+INDEX($R$31:$R$33,MATCH($B$6,$J$31:$J$33,0)))*SUM($F$77:AU$77)-AU$74-AU$82,MAX(0,$B$11+INDEX($R$31:$R$33,MATCH($B$6,$J$31:$J$33,0)))*'VALUATION &amp; RETURNS'!$DA$8*1000000*INDEX($O$31:$O$33,MATCH($B$6,$J$31:$J$33,0))-AU$74-AU$82)),0)</f>
        <v>0</v>
      </c>
      <c r="AV80" s="309">
        <f>IF(AND(AV$64&lt;=$B$19,AV$64&lt;=$B$20,AV$64&lt;$B$35,OR($B$21="No",AND(AV$74&lt;=$B$9,AV$74&lt;=MAX(0,$B$10+INDEX($R$31:$R$33,MATCH($B$6,$J$31:$J$33,0)))*SUM($F$77:AV$77),AV$74&lt;=MAX(0,$B$11+INDEX($R$31:$R$33,MATCH($B$6,$J$31:$J$33,0)))*'VALUATION &amp; RETURNS'!$DA$8*1000000*INDEX($O$31:$O$33,MATCH($B$6,$J$31:$J$33,0))))),MAX(0,MIN(AV$77,AV$79,AV$73-AV$74-AV$82,MAX(0,$B$10+INDEX($R$31:$R$33,MATCH($B$6,$J$31:$J$33,0)))*SUM($F$77:AV$77)-AV$74-AV$82,MAX(0,$B$11+INDEX($R$31:$R$33,MATCH($B$6,$J$31:$J$33,0)))*'VALUATION &amp; RETURNS'!$DA$8*1000000*INDEX($O$31:$O$33,MATCH($B$6,$J$31:$J$33,0))-AV$74-AV$82)),0)</f>
        <v>0</v>
      </c>
      <c r="AW80" s="309">
        <f>IF(AND(AW$64&lt;=$B$19,AW$64&lt;=$B$20,AW$64&lt;$B$35,OR($B$21="No",AND(AW$74&lt;=$B$9,AW$74&lt;=MAX(0,$B$10+INDEX($R$31:$R$33,MATCH($B$6,$J$31:$J$33,0)))*SUM($F$77:AW$77),AW$74&lt;=MAX(0,$B$11+INDEX($R$31:$R$33,MATCH($B$6,$J$31:$J$33,0)))*'VALUATION &amp; RETURNS'!$DA$8*1000000*INDEX($O$31:$O$33,MATCH($B$6,$J$31:$J$33,0))))),MAX(0,MIN(AW$77,AW$79,AW$73-AW$74-AW$82,MAX(0,$B$10+INDEX($R$31:$R$33,MATCH($B$6,$J$31:$J$33,0)))*SUM($F$77:AW$77)-AW$74-AW$82,MAX(0,$B$11+INDEX($R$31:$R$33,MATCH($B$6,$J$31:$J$33,0)))*'VALUATION &amp; RETURNS'!$DA$8*1000000*INDEX($O$31:$O$33,MATCH($B$6,$J$31:$J$33,0))-AW$74-AW$82)),0)</f>
        <v>0</v>
      </c>
      <c r="AX80" s="309">
        <f>IF(AND(AX$64&lt;=$B$19,AX$64&lt;=$B$20,AX$64&lt;$B$35,OR($B$21="No",AND(AX$74&lt;=$B$9,AX$74&lt;=MAX(0,$B$10+INDEX($R$31:$R$33,MATCH($B$6,$J$31:$J$33,0)))*SUM($F$77:AX$77),AX$74&lt;=MAX(0,$B$11+INDEX($R$31:$R$33,MATCH($B$6,$J$31:$J$33,0)))*'VALUATION &amp; RETURNS'!$DA$8*1000000*INDEX($O$31:$O$33,MATCH($B$6,$J$31:$J$33,0))))),MAX(0,MIN(AX$77,AX$79,AX$73-AX$74-AX$82,MAX(0,$B$10+INDEX($R$31:$R$33,MATCH($B$6,$J$31:$J$33,0)))*SUM($F$77:AX$77)-AX$74-AX$82,MAX(0,$B$11+INDEX($R$31:$R$33,MATCH($B$6,$J$31:$J$33,0)))*'VALUATION &amp; RETURNS'!$DA$8*1000000*INDEX($O$31:$O$33,MATCH($B$6,$J$31:$J$33,0))-AX$74-AX$82)),0)</f>
        <v>0</v>
      </c>
      <c r="AY80" s="309">
        <f>IF(AND(AY$64&lt;=$B$19,AY$64&lt;=$B$20,AY$64&lt;$B$35,OR($B$21="No",AND(AY$74&lt;=$B$9,AY$74&lt;=MAX(0,$B$10+INDEX($R$31:$R$33,MATCH($B$6,$J$31:$J$33,0)))*SUM($F$77:AY$77),AY$74&lt;=MAX(0,$B$11+INDEX($R$31:$R$33,MATCH($B$6,$J$31:$J$33,0)))*'VALUATION &amp; RETURNS'!$DA$8*1000000*INDEX($O$31:$O$33,MATCH($B$6,$J$31:$J$33,0))))),MAX(0,MIN(AY$77,AY$79,AY$73-AY$74-AY$82,MAX(0,$B$10+INDEX($R$31:$R$33,MATCH($B$6,$J$31:$J$33,0)))*SUM($F$77:AY$77)-AY$74-AY$82,MAX(0,$B$11+INDEX($R$31:$R$33,MATCH($B$6,$J$31:$J$33,0)))*'VALUATION &amp; RETURNS'!$DA$8*1000000*INDEX($O$31:$O$33,MATCH($B$6,$J$31:$J$33,0))-AY$74-AY$82)),0)</f>
        <v>0</v>
      </c>
      <c r="AZ80" s="309">
        <f>IF(AND(AZ$64&lt;=$B$19,AZ$64&lt;=$B$20,AZ$64&lt;$B$35,OR($B$21="No",AND(AZ$74&lt;=$B$9,AZ$74&lt;=MAX(0,$B$10+INDEX($R$31:$R$33,MATCH($B$6,$J$31:$J$33,0)))*SUM($F$77:AZ$77),AZ$74&lt;=MAX(0,$B$11+INDEX($R$31:$R$33,MATCH($B$6,$J$31:$J$33,0)))*'VALUATION &amp; RETURNS'!$DA$8*1000000*INDEX($O$31:$O$33,MATCH($B$6,$J$31:$J$33,0))))),MAX(0,MIN(AZ$77,AZ$79,AZ$73-AZ$74-AZ$82,MAX(0,$B$10+INDEX($R$31:$R$33,MATCH($B$6,$J$31:$J$33,0)))*SUM($F$77:AZ$77)-AZ$74-AZ$82,MAX(0,$B$11+INDEX($R$31:$R$33,MATCH($B$6,$J$31:$J$33,0)))*'VALUATION &amp; RETURNS'!$DA$8*1000000*INDEX($O$31:$O$33,MATCH($B$6,$J$31:$J$33,0))-AZ$74-AZ$82)),0)</f>
        <v>0</v>
      </c>
      <c r="BA80" s="309">
        <f>IF(AND(BA$64&lt;=$B$19,BA$64&lt;=$B$20,BA$64&lt;$B$35,OR($B$21="No",AND(BA$74&lt;=$B$9,BA$74&lt;=MAX(0,$B$10+INDEX($R$31:$R$33,MATCH($B$6,$J$31:$J$33,0)))*SUM($F$77:BA$77),BA$74&lt;=MAX(0,$B$11+INDEX($R$31:$R$33,MATCH($B$6,$J$31:$J$33,0)))*'VALUATION &amp; RETURNS'!$DA$8*1000000*INDEX($O$31:$O$33,MATCH($B$6,$J$31:$J$33,0))))),MAX(0,MIN(BA$77,BA$79,BA$73-BA$74-BA$82,MAX(0,$B$10+INDEX($R$31:$R$33,MATCH($B$6,$J$31:$J$33,0)))*SUM($F$77:BA$77)-BA$74-BA$82,MAX(0,$B$11+INDEX($R$31:$R$33,MATCH($B$6,$J$31:$J$33,0)))*'VALUATION &amp; RETURNS'!$DA$8*1000000*INDEX($O$31:$O$33,MATCH($B$6,$J$31:$J$33,0))-BA$74-BA$82)),0)</f>
        <v>0</v>
      </c>
      <c r="BB80" s="309">
        <f>IF(AND(BB$64&lt;=$B$19,BB$64&lt;=$B$20,BB$64&lt;$B$35,OR($B$21="No",AND(BB$74&lt;=$B$9,BB$74&lt;=MAX(0,$B$10+INDEX($R$31:$R$33,MATCH($B$6,$J$31:$J$33,0)))*SUM($F$77:BB$77),BB$74&lt;=MAX(0,$B$11+INDEX($R$31:$R$33,MATCH($B$6,$J$31:$J$33,0)))*'VALUATION &amp; RETURNS'!$DA$8*1000000*INDEX($O$31:$O$33,MATCH($B$6,$J$31:$J$33,0))))),MAX(0,MIN(BB$77,BB$79,BB$73-BB$74-BB$82,MAX(0,$B$10+INDEX($R$31:$R$33,MATCH($B$6,$J$31:$J$33,0)))*SUM($F$77:BB$77)-BB$74-BB$82,MAX(0,$B$11+INDEX($R$31:$R$33,MATCH($B$6,$J$31:$J$33,0)))*'VALUATION &amp; RETURNS'!$DA$8*1000000*INDEX($O$31:$O$33,MATCH($B$6,$J$31:$J$33,0))-BB$74-BB$82)),0)</f>
        <v>0</v>
      </c>
      <c r="BC80" s="309">
        <f>IF(AND(BC$64&lt;=$B$19,BC$64&lt;=$B$20,BC$64&lt;$B$35,OR($B$21="No",AND(BC$74&lt;=$B$9,BC$74&lt;=MAX(0,$B$10+INDEX($R$31:$R$33,MATCH($B$6,$J$31:$J$33,0)))*SUM($F$77:BC$77),BC$74&lt;=MAX(0,$B$11+INDEX($R$31:$R$33,MATCH($B$6,$J$31:$J$33,0)))*'VALUATION &amp; RETURNS'!$DA$8*1000000*INDEX($O$31:$O$33,MATCH($B$6,$J$31:$J$33,0))))),MAX(0,MIN(BC$77,BC$79,BC$73-BC$74-BC$82,MAX(0,$B$10+INDEX($R$31:$R$33,MATCH($B$6,$J$31:$J$33,0)))*SUM($F$77:BC$77)-BC$74-BC$82,MAX(0,$B$11+INDEX($R$31:$R$33,MATCH($B$6,$J$31:$J$33,0)))*'VALUATION &amp; RETURNS'!$DA$8*1000000*INDEX($O$31:$O$33,MATCH($B$6,$J$31:$J$33,0))-BC$74-BC$82)),0)</f>
        <v>0</v>
      </c>
      <c r="BD80" s="309">
        <f>IF(AND(BD$64&lt;=$B$19,BD$64&lt;=$B$20,BD$64&lt;$B$35,OR($B$21="No",AND(BD$74&lt;=$B$9,BD$74&lt;=MAX(0,$B$10+INDEX($R$31:$R$33,MATCH($B$6,$J$31:$J$33,0)))*SUM($F$77:BD$77),BD$74&lt;=MAX(0,$B$11+INDEX($R$31:$R$33,MATCH($B$6,$J$31:$J$33,0)))*'VALUATION &amp; RETURNS'!$DA$8*1000000*INDEX($O$31:$O$33,MATCH($B$6,$J$31:$J$33,0))))),MAX(0,MIN(BD$77,BD$79,BD$73-BD$74-BD$82,MAX(0,$B$10+INDEX($R$31:$R$33,MATCH($B$6,$J$31:$J$33,0)))*SUM($F$77:BD$77)-BD$74-BD$82,MAX(0,$B$11+INDEX($R$31:$R$33,MATCH($B$6,$J$31:$J$33,0)))*'VALUATION &amp; RETURNS'!$DA$8*1000000*INDEX($O$31:$O$33,MATCH($B$6,$J$31:$J$33,0))-BD$74-BD$82)),0)</f>
        <v>0</v>
      </c>
      <c r="BE80" s="309">
        <f>IF(AND(BE$64&lt;=$B$19,BE$64&lt;=$B$20,BE$64&lt;$B$35,OR($B$21="No",AND(BE$74&lt;=$B$9,BE$74&lt;=MAX(0,$B$10+INDEX($R$31:$R$33,MATCH($B$6,$J$31:$J$33,0)))*SUM($F$77:BE$77),BE$74&lt;=MAX(0,$B$11+INDEX($R$31:$R$33,MATCH($B$6,$J$31:$J$33,0)))*'VALUATION &amp; RETURNS'!$DA$8*1000000*INDEX($O$31:$O$33,MATCH($B$6,$J$31:$J$33,0))))),MAX(0,MIN(BE$77,BE$79,BE$73-BE$74-BE$82,MAX(0,$B$10+INDEX($R$31:$R$33,MATCH($B$6,$J$31:$J$33,0)))*SUM($F$77:BE$77)-BE$74-BE$82,MAX(0,$B$11+INDEX($R$31:$R$33,MATCH($B$6,$J$31:$J$33,0)))*'VALUATION &amp; RETURNS'!$DA$8*1000000*INDEX($O$31:$O$33,MATCH($B$6,$J$31:$J$33,0))-BE$74-BE$82)),0)</f>
        <v>0</v>
      </c>
      <c r="BF80" s="309">
        <f>IF(AND(BF$64&lt;=$B$19,BF$64&lt;=$B$20,BF$64&lt;$B$35,OR($B$21="No",AND(BF$74&lt;=$B$9,BF$74&lt;=MAX(0,$B$10+INDEX($R$31:$R$33,MATCH($B$6,$J$31:$J$33,0)))*SUM($F$77:BF$77),BF$74&lt;=MAX(0,$B$11+INDEX($R$31:$R$33,MATCH($B$6,$J$31:$J$33,0)))*'VALUATION &amp; RETURNS'!$DA$8*1000000*INDEX($O$31:$O$33,MATCH($B$6,$J$31:$J$33,0))))),MAX(0,MIN(BF$77,BF$79,BF$73-BF$74-BF$82,MAX(0,$B$10+INDEX($R$31:$R$33,MATCH($B$6,$J$31:$J$33,0)))*SUM($F$77:BF$77)-BF$74-BF$82,MAX(0,$B$11+INDEX($R$31:$R$33,MATCH($B$6,$J$31:$J$33,0)))*'VALUATION &amp; RETURNS'!$DA$8*1000000*INDEX($O$31:$O$33,MATCH($B$6,$J$31:$J$33,0))-BF$74-BF$82)),0)</f>
        <v>0</v>
      </c>
      <c r="BG80" s="309">
        <f>IF(AND(BG$64&lt;=$B$19,BG$64&lt;=$B$20,BG$64&lt;$B$35,OR($B$21="No",AND(BG$74&lt;=$B$9,BG$74&lt;=MAX(0,$B$10+INDEX($R$31:$R$33,MATCH($B$6,$J$31:$J$33,0)))*SUM($F$77:BG$77),BG$74&lt;=MAX(0,$B$11+INDEX($R$31:$R$33,MATCH($B$6,$J$31:$J$33,0)))*'VALUATION &amp; RETURNS'!$DA$8*1000000*INDEX($O$31:$O$33,MATCH($B$6,$J$31:$J$33,0))))),MAX(0,MIN(BG$77,BG$79,BG$73-BG$74-BG$82,MAX(0,$B$10+INDEX($R$31:$R$33,MATCH($B$6,$J$31:$J$33,0)))*SUM($F$77:BG$77)-BG$74-BG$82,MAX(0,$B$11+INDEX($R$31:$R$33,MATCH($B$6,$J$31:$J$33,0)))*'VALUATION &amp; RETURNS'!$DA$8*1000000*INDEX($O$31:$O$33,MATCH($B$6,$J$31:$J$33,0))-BG$74-BG$82)),0)</f>
        <v>0</v>
      </c>
      <c r="BH80" s="309">
        <f>IF(AND(BH$64&lt;=$B$19,BH$64&lt;=$B$20,BH$64&lt;$B$35,OR($B$21="No",AND(BH$74&lt;=$B$9,BH$74&lt;=MAX(0,$B$10+INDEX($R$31:$R$33,MATCH($B$6,$J$31:$J$33,0)))*SUM($F$77:BH$77),BH$74&lt;=MAX(0,$B$11+INDEX($R$31:$R$33,MATCH($B$6,$J$31:$J$33,0)))*'VALUATION &amp; RETURNS'!$DA$8*1000000*INDEX($O$31:$O$33,MATCH($B$6,$J$31:$J$33,0))))),MAX(0,MIN(BH$77,BH$79,BH$73-BH$74-BH$82,MAX(0,$B$10+INDEX($R$31:$R$33,MATCH($B$6,$J$31:$J$33,0)))*SUM($F$77:BH$77)-BH$74-BH$82,MAX(0,$B$11+INDEX($R$31:$R$33,MATCH($B$6,$J$31:$J$33,0)))*'VALUATION &amp; RETURNS'!$DA$8*1000000*INDEX($O$31:$O$33,MATCH($B$6,$J$31:$J$33,0))-BH$74-BH$82)),0)</f>
        <v>0</v>
      </c>
      <c r="BI80" s="309">
        <f>IF(AND(BI$64&lt;=$B$19,BI$64&lt;=$B$20,BI$64&lt;$B$35,OR($B$21="No",AND(BI$74&lt;=$B$9,BI$74&lt;=MAX(0,$B$10+INDEX($R$31:$R$33,MATCH($B$6,$J$31:$J$33,0)))*SUM($F$77:BI$77),BI$74&lt;=MAX(0,$B$11+INDEX($R$31:$R$33,MATCH($B$6,$J$31:$J$33,0)))*'VALUATION &amp; RETURNS'!$DA$8*1000000*INDEX($O$31:$O$33,MATCH($B$6,$J$31:$J$33,0))))),MAX(0,MIN(BI$77,BI$79,BI$73-BI$74-BI$82,MAX(0,$B$10+INDEX($R$31:$R$33,MATCH($B$6,$J$31:$J$33,0)))*SUM($F$77:BI$77)-BI$74-BI$82,MAX(0,$B$11+INDEX($R$31:$R$33,MATCH($B$6,$J$31:$J$33,0)))*'VALUATION &amp; RETURNS'!$DA$8*1000000*INDEX($O$31:$O$33,MATCH($B$6,$J$31:$J$33,0))-BI$74-BI$82)),0)</f>
        <v>0</v>
      </c>
      <c r="BJ80" s="309">
        <f>IF(AND(BJ$64&lt;=$B$19,BJ$64&lt;=$B$20,BJ$64&lt;$B$35,OR($B$21="No",AND(BJ$74&lt;=$B$9,BJ$74&lt;=MAX(0,$B$10+INDEX($R$31:$R$33,MATCH($B$6,$J$31:$J$33,0)))*SUM($F$77:BJ$77),BJ$74&lt;=MAX(0,$B$11+INDEX($R$31:$R$33,MATCH($B$6,$J$31:$J$33,0)))*'VALUATION &amp; RETURNS'!$DA$8*1000000*INDEX($O$31:$O$33,MATCH($B$6,$J$31:$J$33,0))))),MAX(0,MIN(BJ$77,BJ$79,BJ$73-BJ$74-BJ$82,MAX(0,$B$10+INDEX($R$31:$R$33,MATCH($B$6,$J$31:$J$33,0)))*SUM($F$77:BJ$77)-BJ$74-BJ$82,MAX(0,$B$11+INDEX($R$31:$R$33,MATCH($B$6,$J$31:$J$33,0)))*'VALUATION &amp; RETURNS'!$DA$8*1000000*INDEX($O$31:$O$33,MATCH($B$6,$J$31:$J$33,0))-BJ$74-BJ$82)),0)</f>
        <v>0</v>
      </c>
      <c r="BK80" s="309">
        <f>IF(AND(BK$64&lt;=$B$19,BK$64&lt;=$B$20,BK$64&lt;$B$35,OR($B$21="No",AND(BK$74&lt;=$B$9,BK$74&lt;=MAX(0,$B$10+INDEX($R$31:$R$33,MATCH($B$6,$J$31:$J$33,0)))*SUM($F$77:BK$77),BK$74&lt;=MAX(0,$B$11+INDEX($R$31:$R$33,MATCH($B$6,$J$31:$J$33,0)))*'VALUATION &amp; RETURNS'!$DA$8*1000000*INDEX($O$31:$O$33,MATCH($B$6,$J$31:$J$33,0))))),MAX(0,MIN(BK$77,BK$79,BK$73-BK$74-BK$82,MAX(0,$B$10+INDEX($R$31:$R$33,MATCH($B$6,$J$31:$J$33,0)))*SUM($F$77:BK$77)-BK$74-BK$82,MAX(0,$B$11+INDEX($R$31:$R$33,MATCH($B$6,$J$31:$J$33,0)))*'VALUATION &amp; RETURNS'!$DA$8*1000000*INDEX($O$31:$O$33,MATCH($B$6,$J$31:$J$33,0))-BK$74-BK$82)),0)</f>
        <v>0</v>
      </c>
      <c r="BL80" s="309">
        <f>IF(AND(BL$64&lt;=$B$19,BL$64&lt;=$B$20,BL$64&lt;$B$35,OR($B$21="No",AND(BL$74&lt;=$B$9,BL$74&lt;=MAX(0,$B$10+INDEX($R$31:$R$33,MATCH($B$6,$J$31:$J$33,0)))*SUM($F$77:BL$77),BL$74&lt;=MAX(0,$B$11+INDEX($R$31:$R$33,MATCH($B$6,$J$31:$J$33,0)))*'VALUATION &amp; RETURNS'!$DA$8*1000000*INDEX($O$31:$O$33,MATCH($B$6,$J$31:$J$33,0))))),MAX(0,MIN(BL$77,BL$79,BL$73-BL$74-BL$82,MAX(0,$B$10+INDEX($R$31:$R$33,MATCH($B$6,$J$31:$J$33,0)))*SUM($F$77:BL$77)-BL$74-BL$82,MAX(0,$B$11+INDEX($R$31:$R$33,MATCH($B$6,$J$31:$J$33,0)))*'VALUATION &amp; RETURNS'!$DA$8*1000000*INDEX($O$31:$O$33,MATCH($B$6,$J$31:$J$33,0))-BL$74-BL$82)),0)</f>
        <v>0</v>
      </c>
      <c r="BM80" s="309">
        <f>IF(AND(BM$64&lt;=$B$19,BM$64&lt;=$B$20,BM$64&lt;$B$35,OR($B$21="No",AND(BM$74&lt;=$B$9,BM$74&lt;=MAX(0,$B$10+INDEX($R$31:$R$33,MATCH($B$6,$J$31:$J$33,0)))*SUM($F$77:BM$77),BM$74&lt;=MAX(0,$B$11+INDEX($R$31:$R$33,MATCH($B$6,$J$31:$J$33,0)))*'VALUATION &amp; RETURNS'!$DA$8*1000000*INDEX($O$31:$O$33,MATCH($B$6,$J$31:$J$33,0))))),MAX(0,MIN(BM$77,BM$79,BM$73-BM$74-BM$82,MAX(0,$B$10+INDEX($R$31:$R$33,MATCH($B$6,$J$31:$J$33,0)))*SUM($F$77:BM$77)-BM$74-BM$82,MAX(0,$B$11+INDEX($R$31:$R$33,MATCH($B$6,$J$31:$J$33,0)))*'VALUATION &amp; RETURNS'!$DA$8*1000000*INDEX($O$31:$O$33,MATCH($B$6,$J$31:$J$33,0))-BM$74-BM$82)),0)</f>
        <v>0</v>
      </c>
      <c r="BN80" s="309">
        <f>IF(AND(BN$64&lt;=$B$19,BN$64&lt;=$B$20,BN$64&lt;$B$35,OR($B$21="No",AND(BN$74&lt;=$B$9,BN$74&lt;=MAX(0,$B$10+INDEX($R$31:$R$33,MATCH($B$6,$J$31:$J$33,0)))*SUM($F$77:BN$77),BN$74&lt;=MAX(0,$B$11+INDEX($R$31:$R$33,MATCH($B$6,$J$31:$J$33,0)))*'VALUATION &amp; RETURNS'!$DA$8*1000000*INDEX($O$31:$O$33,MATCH($B$6,$J$31:$J$33,0))))),MAX(0,MIN(BN$77,BN$79,BN$73-BN$74-BN$82,MAX(0,$B$10+INDEX($R$31:$R$33,MATCH($B$6,$J$31:$J$33,0)))*SUM($F$77:BN$77)-BN$74-BN$82,MAX(0,$B$11+INDEX($R$31:$R$33,MATCH($B$6,$J$31:$J$33,0)))*'VALUATION &amp; RETURNS'!$DA$8*1000000*INDEX($O$31:$O$33,MATCH($B$6,$J$31:$J$33,0))-BN$74-BN$82)),0)</f>
        <v>0</v>
      </c>
      <c r="BO80" s="309">
        <f>IF(AND(BO$64&lt;=$B$19,BO$64&lt;=$B$20,BO$64&lt;$B$35,OR($B$21="No",AND(BO$74&lt;=$B$9,BO$74&lt;=MAX(0,$B$10+INDEX($R$31:$R$33,MATCH($B$6,$J$31:$J$33,0)))*SUM($F$77:BO$77),BO$74&lt;=MAX(0,$B$11+INDEX($R$31:$R$33,MATCH($B$6,$J$31:$J$33,0)))*'VALUATION &amp; RETURNS'!$DA$8*1000000*INDEX($O$31:$O$33,MATCH($B$6,$J$31:$J$33,0))))),MAX(0,MIN(BO$77,BO$79,BO$73-BO$74-BO$82,MAX(0,$B$10+INDEX($R$31:$R$33,MATCH($B$6,$J$31:$J$33,0)))*SUM($F$77:BO$77)-BO$74-BO$82,MAX(0,$B$11+INDEX($R$31:$R$33,MATCH($B$6,$J$31:$J$33,0)))*'VALUATION &amp; RETURNS'!$DA$8*1000000*INDEX($O$31:$O$33,MATCH($B$6,$J$31:$J$33,0))-BO$74-BO$82)),0)</f>
        <v>0</v>
      </c>
      <c r="BP80" s="309">
        <f>IF(AND(BP$64&lt;=$B$19,BP$64&lt;=$B$20,BP$64&lt;$B$35,OR($B$21="No",AND(BP$74&lt;=$B$9,BP$74&lt;=MAX(0,$B$10+INDEX($R$31:$R$33,MATCH($B$6,$J$31:$J$33,0)))*SUM($F$77:BP$77),BP$74&lt;=MAX(0,$B$11+INDEX($R$31:$R$33,MATCH($B$6,$J$31:$J$33,0)))*'VALUATION &amp; RETURNS'!$DA$8*1000000*INDEX($O$31:$O$33,MATCH($B$6,$J$31:$J$33,0))))),MAX(0,MIN(BP$77,BP$79,BP$73-BP$74-BP$82,MAX(0,$B$10+INDEX($R$31:$R$33,MATCH($B$6,$J$31:$J$33,0)))*SUM($F$77:BP$77)-BP$74-BP$82,MAX(0,$B$11+INDEX($R$31:$R$33,MATCH($B$6,$J$31:$J$33,0)))*'VALUATION &amp; RETURNS'!$DA$8*1000000*INDEX($O$31:$O$33,MATCH($B$6,$J$31:$J$33,0))-BP$74-BP$82)),0)</f>
        <v>0</v>
      </c>
      <c r="BQ80" s="309">
        <f>IF(AND(BQ$64&lt;=$B$19,BQ$64&lt;=$B$20,BQ$64&lt;$B$35,OR($B$21="No",AND(BQ$74&lt;=$B$9,BQ$74&lt;=MAX(0,$B$10+INDEX($R$31:$R$33,MATCH($B$6,$J$31:$J$33,0)))*SUM($F$77:BQ$77),BQ$74&lt;=MAX(0,$B$11+INDEX($R$31:$R$33,MATCH($B$6,$J$31:$J$33,0)))*'VALUATION &amp; RETURNS'!$DA$8*1000000*INDEX($O$31:$O$33,MATCH($B$6,$J$31:$J$33,0))))),MAX(0,MIN(BQ$77,BQ$79,BQ$73-BQ$74-BQ$82,MAX(0,$B$10+INDEX($R$31:$R$33,MATCH($B$6,$J$31:$J$33,0)))*SUM($F$77:BQ$77)-BQ$74-BQ$82,MAX(0,$B$11+INDEX($R$31:$R$33,MATCH($B$6,$J$31:$J$33,0)))*'VALUATION &amp; RETURNS'!$DA$8*1000000*INDEX($O$31:$O$33,MATCH($B$6,$J$31:$J$33,0))-BQ$74-BQ$82)),0)</f>
        <v>0</v>
      </c>
      <c r="BR80" s="309">
        <f>IF(AND(BR$64&lt;=$B$19,BR$64&lt;=$B$20,BR$64&lt;$B$35,OR($B$21="No",AND(BR$74&lt;=$B$9,BR$74&lt;=MAX(0,$B$10+INDEX($R$31:$R$33,MATCH($B$6,$J$31:$J$33,0)))*SUM($F$77:BR$77),BR$74&lt;=MAX(0,$B$11+INDEX($R$31:$R$33,MATCH($B$6,$J$31:$J$33,0)))*'VALUATION &amp; RETURNS'!$DA$8*1000000*INDEX($O$31:$O$33,MATCH($B$6,$J$31:$J$33,0))))),MAX(0,MIN(BR$77,BR$79,BR$73-BR$74-BR$82,MAX(0,$B$10+INDEX($R$31:$R$33,MATCH($B$6,$J$31:$J$33,0)))*SUM($F$77:BR$77)-BR$74-BR$82,MAX(0,$B$11+INDEX($R$31:$R$33,MATCH($B$6,$J$31:$J$33,0)))*'VALUATION &amp; RETURNS'!$DA$8*1000000*INDEX($O$31:$O$33,MATCH($B$6,$J$31:$J$33,0))-BR$74-BR$82)),0)</f>
        <v>0</v>
      </c>
      <c r="BS80" s="309">
        <f>IF(AND(BS$64&lt;=$B$19,BS$64&lt;=$B$20,BS$64&lt;$B$35,OR($B$21="No",AND(BS$74&lt;=$B$9,BS$74&lt;=MAX(0,$B$10+INDEX($R$31:$R$33,MATCH($B$6,$J$31:$J$33,0)))*SUM($F$77:BS$77),BS$74&lt;=MAX(0,$B$11+INDEX($R$31:$R$33,MATCH($B$6,$J$31:$J$33,0)))*'VALUATION &amp; RETURNS'!$DA$8*1000000*INDEX($O$31:$O$33,MATCH($B$6,$J$31:$J$33,0))))),MAX(0,MIN(BS$77,BS$79,BS$73-BS$74-BS$82,MAX(0,$B$10+INDEX($R$31:$R$33,MATCH($B$6,$J$31:$J$33,0)))*SUM($F$77:BS$77)-BS$74-BS$82,MAX(0,$B$11+INDEX($R$31:$R$33,MATCH($B$6,$J$31:$J$33,0)))*'VALUATION &amp; RETURNS'!$DA$8*1000000*INDEX($O$31:$O$33,MATCH($B$6,$J$31:$J$33,0))-BS$74-BS$82)),0)</f>
        <v>0</v>
      </c>
      <c r="BT80" s="309">
        <f>IF(AND(BT$64&lt;=$B$19,BT$64&lt;=$B$20,BT$64&lt;$B$35,OR($B$21="No",AND(BT$74&lt;=$B$9,BT$74&lt;=MAX(0,$B$10+INDEX($R$31:$R$33,MATCH($B$6,$J$31:$J$33,0)))*SUM($F$77:BT$77),BT$74&lt;=MAX(0,$B$11+INDEX($R$31:$R$33,MATCH($B$6,$J$31:$J$33,0)))*'VALUATION &amp; RETURNS'!$DA$8*1000000*INDEX($O$31:$O$33,MATCH($B$6,$J$31:$J$33,0))))),MAX(0,MIN(BT$77,BT$79,BT$73-BT$74-BT$82,MAX(0,$B$10+INDEX($R$31:$R$33,MATCH($B$6,$J$31:$J$33,0)))*SUM($F$77:BT$77)-BT$74-BT$82,MAX(0,$B$11+INDEX($R$31:$R$33,MATCH($B$6,$J$31:$J$33,0)))*'VALUATION &amp; RETURNS'!$DA$8*1000000*INDEX($O$31:$O$33,MATCH($B$6,$J$31:$J$33,0))-BT$74-BT$82)),0)</f>
        <v>0</v>
      </c>
      <c r="BU80" s="309">
        <f>IF(AND(BU$64&lt;=$B$19,BU$64&lt;=$B$20,BU$64&lt;$B$35,OR($B$21="No",AND(BU$74&lt;=$B$9,BU$74&lt;=MAX(0,$B$10+INDEX($R$31:$R$33,MATCH($B$6,$J$31:$J$33,0)))*SUM($F$77:BU$77),BU$74&lt;=MAX(0,$B$11+INDEX($R$31:$R$33,MATCH($B$6,$J$31:$J$33,0)))*'VALUATION &amp; RETURNS'!$DA$8*1000000*INDEX($O$31:$O$33,MATCH($B$6,$J$31:$J$33,0))))),MAX(0,MIN(BU$77,BU$79,BU$73-BU$74-BU$82,MAX(0,$B$10+INDEX($R$31:$R$33,MATCH($B$6,$J$31:$J$33,0)))*SUM($F$77:BU$77)-BU$74-BU$82,MAX(0,$B$11+INDEX($R$31:$R$33,MATCH($B$6,$J$31:$J$33,0)))*'VALUATION &amp; RETURNS'!$DA$8*1000000*INDEX($O$31:$O$33,MATCH($B$6,$J$31:$J$33,0))-BU$74-BU$82)),0)</f>
        <v>0</v>
      </c>
      <c r="BV80" s="309">
        <f>IF(AND(BV$64&lt;=$B$19,BV$64&lt;=$B$20,BV$64&lt;$B$35,OR($B$21="No",AND(BV$74&lt;=$B$9,BV$74&lt;=MAX(0,$B$10+INDEX($R$31:$R$33,MATCH($B$6,$J$31:$J$33,0)))*SUM($F$77:BV$77),BV$74&lt;=MAX(0,$B$11+INDEX($R$31:$R$33,MATCH($B$6,$J$31:$J$33,0)))*'VALUATION &amp; RETURNS'!$DA$8*1000000*INDEX($O$31:$O$33,MATCH($B$6,$J$31:$J$33,0))))),MAX(0,MIN(BV$77,BV$79,BV$73-BV$74-BV$82,MAX(0,$B$10+INDEX($R$31:$R$33,MATCH($B$6,$J$31:$J$33,0)))*SUM($F$77:BV$77)-BV$74-BV$82,MAX(0,$B$11+INDEX($R$31:$R$33,MATCH($B$6,$J$31:$J$33,0)))*'VALUATION &amp; RETURNS'!$DA$8*1000000*INDEX($O$31:$O$33,MATCH($B$6,$J$31:$J$33,0))-BV$74-BV$82)),0)</f>
        <v>0</v>
      </c>
      <c r="BW80" s="309">
        <f>IF(AND(BW$64&lt;=$B$19,BW$64&lt;=$B$20,BW$64&lt;$B$35,OR($B$21="No",AND(BW$74&lt;=$B$9,BW$74&lt;=MAX(0,$B$10+INDEX($R$31:$R$33,MATCH($B$6,$J$31:$J$33,0)))*SUM($F$77:BW$77),BW$74&lt;=MAX(0,$B$11+INDEX($R$31:$R$33,MATCH($B$6,$J$31:$J$33,0)))*'VALUATION &amp; RETURNS'!$DA$8*1000000*INDEX($O$31:$O$33,MATCH($B$6,$J$31:$J$33,0))))),MAX(0,MIN(BW$77,BW$79,BW$73-BW$74-BW$82,MAX(0,$B$10+INDEX($R$31:$R$33,MATCH($B$6,$J$31:$J$33,0)))*SUM($F$77:BW$77)-BW$74-BW$82,MAX(0,$B$11+INDEX($R$31:$R$33,MATCH($B$6,$J$31:$J$33,0)))*'VALUATION &amp; RETURNS'!$DA$8*1000000*INDEX($O$31:$O$33,MATCH($B$6,$J$31:$J$33,0))-BW$74-BW$82)),0)</f>
        <v>0</v>
      </c>
      <c r="BX80" s="309">
        <f>IF(AND(BX$64&lt;=$B$19,BX$64&lt;=$B$20,BX$64&lt;$B$35,OR($B$21="No",AND(BX$74&lt;=$B$9,BX$74&lt;=MAX(0,$B$10+INDEX($R$31:$R$33,MATCH($B$6,$J$31:$J$33,0)))*SUM($F$77:BX$77),BX$74&lt;=MAX(0,$B$11+INDEX($R$31:$R$33,MATCH($B$6,$J$31:$J$33,0)))*'VALUATION &amp; RETURNS'!$DA$8*1000000*INDEX($O$31:$O$33,MATCH($B$6,$J$31:$J$33,0))))),MAX(0,MIN(BX$77,BX$79,BX$73-BX$74-BX$82,MAX(0,$B$10+INDEX($R$31:$R$33,MATCH($B$6,$J$31:$J$33,0)))*SUM($F$77:BX$77)-BX$74-BX$82,MAX(0,$B$11+INDEX($R$31:$R$33,MATCH($B$6,$J$31:$J$33,0)))*'VALUATION &amp; RETURNS'!$DA$8*1000000*INDEX($O$31:$O$33,MATCH($B$6,$J$31:$J$33,0))-BX$74-BX$82)),0)</f>
        <v>0</v>
      </c>
      <c r="BY80" s="309">
        <f>IF(AND(BY$64&lt;=$B$19,BY$64&lt;=$B$20,BY$64&lt;$B$35,OR($B$21="No",AND(BY$74&lt;=$B$9,BY$74&lt;=MAX(0,$B$10+INDEX($R$31:$R$33,MATCH($B$6,$J$31:$J$33,0)))*SUM($F$77:BY$77),BY$74&lt;=MAX(0,$B$11+INDEX($R$31:$R$33,MATCH($B$6,$J$31:$J$33,0)))*'VALUATION &amp; RETURNS'!$DA$8*1000000*INDEX($O$31:$O$33,MATCH($B$6,$J$31:$J$33,0))))),MAX(0,MIN(BY$77,BY$79,BY$73-BY$74-BY$82,MAX(0,$B$10+INDEX($R$31:$R$33,MATCH($B$6,$J$31:$J$33,0)))*SUM($F$77:BY$77)-BY$74-BY$82,MAX(0,$B$11+INDEX($R$31:$R$33,MATCH($B$6,$J$31:$J$33,0)))*'VALUATION &amp; RETURNS'!$DA$8*1000000*INDEX($O$31:$O$33,MATCH($B$6,$J$31:$J$33,0))-BY$74-BY$82)),0)</f>
        <v>0</v>
      </c>
      <c r="BZ80" s="309">
        <f>IF(AND(BZ$64&lt;=$B$19,BZ$64&lt;=$B$20,BZ$64&lt;$B$35,OR($B$21="No",AND(BZ$74&lt;=$B$9,BZ$74&lt;=MAX(0,$B$10+INDEX($R$31:$R$33,MATCH($B$6,$J$31:$J$33,0)))*SUM($F$77:BZ$77),BZ$74&lt;=MAX(0,$B$11+INDEX($R$31:$R$33,MATCH($B$6,$J$31:$J$33,0)))*'VALUATION &amp; RETURNS'!$DA$8*1000000*INDEX($O$31:$O$33,MATCH($B$6,$J$31:$J$33,0))))),MAX(0,MIN(BZ$77,BZ$79,BZ$73-BZ$74-BZ$82,MAX(0,$B$10+INDEX($R$31:$R$33,MATCH($B$6,$J$31:$J$33,0)))*SUM($F$77:BZ$77)-BZ$74-BZ$82,MAX(0,$B$11+INDEX($R$31:$R$33,MATCH($B$6,$J$31:$J$33,0)))*'VALUATION &amp; RETURNS'!$DA$8*1000000*INDEX($O$31:$O$33,MATCH($B$6,$J$31:$J$33,0))-BZ$74-BZ$82)),0)</f>
        <v>0</v>
      </c>
      <c r="CA80" s="309">
        <f>IF(AND(CA$64&lt;=$B$19,CA$64&lt;=$B$20,CA$64&lt;$B$35,OR($B$21="No",AND(CA$74&lt;=$B$9,CA$74&lt;=MAX(0,$B$10+INDEX($R$31:$R$33,MATCH($B$6,$J$31:$J$33,0)))*SUM($F$77:CA$77),CA$74&lt;=MAX(0,$B$11+INDEX($R$31:$R$33,MATCH($B$6,$J$31:$J$33,0)))*'VALUATION &amp; RETURNS'!$DA$8*1000000*INDEX($O$31:$O$33,MATCH($B$6,$J$31:$J$33,0))))),MAX(0,MIN(CA$77,CA$79,CA$73-CA$74-CA$82,MAX(0,$B$10+INDEX($R$31:$R$33,MATCH($B$6,$J$31:$J$33,0)))*SUM($F$77:CA$77)-CA$74-CA$82,MAX(0,$B$11+INDEX($R$31:$R$33,MATCH($B$6,$J$31:$J$33,0)))*'VALUATION &amp; RETURNS'!$DA$8*1000000*INDEX($O$31:$O$33,MATCH($B$6,$J$31:$J$33,0))-CA$74-CA$82)),0)</f>
        <v>0</v>
      </c>
      <c r="CB80" s="309">
        <f>IF(AND(CB$64&lt;=$B$19,CB$64&lt;=$B$20,CB$64&lt;$B$35,OR($B$21="No",AND(CB$74&lt;=$B$9,CB$74&lt;=MAX(0,$B$10+INDEX($R$31:$R$33,MATCH($B$6,$J$31:$J$33,0)))*SUM($F$77:CB$77),CB$74&lt;=MAX(0,$B$11+INDEX($R$31:$R$33,MATCH($B$6,$J$31:$J$33,0)))*'VALUATION &amp; RETURNS'!$DA$8*1000000*INDEX($O$31:$O$33,MATCH($B$6,$J$31:$J$33,0))))),MAX(0,MIN(CB$77,CB$79,CB$73-CB$74-CB$82,MAX(0,$B$10+INDEX($R$31:$R$33,MATCH($B$6,$J$31:$J$33,0)))*SUM($F$77:CB$77)-CB$74-CB$82,MAX(0,$B$11+INDEX($R$31:$R$33,MATCH($B$6,$J$31:$J$33,0)))*'VALUATION &amp; RETURNS'!$DA$8*1000000*INDEX($O$31:$O$33,MATCH($B$6,$J$31:$J$33,0))-CB$74-CB$82)),0)</f>
        <v>0</v>
      </c>
      <c r="CC80" s="309">
        <f>IF(AND(CC$64&lt;=$B$19,CC$64&lt;=$B$20,CC$64&lt;$B$35,OR($B$21="No",AND(CC$74&lt;=$B$9,CC$74&lt;=MAX(0,$B$10+INDEX($R$31:$R$33,MATCH($B$6,$J$31:$J$33,0)))*SUM($F$77:CC$77),CC$74&lt;=MAX(0,$B$11+INDEX($R$31:$R$33,MATCH($B$6,$J$31:$J$33,0)))*'VALUATION &amp; RETURNS'!$DA$8*1000000*INDEX($O$31:$O$33,MATCH($B$6,$J$31:$J$33,0))))),MAX(0,MIN(CC$77,CC$79,CC$73-CC$74-CC$82,MAX(0,$B$10+INDEX($R$31:$R$33,MATCH($B$6,$J$31:$J$33,0)))*SUM($F$77:CC$77)-CC$74-CC$82,MAX(0,$B$11+INDEX($R$31:$R$33,MATCH($B$6,$J$31:$J$33,0)))*'VALUATION &amp; RETURNS'!$DA$8*1000000*INDEX($O$31:$O$33,MATCH($B$6,$J$31:$J$33,0))-CC$74-CC$82)),0)</f>
        <v>0</v>
      </c>
      <c r="CD80" s="309">
        <f>IF(AND(CD$64&lt;=$B$19,CD$64&lt;=$B$20,CD$64&lt;$B$35,OR($B$21="No",AND(CD$74&lt;=$B$9,CD$74&lt;=MAX(0,$B$10+INDEX($R$31:$R$33,MATCH($B$6,$J$31:$J$33,0)))*SUM($F$77:CD$77),CD$74&lt;=MAX(0,$B$11+INDEX($R$31:$R$33,MATCH($B$6,$J$31:$J$33,0)))*'VALUATION &amp; RETURNS'!$DA$8*1000000*INDEX($O$31:$O$33,MATCH($B$6,$J$31:$J$33,0))))),MAX(0,MIN(CD$77,CD$79,CD$73-CD$74-CD$82,MAX(0,$B$10+INDEX($R$31:$R$33,MATCH($B$6,$J$31:$J$33,0)))*SUM($F$77:CD$77)-CD$74-CD$82,MAX(0,$B$11+INDEX($R$31:$R$33,MATCH($B$6,$J$31:$J$33,0)))*'VALUATION &amp; RETURNS'!$DA$8*1000000*INDEX($O$31:$O$33,MATCH($B$6,$J$31:$J$33,0))-CD$74-CD$82)),0)</f>
        <v>0</v>
      </c>
      <c r="CE80" s="309">
        <f>IF(AND(CE$64&lt;=$B$19,CE$64&lt;=$B$20,CE$64&lt;$B$35,OR($B$21="No",AND(CE$74&lt;=$B$9,CE$74&lt;=MAX(0,$B$10+INDEX($R$31:$R$33,MATCH($B$6,$J$31:$J$33,0)))*SUM($F$77:CE$77),CE$74&lt;=MAX(0,$B$11+INDEX($R$31:$R$33,MATCH($B$6,$J$31:$J$33,0)))*'VALUATION &amp; RETURNS'!$DA$8*1000000*INDEX($O$31:$O$33,MATCH($B$6,$J$31:$J$33,0))))),MAX(0,MIN(CE$77,CE$79,CE$73-CE$74-CE$82,MAX(0,$B$10+INDEX($R$31:$R$33,MATCH($B$6,$J$31:$J$33,0)))*SUM($F$77:CE$77)-CE$74-CE$82,MAX(0,$B$11+INDEX($R$31:$R$33,MATCH($B$6,$J$31:$J$33,0)))*'VALUATION &amp; RETURNS'!$DA$8*1000000*INDEX($O$31:$O$33,MATCH($B$6,$J$31:$J$33,0))-CE$74-CE$82)),0)</f>
        <v>0</v>
      </c>
      <c r="CF80" s="309">
        <f>IF(AND(CF$64&lt;=$B$19,CF$64&lt;=$B$20,CF$64&lt;$B$35,OR($B$21="No",AND(CF$74&lt;=$B$9,CF$74&lt;=MAX(0,$B$10+INDEX($R$31:$R$33,MATCH($B$6,$J$31:$J$33,0)))*SUM($F$77:CF$77),CF$74&lt;=MAX(0,$B$11+INDEX($R$31:$R$33,MATCH($B$6,$J$31:$J$33,0)))*'VALUATION &amp; RETURNS'!$DA$8*1000000*INDEX($O$31:$O$33,MATCH($B$6,$J$31:$J$33,0))))),MAX(0,MIN(CF$77,CF$79,CF$73-CF$74-CF$82,MAX(0,$B$10+INDEX($R$31:$R$33,MATCH($B$6,$J$31:$J$33,0)))*SUM($F$77:CF$77)-CF$74-CF$82,MAX(0,$B$11+INDEX($R$31:$R$33,MATCH($B$6,$J$31:$J$33,0)))*'VALUATION &amp; RETURNS'!$DA$8*1000000*INDEX($O$31:$O$33,MATCH($B$6,$J$31:$J$33,0))-CF$74-CF$82)),0)</f>
        <v>0</v>
      </c>
      <c r="CG80" s="309">
        <f>IF(AND(CG$64&lt;=$B$19,CG$64&lt;=$B$20,CG$64&lt;$B$35,OR($B$21="No",AND(CG$74&lt;=$B$9,CG$74&lt;=MAX(0,$B$10+INDEX($R$31:$R$33,MATCH($B$6,$J$31:$J$33,0)))*SUM($F$77:CG$77),CG$74&lt;=MAX(0,$B$11+INDEX($R$31:$R$33,MATCH($B$6,$J$31:$J$33,0)))*'VALUATION &amp; RETURNS'!$DA$8*1000000*INDEX($O$31:$O$33,MATCH($B$6,$J$31:$J$33,0))))),MAX(0,MIN(CG$77,CG$79,CG$73-CG$74-CG$82,MAX(0,$B$10+INDEX($R$31:$R$33,MATCH($B$6,$J$31:$J$33,0)))*SUM($F$77:CG$77)-CG$74-CG$82,MAX(0,$B$11+INDEX($R$31:$R$33,MATCH($B$6,$J$31:$J$33,0)))*'VALUATION &amp; RETURNS'!$DA$8*1000000*INDEX($O$31:$O$33,MATCH($B$6,$J$31:$J$33,0))-CG$74-CG$82)),0)</f>
        <v>0</v>
      </c>
      <c r="CH80" s="309">
        <f>IF(AND(CH$64&lt;=$B$19,CH$64&lt;=$B$20,CH$64&lt;$B$35,OR($B$21="No",AND(CH$74&lt;=$B$9,CH$74&lt;=MAX(0,$B$10+INDEX($R$31:$R$33,MATCH($B$6,$J$31:$J$33,0)))*SUM($F$77:CH$77),CH$74&lt;=MAX(0,$B$11+INDEX($R$31:$R$33,MATCH($B$6,$J$31:$J$33,0)))*'VALUATION &amp; RETURNS'!$DA$8*1000000*INDEX($O$31:$O$33,MATCH($B$6,$J$31:$J$33,0))))),MAX(0,MIN(CH$77,CH$79,CH$73-CH$74-CH$82,MAX(0,$B$10+INDEX($R$31:$R$33,MATCH($B$6,$J$31:$J$33,0)))*SUM($F$77:CH$77)-CH$74-CH$82,MAX(0,$B$11+INDEX($R$31:$R$33,MATCH($B$6,$J$31:$J$33,0)))*'VALUATION &amp; RETURNS'!$DA$8*1000000*INDEX($O$31:$O$33,MATCH($B$6,$J$31:$J$33,0))-CH$74-CH$82)),0)</f>
        <v>0</v>
      </c>
      <c r="CI80" s="309">
        <f>IF(AND(CI$64&lt;=$B$19,CI$64&lt;=$B$20,CI$64&lt;$B$35,OR($B$21="No",AND(CI$74&lt;=$B$9,CI$74&lt;=MAX(0,$B$10+INDEX($R$31:$R$33,MATCH($B$6,$J$31:$J$33,0)))*SUM($F$77:CI$77),CI$74&lt;=MAX(0,$B$11+INDEX($R$31:$R$33,MATCH($B$6,$J$31:$J$33,0)))*'VALUATION &amp; RETURNS'!$DA$8*1000000*INDEX($O$31:$O$33,MATCH($B$6,$J$31:$J$33,0))))),MAX(0,MIN(CI$77,CI$79,CI$73-CI$74-CI$82,MAX(0,$B$10+INDEX($R$31:$R$33,MATCH($B$6,$J$31:$J$33,0)))*SUM($F$77:CI$77)-CI$74-CI$82,MAX(0,$B$11+INDEX($R$31:$R$33,MATCH($B$6,$J$31:$J$33,0)))*'VALUATION &amp; RETURNS'!$DA$8*1000000*INDEX($O$31:$O$33,MATCH($B$6,$J$31:$J$33,0))-CI$74-CI$82)),0)</f>
        <v>0</v>
      </c>
      <c r="CJ80" s="309">
        <f>IF(AND(CJ$64&lt;=$B$19,CJ$64&lt;=$B$20,CJ$64&lt;$B$35,OR($B$21="No",AND(CJ$74&lt;=$B$9,CJ$74&lt;=MAX(0,$B$10+INDEX($R$31:$R$33,MATCH($B$6,$J$31:$J$33,0)))*SUM($F$77:CJ$77),CJ$74&lt;=MAX(0,$B$11+INDEX($R$31:$R$33,MATCH($B$6,$J$31:$J$33,0)))*'VALUATION &amp; RETURNS'!$DA$8*1000000*INDEX($O$31:$O$33,MATCH($B$6,$J$31:$J$33,0))))),MAX(0,MIN(CJ$77,CJ$79,CJ$73-CJ$74-CJ$82,MAX(0,$B$10+INDEX($R$31:$R$33,MATCH($B$6,$J$31:$J$33,0)))*SUM($F$77:CJ$77)-CJ$74-CJ$82,MAX(0,$B$11+INDEX($R$31:$R$33,MATCH($B$6,$J$31:$J$33,0)))*'VALUATION &amp; RETURNS'!$DA$8*1000000*INDEX($O$31:$O$33,MATCH($B$6,$J$31:$J$33,0))-CJ$74-CJ$82)),0)</f>
        <v>0</v>
      </c>
      <c r="CK80" s="309">
        <f>IF(AND(CK$64&lt;=$B$19,CK$64&lt;=$B$20,CK$64&lt;$B$35,OR($B$21="No",AND(CK$74&lt;=$B$9,CK$74&lt;=MAX(0,$B$10+INDEX($R$31:$R$33,MATCH($B$6,$J$31:$J$33,0)))*SUM($F$77:CK$77),CK$74&lt;=MAX(0,$B$11+INDEX($R$31:$R$33,MATCH($B$6,$J$31:$J$33,0)))*'VALUATION &amp; RETURNS'!$DA$8*1000000*INDEX($O$31:$O$33,MATCH($B$6,$J$31:$J$33,0))))),MAX(0,MIN(CK$77,CK$79,CK$73-CK$74-CK$82,MAX(0,$B$10+INDEX($R$31:$R$33,MATCH($B$6,$J$31:$J$33,0)))*SUM($F$77:CK$77)-CK$74-CK$82,MAX(0,$B$11+INDEX($R$31:$R$33,MATCH($B$6,$J$31:$J$33,0)))*'VALUATION &amp; RETURNS'!$DA$8*1000000*INDEX($O$31:$O$33,MATCH($B$6,$J$31:$J$33,0))-CK$74-CK$82)),0)</f>
        <v>0</v>
      </c>
      <c r="CL80" s="309">
        <f>IF(AND(CL$64&lt;=$B$19,CL$64&lt;=$B$20,CL$64&lt;$B$35,OR($B$21="No",AND(CL$74&lt;=$B$9,CL$74&lt;=MAX(0,$B$10+INDEX($R$31:$R$33,MATCH($B$6,$J$31:$J$33,0)))*SUM($F$77:CL$77),CL$74&lt;=MAX(0,$B$11+INDEX($R$31:$R$33,MATCH($B$6,$J$31:$J$33,0)))*'VALUATION &amp; RETURNS'!$DA$8*1000000*INDEX($O$31:$O$33,MATCH($B$6,$J$31:$J$33,0))))),MAX(0,MIN(CL$77,CL$79,CL$73-CL$74-CL$82,MAX(0,$B$10+INDEX($R$31:$R$33,MATCH($B$6,$J$31:$J$33,0)))*SUM($F$77:CL$77)-CL$74-CL$82,MAX(0,$B$11+INDEX($R$31:$R$33,MATCH($B$6,$J$31:$J$33,0)))*'VALUATION &amp; RETURNS'!$DA$8*1000000*INDEX($O$31:$O$33,MATCH($B$6,$J$31:$J$33,0))-CL$74-CL$82)),0)</f>
        <v>0</v>
      </c>
      <c r="CM80" s="309">
        <f>IF(AND(CM$64&lt;=$B$19,CM$64&lt;=$B$20,CM$64&lt;$B$35,OR($B$21="No",AND(CM$74&lt;=$B$9,CM$74&lt;=MAX(0,$B$10+INDEX($R$31:$R$33,MATCH($B$6,$J$31:$J$33,0)))*SUM($F$77:CM$77),CM$74&lt;=MAX(0,$B$11+INDEX($R$31:$R$33,MATCH($B$6,$J$31:$J$33,0)))*'VALUATION &amp; RETURNS'!$DA$8*1000000*INDEX($O$31:$O$33,MATCH($B$6,$J$31:$J$33,0))))),MAX(0,MIN(CM$77,CM$79,CM$73-CM$74-CM$82,MAX(0,$B$10+INDEX($R$31:$R$33,MATCH($B$6,$J$31:$J$33,0)))*SUM($F$77:CM$77)-CM$74-CM$82,MAX(0,$B$11+INDEX($R$31:$R$33,MATCH($B$6,$J$31:$J$33,0)))*'VALUATION &amp; RETURNS'!$DA$8*1000000*INDEX($O$31:$O$33,MATCH($B$6,$J$31:$J$33,0))-CM$74-CM$82)),0)</f>
        <v>0</v>
      </c>
      <c r="CN80" s="309">
        <f>IF(AND(CN$64&lt;=$B$19,CN$64&lt;=$B$20,CN$64&lt;$B$35,OR($B$21="No",AND(CN$74&lt;=$B$9,CN$74&lt;=MAX(0,$B$10+INDEX($R$31:$R$33,MATCH($B$6,$J$31:$J$33,0)))*SUM($F$77:CN$77),CN$74&lt;=MAX(0,$B$11+INDEX($R$31:$R$33,MATCH($B$6,$J$31:$J$33,0)))*'VALUATION &amp; RETURNS'!$DA$8*1000000*INDEX($O$31:$O$33,MATCH($B$6,$J$31:$J$33,0))))),MAX(0,MIN(CN$77,CN$79,CN$73-CN$74-CN$82,MAX(0,$B$10+INDEX($R$31:$R$33,MATCH($B$6,$J$31:$J$33,0)))*SUM($F$77:CN$77)-CN$74-CN$82,MAX(0,$B$11+INDEX($R$31:$R$33,MATCH($B$6,$J$31:$J$33,0)))*'VALUATION &amp; RETURNS'!$DA$8*1000000*INDEX($O$31:$O$33,MATCH($B$6,$J$31:$J$33,0))-CN$74-CN$82)),0)</f>
        <v>0</v>
      </c>
      <c r="CO80" s="309">
        <f>IF(AND(CO$64&lt;=$B$19,CO$64&lt;=$B$20,CO$64&lt;$B$35,OR($B$21="No",AND(CO$74&lt;=$B$9,CO$74&lt;=MAX(0,$B$10+INDEX($R$31:$R$33,MATCH($B$6,$J$31:$J$33,0)))*SUM($F$77:CO$77),CO$74&lt;=MAX(0,$B$11+INDEX($R$31:$R$33,MATCH($B$6,$J$31:$J$33,0)))*'VALUATION &amp; RETURNS'!$DA$8*1000000*INDEX($O$31:$O$33,MATCH($B$6,$J$31:$J$33,0))))),MAX(0,MIN(CO$77,CO$79,CO$73-CO$74-CO$82,MAX(0,$B$10+INDEX($R$31:$R$33,MATCH($B$6,$J$31:$J$33,0)))*SUM($F$77:CO$77)-CO$74-CO$82,MAX(0,$B$11+INDEX($R$31:$R$33,MATCH($B$6,$J$31:$J$33,0)))*'VALUATION &amp; RETURNS'!$DA$8*1000000*INDEX($O$31:$O$33,MATCH($B$6,$J$31:$J$33,0))-CO$74-CO$82)),0)</f>
        <v>0</v>
      </c>
      <c r="CP80" s="309">
        <f>IF(AND(CP$64&lt;=$B$19,CP$64&lt;=$B$20,CP$64&lt;$B$35,OR($B$21="No",AND(CP$74&lt;=$B$9,CP$74&lt;=MAX(0,$B$10+INDEX($R$31:$R$33,MATCH($B$6,$J$31:$J$33,0)))*SUM($F$77:CP$77),CP$74&lt;=MAX(0,$B$11+INDEX($R$31:$R$33,MATCH($B$6,$J$31:$J$33,0)))*'VALUATION &amp; RETURNS'!$DA$8*1000000*INDEX($O$31:$O$33,MATCH($B$6,$J$31:$J$33,0))))),MAX(0,MIN(CP$77,CP$79,CP$73-CP$74-CP$82,MAX(0,$B$10+INDEX($R$31:$R$33,MATCH($B$6,$J$31:$J$33,0)))*SUM($F$77:CP$77)-CP$74-CP$82,MAX(0,$B$11+INDEX($R$31:$R$33,MATCH($B$6,$J$31:$J$33,0)))*'VALUATION &amp; RETURNS'!$DA$8*1000000*INDEX($O$31:$O$33,MATCH($B$6,$J$31:$J$33,0))-CP$74-CP$82)),0)</f>
        <v>0</v>
      </c>
      <c r="CQ80" s="309">
        <f>IF(AND(CQ$64&lt;=$B$19,CQ$64&lt;=$B$20,CQ$64&lt;$B$35,OR($B$21="No",AND(CQ$74&lt;=$B$9,CQ$74&lt;=MAX(0,$B$10+INDEX($R$31:$R$33,MATCH($B$6,$J$31:$J$33,0)))*SUM($F$77:CQ$77),CQ$74&lt;=MAX(0,$B$11+INDEX($R$31:$R$33,MATCH($B$6,$J$31:$J$33,0)))*'VALUATION &amp; RETURNS'!$DA$8*1000000*INDEX($O$31:$O$33,MATCH($B$6,$J$31:$J$33,0))))),MAX(0,MIN(CQ$77,CQ$79,CQ$73-CQ$74-CQ$82,MAX(0,$B$10+INDEX($R$31:$R$33,MATCH($B$6,$J$31:$J$33,0)))*SUM($F$77:CQ$77)-CQ$74-CQ$82,MAX(0,$B$11+INDEX($R$31:$R$33,MATCH($B$6,$J$31:$J$33,0)))*'VALUATION &amp; RETURNS'!$DA$8*1000000*INDEX($O$31:$O$33,MATCH($B$6,$J$31:$J$33,0))-CQ$74-CQ$82)),0)</f>
        <v>0</v>
      </c>
      <c r="CR80" s="309">
        <f>IF(AND(CR$64&lt;=$B$19,CR$64&lt;=$B$20,CR$64&lt;$B$35,OR($B$21="No",AND(CR$74&lt;=$B$9,CR$74&lt;=MAX(0,$B$10+INDEX($R$31:$R$33,MATCH($B$6,$J$31:$J$33,0)))*SUM($F$77:CR$77),CR$74&lt;=MAX(0,$B$11+INDEX($R$31:$R$33,MATCH($B$6,$J$31:$J$33,0)))*'VALUATION &amp; RETURNS'!$DA$8*1000000*INDEX($O$31:$O$33,MATCH($B$6,$J$31:$J$33,0))))),MAX(0,MIN(CR$77,CR$79,CR$73-CR$74-CR$82,MAX(0,$B$10+INDEX($R$31:$R$33,MATCH($B$6,$J$31:$J$33,0)))*SUM($F$77:CR$77)-CR$74-CR$82,MAX(0,$B$11+INDEX($R$31:$R$33,MATCH($B$6,$J$31:$J$33,0)))*'VALUATION &amp; RETURNS'!$DA$8*1000000*INDEX($O$31:$O$33,MATCH($B$6,$J$31:$J$33,0))-CR$74-CR$82)),0)</f>
        <v>0</v>
      </c>
      <c r="CS80" s="309">
        <f>IF(AND(CS$64&lt;=$B$19,CS$64&lt;=$B$20,CS$64&lt;$B$35,OR($B$21="No",AND(CS$74&lt;=$B$9,CS$74&lt;=MAX(0,$B$10+INDEX($R$31:$R$33,MATCH($B$6,$J$31:$J$33,0)))*SUM($F$77:CS$77),CS$74&lt;=MAX(0,$B$11+INDEX($R$31:$R$33,MATCH($B$6,$J$31:$J$33,0)))*'VALUATION &amp; RETURNS'!$DA$8*1000000*INDEX($O$31:$O$33,MATCH($B$6,$J$31:$J$33,0))))),MAX(0,MIN(CS$77,CS$79,CS$73-CS$74-CS$82,MAX(0,$B$10+INDEX($R$31:$R$33,MATCH($B$6,$J$31:$J$33,0)))*SUM($F$77:CS$77)-CS$74-CS$82,MAX(0,$B$11+INDEX($R$31:$R$33,MATCH($B$6,$J$31:$J$33,0)))*'VALUATION &amp; RETURNS'!$DA$8*1000000*INDEX($O$31:$O$33,MATCH($B$6,$J$31:$J$33,0))-CS$74-CS$82)),0)</f>
        <v>0</v>
      </c>
      <c r="CT80" s="309">
        <f>IF(AND(CT$64&lt;=$B$19,CT$64&lt;=$B$20,CT$64&lt;$B$35,OR($B$21="No",AND(CT$74&lt;=$B$9,CT$74&lt;=MAX(0,$B$10+INDEX($R$31:$R$33,MATCH($B$6,$J$31:$J$33,0)))*SUM($F$77:CT$77),CT$74&lt;=MAX(0,$B$11+INDEX($R$31:$R$33,MATCH($B$6,$J$31:$J$33,0)))*'VALUATION &amp; RETURNS'!$DA$8*1000000*INDEX($O$31:$O$33,MATCH($B$6,$J$31:$J$33,0))))),MAX(0,MIN(CT$77,CT$79,CT$73-CT$74-CT$82,MAX(0,$B$10+INDEX($R$31:$R$33,MATCH($B$6,$J$31:$J$33,0)))*SUM($F$77:CT$77)-CT$74-CT$82,MAX(0,$B$11+INDEX($R$31:$R$33,MATCH($B$6,$J$31:$J$33,0)))*'VALUATION &amp; RETURNS'!$DA$8*1000000*INDEX($O$31:$O$33,MATCH($B$6,$J$31:$J$33,0))-CT$74-CT$82)),0)</f>
        <v>0</v>
      </c>
      <c r="CU80" s="309">
        <f>IF(AND(CU$64&lt;=$B$19,CU$64&lt;=$B$20,CU$64&lt;$B$35,OR($B$21="No",AND(CU$74&lt;=$B$9,CU$74&lt;=MAX(0,$B$10+INDEX($R$31:$R$33,MATCH($B$6,$J$31:$J$33,0)))*SUM($F$77:CU$77),CU$74&lt;=MAX(0,$B$11+INDEX($R$31:$R$33,MATCH($B$6,$J$31:$J$33,0)))*'VALUATION &amp; RETURNS'!$DA$8*1000000*INDEX($O$31:$O$33,MATCH($B$6,$J$31:$J$33,0))))),MAX(0,MIN(CU$77,CU$79,CU$73-CU$74-CU$82,MAX(0,$B$10+INDEX($R$31:$R$33,MATCH($B$6,$J$31:$J$33,0)))*SUM($F$77:CU$77)-CU$74-CU$82,MAX(0,$B$11+INDEX($R$31:$R$33,MATCH($B$6,$J$31:$J$33,0)))*'VALUATION &amp; RETURNS'!$DA$8*1000000*INDEX($O$31:$O$33,MATCH($B$6,$J$31:$J$33,0))-CU$74-CU$82)),0)</f>
        <v>0</v>
      </c>
      <c r="CV80" s="309">
        <f>IF(AND(CV$64&lt;=$B$19,CV$64&lt;=$B$20,CV$64&lt;$B$35,OR($B$21="No",AND(CV$74&lt;=$B$9,CV$74&lt;=MAX(0,$B$10+INDEX($R$31:$R$33,MATCH($B$6,$J$31:$J$33,0)))*SUM($F$77:CV$77),CV$74&lt;=MAX(0,$B$11+INDEX($R$31:$R$33,MATCH($B$6,$J$31:$J$33,0)))*'VALUATION &amp; RETURNS'!$DA$8*1000000*INDEX($O$31:$O$33,MATCH($B$6,$J$31:$J$33,0))))),MAX(0,MIN(CV$77,CV$79,CV$73-CV$74-CV$82,MAX(0,$B$10+INDEX($R$31:$R$33,MATCH($B$6,$J$31:$J$33,0)))*SUM($F$77:CV$77)-CV$74-CV$82,MAX(0,$B$11+INDEX($R$31:$R$33,MATCH($B$6,$J$31:$J$33,0)))*'VALUATION &amp; RETURNS'!$DA$8*1000000*INDEX($O$31:$O$33,MATCH($B$6,$J$31:$J$33,0))-CV$74-CV$82)),0)</f>
        <v>0</v>
      </c>
      <c r="CW80" s="309">
        <f>IF(AND(CW$64&lt;=$B$19,CW$64&lt;=$B$20,CW$64&lt;$B$35,OR($B$21="No",AND(CW$74&lt;=$B$9,CW$74&lt;=MAX(0,$B$10+INDEX($R$31:$R$33,MATCH($B$6,$J$31:$J$33,0)))*SUM($F$77:CW$77),CW$74&lt;=MAX(0,$B$11+INDEX($R$31:$R$33,MATCH($B$6,$J$31:$J$33,0)))*'VALUATION &amp; RETURNS'!$DA$8*1000000*INDEX($O$31:$O$33,MATCH($B$6,$J$31:$J$33,0))))),MAX(0,MIN(CW$77,CW$79,CW$73-CW$74-CW$82,MAX(0,$B$10+INDEX($R$31:$R$33,MATCH($B$6,$J$31:$J$33,0)))*SUM($F$77:CW$77)-CW$74-CW$82,MAX(0,$B$11+INDEX($R$31:$R$33,MATCH($B$6,$J$31:$J$33,0)))*'VALUATION &amp; RETURNS'!$DA$8*1000000*INDEX($O$31:$O$33,MATCH($B$6,$J$31:$J$33,0))-CW$74-CW$82)),0)</f>
        <v>0</v>
      </c>
      <c r="CX80" s="309">
        <f>IF(AND(CX$64&lt;=$B$19,CX$64&lt;=$B$20,CX$64&lt;$B$35,OR($B$21="No",AND(CX$74&lt;=$B$9,CX$74&lt;=MAX(0,$B$10+INDEX($R$31:$R$33,MATCH($B$6,$J$31:$J$33,0)))*SUM($F$77:CX$77),CX$74&lt;=MAX(0,$B$11+INDEX($R$31:$R$33,MATCH($B$6,$J$31:$J$33,0)))*'VALUATION &amp; RETURNS'!$DA$8*1000000*INDEX($O$31:$O$33,MATCH($B$6,$J$31:$J$33,0))))),MAX(0,MIN(CX$77,CX$79,CX$73-CX$74-CX$82,MAX(0,$B$10+INDEX($R$31:$R$33,MATCH($B$6,$J$31:$J$33,0)))*SUM($F$77:CX$77)-CX$74-CX$82,MAX(0,$B$11+INDEX($R$31:$R$33,MATCH($B$6,$J$31:$J$33,0)))*'VALUATION &amp; RETURNS'!$DA$8*1000000*INDEX($O$31:$O$33,MATCH($B$6,$J$31:$J$33,0))-CX$74-CX$82)),0)</f>
        <v>0</v>
      </c>
      <c r="CY80" s="309">
        <f>IF(AND(CY$64&lt;=$B$19,CY$64&lt;=$B$20,CY$64&lt;$B$35,OR($B$21="No",AND(CY$74&lt;=$B$9,CY$74&lt;=MAX(0,$B$10+INDEX($R$31:$R$33,MATCH($B$6,$J$31:$J$33,0)))*SUM($F$77:CY$77),CY$74&lt;=MAX(0,$B$11+INDEX($R$31:$R$33,MATCH($B$6,$J$31:$J$33,0)))*'VALUATION &amp; RETURNS'!$DA$8*1000000*INDEX($O$31:$O$33,MATCH($B$6,$J$31:$J$33,0))))),MAX(0,MIN(CY$77,CY$79,CY$73-CY$74-CY$82,MAX(0,$B$10+INDEX($R$31:$R$33,MATCH($B$6,$J$31:$J$33,0)))*SUM($F$77:CY$77)-CY$74-CY$82,MAX(0,$B$11+INDEX($R$31:$R$33,MATCH($B$6,$J$31:$J$33,0)))*'VALUATION &amp; RETURNS'!$DA$8*1000000*INDEX($O$31:$O$33,MATCH($B$6,$J$31:$J$33,0))-CY$74-CY$82)),0)</f>
        <v>0</v>
      </c>
      <c r="CZ80" s="309">
        <f>IF(AND(CZ$64&lt;=$B$19,CZ$64&lt;=$B$20,CZ$64&lt;$B$35,OR($B$21="No",AND(CZ$74&lt;=$B$9,CZ$74&lt;=MAX(0,$B$10+INDEX($R$31:$R$33,MATCH($B$6,$J$31:$J$33,0)))*SUM($F$77:CZ$77),CZ$74&lt;=MAX(0,$B$11+INDEX($R$31:$R$33,MATCH($B$6,$J$31:$J$33,0)))*'VALUATION &amp; RETURNS'!$DA$8*1000000*INDEX($O$31:$O$33,MATCH($B$6,$J$31:$J$33,0))))),MAX(0,MIN(CZ$77,CZ$79,CZ$73-CZ$74-CZ$82,MAX(0,$B$10+INDEX($R$31:$R$33,MATCH($B$6,$J$31:$J$33,0)))*SUM($F$77:CZ$77)-CZ$74-CZ$82,MAX(0,$B$11+INDEX($R$31:$R$33,MATCH($B$6,$J$31:$J$33,0)))*'VALUATION &amp; RETURNS'!$DA$8*1000000*INDEX($O$31:$O$33,MATCH($B$6,$J$31:$J$33,0))-CZ$74-CZ$82)),0)</f>
        <v>0</v>
      </c>
      <c r="DA80" s="309">
        <f>IF(AND(DA$64&lt;=$B$19,DA$64&lt;=$B$20,DA$64&lt;$B$35,OR($B$21="No",AND(DA$74&lt;=$B$9,DA$74&lt;=MAX(0,$B$10+INDEX($R$31:$R$33,MATCH($B$6,$J$31:$J$33,0)))*SUM($F$77:DA$77),DA$74&lt;=MAX(0,$B$11+INDEX($R$31:$R$33,MATCH($B$6,$J$31:$J$33,0)))*'VALUATION &amp; RETURNS'!$DA$8*1000000*INDEX($O$31:$O$33,MATCH($B$6,$J$31:$J$33,0))))),MAX(0,MIN(DA$77,DA$79,DA$73-DA$74-DA$82,MAX(0,$B$10+INDEX($R$31:$R$33,MATCH($B$6,$J$31:$J$33,0)))*SUM($F$77:DA$77)-DA$74-DA$82,MAX(0,$B$11+INDEX($R$31:$R$33,MATCH($B$6,$J$31:$J$33,0)))*'VALUATION &amp; RETURNS'!$DA$8*1000000*INDEX($O$31:$O$33,MATCH($B$6,$J$31:$J$33,0))-DA$74-DA$82)),0)</f>
        <v>0</v>
      </c>
      <c r="DB80" s="309">
        <f>IF(AND(DB$64&lt;=$B$19,DB$64&lt;=$B$20,DB$64&lt;$B$35,OR($B$21="No",AND(DB$74&lt;=$B$9,DB$74&lt;=MAX(0,$B$10+INDEX($R$31:$R$33,MATCH($B$6,$J$31:$J$33,0)))*SUM($F$77:DB$77),DB$74&lt;=MAX(0,$B$11+INDEX($R$31:$R$33,MATCH($B$6,$J$31:$J$33,0)))*'VALUATION &amp; RETURNS'!$DA$8*1000000*INDEX($O$31:$O$33,MATCH($B$6,$J$31:$J$33,0))))),MAX(0,MIN(DB$77,DB$79,DB$73-DB$74-DB$82,MAX(0,$B$10+INDEX($R$31:$R$33,MATCH($B$6,$J$31:$J$33,0)))*SUM($F$77:DB$77)-DB$74-DB$82,MAX(0,$B$11+INDEX($R$31:$R$33,MATCH($B$6,$J$31:$J$33,0)))*'VALUATION &amp; RETURNS'!$DA$8*1000000*INDEX($O$31:$O$33,MATCH($B$6,$J$31:$J$33,0))-DB$74-DB$82)),0)</f>
        <v>0</v>
      </c>
      <c r="DC80" s="309">
        <f>IF(AND(DC$64&lt;=$B$19,DC$64&lt;=$B$20,DC$64&lt;$B$35,OR($B$21="No",AND(DC$74&lt;=$B$9,DC$74&lt;=MAX(0,$B$10+INDEX($R$31:$R$33,MATCH($B$6,$J$31:$J$33,0)))*SUM($F$77:DC$77),DC$74&lt;=MAX(0,$B$11+INDEX($R$31:$R$33,MATCH($B$6,$J$31:$J$33,0)))*'VALUATION &amp; RETURNS'!$DA$8*1000000*INDEX($O$31:$O$33,MATCH($B$6,$J$31:$J$33,0))))),MAX(0,MIN(DC$77,DC$79,DC$73-DC$74-DC$82,MAX(0,$B$10+INDEX($R$31:$R$33,MATCH($B$6,$J$31:$J$33,0)))*SUM($F$77:DC$77)-DC$74-DC$82,MAX(0,$B$11+INDEX($R$31:$R$33,MATCH($B$6,$J$31:$J$33,0)))*'VALUATION &amp; RETURNS'!$DA$8*1000000*INDEX($O$31:$O$33,MATCH($B$6,$J$31:$J$33,0))-DC$74-DC$82)),0)</f>
        <v>0</v>
      </c>
      <c r="DD80" s="309">
        <f>IF(AND(DD$64&lt;=$B$19,DD$64&lt;=$B$20,DD$64&lt;$B$35,OR($B$21="No",AND(DD$74&lt;=$B$9,DD$74&lt;=MAX(0,$B$10+INDEX($R$31:$R$33,MATCH($B$6,$J$31:$J$33,0)))*SUM($F$77:DD$77),DD$74&lt;=MAX(0,$B$11+INDEX($R$31:$R$33,MATCH($B$6,$J$31:$J$33,0)))*'VALUATION &amp; RETURNS'!$DA$8*1000000*INDEX($O$31:$O$33,MATCH($B$6,$J$31:$J$33,0))))),MAX(0,MIN(DD$77,DD$79,DD$73-DD$74-DD$82,MAX(0,$B$10+INDEX($R$31:$R$33,MATCH($B$6,$J$31:$J$33,0)))*SUM($F$77:DD$77)-DD$74-DD$82,MAX(0,$B$11+INDEX($R$31:$R$33,MATCH($B$6,$J$31:$J$33,0)))*'VALUATION &amp; RETURNS'!$DA$8*1000000*INDEX($O$31:$O$33,MATCH($B$6,$J$31:$J$33,0))-DD$74-DD$82)),0)</f>
        <v>0</v>
      </c>
      <c r="DE80" s="309">
        <f>IF(AND(DE$64&lt;=$B$19,DE$64&lt;=$B$20,DE$64&lt;$B$35,OR($B$21="No",AND(DE$74&lt;=$B$9,DE$74&lt;=MAX(0,$B$10+INDEX($R$31:$R$33,MATCH($B$6,$J$31:$J$33,0)))*SUM($F$77:DE$77),DE$74&lt;=MAX(0,$B$11+INDEX($R$31:$R$33,MATCH($B$6,$J$31:$J$33,0)))*'VALUATION &amp; RETURNS'!$DA$8*1000000*INDEX($O$31:$O$33,MATCH($B$6,$J$31:$J$33,0))))),MAX(0,MIN(DE$77,DE$79,DE$73-DE$74-DE$82,MAX(0,$B$10+INDEX($R$31:$R$33,MATCH($B$6,$J$31:$J$33,0)))*SUM($F$77:DE$77)-DE$74-DE$82,MAX(0,$B$11+INDEX($R$31:$R$33,MATCH($B$6,$J$31:$J$33,0)))*'VALUATION &amp; RETURNS'!$DA$8*1000000*INDEX($O$31:$O$33,MATCH($B$6,$J$31:$J$33,0))-DE$74-DE$82)),0)</f>
        <v>0</v>
      </c>
      <c r="DF80" s="309">
        <f>IF(AND(DF$64&lt;=$B$19,DF$64&lt;=$B$20,DF$64&lt;$B$35,OR($B$21="No",AND(DF$74&lt;=$B$9,DF$74&lt;=MAX(0,$B$10+INDEX($R$31:$R$33,MATCH($B$6,$J$31:$J$33,0)))*SUM($F$77:DF$77),DF$74&lt;=MAX(0,$B$11+INDEX($R$31:$R$33,MATCH($B$6,$J$31:$J$33,0)))*'VALUATION &amp; RETURNS'!$DA$8*1000000*INDEX($O$31:$O$33,MATCH($B$6,$J$31:$J$33,0))))),MAX(0,MIN(DF$77,DF$79,DF$73-DF$74-DF$82,MAX(0,$B$10+INDEX($R$31:$R$33,MATCH($B$6,$J$31:$J$33,0)))*SUM($F$77:DF$77)-DF$74-DF$82,MAX(0,$B$11+INDEX($R$31:$R$33,MATCH($B$6,$J$31:$J$33,0)))*'VALUATION &amp; RETURNS'!$DA$8*1000000*INDEX($O$31:$O$33,MATCH($B$6,$J$31:$J$33,0))-DF$74-DF$82)),0)</f>
        <v>0</v>
      </c>
      <c r="DG80" s="309">
        <f>IF(AND(DG$64&lt;=$B$19,DG$64&lt;=$B$20,DG$64&lt;$B$35,OR($B$21="No",AND(DG$74&lt;=$B$9,DG$74&lt;=MAX(0,$B$10+INDEX($R$31:$R$33,MATCH($B$6,$J$31:$J$33,0)))*SUM($F$77:DG$77),DG$74&lt;=MAX(0,$B$11+INDEX($R$31:$R$33,MATCH($B$6,$J$31:$J$33,0)))*'VALUATION &amp; RETURNS'!$DA$8*1000000*INDEX($O$31:$O$33,MATCH($B$6,$J$31:$J$33,0))))),MAX(0,MIN(DG$77,DG$79,DG$73-DG$74-DG$82,MAX(0,$B$10+INDEX($R$31:$R$33,MATCH($B$6,$J$31:$J$33,0)))*SUM($F$77:DG$77)-DG$74-DG$82,MAX(0,$B$11+INDEX($R$31:$R$33,MATCH($B$6,$J$31:$J$33,0)))*'VALUATION &amp; RETURNS'!$DA$8*1000000*INDEX($O$31:$O$33,MATCH($B$6,$J$31:$J$33,0))-DG$74-DG$82)),0)</f>
        <v>0</v>
      </c>
      <c r="DH80" s="309">
        <f>IF(AND(DH$64&lt;=$B$19,DH$64&lt;=$B$20,DH$64&lt;$B$35,OR($B$21="No",AND(DH$74&lt;=$B$9,DH$74&lt;=MAX(0,$B$10+INDEX($R$31:$R$33,MATCH($B$6,$J$31:$J$33,0)))*SUM($F$77:DH$77),DH$74&lt;=MAX(0,$B$11+INDEX($R$31:$R$33,MATCH($B$6,$J$31:$J$33,0)))*'VALUATION &amp; RETURNS'!$DA$8*1000000*INDEX($O$31:$O$33,MATCH($B$6,$J$31:$J$33,0))))),MAX(0,MIN(DH$77,DH$79,DH$73-DH$74-DH$82,MAX(0,$B$10+INDEX($R$31:$R$33,MATCH($B$6,$J$31:$J$33,0)))*SUM($F$77:DH$77)-DH$74-DH$82,MAX(0,$B$11+INDEX($R$31:$R$33,MATCH($B$6,$J$31:$J$33,0)))*'VALUATION &amp; RETURNS'!$DA$8*1000000*INDEX($O$31:$O$33,MATCH($B$6,$J$31:$J$33,0))-DH$74-DH$82)),0)</f>
        <v>0</v>
      </c>
      <c r="DI80" s="309">
        <f>IF(AND(DI$64&lt;=$B$19,DI$64&lt;=$B$20,DI$64&lt;$B$35,OR($B$21="No",AND(DI$74&lt;=$B$9,DI$74&lt;=MAX(0,$B$10+INDEX($R$31:$R$33,MATCH($B$6,$J$31:$J$33,0)))*SUM($F$77:DI$77),DI$74&lt;=MAX(0,$B$11+INDEX($R$31:$R$33,MATCH($B$6,$J$31:$J$33,0)))*'VALUATION &amp; RETURNS'!$DA$8*1000000*INDEX($O$31:$O$33,MATCH($B$6,$J$31:$J$33,0))))),MAX(0,MIN(DI$77,DI$79,DI$73-DI$74-DI$82,MAX(0,$B$10+INDEX($R$31:$R$33,MATCH($B$6,$J$31:$J$33,0)))*SUM($F$77:DI$77)-DI$74-DI$82,MAX(0,$B$11+INDEX($R$31:$R$33,MATCH($B$6,$J$31:$J$33,0)))*'VALUATION &amp; RETURNS'!$DA$8*1000000*INDEX($O$31:$O$33,MATCH($B$6,$J$31:$J$33,0))-DI$74-DI$82)),0)</f>
        <v>0</v>
      </c>
      <c r="DJ80" s="309">
        <f>IF(AND(DJ$64&lt;=$B$19,DJ$64&lt;=$B$20,DJ$64&lt;$B$35,OR($B$21="No",AND(DJ$74&lt;=$B$9,DJ$74&lt;=MAX(0,$B$10+INDEX($R$31:$R$33,MATCH($B$6,$J$31:$J$33,0)))*SUM($F$77:DJ$77),DJ$74&lt;=MAX(0,$B$11+INDEX($R$31:$R$33,MATCH($B$6,$J$31:$J$33,0)))*'VALUATION &amp; RETURNS'!$DA$8*1000000*INDEX($O$31:$O$33,MATCH($B$6,$J$31:$J$33,0))))),MAX(0,MIN(DJ$77,DJ$79,DJ$73-DJ$74-DJ$82,MAX(0,$B$10+INDEX($R$31:$R$33,MATCH($B$6,$J$31:$J$33,0)))*SUM($F$77:DJ$77)-DJ$74-DJ$82,MAX(0,$B$11+INDEX($R$31:$R$33,MATCH($B$6,$J$31:$J$33,0)))*'VALUATION &amp; RETURNS'!$DA$8*1000000*INDEX($O$31:$O$33,MATCH($B$6,$J$31:$J$33,0))-DJ$74-DJ$82)),0)</f>
        <v>0</v>
      </c>
      <c r="DK80" s="309">
        <f>IF(AND(DK$64&lt;=$B$19,DK$64&lt;=$B$20,DK$64&lt;$B$35,OR($B$21="No",AND(DK$74&lt;=$B$9,DK$74&lt;=MAX(0,$B$10+INDEX($R$31:$R$33,MATCH($B$6,$J$31:$J$33,0)))*SUM($F$77:DK$77),DK$74&lt;=MAX(0,$B$11+INDEX($R$31:$R$33,MATCH($B$6,$J$31:$J$33,0)))*'VALUATION &amp; RETURNS'!$DA$8*1000000*INDEX($O$31:$O$33,MATCH($B$6,$J$31:$J$33,0))))),MAX(0,MIN(DK$77,DK$79,DK$73-DK$74-DK$82,MAX(0,$B$10+INDEX($R$31:$R$33,MATCH($B$6,$J$31:$J$33,0)))*SUM($F$77:DK$77)-DK$74-DK$82,MAX(0,$B$11+INDEX($R$31:$R$33,MATCH($B$6,$J$31:$J$33,0)))*'VALUATION &amp; RETURNS'!$DA$8*1000000*INDEX($O$31:$O$33,MATCH($B$6,$J$31:$J$33,0))-DK$74-DK$82)),0)</f>
        <v>0</v>
      </c>
      <c r="DL80" s="309">
        <f>IF(AND(DL$64&lt;=$B$19,DL$64&lt;=$B$20,DL$64&lt;$B$35,OR($B$21="No",AND(DL$74&lt;=$B$9,DL$74&lt;=MAX(0,$B$10+INDEX($R$31:$R$33,MATCH($B$6,$J$31:$J$33,0)))*SUM($F$77:DL$77),DL$74&lt;=MAX(0,$B$11+INDEX($R$31:$R$33,MATCH($B$6,$J$31:$J$33,0)))*'VALUATION &amp; RETURNS'!$DA$8*1000000*INDEX($O$31:$O$33,MATCH($B$6,$J$31:$J$33,0))))),MAX(0,MIN(DL$77,DL$79,DL$73-DL$74-DL$82,MAX(0,$B$10+INDEX($R$31:$R$33,MATCH($B$6,$J$31:$J$33,0)))*SUM($F$77:DL$77)-DL$74-DL$82,MAX(0,$B$11+INDEX($R$31:$R$33,MATCH($B$6,$J$31:$J$33,0)))*'VALUATION &amp; RETURNS'!$DA$8*1000000*INDEX($O$31:$O$33,MATCH($B$6,$J$31:$J$33,0))-DL$74-DL$82)),0)</f>
        <v>0</v>
      </c>
      <c r="DM80" s="309">
        <f>IF(AND(DM$64&lt;=$B$19,DM$64&lt;=$B$20,DM$64&lt;$B$35,OR($B$21="No",AND(DM$74&lt;=$B$9,DM$74&lt;=MAX(0,$B$10+INDEX($R$31:$R$33,MATCH($B$6,$J$31:$J$33,0)))*SUM($F$77:DM$77),DM$74&lt;=MAX(0,$B$11+INDEX($R$31:$R$33,MATCH($B$6,$J$31:$J$33,0)))*'VALUATION &amp; RETURNS'!$DA$8*1000000*INDEX($O$31:$O$33,MATCH($B$6,$J$31:$J$33,0))))),MAX(0,MIN(DM$77,DM$79,DM$73-DM$74-DM$82,MAX(0,$B$10+INDEX($R$31:$R$33,MATCH($B$6,$J$31:$J$33,0)))*SUM($F$77:DM$77)-DM$74-DM$82,MAX(0,$B$11+INDEX($R$31:$R$33,MATCH($B$6,$J$31:$J$33,0)))*'VALUATION &amp; RETURNS'!$DA$8*1000000*INDEX($O$31:$O$33,MATCH($B$6,$J$31:$J$33,0))-DM$74-DM$82)),0)</f>
        <v>0</v>
      </c>
      <c r="DN80" s="309">
        <f>IF(AND(DN$64&lt;=$B$19,DN$64&lt;=$B$20,DN$64&lt;$B$35,OR($B$21="No",AND(DN$74&lt;=$B$9,DN$74&lt;=MAX(0,$B$10+INDEX($R$31:$R$33,MATCH($B$6,$J$31:$J$33,0)))*SUM($F$77:DN$77),DN$74&lt;=MAX(0,$B$11+INDEX($R$31:$R$33,MATCH($B$6,$J$31:$J$33,0)))*'VALUATION &amp; RETURNS'!$DA$8*1000000*INDEX($O$31:$O$33,MATCH($B$6,$J$31:$J$33,0))))),MAX(0,MIN(DN$77,DN$79,DN$73-DN$74-DN$82,MAX(0,$B$10+INDEX($R$31:$R$33,MATCH($B$6,$J$31:$J$33,0)))*SUM($F$77:DN$77)-DN$74-DN$82,MAX(0,$B$11+INDEX($R$31:$R$33,MATCH($B$6,$J$31:$J$33,0)))*'VALUATION &amp; RETURNS'!$DA$8*1000000*INDEX($O$31:$O$33,MATCH($B$6,$J$31:$J$33,0))-DN$74-DN$82)),0)</f>
        <v>0</v>
      </c>
      <c r="DO80" s="309">
        <f>IF(AND(DO$64&lt;=$B$19,DO$64&lt;=$B$20,DO$64&lt;$B$35,OR($B$21="No",AND(DO$74&lt;=$B$9,DO$74&lt;=MAX(0,$B$10+INDEX($R$31:$R$33,MATCH($B$6,$J$31:$J$33,0)))*SUM($F$77:DO$77),DO$74&lt;=MAX(0,$B$11+INDEX($R$31:$R$33,MATCH($B$6,$J$31:$J$33,0)))*'VALUATION &amp; RETURNS'!$DA$8*1000000*INDEX($O$31:$O$33,MATCH($B$6,$J$31:$J$33,0))))),MAX(0,MIN(DO$77,DO$79,DO$73-DO$74-DO$82,MAX(0,$B$10+INDEX($R$31:$R$33,MATCH($B$6,$J$31:$J$33,0)))*SUM($F$77:DO$77)-DO$74-DO$82,MAX(0,$B$11+INDEX($R$31:$R$33,MATCH($B$6,$J$31:$J$33,0)))*'VALUATION &amp; RETURNS'!$DA$8*1000000*INDEX($O$31:$O$33,MATCH($B$6,$J$31:$J$33,0))-DO$74-DO$82)),0)</f>
        <v>0</v>
      </c>
      <c r="DP80" s="309">
        <f>IF(AND(DP$64&lt;=$B$19,DP$64&lt;=$B$20,DP$64&lt;$B$35,OR($B$21="No",AND(DP$74&lt;=$B$9,DP$74&lt;=MAX(0,$B$10+INDEX($R$31:$R$33,MATCH($B$6,$J$31:$J$33,0)))*SUM($F$77:DP$77),DP$74&lt;=MAX(0,$B$11+INDEX($R$31:$R$33,MATCH($B$6,$J$31:$J$33,0)))*'VALUATION &amp; RETURNS'!$DA$8*1000000*INDEX($O$31:$O$33,MATCH($B$6,$J$31:$J$33,0))))),MAX(0,MIN(DP$77,DP$79,DP$73-DP$74-DP$82,MAX(0,$B$10+INDEX($R$31:$R$33,MATCH($B$6,$J$31:$J$33,0)))*SUM($F$77:DP$77)-DP$74-DP$82,MAX(0,$B$11+INDEX($R$31:$R$33,MATCH($B$6,$J$31:$J$33,0)))*'VALUATION &amp; RETURNS'!$DA$8*1000000*INDEX($O$31:$O$33,MATCH($B$6,$J$31:$J$33,0))-DP$74-DP$82)),0)</f>
        <v>0</v>
      </c>
      <c r="DQ80" s="309">
        <f>IF(AND(DQ$64&lt;=$B$19,DQ$64&lt;=$B$20,DQ$64&lt;$B$35,OR($B$21="No",AND(DQ$74&lt;=$B$9,DQ$74&lt;=MAX(0,$B$10+INDEX($R$31:$R$33,MATCH($B$6,$J$31:$J$33,0)))*SUM($F$77:DQ$77),DQ$74&lt;=MAX(0,$B$11+INDEX($R$31:$R$33,MATCH($B$6,$J$31:$J$33,0)))*'VALUATION &amp; RETURNS'!$DA$8*1000000*INDEX($O$31:$O$33,MATCH($B$6,$J$31:$J$33,0))))),MAX(0,MIN(DQ$77,DQ$79,DQ$73-DQ$74-DQ$82,MAX(0,$B$10+INDEX($R$31:$R$33,MATCH($B$6,$J$31:$J$33,0)))*SUM($F$77:DQ$77)-DQ$74-DQ$82,MAX(0,$B$11+INDEX($R$31:$R$33,MATCH($B$6,$J$31:$J$33,0)))*'VALUATION &amp; RETURNS'!$DA$8*1000000*INDEX($O$31:$O$33,MATCH($B$6,$J$31:$J$33,0))-DQ$74-DQ$82)),0)</f>
        <v>0</v>
      </c>
      <c r="DR80" s="309">
        <f>IF(AND(DR$64&lt;=$B$19,DR$64&lt;=$B$20,DR$64&lt;$B$35,OR($B$21="No",AND(DR$74&lt;=$B$9,DR$74&lt;=MAX(0,$B$10+INDEX($R$31:$R$33,MATCH($B$6,$J$31:$J$33,0)))*SUM($F$77:DR$77),DR$74&lt;=MAX(0,$B$11+INDEX($R$31:$R$33,MATCH($B$6,$J$31:$J$33,0)))*'VALUATION &amp; RETURNS'!$DA$8*1000000*INDEX($O$31:$O$33,MATCH($B$6,$J$31:$J$33,0))))),MAX(0,MIN(DR$77,DR$79,DR$73-DR$74-DR$82,MAX(0,$B$10+INDEX($R$31:$R$33,MATCH($B$6,$J$31:$J$33,0)))*SUM($F$77:DR$77)-DR$74-DR$82,MAX(0,$B$11+INDEX($R$31:$R$33,MATCH($B$6,$J$31:$J$33,0)))*'VALUATION &amp; RETURNS'!$DA$8*1000000*INDEX($O$31:$O$33,MATCH($B$6,$J$31:$J$33,0))-DR$74-DR$82)),0)</f>
        <v>0</v>
      </c>
      <c r="DS80" s="309">
        <f>IF(AND(DS$64&lt;=$B$19,DS$64&lt;=$B$20,DS$64&lt;$B$35,OR($B$21="No",AND(DS$74&lt;=$B$9,DS$74&lt;=MAX(0,$B$10+INDEX($R$31:$R$33,MATCH($B$6,$J$31:$J$33,0)))*SUM($F$77:DS$77),DS$74&lt;=MAX(0,$B$11+INDEX($R$31:$R$33,MATCH($B$6,$J$31:$J$33,0)))*'VALUATION &amp; RETURNS'!$DA$8*1000000*INDEX($O$31:$O$33,MATCH($B$6,$J$31:$J$33,0))))),MAX(0,MIN(DS$77,DS$79,DS$73-DS$74-DS$82,MAX(0,$B$10+INDEX($R$31:$R$33,MATCH($B$6,$J$31:$J$33,0)))*SUM($F$77:DS$77)-DS$74-DS$82,MAX(0,$B$11+INDEX($R$31:$R$33,MATCH($B$6,$J$31:$J$33,0)))*'VALUATION &amp; RETURNS'!$DA$8*1000000*INDEX($O$31:$O$33,MATCH($B$6,$J$31:$J$33,0))-DS$74-DS$82)),0)</f>
        <v>0</v>
      </c>
      <c r="DT80" s="309">
        <f>IF(AND(DT$64&lt;=$B$19,DT$64&lt;=$B$20,DT$64&lt;$B$35,OR($B$21="No",AND(DT$74&lt;=$B$9,DT$74&lt;=MAX(0,$B$10+INDEX($R$31:$R$33,MATCH($B$6,$J$31:$J$33,0)))*SUM($F$77:DT$77),DT$74&lt;=MAX(0,$B$11+INDEX($R$31:$R$33,MATCH($B$6,$J$31:$J$33,0)))*'VALUATION &amp; RETURNS'!$DA$8*1000000*INDEX($O$31:$O$33,MATCH($B$6,$J$31:$J$33,0))))),MAX(0,MIN(DT$77,DT$79,DT$73-DT$74-DT$82,MAX(0,$B$10+INDEX($R$31:$R$33,MATCH($B$6,$J$31:$J$33,0)))*SUM($F$77:DT$77)-DT$74-DT$82,MAX(0,$B$11+INDEX($R$31:$R$33,MATCH($B$6,$J$31:$J$33,0)))*'VALUATION &amp; RETURNS'!$DA$8*1000000*INDEX($O$31:$O$33,MATCH($B$6,$J$31:$J$33,0))-DT$74-DT$82)),0)</f>
        <v>0</v>
      </c>
      <c r="DU80" s="309">
        <f>IF(AND(DU$64&lt;=$B$19,DU$64&lt;=$B$20,DU$64&lt;$B$35,OR($B$21="No",AND(DU$74&lt;=$B$9,DU$74&lt;=MAX(0,$B$10+INDEX($R$31:$R$33,MATCH($B$6,$J$31:$J$33,0)))*SUM($F$77:DU$77),DU$74&lt;=MAX(0,$B$11+INDEX($R$31:$R$33,MATCH($B$6,$J$31:$J$33,0)))*'VALUATION &amp; RETURNS'!$DA$8*1000000*INDEX($O$31:$O$33,MATCH($B$6,$J$31:$J$33,0))))),MAX(0,MIN(DU$77,DU$79,DU$73-DU$74-DU$82,MAX(0,$B$10+INDEX($R$31:$R$33,MATCH($B$6,$J$31:$J$33,0)))*SUM($F$77:DU$77)-DU$74-DU$82,MAX(0,$B$11+INDEX($R$31:$R$33,MATCH($B$6,$J$31:$J$33,0)))*'VALUATION &amp; RETURNS'!$DA$8*1000000*INDEX($O$31:$O$33,MATCH($B$6,$J$31:$J$33,0))-DU$74-DU$82)),0)</f>
        <v>0</v>
      </c>
      <c r="DV80" s="309">
        <f>IF(AND(DV$64&lt;=$B$19,DV$64&lt;=$B$20,DV$64&lt;$B$35,OR($B$21="No",AND(DV$74&lt;=$B$9,DV$74&lt;=MAX(0,$B$10+INDEX($R$31:$R$33,MATCH($B$6,$J$31:$J$33,0)))*SUM($F$77:DV$77),DV$74&lt;=MAX(0,$B$11+INDEX($R$31:$R$33,MATCH($B$6,$J$31:$J$33,0)))*'VALUATION &amp; RETURNS'!$DA$8*1000000*INDEX($O$31:$O$33,MATCH($B$6,$J$31:$J$33,0))))),MAX(0,MIN(DV$77,DV$79,DV$73-DV$74-DV$82,MAX(0,$B$10+INDEX($R$31:$R$33,MATCH($B$6,$J$31:$J$33,0)))*SUM($F$77:DV$77)-DV$74-DV$82,MAX(0,$B$11+INDEX($R$31:$R$33,MATCH($B$6,$J$31:$J$33,0)))*'VALUATION &amp; RETURNS'!$DA$8*1000000*INDEX($O$31:$O$33,MATCH($B$6,$J$31:$J$33,0))-DV$74-DV$82)),0)</f>
        <v>0</v>
      </c>
    </row>
    <row r="81" spans="1:126" ht="15" customHeight="1" x14ac:dyDescent="0.35">
      <c r="A81" s="307" t="s">
        <v>1512</v>
      </c>
      <c r="B81" s="308" t="s">
        <v>1370</v>
      </c>
      <c r="C81" s="1146" t="s">
        <v>1513</v>
      </c>
      <c r="D81" s="1147"/>
      <c r="E81" s="309">
        <v>0</v>
      </c>
      <c r="F81" s="309">
        <f t="shared" ref="F81:AK81" si="36">F$80</f>
        <v>16628131.21831876</v>
      </c>
      <c r="G81" s="309">
        <f t="shared" si="36"/>
        <v>952590.63109591056</v>
      </c>
      <c r="H81" s="309">
        <f t="shared" si="36"/>
        <v>1153238.7592138182</v>
      </c>
      <c r="I81" s="309">
        <f t="shared" si="36"/>
        <v>1593255.3182424391</v>
      </c>
      <c r="J81" s="309">
        <f t="shared" si="36"/>
        <v>2151126.2631915766</v>
      </c>
      <c r="K81" s="309">
        <f t="shared" si="36"/>
        <v>2898639.7829110157</v>
      </c>
      <c r="L81" s="309">
        <f t="shared" si="36"/>
        <v>3868810.0707379892</v>
      </c>
      <c r="M81" s="309">
        <f t="shared" si="36"/>
        <v>5087252.4296078607</v>
      </c>
      <c r="N81" s="309">
        <f t="shared" si="36"/>
        <v>6566224.3704085397</v>
      </c>
      <c r="O81" s="309">
        <f t="shared" si="36"/>
        <v>8298517.1205737963</v>
      </c>
      <c r="P81" s="309">
        <f t="shared" si="36"/>
        <v>10252240.165656256</v>
      </c>
      <c r="Q81" s="309">
        <f t="shared" si="36"/>
        <v>12367698.147663975</v>
      </c>
      <c r="R81" s="309">
        <f t="shared" si="36"/>
        <v>14557484.657830048</v>
      </c>
      <c r="S81" s="309">
        <f t="shared" si="36"/>
        <v>14432335.04440251</v>
      </c>
      <c r="T81" s="309">
        <f t="shared" si="36"/>
        <v>9350243.9477226138</v>
      </c>
      <c r="U81" s="309">
        <f t="shared" si="36"/>
        <v>10198571.003748894</v>
      </c>
      <c r="V81" s="309">
        <f t="shared" si="36"/>
        <v>10840288.090406999</v>
      </c>
      <c r="W81" s="309">
        <f t="shared" si="36"/>
        <v>11227475.507889703</v>
      </c>
      <c r="X81" s="309">
        <f t="shared" si="36"/>
        <v>11330171.302228957</v>
      </c>
      <c r="Y81" s="309">
        <f t="shared" si="36"/>
        <v>11140198.701522857</v>
      </c>
      <c r="Z81" s="309">
        <f t="shared" si="36"/>
        <v>10717614.626966476</v>
      </c>
      <c r="AA81" s="309">
        <f t="shared" si="36"/>
        <v>10139987.759013325</v>
      </c>
      <c r="AB81" s="309">
        <f t="shared" si="36"/>
        <v>9358749.9466937482</v>
      </c>
      <c r="AC81" s="309">
        <f t="shared" si="36"/>
        <v>8427930.7761743367</v>
      </c>
      <c r="AD81" s="309">
        <f t="shared" si="36"/>
        <v>7407265.9255515635</v>
      </c>
      <c r="AE81" s="309">
        <f t="shared" si="36"/>
        <v>6355958.6232007742</v>
      </c>
      <c r="AF81" s="309">
        <f t="shared" si="36"/>
        <v>5327231.8471754789</v>
      </c>
      <c r="AG81" s="309">
        <f t="shared" si="36"/>
        <v>4364324.7526958287</v>
      </c>
      <c r="AH81" s="309">
        <f t="shared" si="36"/>
        <v>3498264.0780161023</v>
      </c>
      <c r="AI81" s="309">
        <f t="shared" si="36"/>
        <v>2747407.6656336188</v>
      </c>
      <c r="AJ81" s="309">
        <f t="shared" si="36"/>
        <v>1224305.0030850768</v>
      </c>
      <c r="AK81" s="309">
        <f t="shared" si="36"/>
        <v>209638.92700129747</v>
      </c>
      <c r="AL81" s="309">
        <f t="shared" ref="AL81:BQ81" si="37">AL$80</f>
        <v>169571.13126644492</v>
      </c>
      <c r="AM81" s="309">
        <f t="shared" si="37"/>
        <v>132711.21484693885</v>
      </c>
      <c r="AN81" s="309">
        <f t="shared" si="37"/>
        <v>100597.62539994717</v>
      </c>
      <c r="AO81" s="309">
        <f t="shared" si="37"/>
        <v>73917.592887252569</v>
      </c>
      <c r="AP81" s="309">
        <f t="shared" si="37"/>
        <v>52683.47823086381</v>
      </c>
      <c r="AQ81" s="309">
        <f t="shared" si="37"/>
        <v>0</v>
      </c>
      <c r="AR81" s="309">
        <f t="shared" si="37"/>
        <v>0</v>
      </c>
      <c r="AS81" s="309">
        <f t="shared" si="37"/>
        <v>0</v>
      </c>
      <c r="AT81" s="309">
        <f t="shared" si="37"/>
        <v>0</v>
      </c>
      <c r="AU81" s="309">
        <f t="shared" si="37"/>
        <v>0</v>
      </c>
      <c r="AV81" s="309">
        <f t="shared" si="37"/>
        <v>0</v>
      </c>
      <c r="AW81" s="309">
        <f t="shared" si="37"/>
        <v>0</v>
      </c>
      <c r="AX81" s="309">
        <f t="shared" si="37"/>
        <v>0</v>
      </c>
      <c r="AY81" s="309">
        <f t="shared" si="37"/>
        <v>0</v>
      </c>
      <c r="AZ81" s="309">
        <f t="shared" si="37"/>
        <v>0</v>
      </c>
      <c r="BA81" s="309">
        <f t="shared" si="37"/>
        <v>0</v>
      </c>
      <c r="BB81" s="309">
        <f t="shared" si="37"/>
        <v>0</v>
      </c>
      <c r="BC81" s="309">
        <f t="shared" si="37"/>
        <v>0</v>
      </c>
      <c r="BD81" s="309">
        <f t="shared" si="37"/>
        <v>0</v>
      </c>
      <c r="BE81" s="309">
        <f t="shared" si="37"/>
        <v>0</v>
      </c>
      <c r="BF81" s="309">
        <f t="shared" si="37"/>
        <v>0</v>
      </c>
      <c r="BG81" s="309">
        <f t="shared" si="37"/>
        <v>0</v>
      </c>
      <c r="BH81" s="309">
        <f t="shared" si="37"/>
        <v>0</v>
      </c>
      <c r="BI81" s="309">
        <f t="shared" si="37"/>
        <v>0</v>
      </c>
      <c r="BJ81" s="309">
        <f t="shared" si="37"/>
        <v>0</v>
      </c>
      <c r="BK81" s="309">
        <f t="shared" si="37"/>
        <v>0</v>
      </c>
      <c r="BL81" s="309">
        <f t="shared" si="37"/>
        <v>0</v>
      </c>
      <c r="BM81" s="309">
        <f t="shared" si="37"/>
        <v>0</v>
      </c>
      <c r="BN81" s="309">
        <f t="shared" si="37"/>
        <v>0</v>
      </c>
      <c r="BO81" s="309">
        <f t="shared" si="37"/>
        <v>0</v>
      </c>
      <c r="BP81" s="309">
        <f t="shared" si="37"/>
        <v>0</v>
      </c>
      <c r="BQ81" s="309">
        <f t="shared" si="37"/>
        <v>0</v>
      </c>
      <c r="BR81" s="309">
        <f t="shared" ref="BR81:CW81" si="38">BR$80</f>
        <v>0</v>
      </c>
      <c r="BS81" s="309">
        <f t="shared" si="38"/>
        <v>0</v>
      </c>
      <c r="BT81" s="309">
        <f t="shared" si="38"/>
        <v>0</v>
      </c>
      <c r="BU81" s="309">
        <f t="shared" si="38"/>
        <v>0</v>
      </c>
      <c r="BV81" s="309">
        <f t="shared" si="38"/>
        <v>0</v>
      </c>
      <c r="BW81" s="309">
        <f t="shared" si="38"/>
        <v>0</v>
      </c>
      <c r="BX81" s="309">
        <f t="shared" si="38"/>
        <v>0</v>
      </c>
      <c r="BY81" s="309">
        <f t="shared" si="38"/>
        <v>0</v>
      </c>
      <c r="BZ81" s="309">
        <f t="shared" si="38"/>
        <v>0</v>
      </c>
      <c r="CA81" s="309">
        <f t="shared" si="38"/>
        <v>0</v>
      </c>
      <c r="CB81" s="309">
        <f t="shared" si="38"/>
        <v>0</v>
      </c>
      <c r="CC81" s="309">
        <f t="shared" si="38"/>
        <v>0</v>
      </c>
      <c r="CD81" s="309">
        <f t="shared" si="38"/>
        <v>0</v>
      </c>
      <c r="CE81" s="309">
        <f t="shared" si="38"/>
        <v>0</v>
      </c>
      <c r="CF81" s="309">
        <f t="shared" si="38"/>
        <v>0</v>
      </c>
      <c r="CG81" s="309">
        <f t="shared" si="38"/>
        <v>0</v>
      </c>
      <c r="CH81" s="309">
        <f t="shared" si="38"/>
        <v>0</v>
      </c>
      <c r="CI81" s="309">
        <f t="shared" si="38"/>
        <v>0</v>
      </c>
      <c r="CJ81" s="309">
        <f t="shared" si="38"/>
        <v>0</v>
      </c>
      <c r="CK81" s="309">
        <f t="shared" si="38"/>
        <v>0</v>
      </c>
      <c r="CL81" s="309">
        <f t="shared" si="38"/>
        <v>0</v>
      </c>
      <c r="CM81" s="309">
        <f t="shared" si="38"/>
        <v>0</v>
      </c>
      <c r="CN81" s="309">
        <f t="shared" si="38"/>
        <v>0</v>
      </c>
      <c r="CO81" s="309">
        <f t="shared" si="38"/>
        <v>0</v>
      </c>
      <c r="CP81" s="309">
        <f t="shared" si="38"/>
        <v>0</v>
      </c>
      <c r="CQ81" s="309">
        <f t="shared" si="38"/>
        <v>0</v>
      </c>
      <c r="CR81" s="309">
        <f t="shared" si="38"/>
        <v>0</v>
      </c>
      <c r="CS81" s="309">
        <f t="shared" si="38"/>
        <v>0</v>
      </c>
      <c r="CT81" s="309">
        <f t="shared" si="38"/>
        <v>0</v>
      </c>
      <c r="CU81" s="309">
        <f t="shared" si="38"/>
        <v>0</v>
      </c>
      <c r="CV81" s="309">
        <f t="shared" si="38"/>
        <v>0</v>
      </c>
      <c r="CW81" s="309">
        <f t="shared" si="38"/>
        <v>0</v>
      </c>
      <c r="CX81" s="309">
        <f t="shared" ref="CX81:DV81" si="39">CX$80</f>
        <v>0</v>
      </c>
      <c r="CY81" s="309">
        <f t="shared" si="39"/>
        <v>0</v>
      </c>
      <c r="CZ81" s="309">
        <f t="shared" si="39"/>
        <v>0</v>
      </c>
      <c r="DA81" s="309">
        <f t="shared" si="39"/>
        <v>0</v>
      </c>
      <c r="DB81" s="309">
        <f t="shared" si="39"/>
        <v>0</v>
      </c>
      <c r="DC81" s="309">
        <f t="shared" si="39"/>
        <v>0</v>
      </c>
      <c r="DD81" s="309">
        <f t="shared" si="39"/>
        <v>0</v>
      </c>
      <c r="DE81" s="309">
        <f t="shared" si="39"/>
        <v>0</v>
      </c>
      <c r="DF81" s="309">
        <f t="shared" si="39"/>
        <v>0</v>
      </c>
      <c r="DG81" s="309">
        <f t="shared" si="39"/>
        <v>0</v>
      </c>
      <c r="DH81" s="309">
        <f t="shared" si="39"/>
        <v>0</v>
      </c>
      <c r="DI81" s="309">
        <f t="shared" si="39"/>
        <v>0</v>
      </c>
      <c r="DJ81" s="309">
        <f t="shared" si="39"/>
        <v>0</v>
      </c>
      <c r="DK81" s="309">
        <f t="shared" si="39"/>
        <v>0</v>
      </c>
      <c r="DL81" s="309">
        <f t="shared" si="39"/>
        <v>0</v>
      </c>
      <c r="DM81" s="309">
        <f t="shared" si="39"/>
        <v>0</v>
      </c>
      <c r="DN81" s="309">
        <f t="shared" si="39"/>
        <v>0</v>
      </c>
      <c r="DO81" s="309">
        <f t="shared" si="39"/>
        <v>0</v>
      </c>
      <c r="DP81" s="309">
        <f t="shared" si="39"/>
        <v>0</v>
      </c>
      <c r="DQ81" s="309">
        <f t="shared" si="39"/>
        <v>0</v>
      </c>
      <c r="DR81" s="309">
        <f t="shared" si="39"/>
        <v>0</v>
      </c>
      <c r="DS81" s="309">
        <f t="shared" si="39"/>
        <v>0</v>
      </c>
      <c r="DT81" s="309">
        <f t="shared" si="39"/>
        <v>0</v>
      </c>
      <c r="DU81" s="309">
        <f t="shared" si="39"/>
        <v>0</v>
      </c>
      <c r="DV81" s="309">
        <f t="shared" si="39"/>
        <v>0</v>
      </c>
    </row>
    <row r="82" spans="1:126" ht="15" customHeight="1" x14ac:dyDescent="0.35">
      <c r="A82" s="307" t="s">
        <v>1445</v>
      </c>
      <c r="B82" s="308" t="s">
        <v>1370</v>
      </c>
      <c r="C82" s="1146" t="s">
        <v>1514</v>
      </c>
      <c r="D82" s="1147"/>
      <c r="F82" s="309">
        <f>MIN(MAX(0,INDEX(Underwriting!$L$52:$EN$52,1,COLUMN()-5)),MAX(0,F$73-F$74))</f>
        <v>0</v>
      </c>
      <c r="G82" s="309">
        <f>MIN(MAX(0,INDEX(Underwriting!$L$52:$EN$52,1,COLUMN()-5)),MAX(0,G$73-G$74))</f>
        <v>0</v>
      </c>
      <c r="H82" s="309">
        <f>MIN(MAX(0,INDEX(Underwriting!$L$52:$EN$52,1,COLUMN()-5)),MAX(0,H$73-H$74))</f>
        <v>0</v>
      </c>
      <c r="I82" s="309">
        <f>MIN(MAX(0,INDEX(Underwriting!$L$52:$EN$52,1,COLUMN()-5)),MAX(0,I$73-I$74))</f>
        <v>0</v>
      </c>
      <c r="J82" s="309">
        <f>MIN(MAX(0,INDEX(Underwriting!$L$52:$EN$52,1,COLUMN()-5)),MAX(0,J$73-J$74))</f>
        <v>0</v>
      </c>
      <c r="K82" s="309">
        <f>MIN(MAX(0,INDEX(Underwriting!$L$52:$EN$52,1,COLUMN()-5)),MAX(0,K$73-K$74))</f>
        <v>0</v>
      </c>
      <c r="L82" s="309">
        <f>MIN(MAX(0,INDEX(Underwriting!$L$52:$EN$52,1,COLUMN()-5)),MAX(0,L$73-L$74))</f>
        <v>0</v>
      </c>
      <c r="M82" s="309">
        <f>MIN(MAX(0,INDEX(Underwriting!$L$52:$EN$52,1,COLUMN()-5)),MAX(0,M$73-M$74))</f>
        <v>0</v>
      </c>
      <c r="N82" s="309">
        <f>MIN(MAX(0,INDEX(Underwriting!$L$52:$EN$52,1,COLUMN()-5)),MAX(0,N$73-N$74))</f>
        <v>0</v>
      </c>
      <c r="O82" s="309">
        <f>MIN(MAX(0,INDEX(Underwriting!$L$52:$EN$52,1,COLUMN()-5)),MAX(0,O$73-O$74))</f>
        <v>0</v>
      </c>
      <c r="P82" s="309">
        <f>MIN(MAX(0,INDEX(Underwriting!$L$52:$EN$52,1,COLUMN()-5)),MAX(0,P$73-P$74))</f>
        <v>0</v>
      </c>
      <c r="Q82" s="309">
        <f>MIN(MAX(0,INDEX(Underwriting!$L$52:$EN$52,1,COLUMN()-5)),MAX(0,Q$73-Q$74))</f>
        <v>0</v>
      </c>
      <c r="R82" s="309">
        <f>MIN(MAX(0,INDEX(Underwriting!$L$52:$EN$52,1,COLUMN()-5)),MAX(0,R$73-R$74))</f>
        <v>0</v>
      </c>
      <c r="S82" s="309">
        <f>MIN(MAX(0,INDEX(Underwriting!$L$52:$EN$52,1,COLUMN()-5)),MAX(0,S$73-S$74))</f>
        <v>0</v>
      </c>
      <c r="T82" s="309">
        <f>MIN(MAX(0,INDEX(Underwriting!$L$52:$EN$52,1,COLUMN()-5)),MAX(0,T$73-T$74))</f>
        <v>0</v>
      </c>
      <c r="U82" s="309">
        <f>MIN(MAX(0,INDEX(Underwriting!$L$52:$EN$52,1,COLUMN()-5)),MAX(0,U$73-U$74))</f>
        <v>0</v>
      </c>
      <c r="V82" s="309">
        <f>MIN(MAX(0,INDEX(Underwriting!$L$52:$EN$52,1,COLUMN()-5)),MAX(0,V$73-V$74))</f>
        <v>0</v>
      </c>
      <c r="W82" s="309">
        <f>MIN(MAX(0,INDEX(Underwriting!$L$52:$EN$52,1,COLUMN()-5)),MAX(0,W$73-W$74))</f>
        <v>0</v>
      </c>
      <c r="X82" s="309">
        <f>MIN(MAX(0,INDEX(Underwriting!$L$52:$EN$52,1,COLUMN()-5)),MAX(0,X$73-X$74))</f>
        <v>0</v>
      </c>
      <c r="Y82" s="309">
        <f>MIN(MAX(0,INDEX(Underwriting!$L$52:$EN$52,1,COLUMN()-5)),MAX(0,Y$73-Y$74))</f>
        <v>0</v>
      </c>
      <c r="Z82" s="309">
        <f>MIN(MAX(0,INDEX(Underwriting!$L$52:$EN$52,1,COLUMN()-5)),MAX(0,Z$73-Z$74))</f>
        <v>0</v>
      </c>
      <c r="AA82" s="309">
        <f>MIN(MAX(0,INDEX(Underwriting!$L$52:$EN$52,1,COLUMN()-5)),MAX(0,AA$73-AA$74))</f>
        <v>0</v>
      </c>
      <c r="AB82" s="309">
        <f>MIN(MAX(0,INDEX(Underwriting!$L$52:$EN$52,1,COLUMN()-5)),MAX(0,AB$73-AB$74))</f>
        <v>0</v>
      </c>
      <c r="AC82" s="309">
        <f>MIN(MAX(0,INDEX(Underwriting!$L$52:$EN$52,1,COLUMN()-5)),MAX(0,AC$73-AC$74))</f>
        <v>0</v>
      </c>
      <c r="AD82" s="309">
        <f>MIN(MAX(0,INDEX(Underwriting!$L$52:$EN$52,1,COLUMN()-5)),MAX(0,AD$73-AD$74))</f>
        <v>0</v>
      </c>
      <c r="AE82" s="309">
        <f>MIN(MAX(0,INDEX(Underwriting!$L$52:$EN$52,1,COLUMN()-5)),MAX(0,AE$73-AE$74))</f>
        <v>0</v>
      </c>
      <c r="AF82" s="309">
        <f>MIN(MAX(0,INDEX(Underwriting!$L$52:$EN$52,1,COLUMN()-5)),MAX(0,AF$73-AF$74))</f>
        <v>0</v>
      </c>
      <c r="AG82" s="309">
        <f>MIN(MAX(0,INDEX(Underwriting!$L$52:$EN$52,1,COLUMN()-5)),MAX(0,AG$73-AG$74))</f>
        <v>0</v>
      </c>
      <c r="AH82" s="309">
        <f>MIN(MAX(0,INDEX(Underwriting!$L$52:$EN$52,1,COLUMN()-5)),MAX(0,AH$73-AH$74))</f>
        <v>0</v>
      </c>
      <c r="AI82" s="309">
        <f>MIN(MAX(0,INDEX(Underwriting!$L$52:$EN$52,1,COLUMN()-5)),MAX(0,AI$73-AI$74))</f>
        <v>0</v>
      </c>
      <c r="AJ82" s="309">
        <f>MIN(MAX(0,INDEX(Underwriting!$L$52:$EN$52,1,COLUMN()-5)),MAX(0,AJ$73-AJ$74))</f>
        <v>0</v>
      </c>
      <c r="AK82" s="309">
        <f>MIN(MAX(0,INDEX(Underwriting!$L$52:$EN$52,1,COLUMN()-5)),MAX(0,AK$73-AK$74))</f>
        <v>0</v>
      </c>
      <c r="AL82" s="309">
        <f>MIN(MAX(0,INDEX(Underwriting!$L$52:$EN$52,1,COLUMN()-5)),MAX(0,AL$73-AL$74))</f>
        <v>0</v>
      </c>
      <c r="AM82" s="309">
        <f>MIN(MAX(0,INDEX(Underwriting!$L$52:$EN$52,1,COLUMN()-5)),MAX(0,AM$73-AM$74))</f>
        <v>0</v>
      </c>
      <c r="AN82" s="309">
        <f>MIN(MAX(0,INDEX(Underwriting!$L$52:$EN$52,1,COLUMN()-5)),MAX(0,AN$73-AN$74))</f>
        <v>0</v>
      </c>
      <c r="AO82" s="309">
        <f>MIN(MAX(0,INDEX(Underwriting!$L$52:$EN$52,1,COLUMN()-5)),MAX(0,AO$73-AO$74))</f>
        <v>0</v>
      </c>
      <c r="AP82" s="309">
        <f>MIN(MAX(0,INDEX(Underwriting!$L$52:$EN$52,1,COLUMN()-5)),MAX(0,AP$73-AP$74))</f>
        <v>0</v>
      </c>
      <c r="AQ82" s="309">
        <f>MIN(MAX(0,INDEX(Underwriting!$L$52:$EN$52,1,COLUMN()-5)),MAX(0,AQ$73-AQ$74))</f>
        <v>0</v>
      </c>
      <c r="AR82" s="309">
        <f>MIN(MAX(0,INDEX(Underwriting!$L$52:$EN$52,1,COLUMN()-5)),MAX(0,AR$73-AR$74))</f>
        <v>0</v>
      </c>
      <c r="AS82" s="309">
        <f>MIN(MAX(0,INDEX(Underwriting!$L$52:$EN$52,1,COLUMN()-5)),MAX(0,AS$73-AS$74))</f>
        <v>0</v>
      </c>
      <c r="AT82" s="309">
        <f>MIN(MAX(0,INDEX(Underwriting!$L$52:$EN$52,1,COLUMN()-5)),MAX(0,AT$73-AT$74))</f>
        <v>0</v>
      </c>
      <c r="AU82" s="309">
        <f>MIN(MAX(0,INDEX(Underwriting!$L$52:$EN$52,1,COLUMN()-5)),MAX(0,AU$73-AU$74))</f>
        <v>0</v>
      </c>
      <c r="AV82" s="309">
        <f>MIN(MAX(0,INDEX(Underwriting!$L$52:$EN$52,1,COLUMN()-5)),MAX(0,AV$73-AV$74))</f>
        <v>0</v>
      </c>
      <c r="AW82" s="309">
        <f>MIN(MAX(0,INDEX(Underwriting!$L$52:$EN$52,1,COLUMN()-5)),MAX(0,AW$73-AW$74))</f>
        <v>0</v>
      </c>
      <c r="AX82" s="309">
        <f>MIN(MAX(0,INDEX(Underwriting!$L$52:$EN$52,1,COLUMN()-5)),MAX(0,AX$73-AX$74))</f>
        <v>0</v>
      </c>
      <c r="AY82" s="309">
        <f>MIN(MAX(0,INDEX(Underwriting!$L$52:$EN$52,1,COLUMN()-5)),MAX(0,AY$73-AY$74))</f>
        <v>0</v>
      </c>
      <c r="AZ82" s="309">
        <f>MIN(MAX(0,INDEX(Underwriting!$L$52:$EN$52,1,COLUMN()-5)),MAX(0,AZ$73-AZ$74))</f>
        <v>0</v>
      </c>
      <c r="BA82" s="309">
        <f>MIN(MAX(0,INDEX(Underwriting!$L$52:$EN$52,1,COLUMN()-5)),MAX(0,BA$73-BA$74))</f>
        <v>0</v>
      </c>
      <c r="BB82" s="309">
        <f>MIN(MAX(0,INDEX(Underwriting!$L$52:$EN$52,1,COLUMN()-5)),MAX(0,BB$73-BB$74))</f>
        <v>0</v>
      </c>
      <c r="BC82" s="309">
        <f>MIN(MAX(0,INDEX(Underwriting!$L$52:$EN$52,1,COLUMN()-5)),MAX(0,BC$73-BC$74))</f>
        <v>0</v>
      </c>
      <c r="BD82" s="309">
        <f>MIN(MAX(0,INDEX(Underwriting!$L$52:$EN$52,1,COLUMN()-5)),MAX(0,BD$73-BD$74))</f>
        <v>0</v>
      </c>
      <c r="BE82" s="309">
        <f>MIN(MAX(0,INDEX(Underwriting!$L$52:$EN$52,1,COLUMN()-5)),MAX(0,BE$73-BE$74))</f>
        <v>0</v>
      </c>
      <c r="BF82" s="309">
        <f>MIN(MAX(0,INDEX(Underwriting!$L$52:$EN$52,1,COLUMN()-5)),MAX(0,BF$73-BF$74))</f>
        <v>0</v>
      </c>
      <c r="BG82" s="309">
        <f>MIN(MAX(0,INDEX(Underwriting!$L$52:$EN$52,1,COLUMN()-5)),MAX(0,BG$73-BG$74))</f>
        <v>0</v>
      </c>
      <c r="BH82" s="309">
        <f>MIN(MAX(0,INDEX(Underwriting!$L$52:$EN$52,1,COLUMN()-5)),MAX(0,BH$73-BH$74))</f>
        <v>0</v>
      </c>
      <c r="BI82" s="309">
        <f>MIN(MAX(0,INDEX(Underwriting!$L$52:$EN$52,1,COLUMN()-5)),MAX(0,BI$73-BI$74))</f>
        <v>0</v>
      </c>
      <c r="BJ82" s="309">
        <f>MIN(MAX(0,INDEX(Underwriting!$L$52:$EN$52,1,COLUMN()-5)),MAX(0,BJ$73-BJ$74))</f>
        <v>0</v>
      </c>
      <c r="BK82" s="309">
        <f>MIN(MAX(0,INDEX(Underwriting!$L$52:$EN$52,1,COLUMN()-5)),MAX(0,BK$73-BK$74))</f>
        <v>0</v>
      </c>
      <c r="BL82" s="309">
        <f>MIN(MAX(0,INDEX(Underwriting!$L$52:$EN$52,1,COLUMN()-5)),MAX(0,BL$73-BL$74))</f>
        <v>0</v>
      </c>
      <c r="BM82" s="309">
        <f>MIN(MAX(0,INDEX(Underwriting!$L$52:$EN$52,1,COLUMN()-5)),MAX(0,BM$73-BM$74))</f>
        <v>0</v>
      </c>
      <c r="BN82" s="309">
        <f>MIN(MAX(0,INDEX(Underwriting!$L$52:$EN$52,1,COLUMN()-5)),MAX(0,BN$73-BN$74))</f>
        <v>0</v>
      </c>
      <c r="BO82" s="309">
        <f>MIN(MAX(0,INDEX(Underwriting!$L$52:$EN$52,1,COLUMN()-5)),MAX(0,BO$73-BO$74))</f>
        <v>0</v>
      </c>
      <c r="BP82" s="309">
        <f>MIN(MAX(0,INDEX(Underwriting!$L$52:$EN$52,1,COLUMN()-5)),MAX(0,BP$73-BP$74))</f>
        <v>0</v>
      </c>
      <c r="BQ82" s="309">
        <f>MIN(MAX(0,INDEX(Underwriting!$L$52:$EN$52,1,COLUMN()-5)),MAX(0,BQ$73-BQ$74))</f>
        <v>0</v>
      </c>
      <c r="BR82" s="309">
        <f>MIN(MAX(0,INDEX(Underwriting!$L$52:$EN$52,1,COLUMN()-5)),MAX(0,BR$73-BR$74))</f>
        <v>0</v>
      </c>
      <c r="BS82" s="309">
        <f>MIN(MAX(0,INDEX(Underwriting!$L$52:$EN$52,1,COLUMN()-5)),MAX(0,BS$73-BS$74))</f>
        <v>0</v>
      </c>
      <c r="BT82" s="309">
        <f>MIN(MAX(0,INDEX(Underwriting!$L$52:$EN$52,1,COLUMN()-5)),MAX(0,BT$73-BT$74))</f>
        <v>0</v>
      </c>
      <c r="BU82" s="309">
        <f>MIN(MAX(0,INDEX(Underwriting!$L$52:$EN$52,1,COLUMN()-5)),MAX(0,BU$73-BU$74))</f>
        <v>0</v>
      </c>
      <c r="BV82" s="309">
        <f>MIN(MAX(0,INDEX(Underwriting!$L$52:$EN$52,1,COLUMN()-5)),MAX(0,BV$73-BV$74))</f>
        <v>0</v>
      </c>
      <c r="BW82" s="309">
        <f>MIN(MAX(0,INDEX(Underwriting!$L$52:$EN$52,1,COLUMN()-5)),MAX(0,BW$73-BW$74))</f>
        <v>0</v>
      </c>
      <c r="BX82" s="309">
        <f>MIN(MAX(0,INDEX(Underwriting!$L$52:$EN$52,1,COLUMN()-5)),MAX(0,BX$73-BX$74))</f>
        <v>0</v>
      </c>
      <c r="BY82" s="309">
        <f>MIN(MAX(0,INDEX(Underwriting!$L$52:$EN$52,1,COLUMN()-5)),MAX(0,BY$73-BY$74))</f>
        <v>0</v>
      </c>
      <c r="BZ82" s="309">
        <f>MIN(MAX(0,INDEX(Underwriting!$L$52:$EN$52,1,COLUMN()-5)),MAX(0,BZ$73-BZ$74))</f>
        <v>0</v>
      </c>
      <c r="CA82" s="309">
        <f>MIN(MAX(0,INDEX(Underwriting!$L$52:$EN$52,1,COLUMN()-5)),MAX(0,CA$73-CA$74))</f>
        <v>0</v>
      </c>
      <c r="CB82" s="309">
        <f>MIN(MAX(0,INDEX(Underwriting!$L$52:$EN$52,1,COLUMN()-5)),MAX(0,CB$73-CB$74))</f>
        <v>0</v>
      </c>
      <c r="CC82" s="309">
        <f>MIN(MAX(0,INDEX(Underwriting!$L$52:$EN$52,1,COLUMN()-5)),MAX(0,CC$73-CC$74))</f>
        <v>0</v>
      </c>
      <c r="CD82" s="309">
        <f>MIN(MAX(0,INDEX(Underwriting!$L$52:$EN$52,1,COLUMN()-5)),MAX(0,CD$73-CD$74))</f>
        <v>0</v>
      </c>
      <c r="CE82" s="309">
        <f>MIN(MAX(0,INDEX(Underwriting!$L$52:$EN$52,1,COLUMN()-5)),MAX(0,CE$73-CE$74))</f>
        <v>0</v>
      </c>
      <c r="CF82" s="309">
        <f>MIN(MAX(0,INDEX(Underwriting!$L$52:$EN$52,1,COLUMN()-5)),MAX(0,CF$73-CF$74))</f>
        <v>0</v>
      </c>
      <c r="CG82" s="309">
        <f>MIN(MAX(0,INDEX(Underwriting!$L$52:$EN$52,1,COLUMN()-5)),MAX(0,CG$73-CG$74))</f>
        <v>0</v>
      </c>
      <c r="CH82" s="309">
        <f>MIN(MAX(0,INDEX(Underwriting!$L$52:$EN$52,1,COLUMN()-5)),MAX(0,CH$73-CH$74))</f>
        <v>0</v>
      </c>
      <c r="CI82" s="309">
        <f>MIN(MAX(0,INDEX(Underwriting!$L$52:$EN$52,1,COLUMN()-5)),MAX(0,CI$73-CI$74))</f>
        <v>0</v>
      </c>
      <c r="CJ82" s="309">
        <f>MIN(MAX(0,INDEX(Underwriting!$L$52:$EN$52,1,COLUMN()-5)),MAX(0,CJ$73-CJ$74))</f>
        <v>0</v>
      </c>
      <c r="CK82" s="309">
        <f>MIN(MAX(0,INDEX(Underwriting!$L$52:$EN$52,1,COLUMN()-5)),MAX(0,CK$73-CK$74))</f>
        <v>0</v>
      </c>
      <c r="CL82" s="309">
        <f>MIN(MAX(0,INDEX(Underwriting!$L$52:$EN$52,1,COLUMN()-5)),MAX(0,CL$73-CL$74))</f>
        <v>0</v>
      </c>
      <c r="CM82" s="309">
        <f>MIN(MAX(0,INDEX(Underwriting!$L$52:$EN$52,1,COLUMN()-5)),MAX(0,CM$73-CM$74))</f>
        <v>0</v>
      </c>
      <c r="CN82" s="309">
        <f>MIN(MAX(0,INDEX(Underwriting!$L$52:$EN$52,1,COLUMN()-5)),MAX(0,CN$73-CN$74))</f>
        <v>0</v>
      </c>
      <c r="CO82" s="309">
        <f>MIN(MAX(0,INDEX(Underwriting!$L$52:$EN$52,1,COLUMN()-5)),MAX(0,CO$73-CO$74))</f>
        <v>0</v>
      </c>
      <c r="CP82" s="309">
        <f>MIN(MAX(0,INDEX(Underwriting!$L$52:$EN$52,1,COLUMN()-5)),MAX(0,CP$73-CP$74))</f>
        <v>0</v>
      </c>
      <c r="CQ82" s="309">
        <f>MIN(MAX(0,INDEX(Underwriting!$L$52:$EN$52,1,COLUMN()-5)),MAX(0,CQ$73-CQ$74))</f>
        <v>0</v>
      </c>
      <c r="CR82" s="309">
        <f>MIN(MAX(0,INDEX(Underwriting!$L$52:$EN$52,1,COLUMN()-5)),MAX(0,CR$73-CR$74))</f>
        <v>0</v>
      </c>
      <c r="CS82" s="309">
        <f>MIN(MAX(0,INDEX(Underwriting!$L$52:$EN$52,1,COLUMN()-5)),MAX(0,CS$73-CS$74))</f>
        <v>0</v>
      </c>
      <c r="CT82" s="309">
        <f>MIN(MAX(0,INDEX(Underwriting!$L$52:$EN$52,1,COLUMN()-5)),MAX(0,CT$73-CT$74))</f>
        <v>0</v>
      </c>
      <c r="CU82" s="309">
        <f>MIN(MAX(0,INDEX(Underwriting!$L$52:$EN$52,1,COLUMN()-5)),MAX(0,CU$73-CU$74))</f>
        <v>0</v>
      </c>
      <c r="CV82" s="309">
        <f>MIN(MAX(0,INDEX(Underwriting!$L$52:$EN$52,1,COLUMN()-5)),MAX(0,CV$73-CV$74))</f>
        <v>0</v>
      </c>
      <c r="CW82" s="309">
        <f>MIN(MAX(0,INDEX(Underwriting!$L$52:$EN$52,1,COLUMN()-5)),MAX(0,CW$73-CW$74))</f>
        <v>0</v>
      </c>
      <c r="CX82" s="309">
        <f>MIN(MAX(0,INDEX(Underwriting!$L$52:$EN$52,1,COLUMN()-5)),MAX(0,CX$73-CX$74))</f>
        <v>0</v>
      </c>
      <c r="CY82" s="309">
        <f>MIN(MAX(0,INDEX(Underwriting!$L$52:$EN$52,1,COLUMN()-5)),MAX(0,CY$73-CY$74))</f>
        <v>0</v>
      </c>
      <c r="CZ82" s="309">
        <f>MIN(MAX(0,INDEX(Underwriting!$L$52:$EN$52,1,COLUMN()-5)),MAX(0,CZ$73-CZ$74))</f>
        <v>0</v>
      </c>
      <c r="DA82" s="309">
        <f>MIN(MAX(0,INDEX(Underwriting!$L$52:$EN$52,1,COLUMN()-5)),MAX(0,DA$73-DA$74))</f>
        <v>0</v>
      </c>
      <c r="DB82" s="309">
        <f>MIN(MAX(0,INDEX(Underwriting!$L$52:$EN$52,1,COLUMN()-5)),MAX(0,DB$73-DB$74))</f>
        <v>0</v>
      </c>
      <c r="DC82" s="309">
        <f>MIN(MAX(0,INDEX(Underwriting!$L$52:$EN$52,1,COLUMN()-5)),MAX(0,DC$73-DC$74))</f>
        <v>0</v>
      </c>
      <c r="DD82" s="309">
        <f>MIN(MAX(0,INDEX(Underwriting!$L$52:$EN$52,1,COLUMN()-5)),MAX(0,DD$73-DD$74))</f>
        <v>0</v>
      </c>
      <c r="DE82" s="309">
        <f>MIN(MAX(0,INDEX(Underwriting!$L$52:$EN$52,1,COLUMN()-5)),MAX(0,DE$73-DE$74))</f>
        <v>0</v>
      </c>
      <c r="DF82" s="309">
        <f>MIN(MAX(0,INDEX(Underwriting!$L$52:$EN$52,1,COLUMN()-5)),MAX(0,DF$73-DF$74))</f>
        <v>0</v>
      </c>
      <c r="DG82" s="309">
        <f>MIN(MAX(0,INDEX(Underwriting!$L$52:$EN$52,1,COLUMN()-5)),MAX(0,DG$73-DG$74))</f>
        <v>0</v>
      </c>
      <c r="DH82" s="309">
        <f>MIN(MAX(0,INDEX(Underwriting!$L$52:$EN$52,1,COLUMN()-5)),MAX(0,DH$73-DH$74))</f>
        <v>0</v>
      </c>
      <c r="DI82" s="309">
        <f>MIN(MAX(0,INDEX(Underwriting!$L$52:$EN$52,1,COLUMN()-5)),MAX(0,DI$73-DI$74))</f>
        <v>0</v>
      </c>
      <c r="DJ82" s="309">
        <f>MIN(MAX(0,INDEX(Underwriting!$L$52:$EN$52,1,COLUMN()-5)),MAX(0,DJ$73-DJ$74))</f>
        <v>0</v>
      </c>
      <c r="DK82" s="309">
        <f>MIN(MAX(0,INDEX(Underwriting!$L$52:$EN$52,1,COLUMN()-5)),MAX(0,DK$73-DK$74))</f>
        <v>0</v>
      </c>
      <c r="DL82" s="309">
        <f>MIN(MAX(0,INDEX(Underwriting!$L$52:$EN$52,1,COLUMN()-5)),MAX(0,DL$73-DL$74))</f>
        <v>0</v>
      </c>
      <c r="DM82" s="309">
        <f>MIN(MAX(0,INDEX(Underwriting!$L$52:$EN$52,1,COLUMN()-5)),MAX(0,DM$73-DM$74))</f>
        <v>0</v>
      </c>
      <c r="DN82" s="309">
        <f>MIN(MAX(0,INDEX(Underwriting!$L$52:$EN$52,1,COLUMN()-5)),MAX(0,DN$73-DN$74))</f>
        <v>0</v>
      </c>
      <c r="DO82" s="309">
        <f>MIN(MAX(0,INDEX(Underwriting!$L$52:$EN$52,1,COLUMN()-5)),MAX(0,DO$73-DO$74))</f>
        <v>0</v>
      </c>
      <c r="DP82" s="309">
        <f>MIN(MAX(0,INDEX(Underwriting!$L$52:$EN$52,1,COLUMN()-5)),MAX(0,DP$73-DP$74))</f>
        <v>0</v>
      </c>
      <c r="DQ82" s="309">
        <f>MIN(MAX(0,INDEX(Underwriting!$L$52:$EN$52,1,COLUMN()-5)),MAX(0,DQ$73-DQ$74))</f>
        <v>0</v>
      </c>
      <c r="DR82" s="309">
        <f>MIN(MAX(0,INDEX(Underwriting!$L$52:$EN$52,1,COLUMN()-5)),MAX(0,DR$73-DR$74))</f>
        <v>0</v>
      </c>
      <c r="DS82" s="309">
        <f>MIN(MAX(0,INDEX(Underwriting!$L$52:$EN$52,1,COLUMN()-5)),MAX(0,DS$73-DS$74))</f>
        <v>0</v>
      </c>
      <c r="DT82" s="309">
        <f>MIN(MAX(0,INDEX(Underwriting!$L$52:$EN$52,1,COLUMN()-5)),MAX(0,DT$73-DT$74))</f>
        <v>0</v>
      </c>
      <c r="DU82" s="309">
        <f>MIN(MAX(0,INDEX(Underwriting!$L$52:$EN$52,1,COLUMN()-5)),MAX(0,DU$73-DU$74))</f>
        <v>0</v>
      </c>
      <c r="DV82" s="309">
        <f>MIN(MAX(0,INDEX(Underwriting!$L$52:$EN$52,1,COLUMN()-5)),MAX(0,DV$73-DV$74))</f>
        <v>0</v>
      </c>
    </row>
    <row r="83" spans="1:126" ht="15" customHeight="1" x14ac:dyDescent="0.35">
      <c r="A83" s="307" t="s">
        <v>1515</v>
      </c>
      <c r="B83" s="308" t="s">
        <v>1370</v>
      </c>
      <c r="C83" s="1146" t="s">
        <v>1516</v>
      </c>
      <c r="D83" s="1147"/>
      <c r="F83" s="309">
        <f t="shared" ref="F83:AK83" si="40">IF(F$64&lt;$B$35,(F$74+0.5*F$81)*MAX(0,$B$12+$B$13+INDEX($M$31:$M$33,MATCH($B$6,$J$31:$J$33,0)))*F$65/$B$17,0)</f>
        <v>0</v>
      </c>
      <c r="G83" s="309">
        <f t="shared" si="40"/>
        <v>94425.806755455982</v>
      </c>
      <c r="H83" s="309">
        <f t="shared" si="40"/>
        <v>100238.47281226986</v>
      </c>
      <c r="I83" s="309">
        <f t="shared" si="40"/>
        <v>65078.873891363539</v>
      </c>
      <c r="J83" s="309">
        <f t="shared" si="40"/>
        <v>77583.68871046773</v>
      </c>
      <c r="K83" s="309">
        <f t="shared" si="40"/>
        <v>88570.090156701059</v>
      </c>
      <c r="L83" s="309">
        <f t="shared" si="40"/>
        <v>110202.44218717932</v>
      </c>
      <c r="M83" s="309">
        <f t="shared" si="40"/>
        <v>134923.62840388739</v>
      </c>
      <c r="N83" s="309">
        <f t="shared" si="40"/>
        <v>150920.37674027326</v>
      </c>
      <c r="O83" s="309">
        <f t="shared" si="40"/>
        <v>208121.17615232908</v>
      </c>
      <c r="P83" s="309">
        <f t="shared" si="40"/>
        <v>250960.98257572312</v>
      </c>
      <c r="Q83" s="309">
        <f t="shared" si="40"/>
        <v>321763.57564971794</v>
      </c>
      <c r="R83" s="309">
        <f t="shared" si="40"/>
        <v>383307.53898899409</v>
      </c>
      <c r="S83" s="309">
        <f t="shared" si="40"/>
        <v>476104.30174981256</v>
      </c>
      <c r="T83" s="309">
        <f t="shared" si="40"/>
        <v>541750.73554314417</v>
      </c>
      <c r="U83" s="309">
        <f t="shared" si="40"/>
        <v>576494.34256346931</v>
      </c>
      <c r="V83" s="309">
        <f t="shared" si="40"/>
        <v>653783.83581977326</v>
      </c>
      <c r="W83" s="309">
        <f t="shared" si="40"/>
        <v>691642.17030358245</v>
      </c>
      <c r="X83" s="309">
        <f t="shared" si="40"/>
        <v>776962.19468683761</v>
      </c>
      <c r="Y83" s="309">
        <f t="shared" si="40"/>
        <v>838986.57216294692</v>
      </c>
      <c r="Z83" s="309">
        <f t="shared" si="40"/>
        <v>841299.47214051534</v>
      </c>
      <c r="AA83" s="309">
        <f t="shared" si="40"/>
        <v>956391.83742628852</v>
      </c>
      <c r="AB83" s="309">
        <f t="shared" si="40"/>
        <v>976693.610347601</v>
      </c>
      <c r="AC83" s="309">
        <f t="shared" si="40"/>
        <v>1056991.7264111266</v>
      </c>
      <c r="AD83" s="309">
        <f t="shared" si="40"/>
        <v>1063599.1108749877</v>
      </c>
      <c r="AE83" s="309">
        <f t="shared" si="40"/>
        <v>1135209.3374459029</v>
      </c>
      <c r="AF83" s="309">
        <f t="shared" si="40"/>
        <v>1165551.3728559241</v>
      </c>
      <c r="AG83" s="309">
        <f t="shared" si="40"/>
        <v>1152023.3993738231</v>
      </c>
      <c r="AH83" s="309">
        <f t="shared" si="40"/>
        <v>1210360.6614460261</v>
      </c>
      <c r="AI83" s="309">
        <f t="shared" si="40"/>
        <v>1186458.7534370851</v>
      </c>
      <c r="AJ83" s="309">
        <f t="shared" si="40"/>
        <v>1235587.8702317381</v>
      </c>
      <c r="AK83" s="309">
        <f t="shared" si="40"/>
        <v>1238388.6265924352</v>
      </c>
      <c r="AL83" s="309">
        <f t="shared" ref="AL83:BQ83" si="41">IF(AL$64&lt;$B$35,(AL$74+0.5*AL$81)*MAX(0,$B$12+$B$13+INDEX($M$31:$M$33,MATCH($B$6,$J$31:$J$33,0)))*AL$65/$B$17,0)</f>
        <v>1118644.4610068374</v>
      </c>
      <c r="AM83" s="309">
        <f t="shared" si="41"/>
        <v>1238600.9681540667</v>
      </c>
      <c r="AN83" s="309">
        <f t="shared" si="41"/>
        <v>1198731.881089533</v>
      </c>
      <c r="AO83" s="309">
        <f t="shared" si="41"/>
        <v>1238763.254658517</v>
      </c>
      <c r="AP83" s="309">
        <f t="shared" si="41"/>
        <v>1198859.8709347108</v>
      </c>
      <c r="AQ83" s="309">
        <f t="shared" si="41"/>
        <v>1238766.107804609</v>
      </c>
      <c r="AR83" s="309">
        <f t="shared" si="41"/>
        <v>1238376.5654156376</v>
      </c>
      <c r="AS83" s="309">
        <f t="shared" si="41"/>
        <v>1198130.7331822342</v>
      </c>
      <c r="AT83" s="309">
        <f t="shared" si="41"/>
        <v>1238068.4242883087</v>
      </c>
      <c r="AU83" s="309">
        <f t="shared" si="41"/>
        <v>1198130.7331822342</v>
      </c>
      <c r="AV83" s="309">
        <f t="shared" si="41"/>
        <v>1238068.4242883087</v>
      </c>
      <c r="AW83" s="309">
        <f t="shared" si="41"/>
        <v>1238068.4242883087</v>
      </c>
      <c r="AX83" s="309">
        <f t="shared" si="41"/>
        <v>1118255.3509700852</v>
      </c>
      <c r="AY83" s="309">
        <f t="shared" si="41"/>
        <v>1238068.4242883087</v>
      </c>
      <c r="AZ83" s="309">
        <f t="shared" si="41"/>
        <v>1198130.7331822342</v>
      </c>
      <c r="BA83" s="309">
        <f t="shared" si="41"/>
        <v>1238068.4242883087</v>
      </c>
      <c r="BB83" s="309">
        <f t="shared" si="41"/>
        <v>1198130.7331822342</v>
      </c>
      <c r="BC83" s="309">
        <f t="shared" si="41"/>
        <v>0</v>
      </c>
      <c r="BD83" s="309">
        <f t="shared" si="41"/>
        <v>0</v>
      </c>
      <c r="BE83" s="309">
        <f t="shared" si="41"/>
        <v>0</v>
      </c>
      <c r="BF83" s="309">
        <f t="shared" si="41"/>
        <v>0</v>
      </c>
      <c r="BG83" s="309">
        <f t="shared" si="41"/>
        <v>0</v>
      </c>
      <c r="BH83" s="309">
        <f t="shared" si="41"/>
        <v>0</v>
      </c>
      <c r="BI83" s="309">
        <f t="shared" si="41"/>
        <v>0</v>
      </c>
      <c r="BJ83" s="309">
        <f t="shared" si="41"/>
        <v>0</v>
      </c>
      <c r="BK83" s="309">
        <f t="shared" si="41"/>
        <v>0</v>
      </c>
      <c r="BL83" s="309">
        <f t="shared" si="41"/>
        <v>0</v>
      </c>
      <c r="BM83" s="309">
        <f t="shared" si="41"/>
        <v>0</v>
      </c>
      <c r="BN83" s="309">
        <f t="shared" si="41"/>
        <v>0</v>
      </c>
      <c r="BO83" s="309">
        <f t="shared" si="41"/>
        <v>0</v>
      </c>
      <c r="BP83" s="309">
        <f t="shared" si="41"/>
        <v>0</v>
      </c>
      <c r="BQ83" s="309">
        <f t="shared" si="41"/>
        <v>0</v>
      </c>
      <c r="BR83" s="309">
        <f t="shared" ref="BR83:CW83" si="42">IF(BR$64&lt;$B$35,(BR$74+0.5*BR$81)*MAX(0,$B$12+$B$13+INDEX($M$31:$M$33,MATCH($B$6,$J$31:$J$33,0)))*BR$65/$B$17,0)</f>
        <v>0</v>
      </c>
      <c r="BS83" s="309">
        <f t="shared" si="42"/>
        <v>0</v>
      </c>
      <c r="BT83" s="309">
        <f t="shared" si="42"/>
        <v>0</v>
      </c>
      <c r="BU83" s="309">
        <f t="shared" si="42"/>
        <v>0</v>
      </c>
      <c r="BV83" s="309">
        <f t="shared" si="42"/>
        <v>0</v>
      </c>
      <c r="BW83" s="309">
        <f t="shared" si="42"/>
        <v>0</v>
      </c>
      <c r="BX83" s="309">
        <f t="shared" si="42"/>
        <v>0</v>
      </c>
      <c r="BY83" s="309">
        <f t="shared" si="42"/>
        <v>0</v>
      </c>
      <c r="BZ83" s="309">
        <f t="shared" si="42"/>
        <v>0</v>
      </c>
      <c r="CA83" s="309">
        <f t="shared" si="42"/>
        <v>0</v>
      </c>
      <c r="CB83" s="309">
        <f t="shared" si="42"/>
        <v>0</v>
      </c>
      <c r="CC83" s="309">
        <f t="shared" si="42"/>
        <v>0</v>
      </c>
      <c r="CD83" s="309">
        <f t="shared" si="42"/>
        <v>0</v>
      </c>
      <c r="CE83" s="309">
        <f t="shared" si="42"/>
        <v>0</v>
      </c>
      <c r="CF83" s="309">
        <f t="shared" si="42"/>
        <v>0</v>
      </c>
      <c r="CG83" s="309">
        <f t="shared" si="42"/>
        <v>0</v>
      </c>
      <c r="CH83" s="309">
        <f t="shared" si="42"/>
        <v>0</v>
      </c>
      <c r="CI83" s="309">
        <f t="shared" si="42"/>
        <v>0</v>
      </c>
      <c r="CJ83" s="309">
        <f t="shared" si="42"/>
        <v>0</v>
      </c>
      <c r="CK83" s="309">
        <f t="shared" si="42"/>
        <v>0</v>
      </c>
      <c r="CL83" s="309">
        <f t="shared" si="42"/>
        <v>0</v>
      </c>
      <c r="CM83" s="309">
        <f t="shared" si="42"/>
        <v>0</v>
      </c>
      <c r="CN83" s="309">
        <f t="shared" si="42"/>
        <v>0</v>
      </c>
      <c r="CO83" s="309">
        <f t="shared" si="42"/>
        <v>0</v>
      </c>
      <c r="CP83" s="309">
        <f t="shared" si="42"/>
        <v>0</v>
      </c>
      <c r="CQ83" s="309">
        <f t="shared" si="42"/>
        <v>0</v>
      </c>
      <c r="CR83" s="309">
        <f t="shared" si="42"/>
        <v>0</v>
      </c>
      <c r="CS83" s="309">
        <f t="shared" si="42"/>
        <v>0</v>
      </c>
      <c r="CT83" s="309">
        <f t="shared" si="42"/>
        <v>0</v>
      </c>
      <c r="CU83" s="309">
        <f t="shared" si="42"/>
        <v>0</v>
      </c>
      <c r="CV83" s="309">
        <f t="shared" si="42"/>
        <v>0</v>
      </c>
      <c r="CW83" s="309">
        <f t="shared" si="42"/>
        <v>0</v>
      </c>
      <c r="CX83" s="309">
        <f t="shared" ref="CX83:DV83" si="43">IF(CX$64&lt;$B$35,(CX$74+0.5*CX$81)*MAX(0,$B$12+$B$13+INDEX($M$31:$M$33,MATCH($B$6,$J$31:$J$33,0)))*CX$65/$B$17,0)</f>
        <v>0</v>
      </c>
      <c r="CY83" s="309">
        <f t="shared" si="43"/>
        <v>0</v>
      </c>
      <c r="CZ83" s="309">
        <f t="shared" si="43"/>
        <v>0</v>
      </c>
      <c r="DA83" s="309">
        <f t="shared" si="43"/>
        <v>0</v>
      </c>
      <c r="DB83" s="309">
        <f t="shared" si="43"/>
        <v>0</v>
      </c>
      <c r="DC83" s="309">
        <f t="shared" si="43"/>
        <v>0</v>
      </c>
      <c r="DD83" s="309">
        <f t="shared" si="43"/>
        <v>0</v>
      </c>
      <c r="DE83" s="309">
        <f t="shared" si="43"/>
        <v>0</v>
      </c>
      <c r="DF83" s="309">
        <f t="shared" si="43"/>
        <v>0</v>
      </c>
      <c r="DG83" s="309">
        <f t="shared" si="43"/>
        <v>0</v>
      </c>
      <c r="DH83" s="309">
        <f t="shared" si="43"/>
        <v>0</v>
      </c>
      <c r="DI83" s="309">
        <f t="shared" si="43"/>
        <v>0</v>
      </c>
      <c r="DJ83" s="309">
        <f t="shared" si="43"/>
        <v>0</v>
      </c>
      <c r="DK83" s="309">
        <f t="shared" si="43"/>
        <v>0</v>
      </c>
      <c r="DL83" s="309">
        <f t="shared" si="43"/>
        <v>0</v>
      </c>
      <c r="DM83" s="309">
        <f t="shared" si="43"/>
        <v>0</v>
      </c>
      <c r="DN83" s="309">
        <f t="shared" si="43"/>
        <v>0</v>
      </c>
      <c r="DO83" s="309">
        <f t="shared" si="43"/>
        <v>0</v>
      </c>
      <c r="DP83" s="309">
        <f t="shared" si="43"/>
        <v>0</v>
      </c>
      <c r="DQ83" s="309">
        <f t="shared" si="43"/>
        <v>0</v>
      </c>
      <c r="DR83" s="309">
        <f t="shared" si="43"/>
        <v>0</v>
      </c>
      <c r="DS83" s="309">
        <f t="shared" si="43"/>
        <v>0</v>
      </c>
      <c r="DT83" s="309">
        <f t="shared" si="43"/>
        <v>0</v>
      </c>
      <c r="DU83" s="309">
        <f t="shared" si="43"/>
        <v>0</v>
      </c>
      <c r="DV83" s="309">
        <f t="shared" si="43"/>
        <v>0</v>
      </c>
    </row>
    <row r="84" spans="1:126" ht="15" customHeight="1" x14ac:dyDescent="0.35">
      <c r="A84" s="307" t="s">
        <v>1517</v>
      </c>
      <c r="B84" s="308" t="s">
        <v>1370</v>
      </c>
      <c r="C84" s="1146" t="s">
        <v>1518</v>
      </c>
      <c r="D84" s="1147"/>
      <c r="F84" s="309">
        <f t="shared" ref="F84:AK84" si="44">MAX(0,F$83-F$82)</f>
        <v>0</v>
      </c>
      <c r="G84" s="309">
        <f t="shared" si="44"/>
        <v>94425.806755455982</v>
      </c>
      <c r="H84" s="309">
        <f t="shared" si="44"/>
        <v>100238.47281226986</v>
      </c>
      <c r="I84" s="309">
        <f t="shared" si="44"/>
        <v>65078.873891363539</v>
      </c>
      <c r="J84" s="309">
        <f t="shared" si="44"/>
        <v>77583.68871046773</v>
      </c>
      <c r="K84" s="309">
        <f t="shared" si="44"/>
        <v>88570.090156701059</v>
      </c>
      <c r="L84" s="309">
        <f t="shared" si="44"/>
        <v>110202.44218717932</v>
      </c>
      <c r="M84" s="309">
        <f t="shared" si="44"/>
        <v>134923.62840388739</v>
      </c>
      <c r="N84" s="309">
        <f t="shared" si="44"/>
        <v>150920.37674027326</v>
      </c>
      <c r="O84" s="309">
        <f t="shared" si="44"/>
        <v>208121.17615232908</v>
      </c>
      <c r="P84" s="309">
        <f t="shared" si="44"/>
        <v>250960.98257572312</v>
      </c>
      <c r="Q84" s="309">
        <f t="shared" si="44"/>
        <v>321763.57564971794</v>
      </c>
      <c r="R84" s="309">
        <f t="shared" si="44"/>
        <v>383307.53898899409</v>
      </c>
      <c r="S84" s="309">
        <f t="shared" si="44"/>
        <v>476104.30174981256</v>
      </c>
      <c r="T84" s="309">
        <f t="shared" si="44"/>
        <v>541750.73554314417</v>
      </c>
      <c r="U84" s="309">
        <f t="shared" si="44"/>
        <v>576494.34256346931</v>
      </c>
      <c r="V84" s="309">
        <f t="shared" si="44"/>
        <v>653783.83581977326</v>
      </c>
      <c r="W84" s="309">
        <f t="shared" si="44"/>
        <v>691642.17030358245</v>
      </c>
      <c r="X84" s="309">
        <f t="shared" si="44"/>
        <v>776962.19468683761</v>
      </c>
      <c r="Y84" s="309">
        <f t="shared" si="44"/>
        <v>838986.57216294692</v>
      </c>
      <c r="Z84" s="309">
        <f t="shared" si="44"/>
        <v>841299.47214051534</v>
      </c>
      <c r="AA84" s="309">
        <f t="shared" si="44"/>
        <v>956391.83742628852</v>
      </c>
      <c r="AB84" s="309">
        <f t="shared" si="44"/>
        <v>976693.610347601</v>
      </c>
      <c r="AC84" s="309">
        <f t="shared" si="44"/>
        <v>1056991.7264111266</v>
      </c>
      <c r="AD84" s="309">
        <f t="shared" si="44"/>
        <v>1063599.1108749877</v>
      </c>
      <c r="AE84" s="309">
        <f t="shared" si="44"/>
        <v>1135209.3374459029</v>
      </c>
      <c r="AF84" s="309">
        <f t="shared" si="44"/>
        <v>1165551.3728559241</v>
      </c>
      <c r="AG84" s="309">
        <f t="shared" si="44"/>
        <v>1152023.3993738231</v>
      </c>
      <c r="AH84" s="309">
        <f t="shared" si="44"/>
        <v>1210360.6614460261</v>
      </c>
      <c r="AI84" s="309">
        <f t="shared" si="44"/>
        <v>1186458.7534370851</v>
      </c>
      <c r="AJ84" s="309">
        <f t="shared" si="44"/>
        <v>1235587.8702317381</v>
      </c>
      <c r="AK84" s="309">
        <f t="shared" si="44"/>
        <v>1238388.6265924352</v>
      </c>
      <c r="AL84" s="309">
        <f t="shared" ref="AL84:BQ84" si="45">MAX(0,AL$83-AL$82)</f>
        <v>1118644.4610068374</v>
      </c>
      <c r="AM84" s="309">
        <f t="shared" si="45"/>
        <v>1238600.9681540667</v>
      </c>
      <c r="AN84" s="309">
        <f t="shared" si="45"/>
        <v>1198731.881089533</v>
      </c>
      <c r="AO84" s="309">
        <f t="shared" si="45"/>
        <v>1238763.254658517</v>
      </c>
      <c r="AP84" s="309">
        <f t="shared" si="45"/>
        <v>1198859.8709347108</v>
      </c>
      <c r="AQ84" s="309">
        <f t="shared" si="45"/>
        <v>1238766.107804609</v>
      </c>
      <c r="AR84" s="309">
        <f t="shared" si="45"/>
        <v>1238376.5654156376</v>
      </c>
      <c r="AS84" s="309">
        <f t="shared" si="45"/>
        <v>1198130.7331822342</v>
      </c>
      <c r="AT84" s="309">
        <f t="shared" si="45"/>
        <v>1238068.4242883087</v>
      </c>
      <c r="AU84" s="309">
        <f t="shared" si="45"/>
        <v>1198130.7331822342</v>
      </c>
      <c r="AV84" s="309">
        <f t="shared" si="45"/>
        <v>1238068.4242883087</v>
      </c>
      <c r="AW84" s="309">
        <f t="shared" si="45"/>
        <v>1238068.4242883087</v>
      </c>
      <c r="AX84" s="309">
        <f t="shared" si="45"/>
        <v>1118255.3509700852</v>
      </c>
      <c r="AY84" s="309">
        <f t="shared" si="45"/>
        <v>1238068.4242883087</v>
      </c>
      <c r="AZ84" s="309">
        <f t="shared" si="45"/>
        <v>1198130.7331822342</v>
      </c>
      <c r="BA84" s="309">
        <f t="shared" si="45"/>
        <v>1238068.4242883087</v>
      </c>
      <c r="BB84" s="309">
        <f t="shared" si="45"/>
        <v>1198130.7331822342</v>
      </c>
      <c r="BC84" s="309">
        <f t="shared" si="45"/>
        <v>0</v>
      </c>
      <c r="BD84" s="309">
        <f t="shared" si="45"/>
        <v>0</v>
      </c>
      <c r="BE84" s="309">
        <f t="shared" si="45"/>
        <v>0</v>
      </c>
      <c r="BF84" s="309">
        <f t="shared" si="45"/>
        <v>0</v>
      </c>
      <c r="BG84" s="309">
        <f t="shared" si="45"/>
        <v>0</v>
      </c>
      <c r="BH84" s="309">
        <f t="shared" si="45"/>
        <v>0</v>
      </c>
      <c r="BI84" s="309">
        <f t="shared" si="45"/>
        <v>0</v>
      </c>
      <c r="BJ84" s="309">
        <f t="shared" si="45"/>
        <v>0</v>
      </c>
      <c r="BK84" s="309">
        <f t="shared" si="45"/>
        <v>0</v>
      </c>
      <c r="BL84" s="309">
        <f t="shared" si="45"/>
        <v>0</v>
      </c>
      <c r="BM84" s="309">
        <f t="shared" si="45"/>
        <v>0</v>
      </c>
      <c r="BN84" s="309">
        <f t="shared" si="45"/>
        <v>0</v>
      </c>
      <c r="BO84" s="309">
        <f t="shared" si="45"/>
        <v>0</v>
      </c>
      <c r="BP84" s="309">
        <f t="shared" si="45"/>
        <v>0</v>
      </c>
      <c r="BQ84" s="309">
        <f t="shared" si="45"/>
        <v>0</v>
      </c>
      <c r="BR84" s="309">
        <f t="shared" ref="BR84:CW84" si="46">MAX(0,BR$83-BR$82)</f>
        <v>0</v>
      </c>
      <c r="BS84" s="309">
        <f t="shared" si="46"/>
        <v>0</v>
      </c>
      <c r="BT84" s="309">
        <f t="shared" si="46"/>
        <v>0</v>
      </c>
      <c r="BU84" s="309">
        <f t="shared" si="46"/>
        <v>0</v>
      </c>
      <c r="BV84" s="309">
        <f t="shared" si="46"/>
        <v>0</v>
      </c>
      <c r="BW84" s="309">
        <f t="shared" si="46"/>
        <v>0</v>
      </c>
      <c r="BX84" s="309">
        <f t="shared" si="46"/>
        <v>0</v>
      </c>
      <c r="BY84" s="309">
        <f t="shared" si="46"/>
        <v>0</v>
      </c>
      <c r="BZ84" s="309">
        <f t="shared" si="46"/>
        <v>0</v>
      </c>
      <c r="CA84" s="309">
        <f t="shared" si="46"/>
        <v>0</v>
      </c>
      <c r="CB84" s="309">
        <f t="shared" si="46"/>
        <v>0</v>
      </c>
      <c r="CC84" s="309">
        <f t="shared" si="46"/>
        <v>0</v>
      </c>
      <c r="CD84" s="309">
        <f t="shared" si="46"/>
        <v>0</v>
      </c>
      <c r="CE84" s="309">
        <f t="shared" si="46"/>
        <v>0</v>
      </c>
      <c r="CF84" s="309">
        <f t="shared" si="46"/>
        <v>0</v>
      </c>
      <c r="CG84" s="309">
        <f t="shared" si="46"/>
        <v>0</v>
      </c>
      <c r="CH84" s="309">
        <f t="shared" si="46"/>
        <v>0</v>
      </c>
      <c r="CI84" s="309">
        <f t="shared" si="46"/>
        <v>0</v>
      </c>
      <c r="CJ84" s="309">
        <f t="shared" si="46"/>
        <v>0</v>
      </c>
      <c r="CK84" s="309">
        <f t="shared" si="46"/>
        <v>0</v>
      </c>
      <c r="CL84" s="309">
        <f t="shared" si="46"/>
        <v>0</v>
      </c>
      <c r="CM84" s="309">
        <f t="shared" si="46"/>
        <v>0</v>
      </c>
      <c r="CN84" s="309">
        <f t="shared" si="46"/>
        <v>0</v>
      </c>
      <c r="CO84" s="309">
        <f t="shared" si="46"/>
        <v>0</v>
      </c>
      <c r="CP84" s="309">
        <f t="shared" si="46"/>
        <v>0</v>
      </c>
      <c r="CQ84" s="309">
        <f t="shared" si="46"/>
        <v>0</v>
      </c>
      <c r="CR84" s="309">
        <f t="shared" si="46"/>
        <v>0</v>
      </c>
      <c r="CS84" s="309">
        <f t="shared" si="46"/>
        <v>0</v>
      </c>
      <c r="CT84" s="309">
        <f t="shared" si="46"/>
        <v>0</v>
      </c>
      <c r="CU84" s="309">
        <f t="shared" si="46"/>
        <v>0</v>
      </c>
      <c r="CV84" s="309">
        <f t="shared" si="46"/>
        <v>0</v>
      </c>
      <c r="CW84" s="309">
        <f t="shared" si="46"/>
        <v>0</v>
      </c>
      <c r="CX84" s="309">
        <f t="shared" ref="CX84:DV84" si="47">MAX(0,CX$83-CX$82)</f>
        <v>0</v>
      </c>
      <c r="CY84" s="309">
        <f t="shared" si="47"/>
        <v>0</v>
      </c>
      <c r="CZ84" s="309">
        <f t="shared" si="47"/>
        <v>0</v>
      </c>
      <c r="DA84" s="309">
        <f t="shared" si="47"/>
        <v>0</v>
      </c>
      <c r="DB84" s="309">
        <f t="shared" si="47"/>
        <v>0</v>
      </c>
      <c r="DC84" s="309">
        <f t="shared" si="47"/>
        <v>0</v>
      </c>
      <c r="DD84" s="309">
        <f t="shared" si="47"/>
        <v>0</v>
      </c>
      <c r="DE84" s="309">
        <f t="shared" si="47"/>
        <v>0</v>
      </c>
      <c r="DF84" s="309">
        <f t="shared" si="47"/>
        <v>0</v>
      </c>
      <c r="DG84" s="309">
        <f t="shared" si="47"/>
        <v>0</v>
      </c>
      <c r="DH84" s="309">
        <f t="shared" si="47"/>
        <v>0</v>
      </c>
      <c r="DI84" s="309">
        <f t="shared" si="47"/>
        <v>0</v>
      </c>
      <c r="DJ84" s="309">
        <f t="shared" si="47"/>
        <v>0</v>
      </c>
      <c r="DK84" s="309">
        <f t="shared" si="47"/>
        <v>0</v>
      </c>
      <c r="DL84" s="309">
        <f t="shared" si="47"/>
        <v>0</v>
      </c>
      <c r="DM84" s="309">
        <f t="shared" si="47"/>
        <v>0</v>
      </c>
      <c r="DN84" s="309">
        <f t="shared" si="47"/>
        <v>0</v>
      </c>
      <c r="DO84" s="309">
        <f t="shared" si="47"/>
        <v>0</v>
      </c>
      <c r="DP84" s="309">
        <f t="shared" si="47"/>
        <v>0</v>
      </c>
      <c r="DQ84" s="309">
        <f t="shared" si="47"/>
        <v>0</v>
      </c>
      <c r="DR84" s="309">
        <f t="shared" si="47"/>
        <v>0</v>
      </c>
      <c r="DS84" s="309">
        <f t="shared" si="47"/>
        <v>0</v>
      </c>
      <c r="DT84" s="309">
        <f t="shared" si="47"/>
        <v>0</v>
      </c>
      <c r="DU84" s="309">
        <f t="shared" si="47"/>
        <v>0</v>
      </c>
      <c r="DV84" s="309">
        <f t="shared" si="47"/>
        <v>0</v>
      </c>
    </row>
    <row r="85" spans="1:126" ht="15" customHeight="1" x14ac:dyDescent="0.35">
      <c r="A85" s="307" t="s">
        <v>1519</v>
      </c>
      <c r="B85" s="308" t="s">
        <v>1370</v>
      </c>
      <c r="C85" s="1146" t="s">
        <v>1520</v>
      </c>
      <c r="D85" s="1147"/>
      <c r="F85" s="309">
        <f t="shared" ref="F85:AK85" si="48">MAX(0,F$73-F$74-F$81)</f>
        <v>207800186.36242199</v>
      </c>
      <c r="G85" s="309">
        <f t="shared" si="48"/>
        <v>206847595.73132607</v>
      </c>
      <c r="H85" s="309">
        <f t="shared" si="48"/>
        <v>205694356.97211227</v>
      </c>
      <c r="I85" s="309">
        <f t="shared" si="48"/>
        <v>211450259.6804156</v>
      </c>
      <c r="J85" s="309">
        <f t="shared" si="48"/>
        <v>209299133.41722399</v>
      </c>
      <c r="K85" s="309">
        <f t="shared" si="48"/>
        <v>206400493.63431302</v>
      </c>
      <c r="L85" s="309">
        <f t="shared" si="48"/>
        <v>202531683.563575</v>
      </c>
      <c r="M85" s="309">
        <f t="shared" si="48"/>
        <v>197444431.13396713</v>
      </c>
      <c r="N85" s="309">
        <f t="shared" si="48"/>
        <v>190878206.76355863</v>
      </c>
      <c r="O85" s="309">
        <f t="shared" si="48"/>
        <v>182579689.64298481</v>
      </c>
      <c r="P85" s="309">
        <f t="shared" si="48"/>
        <v>172327449.47732854</v>
      </c>
      <c r="Q85" s="309">
        <f t="shared" si="48"/>
        <v>159959751.32966456</v>
      </c>
      <c r="R85" s="309">
        <f t="shared" si="48"/>
        <v>145402266.67183453</v>
      </c>
      <c r="S85" s="309">
        <f t="shared" si="48"/>
        <v>130969931.62743202</v>
      </c>
      <c r="T85" s="309">
        <f t="shared" si="48"/>
        <v>121619687.6797094</v>
      </c>
      <c r="U85" s="309">
        <f t="shared" si="48"/>
        <v>111421116.67596051</v>
      </c>
      <c r="V85" s="309">
        <f t="shared" si="48"/>
        <v>100580828.58555351</v>
      </c>
      <c r="W85" s="309">
        <f t="shared" si="48"/>
        <v>89353353.077663809</v>
      </c>
      <c r="X85" s="309">
        <f t="shared" si="48"/>
        <v>78023181.775434852</v>
      </c>
      <c r="Y85" s="309">
        <f t="shared" si="48"/>
        <v>66882983.073911995</v>
      </c>
      <c r="Z85" s="309">
        <f t="shared" si="48"/>
        <v>56165368.446945518</v>
      </c>
      <c r="AA85" s="309">
        <f t="shared" si="48"/>
        <v>46116129.825008124</v>
      </c>
      <c r="AB85" s="309">
        <f t="shared" si="48"/>
        <v>36931933.491048068</v>
      </c>
      <c r="AC85" s="309">
        <f t="shared" si="48"/>
        <v>28749349.641754746</v>
      </c>
      <c r="AD85" s="309">
        <f t="shared" si="48"/>
        <v>21640748.479826242</v>
      </c>
      <c r="AE85" s="309">
        <f t="shared" si="48"/>
        <v>15616885.084150523</v>
      </c>
      <c r="AF85" s="309">
        <f t="shared" si="48"/>
        <v>10635048.50955385</v>
      </c>
      <c r="AG85" s="309">
        <f t="shared" si="48"/>
        <v>6611006.0908311009</v>
      </c>
      <c r="AH85" s="309">
        <f t="shared" si="48"/>
        <v>3432713.3691274822</v>
      </c>
      <c r="AI85" s="309">
        <f t="shared" si="48"/>
        <v>973872.71995675564</v>
      </c>
      <c r="AJ85" s="309">
        <f t="shared" si="48"/>
        <v>0</v>
      </c>
      <c r="AK85" s="309">
        <f t="shared" si="48"/>
        <v>0</v>
      </c>
      <c r="AL85" s="309">
        <f t="shared" ref="AL85:BQ85" si="49">MAX(0,AL$73-AL$74-AL$81)</f>
        <v>0</v>
      </c>
      <c r="AM85" s="309">
        <f t="shared" si="49"/>
        <v>0</v>
      </c>
      <c r="AN85" s="309">
        <f t="shared" si="49"/>
        <v>0</v>
      </c>
      <c r="AO85" s="309">
        <f t="shared" si="49"/>
        <v>0</v>
      </c>
      <c r="AP85" s="309">
        <f t="shared" si="49"/>
        <v>0</v>
      </c>
      <c r="AQ85" s="309">
        <f t="shared" si="49"/>
        <v>36441.973454236984</v>
      </c>
      <c r="AR85" s="309">
        <f t="shared" si="49"/>
        <v>107004.24242430925</v>
      </c>
      <c r="AS85" s="309">
        <f t="shared" si="49"/>
        <v>162821.36970716715</v>
      </c>
      <c r="AT85" s="309">
        <f t="shared" si="49"/>
        <v>162821.36970716715</v>
      </c>
      <c r="AU85" s="309">
        <f t="shared" si="49"/>
        <v>162821.36970716715</v>
      </c>
      <c r="AV85" s="309">
        <f t="shared" si="49"/>
        <v>162821.36970716715</v>
      </c>
      <c r="AW85" s="309">
        <f t="shared" si="49"/>
        <v>162821.36970716715</v>
      </c>
      <c r="AX85" s="309">
        <f t="shared" si="49"/>
        <v>162821.36970716715</v>
      </c>
      <c r="AY85" s="309">
        <f t="shared" si="49"/>
        <v>162821.36970716715</v>
      </c>
      <c r="AZ85" s="309">
        <f t="shared" si="49"/>
        <v>162821.36970716715</v>
      </c>
      <c r="BA85" s="309">
        <f t="shared" si="49"/>
        <v>162821.36970716715</v>
      </c>
      <c r="BB85" s="309">
        <f t="shared" si="49"/>
        <v>162821.36970716715</v>
      </c>
      <c r="BC85" s="309">
        <f t="shared" si="49"/>
        <v>162821.36970716715</v>
      </c>
      <c r="BD85" s="309">
        <f t="shared" si="49"/>
        <v>0</v>
      </c>
      <c r="BE85" s="309">
        <f t="shared" si="49"/>
        <v>0</v>
      </c>
      <c r="BF85" s="309">
        <f t="shared" si="49"/>
        <v>0</v>
      </c>
      <c r="BG85" s="309">
        <f t="shared" si="49"/>
        <v>0</v>
      </c>
      <c r="BH85" s="309">
        <f t="shared" si="49"/>
        <v>0</v>
      </c>
      <c r="BI85" s="309">
        <f t="shared" si="49"/>
        <v>0</v>
      </c>
      <c r="BJ85" s="309">
        <f t="shared" si="49"/>
        <v>0</v>
      </c>
      <c r="BK85" s="309">
        <f t="shared" si="49"/>
        <v>0</v>
      </c>
      <c r="BL85" s="309">
        <f t="shared" si="49"/>
        <v>0</v>
      </c>
      <c r="BM85" s="309">
        <f t="shared" si="49"/>
        <v>0</v>
      </c>
      <c r="BN85" s="309">
        <f t="shared" si="49"/>
        <v>0</v>
      </c>
      <c r="BO85" s="309">
        <f t="shared" si="49"/>
        <v>0</v>
      </c>
      <c r="BP85" s="309">
        <f t="shared" si="49"/>
        <v>0</v>
      </c>
      <c r="BQ85" s="309">
        <f t="shared" si="49"/>
        <v>0</v>
      </c>
      <c r="BR85" s="309">
        <f t="shared" ref="BR85:CW85" si="50">MAX(0,BR$73-BR$74-BR$81)</f>
        <v>0</v>
      </c>
      <c r="BS85" s="309">
        <f t="shared" si="50"/>
        <v>0</v>
      </c>
      <c r="BT85" s="309">
        <f t="shared" si="50"/>
        <v>0</v>
      </c>
      <c r="BU85" s="309">
        <f t="shared" si="50"/>
        <v>0</v>
      </c>
      <c r="BV85" s="309">
        <f t="shared" si="50"/>
        <v>0</v>
      </c>
      <c r="BW85" s="309">
        <f t="shared" si="50"/>
        <v>0</v>
      </c>
      <c r="BX85" s="309">
        <f t="shared" si="50"/>
        <v>0</v>
      </c>
      <c r="BY85" s="309">
        <f t="shared" si="50"/>
        <v>0</v>
      </c>
      <c r="BZ85" s="309">
        <f t="shared" si="50"/>
        <v>0</v>
      </c>
      <c r="CA85" s="309">
        <f t="shared" si="50"/>
        <v>0</v>
      </c>
      <c r="CB85" s="309">
        <f t="shared" si="50"/>
        <v>0</v>
      </c>
      <c r="CC85" s="309">
        <f t="shared" si="50"/>
        <v>0</v>
      </c>
      <c r="CD85" s="309">
        <f t="shared" si="50"/>
        <v>0</v>
      </c>
      <c r="CE85" s="309">
        <f t="shared" si="50"/>
        <v>0</v>
      </c>
      <c r="CF85" s="309">
        <f t="shared" si="50"/>
        <v>0</v>
      </c>
      <c r="CG85" s="309">
        <f t="shared" si="50"/>
        <v>0</v>
      </c>
      <c r="CH85" s="309">
        <f t="shared" si="50"/>
        <v>0</v>
      </c>
      <c r="CI85" s="309">
        <f t="shared" si="50"/>
        <v>0</v>
      </c>
      <c r="CJ85" s="309">
        <f t="shared" si="50"/>
        <v>0</v>
      </c>
      <c r="CK85" s="309">
        <f t="shared" si="50"/>
        <v>0</v>
      </c>
      <c r="CL85" s="309">
        <f t="shared" si="50"/>
        <v>0</v>
      </c>
      <c r="CM85" s="309">
        <f t="shared" si="50"/>
        <v>0</v>
      </c>
      <c r="CN85" s="309">
        <f t="shared" si="50"/>
        <v>0</v>
      </c>
      <c r="CO85" s="309">
        <f t="shared" si="50"/>
        <v>0</v>
      </c>
      <c r="CP85" s="309">
        <f t="shared" si="50"/>
        <v>0</v>
      </c>
      <c r="CQ85" s="309">
        <f t="shared" si="50"/>
        <v>0</v>
      </c>
      <c r="CR85" s="309">
        <f t="shared" si="50"/>
        <v>0</v>
      </c>
      <c r="CS85" s="309">
        <f t="shared" si="50"/>
        <v>0</v>
      </c>
      <c r="CT85" s="309">
        <f t="shared" si="50"/>
        <v>0</v>
      </c>
      <c r="CU85" s="309">
        <f t="shared" si="50"/>
        <v>0</v>
      </c>
      <c r="CV85" s="309">
        <f t="shared" si="50"/>
        <v>0</v>
      </c>
      <c r="CW85" s="309">
        <f t="shared" si="50"/>
        <v>0</v>
      </c>
      <c r="CX85" s="309">
        <f t="shared" ref="CX85:DV85" si="51">MAX(0,CX$73-CX$74-CX$81)</f>
        <v>0</v>
      </c>
      <c r="CY85" s="309">
        <f t="shared" si="51"/>
        <v>0</v>
      </c>
      <c r="CZ85" s="309">
        <f t="shared" si="51"/>
        <v>0</v>
      </c>
      <c r="DA85" s="309">
        <f t="shared" si="51"/>
        <v>0</v>
      </c>
      <c r="DB85" s="309">
        <f t="shared" si="51"/>
        <v>0</v>
      </c>
      <c r="DC85" s="309">
        <f t="shared" si="51"/>
        <v>0</v>
      </c>
      <c r="DD85" s="309">
        <f t="shared" si="51"/>
        <v>0</v>
      </c>
      <c r="DE85" s="309">
        <f t="shared" si="51"/>
        <v>0</v>
      </c>
      <c r="DF85" s="309">
        <f t="shared" si="51"/>
        <v>0</v>
      </c>
      <c r="DG85" s="309">
        <f t="shared" si="51"/>
        <v>0</v>
      </c>
      <c r="DH85" s="309">
        <f t="shared" si="51"/>
        <v>0</v>
      </c>
      <c r="DI85" s="309">
        <f t="shared" si="51"/>
        <v>0</v>
      </c>
      <c r="DJ85" s="309">
        <f t="shared" si="51"/>
        <v>0</v>
      </c>
      <c r="DK85" s="309">
        <f t="shared" si="51"/>
        <v>0</v>
      </c>
      <c r="DL85" s="309">
        <f t="shared" si="51"/>
        <v>0</v>
      </c>
      <c r="DM85" s="309">
        <f t="shared" si="51"/>
        <v>0</v>
      </c>
      <c r="DN85" s="309">
        <f t="shared" si="51"/>
        <v>0</v>
      </c>
      <c r="DO85" s="309">
        <f t="shared" si="51"/>
        <v>0</v>
      </c>
      <c r="DP85" s="309">
        <f t="shared" si="51"/>
        <v>0</v>
      </c>
      <c r="DQ85" s="309">
        <f t="shared" si="51"/>
        <v>0</v>
      </c>
      <c r="DR85" s="309">
        <f t="shared" si="51"/>
        <v>0</v>
      </c>
      <c r="DS85" s="309">
        <f t="shared" si="51"/>
        <v>0</v>
      </c>
      <c r="DT85" s="309">
        <f t="shared" si="51"/>
        <v>0</v>
      </c>
      <c r="DU85" s="309">
        <f t="shared" si="51"/>
        <v>0</v>
      </c>
      <c r="DV85" s="309">
        <f t="shared" si="51"/>
        <v>0</v>
      </c>
    </row>
    <row r="86" spans="1:126" ht="15" customHeight="1" x14ac:dyDescent="0.35">
      <c r="A86" s="307" t="s">
        <v>1391</v>
      </c>
      <c r="B86" s="308" t="s">
        <v>1370</v>
      </c>
      <c r="C86" s="1146" t="s">
        <v>1521</v>
      </c>
      <c r="D86" s="1147"/>
      <c r="F86" s="309">
        <f t="shared" ref="F86:AK86" si="52">MAX(0,F$73-F$74-0.5*F$81)*$B$14*F$65/$B$17</f>
        <v>0</v>
      </c>
      <c r="G86" s="309">
        <f t="shared" si="52"/>
        <v>0</v>
      </c>
      <c r="H86" s="309">
        <f t="shared" si="52"/>
        <v>0</v>
      </c>
      <c r="I86" s="309">
        <f t="shared" si="52"/>
        <v>0</v>
      </c>
      <c r="J86" s="309">
        <f t="shared" si="52"/>
        <v>0</v>
      </c>
      <c r="K86" s="309">
        <f t="shared" si="52"/>
        <v>0</v>
      </c>
      <c r="L86" s="309">
        <f t="shared" si="52"/>
        <v>0</v>
      </c>
      <c r="M86" s="309">
        <f t="shared" si="52"/>
        <v>0</v>
      </c>
      <c r="N86" s="309">
        <f t="shared" si="52"/>
        <v>0</v>
      </c>
      <c r="O86" s="309">
        <f t="shared" si="52"/>
        <v>0</v>
      </c>
      <c r="P86" s="309">
        <f t="shared" si="52"/>
        <v>0</v>
      </c>
      <c r="Q86" s="309">
        <f t="shared" si="52"/>
        <v>0</v>
      </c>
      <c r="R86" s="309">
        <f t="shared" si="52"/>
        <v>0</v>
      </c>
      <c r="S86" s="309">
        <f t="shared" si="52"/>
        <v>0</v>
      </c>
      <c r="T86" s="309">
        <f t="shared" si="52"/>
        <v>0</v>
      </c>
      <c r="U86" s="309">
        <f t="shared" si="52"/>
        <v>0</v>
      </c>
      <c r="V86" s="309">
        <f t="shared" si="52"/>
        <v>0</v>
      </c>
      <c r="W86" s="309">
        <f t="shared" si="52"/>
        <v>0</v>
      </c>
      <c r="X86" s="309">
        <f t="shared" si="52"/>
        <v>0</v>
      </c>
      <c r="Y86" s="309">
        <f t="shared" si="52"/>
        <v>0</v>
      </c>
      <c r="Z86" s="309">
        <f t="shared" si="52"/>
        <v>0</v>
      </c>
      <c r="AA86" s="309">
        <f t="shared" si="52"/>
        <v>0</v>
      </c>
      <c r="AB86" s="309">
        <f t="shared" si="52"/>
        <v>0</v>
      </c>
      <c r="AC86" s="309">
        <f t="shared" si="52"/>
        <v>0</v>
      </c>
      <c r="AD86" s="309">
        <f t="shared" si="52"/>
        <v>0</v>
      </c>
      <c r="AE86" s="309">
        <f t="shared" si="52"/>
        <v>0</v>
      </c>
      <c r="AF86" s="309">
        <f t="shared" si="52"/>
        <v>0</v>
      </c>
      <c r="AG86" s="309">
        <f t="shared" si="52"/>
        <v>0</v>
      </c>
      <c r="AH86" s="309">
        <f t="shared" si="52"/>
        <v>0</v>
      </c>
      <c r="AI86" s="309">
        <f t="shared" si="52"/>
        <v>0</v>
      </c>
      <c r="AJ86" s="309">
        <f t="shared" si="52"/>
        <v>0</v>
      </c>
      <c r="AK86" s="309">
        <f t="shared" si="52"/>
        <v>0</v>
      </c>
      <c r="AL86" s="309">
        <f t="shared" ref="AL86:BQ86" si="53">MAX(0,AL$73-AL$74-0.5*AL$81)*$B$14*AL$65/$B$17</f>
        <v>0</v>
      </c>
      <c r="AM86" s="309">
        <f t="shared" si="53"/>
        <v>0</v>
      </c>
      <c r="AN86" s="309">
        <f t="shared" si="53"/>
        <v>0</v>
      </c>
      <c r="AO86" s="309">
        <f t="shared" si="53"/>
        <v>0</v>
      </c>
      <c r="AP86" s="309">
        <f t="shared" si="53"/>
        <v>0</v>
      </c>
      <c r="AQ86" s="309">
        <f t="shared" si="53"/>
        <v>0</v>
      </c>
      <c r="AR86" s="309">
        <f t="shared" si="53"/>
        <v>0</v>
      </c>
      <c r="AS86" s="309">
        <f t="shared" si="53"/>
        <v>0</v>
      </c>
      <c r="AT86" s="309">
        <f t="shared" si="53"/>
        <v>0</v>
      </c>
      <c r="AU86" s="309">
        <f t="shared" si="53"/>
        <v>0</v>
      </c>
      <c r="AV86" s="309">
        <f t="shared" si="53"/>
        <v>0</v>
      </c>
      <c r="AW86" s="309">
        <f t="shared" si="53"/>
        <v>0</v>
      </c>
      <c r="AX86" s="309">
        <f t="shared" si="53"/>
        <v>0</v>
      </c>
      <c r="AY86" s="309">
        <f t="shared" si="53"/>
        <v>0</v>
      </c>
      <c r="AZ86" s="309">
        <f t="shared" si="53"/>
        <v>0</v>
      </c>
      <c r="BA86" s="309">
        <f t="shared" si="53"/>
        <v>0</v>
      </c>
      <c r="BB86" s="309">
        <f t="shared" si="53"/>
        <v>0</v>
      </c>
      <c r="BC86" s="309">
        <f t="shared" si="53"/>
        <v>0</v>
      </c>
      <c r="BD86" s="309">
        <f t="shared" si="53"/>
        <v>0</v>
      </c>
      <c r="BE86" s="309">
        <f t="shared" si="53"/>
        <v>0</v>
      </c>
      <c r="BF86" s="309">
        <f t="shared" si="53"/>
        <v>0</v>
      </c>
      <c r="BG86" s="309">
        <f t="shared" si="53"/>
        <v>0</v>
      </c>
      <c r="BH86" s="309">
        <f t="shared" si="53"/>
        <v>0</v>
      </c>
      <c r="BI86" s="309">
        <f t="shared" si="53"/>
        <v>0</v>
      </c>
      <c r="BJ86" s="309">
        <f t="shared" si="53"/>
        <v>0</v>
      </c>
      <c r="BK86" s="309">
        <f t="shared" si="53"/>
        <v>0</v>
      </c>
      <c r="BL86" s="309">
        <f t="shared" si="53"/>
        <v>0</v>
      </c>
      <c r="BM86" s="309">
        <f t="shared" si="53"/>
        <v>0</v>
      </c>
      <c r="BN86" s="309">
        <f t="shared" si="53"/>
        <v>0</v>
      </c>
      <c r="BO86" s="309">
        <f t="shared" si="53"/>
        <v>0</v>
      </c>
      <c r="BP86" s="309">
        <f t="shared" si="53"/>
        <v>0</v>
      </c>
      <c r="BQ86" s="309">
        <f t="shared" si="53"/>
        <v>0</v>
      </c>
      <c r="BR86" s="309">
        <f t="shared" ref="BR86:CW86" si="54">MAX(0,BR$73-BR$74-0.5*BR$81)*$B$14*BR$65/$B$17</f>
        <v>0</v>
      </c>
      <c r="BS86" s="309">
        <f t="shared" si="54"/>
        <v>0</v>
      </c>
      <c r="BT86" s="309">
        <f t="shared" si="54"/>
        <v>0</v>
      </c>
      <c r="BU86" s="309">
        <f t="shared" si="54"/>
        <v>0</v>
      </c>
      <c r="BV86" s="309">
        <f t="shared" si="54"/>
        <v>0</v>
      </c>
      <c r="BW86" s="309">
        <f t="shared" si="54"/>
        <v>0</v>
      </c>
      <c r="BX86" s="309">
        <f t="shared" si="54"/>
        <v>0</v>
      </c>
      <c r="BY86" s="309">
        <f t="shared" si="54"/>
        <v>0</v>
      </c>
      <c r="BZ86" s="309">
        <f t="shared" si="54"/>
        <v>0</v>
      </c>
      <c r="CA86" s="309">
        <f t="shared" si="54"/>
        <v>0</v>
      </c>
      <c r="CB86" s="309">
        <f t="shared" si="54"/>
        <v>0</v>
      </c>
      <c r="CC86" s="309">
        <f t="shared" si="54"/>
        <v>0</v>
      </c>
      <c r="CD86" s="309">
        <f t="shared" si="54"/>
        <v>0</v>
      </c>
      <c r="CE86" s="309">
        <f t="shared" si="54"/>
        <v>0</v>
      </c>
      <c r="CF86" s="309">
        <f t="shared" si="54"/>
        <v>0</v>
      </c>
      <c r="CG86" s="309">
        <f t="shared" si="54"/>
        <v>0</v>
      </c>
      <c r="CH86" s="309">
        <f t="shared" si="54"/>
        <v>0</v>
      </c>
      <c r="CI86" s="309">
        <f t="shared" si="54"/>
        <v>0</v>
      </c>
      <c r="CJ86" s="309">
        <f t="shared" si="54"/>
        <v>0</v>
      </c>
      <c r="CK86" s="309">
        <f t="shared" si="54"/>
        <v>0</v>
      </c>
      <c r="CL86" s="309">
        <f t="shared" si="54"/>
        <v>0</v>
      </c>
      <c r="CM86" s="309">
        <f t="shared" si="54"/>
        <v>0</v>
      </c>
      <c r="CN86" s="309">
        <f t="shared" si="54"/>
        <v>0</v>
      </c>
      <c r="CO86" s="309">
        <f t="shared" si="54"/>
        <v>0</v>
      </c>
      <c r="CP86" s="309">
        <f t="shared" si="54"/>
        <v>0</v>
      </c>
      <c r="CQ86" s="309">
        <f t="shared" si="54"/>
        <v>0</v>
      </c>
      <c r="CR86" s="309">
        <f t="shared" si="54"/>
        <v>0</v>
      </c>
      <c r="CS86" s="309">
        <f t="shared" si="54"/>
        <v>0</v>
      </c>
      <c r="CT86" s="309">
        <f t="shared" si="54"/>
        <v>0</v>
      </c>
      <c r="CU86" s="309">
        <f t="shared" si="54"/>
        <v>0</v>
      </c>
      <c r="CV86" s="309">
        <f t="shared" si="54"/>
        <v>0</v>
      </c>
      <c r="CW86" s="309">
        <f t="shared" si="54"/>
        <v>0</v>
      </c>
      <c r="CX86" s="309">
        <f t="shared" ref="CX86:DV86" si="55">MAX(0,CX$73-CX$74-0.5*CX$81)*$B$14*CX$65/$B$17</f>
        <v>0</v>
      </c>
      <c r="CY86" s="309">
        <f t="shared" si="55"/>
        <v>0</v>
      </c>
      <c r="CZ86" s="309">
        <f t="shared" si="55"/>
        <v>0</v>
      </c>
      <c r="DA86" s="309">
        <f t="shared" si="55"/>
        <v>0</v>
      </c>
      <c r="DB86" s="309">
        <f t="shared" si="55"/>
        <v>0</v>
      </c>
      <c r="DC86" s="309">
        <f t="shared" si="55"/>
        <v>0</v>
      </c>
      <c r="DD86" s="309">
        <f t="shared" si="55"/>
        <v>0</v>
      </c>
      <c r="DE86" s="309">
        <f t="shared" si="55"/>
        <v>0</v>
      </c>
      <c r="DF86" s="309">
        <f t="shared" si="55"/>
        <v>0</v>
      </c>
      <c r="DG86" s="309">
        <f t="shared" si="55"/>
        <v>0</v>
      </c>
      <c r="DH86" s="309">
        <f t="shared" si="55"/>
        <v>0</v>
      </c>
      <c r="DI86" s="309">
        <f t="shared" si="55"/>
        <v>0</v>
      </c>
      <c r="DJ86" s="309">
        <f t="shared" si="55"/>
        <v>0</v>
      </c>
      <c r="DK86" s="309">
        <f t="shared" si="55"/>
        <v>0</v>
      </c>
      <c r="DL86" s="309">
        <f t="shared" si="55"/>
        <v>0</v>
      </c>
      <c r="DM86" s="309">
        <f t="shared" si="55"/>
        <v>0</v>
      </c>
      <c r="DN86" s="309">
        <f t="shared" si="55"/>
        <v>0</v>
      </c>
      <c r="DO86" s="309">
        <f t="shared" si="55"/>
        <v>0</v>
      </c>
      <c r="DP86" s="309">
        <f t="shared" si="55"/>
        <v>0</v>
      </c>
      <c r="DQ86" s="309">
        <f t="shared" si="55"/>
        <v>0</v>
      </c>
      <c r="DR86" s="309">
        <f t="shared" si="55"/>
        <v>0</v>
      </c>
      <c r="DS86" s="309">
        <f t="shared" si="55"/>
        <v>0</v>
      </c>
      <c r="DT86" s="309">
        <f t="shared" si="55"/>
        <v>0</v>
      </c>
      <c r="DU86" s="309">
        <f t="shared" si="55"/>
        <v>0</v>
      </c>
      <c r="DV86" s="309">
        <f t="shared" si="55"/>
        <v>0</v>
      </c>
    </row>
    <row r="87" spans="1:126" ht="15" customHeight="1" x14ac:dyDescent="0.35">
      <c r="A87" s="307" t="s">
        <v>1392</v>
      </c>
      <c r="B87" s="308" t="s">
        <v>1370</v>
      </c>
      <c r="C87" s="1146" t="s">
        <v>1522</v>
      </c>
      <c r="D87" s="1147"/>
      <c r="F87" s="309">
        <f>MAX(0,Underwriting!$L$53)</f>
        <v>0</v>
      </c>
      <c r="G87" s="309">
        <f>MAX(0,Underwriting!$M$53)</f>
        <v>0</v>
      </c>
      <c r="H87" s="309">
        <f>MAX(0,Underwriting!$N$53)</f>
        <v>0</v>
      </c>
      <c r="I87" s="309">
        <f>MAX(0,Underwriting!$O$53)</f>
        <v>0</v>
      </c>
      <c r="J87" s="309">
        <f>MAX(0,Underwriting!$P$53)</f>
        <v>0</v>
      </c>
      <c r="K87" s="309">
        <f>MAX(0,Underwriting!$Q$53)</f>
        <v>0</v>
      </c>
      <c r="L87" s="309">
        <f>MAX(0,Underwriting!$R$53)</f>
        <v>0</v>
      </c>
      <c r="M87" s="309">
        <f>MAX(0,Underwriting!$S$53)</f>
        <v>0</v>
      </c>
      <c r="N87" s="309">
        <f>MAX(0,Underwriting!$T$53)</f>
        <v>0</v>
      </c>
      <c r="O87" s="309">
        <f>MAX(0,Underwriting!$U$53)</f>
        <v>0</v>
      </c>
      <c r="P87" s="309">
        <f>MAX(0,Underwriting!$V$53)</f>
        <v>0</v>
      </c>
      <c r="Q87" s="309">
        <f>MAX(0,Underwriting!$W$53)</f>
        <v>0</v>
      </c>
      <c r="R87" s="309">
        <f>MAX(0,Underwriting!$X$53)</f>
        <v>0</v>
      </c>
      <c r="S87" s="309">
        <f>MAX(0,Underwriting!$Y$53)</f>
        <v>0</v>
      </c>
      <c r="T87" s="309">
        <f>MAX(0,Underwriting!$Z$53)</f>
        <v>0</v>
      </c>
      <c r="U87" s="309">
        <f>MAX(0,Underwriting!$AA$53)</f>
        <v>0</v>
      </c>
      <c r="V87" s="309">
        <f>MAX(0,Underwriting!$AB$53)</f>
        <v>0</v>
      </c>
      <c r="W87" s="309">
        <f>MAX(0,Underwriting!$AC$53)</f>
        <v>0</v>
      </c>
      <c r="X87" s="309">
        <f>MAX(0,Underwriting!$AD$53)</f>
        <v>0</v>
      </c>
      <c r="Y87" s="309">
        <f>MAX(0,Underwriting!$AE$53)</f>
        <v>0</v>
      </c>
      <c r="Z87" s="309">
        <f>MAX(0,Underwriting!$AF$53)</f>
        <v>0</v>
      </c>
      <c r="AA87" s="309">
        <f>MAX(0,Underwriting!$AG$53)</f>
        <v>0</v>
      </c>
      <c r="AB87" s="309">
        <f>MAX(0,Underwriting!$AH$53)</f>
        <v>0</v>
      </c>
      <c r="AC87" s="309">
        <f>MAX(0,Underwriting!$AI$53)</f>
        <v>0</v>
      </c>
      <c r="AD87" s="309">
        <f>MAX(0,Underwriting!$AJ$53)</f>
        <v>0</v>
      </c>
      <c r="AE87" s="309">
        <f>MAX(0,Underwriting!$AK$53)</f>
        <v>0</v>
      </c>
      <c r="AF87" s="309">
        <f>MAX(0,Underwriting!$AL$53)</f>
        <v>0</v>
      </c>
      <c r="AG87" s="309">
        <f>MAX(0,Underwriting!$AM$53)</f>
        <v>0</v>
      </c>
      <c r="AH87" s="309">
        <f>MAX(0,Underwriting!$AN$53)</f>
        <v>0</v>
      </c>
      <c r="AI87" s="309">
        <f>MAX(0,Underwriting!$AO$53)</f>
        <v>0</v>
      </c>
      <c r="AJ87" s="309">
        <f>MAX(0,Underwriting!$AP$53)</f>
        <v>0</v>
      </c>
      <c r="AK87" s="309">
        <f>MAX(0,Underwriting!$AQ$53)</f>
        <v>0</v>
      </c>
      <c r="AL87" s="309">
        <f>MAX(0,Underwriting!$AR$53)</f>
        <v>0</v>
      </c>
      <c r="AM87" s="309">
        <f>MAX(0,Underwriting!$AS$53)</f>
        <v>0</v>
      </c>
      <c r="AN87" s="309">
        <f>MAX(0,Underwriting!$AT$53)</f>
        <v>0</v>
      </c>
      <c r="AO87" s="309">
        <f>MAX(0,Underwriting!$AU$53)</f>
        <v>0</v>
      </c>
      <c r="AP87" s="309">
        <f>MAX(0,Underwriting!$AV$53)</f>
        <v>0</v>
      </c>
      <c r="AQ87" s="309">
        <f>MAX(0,Underwriting!$AW$53)</f>
        <v>0</v>
      </c>
      <c r="AR87" s="309">
        <f>MAX(0,Underwriting!$AX$53)</f>
        <v>0</v>
      </c>
      <c r="AS87" s="309">
        <f>MAX(0,Underwriting!$AY$53)</f>
        <v>0</v>
      </c>
      <c r="AT87" s="309">
        <f>MAX(0,Underwriting!$AZ$53)</f>
        <v>0</v>
      </c>
      <c r="AU87" s="309">
        <f>MAX(0,Underwriting!$BA$53)</f>
        <v>0</v>
      </c>
      <c r="AV87" s="309">
        <f>MAX(0,Underwriting!$BB$53)</f>
        <v>0</v>
      </c>
      <c r="AW87" s="309">
        <f>MAX(0,Underwriting!$BC$53)</f>
        <v>0</v>
      </c>
      <c r="AX87" s="309">
        <f>MAX(0,Underwriting!$BD$53)</f>
        <v>0</v>
      </c>
      <c r="AY87" s="309">
        <f>MAX(0,Underwriting!$BE$53)</f>
        <v>0</v>
      </c>
      <c r="AZ87" s="309">
        <f>MAX(0,Underwriting!$BF$53)</f>
        <v>0</v>
      </c>
      <c r="BA87" s="309">
        <f>MAX(0,Underwriting!$BG$53)</f>
        <v>0</v>
      </c>
      <c r="BB87" s="309">
        <f>MAX(0,Underwriting!$BH$53)</f>
        <v>0</v>
      </c>
      <c r="BC87" s="309">
        <f>MAX(0,Underwriting!$BI$53)</f>
        <v>0</v>
      </c>
      <c r="BD87" s="309">
        <f>MAX(0,Underwriting!$BJ$53)</f>
        <v>0</v>
      </c>
      <c r="BE87" s="309">
        <f>MAX(0,Underwriting!$BK$53)</f>
        <v>0</v>
      </c>
      <c r="BF87" s="309">
        <f>MAX(0,Underwriting!$BL$53)</f>
        <v>0</v>
      </c>
      <c r="BG87" s="309">
        <f>MAX(0,Underwriting!$BM$53)</f>
        <v>0</v>
      </c>
      <c r="BH87" s="309">
        <f>MAX(0,Underwriting!$BN$53)</f>
        <v>0</v>
      </c>
      <c r="BI87" s="309">
        <f>MAX(0,Underwriting!$BO$53)</f>
        <v>0</v>
      </c>
      <c r="BJ87" s="309">
        <f>MAX(0,Underwriting!$BP$53)</f>
        <v>0</v>
      </c>
      <c r="BK87" s="309">
        <f>MAX(0,Underwriting!$BQ$53)</f>
        <v>0</v>
      </c>
      <c r="BL87" s="309">
        <f>MAX(0,Underwriting!$BR$53)</f>
        <v>0</v>
      </c>
      <c r="BM87" s="309">
        <f>MAX(0,Underwriting!$BS$53)</f>
        <v>0</v>
      </c>
      <c r="BN87" s="309">
        <f>MAX(0,Underwriting!$BT$53)</f>
        <v>0</v>
      </c>
      <c r="BO87" s="309">
        <f>MAX(0,Underwriting!$BU$53)</f>
        <v>0</v>
      </c>
      <c r="BP87" s="309">
        <f>MAX(0,Underwriting!$BV$53)</f>
        <v>0</v>
      </c>
      <c r="BQ87" s="309">
        <f>MAX(0,Underwriting!$BW$53)</f>
        <v>0</v>
      </c>
      <c r="BR87" s="309">
        <f>MAX(0,Underwriting!$BX$53)</f>
        <v>0</v>
      </c>
      <c r="BS87" s="309">
        <f>MAX(0,Underwriting!$BY$53)</f>
        <v>0</v>
      </c>
      <c r="BT87" s="309">
        <f>MAX(0,Underwriting!$BZ$53)</f>
        <v>0</v>
      </c>
      <c r="BU87" s="309">
        <f>MAX(0,Underwriting!$CA$53)</f>
        <v>0</v>
      </c>
      <c r="BV87" s="309">
        <f>MAX(0,Underwriting!$CB$53)</f>
        <v>0</v>
      </c>
      <c r="BW87" s="309">
        <f>MAX(0,Underwriting!$CC$53)</f>
        <v>0</v>
      </c>
      <c r="BX87" s="309">
        <f>MAX(0,Underwriting!$CD$53)</f>
        <v>0</v>
      </c>
      <c r="BY87" s="309">
        <f>MAX(0,Underwriting!$CE$53)</f>
        <v>0</v>
      </c>
      <c r="BZ87" s="309">
        <f>MAX(0,Underwriting!$CF$53)</f>
        <v>0</v>
      </c>
      <c r="CA87" s="309">
        <f>MAX(0,Underwriting!$CG$53)</f>
        <v>0</v>
      </c>
      <c r="CB87" s="309">
        <f>MAX(0,Underwriting!$CH$53)</f>
        <v>0</v>
      </c>
      <c r="CC87" s="309">
        <f>MAX(0,Underwriting!$CI$53)</f>
        <v>0</v>
      </c>
      <c r="CD87" s="309">
        <f>MAX(0,Underwriting!$CJ$53)</f>
        <v>0</v>
      </c>
      <c r="CE87" s="309">
        <f>MAX(0,Underwriting!$CK$53)</f>
        <v>0</v>
      </c>
      <c r="CF87" s="309">
        <f>MAX(0,Underwriting!$CL$53)</f>
        <v>0</v>
      </c>
      <c r="CG87" s="309">
        <f>MAX(0,Underwriting!$CM$53)</f>
        <v>0</v>
      </c>
      <c r="CH87" s="309">
        <f>MAX(0,Underwriting!$CN$53)</f>
        <v>0</v>
      </c>
      <c r="CI87" s="309">
        <f>MAX(0,Underwriting!$CO$53)</f>
        <v>0</v>
      </c>
      <c r="CJ87" s="309">
        <f>MAX(0,Underwriting!$CP$53)</f>
        <v>0</v>
      </c>
      <c r="CK87" s="309">
        <f>MAX(0,Underwriting!$CQ$53)</f>
        <v>0</v>
      </c>
      <c r="CL87" s="309">
        <f>MAX(0,Underwriting!$CR$53)</f>
        <v>0</v>
      </c>
      <c r="CM87" s="309">
        <f>MAX(0,Underwriting!$CS$53)</f>
        <v>0</v>
      </c>
      <c r="CN87" s="309">
        <f>MAX(0,Underwriting!$CT$53)</f>
        <v>0</v>
      </c>
      <c r="CO87" s="309">
        <f>MAX(0,Underwriting!$CU$53)</f>
        <v>0</v>
      </c>
      <c r="CP87" s="309">
        <f>MAX(0,Underwriting!$CV$53)</f>
        <v>0</v>
      </c>
      <c r="CQ87" s="309">
        <f>MAX(0,Underwriting!$CW$53)</f>
        <v>0</v>
      </c>
      <c r="CR87" s="309">
        <f>MAX(0,Underwriting!$CX$53)</f>
        <v>0</v>
      </c>
      <c r="CS87" s="309">
        <f>MAX(0,Underwriting!$CY$53)</f>
        <v>0</v>
      </c>
      <c r="CT87" s="309">
        <f>MAX(0,Underwriting!$CZ$53)</f>
        <v>0</v>
      </c>
      <c r="CU87" s="309">
        <f>MAX(0,Underwriting!$DA$53)</f>
        <v>0</v>
      </c>
      <c r="CV87" s="309">
        <f>MAX(0,Underwriting!$DB$53)</f>
        <v>0</v>
      </c>
      <c r="CW87" s="309">
        <f>MAX(0,Underwriting!$DC$53)</f>
        <v>0</v>
      </c>
      <c r="CX87" s="309">
        <f>MAX(0,Underwriting!$DD$53)</f>
        <v>0</v>
      </c>
      <c r="CY87" s="309">
        <f>MAX(0,Underwriting!$DE$53)</f>
        <v>0</v>
      </c>
      <c r="CZ87" s="309">
        <f>MAX(0,Underwriting!$DF$53)</f>
        <v>0</v>
      </c>
      <c r="DA87" s="309">
        <f>MAX(0,Underwriting!$DG$53)</f>
        <v>0</v>
      </c>
      <c r="DB87" s="309">
        <f>MAX(0,Underwriting!$DH$53)</f>
        <v>0</v>
      </c>
      <c r="DC87" s="309">
        <f>MAX(0,Underwriting!$DI$53)</f>
        <v>0</v>
      </c>
      <c r="DD87" s="309">
        <f>MAX(0,Underwriting!$DJ$53)</f>
        <v>0</v>
      </c>
      <c r="DE87" s="309">
        <f>MAX(0,Underwriting!$DK$53)</f>
        <v>0</v>
      </c>
      <c r="DF87" s="309">
        <f>MAX(0,Underwriting!$DL$53)</f>
        <v>0</v>
      </c>
      <c r="DG87" s="309">
        <f>MAX(0,Underwriting!$DM$53)</f>
        <v>0</v>
      </c>
      <c r="DH87" s="309">
        <f>MAX(0,Underwriting!$DN$53)</f>
        <v>0</v>
      </c>
      <c r="DI87" s="309">
        <f>MAX(0,Underwriting!$DO$53)</f>
        <v>0</v>
      </c>
      <c r="DJ87" s="309">
        <f>MAX(0,Underwriting!$DP$53)</f>
        <v>0</v>
      </c>
      <c r="DK87" s="309">
        <f>MAX(0,Underwriting!$DQ$53)</f>
        <v>0</v>
      </c>
      <c r="DL87" s="309">
        <f>MAX(0,Underwriting!$DR$53)</f>
        <v>0</v>
      </c>
      <c r="DM87" s="309">
        <f>MAX(0,Underwriting!$DS$53)</f>
        <v>0</v>
      </c>
      <c r="DN87" s="309">
        <f>MAX(0,Underwriting!$DT$53)</f>
        <v>0</v>
      </c>
      <c r="DO87" s="309">
        <f>MAX(0,Underwriting!$DU$53)</f>
        <v>0</v>
      </c>
      <c r="DP87" s="309">
        <f>MAX(0,Underwriting!$DV$53)</f>
        <v>0</v>
      </c>
      <c r="DQ87" s="309">
        <f>MAX(0,Underwriting!$DW$53)</f>
        <v>0</v>
      </c>
      <c r="DR87" s="309">
        <f>MAX(0,Underwriting!$DX$53)</f>
        <v>0</v>
      </c>
      <c r="DS87" s="309">
        <f>MAX(0,Underwriting!$DY$53)</f>
        <v>0</v>
      </c>
      <c r="DT87" s="309">
        <f>MAX(0,Underwriting!$DZ$53)</f>
        <v>0</v>
      </c>
      <c r="DU87" s="309">
        <f>MAX(0,Underwriting!$EA$53)</f>
        <v>0</v>
      </c>
      <c r="DV87" s="309">
        <f>MAX(0,Underwriting!$EB$53)</f>
        <v>0</v>
      </c>
    </row>
    <row r="88" spans="1:126" ht="15" customHeight="1" x14ac:dyDescent="0.35">
      <c r="A88" s="307" t="s">
        <v>1394</v>
      </c>
      <c r="B88" s="308" t="s">
        <v>1370</v>
      </c>
      <c r="C88" s="1146" t="s">
        <v>1523</v>
      </c>
      <c r="D88" s="1147"/>
      <c r="F88" s="309">
        <f t="shared" ref="F88:AK88" si="56">(F$74+F$81+F$82)*$B$16*F$65/$B$17</f>
        <v>0</v>
      </c>
      <c r="G88" s="309">
        <f t="shared" si="56"/>
        <v>0</v>
      </c>
      <c r="H88" s="309">
        <f t="shared" si="56"/>
        <v>0</v>
      </c>
      <c r="I88" s="309">
        <f t="shared" si="56"/>
        <v>0</v>
      </c>
      <c r="J88" s="309">
        <f t="shared" si="56"/>
        <v>0</v>
      </c>
      <c r="K88" s="309">
        <f t="shared" si="56"/>
        <v>0</v>
      </c>
      <c r="L88" s="309">
        <f t="shared" si="56"/>
        <v>0</v>
      </c>
      <c r="M88" s="309">
        <f t="shared" si="56"/>
        <v>0</v>
      </c>
      <c r="N88" s="309">
        <f t="shared" si="56"/>
        <v>0</v>
      </c>
      <c r="O88" s="309">
        <f t="shared" si="56"/>
        <v>0</v>
      </c>
      <c r="P88" s="309">
        <f t="shared" si="56"/>
        <v>0</v>
      </c>
      <c r="Q88" s="309">
        <f t="shared" si="56"/>
        <v>0</v>
      </c>
      <c r="R88" s="309">
        <f t="shared" si="56"/>
        <v>0</v>
      </c>
      <c r="S88" s="309">
        <f t="shared" si="56"/>
        <v>0</v>
      </c>
      <c r="T88" s="309">
        <f t="shared" si="56"/>
        <v>0</v>
      </c>
      <c r="U88" s="309">
        <f t="shared" si="56"/>
        <v>0</v>
      </c>
      <c r="V88" s="309">
        <f t="shared" si="56"/>
        <v>0</v>
      </c>
      <c r="W88" s="309">
        <f t="shared" si="56"/>
        <v>0</v>
      </c>
      <c r="X88" s="309">
        <f t="shared" si="56"/>
        <v>0</v>
      </c>
      <c r="Y88" s="309">
        <f t="shared" si="56"/>
        <v>0</v>
      </c>
      <c r="Z88" s="309">
        <f t="shared" si="56"/>
        <v>0</v>
      </c>
      <c r="AA88" s="309">
        <f t="shared" si="56"/>
        <v>0</v>
      </c>
      <c r="AB88" s="309">
        <f t="shared" si="56"/>
        <v>0</v>
      </c>
      <c r="AC88" s="309">
        <f t="shared" si="56"/>
        <v>0</v>
      </c>
      <c r="AD88" s="309">
        <f t="shared" si="56"/>
        <v>0</v>
      </c>
      <c r="AE88" s="309">
        <f t="shared" si="56"/>
        <v>0</v>
      </c>
      <c r="AF88" s="309">
        <f t="shared" si="56"/>
        <v>0</v>
      </c>
      <c r="AG88" s="309">
        <f t="shared" si="56"/>
        <v>0</v>
      </c>
      <c r="AH88" s="309">
        <f t="shared" si="56"/>
        <v>0</v>
      </c>
      <c r="AI88" s="309">
        <f t="shared" si="56"/>
        <v>0</v>
      </c>
      <c r="AJ88" s="309">
        <f t="shared" si="56"/>
        <v>0</v>
      </c>
      <c r="AK88" s="309">
        <f t="shared" si="56"/>
        <v>0</v>
      </c>
      <c r="AL88" s="309">
        <f t="shared" ref="AL88:BQ88" si="57">(AL$74+AL$81+AL$82)*$B$16*AL$65/$B$17</f>
        <v>0</v>
      </c>
      <c r="AM88" s="309">
        <f t="shared" si="57"/>
        <v>0</v>
      </c>
      <c r="AN88" s="309">
        <f t="shared" si="57"/>
        <v>0</v>
      </c>
      <c r="AO88" s="309">
        <f t="shared" si="57"/>
        <v>0</v>
      </c>
      <c r="AP88" s="309">
        <f t="shared" si="57"/>
        <v>0</v>
      </c>
      <c r="AQ88" s="309">
        <f t="shared" si="57"/>
        <v>0</v>
      </c>
      <c r="AR88" s="309">
        <f t="shared" si="57"/>
        <v>0</v>
      </c>
      <c r="AS88" s="309">
        <f t="shared" si="57"/>
        <v>0</v>
      </c>
      <c r="AT88" s="309">
        <f t="shared" si="57"/>
        <v>0</v>
      </c>
      <c r="AU88" s="309">
        <f t="shared" si="57"/>
        <v>0</v>
      </c>
      <c r="AV88" s="309">
        <f t="shared" si="57"/>
        <v>0</v>
      </c>
      <c r="AW88" s="309">
        <f t="shared" si="57"/>
        <v>0</v>
      </c>
      <c r="AX88" s="309">
        <f t="shared" si="57"/>
        <v>0</v>
      </c>
      <c r="AY88" s="309">
        <f t="shared" si="57"/>
        <v>0</v>
      </c>
      <c r="AZ88" s="309">
        <f t="shared" si="57"/>
        <v>0</v>
      </c>
      <c r="BA88" s="309">
        <f t="shared" si="57"/>
        <v>0</v>
      </c>
      <c r="BB88" s="309">
        <f t="shared" si="57"/>
        <v>0</v>
      </c>
      <c r="BC88" s="309">
        <f t="shared" si="57"/>
        <v>0</v>
      </c>
      <c r="BD88" s="309">
        <f t="shared" si="57"/>
        <v>0</v>
      </c>
      <c r="BE88" s="309">
        <f t="shared" si="57"/>
        <v>0</v>
      </c>
      <c r="BF88" s="309">
        <f t="shared" si="57"/>
        <v>0</v>
      </c>
      <c r="BG88" s="309">
        <f t="shared" si="57"/>
        <v>0</v>
      </c>
      <c r="BH88" s="309">
        <f t="shared" si="57"/>
        <v>0</v>
      </c>
      <c r="BI88" s="309">
        <f t="shared" si="57"/>
        <v>0</v>
      </c>
      <c r="BJ88" s="309">
        <f t="shared" si="57"/>
        <v>0</v>
      </c>
      <c r="BK88" s="309">
        <f t="shared" si="57"/>
        <v>0</v>
      </c>
      <c r="BL88" s="309">
        <f t="shared" si="57"/>
        <v>0</v>
      </c>
      <c r="BM88" s="309">
        <f t="shared" si="57"/>
        <v>0</v>
      </c>
      <c r="BN88" s="309">
        <f t="shared" si="57"/>
        <v>0</v>
      </c>
      <c r="BO88" s="309">
        <f t="shared" si="57"/>
        <v>0</v>
      </c>
      <c r="BP88" s="309">
        <f t="shared" si="57"/>
        <v>0</v>
      </c>
      <c r="BQ88" s="309">
        <f t="shared" si="57"/>
        <v>0</v>
      </c>
      <c r="BR88" s="309">
        <f t="shared" ref="BR88:CW88" si="58">(BR$74+BR$81+BR$82)*$B$16*BR$65/$B$17</f>
        <v>0</v>
      </c>
      <c r="BS88" s="309">
        <f t="shared" si="58"/>
        <v>0</v>
      </c>
      <c r="BT88" s="309">
        <f t="shared" si="58"/>
        <v>0</v>
      </c>
      <c r="BU88" s="309">
        <f t="shared" si="58"/>
        <v>0</v>
      </c>
      <c r="BV88" s="309">
        <f t="shared" si="58"/>
        <v>0</v>
      </c>
      <c r="BW88" s="309">
        <f t="shared" si="58"/>
        <v>0</v>
      </c>
      <c r="BX88" s="309">
        <f t="shared" si="58"/>
        <v>0</v>
      </c>
      <c r="BY88" s="309">
        <f t="shared" si="58"/>
        <v>0</v>
      </c>
      <c r="BZ88" s="309">
        <f t="shared" si="58"/>
        <v>0</v>
      </c>
      <c r="CA88" s="309">
        <f t="shared" si="58"/>
        <v>0</v>
      </c>
      <c r="CB88" s="309">
        <f t="shared" si="58"/>
        <v>0</v>
      </c>
      <c r="CC88" s="309">
        <f t="shared" si="58"/>
        <v>0</v>
      </c>
      <c r="CD88" s="309">
        <f t="shared" si="58"/>
        <v>0</v>
      </c>
      <c r="CE88" s="309">
        <f t="shared" si="58"/>
        <v>0</v>
      </c>
      <c r="CF88" s="309">
        <f t="shared" si="58"/>
        <v>0</v>
      </c>
      <c r="CG88" s="309">
        <f t="shared" si="58"/>
        <v>0</v>
      </c>
      <c r="CH88" s="309">
        <f t="shared" si="58"/>
        <v>0</v>
      </c>
      <c r="CI88" s="309">
        <f t="shared" si="58"/>
        <v>0</v>
      </c>
      <c r="CJ88" s="309">
        <f t="shared" si="58"/>
        <v>0</v>
      </c>
      <c r="CK88" s="309">
        <f t="shared" si="58"/>
        <v>0</v>
      </c>
      <c r="CL88" s="309">
        <f t="shared" si="58"/>
        <v>0</v>
      </c>
      <c r="CM88" s="309">
        <f t="shared" si="58"/>
        <v>0</v>
      </c>
      <c r="CN88" s="309">
        <f t="shared" si="58"/>
        <v>0</v>
      </c>
      <c r="CO88" s="309">
        <f t="shared" si="58"/>
        <v>0</v>
      </c>
      <c r="CP88" s="309">
        <f t="shared" si="58"/>
        <v>0</v>
      </c>
      <c r="CQ88" s="309">
        <f t="shared" si="58"/>
        <v>0</v>
      </c>
      <c r="CR88" s="309">
        <f t="shared" si="58"/>
        <v>0</v>
      </c>
      <c r="CS88" s="309">
        <f t="shared" si="58"/>
        <v>0</v>
      </c>
      <c r="CT88" s="309">
        <f t="shared" si="58"/>
        <v>0</v>
      </c>
      <c r="CU88" s="309">
        <f t="shared" si="58"/>
        <v>0</v>
      </c>
      <c r="CV88" s="309">
        <f t="shared" si="58"/>
        <v>0</v>
      </c>
      <c r="CW88" s="309">
        <f t="shared" si="58"/>
        <v>0</v>
      </c>
      <c r="CX88" s="309">
        <f t="shared" ref="CX88:DV88" si="59">(CX$74+CX$81+CX$82)*$B$16*CX$65/$B$17</f>
        <v>0</v>
      </c>
      <c r="CY88" s="309">
        <f t="shared" si="59"/>
        <v>0</v>
      </c>
      <c r="CZ88" s="309">
        <f t="shared" si="59"/>
        <v>0</v>
      </c>
      <c r="DA88" s="309">
        <f t="shared" si="59"/>
        <v>0</v>
      </c>
      <c r="DB88" s="309">
        <f t="shared" si="59"/>
        <v>0</v>
      </c>
      <c r="DC88" s="309">
        <f t="shared" si="59"/>
        <v>0</v>
      </c>
      <c r="DD88" s="309">
        <f t="shared" si="59"/>
        <v>0</v>
      </c>
      <c r="DE88" s="309">
        <f t="shared" si="59"/>
        <v>0</v>
      </c>
      <c r="DF88" s="309">
        <f t="shared" si="59"/>
        <v>0</v>
      </c>
      <c r="DG88" s="309">
        <f t="shared" si="59"/>
        <v>0</v>
      </c>
      <c r="DH88" s="309">
        <f t="shared" si="59"/>
        <v>0</v>
      </c>
      <c r="DI88" s="309">
        <f t="shared" si="59"/>
        <v>0</v>
      </c>
      <c r="DJ88" s="309">
        <f t="shared" si="59"/>
        <v>0</v>
      </c>
      <c r="DK88" s="309">
        <f t="shared" si="59"/>
        <v>0</v>
      </c>
      <c r="DL88" s="309">
        <f t="shared" si="59"/>
        <v>0</v>
      </c>
      <c r="DM88" s="309">
        <f t="shared" si="59"/>
        <v>0</v>
      </c>
      <c r="DN88" s="309">
        <f t="shared" si="59"/>
        <v>0</v>
      </c>
      <c r="DO88" s="309">
        <f t="shared" si="59"/>
        <v>0</v>
      </c>
      <c r="DP88" s="309">
        <f t="shared" si="59"/>
        <v>0</v>
      </c>
      <c r="DQ88" s="309">
        <f t="shared" si="59"/>
        <v>0</v>
      </c>
      <c r="DR88" s="309">
        <f t="shared" si="59"/>
        <v>0</v>
      </c>
      <c r="DS88" s="309">
        <f t="shared" si="59"/>
        <v>0</v>
      </c>
      <c r="DT88" s="309">
        <f t="shared" si="59"/>
        <v>0</v>
      </c>
      <c r="DU88" s="309">
        <f t="shared" si="59"/>
        <v>0</v>
      </c>
      <c r="DV88" s="309">
        <f t="shared" si="59"/>
        <v>0</v>
      </c>
    </row>
    <row r="89" spans="1:126" ht="15" customHeight="1" x14ac:dyDescent="0.35">
      <c r="A89" s="307" t="s">
        <v>1524</v>
      </c>
      <c r="B89" s="308" t="s">
        <v>1370</v>
      </c>
      <c r="C89" s="1146" t="s">
        <v>1525</v>
      </c>
      <c r="D89" s="1147"/>
      <c r="F89" s="309">
        <f t="shared" ref="F89:AK89" si="60">MIN(MAX(0,F$74+F$81+F$82),MAX(0,-F$188))</f>
        <v>0</v>
      </c>
      <c r="G89" s="309">
        <f t="shared" si="60"/>
        <v>0</v>
      </c>
      <c r="H89" s="309">
        <f t="shared" si="60"/>
        <v>7349158.0265457649</v>
      </c>
      <c r="I89" s="309">
        <f t="shared" si="60"/>
        <v>0</v>
      </c>
      <c r="J89" s="309">
        <f t="shared" si="60"/>
        <v>0</v>
      </c>
      <c r="K89" s="309">
        <f t="shared" si="60"/>
        <v>0</v>
      </c>
      <c r="L89" s="309">
        <f t="shared" si="60"/>
        <v>0</v>
      </c>
      <c r="M89" s="309">
        <f t="shared" si="60"/>
        <v>0</v>
      </c>
      <c r="N89" s="309">
        <f t="shared" si="60"/>
        <v>0</v>
      </c>
      <c r="O89" s="309">
        <f t="shared" si="60"/>
        <v>0</v>
      </c>
      <c r="P89" s="309">
        <f t="shared" si="60"/>
        <v>0</v>
      </c>
      <c r="Q89" s="309">
        <f t="shared" si="60"/>
        <v>0</v>
      </c>
      <c r="R89" s="309">
        <f t="shared" si="60"/>
        <v>0</v>
      </c>
      <c r="S89" s="309">
        <f t="shared" si="60"/>
        <v>0</v>
      </c>
      <c r="T89" s="309">
        <f t="shared" si="60"/>
        <v>0</v>
      </c>
      <c r="U89" s="309">
        <f t="shared" si="60"/>
        <v>0</v>
      </c>
      <c r="V89" s="309">
        <f t="shared" si="60"/>
        <v>0</v>
      </c>
      <c r="W89" s="309">
        <f t="shared" si="60"/>
        <v>0</v>
      </c>
      <c r="X89" s="309">
        <f t="shared" si="60"/>
        <v>0</v>
      </c>
      <c r="Y89" s="309">
        <f t="shared" si="60"/>
        <v>0</v>
      </c>
      <c r="Z89" s="309">
        <f t="shared" si="60"/>
        <v>90749.137075924547</v>
      </c>
      <c r="AA89" s="309">
        <f t="shared" si="60"/>
        <v>174553.61273367773</v>
      </c>
      <c r="AB89" s="309">
        <f t="shared" si="60"/>
        <v>245346.92688102438</v>
      </c>
      <c r="AC89" s="309">
        <f t="shared" si="60"/>
        <v>298664.76362304948</v>
      </c>
      <c r="AD89" s="309">
        <f t="shared" si="60"/>
        <v>332095.22752505192</v>
      </c>
      <c r="AE89" s="309">
        <f t="shared" si="60"/>
        <v>345395.27257881453</v>
      </c>
      <c r="AF89" s="309">
        <f t="shared" si="60"/>
        <v>340282.3339730897</v>
      </c>
      <c r="AG89" s="309">
        <f t="shared" si="60"/>
        <v>319971.35631247715</v>
      </c>
      <c r="AH89" s="309">
        <f t="shared" si="60"/>
        <v>288567.01646289113</v>
      </c>
      <c r="AI89" s="309">
        <f t="shared" si="60"/>
        <v>250432.2831283253</v>
      </c>
      <c r="AJ89" s="309">
        <f t="shared" si="60"/>
        <v>209638.92700129288</v>
      </c>
      <c r="AK89" s="309">
        <f t="shared" si="60"/>
        <v>169571.13126643121</v>
      </c>
      <c r="AL89" s="309">
        <f t="shared" ref="AL89:BQ89" si="61">MIN(MAX(0,AL$74+AL$81+AL$82),MAX(0,-AL$188))</f>
        <v>132711.214846938</v>
      </c>
      <c r="AM89" s="309">
        <f t="shared" si="61"/>
        <v>100597.6253999585</v>
      </c>
      <c r="AN89" s="309">
        <f t="shared" si="61"/>
        <v>73917.59288724004</v>
      </c>
      <c r="AO89" s="309">
        <f t="shared" si="61"/>
        <v>52683.478230858702</v>
      </c>
      <c r="AP89" s="309">
        <f t="shared" si="61"/>
        <v>36441.973454236992</v>
      </c>
      <c r="AQ89" s="309">
        <f t="shared" si="61"/>
        <v>70562.268970066187</v>
      </c>
      <c r="AR89" s="309">
        <f t="shared" si="61"/>
        <v>55817.127282870271</v>
      </c>
      <c r="AS89" s="309">
        <f t="shared" si="61"/>
        <v>0</v>
      </c>
      <c r="AT89" s="309">
        <f t="shared" si="61"/>
        <v>0</v>
      </c>
      <c r="AU89" s="309">
        <f t="shared" si="61"/>
        <v>0</v>
      </c>
      <c r="AV89" s="309">
        <f t="shared" si="61"/>
        <v>0</v>
      </c>
      <c r="AW89" s="309">
        <f t="shared" si="61"/>
        <v>0</v>
      </c>
      <c r="AX89" s="309">
        <f t="shared" si="61"/>
        <v>0</v>
      </c>
      <c r="AY89" s="309">
        <f t="shared" si="61"/>
        <v>0</v>
      </c>
      <c r="AZ89" s="309">
        <f t="shared" si="61"/>
        <v>0</v>
      </c>
      <c r="BA89" s="309">
        <f t="shared" si="61"/>
        <v>0</v>
      </c>
      <c r="BB89" s="309">
        <f t="shared" si="61"/>
        <v>0</v>
      </c>
      <c r="BC89" s="309">
        <f t="shared" si="61"/>
        <v>0</v>
      </c>
      <c r="BD89" s="309">
        <f t="shared" si="61"/>
        <v>0</v>
      </c>
      <c r="BE89" s="309">
        <f t="shared" si="61"/>
        <v>0</v>
      </c>
      <c r="BF89" s="309">
        <f t="shared" si="61"/>
        <v>0</v>
      </c>
      <c r="BG89" s="309">
        <f t="shared" si="61"/>
        <v>0</v>
      </c>
      <c r="BH89" s="309">
        <f t="shared" si="61"/>
        <v>0</v>
      </c>
      <c r="BI89" s="309">
        <f t="shared" si="61"/>
        <v>0</v>
      </c>
      <c r="BJ89" s="309">
        <f t="shared" si="61"/>
        <v>0</v>
      </c>
      <c r="BK89" s="309">
        <f t="shared" si="61"/>
        <v>0</v>
      </c>
      <c r="BL89" s="309">
        <f t="shared" si="61"/>
        <v>0</v>
      </c>
      <c r="BM89" s="309">
        <f t="shared" si="61"/>
        <v>0</v>
      </c>
      <c r="BN89" s="309">
        <f t="shared" si="61"/>
        <v>0</v>
      </c>
      <c r="BO89" s="309">
        <f t="shared" si="61"/>
        <v>0</v>
      </c>
      <c r="BP89" s="309">
        <f t="shared" si="61"/>
        <v>0</v>
      </c>
      <c r="BQ89" s="309">
        <f t="shared" si="61"/>
        <v>0</v>
      </c>
      <c r="BR89" s="309">
        <f t="shared" ref="BR89:CW89" si="62">MIN(MAX(0,BR$74+BR$81+BR$82),MAX(0,-BR$188))</f>
        <v>0</v>
      </c>
      <c r="BS89" s="309">
        <f t="shared" si="62"/>
        <v>0</v>
      </c>
      <c r="BT89" s="309">
        <f t="shared" si="62"/>
        <v>0</v>
      </c>
      <c r="BU89" s="309">
        <f t="shared" si="62"/>
        <v>0</v>
      </c>
      <c r="BV89" s="309">
        <f t="shared" si="62"/>
        <v>0</v>
      </c>
      <c r="BW89" s="309">
        <f t="shared" si="62"/>
        <v>0</v>
      </c>
      <c r="BX89" s="309">
        <f t="shared" si="62"/>
        <v>0</v>
      </c>
      <c r="BY89" s="309">
        <f t="shared" si="62"/>
        <v>0</v>
      </c>
      <c r="BZ89" s="309">
        <f t="shared" si="62"/>
        <v>0</v>
      </c>
      <c r="CA89" s="309">
        <f t="shared" si="62"/>
        <v>0</v>
      </c>
      <c r="CB89" s="309">
        <f t="shared" si="62"/>
        <v>0</v>
      </c>
      <c r="CC89" s="309">
        <f t="shared" si="62"/>
        <v>0</v>
      </c>
      <c r="CD89" s="309">
        <f t="shared" si="62"/>
        <v>0</v>
      </c>
      <c r="CE89" s="309">
        <f t="shared" si="62"/>
        <v>0</v>
      </c>
      <c r="CF89" s="309">
        <f t="shared" si="62"/>
        <v>0</v>
      </c>
      <c r="CG89" s="309">
        <f t="shared" si="62"/>
        <v>0</v>
      </c>
      <c r="CH89" s="309">
        <f t="shared" si="62"/>
        <v>0</v>
      </c>
      <c r="CI89" s="309">
        <f t="shared" si="62"/>
        <v>0</v>
      </c>
      <c r="CJ89" s="309">
        <f t="shared" si="62"/>
        <v>0</v>
      </c>
      <c r="CK89" s="309">
        <f t="shared" si="62"/>
        <v>0</v>
      </c>
      <c r="CL89" s="309">
        <f t="shared" si="62"/>
        <v>0</v>
      </c>
      <c r="CM89" s="309">
        <f t="shared" si="62"/>
        <v>0</v>
      </c>
      <c r="CN89" s="309">
        <f t="shared" si="62"/>
        <v>0</v>
      </c>
      <c r="CO89" s="309">
        <f t="shared" si="62"/>
        <v>0</v>
      </c>
      <c r="CP89" s="309">
        <f t="shared" si="62"/>
        <v>0</v>
      </c>
      <c r="CQ89" s="309">
        <f t="shared" si="62"/>
        <v>0</v>
      </c>
      <c r="CR89" s="309">
        <f t="shared" si="62"/>
        <v>0</v>
      </c>
      <c r="CS89" s="309">
        <f t="shared" si="62"/>
        <v>0</v>
      </c>
      <c r="CT89" s="309">
        <f t="shared" si="62"/>
        <v>0</v>
      </c>
      <c r="CU89" s="309">
        <f t="shared" si="62"/>
        <v>0</v>
      </c>
      <c r="CV89" s="309">
        <f t="shared" si="62"/>
        <v>0</v>
      </c>
      <c r="CW89" s="309">
        <f t="shared" si="62"/>
        <v>0</v>
      </c>
      <c r="CX89" s="309">
        <f t="shared" ref="CX89:DV89" si="63">MIN(MAX(0,CX$74+CX$81+CX$82),MAX(0,-CX$188))</f>
        <v>0</v>
      </c>
      <c r="CY89" s="309">
        <f t="shared" si="63"/>
        <v>0</v>
      </c>
      <c r="CZ89" s="309">
        <f t="shared" si="63"/>
        <v>0</v>
      </c>
      <c r="DA89" s="309">
        <f t="shared" si="63"/>
        <v>0</v>
      </c>
      <c r="DB89" s="309">
        <f t="shared" si="63"/>
        <v>0</v>
      </c>
      <c r="DC89" s="309">
        <f t="shared" si="63"/>
        <v>0</v>
      </c>
      <c r="DD89" s="309">
        <f t="shared" si="63"/>
        <v>0</v>
      </c>
      <c r="DE89" s="309">
        <f t="shared" si="63"/>
        <v>0</v>
      </c>
      <c r="DF89" s="309">
        <f t="shared" si="63"/>
        <v>0</v>
      </c>
      <c r="DG89" s="309">
        <f t="shared" si="63"/>
        <v>0</v>
      </c>
      <c r="DH89" s="309">
        <f t="shared" si="63"/>
        <v>0</v>
      </c>
      <c r="DI89" s="309">
        <f t="shared" si="63"/>
        <v>0</v>
      </c>
      <c r="DJ89" s="309">
        <f t="shared" si="63"/>
        <v>0</v>
      </c>
      <c r="DK89" s="309">
        <f t="shared" si="63"/>
        <v>0</v>
      </c>
      <c r="DL89" s="309">
        <f t="shared" si="63"/>
        <v>0</v>
      </c>
      <c r="DM89" s="309">
        <f t="shared" si="63"/>
        <v>0</v>
      </c>
      <c r="DN89" s="309">
        <f t="shared" si="63"/>
        <v>0</v>
      </c>
      <c r="DO89" s="309">
        <f t="shared" si="63"/>
        <v>0</v>
      </c>
      <c r="DP89" s="309">
        <f t="shared" si="63"/>
        <v>0</v>
      </c>
      <c r="DQ89" s="309">
        <f t="shared" si="63"/>
        <v>0</v>
      </c>
      <c r="DR89" s="309">
        <f t="shared" si="63"/>
        <v>0</v>
      </c>
      <c r="DS89" s="309">
        <f t="shared" si="63"/>
        <v>0</v>
      </c>
      <c r="DT89" s="309">
        <f t="shared" si="63"/>
        <v>0</v>
      </c>
      <c r="DU89" s="309">
        <f t="shared" si="63"/>
        <v>0</v>
      </c>
      <c r="DV89" s="309">
        <f t="shared" si="63"/>
        <v>0</v>
      </c>
    </row>
    <row r="90" spans="1:126" ht="15" customHeight="1" x14ac:dyDescent="0.35">
      <c r="A90" s="307" t="s">
        <v>1526</v>
      </c>
      <c r="B90" s="308" t="s">
        <v>1370</v>
      </c>
      <c r="C90" s="1146" t="s">
        <v>1527</v>
      </c>
      <c r="D90" s="1147"/>
      <c r="F90" s="309">
        <f t="shared" ref="F90:AK90" si="64">IF(F$69=1,MAX(0,F$74+F$81+F$82),0)</f>
        <v>0</v>
      </c>
      <c r="G90" s="309">
        <f t="shared" si="64"/>
        <v>0</v>
      </c>
      <c r="H90" s="309">
        <f t="shared" si="64"/>
        <v>0</v>
      </c>
      <c r="I90" s="309">
        <f t="shared" si="64"/>
        <v>0</v>
      </c>
      <c r="J90" s="309">
        <f t="shared" si="64"/>
        <v>0</v>
      </c>
      <c r="K90" s="309">
        <f t="shared" si="64"/>
        <v>0</v>
      </c>
      <c r="L90" s="309">
        <f t="shared" si="64"/>
        <v>0</v>
      </c>
      <c r="M90" s="309">
        <f t="shared" si="64"/>
        <v>0</v>
      </c>
      <c r="N90" s="309">
        <f t="shared" si="64"/>
        <v>0</v>
      </c>
      <c r="O90" s="309">
        <f t="shared" si="64"/>
        <v>0</v>
      </c>
      <c r="P90" s="309">
        <f t="shared" si="64"/>
        <v>0</v>
      </c>
      <c r="Q90" s="309">
        <f t="shared" si="64"/>
        <v>0</v>
      </c>
      <c r="R90" s="309">
        <f t="shared" si="64"/>
        <v>0</v>
      </c>
      <c r="S90" s="309">
        <f t="shared" si="64"/>
        <v>0</v>
      </c>
      <c r="T90" s="309">
        <f t="shared" si="64"/>
        <v>0</v>
      </c>
      <c r="U90" s="309">
        <f t="shared" si="64"/>
        <v>0</v>
      </c>
      <c r="V90" s="309">
        <f t="shared" si="64"/>
        <v>0</v>
      </c>
      <c r="W90" s="309">
        <f t="shared" si="64"/>
        <v>0</v>
      </c>
      <c r="X90" s="309">
        <f t="shared" si="64"/>
        <v>0</v>
      </c>
      <c r="Y90" s="309">
        <f t="shared" si="64"/>
        <v>0</v>
      </c>
      <c r="Z90" s="309">
        <f t="shared" si="64"/>
        <v>0</v>
      </c>
      <c r="AA90" s="309">
        <f t="shared" si="64"/>
        <v>0</v>
      </c>
      <c r="AB90" s="309">
        <f t="shared" si="64"/>
        <v>0</v>
      </c>
      <c r="AC90" s="309">
        <f t="shared" si="64"/>
        <v>0</v>
      </c>
      <c r="AD90" s="309">
        <f t="shared" si="64"/>
        <v>0</v>
      </c>
      <c r="AE90" s="309">
        <f t="shared" si="64"/>
        <v>0</v>
      </c>
      <c r="AF90" s="309">
        <f t="shared" si="64"/>
        <v>0</v>
      </c>
      <c r="AG90" s="309">
        <f t="shared" si="64"/>
        <v>0</v>
      </c>
      <c r="AH90" s="309">
        <f t="shared" si="64"/>
        <v>0</v>
      </c>
      <c r="AI90" s="309">
        <f t="shared" si="64"/>
        <v>0</v>
      </c>
      <c r="AJ90" s="309">
        <f t="shared" si="64"/>
        <v>0</v>
      </c>
      <c r="AK90" s="309">
        <f t="shared" si="64"/>
        <v>0</v>
      </c>
      <c r="AL90" s="309">
        <f t="shared" ref="AL90:BQ90" si="65">IF(AL$69=1,MAX(0,AL$74+AL$81+AL$82),0)</f>
        <v>0</v>
      </c>
      <c r="AM90" s="309">
        <f t="shared" si="65"/>
        <v>0</v>
      </c>
      <c r="AN90" s="309">
        <f t="shared" si="65"/>
        <v>0</v>
      </c>
      <c r="AO90" s="309">
        <f t="shared" si="65"/>
        <v>0</v>
      </c>
      <c r="AP90" s="309">
        <f t="shared" si="65"/>
        <v>0</v>
      </c>
      <c r="AQ90" s="309">
        <f t="shared" si="65"/>
        <v>0</v>
      </c>
      <c r="AR90" s="309">
        <f t="shared" si="65"/>
        <v>0</v>
      </c>
      <c r="AS90" s="309">
        <f t="shared" si="65"/>
        <v>0</v>
      </c>
      <c r="AT90" s="309">
        <f t="shared" si="65"/>
        <v>0</v>
      </c>
      <c r="AU90" s="309">
        <f t="shared" si="65"/>
        <v>0</v>
      </c>
      <c r="AV90" s="309">
        <f t="shared" si="65"/>
        <v>0</v>
      </c>
      <c r="AW90" s="309">
        <f t="shared" si="65"/>
        <v>0</v>
      </c>
      <c r="AX90" s="309">
        <f t="shared" si="65"/>
        <v>0</v>
      </c>
      <c r="AY90" s="309">
        <f t="shared" si="65"/>
        <v>0</v>
      </c>
      <c r="AZ90" s="309">
        <f t="shared" si="65"/>
        <v>0</v>
      </c>
      <c r="BA90" s="309">
        <f t="shared" si="65"/>
        <v>0</v>
      </c>
      <c r="BB90" s="309">
        <f t="shared" si="65"/>
        <v>0</v>
      </c>
      <c r="BC90" s="309">
        <f t="shared" si="65"/>
        <v>224265496.21103358</v>
      </c>
      <c r="BD90" s="309">
        <f t="shared" si="65"/>
        <v>0</v>
      </c>
      <c r="BE90" s="309">
        <f t="shared" si="65"/>
        <v>0</v>
      </c>
      <c r="BF90" s="309">
        <f t="shared" si="65"/>
        <v>0</v>
      </c>
      <c r="BG90" s="309">
        <f t="shared" si="65"/>
        <v>0</v>
      </c>
      <c r="BH90" s="309">
        <f t="shared" si="65"/>
        <v>0</v>
      </c>
      <c r="BI90" s="309">
        <f t="shared" si="65"/>
        <v>0</v>
      </c>
      <c r="BJ90" s="309">
        <f t="shared" si="65"/>
        <v>0</v>
      </c>
      <c r="BK90" s="309">
        <f t="shared" si="65"/>
        <v>0</v>
      </c>
      <c r="BL90" s="309">
        <f t="shared" si="65"/>
        <v>0</v>
      </c>
      <c r="BM90" s="309">
        <f t="shared" si="65"/>
        <v>0</v>
      </c>
      <c r="BN90" s="309">
        <f t="shared" si="65"/>
        <v>0</v>
      </c>
      <c r="BO90" s="309">
        <f t="shared" si="65"/>
        <v>0</v>
      </c>
      <c r="BP90" s="309">
        <f t="shared" si="65"/>
        <v>0</v>
      </c>
      <c r="BQ90" s="309">
        <f t="shared" si="65"/>
        <v>0</v>
      </c>
      <c r="BR90" s="309">
        <f t="shared" ref="BR90:CW90" si="66">IF(BR$69=1,MAX(0,BR$74+BR$81+BR$82),0)</f>
        <v>0</v>
      </c>
      <c r="BS90" s="309">
        <f t="shared" si="66"/>
        <v>0</v>
      </c>
      <c r="BT90" s="309">
        <f t="shared" si="66"/>
        <v>0</v>
      </c>
      <c r="BU90" s="309">
        <f t="shared" si="66"/>
        <v>0</v>
      </c>
      <c r="BV90" s="309">
        <f t="shared" si="66"/>
        <v>0</v>
      </c>
      <c r="BW90" s="309">
        <f t="shared" si="66"/>
        <v>0</v>
      </c>
      <c r="BX90" s="309">
        <f t="shared" si="66"/>
        <v>0</v>
      </c>
      <c r="BY90" s="309">
        <f t="shared" si="66"/>
        <v>0</v>
      </c>
      <c r="BZ90" s="309">
        <f t="shared" si="66"/>
        <v>0</v>
      </c>
      <c r="CA90" s="309">
        <f t="shared" si="66"/>
        <v>0</v>
      </c>
      <c r="CB90" s="309">
        <f t="shared" si="66"/>
        <v>0</v>
      </c>
      <c r="CC90" s="309">
        <f t="shared" si="66"/>
        <v>0</v>
      </c>
      <c r="CD90" s="309">
        <f t="shared" si="66"/>
        <v>0</v>
      </c>
      <c r="CE90" s="309">
        <f t="shared" si="66"/>
        <v>0</v>
      </c>
      <c r="CF90" s="309">
        <f t="shared" si="66"/>
        <v>0</v>
      </c>
      <c r="CG90" s="309">
        <f t="shared" si="66"/>
        <v>0</v>
      </c>
      <c r="CH90" s="309">
        <f t="shared" si="66"/>
        <v>0</v>
      </c>
      <c r="CI90" s="309">
        <f t="shared" si="66"/>
        <v>0</v>
      </c>
      <c r="CJ90" s="309">
        <f t="shared" si="66"/>
        <v>0</v>
      </c>
      <c r="CK90" s="309">
        <f t="shared" si="66"/>
        <v>0</v>
      </c>
      <c r="CL90" s="309">
        <f t="shared" si="66"/>
        <v>0</v>
      </c>
      <c r="CM90" s="309">
        <f t="shared" si="66"/>
        <v>0</v>
      </c>
      <c r="CN90" s="309">
        <f t="shared" si="66"/>
        <v>0</v>
      </c>
      <c r="CO90" s="309">
        <f t="shared" si="66"/>
        <v>0</v>
      </c>
      <c r="CP90" s="309">
        <f t="shared" si="66"/>
        <v>0</v>
      </c>
      <c r="CQ90" s="309">
        <f t="shared" si="66"/>
        <v>0</v>
      </c>
      <c r="CR90" s="309">
        <f t="shared" si="66"/>
        <v>0</v>
      </c>
      <c r="CS90" s="309">
        <f t="shared" si="66"/>
        <v>0</v>
      </c>
      <c r="CT90" s="309">
        <f t="shared" si="66"/>
        <v>0</v>
      </c>
      <c r="CU90" s="309">
        <f t="shared" si="66"/>
        <v>0</v>
      </c>
      <c r="CV90" s="309">
        <f t="shared" si="66"/>
        <v>0</v>
      </c>
      <c r="CW90" s="309">
        <f t="shared" si="66"/>
        <v>0</v>
      </c>
      <c r="CX90" s="309">
        <f t="shared" ref="CX90:DV90" si="67">IF(CX$69=1,MAX(0,CX$74+CX$81+CX$82),0)</f>
        <v>0</v>
      </c>
      <c r="CY90" s="309">
        <f t="shared" si="67"/>
        <v>0</v>
      </c>
      <c r="CZ90" s="309">
        <f t="shared" si="67"/>
        <v>0</v>
      </c>
      <c r="DA90" s="309">
        <f t="shared" si="67"/>
        <v>0</v>
      </c>
      <c r="DB90" s="309">
        <f t="shared" si="67"/>
        <v>0</v>
      </c>
      <c r="DC90" s="309">
        <f t="shared" si="67"/>
        <v>0</v>
      </c>
      <c r="DD90" s="309">
        <f t="shared" si="67"/>
        <v>0</v>
      </c>
      <c r="DE90" s="309">
        <f t="shared" si="67"/>
        <v>0</v>
      </c>
      <c r="DF90" s="309">
        <f t="shared" si="67"/>
        <v>0</v>
      </c>
      <c r="DG90" s="309">
        <f t="shared" si="67"/>
        <v>0</v>
      </c>
      <c r="DH90" s="309">
        <f t="shared" si="67"/>
        <v>0</v>
      </c>
      <c r="DI90" s="309">
        <f t="shared" si="67"/>
        <v>0</v>
      </c>
      <c r="DJ90" s="309">
        <f t="shared" si="67"/>
        <v>0</v>
      </c>
      <c r="DK90" s="309">
        <f t="shared" si="67"/>
        <v>0</v>
      </c>
      <c r="DL90" s="309">
        <f t="shared" si="67"/>
        <v>0</v>
      </c>
      <c r="DM90" s="309">
        <f t="shared" si="67"/>
        <v>0</v>
      </c>
      <c r="DN90" s="309">
        <f t="shared" si="67"/>
        <v>0</v>
      </c>
      <c r="DO90" s="309">
        <f t="shared" si="67"/>
        <v>0</v>
      </c>
      <c r="DP90" s="309">
        <f t="shared" si="67"/>
        <v>0</v>
      </c>
      <c r="DQ90" s="309">
        <f t="shared" si="67"/>
        <v>0</v>
      </c>
      <c r="DR90" s="309">
        <f t="shared" si="67"/>
        <v>0</v>
      </c>
      <c r="DS90" s="309">
        <f t="shared" si="67"/>
        <v>0</v>
      </c>
      <c r="DT90" s="309">
        <f t="shared" si="67"/>
        <v>0</v>
      </c>
      <c r="DU90" s="309">
        <f t="shared" si="67"/>
        <v>0</v>
      </c>
      <c r="DV90" s="309">
        <f t="shared" si="67"/>
        <v>0</v>
      </c>
    </row>
    <row r="91" spans="1:126" ht="15" customHeight="1" x14ac:dyDescent="0.35">
      <c r="A91" s="307" t="s">
        <v>1528</v>
      </c>
      <c r="B91" s="308" t="s">
        <v>1370</v>
      </c>
      <c r="C91" s="1146" t="s">
        <v>1529</v>
      </c>
      <c r="D91" s="1147"/>
      <c r="F91" s="309">
        <f t="shared" ref="F91:AK91" si="68">IF(F$70=1,MAX(0,F$74+F$81+F$82-F$90),0)</f>
        <v>0</v>
      </c>
      <c r="G91" s="309">
        <f t="shared" si="68"/>
        <v>0</v>
      </c>
      <c r="H91" s="309">
        <f t="shared" si="68"/>
        <v>0</v>
      </c>
      <c r="I91" s="309">
        <f t="shared" si="68"/>
        <v>0</v>
      </c>
      <c r="J91" s="309">
        <f t="shared" si="68"/>
        <v>0</v>
      </c>
      <c r="K91" s="309">
        <f t="shared" si="68"/>
        <v>0</v>
      </c>
      <c r="L91" s="309">
        <f t="shared" si="68"/>
        <v>0</v>
      </c>
      <c r="M91" s="309">
        <f t="shared" si="68"/>
        <v>0</v>
      </c>
      <c r="N91" s="309">
        <f t="shared" si="68"/>
        <v>0</v>
      </c>
      <c r="O91" s="309">
        <f t="shared" si="68"/>
        <v>0</v>
      </c>
      <c r="P91" s="309">
        <f t="shared" si="68"/>
        <v>0</v>
      </c>
      <c r="Q91" s="309">
        <f t="shared" si="68"/>
        <v>0</v>
      </c>
      <c r="R91" s="309">
        <f t="shared" si="68"/>
        <v>0</v>
      </c>
      <c r="S91" s="309">
        <f t="shared" si="68"/>
        <v>0</v>
      </c>
      <c r="T91" s="309">
        <f t="shared" si="68"/>
        <v>0</v>
      </c>
      <c r="U91" s="309">
        <f t="shared" si="68"/>
        <v>0</v>
      </c>
      <c r="V91" s="309">
        <f t="shared" si="68"/>
        <v>0</v>
      </c>
      <c r="W91" s="309">
        <f t="shared" si="68"/>
        <v>0</v>
      </c>
      <c r="X91" s="309">
        <f t="shared" si="68"/>
        <v>0</v>
      </c>
      <c r="Y91" s="309">
        <f t="shared" si="68"/>
        <v>0</v>
      </c>
      <c r="Z91" s="309">
        <f t="shared" si="68"/>
        <v>0</v>
      </c>
      <c r="AA91" s="309">
        <f t="shared" si="68"/>
        <v>0</v>
      </c>
      <c r="AB91" s="309">
        <f t="shared" si="68"/>
        <v>0</v>
      </c>
      <c r="AC91" s="309">
        <f t="shared" si="68"/>
        <v>0</v>
      </c>
      <c r="AD91" s="309">
        <f t="shared" si="68"/>
        <v>0</v>
      </c>
      <c r="AE91" s="309">
        <f t="shared" si="68"/>
        <v>0</v>
      </c>
      <c r="AF91" s="309">
        <f t="shared" si="68"/>
        <v>0</v>
      </c>
      <c r="AG91" s="309">
        <f t="shared" si="68"/>
        <v>0</v>
      </c>
      <c r="AH91" s="309">
        <f t="shared" si="68"/>
        <v>0</v>
      </c>
      <c r="AI91" s="309">
        <f t="shared" si="68"/>
        <v>0</v>
      </c>
      <c r="AJ91" s="309">
        <f t="shared" si="68"/>
        <v>0</v>
      </c>
      <c r="AK91" s="309">
        <f t="shared" si="68"/>
        <v>0</v>
      </c>
      <c r="AL91" s="309">
        <f t="shared" ref="AL91:BQ91" si="69">IF(AL$70=1,MAX(0,AL$74+AL$81+AL$82-AL$90),0)</f>
        <v>0</v>
      </c>
      <c r="AM91" s="309">
        <f t="shared" si="69"/>
        <v>0</v>
      </c>
      <c r="AN91" s="309">
        <f t="shared" si="69"/>
        <v>0</v>
      </c>
      <c r="AO91" s="309">
        <f t="shared" si="69"/>
        <v>0</v>
      </c>
      <c r="AP91" s="309">
        <f t="shared" si="69"/>
        <v>0</v>
      </c>
      <c r="AQ91" s="309">
        <f t="shared" si="69"/>
        <v>0</v>
      </c>
      <c r="AR91" s="309">
        <f t="shared" si="69"/>
        <v>0</v>
      </c>
      <c r="AS91" s="309">
        <f t="shared" si="69"/>
        <v>0</v>
      </c>
      <c r="AT91" s="309">
        <f t="shared" si="69"/>
        <v>0</v>
      </c>
      <c r="AU91" s="309">
        <f t="shared" si="69"/>
        <v>0</v>
      </c>
      <c r="AV91" s="309">
        <f t="shared" si="69"/>
        <v>0</v>
      </c>
      <c r="AW91" s="309">
        <f t="shared" si="69"/>
        <v>0</v>
      </c>
      <c r="AX91" s="309">
        <f t="shared" si="69"/>
        <v>0</v>
      </c>
      <c r="AY91" s="309">
        <f t="shared" si="69"/>
        <v>0</v>
      </c>
      <c r="AZ91" s="309">
        <f t="shared" si="69"/>
        <v>0</v>
      </c>
      <c r="BA91" s="309">
        <f t="shared" si="69"/>
        <v>0</v>
      </c>
      <c r="BB91" s="309">
        <f t="shared" si="69"/>
        <v>0</v>
      </c>
      <c r="BC91" s="309">
        <f t="shared" si="69"/>
        <v>0</v>
      </c>
      <c r="BD91" s="309">
        <f t="shared" si="69"/>
        <v>0</v>
      </c>
      <c r="BE91" s="309">
        <f t="shared" si="69"/>
        <v>0</v>
      </c>
      <c r="BF91" s="309">
        <f t="shared" si="69"/>
        <v>0</v>
      </c>
      <c r="BG91" s="309">
        <f t="shared" si="69"/>
        <v>0</v>
      </c>
      <c r="BH91" s="309">
        <f t="shared" si="69"/>
        <v>0</v>
      </c>
      <c r="BI91" s="309">
        <f t="shared" si="69"/>
        <v>0</v>
      </c>
      <c r="BJ91" s="309">
        <f t="shared" si="69"/>
        <v>0</v>
      </c>
      <c r="BK91" s="309">
        <f t="shared" si="69"/>
        <v>0</v>
      </c>
      <c r="BL91" s="309">
        <f t="shared" si="69"/>
        <v>0</v>
      </c>
      <c r="BM91" s="309">
        <f t="shared" si="69"/>
        <v>0</v>
      </c>
      <c r="BN91" s="309">
        <f t="shared" si="69"/>
        <v>0</v>
      </c>
      <c r="BO91" s="309">
        <f t="shared" si="69"/>
        <v>0</v>
      </c>
      <c r="BP91" s="309">
        <f t="shared" si="69"/>
        <v>0</v>
      </c>
      <c r="BQ91" s="309">
        <f t="shared" si="69"/>
        <v>0</v>
      </c>
      <c r="BR91" s="309">
        <f t="shared" ref="BR91:CW91" si="70">IF(BR$70=1,MAX(0,BR$74+BR$81+BR$82-BR$90),0)</f>
        <v>0</v>
      </c>
      <c r="BS91" s="309">
        <f t="shared" si="70"/>
        <v>0</v>
      </c>
      <c r="BT91" s="309">
        <f t="shared" si="70"/>
        <v>0</v>
      </c>
      <c r="BU91" s="309">
        <f t="shared" si="70"/>
        <v>0</v>
      </c>
      <c r="BV91" s="309">
        <f t="shared" si="70"/>
        <v>0</v>
      </c>
      <c r="BW91" s="309">
        <f t="shared" si="70"/>
        <v>0</v>
      </c>
      <c r="BX91" s="309">
        <f t="shared" si="70"/>
        <v>0</v>
      </c>
      <c r="BY91" s="309">
        <f t="shared" si="70"/>
        <v>0</v>
      </c>
      <c r="BZ91" s="309">
        <f t="shared" si="70"/>
        <v>0</v>
      </c>
      <c r="CA91" s="309">
        <f t="shared" si="70"/>
        <v>0</v>
      </c>
      <c r="CB91" s="309">
        <f t="shared" si="70"/>
        <v>0</v>
      </c>
      <c r="CC91" s="309">
        <f t="shared" si="70"/>
        <v>0</v>
      </c>
      <c r="CD91" s="309">
        <f t="shared" si="70"/>
        <v>0</v>
      </c>
      <c r="CE91" s="309">
        <f t="shared" si="70"/>
        <v>0</v>
      </c>
      <c r="CF91" s="309">
        <f t="shared" si="70"/>
        <v>0</v>
      </c>
      <c r="CG91" s="309">
        <f t="shared" si="70"/>
        <v>0</v>
      </c>
      <c r="CH91" s="309">
        <f t="shared" si="70"/>
        <v>0</v>
      </c>
      <c r="CI91" s="309">
        <f t="shared" si="70"/>
        <v>0</v>
      </c>
      <c r="CJ91" s="309">
        <f t="shared" si="70"/>
        <v>0</v>
      </c>
      <c r="CK91" s="309">
        <f t="shared" si="70"/>
        <v>0</v>
      </c>
      <c r="CL91" s="309">
        <f t="shared" si="70"/>
        <v>0</v>
      </c>
      <c r="CM91" s="309">
        <f t="shared" si="70"/>
        <v>0</v>
      </c>
      <c r="CN91" s="309">
        <f t="shared" si="70"/>
        <v>0</v>
      </c>
      <c r="CO91" s="309">
        <f t="shared" si="70"/>
        <v>0</v>
      </c>
      <c r="CP91" s="309">
        <f t="shared" si="70"/>
        <v>0</v>
      </c>
      <c r="CQ91" s="309">
        <f t="shared" si="70"/>
        <v>0</v>
      </c>
      <c r="CR91" s="309">
        <f t="shared" si="70"/>
        <v>0</v>
      </c>
      <c r="CS91" s="309">
        <f t="shared" si="70"/>
        <v>0</v>
      </c>
      <c r="CT91" s="309">
        <f t="shared" si="70"/>
        <v>0</v>
      </c>
      <c r="CU91" s="309">
        <f t="shared" si="70"/>
        <v>0</v>
      </c>
      <c r="CV91" s="309">
        <f t="shared" si="70"/>
        <v>0</v>
      </c>
      <c r="CW91" s="309">
        <f t="shared" si="70"/>
        <v>0</v>
      </c>
      <c r="CX91" s="309">
        <f t="shared" ref="CX91:DV91" si="71">IF(CX$70=1,MAX(0,CX$74+CX$81+CX$82-CX$90),0)</f>
        <v>0</v>
      </c>
      <c r="CY91" s="309">
        <f t="shared" si="71"/>
        <v>0</v>
      </c>
      <c r="CZ91" s="309">
        <f t="shared" si="71"/>
        <v>0</v>
      </c>
      <c r="DA91" s="309">
        <f t="shared" si="71"/>
        <v>0</v>
      </c>
      <c r="DB91" s="309">
        <f t="shared" si="71"/>
        <v>0</v>
      </c>
      <c r="DC91" s="309">
        <f t="shared" si="71"/>
        <v>0</v>
      </c>
      <c r="DD91" s="309">
        <f t="shared" si="71"/>
        <v>0</v>
      </c>
      <c r="DE91" s="309">
        <f t="shared" si="71"/>
        <v>0</v>
      </c>
      <c r="DF91" s="309">
        <f t="shared" si="71"/>
        <v>0</v>
      </c>
      <c r="DG91" s="309">
        <f t="shared" si="71"/>
        <v>0</v>
      </c>
      <c r="DH91" s="309">
        <f t="shared" si="71"/>
        <v>0</v>
      </c>
      <c r="DI91" s="309">
        <f t="shared" si="71"/>
        <v>0</v>
      </c>
      <c r="DJ91" s="309">
        <f t="shared" si="71"/>
        <v>0</v>
      </c>
      <c r="DK91" s="309">
        <f t="shared" si="71"/>
        <v>0</v>
      </c>
      <c r="DL91" s="309">
        <f t="shared" si="71"/>
        <v>0</v>
      </c>
      <c r="DM91" s="309">
        <f t="shared" si="71"/>
        <v>0</v>
      </c>
      <c r="DN91" s="309">
        <f t="shared" si="71"/>
        <v>0</v>
      </c>
      <c r="DO91" s="309">
        <f t="shared" si="71"/>
        <v>0</v>
      </c>
      <c r="DP91" s="309">
        <f t="shared" si="71"/>
        <v>0</v>
      </c>
      <c r="DQ91" s="309">
        <f t="shared" si="71"/>
        <v>0</v>
      </c>
      <c r="DR91" s="309">
        <f t="shared" si="71"/>
        <v>0</v>
      </c>
      <c r="DS91" s="309">
        <f t="shared" si="71"/>
        <v>0</v>
      </c>
      <c r="DT91" s="309">
        <f t="shared" si="71"/>
        <v>0</v>
      </c>
      <c r="DU91" s="309">
        <f t="shared" si="71"/>
        <v>0</v>
      </c>
      <c r="DV91" s="309">
        <f t="shared" si="71"/>
        <v>0</v>
      </c>
    </row>
    <row r="92" spans="1:126" ht="15" customHeight="1" x14ac:dyDescent="0.35">
      <c r="A92" s="307" t="s">
        <v>1523</v>
      </c>
      <c r="B92" s="308" t="s">
        <v>1370</v>
      </c>
      <c r="C92" s="1146" t="s">
        <v>1530</v>
      </c>
      <c r="D92" s="1147"/>
      <c r="E92" s="309">
        <v>0</v>
      </c>
      <c r="F92" s="309">
        <f t="shared" ref="F92:AK92" si="72">MAX(0,F$74+F$81+F$82-F$89-F$90-F$91)</f>
        <v>16628131.21831876</v>
      </c>
      <c r="G92" s="309">
        <f t="shared" si="72"/>
        <v>17580721.849414673</v>
      </c>
      <c r="H92" s="309">
        <f t="shared" si="72"/>
        <v>11384802.582082724</v>
      </c>
      <c r="I92" s="309">
        <f t="shared" si="72"/>
        <v>12978057.900325164</v>
      </c>
      <c r="J92" s="309">
        <f t="shared" si="72"/>
        <v>15129184.163516741</v>
      </c>
      <c r="K92" s="309">
        <f t="shared" si="72"/>
        <v>18027823.946427755</v>
      </c>
      <c r="L92" s="309">
        <f t="shared" si="72"/>
        <v>21896634.017165743</v>
      </c>
      <c r="M92" s="309">
        <f t="shared" si="72"/>
        <v>26983886.446773604</v>
      </c>
      <c r="N92" s="309">
        <f t="shared" si="72"/>
        <v>33550110.817182142</v>
      </c>
      <c r="O92" s="309">
        <f t="shared" si="72"/>
        <v>41848627.937755942</v>
      </c>
      <c r="P92" s="309">
        <f t="shared" si="72"/>
        <v>52100868.103412196</v>
      </c>
      <c r="Q92" s="309">
        <f t="shared" si="72"/>
        <v>64468566.251076169</v>
      </c>
      <c r="R92" s="309">
        <f t="shared" si="72"/>
        <v>79026050.908906221</v>
      </c>
      <c r="S92" s="309">
        <f t="shared" si="72"/>
        <v>93458385.953308731</v>
      </c>
      <c r="T92" s="309">
        <f t="shared" si="72"/>
        <v>102808629.90103135</v>
      </c>
      <c r="U92" s="309">
        <f t="shared" si="72"/>
        <v>113007200.90478024</v>
      </c>
      <c r="V92" s="309">
        <f t="shared" si="72"/>
        <v>123847488.99518724</v>
      </c>
      <c r="W92" s="309">
        <f t="shared" si="72"/>
        <v>135074964.50307694</v>
      </c>
      <c r="X92" s="309">
        <f t="shared" si="72"/>
        <v>146405135.8053059</v>
      </c>
      <c r="Y92" s="309">
        <f t="shared" si="72"/>
        <v>157545334.50682876</v>
      </c>
      <c r="Z92" s="309">
        <f t="shared" si="72"/>
        <v>168172199.9967193</v>
      </c>
      <c r="AA92" s="309">
        <f t="shared" si="72"/>
        <v>178137634.14299893</v>
      </c>
      <c r="AB92" s="309">
        <f t="shared" si="72"/>
        <v>187251037.16281167</v>
      </c>
      <c r="AC92" s="309">
        <f t="shared" si="72"/>
        <v>195380303.17536294</v>
      </c>
      <c r="AD92" s="309">
        <f t="shared" si="72"/>
        <v>202455473.87338945</v>
      </c>
      <c r="AE92" s="309">
        <f t="shared" si="72"/>
        <v>208466037.22401142</v>
      </c>
      <c r="AF92" s="309">
        <f t="shared" si="72"/>
        <v>213452986.73721382</v>
      </c>
      <c r="AG92" s="309">
        <f t="shared" si="72"/>
        <v>217497340.13359717</v>
      </c>
      <c r="AH92" s="309">
        <f t="shared" si="72"/>
        <v>220707037.19515038</v>
      </c>
      <c r="AI92" s="309">
        <f t="shared" si="72"/>
        <v>223204012.57765567</v>
      </c>
      <c r="AJ92" s="309">
        <f t="shared" si="72"/>
        <v>224218678.65373945</v>
      </c>
      <c r="AK92" s="309">
        <f t="shared" si="72"/>
        <v>224258746.4494743</v>
      </c>
      <c r="AL92" s="309">
        <f t="shared" ref="AL92:BQ92" si="73">MAX(0,AL$74+AL$81+AL$82-AL$89-AL$90-AL$91)</f>
        <v>224295606.36589381</v>
      </c>
      <c r="AM92" s="309">
        <f t="shared" si="73"/>
        <v>224327719.9553408</v>
      </c>
      <c r="AN92" s="309">
        <f t="shared" si="73"/>
        <v>224354399.9878535</v>
      </c>
      <c r="AO92" s="309">
        <f t="shared" si="73"/>
        <v>224375634.10250989</v>
      </c>
      <c r="AP92" s="309">
        <f t="shared" si="73"/>
        <v>224391875.60728651</v>
      </c>
      <c r="AQ92" s="309">
        <f t="shared" si="73"/>
        <v>224321313.33831644</v>
      </c>
      <c r="AR92" s="309">
        <f t="shared" si="73"/>
        <v>224265496.21103358</v>
      </c>
      <c r="AS92" s="309">
        <f t="shared" si="73"/>
        <v>224265496.21103358</v>
      </c>
      <c r="AT92" s="309">
        <f t="shared" si="73"/>
        <v>224265496.21103358</v>
      </c>
      <c r="AU92" s="309">
        <f t="shared" si="73"/>
        <v>224265496.21103358</v>
      </c>
      <c r="AV92" s="309">
        <f t="shared" si="73"/>
        <v>224265496.21103358</v>
      </c>
      <c r="AW92" s="309">
        <f t="shared" si="73"/>
        <v>224265496.21103358</v>
      </c>
      <c r="AX92" s="309">
        <f t="shared" si="73"/>
        <v>224265496.21103358</v>
      </c>
      <c r="AY92" s="309">
        <f t="shared" si="73"/>
        <v>224265496.21103358</v>
      </c>
      <c r="AZ92" s="309">
        <f t="shared" si="73"/>
        <v>224265496.21103358</v>
      </c>
      <c r="BA92" s="309">
        <f t="shared" si="73"/>
        <v>224265496.21103358</v>
      </c>
      <c r="BB92" s="309">
        <f t="shared" si="73"/>
        <v>224265496.21103358</v>
      </c>
      <c r="BC92" s="309">
        <f t="shared" si="73"/>
        <v>0</v>
      </c>
      <c r="BD92" s="309">
        <f t="shared" si="73"/>
        <v>0</v>
      </c>
      <c r="BE92" s="309">
        <f t="shared" si="73"/>
        <v>0</v>
      </c>
      <c r="BF92" s="309">
        <f t="shared" si="73"/>
        <v>0</v>
      </c>
      <c r="BG92" s="309">
        <f t="shared" si="73"/>
        <v>0</v>
      </c>
      <c r="BH92" s="309">
        <f t="shared" si="73"/>
        <v>0</v>
      </c>
      <c r="BI92" s="309">
        <f t="shared" si="73"/>
        <v>0</v>
      </c>
      <c r="BJ92" s="309">
        <f t="shared" si="73"/>
        <v>0</v>
      </c>
      <c r="BK92" s="309">
        <f t="shared" si="73"/>
        <v>0</v>
      </c>
      <c r="BL92" s="309">
        <f t="shared" si="73"/>
        <v>0</v>
      </c>
      <c r="BM92" s="309">
        <f t="shared" si="73"/>
        <v>0</v>
      </c>
      <c r="BN92" s="309">
        <f t="shared" si="73"/>
        <v>0</v>
      </c>
      <c r="BO92" s="309">
        <f t="shared" si="73"/>
        <v>0</v>
      </c>
      <c r="BP92" s="309">
        <f t="shared" si="73"/>
        <v>0</v>
      </c>
      <c r="BQ92" s="309">
        <f t="shared" si="73"/>
        <v>0</v>
      </c>
      <c r="BR92" s="309">
        <f t="shared" ref="BR92:CW92" si="74">MAX(0,BR$74+BR$81+BR$82-BR$89-BR$90-BR$91)</f>
        <v>0</v>
      </c>
      <c r="BS92" s="309">
        <f t="shared" si="74"/>
        <v>0</v>
      </c>
      <c r="BT92" s="309">
        <f t="shared" si="74"/>
        <v>0</v>
      </c>
      <c r="BU92" s="309">
        <f t="shared" si="74"/>
        <v>0</v>
      </c>
      <c r="BV92" s="309">
        <f t="shared" si="74"/>
        <v>0</v>
      </c>
      <c r="BW92" s="309">
        <f t="shared" si="74"/>
        <v>0</v>
      </c>
      <c r="BX92" s="309">
        <f t="shared" si="74"/>
        <v>0</v>
      </c>
      <c r="BY92" s="309">
        <f t="shared" si="74"/>
        <v>0</v>
      </c>
      <c r="BZ92" s="309">
        <f t="shared" si="74"/>
        <v>0</v>
      </c>
      <c r="CA92" s="309">
        <f t="shared" si="74"/>
        <v>0</v>
      </c>
      <c r="CB92" s="309">
        <f t="shared" si="74"/>
        <v>0</v>
      </c>
      <c r="CC92" s="309">
        <f t="shared" si="74"/>
        <v>0</v>
      </c>
      <c r="CD92" s="309">
        <f t="shared" si="74"/>
        <v>0</v>
      </c>
      <c r="CE92" s="309">
        <f t="shared" si="74"/>
        <v>0</v>
      </c>
      <c r="CF92" s="309">
        <f t="shared" si="74"/>
        <v>0</v>
      </c>
      <c r="CG92" s="309">
        <f t="shared" si="74"/>
        <v>0</v>
      </c>
      <c r="CH92" s="309">
        <f t="shared" si="74"/>
        <v>0</v>
      </c>
      <c r="CI92" s="309">
        <f t="shared" si="74"/>
        <v>0</v>
      </c>
      <c r="CJ92" s="309">
        <f t="shared" si="74"/>
        <v>0</v>
      </c>
      <c r="CK92" s="309">
        <f t="shared" si="74"/>
        <v>0</v>
      </c>
      <c r="CL92" s="309">
        <f t="shared" si="74"/>
        <v>0</v>
      </c>
      <c r="CM92" s="309">
        <f t="shared" si="74"/>
        <v>0</v>
      </c>
      <c r="CN92" s="309">
        <f t="shared" si="74"/>
        <v>0</v>
      </c>
      <c r="CO92" s="309">
        <f t="shared" si="74"/>
        <v>0</v>
      </c>
      <c r="CP92" s="309">
        <f t="shared" si="74"/>
        <v>0</v>
      </c>
      <c r="CQ92" s="309">
        <f t="shared" si="74"/>
        <v>0</v>
      </c>
      <c r="CR92" s="309">
        <f t="shared" si="74"/>
        <v>0</v>
      </c>
      <c r="CS92" s="309">
        <f t="shared" si="74"/>
        <v>0</v>
      </c>
      <c r="CT92" s="309">
        <f t="shared" si="74"/>
        <v>0</v>
      </c>
      <c r="CU92" s="309">
        <f t="shared" si="74"/>
        <v>0</v>
      </c>
      <c r="CV92" s="309">
        <f t="shared" si="74"/>
        <v>0</v>
      </c>
      <c r="CW92" s="309">
        <f t="shared" si="74"/>
        <v>0</v>
      </c>
      <c r="CX92" s="309">
        <f t="shared" ref="CX92:DV92" si="75">MAX(0,CX$74+CX$81+CX$82-CX$89-CX$90-CX$91)</f>
        <v>0</v>
      </c>
      <c r="CY92" s="309">
        <f t="shared" si="75"/>
        <v>0</v>
      </c>
      <c r="CZ92" s="309">
        <f t="shared" si="75"/>
        <v>0</v>
      </c>
      <c r="DA92" s="309">
        <f t="shared" si="75"/>
        <v>0</v>
      </c>
      <c r="DB92" s="309">
        <f t="shared" si="75"/>
        <v>0</v>
      </c>
      <c r="DC92" s="309">
        <f t="shared" si="75"/>
        <v>0</v>
      </c>
      <c r="DD92" s="309">
        <f t="shared" si="75"/>
        <v>0</v>
      </c>
      <c r="DE92" s="309">
        <f t="shared" si="75"/>
        <v>0</v>
      </c>
      <c r="DF92" s="309">
        <f t="shared" si="75"/>
        <v>0</v>
      </c>
      <c r="DG92" s="309">
        <f t="shared" si="75"/>
        <v>0</v>
      </c>
      <c r="DH92" s="309">
        <f t="shared" si="75"/>
        <v>0</v>
      </c>
      <c r="DI92" s="309">
        <f t="shared" si="75"/>
        <v>0</v>
      </c>
      <c r="DJ92" s="309">
        <f t="shared" si="75"/>
        <v>0</v>
      </c>
      <c r="DK92" s="309">
        <f t="shared" si="75"/>
        <v>0</v>
      </c>
      <c r="DL92" s="309">
        <f t="shared" si="75"/>
        <v>0</v>
      </c>
      <c r="DM92" s="309">
        <f t="shared" si="75"/>
        <v>0</v>
      </c>
      <c r="DN92" s="309">
        <f t="shared" si="75"/>
        <v>0</v>
      </c>
      <c r="DO92" s="309">
        <f t="shared" si="75"/>
        <v>0</v>
      </c>
      <c r="DP92" s="309">
        <f t="shared" si="75"/>
        <v>0</v>
      </c>
      <c r="DQ92" s="309">
        <f t="shared" si="75"/>
        <v>0</v>
      </c>
      <c r="DR92" s="309">
        <f t="shared" si="75"/>
        <v>0</v>
      </c>
      <c r="DS92" s="309">
        <f t="shared" si="75"/>
        <v>0</v>
      </c>
      <c r="DT92" s="309">
        <f t="shared" si="75"/>
        <v>0</v>
      </c>
      <c r="DU92" s="309">
        <f t="shared" si="75"/>
        <v>0</v>
      </c>
      <c r="DV92" s="309">
        <f t="shared" si="75"/>
        <v>0</v>
      </c>
    </row>
    <row r="93" spans="1:126" ht="15" customHeight="1" x14ac:dyDescent="0.35">
      <c r="A93" s="307" t="s">
        <v>1531</v>
      </c>
      <c r="B93" s="308" t="s">
        <v>1370</v>
      </c>
      <c r="C93" s="1146" t="s">
        <v>1532</v>
      </c>
      <c r="D93" s="1147"/>
      <c r="F93" s="309">
        <f t="shared" ref="F93:AK93" si="76">IF(OR(F$90&gt;0,F$64&gt;=$B$19),0,F$73)</f>
        <v>224428317.58074075</v>
      </c>
      <c r="G93" s="309">
        <f t="shared" si="76"/>
        <v>224428317.58074075</v>
      </c>
      <c r="H93" s="309">
        <f t="shared" si="76"/>
        <v>224428317.58074075</v>
      </c>
      <c r="I93" s="309">
        <f t="shared" si="76"/>
        <v>224428317.58074075</v>
      </c>
      <c r="J93" s="309">
        <f t="shared" si="76"/>
        <v>224428317.58074075</v>
      </c>
      <c r="K93" s="309">
        <f t="shared" si="76"/>
        <v>224428317.58074075</v>
      </c>
      <c r="L93" s="309">
        <f t="shared" si="76"/>
        <v>224428317.58074075</v>
      </c>
      <c r="M93" s="309">
        <f t="shared" si="76"/>
        <v>224428317.58074075</v>
      </c>
      <c r="N93" s="309">
        <f t="shared" si="76"/>
        <v>224428317.58074075</v>
      </c>
      <c r="O93" s="309">
        <f t="shared" si="76"/>
        <v>224428317.58074075</v>
      </c>
      <c r="P93" s="309">
        <f t="shared" si="76"/>
        <v>224428317.58074075</v>
      </c>
      <c r="Q93" s="309">
        <f t="shared" si="76"/>
        <v>224428317.58074075</v>
      </c>
      <c r="R93" s="309">
        <f t="shared" si="76"/>
        <v>224428317.58074075</v>
      </c>
      <c r="S93" s="309">
        <f t="shared" si="76"/>
        <v>224428317.58074075</v>
      </c>
      <c r="T93" s="309">
        <f t="shared" si="76"/>
        <v>224428317.58074075</v>
      </c>
      <c r="U93" s="309">
        <f t="shared" si="76"/>
        <v>224428317.58074075</v>
      </c>
      <c r="V93" s="309">
        <f t="shared" si="76"/>
        <v>224428317.58074075</v>
      </c>
      <c r="W93" s="309">
        <f t="shared" si="76"/>
        <v>224428317.58074075</v>
      </c>
      <c r="X93" s="309">
        <f t="shared" si="76"/>
        <v>224428317.58074075</v>
      </c>
      <c r="Y93" s="309">
        <f t="shared" si="76"/>
        <v>224428317.58074075</v>
      </c>
      <c r="Z93" s="309">
        <f t="shared" si="76"/>
        <v>224428317.58074075</v>
      </c>
      <c r="AA93" s="309">
        <f t="shared" si="76"/>
        <v>224428317.58074075</v>
      </c>
      <c r="AB93" s="309">
        <f t="shared" si="76"/>
        <v>224428317.58074075</v>
      </c>
      <c r="AC93" s="309">
        <f t="shared" si="76"/>
        <v>224428317.58074075</v>
      </c>
      <c r="AD93" s="309">
        <f t="shared" si="76"/>
        <v>224428317.58074075</v>
      </c>
      <c r="AE93" s="309">
        <f t="shared" si="76"/>
        <v>224428317.58074075</v>
      </c>
      <c r="AF93" s="309">
        <f t="shared" si="76"/>
        <v>224428317.58074075</v>
      </c>
      <c r="AG93" s="309">
        <f t="shared" si="76"/>
        <v>224428317.58074075</v>
      </c>
      <c r="AH93" s="309">
        <f t="shared" si="76"/>
        <v>224428317.58074075</v>
      </c>
      <c r="AI93" s="309">
        <f t="shared" si="76"/>
        <v>224428317.58074075</v>
      </c>
      <c r="AJ93" s="309">
        <f t="shared" si="76"/>
        <v>224428317.58074075</v>
      </c>
      <c r="AK93" s="309">
        <f t="shared" si="76"/>
        <v>224428317.58074075</v>
      </c>
      <c r="AL93" s="309">
        <f t="shared" ref="AL93:BQ93" si="77">IF(OR(AL$90&gt;0,AL$64&gt;=$B$19),0,AL$73)</f>
        <v>224428317.58074075</v>
      </c>
      <c r="AM93" s="309">
        <f t="shared" si="77"/>
        <v>224428317.58074075</v>
      </c>
      <c r="AN93" s="309">
        <f t="shared" si="77"/>
        <v>224428317.58074075</v>
      </c>
      <c r="AO93" s="309">
        <f t="shared" si="77"/>
        <v>224428317.58074075</v>
      </c>
      <c r="AP93" s="309">
        <f t="shared" si="77"/>
        <v>224428317.58074075</v>
      </c>
      <c r="AQ93" s="309">
        <f t="shared" si="77"/>
        <v>224428317.58074075</v>
      </c>
      <c r="AR93" s="309">
        <f t="shared" si="77"/>
        <v>224428317.58074075</v>
      </c>
      <c r="AS93" s="309">
        <f t="shared" si="77"/>
        <v>224428317.58074075</v>
      </c>
      <c r="AT93" s="309">
        <f t="shared" si="77"/>
        <v>224428317.58074075</v>
      </c>
      <c r="AU93" s="309">
        <f t="shared" si="77"/>
        <v>224428317.58074075</v>
      </c>
      <c r="AV93" s="309">
        <f t="shared" si="77"/>
        <v>224428317.58074075</v>
      </c>
      <c r="AW93" s="309">
        <f t="shared" si="77"/>
        <v>224428317.58074075</v>
      </c>
      <c r="AX93" s="309">
        <f t="shared" si="77"/>
        <v>224428317.58074075</v>
      </c>
      <c r="AY93" s="309">
        <f t="shared" si="77"/>
        <v>224428317.58074075</v>
      </c>
      <c r="AZ93" s="309">
        <f t="shared" si="77"/>
        <v>224428317.58074075</v>
      </c>
      <c r="BA93" s="309">
        <f t="shared" si="77"/>
        <v>224428317.58074075</v>
      </c>
      <c r="BB93" s="309">
        <f t="shared" si="77"/>
        <v>224428317.58074075</v>
      </c>
      <c r="BC93" s="309">
        <f t="shared" si="77"/>
        <v>0</v>
      </c>
      <c r="BD93" s="309">
        <f t="shared" si="77"/>
        <v>0</v>
      </c>
      <c r="BE93" s="309">
        <f t="shared" si="77"/>
        <v>0</v>
      </c>
      <c r="BF93" s="309">
        <f t="shared" si="77"/>
        <v>0</v>
      </c>
      <c r="BG93" s="309">
        <f t="shared" si="77"/>
        <v>0</v>
      </c>
      <c r="BH93" s="309">
        <f t="shared" si="77"/>
        <v>0</v>
      </c>
      <c r="BI93" s="309">
        <f t="shared" si="77"/>
        <v>0</v>
      </c>
      <c r="BJ93" s="309">
        <f t="shared" si="77"/>
        <v>0</v>
      </c>
      <c r="BK93" s="309">
        <f t="shared" si="77"/>
        <v>0</v>
      </c>
      <c r="BL93" s="309">
        <f t="shared" si="77"/>
        <v>0</v>
      </c>
      <c r="BM93" s="309">
        <f t="shared" si="77"/>
        <v>0</v>
      </c>
      <c r="BN93" s="309">
        <f t="shared" si="77"/>
        <v>0</v>
      </c>
      <c r="BO93" s="309">
        <f t="shared" si="77"/>
        <v>0</v>
      </c>
      <c r="BP93" s="309">
        <f t="shared" si="77"/>
        <v>0</v>
      </c>
      <c r="BQ93" s="309">
        <f t="shared" si="77"/>
        <v>0</v>
      </c>
      <c r="BR93" s="309">
        <f t="shared" ref="BR93:CW93" si="78">IF(OR(BR$90&gt;0,BR$64&gt;=$B$19),0,BR$73)</f>
        <v>0</v>
      </c>
      <c r="BS93" s="309">
        <f t="shared" si="78"/>
        <v>0</v>
      </c>
      <c r="BT93" s="309">
        <f t="shared" si="78"/>
        <v>0</v>
      </c>
      <c r="BU93" s="309">
        <f t="shared" si="78"/>
        <v>0</v>
      </c>
      <c r="BV93" s="309">
        <f t="shared" si="78"/>
        <v>0</v>
      </c>
      <c r="BW93" s="309">
        <f t="shared" si="78"/>
        <v>0</v>
      </c>
      <c r="BX93" s="309">
        <f t="shared" si="78"/>
        <v>0</v>
      </c>
      <c r="BY93" s="309">
        <f t="shared" si="78"/>
        <v>0</v>
      </c>
      <c r="BZ93" s="309">
        <f t="shared" si="78"/>
        <v>0</v>
      </c>
      <c r="CA93" s="309">
        <f t="shared" si="78"/>
        <v>0</v>
      </c>
      <c r="CB93" s="309">
        <f t="shared" si="78"/>
        <v>0</v>
      </c>
      <c r="CC93" s="309">
        <f t="shared" si="78"/>
        <v>0</v>
      </c>
      <c r="CD93" s="309">
        <f t="shared" si="78"/>
        <v>0</v>
      </c>
      <c r="CE93" s="309">
        <f t="shared" si="78"/>
        <v>0</v>
      </c>
      <c r="CF93" s="309">
        <f t="shared" si="78"/>
        <v>0</v>
      </c>
      <c r="CG93" s="309">
        <f t="shared" si="78"/>
        <v>0</v>
      </c>
      <c r="CH93" s="309">
        <f t="shared" si="78"/>
        <v>0</v>
      </c>
      <c r="CI93" s="309">
        <f t="shared" si="78"/>
        <v>0</v>
      </c>
      <c r="CJ93" s="309">
        <f t="shared" si="78"/>
        <v>0</v>
      </c>
      <c r="CK93" s="309">
        <f t="shared" si="78"/>
        <v>0</v>
      </c>
      <c r="CL93" s="309">
        <f t="shared" si="78"/>
        <v>0</v>
      </c>
      <c r="CM93" s="309">
        <f t="shared" si="78"/>
        <v>0</v>
      </c>
      <c r="CN93" s="309">
        <f t="shared" si="78"/>
        <v>0</v>
      </c>
      <c r="CO93" s="309">
        <f t="shared" si="78"/>
        <v>0</v>
      </c>
      <c r="CP93" s="309">
        <f t="shared" si="78"/>
        <v>0</v>
      </c>
      <c r="CQ93" s="309">
        <f t="shared" si="78"/>
        <v>0</v>
      </c>
      <c r="CR93" s="309">
        <f t="shared" si="78"/>
        <v>0</v>
      </c>
      <c r="CS93" s="309">
        <f t="shared" si="78"/>
        <v>0</v>
      </c>
      <c r="CT93" s="309">
        <f t="shared" si="78"/>
        <v>0</v>
      </c>
      <c r="CU93" s="309">
        <f t="shared" si="78"/>
        <v>0</v>
      </c>
      <c r="CV93" s="309">
        <f t="shared" si="78"/>
        <v>0</v>
      </c>
      <c r="CW93" s="309">
        <f t="shared" si="78"/>
        <v>0</v>
      </c>
      <c r="CX93" s="309">
        <f t="shared" ref="CX93:DV93" si="79">IF(OR(CX$90&gt;0,CX$64&gt;=$B$19),0,CX$73)</f>
        <v>0</v>
      </c>
      <c r="CY93" s="309">
        <f t="shared" si="79"/>
        <v>0</v>
      </c>
      <c r="CZ93" s="309">
        <f t="shared" si="79"/>
        <v>0</v>
      </c>
      <c r="DA93" s="309">
        <f t="shared" si="79"/>
        <v>0</v>
      </c>
      <c r="DB93" s="309">
        <f t="shared" si="79"/>
        <v>0</v>
      </c>
      <c r="DC93" s="309">
        <f t="shared" si="79"/>
        <v>0</v>
      </c>
      <c r="DD93" s="309">
        <f t="shared" si="79"/>
        <v>0</v>
      </c>
      <c r="DE93" s="309">
        <f t="shared" si="79"/>
        <v>0</v>
      </c>
      <c r="DF93" s="309">
        <f t="shared" si="79"/>
        <v>0</v>
      </c>
      <c r="DG93" s="309">
        <f t="shared" si="79"/>
        <v>0</v>
      </c>
      <c r="DH93" s="309">
        <f t="shared" si="79"/>
        <v>0</v>
      </c>
      <c r="DI93" s="309">
        <f t="shared" si="79"/>
        <v>0</v>
      </c>
      <c r="DJ93" s="309">
        <f t="shared" si="79"/>
        <v>0</v>
      </c>
      <c r="DK93" s="309">
        <f t="shared" si="79"/>
        <v>0</v>
      </c>
      <c r="DL93" s="309">
        <f t="shared" si="79"/>
        <v>0</v>
      </c>
      <c r="DM93" s="309">
        <f t="shared" si="79"/>
        <v>0</v>
      </c>
      <c r="DN93" s="309">
        <f t="shared" si="79"/>
        <v>0</v>
      </c>
      <c r="DO93" s="309">
        <f t="shared" si="79"/>
        <v>0</v>
      </c>
      <c r="DP93" s="309">
        <f t="shared" si="79"/>
        <v>0</v>
      </c>
      <c r="DQ93" s="309">
        <f t="shared" si="79"/>
        <v>0</v>
      </c>
      <c r="DR93" s="309">
        <f t="shared" si="79"/>
        <v>0</v>
      </c>
      <c r="DS93" s="309">
        <f t="shared" si="79"/>
        <v>0</v>
      </c>
      <c r="DT93" s="309">
        <f t="shared" si="79"/>
        <v>0</v>
      </c>
      <c r="DU93" s="309">
        <f t="shared" si="79"/>
        <v>0</v>
      </c>
      <c r="DV93" s="309">
        <f t="shared" si="79"/>
        <v>0</v>
      </c>
    </row>
    <row r="94" spans="1:126" ht="15" customHeight="1" x14ac:dyDescent="0.35">
      <c r="A94" s="307" t="s">
        <v>1533</v>
      </c>
      <c r="B94" s="308" t="s">
        <v>1370</v>
      </c>
      <c r="C94" s="1146" t="s">
        <v>1534</v>
      </c>
      <c r="D94" s="1147"/>
      <c r="F94" s="309">
        <f t="shared" ref="F94:AK94" si="80">MAX(0,F$93-F$92)</f>
        <v>207800186.36242199</v>
      </c>
      <c r="G94" s="309">
        <f t="shared" si="80"/>
        <v>206847595.73132607</v>
      </c>
      <c r="H94" s="309">
        <f t="shared" si="80"/>
        <v>213043514.99865803</v>
      </c>
      <c r="I94" s="309">
        <f t="shared" si="80"/>
        <v>211450259.68041557</v>
      </c>
      <c r="J94" s="309">
        <f t="shared" si="80"/>
        <v>209299133.41722402</v>
      </c>
      <c r="K94" s="309">
        <f t="shared" si="80"/>
        <v>206400493.63431299</v>
      </c>
      <c r="L94" s="309">
        <f t="shared" si="80"/>
        <v>202531683.563575</v>
      </c>
      <c r="M94" s="309">
        <f t="shared" si="80"/>
        <v>197444431.13396716</v>
      </c>
      <c r="N94" s="309">
        <f t="shared" si="80"/>
        <v>190878206.7635586</v>
      </c>
      <c r="O94" s="309">
        <f t="shared" si="80"/>
        <v>182579689.64298481</v>
      </c>
      <c r="P94" s="309">
        <f t="shared" si="80"/>
        <v>172327449.47732854</v>
      </c>
      <c r="Q94" s="309">
        <f t="shared" si="80"/>
        <v>159959751.32966459</v>
      </c>
      <c r="R94" s="309">
        <f t="shared" si="80"/>
        <v>145402266.67183453</v>
      </c>
      <c r="S94" s="309">
        <f t="shared" si="80"/>
        <v>130969931.62743202</v>
      </c>
      <c r="T94" s="309">
        <f t="shared" si="80"/>
        <v>121619687.6797094</v>
      </c>
      <c r="U94" s="309">
        <f t="shared" si="80"/>
        <v>111421116.67596051</v>
      </c>
      <c r="V94" s="309">
        <f t="shared" si="80"/>
        <v>100580828.58555351</v>
      </c>
      <c r="W94" s="309">
        <f t="shared" si="80"/>
        <v>89353353.077663809</v>
      </c>
      <c r="X94" s="309">
        <f t="shared" si="80"/>
        <v>78023181.775434852</v>
      </c>
      <c r="Y94" s="309">
        <f t="shared" si="80"/>
        <v>66882983.073911995</v>
      </c>
      <c r="Z94" s="309">
        <f t="shared" si="80"/>
        <v>56256117.584021449</v>
      </c>
      <c r="AA94" s="309">
        <f t="shared" si="80"/>
        <v>46290683.437741816</v>
      </c>
      <c r="AB94" s="309">
        <f t="shared" si="80"/>
        <v>37177280.417929083</v>
      </c>
      <c r="AC94" s="309">
        <f t="shared" si="80"/>
        <v>29048014.405377805</v>
      </c>
      <c r="AD94" s="309">
        <f t="shared" si="80"/>
        <v>21972843.707351297</v>
      </c>
      <c r="AE94" s="309">
        <f t="shared" si="80"/>
        <v>15962280.356729329</v>
      </c>
      <c r="AF94" s="309">
        <f t="shared" si="80"/>
        <v>10975330.84352693</v>
      </c>
      <c r="AG94" s="309">
        <f t="shared" si="80"/>
        <v>6930977.4471435845</v>
      </c>
      <c r="AH94" s="309">
        <f t="shared" si="80"/>
        <v>3721280.3855903745</v>
      </c>
      <c r="AI94" s="309">
        <f t="shared" si="80"/>
        <v>1224305.0030850768</v>
      </c>
      <c r="AJ94" s="309">
        <f t="shared" si="80"/>
        <v>209638.92700129747</v>
      </c>
      <c r="AK94" s="309">
        <f t="shared" si="80"/>
        <v>169571.13126644492</v>
      </c>
      <c r="AL94" s="309">
        <f t="shared" ref="AL94:BQ94" si="81">MAX(0,AL$93-AL$92)</f>
        <v>132711.21484693885</v>
      </c>
      <c r="AM94" s="309">
        <f t="shared" si="81"/>
        <v>100597.62539994717</v>
      </c>
      <c r="AN94" s="309">
        <f t="shared" si="81"/>
        <v>73917.592887252569</v>
      </c>
      <c r="AO94" s="309">
        <f t="shared" si="81"/>
        <v>52683.47823086381</v>
      </c>
      <c r="AP94" s="309">
        <f t="shared" si="81"/>
        <v>36441.973454236984</v>
      </c>
      <c r="AQ94" s="309">
        <f t="shared" si="81"/>
        <v>107004.24242430925</v>
      </c>
      <c r="AR94" s="309">
        <f t="shared" si="81"/>
        <v>162821.36970716715</v>
      </c>
      <c r="AS94" s="309">
        <f t="shared" si="81"/>
        <v>162821.36970716715</v>
      </c>
      <c r="AT94" s="309">
        <f t="shared" si="81"/>
        <v>162821.36970716715</v>
      </c>
      <c r="AU94" s="309">
        <f t="shared" si="81"/>
        <v>162821.36970716715</v>
      </c>
      <c r="AV94" s="309">
        <f t="shared" si="81"/>
        <v>162821.36970716715</v>
      </c>
      <c r="AW94" s="309">
        <f t="shared" si="81"/>
        <v>162821.36970716715</v>
      </c>
      <c r="AX94" s="309">
        <f t="shared" si="81"/>
        <v>162821.36970716715</v>
      </c>
      <c r="AY94" s="309">
        <f t="shared" si="81"/>
        <v>162821.36970716715</v>
      </c>
      <c r="AZ94" s="309">
        <f t="shared" si="81"/>
        <v>162821.36970716715</v>
      </c>
      <c r="BA94" s="309">
        <f t="shared" si="81"/>
        <v>162821.36970716715</v>
      </c>
      <c r="BB94" s="309">
        <f t="shared" si="81"/>
        <v>162821.36970716715</v>
      </c>
      <c r="BC94" s="309">
        <f t="shared" si="81"/>
        <v>0</v>
      </c>
      <c r="BD94" s="309">
        <f t="shared" si="81"/>
        <v>0</v>
      </c>
      <c r="BE94" s="309">
        <f t="shared" si="81"/>
        <v>0</v>
      </c>
      <c r="BF94" s="309">
        <f t="shared" si="81"/>
        <v>0</v>
      </c>
      <c r="BG94" s="309">
        <f t="shared" si="81"/>
        <v>0</v>
      </c>
      <c r="BH94" s="309">
        <f t="shared" si="81"/>
        <v>0</v>
      </c>
      <c r="BI94" s="309">
        <f t="shared" si="81"/>
        <v>0</v>
      </c>
      <c r="BJ94" s="309">
        <f t="shared" si="81"/>
        <v>0</v>
      </c>
      <c r="BK94" s="309">
        <f t="shared" si="81"/>
        <v>0</v>
      </c>
      <c r="BL94" s="309">
        <f t="shared" si="81"/>
        <v>0</v>
      </c>
      <c r="BM94" s="309">
        <f t="shared" si="81"/>
        <v>0</v>
      </c>
      <c r="BN94" s="309">
        <f t="shared" si="81"/>
        <v>0</v>
      </c>
      <c r="BO94" s="309">
        <f t="shared" si="81"/>
        <v>0</v>
      </c>
      <c r="BP94" s="309">
        <f t="shared" si="81"/>
        <v>0</v>
      </c>
      <c r="BQ94" s="309">
        <f t="shared" si="81"/>
        <v>0</v>
      </c>
      <c r="BR94" s="309">
        <f t="shared" ref="BR94:CW94" si="82">MAX(0,BR$93-BR$92)</f>
        <v>0</v>
      </c>
      <c r="BS94" s="309">
        <f t="shared" si="82"/>
        <v>0</v>
      </c>
      <c r="BT94" s="309">
        <f t="shared" si="82"/>
        <v>0</v>
      </c>
      <c r="BU94" s="309">
        <f t="shared" si="82"/>
        <v>0</v>
      </c>
      <c r="BV94" s="309">
        <f t="shared" si="82"/>
        <v>0</v>
      </c>
      <c r="BW94" s="309">
        <f t="shared" si="82"/>
        <v>0</v>
      </c>
      <c r="BX94" s="309">
        <f t="shared" si="82"/>
        <v>0</v>
      </c>
      <c r="BY94" s="309">
        <f t="shared" si="82"/>
        <v>0</v>
      </c>
      <c r="BZ94" s="309">
        <f t="shared" si="82"/>
        <v>0</v>
      </c>
      <c r="CA94" s="309">
        <f t="shared" si="82"/>
        <v>0</v>
      </c>
      <c r="CB94" s="309">
        <f t="shared" si="82"/>
        <v>0</v>
      </c>
      <c r="CC94" s="309">
        <f t="shared" si="82"/>
        <v>0</v>
      </c>
      <c r="CD94" s="309">
        <f t="shared" si="82"/>
        <v>0</v>
      </c>
      <c r="CE94" s="309">
        <f t="shared" si="82"/>
        <v>0</v>
      </c>
      <c r="CF94" s="309">
        <f t="shared" si="82"/>
        <v>0</v>
      </c>
      <c r="CG94" s="309">
        <f t="shared" si="82"/>
        <v>0</v>
      </c>
      <c r="CH94" s="309">
        <f t="shared" si="82"/>
        <v>0</v>
      </c>
      <c r="CI94" s="309">
        <f t="shared" si="82"/>
        <v>0</v>
      </c>
      <c r="CJ94" s="309">
        <f t="shared" si="82"/>
        <v>0</v>
      </c>
      <c r="CK94" s="309">
        <f t="shared" si="82"/>
        <v>0</v>
      </c>
      <c r="CL94" s="309">
        <f t="shared" si="82"/>
        <v>0</v>
      </c>
      <c r="CM94" s="309">
        <f t="shared" si="82"/>
        <v>0</v>
      </c>
      <c r="CN94" s="309">
        <f t="shared" si="82"/>
        <v>0</v>
      </c>
      <c r="CO94" s="309">
        <f t="shared" si="82"/>
        <v>0</v>
      </c>
      <c r="CP94" s="309">
        <f t="shared" si="82"/>
        <v>0</v>
      </c>
      <c r="CQ94" s="309">
        <f t="shared" si="82"/>
        <v>0</v>
      </c>
      <c r="CR94" s="309">
        <f t="shared" si="82"/>
        <v>0</v>
      </c>
      <c r="CS94" s="309">
        <f t="shared" si="82"/>
        <v>0</v>
      </c>
      <c r="CT94" s="309">
        <f t="shared" si="82"/>
        <v>0</v>
      </c>
      <c r="CU94" s="309">
        <f t="shared" si="82"/>
        <v>0</v>
      </c>
      <c r="CV94" s="309">
        <f t="shared" si="82"/>
        <v>0</v>
      </c>
      <c r="CW94" s="309">
        <f t="shared" si="82"/>
        <v>0</v>
      </c>
      <c r="CX94" s="309">
        <f t="shared" ref="CX94:DV94" si="83">MAX(0,CX$93-CX$92)</f>
        <v>0</v>
      </c>
      <c r="CY94" s="309">
        <f t="shared" si="83"/>
        <v>0</v>
      </c>
      <c r="CZ94" s="309">
        <f t="shared" si="83"/>
        <v>0</v>
      </c>
      <c r="DA94" s="309">
        <f t="shared" si="83"/>
        <v>0</v>
      </c>
      <c r="DB94" s="309">
        <f t="shared" si="83"/>
        <v>0</v>
      </c>
      <c r="DC94" s="309">
        <f t="shared" si="83"/>
        <v>0</v>
      </c>
      <c r="DD94" s="309">
        <f t="shared" si="83"/>
        <v>0</v>
      </c>
      <c r="DE94" s="309">
        <f t="shared" si="83"/>
        <v>0</v>
      </c>
      <c r="DF94" s="309">
        <f t="shared" si="83"/>
        <v>0</v>
      </c>
      <c r="DG94" s="309">
        <f t="shared" si="83"/>
        <v>0</v>
      </c>
      <c r="DH94" s="309">
        <f t="shared" si="83"/>
        <v>0</v>
      </c>
      <c r="DI94" s="309">
        <f t="shared" si="83"/>
        <v>0</v>
      </c>
      <c r="DJ94" s="309">
        <f t="shared" si="83"/>
        <v>0</v>
      </c>
      <c r="DK94" s="309">
        <f t="shared" si="83"/>
        <v>0</v>
      </c>
      <c r="DL94" s="309">
        <f t="shared" si="83"/>
        <v>0</v>
      </c>
      <c r="DM94" s="309">
        <f t="shared" si="83"/>
        <v>0</v>
      </c>
      <c r="DN94" s="309">
        <f t="shared" si="83"/>
        <v>0</v>
      </c>
      <c r="DO94" s="309">
        <f t="shared" si="83"/>
        <v>0</v>
      </c>
      <c r="DP94" s="309">
        <f t="shared" si="83"/>
        <v>0</v>
      </c>
      <c r="DQ94" s="309">
        <f t="shared" si="83"/>
        <v>0</v>
      </c>
      <c r="DR94" s="309">
        <f t="shared" si="83"/>
        <v>0</v>
      </c>
      <c r="DS94" s="309">
        <f t="shared" si="83"/>
        <v>0</v>
      </c>
      <c r="DT94" s="309">
        <f t="shared" si="83"/>
        <v>0</v>
      </c>
      <c r="DU94" s="309">
        <f t="shared" si="83"/>
        <v>0</v>
      </c>
      <c r="DV94" s="309">
        <f t="shared" si="83"/>
        <v>0</v>
      </c>
    </row>
    <row r="95" spans="1:126" ht="15" customHeight="1" x14ac:dyDescent="0.35">
      <c r="A95" s="307" t="s">
        <v>1535</v>
      </c>
      <c r="B95" s="308" t="s">
        <v>83</v>
      </c>
      <c r="C95" s="1146" t="s">
        <v>1536</v>
      </c>
      <c r="D95" s="1147"/>
      <c r="F95" s="312">
        <f>IF(SUM($F$77:F$77)=0,0,F$92/SUM($F$77:F$77))</f>
        <v>0.16552135198324924</v>
      </c>
      <c r="G95" s="312">
        <f>IF(SUM($F$77:G$77)=0,0,G$92/SUM($F$77:G$77))</f>
        <v>0.17335985947975646</v>
      </c>
      <c r="H95" s="312">
        <f>IF(SUM($F$77:H$77)=0,0,H$92/SUM($F$77:H$77))</f>
        <v>0.11100089654911792</v>
      </c>
      <c r="I95" s="312">
        <f>IF(SUM($F$77:I$77)=0,0,I$92/SUM($F$77:I$77))</f>
        <v>0.12459946423657071</v>
      </c>
      <c r="J95" s="312">
        <f>IF(SUM($F$77:J$77)=0,0,J$92/SUM($F$77:J$77))</f>
        <v>0.14231283772284478</v>
      </c>
      <c r="K95" s="312">
        <f>IF(SUM($F$77:K$77)=0,0,K$92/SUM($F$77:K$77))</f>
        <v>0.16507789651208121</v>
      </c>
      <c r="L95" s="312">
        <f>IF(SUM($F$77:L$77)=0,0,L$92/SUM($F$77:L$77))</f>
        <v>0.19364392658664453</v>
      </c>
      <c r="M95" s="312">
        <f>IF(SUM($F$77:M$77)=0,0,M$92/SUM($F$77:M$77))</f>
        <v>0.22835953666824918</v>
      </c>
      <c r="N95" s="312">
        <f>IF(SUM($F$77:N$77)=0,0,N$92/SUM($F$77:N$77))</f>
        <v>0.26898130765048228</v>
      </c>
      <c r="O95" s="312">
        <f>IF(SUM($F$77:O$77)=0,0,O$92/SUM($F$77:O$77))</f>
        <v>0.31458325079344879</v>
      </c>
      <c r="P95" s="312">
        <f>IF(SUM($F$77:P$77)=0,0,P$92/SUM($F$77:P$77))</f>
        <v>0.36362712852262763</v>
      </c>
      <c r="Q95" s="312">
        <f>IF(SUM($F$77:Q$77)=0,0,Q$92/SUM($F$77:Q$77))</f>
        <v>0.4141927057242511</v>
      </c>
      <c r="R95" s="312">
        <f>IF(SUM($F$77:R$77)=0,0,R$92/SUM($F$77:R$77))</f>
        <v>0.46429593493193655</v>
      </c>
      <c r="S95" s="312">
        <f>IF(SUM($F$77:S$77)=0,0,S$92/SUM($F$77:S$77))</f>
        <v>0.5</v>
      </c>
      <c r="T95" s="312">
        <f>IF(SUM($F$77:T$77)=0,0,T$92/SUM($F$77:T$77))</f>
        <v>0.5</v>
      </c>
      <c r="U95" s="312">
        <f>IF(SUM($F$77:U$77)=0,0,U$92/SUM($F$77:U$77))</f>
        <v>0.5</v>
      </c>
      <c r="V95" s="312">
        <f>IF(SUM($F$77:V$77)=0,0,V$92/SUM($F$77:V$77))</f>
        <v>0.5</v>
      </c>
      <c r="W95" s="312">
        <f>IF(SUM($F$77:W$77)=0,0,W$92/SUM($F$77:W$77))</f>
        <v>0.5</v>
      </c>
      <c r="X95" s="312">
        <f>IF(SUM($F$77:X$77)=0,0,X$92/SUM($F$77:X$77))</f>
        <v>0.5</v>
      </c>
      <c r="Y95" s="312">
        <f>IF(SUM($F$77:Y$77)=0,0,Y$92/SUM($F$77:Y$77))</f>
        <v>0.5</v>
      </c>
      <c r="Z95" s="312">
        <f>IF(SUM($F$77:Z$77)=0,0,Z$92/SUM($F$77:Z$77))</f>
        <v>0.49973033535444644</v>
      </c>
      <c r="AA95" s="312">
        <f>IF(SUM($F$77:AA$77)=0,0,AA$92/SUM($F$77:AA$77))</f>
        <v>0.49951053931049061</v>
      </c>
      <c r="AB95" s="312">
        <f>IF(SUM($F$77:AB$77)=0,0,AB$92/SUM($F$77:AB$77))</f>
        <v>0.49934572891079421</v>
      </c>
      <c r="AC95" s="312">
        <f>IF(SUM($F$77:AC$77)=0,0,AC$92/SUM($F$77:AC$77))</f>
        <v>0.49923685011534763</v>
      </c>
      <c r="AD95" s="312">
        <f>IF(SUM($F$77:AD$77)=0,0,AD$92/SUM($F$77:AD$77))</f>
        <v>0.49918117459320255</v>
      </c>
      <c r="AE95" s="312">
        <f>IF(SUM($F$77:AE$77)=0,0,AE$92/SUM($F$77:AE$77))</f>
        <v>0.4991729493245432</v>
      </c>
      <c r="AF95" s="312">
        <f>IF(SUM($F$77:AF$77)=0,0,AF$92/SUM($F$77:AF$77))</f>
        <v>0.49920417902899511</v>
      </c>
      <c r="AG95" s="312">
        <f>IF(SUM($F$77:AG$77)=0,0,AG$92/SUM($F$77:AG$77))</f>
        <v>0.49926550522058183</v>
      </c>
      <c r="AH95" s="312">
        <f>IF(SUM($F$77:AH$77)=0,0,AH$92/SUM($F$77:AH$77))</f>
        <v>0.49934712046085183</v>
      </c>
      <c r="AI95" s="312">
        <f>IF(SUM($F$77:AI$77)=0,0,AI$92/SUM($F$77:AI$77))</f>
        <v>0.49943963459020846</v>
      </c>
      <c r="AJ95" s="312">
        <f>IF(SUM($F$77:AJ$77)=0,0,AJ$92/SUM($F$77:AJ$77))</f>
        <v>0.49755058712962846</v>
      </c>
      <c r="AK95" s="312">
        <f>IF(SUM($F$77:AK$77)=0,0,AK$92/SUM($F$77:AK$77))</f>
        <v>0.49456873575933247</v>
      </c>
      <c r="AL95" s="312">
        <f>IF(SUM($F$77:AL$77)=0,0,AL$92/SUM($F$77:AL$77))</f>
        <v>0.49239438111187622</v>
      </c>
      <c r="AM95" s="312">
        <f>IF(SUM($F$77:AM$77)=0,0,AM$92/SUM($F$77:AM$77))</f>
        <v>0.49080497482194602</v>
      </c>
      <c r="AN95" s="312">
        <f>IF(SUM($F$77:AN$77)=0,0,AN$92/SUM($F$77:AN$77))</f>
        <v>0.48962793695577478</v>
      </c>
      <c r="AO95" s="312">
        <f>IF(SUM($F$77:AO$77)=0,0,AO$92/SUM($F$77:AO$77))</f>
        <v>0.48873350193012899</v>
      </c>
      <c r="AP95" s="312">
        <f>IF(SUM($F$77:AP$77)=0,0,AP$92/SUM($F$77:AP$77))</f>
        <v>0.48802719673069272</v>
      </c>
      <c r="AQ95" s="312">
        <f>IF(SUM($F$77:AQ$77)=0,0,AQ$92/SUM($F$77:AQ$77))</f>
        <v>0.4878737316989164</v>
      </c>
      <c r="AR95" s="312">
        <f>IF(SUM($F$77:AR$77)=0,0,AR$92/SUM($F$77:AR$77))</f>
        <v>0.48775233569879972</v>
      </c>
      <c r="AS95" s="312">
        <f>IF(SUM($F$77:AS$77)=0,0,AS$92/SUM($F$77:AS$77))</f>
        <v>0.48775233569879972</v>
      </c>
      <c r="AT95" s="312">
        <f>IF(SUM($F$77:AT$77)=0,0,AT$92/SUM($F$77:AT$77))</f>
        <v>0.48775233569879972</v>
      </c>
      <c r="AU95" s="312">
        <f>IF(SUM($F$77:AU$77)=0,0,AU$92/SUM($F$77:AU$77))</f>
        <v>0.48775233569879972</v>
      </c>
      <c r="AV95" s="312">
        <f>IF(SUM($F$77:AV$77)=0,0,AV$92/SUM($F$77:AV$77))</f>
        <v>0.48775233569879972</v>
      </c>
      <c r="AW95" s="312">
        <f>IF(SUM($F$77:AW$77)=0,0,AW$92/SUM($F$77:AW$77))</f>
        <v>0.48775233569879972</v>
      </c>
      <c r="AX95" s="312">
        <f>IF(SUM($F$77:AX$77)=0,0,AX$92/SUM($F$77:AX$77))</f>
        <v>0.48775233569879972</v>
      </c>
      <c r="AY95" s="312">
        <f>IF(SUM($F$77:AY$77)=0,0,AY$92/SUM($F$77:AY$77))</f>
        <v>0.48775233569879972</v>
      </c>
      <c r="AZ95" s="312">
        <f>IF(SUM($F$77:AZ$77)=0,0,AZ$92/SUM($F$77:AZ$77))</f>
        <v>0.48775233569879972</v>
      </c>
      <c r="BA95" s="312">
        <f>IF(SUM($F$77:BA$77)=0,0,BA$92/SUM($F$77:BA$77))</f>
        <v>0.48775233569879972</v>
      </c>
      <c r="BB95" s="312">
        <f>IF(SUM($F$77:BB$77)=0,0,BB$92/SUM($F$77:BB$77))</f>
        <v>0.48775233569879972</v>
      </c>
      <c r="BC95" s="312">
        <f>IF(SUM($F$77:BC$77)=0,0,BC$92/SUM($F$77:BC$77))</f>
        <v>0</v>
      </c>
      <c r="BD95" s="312">
        <f>IF(SUM($F$77:BD$77)=0,0,BD$92/SUM($F$77:BD$77))</f>
        <v>0</v>
      </c>
      <c r="BE95" s="312">
        <f>IF(SUM($F$77:BE$77)=0,0,BE$92/SUM($F$77:BE$77))</f>
        <v>0</v>
      </c>
      <c r="BF95" s="312">
        <f>IF(SUM($F$77:BF$77)=0,0,BF$92/SUM($F$77:BF$77))</f>
        <v>0</v>
      </c>
      <c r="BG95" s="312">
        <f>IF(SUM($F$77:BG$77)=0,0,BG$92/SUM($F$77:BG$77))</f>
        <v>0</v>
      </c>
      <c r="BH95" s="312">
        <f>IF(SUM($F$77:BH$77)=0,0,BH$92/SUM($F$77:BH$77))</f>
        <v>0</v>
      </c>
      <c r="BI95" s="312">
        <f>IF(SUM($F$77:BI$77)=0,0,BI$92/SUM($F$77:BI$77))</f>
        <v>0</v>
      </c>
      <c r="BJ95" s="312">
        <f>IF(SUM($F$77:BJ$77)=0,0,BJ$92/SUM($F$77:BJ$77))</f>
        <v>0</v>
      </c>
      <c r="BK95" s="312">
        <f>IF(SUM($F$77:BK$77)=0,0,BK$92/SUM($F$77:BK$77))</f>
        <v>0</v>
      </c>
      <c r="BL95" s="312">
        <f>IF(SUM($F$77:BL$77)=0,0,BL$92/SUM($F$77:BL$77))</f>
        <v>0</v>
      </c>
      <c r="BM95" s="312">
        <f>IF(SUM($F$77:BM$77)=0,0,BM$92/SUM($F$77:BM$77))</f>
        <v>0</v>
      </c>
      <c r="BN95" s="312">
        <f>IF(SUM($F$77:BN$77)=0,0,BN$92/SUM($F$77:BN$77))</f>
        <v>0</v>
      </c>
      <c r="BO95" s="312">
        <f>IF(SUM($F$77:BO$77)=0,0,BO$92/SUM($F$77:BO$77))</f>
        <v>0</v>
      </c>
      <c r="BP95" s="312">
        <f>IF(SUM($F$77:BP$77)=0,0,BP$92/SUM($F$77:BP$77))</f>
        <v>0</v>
      </c>
      <c r="BQ95" s="312">
        <f>IF(SUM($F$77:BQ$77)=0,0,BQ$92/SUM($F$77:BQ$77))</f>
        <v>0</v>
      </c>
      <c r="BR95" s="312">
        <f>IF(SUM($F$77:BR$77)=0,0,BR$92/SUM($F$77:BR$77))</f>
        <v>0</v>
      </c>
      <c r="BS95" s="312">
        <f>IF(SUM($F$77:BS$77)=0,0,BS$92/SUM($F$77:BS$77))</f>
        <v>0</v>
      </c>
      <c r="BT95" s="312">
        <f>IF(SUM($F$77:BT$77)=0,0,BT$92/SUM($F$77:BT$77))</f>
        <v>0</v>
      </c>
      <c r="BU95" s="312">
        <f>IF(SUM($F$77:BU$77)=0,0,BU$92/SUM($F$77:BU$77))</f>
        <v>0</v>
      </c>
      <c r="BV95" s="312">
        <f>IF(SUM($F$77:BV$77)=0,0,BV$92/SUM($F$77:BV$77))</f>
        <v>0</v>
      </c>
      <c r="BW95" s="312">
        <f>IF(SUM($F$77:BW$77)=0,0,BW$92/SUM($F$77:BW$77))</f>
        <v>0</v>
      </c>
      <c r="BX95" s="312">
        <f>IF(SUM($F$77:BX$77)=0,0,BX$92/SUM($F$77:BX$77))</f>
        <v>0</v>
      </c>
      <c r="BY95" s="312">
        <f>IF(SUM($F$77:BY$77)=0,0,BY$92/SUM($F$77:BY$77))</f>
        <v>0</v>
      </c>
      <c r="BZ95" s="312">
        <f>IF(SUM($F$77:BZ$77)=0,0,BZ$92/SUM($F$77:BZ$77))</f>
        <v>0</v>
      </c>
      <c r="CA95" s="312">
        <f>IF(SUM($F$77:CA$77)=0,0,CA$92/SUM($F$77:CA$77))</f>
        <v>0</v>
      </c>
      <c r="CB95" s="312">
        <f>IF(SUM($F$77:CB$77)=0,0,CB$92/SUM($F$77:CB$77))</f>
        <v>0</v>
      </c>
      <c r="CC95" s="312">
        <f>IF(SUM($F$77:CC$77)=0,0,CC$92/SUM($F$77:CC$77))</f>
        <v>0</v>
      </c>
      <c r="CD95" s="312">
        <f>IF(SUM($F$77:CD$77)=0,0,CD$92/SUM($F$77:CD$77))</f>
        <v>0</v>
      </c>
      <c r="CE95" s="312">
        <f>IF(SUM($F$77:CE$77)=0,0,CE$92/SUM($F$77:CE$77))</f>
        <v>0</v>
      </c>
      <c r="CF95" s="312">
        <f>IF(SUM($F$77:CF$77)=0,0,CF$92/SUM($F$77:CF$77))</f>
        <v>0</v>
      </c>
      <c r="CG95" s="312">
        <f>IF(SUM($F$77:CG$77)=0,0,CG$92/SUM($F$77:CG$77))</f>
        <v>0</v>
      </c>
      <c r="CH95" s="312">
        <f>IF(SUM($F$77:CH$77)=0,0,CH$92/SUM($F$77:CH$77))</f>
        <v>0</v>
      </c>
      <c r="CI95" s="312">
        <f>IF(SUM($F$77:CI$77)=0,0,CI$92/SUM($F$77:CI$77))</f>
        <v>0</v>
      </c>
      <c r="CJ95" s="312">
        <f>IF(SUM($F$77:CJ$77)=0,0,CJ$92/SUM($F$77:CJ$77))</f>
        <v>0</v>
      </c>
      <c r="CK95" s="312">
        <f>IF(SUM($F$77:CK$77)=0,0,CK$92/SUM($F$77:CK$77))</f>
        <v>0</v>
      </c>
      <c r="CL95" s="312">
        <f>IF(SUM($F$77:CL$77)=0,0,CL$92/SUM($F$77:CL$77))</f>
        <v>0</v>
      </c>
      <c r="CM95" s="312">
        <f>IF(SUM($F$77:CM$77)=0,0,CM$92/SUM($F$77:CM$77))</f>
        <v>0</v>
      </c>
      <c r="CN95" s="312">
        <f>IF(SUM($F$77:CN$77)=0,0,CN$92/SUM($F$77:CN$77))</f>
        <v>0</v>
      </c>
      <c r="CO95" s="312">
        <f>IF(SUM($F$77:CO$77)=0,0,CO$92/SUM($F$77:CO$77))</f>
        <v>0</v>
      </c>
      <c r="CP95" s="312">
        <f>IF(SUM($F$77:CP$77)=0,0,CP$92/SUM($F$77:CP$77))</f>
        <v>0</v>
      </c>
      <c r="CQ95" s="312">
        <f>IF(SUM($F$77:CQ$77)=0,0,CQ$92/SUM($F$77:CQ$77))</f>
        <v>0</v>
      </c>
      <c r="CR95" s="312">
        <f>IF(SUM($F$77:CR$77)=0,0,CR$92/SUM($F$77:CR$77))</f>
        <v>0</v>
      </c>
      <c r="CS95" s="312">
        <f>IF(SUM($F$77:CS$77)=0,0,CS$92/SUM($F$77:CS$77))</f>
        <v>0</v>
      </c>
      <c r="CT95" s="312">
        <f>IF(SUM($F$77:CT$77)=0,0,CT$92/SUM($F$77:CT$77))</f>
        <v>0</v>
      </c>
      <c r="CU95" s="312">
        <f>IF(SUM($F$77:CU$77)=0,0,CU$92/SUM($F$77:CU$77))</f>
        <v>0</v>
      </c>
      <c r="CV95" s="312">
        <f>IF(SUM($F$77:CV$77)=0,0,CV$92/SUM($F$77:CV$77))</f>
        <v>0</v>
      </c>
      <c r="CW95" s="312">
        <f>IF(SUM($F$77:CW$77)=0,0,CW$92/SUM($F$77:CW$77))</f>
        <v>0</v>
      </c>
      <c r="CX95" s="312">
        <f>IF(SUM($F$77:CX$77)=0,0,CX$92/SUM($F$77:CX$77))</f>
        <v>0</v>
      </c>
      <c r="CY95" s="312">
        <f>IF(SUM($F$77:CY$77)=0,0,CY$92/SUM($F$77:CY$77))</f>
        <v>0</v>
      </c>
      <c r="CZ95" s="312">
        <f>IF(SUM($F$77:CZ$77)=0,0,CZ$92/SUM($F$77:CZ$77))</f>
        <v>0</v>
      </c>
      <c r="DA95" s="312">
        <f>IF(SUM($F$77:DA$77)=0,0,DA$92/SUM($F$77:DA$77))</f>
        <v>0</v>
      </c>
      <c r="DB95" s="312">
        <f>IF(SUM($F$77:DB$77)=0,0,DB$92/SUM($F$77:DB$77))</f>
        <v>0</v>
      </c>
      <c r="DC95" s="312">
        <f>IF(SUM($F$77:DC$77)=0,0,DC$92/SUM($F$77:DC$77))</f>
        <v>0</v>
      </c>
      <c r="DD95" s="312">
        <f>IF(SUM($F$77:DD$77)=0,0,DD$92/SUM($F$77:DD$77))</f>
        <v>0</v>
      </c>
      <c r="DE95" s="312">
        <f>IF(SUM($F$77:DE$77)=0,0,DE$92/SUM($F$77:DE$77))</f>
        <v>0</v>
      </c>
      <c r="DF95" s="312">
        <f>IF(SUM($F$77:DF$77)=0,0,DF$92/SUM($F$77:DF$77))</f>
        <v>0</v>
      </c>
      <c r="DG95" s="312">
        <f>IF(SUM($F$77:DG$77)=0,0,DG$92/SUM($F$77:DG$77))</f>
        <v>0</v>
      </c>
      <c r="DH95" s="312">
        <f>IF(SUM($F$77:DH$77)=0,0,DH$92/SUM($F$77:DH$77))</f>
        <v>0</v>
      </c>
      <c r="DI95" s="312">
        <f>IF(SUM($F$77:DI$77)=0,0,DI$92/SUM($F$77:DI$77))</f>
        <v>0</v>
      </c>
      <c r="DJ95" s="312">
        <f>IF(SUM($F$77:DJ$77)=0,0,DJ$92/SUM($F$77:DJ$77))</f>
        <v>0</v>
      </c>
      <c r="DK95" s="312">
        <f>IF(SUM($F$77:DK$77)=0,0,DK$92/SUM($F$77:DK$77))</f>
        <v>0</v>
      </c>
      <c r="DL95" s="312">
        <f>IF(SUM($F$77:DL$77)=0,0,DL$92/SUM($F$77:DL$77))</f>
        <v>0</v>
      </c>
      <c r="DM95" s="312">
        <f>IF(SUM($F$77:DM$77)=0,0,DM$92/SUM($F$77:DM$77))</f>
        <v>0</v>
      </c>
      <c r="DN95" s="312">
        <f>IF(SUM($F$77:DN$77)=0,0,DN$92/SUM($F$77:DN$77))</f>
        <v>0</v>
      </c>
      <c r="DO95" s="312">
        <f>IF(SUM($F$77:DO$77)=0,0,DO$92/SUM($F$77:DO$77))</f>
        <v>0</v>
      </c>
      <c r="DP95" s="312">
        <f>IF(SUM($F$77:DP$77)=0,0,DP$92/SUM($F$77:DP$77))</f>
        <v>0</v>
      </c>
      <c r="DQ95" s="312">
        <f>IF(SUM($F$77:DQ$77)=0,0,DQ$92/SUM($F$77:DQ$77))</f>
        <v>0</v>
      </c>
      <c r="DR95" s="312">
        <f>IF(SUM($F$77:DR$77)=0,0,DR$92/SUM($F$77:DR$77))</f>
        <v>0</v>
      </c>
      <c r="DS95" s="312">
        <f>IF(SUM($F$77:DS$77)=0,0,DS$92/SUM($F$77:DS$77))</f>
        <v>0</v>
      </c>
      <c r="DT95" s="312">
        <f>IF(SUM($F$77:DT$77)=0,0,DT$92/SUM($F$77:DT$77))</f>
        <v>0</v>
      </c>
      <c r="DU95" s="312">
        <f>IF(SUM($F$77:DU$77)=0,0,DU$92/SUM($F$77:DU$77))</f>
        <v>0</v>
      </c>
      <c r="DV95" s="312">
        <f>IF(SUM($F$77:DV$77)=0,0,DV$92/SUM($F$77:DV$77))</f>
        <v>0</v>
      </c>
    </row>
    <row r="96" spans="1:126" ht="15" customHeight="1" x14ac:dyDescent="0.35">
      <c r="A96" s="307" t="s">
        <v>1537</v>
      </c>
      <c r="B96" s="308" t="s">
        <v>83</v>
      </c>
      <c r="C96" s="1146" t="s">
        <v>1538</v>
      </c>
      <c r="D96" s="1147"/>
      <c r="F96" s="312">
        <f>IF('VALUATION &amp; RETURNS'!$DA$8*1000000*INDEX($O$31:$O$33,MATCH($B$6,$J$31:$J$33,0))=0,0,F$92/('VALUATION &amp; RETURNS'!$DA$8*1000000*INDEX($O$31:$O$33,MATCH($B$6,$J$31:$J$33,0))))</f>
        <v>2.4465833786396995E-2</v>
      </c>
      <c r="G96" s="312">
        <f>IF('VALUATION &amp; RETURNS'!$DA$8*1000000*INDEX($O$31:$O$33,MATCH($B$6,$J$31:$J$33,0))=0,0,G$92/('VALUATION &amp; RETURNS'!$DA$8*1000000*INDEX($O$31:$O$33,MATCH($B$6,$J$31:$J$33,0))))</f>
        <v>2.5867429897281427E-2</v>
      </c>
      <c r="H96" s="312">
        <f>IF('VALUATION &amp; RETURNS'!$DA$8*1000000*INDEX($O$31:$O$33,MATCH($B$6,$J$31:$J$33,0))=0,0,H$92/('VALUATION &amp; RETURNS'!$DA$8*1000000*INDEX($O$31:$O$33,MATCH($B$6,$J$31:$J$33,0))))</f>
        <v>1.6751051817375649E-2</v>
      </c>
      <c r="I96" s="312">
        <f>IF('VALUATION &amp; RETURNS'!$DA$8*1000000*INDEX($O$31:$O$33,MATCH($B$6,$J$31:$J$33,0))=0,0,I$92/('VALUATION &amp; RETURNS'!$DA$8*1000000*INDEX($O$31:$O$33,MATCH($B$6,$J$31:$J$33,0))))</f>
        <v>1.9095291184002071E-2</v>
      </c>
      <c r="J96" s="312">
        <f>IF('VALUATION &amp; RETURNS'!$DA$8*1000000*INDEX($O$31:$O$33,MATCH($B$6,$J$31:$J$33,0))=0,0,J$92/('VALUATION &amp; RETURNS'!$DA$8*1000000*INDEX($O$31:$O$33,MATCH($B$6,$J$31:$J$33,0))))</f>
        <v>2.2260355069883508E-2</v>
      </c>
      <c r="K96" s="312">
        <f>IF('VALUATION &amp; RETURNS'!$DA$8*1000000*INDEX($O$31:$O$33,MATCH($B$6,$J$31:$J$33,0))=0,0,K$92/('VALUATION &amp; RETURNS'!$DA$8*1000000*INDEX($O$31:$O$33,MATCH($B$6,$J$31:$J$33,0))))</f>
        <v>2.6525274452839222E-2</v>
      </c>
      <c r="L96" s="312">
        <f>IF('VALUATION &amp; RETURNS'!$DA$8*1000000*INDEX($O$31:$O$33,MATCH($B$6,$J$31:$J$33,0))=0,0,L$92/('VALUATION &amp; RETURNS'!$DA$8*1000000*INDEX($O$31:$O$33,MATCH($B$6,$J$31:$J$33,0))))</f>
        <v>3.221765580941266E-2</v>
      </c>
      <c r="M96" s="312">
        <f>IF('VALUATION &amp; RETURNS'!$DA$8*1000000*INDEX($O$31:$O$33,MATCH($B$6,$J$31:$J$33,0))=0,0,M$92/('VALUATION &amp; RETURNS'!$DA$8*1000000*INDEX($O$31:$O$33,MATCH($B$6,$J$31:$J$33,0))))</f>
        <v>3.9702794742831206E-2</v>
      </c>
      <c r="N96" s="312">
        <f>IF('VALUATION &amp; RETURNS'!$DA$8*1000000*INDEX($O$31:$O$33,MATCH($B$6,$J$31:$J$33,0))=0,0,N$92/('VALUATION &amp; RETURNS'!$DA$8*1000000*INDEX($O$31:$O$33,MATCH($B$6,$J$31:$J$33,0))))</f>
        <v>4.9364021969233104E-2</v>
      </c>
      <c r="O96" s="312">
        <f>IF('VALUATION &amp; RETURNS'!$DA$8*1000000*INDEX($O$31:$O$33,MATCH($B$6,$J$31:$J$33,0))=0,0,O$92/('VALUATION &amp; RETURNS'!$DA$8*1000000*INDEX($O$31:$O$33,MATCH($B$6,$J$31:$J$33,0))))</f>
        <v>6.1574061562970225E-2</v>
      </c>
      <c r="P96" s="312">
        <f>IF('VALUATION &amp; RETURNS'!$DA$8*1000000*INDEX($O$31:$O$33,MATCH($B$6,$J$31:$J$33,0))=0,0,P$92/('VALUATION &amp; RETURNS'!$DA$8*1000000*INDEX($O$31:$O$33,MATCH($B$6,$J$31:$J$33,0))))</f>
        <v>7.665871542682938E-2</v>
      </c>
      <c r="Q96" s="312">
        <f>IF('VALUATION &amp; RETURNS'!$DA$8*1000000*INDEX($O$31:$O$33,MATCH($B$6,$J$31:$J$33,0))=0,0,Q$92/('VALUATION &amp; RETURNS'!$DA$8*1000000*INDEX($O$31:$O$33,MATCH($B$6,$J$31:$J$33,0))))</f>
        <v>9.4855952580438441E-2</v>
      </c>
      <c r="R96" s="312">
        <f>IF('VALUATION &amp; RETURNS'!$DA$8*1000000*INDEX($O$31:$O$33,MATCH($B$6,$J$31:$J$33,0))=0,0,R$92/('VALUATION &amp; RETURNS'!$DA$8*1000000*INDEX($O$31:$O$33,MATCH($B$6,$J$31:$J$33,0))))</f>
        <v>0.11627513645084965</v>
      </c>
      <c r="S96" s="312">
        <f>IF('VALUATION &amp; RETURNS'!$DA$8*1000000*INDEX($O$31:$O$33,MATCH($B$6,$J$31:$J$33,0))=0,0,S$92/('VALUATION &amp; RETURNS'!$DA$8*1000000*INDEX($O$31:$O$33,MATCH($B$6,$J$31:$J$33,0))))</f>
        <v>0.13751018118978847</v>
      </c>
      <c r="T96" s="312">
        <f>IF('VALUATION &amp; RETURNS'!$DA$8*1000000*INDEX($O$31:$O$33,MATCH($B$6,$J$31:$J$33,0))=0,0,T$92/('VALUATION &amp; RETURNS'!$DA$8*1000000*INDEX($O$31:$O$33,MATCH($B$6,$J$31:$J$33,0))))</f>
        <v>0.15126768113273009</v>
      </c>
      <c r="U96" s="312">
        <f>IF('VALUATION &amp; RETURNS'!$DA$8*1000000*INDEX($O$31:$O$33,MATCH($B$6,$J$31:$J$33,0))=0,0,U$92/('VALUATION &amp; RETURNS'!$DA$8*1000000*INDEX($O$31:$O$33,MATCH($B$6,$J$31:$J$33,0))))</f>
        <v>0.16627336876896925</v>
      </c>
      <c r="V96" s="312">
        <f>IF('VALUATION &amp; RETURNS'!$DA$8*1000000*INDEX($O$31:$O$33,MATCH($B$6,$J$31:$J$33,0))=0,0,V$92/('VALUATION &amp; RETURNS'!$DA$8*1000000*INDEX($O$31:$O$33,MATCH($B$6,$J$31:$J$33,0))))</f>
        <v>0.1822232481110552</v>
      </c>
      <c r="W96" s="312">
        <f>IF('VALUATION &amp; RETURNS'!$DA$8*1000000*INDEX($O$31:$O$33,MATCH($B$6,$J$31:$J$33,0))=0,0,W$92/('VALUATION &amp; RETURNS'!$DA$8*1000000*INDEX($O$31:$O$33,MATCH($B$6,$J$31:$J$33,0))))</f>
        <v>0.19874281642636019</v>
      </c>
      <c r="X96" s="312">
        <f>IF('VALUATION &amp; RETURNS'!$DA$8*1000000*INDEX($O$31:$O$33,MATCH($B$6,$J$31:$J$33,0))=0,0,X$92/('VALUATION &amp; RETURNS'!$DA$8*1000000*INDEX($O$31:$O$33,MATCH($B$6,$J$31:$J$33,0))))</f>
        <v>0.21541348640197072</v>
      </c>
      <c r="Y96" s="312">
        <f>IF('VALUATION &amp; RETURNS'!$DA$8*1000000*INDEX($O$31:$O$33,MATCH($B$6,$J$31:$J$33,0))=0,0,Y$92/('VALUATION &amp; RETURNS'!$DA$8*1000000*INDEX($O$31:$O$33,MATCH($B$6,$J$31:$J$33,0))))</f>
        <v>0.23180463981544802</v>
      </c>
      <c r="Z96" s="312">
        <f>IF('VALUATION &amp; RETURNS'!$DA$8*1000000*INDEX($O$31:$O$33,MATCH($B$6,$J$31:$J$33,0))=0,0,Z$92/('VALUATION &amp; RETURNS'!$DA$8*1000000*INDEX($O$31:$O$33,MATCH($B$6,$J$31:$J$33,0))))</f>
        <v>0.24744049939175633</v>
      </c>
      <c r="AA96" s="312">
        <f>IF('VALUATION &amp; RETURNS'!$DA$8*1000000*INDEX($O$31:$O$33,MATCH($B$6,$J$31:$J$33,0))=0,0,AA$92/('VALUATION &amp; RETURNS'!$DA$8*1000000*INDEX($O$31:$O$33,MATCH($B$6,$J$31:$J$33,0))))</f>
        <v>0.26210316065122247</v>
      </c>
      <c r="AB96" s="312">
        <f>IF('VALUATION &amp; RETURNS'!$DA$8*1000000*INDEX($O$31:$O$33,MATCH($B$6,$J$31:$J$33,0))=0,0,AB$92/('VALUATION &amp; RETURNS'!$DA$8*1000000*INDEX($O$31:$O$33,MATCH($B$6,$J$31:$J$33,0))))</f>
        <v>0.27551218422601542</v>
      </c>
      <c r="AC96" s="312">
        <f>IF('VALUATION &amp; RETURNS'!$DA$8*1000000*INDEX($O$31:$O$33,MATCH($B$6,$J$31:$J$33,0))=0,0,AC$92/('VALUATION &amp; RETURNS'!$DA$8*1000000*INDEX($O$31:$O$33,MATCH($B$6,$J$31:$J$33,0))))</f>
        <v>0.28747319586690112</v>
      </c>
      <c r="AD96" s="312">
        <f>IF('VALUATION &amp; RETURNS'!$DA$8*1000000*INDEX($O$31:$O$33,MATCH($B$6,$J$31:$J$33,0))=0,0,AD$92/('VALUATION &amp; RETURNS'!$DA$8*1000000*INDEX($O$31:$O$33,MATCH($B$6,$J$31:$J$33,0))))</f>
        <v>0.2978832622799929</v>
      </c>
      <c r="AE96" s="312">
        <f>IF('VALUATION &amp; RETURNS'!$DA$8*1000000*INDEX($O$31:$O$33,MATCH($B$6,$J$31:$J$33,0))=0,0,AE$92/('VALUATION &amp; RETURNS'!$DA$8*1000000*INDEX($O$31:$O$33,MATCH($B$6,$J$31:$J$33,0))))</f>
        <v>0.3067269165649027</v>
      </c>
      <c r="AF96" s="312">
        <f>IF('VALUATION &amp; RETURNS'!$DA$8*1000000*INDEX($O$31:$O$33,MATCH($B$6,$J$31:$J$33,0))=0,0,AF$92/('VALUATION &amp; RETURNS'!$DA$8*1000000*INDEX($O$31:$O$33,MATCH($B$6,$J$31:$J$33,0))))</f>
        <v>0.31406447460370074</v>
      </c>
      <c r="AG96" s="312">
        <f>IF('VALUATION &amp; RETURNS'!$DA$8*1000000*INDEX($O$31:$O$33,MATCH($B$6,$J$31:$J$33,0))=0,0,AG$92/('VALUATION &amp; RETURNS'!$DA$8*1000000*INDEX($O$31:$O$33,MATCH($B$6,$J$31:$J$33,0))))</f>
        <v>0.32001514197998149</v>
      </c>
      <c r="AH96" s="312">
        <f>IF('VALUATION &amp; RETURNS'!$DA$8*1000000*INDEX($O$31:$O$33,MATCH($B$6,$J$31:$J$33,0))=0,0,AH$92/('VALUATION &amp; RETURNS'!$DA$8*1000000*INDEX($O$31:$O$33,MATCH($B$6,$J$31:$J$33,0))))</f>
        <v>0.3247377361056602</v>
      </c>
      <c r="AI96" s="312">
        <f>IF('VALUATION &amp; RETURNS'!$DA$8*1000000*INDEX($O$31:$O$33,MATCH($B$6,$J$31:$J$33,0))=0,0,AI$92/('VALUATION &amp; RETURNS'!$DA$8*1000000*INDEX($O$31:$O$33,MATCH($B$6,$J$31:$J$33,0))))</f>
        <v>0.32841166577791336</v>
      </c>
      <c r="AJ96" s="312">
        <f>IF('VALUATION &amp; RETURNS'!$DA$8*1000000*INDEX($O$31:$O$33,MATCH($B$6,$J$31:$J$33,0))=0,0,AJ$92/('VALUATION &amp; RETURNS'!$DA$8*1000000*INDEX($O$31:$O$33,MATCH($B$6,$J$31:$J$33,0))))</f>
        <v>0.32990459671766997</v>
      </c>
      <c r="AK96" s="312">
        <f>IF('VALUATION &amp; RETURNS'!$DA$8*1000000*INDEX($O$31:$O$33,MATCH($B$6,$J$31:$J$33,0))=0,0,AK$92/('VALUATION &amp; RETURNS'!$DA$8*1000000*INDEX($O$31:$O$33,MATCH($B$6,$J$31:$J$33,0))))</f>
        <v>0.32996355054824572</v>
      </c>
      <c r="AL96" s="312">
        <f>IF('VALUATION &amp; RETURNS'!$DA$8*1000000*INDEX($O$31:$O$33,MATCH($B$6,$J$31:$J$33,0))=0,0,AL$92/('VALUATION &amp; RETURNS'!$DA$8*1000000*INDEX($O$31:$O$33,MATCH($B$6,$J$31:$J$33,0))))</f>
        <v>0.33001778445924029</v>
      </c>
      <c r="AM96" s="312">
        <f>IF('VALUATION &amp; RETURNS'!$DA$8*1000000*INDEX($O$31:$O$33,MATCH($B$6,$J$31:$J$33,0))=0,0,AM$92/('VALUATION &amp; RETURNS'!$DA$8*1000000*INDEX($O$31:$O$33,MATCH($B$6,$J$31:$J$33,0))))</f>
        <v>0.33006503485264765</v>
      </c>
      <c r="AN96" s="312">
        <f>IF('VALUATION &amp; RETURNS'!$DA$8*1000000*INDEX($O$31:$O$33,MATCH($B$6,$J$31:$J$33,0))=0,0,AN$92/('VALUATION &amp; RETURNS'!$DA$8*1000000*INDEX($O$31:$O$33,MATCH($B$6,$J$31:$J$33,0))))</f>
        <v>0.33010429057130303</v>
      </c>
      <c r="AO96" s="312">
        <f>IF('VALUATION &amp; RETURNS'!$DA$8*1000000*INDEX($O$31:$O$33,MATCH($B$6,$J$31:$J$33,0))=0,0,AO$92/('VALUATION &amp; RETURNS'!$DA$8*1000000*INDEX($O$31:$O$33,MATCH($B$6,$J$31:$J$33,0))))</f>
        <v>0.33013553342793939</v>
      </c>
      <c r="AP96" s="312">
        <f>IF('VALUATION &amp; RETURNS'!$DA$8*1000000*INDEX($O$31:$O$33,MATCH($B$6,$J$31:$J$33,0))=0,0,AP$92/('VALUATION &amp; RETURNS'!$DA$8*1000000*INDEX($O$31:$O$33,MATCH($B$6,$J$31:$J$33,0))))</f>
        <v>0.33015943039814544</v>
      </c>
      <c r="AQ96" s="312">
        <f>IF('VALUATION &amp; RETURNS'!$DA$8*1000000*INDEX($O$31:$O$33,MATCH($B$6,$J$31:$J$33,0))=0,0,AQ$92/('VALUATION &amp; RETURNS'!$DA$8*1000000*INDEX($O$31:$O$33,MATCH($B$6,$J$31:$J$33,0))))</f>
        <v>0.33005560846400583</v>
      </c>
      <c r="AR96" s="312">
        <f>IF('VALUATION &amp; RETURNS'!$DA$8*1000000*INDEX($O$31:$O$33,MATCH($B$6,$J$31:$J$33,0))=0,0,AR$92/('VALUATION &amp; RETURNS'!$DA$8*1000000*INDEX($O$31:$O$33,MATCH($B$6,$J$31:$J$33,0))))</f>
        <v>0.32997348182327835</v>
      </c>
      <c r="AS96" s="312">
        <f>IF('VALUATION &amp; RETURNS'!$DA$8*1000000*INDEX($O$31:$O$33,MATCH($B$6,$J$31:$J$33,0))=0,0,AS$92/('VALUATION &amp; RETURNS'!$DA$8*1000000*INDEX($O$31:$O$33,MATCH($B$6,$J$31:$J$33,0))))</f>
        <v>0.32997348182327835</v>
      </c>
      <c r="AT96" s="312">
        <f>IF('VALUATION &amp; RETURNS'!$DA$8*1000000*INDEX($O$31:$O$33,MATCH($B$6,$J$31:$J$33,0))=0,0,AT$92/('VALUATION &amp; RETURNS'!$DA$8*1000000*INDEX($O$31:$O$33,MATCH($B$6,$J$31:$J$33,0))))</f>
        <v>0.32997348182327835</v>
      </c>
      <c r="AU96" s="312">
        <f>IF('VALUATION &amp; RETURNS'!$DA$8*1000000*INDEX($O$31:$O$33,MATCH($B$6,$J$31:$J$33,0))=0,0,AU$92/('VALUATION &amp; RETURNS'!$DA$8*1000000*INDEX($O$31:$O$33,MATCH($B$6,$J$31:$J$33,0))))</f>
        <v>0.32997348182327835</v>
      </c>
      <c r="AV96" s="312">
        <f>IF('VALUATION &amp; RETURNS'!$DA$8*1000000*INDEX($O$31:$O$33,MATCH($B$6,$J$31:$J$33,0))=0,0,AV$92/('VALUATION &amp; RETURNS'!$DA$8*1000000*INDEX($O$31:$O$33,MATCH($B$6,$J$31:$J$33,0))))</f>
        <v>0.32997348182327835</v>
      </c>
      <c r="AW96" s="312">
        <f>IF('VALUATION &amp; RETURNS'!$DA$8*1000000*INDEX($O$31:$O$33,MATCH($B$6,$J$31:$J$33,0))=0,0,AW$92/('VALUATION &amp; RETURNS'!$DA$8*1000000*INDEX($O$31:$O$33,MATCH($B$6,$J$31:$J$33,0))))</f>
        <v>0.32997348182327835</v>
      </c>
      <c r="AX96" s="312">
        <f>IF('VALUATION &amp; RETURNS'!$DA$8*1000000*INDEX($O$31:$O$33,MATCH($B$6,$J$31:$J$33,0))=0,0,AX$92/('VALUATION &amp; RETURNS'!$DA$8*1000000*INDEX($O$31:$O$33,MATCH($B$6,$J$31:$J$33,0))))</f>
        <v>0.32997348182327835</v>
      </c>
      <c r="AY96" s="312">
        <f>IF('VALUATION &amp; RETURNS'!$DA$8*1000000*INDEX($O$31:$O$33,MATCH($B$6,$J$31:$J$33,0))=0,0,AY$92/('VALUATION &amp; RETURNS'!$DA$8*1000000*INDEX($O$31:$O$33,MATCH($B$6,$J$31:$J$33,0))))</f>
        <v>0.32997348182327835</v>
      </c>
      <c r="AZ96" s="312">
        <f>IF('VALUATION &amp; RETURNS'!$DA$8*1000000*INDEX($O$31:$O$33,MATCH($B$6,$J$31:$J$33,0))=0,0,AZ$92/('VALUATION &amp; RETURNS'!$DA$8*1000000*INDEX($O$31:$O$33,MATCH($B$6,$J$31:$J$33,0))))</f>
        <v>0.32997348182327835</v>
      </c>
      <c r="BA96" s="312">
        <f>IF('VALUATION &amp; RETURNS'!$DA$8*1000000*INDEX($O$31:$O$33,MATCH($B$6,$J$31:$J$33,0))=0,0,BA$92/('VALUATION &amp; RETURNS'!$DA$8*1000000*INDEX($O$31:$O$33,MATCH($B$6,$J$31:$J$33,0))))</f>
        <v>0.32997348182327835</v>
      </c>
      <c r="BB96" s="312">
        <f>IF('VALUATION &amp; RETURNS'!$DA$8*1000000*INDEX($O$31:$O$33,MATCH($B$6,$J$31:$J$33,0))=0,0,BB$92/('VALUATION &amp; RETURNS'!$DA$8*1000000*INDEX($O$31:$O$33,MATCH($B$6,$J$31:$J$33,0))))</f>
        <v>0.32997348182327835</v>
      </c>
      <c r="BC96" s="312">
        <f>IF('VALUATION &amp; RETURNS'!$DA$8*1000000*INDEX($O$31:$O$33,MATCH($B$6,$J$31:$J$33,0))=0,0,BC$92/('VALUATION &amp; RETURNS'!$DA$8*1000000*INDEX($O$31:$O$33,MATCH($B$6,$J$31:$J$33,0))))</f>
        <v>0</v>
      </c>
      <c r="BD96" s="312">
        <f>IF('VALUATION &amp; RETURNS'!$DA$8*1000000*INDEX($O$31:$O$33,MATCH($B$6,$J$31:$J$33,0))=0,0,BD$92/('VALUATION &amp; RETURNS'!$DA$8*1000000*INDEX($O$31:$O$33,MATCH($B$6,$J$31:$J$33,0))))</f>
        <v>0</v>
      </c>
      <c r="BE96" s="312">
        <f>IF('VALUATION &amp; RETURNS'!$DA$8*1000000*INDEX($O$31:$O$33,MATCH($B$6,$J$31:$J$33,0))=0,0,BE$92/('VALUATION &amp; RETURNS'!$DA$8*1000000*INDEX($O$31:$O$33,MATCH($B$6,$J$31:$J$33,0))))</f>
        <v>0</v>
      </c>
      <c r="BF96" s="312">
        <f>IF('VALUATION &amp; RETURNS'!$DA$8*1000000*INDEX($O$31:$O$33,MATCH($B$6,$J$31:$J$33,0))=0,0,BF$92/('VALUATION &amp; RETURNS'!$DA$8*1000000*INDEX($O$31:$O$33,MATCH($B$6,$J$31:$J$33,0))))</f>
        <v>0</v>
      </c>
      <c r="BG96" s="312">
        <f>IF('VALUATION &amp; RETURNS'!$DA$8*1000000*INDEX($O$31:$O$33,MATCH($B$6,$J$31:$J$33,0))=0,0,BG$92/('VALUATION &amp; RETURNS'!$DA$8*1000000*INDEX($O$31:$O$33,MATCH($B$6,$J$31:$J$33,0))))</f>
        <v>0</v>
      </c>
      <c r="BH96" s="312">
        <f>IF('VALUATION &amp; RETURNS'!$DA$8*1000000*INDEX($O$31:$O$33,MATCH($B$6,$J$31:$J$33,0))=0,0,BH$92/('VALUATION &amp; RETURNS'!$DA$8*1000000*INDEX($O$31:$O$33,MATCH($B$6,$J$31:$J$33,0))))</f>
        <v>0</v>
      </c>
      <c r="BI96" s="312">
        <f>IF('VALUATION &amp; RETURNS'!$DA$8*1000000*INDEX($O$31:$O$33,MATCH($B$6,$J$31:$J$33,0))=0,0,BI$92/('VALUATION &amp; RETURNS'!$DA$8*1000000*INDEX($O$31:$O$33,MATCH($B$6,$J$31:$J$33,0))))</f>
        <v>0</v>
      </c>
      <c r="BJ96" s="312">
        <f>IF('VALUATION &amp; RETURNS'!$DA$8*1000000*INDEX($O$31:$O$33,MATCH($B$6,$J$31:$J$33,0))=0,0,BJ$92/('VALUATION &amp; RETURNS'!$DA$8*1000000*INDEX($O$31:$O$33,MATCH($B$6,$J$31:$J$33,0))))</f>
        <v>0</v>
      </c>
      <c r="BK96" s="312">
        <f>IF('VALUATION &amp; RETURNS'!$DA$8*1000000*INDEX($O$31:$O$33,MATCH($B$6,$J$31:$J$33,0))=0,0,BK$92/('VALUATION &amp; RETURNS'!$DA$8*1000000*INDEX($O$31:$O$33,MATCH($B$6,$J$31:$J$33,0))))</f>
        <v>0</v>
      </c>
      <c r="BL96" s="312">
        <f>IF('VALUATION &amp; RETURNS'!$DA$8*1000000*INDEX($O$31:$O$33,MATCH($B$6,$J$31:$J$33,0))=0,0,BL$92/('VALUATION &amp; RETURNS'!$DA$8*1000000*INDEX($O$31:$O$33,MATCH($B$6,$J$31:$J$33,0))))</f>
        <v>0</v>
      </c>
      <c r="BM96" s="312">
        <f>IF('VALUATION &amp; RETURNS'!$DA$8*1000000*INDEX($O$31:$O$33,MATCH($B$6,$J$31:$J$33,0))=0,0,BM$92/('VALUATION &amp; RETURNS'!$DA$8*1000000*INDEX($O$31:$O$33,MATCH($B$6,$J$31:$J$33,0))))</f>
        <v>0</v>
      </c>
      <c r="BN96" s="312">
        <f>IF('VALUATION &amp; RETURNS'!$DA$8*1000000*INDEX($O$31:$O$33,MATCH($B$6,$J$31:$J$33,0))=0,0,BN$92/('VALUATION &amp; RETURNS'!$DA$8*1000000*INDEX($O$31:$O$33,MATCH($B$6,$J$31:$J$33,0))))</f>
        <v>0</v>
      </c>
      <c r="BO96" s="312">
        <f>IF('VALUATION &amp; RETURNS'!$DA$8*1000000*INDEX($O$31:$O$33,MATCH($B$6,$J$31:$J$33,0))=0,0,BO$92/('VALUATION &amp; RETURNS'!$DA$8*1000000*INDEX($O$31:$O$33,MATCH($B$6,$J$31:$J$33,0))))</f>
        <v>0</v>
      </c>
      <c r="BP96" s="312">
        <f>IF('VALUATION &amp; RETURNS'!$DA$8*1000000*INDEX($O$31:$O$33,MATCH($B$6,$J$31:$J$33,0))=0,0,BP$92/('VALUATION &amp; RETURNS'!$DA$8*1000000*INDEX($O$31:$O$33,MATCH($B$6,$J$31:$J$33,0))))</f>
        <v>0</v>
      </c>
      <c r="BQ96" s="312">
        <f>IF('VALUATION &amp; RETURNS'!$DA$8*1000000*INDEX($O$31:$O$33,MATCH($B$6,$J$31:$J$33,0))=0,0,BQ$92/('VALUATION &amp; RETURNS'!$DA$8*1000000*INDEX($O$31:$O$33,MATCH($B$6,$J$31:$J$33,0))))</f>
        <v>0</v>
      </c>
      <c r="BR96" s="312">
        <f>IF('VALUATION &amp; RETURNS'!$DA$8*1000000*INDEX($O$31:$O$33,MATCH($B$6,$J$31:$J$33,0))=0,0,BR$92/('VALUATION &amp; RETURNS'!$DA$8*1000000*INDEX($O$31:$O$33,MATCH($B$6,$J$31:$J$33,0))))</f>
        <v>0</v>
      </c>
      <c r="BS96" s="312">
        <f>IF('VALUATION &amp; RETURNS'!$DA$8*1000000*INDEX($O$31:$O$33,MATCH($B$6,$J$31:$J$33,0))=0,0,BS$92/('VALUATION &amp; RETURNS'!$DA$8*1000000*INDEX($O$31:$O$33,MATCH($B$6,$J$31:$J$33,0))))</f>
        <v>0</v>
      </c>
      <c r="BT96" s="312">
        <f>IF('VALUATION &amp; RETURNS'!$DA$8*1000000*INDEX($O$31:$O$33,MATCH($B$6,$J$31:$J$33,0))=0,0,BT$92/('VALUATION &amp; RETURNS'!$DA$8*1000000*INDEX($O$31:$O$33,MATCH($B$6,$J$31:$J$33,0))))</f>
        <v>0</v>
      </c>
      <c r="BU96" s="312">
        <f>IF('VALUATION &amp; RETURNS'!$DA$8*1000000*INDEX($O$31:$O$33,MATCH($B$6,$J$31:$J$33,0))=0,0,BU$92/('VALUATION &amp; RETURNS'!$DA$8*1000000*INDEX($O$31:$O$33,MATCH($B$6,$J$31:$J$33,0))))</f>
        <v>0</v>
      </c>
      <c r="BV96" s="312">
        <f>IF('VALUATION &amp; RETURNS'!$DA$8*1000000*INDEX($O$31:$O$33,MATCH($B$6,$J$31:$J$33,0))=0,0,BV$92/('VALUATION &amp; RETURNS'!$DA$8*1000000*INDEX($O$31:$O$33,MATCH($B$6,$J$31:$J$33,0))))</f>
        <v>0</v>
      </c>
      <c r="BW96" s="312">
        <f>IF('VALUATION &amp; RETURNS'!$DA$8*1000000*INDEX($O$31:$O$33,MATCH($B$6,$J$31:$J$33,0))=0,0,BW$92/('VALUATION &amp; RETURNS'!$DA$8*1000000*INDEX($O$31:$O$33,MATCH($B$6,$J$31:$J$33,0))))</f>
        <v>0</v>
      </c>
      <c r="BX96" s="312">
        <f>IF('VALUATION &amp; RETURNS'!$DA$8*1000000*INDEX($O$31:$O$33,MATCH($B$6,$J$31:$J$33,0))=0,0,BX$92/('VALUATION &amp; RETURNS'!$DA$8*1000000*INDEX($O$31:$O$33,MATCH($B$6,$J$31:$J$33,0))))</f>
        <v>0</v>
      </c>
      <c r="BY96" s="312">
        <f>IF('VALUATION &amp; RETURNS'!$DA$8*1000000*INDEX($O$31:$O$33,MATCH($B$6,$J$31:$J$33,0))=0,0,BY$92/('VALUATION &amp; RETURNS'!$DA$8*1000000*INDEX($O$31:$O$33,MATCH($B$6,$J$31:$J$33,0))))</f>
        <v>0</v>
      </c>
      <c r="BZ96" s="312">
        <f>IF('VALUATION &amp; RETURNS'!$DA$8*1000000*INDEX($O$31:$O$33,MATCH($B$6,$J$31:$J$33,0))=0,0,BZ$92/('VALUATION &amp; RETURNS'!$DA$8*1000000*INDEX($O$31:$O$33,MATCH($B$6,$J$31:$J$33,0))))</f>
        <v>0</v>
      </c>
      <c r="CA96" s="312">
        <f>IF('VALUATION &amp; RETURNS'!$DA$8*1000000*INDEX($O$31:$O$33,MATCH($B$6,$J$31:$J$33,0))=0,0,CA$92/('VALUATION &amp; RETURNS'!$DA$8*1000000*INDEX($O$31:$O$33,MATCH($B$6,$J$31:$J$33,0))))</f>
        <v>0</v>
      </c>
      <c r="CB96" s="312">
        <f>IF('VALUATION &amp; RETURNS'!$DA$8*1000000*INDEX($O$31:$O$33,MATCH($B$6,$J$31:$J$33,0))=0,0,CB$92/('VALUATION &amp; RETURNS'!$DA$8*1000000*INDEX($O$31:$O$33,MATCH($B$6,$J$31:$J$33,0))))</f>
        <v>0</v>
      </c>
      <c r="CC96" s="312">
        <f>IF('VALUATION &amp; RETURNS'!$DA$8*1000000*INDEX($O$31:$O$33,MATCH($B$6,$J$31:$J$33,0))=0,0,CC$92/('VALUATION &amp; RETURNS'!$DA$8*1000000*INDEX($O$31:$O$33,MATCH($B$6,$J$31:$J$33,0))))</f>
        <v>0</v>
      </c>
      <c r="CD96" s="312">
        <f>IF('VALUATION &amp; RETURNS'!$DA$8*1000000*INDEX($O$31:$O$33,MATCH($B$6,$J$31:$J$33,0))=0,0,CD$92/('VALUATION &amp; RETURNS'!$DA$8*1000000*INDEX($O$31:$O$33,MATCH($B$6,$J$31:$J$33,0))))</f>
        <v>0</v>
      </c>
      <c r="CE96" s="312">
        <f>IF('VALUATION &amp; RETURNS'!$DA$8*1000000*INDEX($O$31:$O$33,MATCH($B$6,$J$31:$J$33,0))=0,0,CE$92/('VALUATION &amp; RETURNS'!$DA$8*1000000*INDEX($O$31:$O$33,MATCH($B$6,$J$31:$J$33,0))))</f>
        <v>0</v>
      </c>
      <c r="CF96" s="312">
        <f>IF('VALUATION &amp; RETURNS'!$DA$8*1000000*INDEX($O$31:$O$33,MATCH($B$6,$J$31:$J$33,0))=0,0,CF$92/('VALUATION &amp; RETURNS'!$DA$8*1000000*INDEX($O$31:$O$33,MATCH($B$6,$J$31:$J$33,0))))</f>
        <v>0</v>
      </c>
      <c r="CG96" s="312">
        <f>IF('VALUATION &amp; RETURNS'!$DA$8*1000000*INDEX($O$31:$O$33,MATCH($B$6,$J$31:$J$33,0))=0,0,CG$92/('VALUATION &amp; RETURNS'!$DA$8*1000000*INDEX($O$31:$O$33,MATCH($B$6,$J$31:$J$33,0))))</f>
        <v>0</v>
      </c>
      <c r="CH96" s="312">
        <f>IF('VALUATION &amp; RETURNS'!$DA$8*1000000*INDEX($O$31:$O$33,MATCH($B$6,$J$31:$J$33,0))=0,0,CH$92/('VALUATION &amp; RETURNS'!$DA$8*1000000*INDEX($O$31:$O$33,MATCH($B$6,$J$31:$J$33,0))))</f>
        <v>0</v>
      </c>
      <c r="CI96" s="312">
        <f>IF('VALUATION &amp; RETURNS'!$DA$8*1000000*INDEX($O$31:$O$33,MATCH($B$6,$J$31:$J$33,0))=0,0,CI$92/('VALUATION &amp; RETURNS'!$DA$8*1000000*INDEX($O$31:$O$33,MATCH($B$6,$J$31:$J$33,0))))</f>
        <v>0</v>
      </c>
      <c r="CJ96" s="312">
        <f>IF('VALUATION &amp; RETURNS'!$DA$8*1000000*INDEX($O$31:$O$33,MATCH($B$6,$J$31:$J$33,0))=0,0,CJ$92/('VALUATION &amp; RETURNS'!$DA$8*1000000*INDEX($O$31:$O$33,MATCH($B$6,$J$31:$J$33,0))))</f>
        <v>0</v>
      </c>
      <c r="CK96" s="312">
        <f>IF('VALUATION &amp; RETURNS'!$DA$8*1000000*INDEX($O$31:$O$33,MATCH($B$6,$J$31:$J$33,0))=0,0,CK$92/('VALUATION &amp; RETURNS'!$DA$8*1000000*INDEX($O$31:$O$33,MATCH($B$6,$J$31:$J$33,0))))</f>
        <v>0</v>
      </c>
      <c r="CL96" s="312">
        <f>IF('VALUATION &amp; RETURNS'!$DA$8*1000000*INDEX($O$31:$O$33,MATCH($B$6,$J$31:$J$33,0))=0,0,CL$92/('VALUATION &amp; RETURNS'!$DA$8*1000000*INDEX($O$31:$O$33,MATCH($B$6,$J$31:$J$33,0))))</f>
        <v>0</v>
      </c>
      <c r="CM96" s="312">
        <f>IF('VALUATION &amp; RETURNS'!$DA$8*1000000*INDEX($O$31:$O$33,MATCH($B$6,$J$31:$J$33,0))=0,0,CM$92/('VALUATION &amp; RETURNS'!$DA$8*1000000*INDEX($O$31:$O$33,MATCH($B$6,$J$31:$J$33,0))))</f>
        <v>0</v>
      </c>
      <c r="CN96" s="312">
        <f>IF('VALUATION &amp; RETURNS'!$DA$8*1000000*INDEX($O$31:$O$33,MATCH($B$6,$J$31:$J$33,0))=0,0,CN$92/('VALUATION &amp; RETURNS'!$DA$8*1000000*INDEX($O$31:$O$33,MATCH($B$6,$J$31:$J$33,0))))</f>
        <v>0</v>
      </c>
      <c r="CO96" s="312">
        <f>IF('VALUATION &amp; RETURNS'!$DA$8*1000000*INDEX($O$31:$O$33,MATCH($B$6,$J$31:$J$33,0))=0,0,CO$92/('VALUATION &amp; RETURNS'!$DA$8*1000000*INDEX($O$31:$O$33,MATCH($B$6,$J$31:$J$33,0))))</f>
        <v>0</v>
      </c>
      <c r="CP96" s="312">
        <f>IF('VALUATION &amp; RETURNS'!$DA$8*1000000*INDEX($O$31:$O$33,MATCH($B$6,$J$31:$J$33,0))=0,0,CP$92/('VALUATION &amp; RETURNS'!$DA$8*1000000*INDEX($O$31:$O$33,MATCH($B$6,$J$31:$J$33,0))))</f>
        <v>0</v>
      </c>
      <c r="CQ96" s="312">
        <f>IF('VALUATION &amp; RETURNS'!$DA$8*1000000*INDEX($O$31:$O$33,MATCH($B$6,$J$31:$J$33,0))=0,0,CQ$92/('VALUATION &amp; RETURNS'!$DA$8*1000000*INDEX($O$31:$O$33,MATCH($B$6,$J$31:$J$33,0))))</f>
        <v>0</v>
      </c>
      <c r="CR96" s="312">
        <f>IF('VALUATION &amp; RETURNS'!$DA$8*1000000*INDEX($O$31:$O$33,MATCH($B$6,$J$31:$J$33,0))=0,0,CR$92/('VALUATION &amp; RETURNS'!$DA$8*1000000*INDEX($O$31:$O$33,MATCH($B$6,$J$31:$J$33,0))))</f>
        <v>0</v>
      </c>
      <c r="CS96" s="312">
        <f>IF('VALUATION &amp; RETURNS'!$DA$8*1000000*INDEX($O$31:$O$33,MATCH($B$6,$J$31:$J$33,0))=0,0,CS$92/('VALUATION &amp; RETURNS'!$DA$8*1000000*INDEX($O$31:$O$33,MATCH($B$6,$J$31:$J$33,0))))</f>
        <v>0</v>
      </c>
      <c r="CT96" s="312">
        <f>IF('VALUATION &amp; RETURNS'!$DA$8*1000000*INDEX($O$31:$O$33,MATCH($B$6,$J$31:$J$33,0))=0,0,CT$92/('VALUATION &amp; RETURNS'!$DA$8*1000000*INDEX($O$31:$O$33,MATCH($B$6,$J$31:$J$33,0))))</f>
        <v>0</v>
      </c>
      <c r="CU96" s="312">
        <f>IF('VALUATION &amp; RETURNS'!$DA$8*1000000*INDEX($O$31:$O$33,MATCH($B$6,$J$31:$J$33,0))=0,0,CU$92/('VALUATION &amp; RETURNS'!$DA$8*1000000*INDEX($O$31:$O$33,MATCH($B$6,$J$31:$J$33,0))))</f>
        <v>0</v>
      </c>
      <c r="CV96" s="312">
        <f>IF('VALUATION &amp; RETURNS'!$DA$8*1000000*INDEX($O$31:$O$33,MATCH($B$6,$J$31:$J$33,0))=0,0,CV$92/('VALUATION &amp; RETURNS'!$DA$8*1000000*INDEX($O$31:$O$33,MATCH($B$6,$J$31:$J$33,0))))</f>
        <v>0</v>
      </c>
      <c r="CW96" s="312">
        <f>IF('VALUATION &amp; RETURNS'!$DA$8*1000000*INDEX($O$31:$O$33,MATCH($B$6,$J$31:$J$33,0))=0,0,CW$92/('VALUATION &amp; RETURNS'!$DA$8*1000000*INDEX($O$31:$O$33,MATCH($B$6,$J$31:$J$33,0))))</f>
        <v>0</v>
      </c>
      <c r="CX96" s="312">
        <f>IF('VALUATION &amp; RETURNS'!$DA$8*1000000*INDEX($O$31:$O$33,MATCH($B$6,$J$31:$J$33,0))=0,0,CX$92/('VALUATION &amp; RETURNS'!$DA$8*1000000*INDEX($O$31:$O$33,MATCH($B$6,$J$31:$J$33,0))))</f>
        <v>0</v>
      </c>
      <c r="CY96" s="312">
        <f>IF('VALUATION &amp; RETURNS'!$DA$8*1000000*INDEX($O$31:$O$33,MATCH($B$6,$J$31:$J$33,0))=0,0,CY$92/('VALUATION &amp; RETURNS'!$DA$8*1000000*INDEX($O$31:$O$33,MATCH($B$6,$J$31:$J$33,0))))</f>
        <v>0</v>
      </c>
      <c r="CZ96" s="312">
        <f>IF('VALUATION &amp; RETURNS'!$DA$8*1000000*INDEX($O$31:$O$33,MATCH($B$6,$J$31:$J$33,0))=0,0,CZ$92/('VALUATION &amp; RETURNS'!$DA$8*1000000*INDEX($O$31:$O$33,MATCH($B$6,$J$31:$J$33,0))))</f>
        <v>0</v>
      </c>
      <c r="DA96" s="312">
        <f>IF('VALUATION &amp; RETURNS'!$DA$8*1000000*INDEX($O$31:$O$33,MATCH($B$6,$J$31:$J$33,0))=0,0,DA$92/('VALUATION &amp; RETURNS'!$DA$8*1000000*INDEX($O$31:$O$33,MATCH($B$6,$J$31:$J$33,0))))</f>
        <v>0</v>
      </c>
      <c r="DB96" s="312">
        <f>IF('VALUATION &amp; RETURNS'!$DA$8*1000000*INDEX($O$31:$O$33,MATCH($B$6,$J$31:$J$33,0))=0,0,DB$92/('VALUATION &amp; RETURNS'!$DA$8*1000000*INDEX($O$31:$O$33,MATCH($B$6,$J$31:$J$33,0))))</f>
        <v>0</v>
      </c>
      <c r="DC96" s="312">
        <f>IF('VALUATION &amp; RETURNS'!$DA$8*1000000*INDEX($O$31:$O$33,MATCH($B$6,$J$31:$J$33,0))=0,0,DC$92/('VALUATION &amp; RETURNS'!$DA$8*1000000*INDEX($O$31:$O$33,MATCH($B$6,$J$31:$J$33,0))))</f>
        <v>0</v>
      </c>
      <c r="DD96" s="312">
        <f>IF('VALUATION &amp; RETURNS'!$DA$8*1000000*INDEX($O$31:$O$33,MATCH($B$6,$J$31:$J$33,0))=0,0,DD$92/('VALUATION &amp; RETURNS'!$DA$8*1000000*INDEX($O$31:$O$33,MATCH($B$6,$J$31:$J$33,0))))</f>
        <v>0</v>
      </c>
      <c r="DE96" s="312">
        <f>IF('VALUATION &amp; RETURNS'!$DA$8*1000000*INDEX($O$31:$O$33,MATCH($B$6,$J$31:$J$33,0))=0,0,DE$92/('VALUATION &amp; RETURNS'!$DA$8*1000000*INDEX($O$31:$O$33,MATCH($B$6,$J$31:$J$33,0))))</f>
        <v>0</v>
      </c>
      <c r="DF96" s="312">
        <f>IF('VALUATION &amp; RETURNS'!$DA$8*1000000*INDEX($O$31:$O$33,MATCH($B$6,$J$31:$J$33,0))=0,0,DF$92/('VALUATION &amp; RETURNS'!$DA$8*1000000*INDEX($O$31:$O$33,MATCH($B$6,$J$31:$J$33,0))))</f>
        <v>0</v>
      </c>
      <c r="DG96" s="312">
        <f>IF('VALUATION &amp; RETURNS'!$DA$8*1000000*INDEX($O$31:$O$33,MATCH($B$6,$J$31:$J$33,0))=0,0,DG$92/('VALUATION &amp; RETURNS'!$DA$8*1000000*INDEX($O$31:$O$33,MATCH($B$6,$J$31:$J$33,0))))</f>
        <v>0</v>
      </c>
      <c r="DH96" s="312">
        <f>IF('VALUATION &amp; RETURNS'!$DA$8*1000000*INDEX($O$31:$O$33,MATCH($B$6,$J$31:$J$33,0))=0,0,DH$92/('VALUATION &amp; RETURNS'!$DA$8*1000000*INDEX($O$31:$O$33,MATCH($B$6,$J$31:$J$33,0))))</f>
        <v>0</v>
      </c>
      <c r="DI96" s="312">
        <f>IF('VALUATION &amp; RETURNS'!$DA$8*1000000*INDEX($O$31:$O$33,MATCH($B$6,$J$31:$J$33,0))=0,0,DI$92/('VALUATION &amp; RETURNS'!$DA$8*1000000*INDEX($O$31:$O$33,MATCH($B$6,$J$31:$J$33,0))))</f>
        <v>0</v>
      </c>
      <c r="DJ96" s="312">
        <f>IF('VALUATION &amp; RETURNS'!$DA$8*1000000*INDEX($O$31:$O$33,MATCH($B$6,$J$31:$J$33,0))=0,0,DJ$92/('VALUATION &amp; RETURNS'!$DA$8*1000000*INDEX($O$31:$O$33,MATCH($B$6,$J$31:$J$33,0))))</f>
        <v>0</v>
      </c>
      <c r="DK96" s="312">
        <f>IF('VALUATION &amp; RETURNS'!$DA$8*1000000*INDEX($O$31:$O$33,MATCH($B$6,$J$31:$J$33,0))=0,0,DK$92/('VALUATION &amp; RETURNS'!$DA$8*1000000*INDEX($O$31:$O$33,MATCH($B$6,$J$31:$J$33,0))))</f>
        <v>0</v>
      </c>
      <c r="DL96" s="312">
        <f>IF('VALUATION &amp; RETURNS'!$DA$8*1000000*INDEX($O$31:$O$33,MATCH($B$6,$J$31:$J$33,0))=0,0,DL$92/('VALUATION &amp; RETURNS'!$DA$8*1000000*INDEX($O$31:$O$33,MATCH($B$6,$J$31:$J$33,0))))</f>
        <v>0</v>
      </c>
      <c r="DM96" s="312">
        <f>IF('VALUATION &amp; RETURNS'!$DA$8*1000000*INDEX($O$31:$O$33,MATCH($B$6,$J$31:$J$33,0))=0,0,DM$92/('VALUATION &amp; RETURNS'!$DA$8*1000000*INDEX($O$31:$O$33,MATCH($B$6,$J$31:$J$33,0))))</f>
        <v>0</v>
      </c>
      <c r="DN96" s="312">
        <f>IF('VALUATION &amp; RETURNS'!$DA$8*1000000*INDEX($O$31:$O$33,MATCH($B$6,$J$31:$J$33,0))=0,0,DN$92/('VALUATION &amp; RETURNS'!$DA$8*1000000*INDEX($O$31:$O$33,MATCH($B$6,$J$31:$J$33,0))))</f>
        <v>0</v>
      </c>
      <c r="DO96" s="312">
        <f>IF('VALUATION &amp; RETURNS'!$DA$8*1000000*INDEX($O$31:$O$33,MATCH($B$6,$J$31:$J$33,0))=0,0,DO$92/('VALUATION &amp; RETURNS'!$DA$8*1000000*INDEX($O$31:$O$33,MATCH($B$6,$J$31:$J$33,0))))</f>
        <v>0</v>
      </c>
      <c r="DP96" s="312">
        <f>IF('VALUATION &amp; RETURNS'!$DA$8*1000000*INDEX($O$31:$O$33,MATCH($B$6,$J$31:$J$33,0))=0,0,DP$92/('VALUATION &amp; RETURNS'!$DA$8*1000000*INDEX($O$31:$O$33,MATCH($B$6,$J$31:$J$33,0))))</f>
        <v>0</v>
      </c>
      <c r="DQ96" s="312">
        <f>IF('VALUATION &amp; RETURNS'!$DA$8*1000000*INDEX($O$31:$O$33,MATCH($B$6,$J$31:$J$33,0))=0,0,DQ$92/('VALUATION &amp; RETURNS'!$DA$8*1000000*INDEX($O$31:$O$33,MATCH($B$6,$J$31:$J$33,0))))</f>
        <v>0</v>
      </c>
      <c r="DR96" s="312">
        <f>IF('VALUATION &amp; RETURNS'!$DA$8*1000000*INDEX($O$31:$O$33,MATCH($B$6,$J$31:$J$33,0))=0,0,DR$92/('VALUATION &amp; RETURNS'!$DA$8*1000000*INDEX($O$31:$O$33,MATCH($B$6,$J$31:$J$33,0))))</f>
        <v>0</v>
      </c>
      <c r="DS96" s="312">
        <f>IF('VALUATION &amp; RETURNS'!$DA$8*1000000*INDEX($O$31:$O$33,MATCH($B$6,$J$31:$J$33,0))=0,0,DS$92/('VALUATION &amp; RETURNS'!$DA$8*1000000*INDEX($O$31:$O$33,MATCH($B$6,$J$31:$J$33,0))))</f>
        <v>0</v>
      </c>
      <c r="DT96" s="312">
        <f>IF('VALUATION &amp; RETURNS'!$DA$8*1000000*INDEX($O$31:$O$33,MATCH($B$6,$J$31:$J$33,0))=0,0,DT$92/('VALUATION &amp; RETURNS'!$DA$8*1000000*INDEX($O$31:$O$33,MATCH($B$6,$J$31:$J$33,0))))</f>
        <v>0</v>
      </c>
      <c r="DU96" s="312">
        <f>IF('VALUATION &amp; RETURNS'!$DA$8*1000000*INDEX($O$31:$O$33,MATCH($B$6,$J$31:$J$33,0))=0,0,DU$92/('VALUATION &amp; RETURNS'!$DA$8*1000000*INDEX($O$31:$O$33,MATCH($B$6,$J$31:$J$33,0))))</f>
        <v>0</v>
      </c>
      <c r="DV96" s="312">
        <f>IF('VALUATION &amp; RETURNS'!$DA$8*1000000*INDEX($O$31:$O$33,MATCH($B$6,$J$31:$J$33,0))=0,0,DV$92/('VALUATION &amp; RETURNS'!$DA$8*1000000*INDEX($O$31:$O$33,MATCH($B$6,$J$31:$J$33,0))))</f>
        <v>0</v>
      </c>
    </row>
    <row r="97" spans="1:126" ht="15" customHeight="1" x14ac:dyDescent="0.35">
      <c r="A97" s="307" t="s">
        <v>1539</v>
      </c>
      <c r="B97" s="308" t="s">
        <v>924</v>
      </c>
      <c r="C97" s="1146" t="s">
        <v>1540</v>
      </c>
      <c r="D97" s="1147"/>
      <c r="F97" s="323" t="str">
        <f t="shared" ref="F97:AK97" si="84">IF(OR(F$92&gt;F$93+0.01,F$95&gt;MAX(0,$B$10+INDEX($R$31:$R$33,MATCH($B$6,$J$31:$J$33,0)))+0.000001,F$96&gt;MAX(0,$B$11+INDEX($R$31:$R$33,MATCH($B$6,$J$31:$J$33,0)))+0.000001,AND(F$64&gt;$B$20,F$92&gt;0.01)),"STOP","OK")</f>
        <v>OK</v>
      </c>
      <c r="G97" s="323" t="str">
        <f t="shared" si="84"/>
        <v>OK</v>
      </c>
      <c r="H97" s="323" t="str">
        <f t="shared" si="84"/>
        <v>OK</v>
      </c>
      <c r="I97" s="323" t="str">
        <f t="shared" si="84"/>
        <v>OK</v>
      </c>
      <c r="J97" s="323" t="str">
        <f t="shared" si="84"/>
        <v>OK</v>
      </c>
      <c r="K97" s="323" t="str">
        <f t="shared" si="84"/>
        <v>OK</v>
      </c>
      <c r="L97" s="323" t="str">
        <f t="shared" si="84"/>
        <v>OK</v>
      </c>
      <c r="M97" s="323" t="str">
        <f t="shared" si="84"/>
        <v>OK</v>
      </c>
      <c r="N97" s="323" t="str">
        <f t="shared" si="84"/>
        <v>OK</v>
      </c>
      <c r="O97" s="323" t="str">
        <f t="shared" si="84"/>
        <v>OK</v>
      </c>
      <c r="P97" s="323" t="str">
        <f t="shared" si="84"/>
        <v>OK</v>
      </c>
      <c r="Q97" s="323" t="str">
        <f t="shared" si="84"/>
        <v>OK</v>
      </c>
      <c r="R97" s="323" t="str">
        <f t="shared" si="84"/>
        <v>OK</v>
      </c>
      <c r="S97" s="323" t="str">
        <f t="shared" si="84"/>
        <v>OK</v>
      </c>
      <c r="T97" s="323" t="str">
        <f t="shared" si="84"/>
        <v>OK</v>
      </c>
      <c r="U97" s="323" t="str">
        <f t="shared" si="84"/>
        <v>OK</v>
      </c>
      <c r="V97" s="323" t="str">
        <f t="shared" si="84"/>
        <v>OK</v>
      </c>
      <c r="W97" s="323" t="str">
        <f t="shared" si="84"/>
        <v>OK</v>
      </c>
      <c r="X97" s="323" t="str">
        <f t="shared" si="84"/>
        <v>OK</v>
      </c>
      <c r="Y97" s="323" t="str">
        <f t="shared" si="84"/>
        <v>OK</v>
      </c>
      <c r="Z97" s="323" t="str">
        <f t="shared" si="84"/>
        <v>OK</v>
      </c>
      <c r="AA97" s="323" t="str">
        <f t="shared" si="84"/>
        <v>OK</v>
      </c>
      <c r="AB97" s="323" t="str">
        <f t="shared" si="84"/>
        <v>OK</v>
      </c>
      <c r="AC97" s="323" t="str">
        <f t="shared" si="84"/>
        <v>OK</v>
      </c>
      <c r="AD97" s="323" t="str">
        <f t="shared" si="84"/>
        <v>OK</v>
      </c>
      <c r="AE97" s="323" t="str">
        <f t="shared" si="84"/>
        <v>OK</v>
      </c>
      <c r="AF97" s="323" t="str">
        <f t="shared" si="84"/>
        <v>OK</v>
      </c>
      <c r="AG97" s="323" t="str">
        <f t="shared" si="84"/>
        <v>OK</v>
      </c>
      <c r="AH97" s="323" t="str">
        <f t="shared" si="84"/>
        <v>OK</v>
      </c>
      <c r="AI97" s="323" t="str">
        <f t="shared" si="84"/>
        <v>OK</v>
      </c>
      <c r="AJ97" s="323" t="str">
        <f t="shared" si="84"/>
        <v>OK</v>
      </c>
      <c r="AK97" s="323" t="str">
        <f t="shared" si="84"/>
        <v>OK</v>
      </c>
      <c r="AL97" s="323" t="str">
        <f t="shared" ref="AL97:BQ97" si="85">IF(OR(AL$92&gt;AL$93+0.01,AL$95&gt;MAX(0,$B$10+INDEX($R$31:$R$33,MATCH($B$6,$J$31:$J$33,0)))+0.000001,AL$96&gt;MAX(0,$B$11+INDEX($R$31:$R$33,MATCH($B$6,$J$31:$J$33,0)))+0.000001,AND(AL$64&gt;$B$20,AL$92&gt;0.01)),"STOP","OK")</f>
        <v>OK</v>
      </c>
      <c r="AM97" s="323" t="str">
        <f t="shared" si="85"/>
        <v>OK</v>
      </c>
      <c r="AN97" s="323" t="str">
        <f t="shared" si="85"/>
        <v>OK</v>
      </c>
      <c r="AO97" s="323" t="str">
        <f t="shared" si="85"/>
        <v>OK</v>
      </c>
      <c r="AP97" s="323" t="str">
        <f t="shared" si="85"/>
        <v>OK</v>
      </c>
      <c r="AQ97" s="323" t="str">
        <f t="shared" si="85"/>
        <v>OK</v>
      </c>
      <c r="AR97" s="323" t="str">
        <f t="shared" si="85"/>
        <v>OK</v>
      </c>
      <c r="AS97" s="323" t="str">
        <f t="shared" si="85"/>
        <v>OK</v>
      </c>
      <c r="AT97" s="323" t="str">
        <f t="shared" si="85"/>
        <v>OK</v>
      </c>
      <c r="AU97" s="323" t="str">
        <f t="shared" si="85"/>
        <v>OK</v>
      </c>
      <c r="AV97" s="323" t="str">
        <f t="shared" si="85"/>
        <v>OK</v>
      </c>
      <c r="AW97" s="323" t="str">
        <f t="shared" si="85"/>
        <v>OK</v>
      </c>
      <c r="AX97" s="323" t="str">
        <f t="shared" si="85"/>
        <v>OK</v>
      </c>
      <c r="AY97" s="323" t="str">
        <f t="shared" si="85"/>
        <v>OK</v>
      </c>
      <c r="AZ97" s="323" t="str">
        <f t="shared" si="85"/>
        <v>OK</v>
      </c>
      <c r="BA97" s="323" t="str">
        <f t="shared" si="85"/>
        <v>OK</v>
      </c>
      <c r="BB97" s="323" t="str">
        <f t="shared" si="85"/>
        <v>OK</v>
      </c>
      <c r="BC97" s="323" t="str">
        <f t="shared" si="85"/>
        <v>OK</v>
      </c>
      <c r="BD97" s="323" t="str">
        <f t="shared" si="85"/>
        <v>OK</v>
      </c>
      <c r="BE97" s="323" t="str">
        <f t="shared" si="85"/>
        <v>OK</v>
      </c>
      <c r="BF97" s="323" t="str">
        <f t="shared" si="85"/>
        <v>OK</v>
      </c>
      <c r="BG97" s="323" t="str">
        <f t="shared" si="85"/>
        <v>OK</v>
      </c>
      <c r="BH97" s="323" t="str">
        <f t="shared" si="85"/>
        <v>OK</v>
      </c>
      <c r="BI97" s="323" t="str">
        <f t="shared" si="85"/>
        <v>OK</v>
      </c>
      <c r="BJ97" s="323" t="str">
        <f t="shared" si="85"/>
        <v>OK</v>
      </c>
      <c r="BK97" s="323" t="str">
        <f t="shared" si="85"/>
        <v>OK</v>
      </c>
      <c r="BL97" s="323" t="str">
        <f t="shared" si="85"/>
        <v>OK</v>
      </c>
      <c r="BM97" s="323" t="str">
        <f t="shared" si="85"/>
        <v>OK</v>
      </c>
      <c r="BN97" s="323" t="str">
        <f t="shared" si="85"/>
        <v>OK</v>
      </c>
      <c r="BO97" s="323" t="str">
        <f t="shared" si="85"/>
        <v>OK</v>
      </c>
      <c r="BP97" s="323" t="str">
        <f t="shared" si="85"/>
        <v>OK</v>
      </c>
      <c r="BQ97" s="323" t="str">
        <f t="shared" si="85"/>
        <v>OK</v>
      </c>
      <c r="BR97" s="323" t="str">
        <f t="shared" ref="BR97:CW97" si="86">IF(OR(BR$92&gt;BR$93+0.01,BR$95&gt;MAX(0,$B$10+INDEX($R$31:$R$33,MATCH($B$6,$J$31:$J$33,0)))+0.000001,BR$96&gt;MAX(0,$B$11+INDEX($R$31:$R$33,MATCH($B$6,$J$31:$J$33,0)))+0.000001,AND(BR$64&gt;$B$20,BR$92&gt;0.01)),"STOP","OK")</f>
        <v>OK</v>
      </c>
      <c r="BS97" s="323" t="str">
        <f t="shared" si="86"/>
        <v>OK</v>
      </c>
      <c r="BT97" s="323" t="str">
        <f t="shared" si="86"/>
        <v>OK</v>
      </c>
      <c r="BU97" s="323" t="str">
        <f t="shared" si="86"/>
        <v>OK</v>
      </c>
      <c r="BV97" s="323" t="str">
        <f t="shared" si="86"/>
        <v>OK</v>
      </c>
      <c r="BW97" s="323" t="str">
        <f t="shared" si="86"/>
        <v>OK</v>
      </c>
      <c r="BX97" s="323" t="str">
        <f t="shared" si="86"/>
        <v>OK</v>
      </c>
      <c r="BY97" s="323" t="str">
        <f t="shared" si="86"/>
        <v>OK</v>
      </c>
      <c r="BZ97" s="323" t="str">
        <f t="shared" si="86"/>
        <v>OK</v>
      </c>
      <c r="CA97" s="323" t="str">
        <f t="shared" si="86"/>
        <v>OK</v>
      </c>
      <c r="CB97" s="323" t="str">
        <f t="shared" si="86"/>
        <v>OK</v>
      </c>
      <c r="CC97" s="323" t="str">
        <f t="shared" si="86"/>
        <v>OK</v>
      </c>
      <c r="CD97" s="323" t="str">
        <f t="shared" si="86"/>
        <v>OK</v>
      </c>
      <c r="CE97" s="323" t="str">
        <f t="shared" si="86"/>
        <v>OK</v>
      </c>
      <c r="CF97" s="323" t="str">
        <f t="shared" si="86"/>
        <v>OK</v>
      </c>
      <c r="CG97" s="323" t="str">
        <f t="shared" si="86"/>
        <v>OK</v>
      </c>
      <c r="CH97" s="323" t="str">
        <f t="shared" si="86"/>
        <v>OK</v>
      </c>
      <c r="CI97" s="323" t="str">
        <f t="shared" si="86"/>
        <v>OK</v>
      </c>
      <c r="CJ97" s="323" t="str">
        <f t="shared" si="86"/>
        <v>OK</v>
      </c>
      <c r="CK97" s="323" t="str">
        <f t="shared" si="86"/>
        <v>OK</v>
      </c>
      <c r="CL97" s="323" t="str">
        <f t="shared" si="86"/>
        <v>OK</v>
      </c>
      <c r="CM97" s="323" t="str">
        <f t="shared" si="86"/>
        <v>OK</v>
      </c>
      <c r="CN97" s="323" t="str">
        <f t="shared" si="86"/>
        <v>OK</v>
      </c>
      <c r="CO97" s="323" t="str">
        <f t="shared" si="86"/>
        <v>OK</v>
      </c>
      <c r="CP97" s="323" t="str">
        <f t="shared" si="86"/>
        <v>OK</v>
      </c>
      <c r="CQ97" s="323" t="str">
        <f t="shared" si="86"/>
        <v>OK</v>
      </c>
      <c r="CR97" s="323" t="str">
        <f t="shared" si="86"/>
        <v>OK</v>
      </c>
      <c r="CS97" s="323" t="str">
        <f t="shared" si="86"/>
        <v>OK</v>
      </c>
      <c r="CT97" s="323" t="str">
        <f t="shared" si="86"/>
        <v>OK</v>
      </c>
      <c r="CU97" s="323" t="str">
        <f t="shared" si="86"/>
        <v>OK</v>
      </c>
      <c r="CV97" s="323" t="str">
        <f t="shared" si="86"/>
        <v>OK</v>
      </c>
      <c r="CW97" s="323" t="str">
        <f t="shared" si="86"/>
        <v>OK</v>
      </c>
      <c r="CX97" s="323" t="str">
        <f t="shared" ref="CX97:DV97" si="87">IF(OR(CX$92&gt;CX$93+0.01,CX$95&gt;MAX(0,$B$10+INDEX($R$31:$R$33,MATCH($B$6,$J$31:$J$33,0)))+0.000001,CX$96&gt;MAX(0,$B$11+INDEX($R$31:$R$33,MATCH($B$6,$J$31:$J$33,0)))+0.000001,AND(CX$64&gt;$B$20,CX$92&gt;0.01)),"STOP","OK")</f>
        <v>OK</v>
      </c>
      <c r="CY97" s="323" t="str">
        <f t="shared" si="87"/>
        <v>OK</v>
      </c>
      <c r="CZ97" s="323" t="str">
        <f t="shared" si="87"/>
        <v>OK</v>
      </c>
      <c r="DA97" s="323" t="str">
        <f t="shared" si="87"/>
        <v>OK</v>
      </c>
      <c r="DB97" s="323" t="str">
        <f t="shared" si="87"/>
        <v>OK</v>
      </c>
      <c r="DC97" s="323" t="str">
        <f t="shared" si="87"/>
        <v>OK</v>
      </c>
      <c r="DD97" s="323" t="str">
        <f t="shared" si="87"/>
        <v>OK</v>
      </c>
      <c r="DE97" s="323" t="str">
        <f t="shared" si="87"/>
        <v>OK</v>
      </c>
      <c r="DF97" s="323" t="str">
        <f t="shared" si="87"/>
        <v>OK</v>
      </c>
      <c r="DG97" s="323" t="str">
        <f t="shared" si="87"/>
        <v>OK</v>
      </c>
      <c r="DH97" s="323" t="str">
        <f t="shared" si="87"/>
        <v>OK</v>
      </c>
      <c r="DI97" s="323" t="str">
        <f t="shared" si="87"/>
        <v>OK</v>
      </c>
      <c r="DJ97" s="323" t="str">
        <f t="shared" si="87"/>
        <v>OK</v>
      </c>
      <c r="DK97" s="323" t="str">
        <f t="shared" si="87"/>
        <v>OK</v>
      </c>
      <c r="DL97" s="323" t="str">
        <f t="shared" si="87"/>
        <v>OK</v>
      </c>
      <c r="DM97" s="323" t="str">
        <f t="shared" si="87"/>
        <v>OK</v>
      </c>
      <c r="DN97" s="323" t="str">
        <f t="shared" si="87"/>
        <v>OK</v>
      </c>
      <c r="DO97" s="323" t="str">
        <f t="shared" si="87"/>
        <v>OK</v>
      </c>
      <c r="DP97" s="323" t="str">
        <f t="shared" si="87"/>
        <v>OK</v>
      </c>
      <c r="DQ97" s="323" t="str">
        <f t="shared" si="87"/>
        <v>OK</v>
      </c>
      <c r="DR97" s="323" t="str">
        <f t="shared" si="87"/>
        <v>OK</v>
      </c>
      <c r="DS97" s="323" t="str">
        <f t="shared" si="87"/>
        <v>OK</v>
      </c>
      <c r="DT97" s="323" t="str">
        <f t="shared" si="87"/>
        <v>OK</v>
      </c>
      <c r="DU97" s="323" t="str">
        <f t="shared" si="87"/>
        <v>OK</v>
      </c>
      <c r="DV97" s="323" t="str">
        <f t="shared" si="87"/>
        <v>OK</v>
      </c>
    </row>
    <row r="98" spans="1:126" ht="15" customHeight="1" x14ac:dyDescent="0.35">
      <c r="A98" s="307" t="s">
        <v>1541</v>
      </c>
      <c r="B98" s="308" t="s">
        <v>1370</v>
      </c>
      <c r="C98" s="1146" t="s">
        <v>1542</v>
      </c>
      <c r="D98" s="1147"/>
      <c r="F98" s="309">
        <f t="shared" ref="F98:AK98" si="88">F$74+F$81+F$82-F$89-F$90-F$91-F$92</f>
        <v>0</v>
      </c>
      <c r="G98" s="309">
        <f t="shared" si="88"/>
        <v>0</v>
      </c>
      <c r="H98" s="309">
        <f t="shared" si="88"/>
        <v>0</v>
      </c>
      <c r="I98" s="309">
        <f t="shared" si="88"/>
        <v>0</v>
      </c>
      <c r="J98" s="309">
        <f t="shared" si="88"/>
        <v>0</v>
      </c>
      <c r="K98" s="309">
        <f t="shared" si="88"/>
        <v>0</v>
      </c>
      <c r="L98" s="309">
        <f t="shared" si="88"/>
        <v>0</v>
      </c>
      <c r="M98" s="309">
        <f t="shared" si="88"/>
        <v>0</v>
      </c>
      <c r="N98" s="309">
        <f t="shared" si="88"/>
        <v>0</v>
      </c>
      <c r="O98" s="309">
        <f t="shared" si="88"/>
        <v>0</v>
      </c>
      <c r="P98" s="309">
        <f t="shared" si="88"/>
        <v>0</v>
      </c>
      <c r="Q98" s="309">
        <f t="shared" si="88"/>
        <v>0</v>
      </c>
      <c r="R98" s="309">
        <f t="shared" si="88"/>
        <v>0</v>
      </c>
      <c r="S98" s="309">
        <f t="shared" si="88"/>
        <v>0</v>
      </c>
      <c r="T98" s="309">
        <f t="shared" si="88"/>
        <v>0</v>
      </c>
      <c r="U98" s="309">
        <f t="shared" si="88"/>
        <v>0</v>
      </c>
      <c r="V98" s="309">
        <f t="shared" si="88"/>
        <v>0</v>
      </c>
      <c r="W98" s="309">
        <f t="shared" si="88"/>
        <v>0</v>
      </c>
      <c r="X98" s="309">
        <f t="shared" si="88"/>
        <v>0</v>
      </c>
      <c r="Y98" s="309">
        <f t="shared" si="88"/>
        <v>0</v>
      </c>
      <c r="Z98" s="309">
        <f t="shared" si="88"/>
        <v>0</v>
      </c>
      <c r="AA98" s="309">
        <f t="shared" si="88"/>
        <v>0</v>
      </c>
      <c r="AB98" s="309">
        <f t="shared" si="88"/>
        <v>0</v>
      </c>
      <c r="AC98" s="309">
        <f t="shared" si="88"/>
        <v>0</v>
      </c>
      <c r="AD98" s="309">
        <f t="shared" si="88"/>
        <v>0</v>
      </c>
      <c r="AE98" s="309">
        <f t="shared" si="88"/>
        <v>0</v>
      </c>
      <c r="AF98" s="309">
        <f t="shared" si="88"/>
        <v>0</v>
      </c>
      <c r="AG98" s="309">
        <f t="shared" si="88"/>
        <v>0</v>
      </c>
      <c r="AH98" s="309">
        <f t="shared" si="88"/>
        <v>0</v>
      </c>
      <c r="AI98" s="309">
        <f t="shared" si="88"/>
        <v>0</v>
      </c>
      <c r="AJ98" s="309">
        <f t="shared" si="88"/>
        <v>0</v>
      </c>
      <c r="AK98" s="309">
        <f t="shared" si="88"/>
        <v>0</v>
      </c>
      <c r="AL98" s="309">
        <f t="shared" ref="AL98:BQ98" si="89">AL$74+AL$81+AL$82-AL$89-AL$90-AL$91-AL$92</f>
        <v>0</v>
      </c>
      <c r="AM98" s="309">
        <f t="shared" si="89"/>
        <v>0</v>
      </c>
      <c r="AN98" s="309">
        <f t="shared" si="89"/>
        <v>0</v>
      </c>
      <c r="AO98" s="309">
        <f t="shared" si="89"/>
        <v>0</v>
      </c>
      <c r="AP98" s="309">
        <f t="shared" si="89"/>
        <v>0</v>
      </c>
      <c r="AQ98" s="309">
        <f t="shared" si="89"/>
        <v>0</v>
      </c>
      <c r="AR98" s="309">
        <f t="shared" si="89"/>
        <v>0</v>
      </c>
      <c r="AS98" s="309">
        <f t="shared" si="89"/>
        <v>0</v>
      </c>
      <c r="AT98" s="309">
        <f t="shared" si="89"/>
        <v>0</v>
      </c>
      <c r="AU98" s="309">
        <f t="shared" si="89"/>
        <v>0</v>
      </c>
      <c r="AV98" s="309">
        <f t="shared" si="89"/>
        <v>0</v>
      </c>
      <c r="AW98" s="309">
        <f t="shared" si="89"/>
        <v>0</v>
      </c>
      <c r="AX98" s="309">
        <f t="shared" si="89"/>
        <v>0</v>
      </c>
      <c r="AY98" s="309">
        <f t="shared" si="89"/>
        <v>0</v>
      </c>
      <c r="AZ98" s="309">
        <f t="shared" si="89"/>
        <v>0</v>
      </c>
      <c r="BA98" s="309">
        <f t="shared" si="89"/>
        <v>0</v>
      </c>
      <c r="BB98" s="309">
        <f t="shared" si="89"/>
        <v>0</v>
      </c>
      <c r="BC98" s="309">
        <f t="shared" si="89"/>
        <v>0</v>
      </c>
      <c r="BD98" s="309">
        <f t="shared" si="89"/>
        <v>0</v>
      </c>
      <c r="BE98" s="309">
        <f t="shared" si="89"/>
        <v>0</v>
      </c>
      <c r="BF98" s="309">
        <f t="shared" si="89"/>
        <v>0</v>
      </c>
      <c r="BG98" s="309">
        <f t="shared" si="89"/>
        <v>0</v>
      </c>
      <c r="BH98" s="309">
        <f t="shared" si="89"/>
        <v>0</v>
      </c>
      <c r="BI98" s="309">
        <f t="shared" si="89"/>
        <v>0</v>
      </c>
      <c r="BJ98" s="309">
        <f t="shared" si="89"/>
        <v>0</v>
      </c>
      <c r="BK98" s="309">
        <f t="shared" si="89"/>
        <v>0</v>
      </c>
      <c r="BL98" s="309">
        <f t="shared" si="89"/>
        <v>0</v>
      </c>
      <c r="BM98" s="309">
        <f t="shared" si="89"/>
        <v>0</v>
      </c>
      <c r="BN98" s="309">
        <f t="shared" si="89"/>
        <v>0</v>
      </c>
      <c r="BO98" s="309">
        <f t="shared" si="89"/>
        <v>0</v>
      </c>
      <c r="BP98" s="309">
        <f t="shared" si="89"/>
        <v>0</v>
      </c>
      <c r="BQ98" s="309">
        <f t="shared" si="89"/>
        <v>0</v>
      </c>
      <c r="BR98" s="309">
        <f t="shared" ref="BR98:CW98" si="90">BR$74+BR$81+BR$82-BR$89-BR$90-BR$91-BR$92</f>
        <v>0</v>
      </c>
      <c r="BS98" s="309">
        <f t="shared" si="90"/>
        <v>0</v>
      </c>
      <c r="BT98" s="309">
        <f t="shared" si="90"/>
        <v>0</v>
      </c>
      <c r="BU98" s="309">
        <f t="shared" si="90"/>
        <v>0</v>
      </c>
      <c r="BV98" s="309">
        <f t="shared" si="90"/>
        <v>0</v>
      </c>
      <c r="BW98" s="309">
        <f t="shared" si="90"/>
        <v>0</v>
      </c>
      <c r="BX98" s="309">
        <f t="shared" si="90"/>
        <v>0</v>
      </c>
      <c r="BY98" s="309">
        <f t="shared" si="90"/>
        <v>0</v>
      </c>
      <c r="BZ98" s="309">
        <f t="shared" si="90"/>
        <v>0</v>
      </c>
      <c r="CA98" s="309">
        <f t="shared" si="90"/>
        <v>0</v>
      </c>
      <c r="CB98" s="309">
        <f t="shared" si="90"/>
        <v>0</v>
      </c>
      <c r="CC98" s="309">
        <f t="shared" si="90"/>
        <v>0</v>
      </c>
      <c r="CD98" s="309">
        <f t="shared" si="90"/>
        <v>0</v>
      </c>
      <c r="CE98" s="309">
        <f t="shared" si="90"/>
        <v>0</v>
      </c>
      <c r="CF98" s="309">
        <f t="shared" si="90"/>
        <v>0</v>
      </c>
      <c r="CG98" s="309">
        <f t="shared" si="90"/>
        <v>0</v>
      </c>
      <c r="CH98" s="309">
        <f t="shared" si="90"/>
        <v>0</v>
      </c>
      <c r="CI98" s="309">
        <f t="shared" si="90"/>
        <v>0</v>
      </c>
      <c r="CJ98" s="309">
        <f t="shared" si="90"/>
        <v>0</v>
      </c>
      <c r="CK98" s="309">
        <f t="shared" si="90"/>
        <v>0</v>
      </c>
      <c r="CL98" s="309">
        <f t="shared" si="90"/>
        <v>0</v>
      </c>
      <c r="CM98" s="309">
        <f t="shared" si="90"/>
        <v>0</v>
      </c>
      <c r="CN98" s="309">
        <f t="shared" si="90"/>
        <v>0</v>
      </c>
      <c r="CO98" s="309">
        <f t="shared" si="90"/>
        <v>0</v>
      </c>
      <c r="CP98" s="309">
        <f t="shared" si="90"/>
        <v>0</v>
      </c>
      <c r="CQ98" s="309">
        <f t="shared" si="90"/>
        <v>0</v>
      </c>
      <c r="CR98" s="309">
        <f t="shared" si="90"/>
        <v>0</v>
      </c>
      <c r="CS98" s="309">
        <f t="shared" si="90"/>
        <v>0</v>
      </c>
      <c r="CT98" s="309">
        <f t="shared" si="90"/>
        <v>0</v>
      </c>
      <c r="CU98" s="309">
        <f t="shared" si="90"/>
        <v>0</v>
      </c>
      <c r="CV98" s="309">
        <f t="shared" si="90"/>
        <v>0</v>
      </c>
      <c r="CW98" s="309">
        <f t="shared" si="90"/>
        <v>0</v>
      </c>
      <c r="CX98" s="309">
        <f t="shared" ref="CX98:DV98" si="91">CX$74+CX$81+CX$82-CX$89-CX$90-CX$91-CX$92</f>
        <v>0</v>
      </c>
      <c r="CY98" s="309">
        <f t="shared" si="91"/>
        <v>0</v>
      </c>
      <c r="CZ98" s="309">
        <f t="shared" si="91"/>
        <v>0</v>
      </c>
      <c r="DA98" s="309">
        <f t="shared" si="91"/>
        <v>0</v>
      </c>
      <c r="DB98" s="309">
        <f t="shared" si="91"/>
        <v>0</v>
      </c>
      <c r="DC98" s="309">
        <f t="shared" si="91"/>
        <v>0</v>
      </c>
      <c r="DD98" s="309">
        <f t="shared" si="91"/>
        <v>0</v>
      </c>
      <c r="DE98" s="309">
        <f t="shared" si="91"/>
        <v>0</v>
      </c>
      <c r="DF98" s="309">
        <f t="shared" si="91"/>
        <v>0</v>
      </c>
      <c r="DG98" s="309">
        <f t="shared" si="91"/>
        <v>0</v>
      </c>
      <c r="DH98" s="309">
        <f t="shared" si="91"/>
        <v>0</v>
      </c>
      <c r="DI98" s="309">
        <f t="shared" si="91"/>
        <v>0</v>
      </c>
      <c r="DJ98" s="309">
        <f t="shared" si="91"/>
        <v>0</v>
      </c>
      <c r="DK98" s="309">
        <f t="shared" si="91"/>
        <v>0</v>
      </c>
      <c r="DL98" s="309">
        <f t="shared" si="91"/>
        <v>0</v>
      </c>
      <c r="DM98" s="309">
        <f t="shared" si="91"/>
        <v>0</v>
      </c>
      <c r="DN98" s="309">
        <f t="shared" si="91"/>
        <v>0</v>
      </c>
      <c r="DO98" s="309">
        <f t="shared" si="91"/>
        <v>0</v>
      </c>
      <c r="DP98" s="309">
        <f t="shared" si="91"/>
        <v>0</v>
      </c>
      <c r="DQ98" s="309">
        <f t="shared" si="91"/>
        <v>0</v>
      </c>
      <c r="DR98" s="309">
        <f t="shared" si="91"/>
        <v>0</v>
      </c>
      <c r="DS98" s="309">
        <f t="shared" si="91"/>
        <v>0</v>
      </c>
      <c r="DT98" s="309">
        <f t="shared" si="91"/>
        <v>0</v>
      </c>
      <c r="DU98" s="309">
        <f t="shared" si="91"/>
        <v>0</v>
      </c>
      <c r="DV98" s="309">
        <f t="shared" si="91"/>
        <v>0</v>
      </c>
    </row>
    <row r="100" spans="1:126" ht="21" customHeight="1" x14ac:dyDescent="0.35">
      <c r="A100" s="1148" t="s">
        <v>1543</v>
      </c>
      <c r="B100" s="937"/>
      <c r="C100" s="937"/>
      <c r="D100" s="937"/>
      <c r="E100" s="937"/>
      <c r="F100" s="937"/>
      <c r="G100" s="937"/>
      <c r="H100" s="937"/>
      <c r="I100" s="937"/>
      <c r="J100" s="937"/>
      <c r="K100" s="937"/>
      <c r="L100" s="937"/>
      <c r="M100" s="937"/>
      <c r="N100" s="937"/>
      <c r="O100" s="937"/>
      <c r="P100" s="937"/>
      <c r="Q100" s="937"/>
      <c r="R100" s="937"/>
      <c r="S100" s="937"/>
      <c r="T100" s="937"/>
      <c r="U100" s="937"/>
      <c r="V100" s="937"/>
      <c r="W100" s="937"/>
      <c r="X100" s="937"/>
      <c r="Y100" s="937"/>
      <c r="Z100" s="937"/>
      <c r="AA100" s="937"/>
      <c r="AB100" s="937"/>
      <c r="AC100" s="937"/>
      <c r="AD100" s="937"/>
      <c r="AE100" s="937"/>
      <c r="AF100" s="937"/>
      <c r="AG100" s="937"/>
      <c r="AH100" s="937"/>
      <c r="AI100" s="937"/>
      <c r="AJ100" s="937"/>
      <c r="AK100" s="937"/>
      <c r="AL100" s="937"/>
      <c r="AM100" s="937"/>
      <c r="AN100" s="937"/>
      <c r="AO100" s="937"/>
      <c r="AP100" s="937"/>
      <c r="AQ100" s="937"/>
      <c r="AR100" s="937"/>
      <c r="AS100" s="937"/>
      <c r="AT100" s="937"/>
      <c r="AU100" s="937"/>
      <c r="AV100" s="937"/>
      <c r="AW100" s="937"/>
      <c r="AX100" s="937"/>
      <c r="AY100" s="937"/>
      <c r="AZ100" s="937"/>
      <c r="BA100" s="937"/>
      <c r="BB100" s="937"/>
      <c r="BC100" s="937"/>
      <c r="BD100" s="937"/>
      <c r="BE100" s="937"/>
      <c r="BF100" s="937"/>
      <c r="BG100" s="937"/>
      <c r="BH100" s="937"/>
      <c r="BI100" s="937"/>
      <c r="BJ100" s="937"/>
      <c r="BK100" s="937"/>
      <c r="BL100" s="937"/>
      <c r="BM100" s="937"/>
      <c r="BN100" s="937"/>
      <c r="BO100" s="937"/>
      <c r="BP100" s="937"/>
      <c r="BQ100" s="937"/>
      <c r="BR100" s="937"/>
      <c r="BS100" s="937"/>
      <c r="BT100" s="937"/>
      <c r="BU100" s="937"/>
      <c r="BV100" s="937"/>
      <c r="BW100" s="937"/>
      <c r="BX100" s="937"/>
      <c r="BY100" s="937"/>
      <c r="BZ100" s="937"/>
      <c r="CA100" s="937"/>
      <c r="CB100" s="937"/>
      <c r="CC100" s="937"/>
      <c r="CD100" s="937"/>
      <c r="CE100" s="937"/>
      <c r="CF100" s="937"/>
      <c r="CG100" s="937"/>
      <c r="CH100" s="937"/>
      <c r="CI100" s="937"/>
      <c r="CJ100" s="937"/>
      <c r="CK100" s="937"/>
      <c r="CL100" s="937"/>
      <c r="CM100" s="937"/>
      <c r="CN100" s="937"/>
      <c r="CO100" s="937"/>
      <c r="CP100" s="937"/>
      <c r="CQ100" s="937"/>
      <c r="CR100" s="937"/>
      <c r="CS100" s="937"/>
      <c r="CT100" s="937"/>
      <c r="CU100" s="937"/>
      <c r="CV100" s="937"/>
      <c r="CW100" s="937"/>
      <c r="CX100" s="937"/>
      <c r="CY100" s="937"/>
      <c r="CZ100" s="937"/>
      <c r="DA100" s="937"/>
      <c r="DB100" s="937"/>
      <c r="DC100" s="937"/>
      <c r="DD100" s="937"/>
      <c r="DE100" s="937"/>
      <c r="DF100" s="937"/>
      <c r="DG100" s="937"/>
      <c r="DH100" s="937"/>
      <c r="DI100" s="937"/>
      <c r="DJ100" s="937"/>
      <c r="DK100" s="937"/>
      <c r="DL100" s="937"/>
      <c r="DM100" s="937"/>
      <c r="DN100" s="937"/>
      <c r="DO100" s="937"/>
      <c r="DP100" s="937"/>
      <c r="DQ100" s="937"/>
      <c r="DR100" s="937"/>
      <c r="DS100" s="937"/>
      <c r="DT100" s="937"/>
      <c r="DU100" s="937"/>
      <c r="DV100" s="937"/>
    </row>
    <row r="101" spans="1:126" ht="15" customHeight="1" x14ac:dyDescent="0.35">
      <c r="A101" s="307" t="s">
        <v>1544</v>
      </c>
      <c r="B101" s="308" t="s">
        <v>1370</v>
      </c>
      <c r="C101" s="1146" t="s">
        <v>1499</v>
      </c>
      <c r="D101" s="1147"/>
      <c r="E101" s="309">
        <v>0</v>
      </c>
      <c r="F101" s="309">
        <f t="shared" ref="F101:AK101" si="92">E$110</f>
        <v>0</v>
      </c>
      <c r="G101" s="309">
        <f t="shared" si="92"/>
        <v>100000</v>
      </c>
      <c r="H101" s="309">
        <f t="shared" si="92"/>
        <v>194977.86154997651</v>
      </c>
      <c r="I101" s="309">
        <f t="shared" si="92"/>
        <v>296292.71899518667</v>
      </c>
      <c r="J101" s="309">
        <f t="shared" si="92"/>
        <v>362954.52659077104</v>
      </c>
      <c r="K101" s="309">
        <f t="shared" si="92"/>
        <v>442541.92316721246</v>
      </c>
      <c r="L101" s="309">
        <f t="shared" si="92"/>
        <v>533476.27839288907</v>
      </c>
      <c r="M101" s="309">
        <f t="shared" si="92"/>
        <v>646623.80195256614</v>
      </c>
      <c r="N101" s="309">
        <f t="shared" si="92"/>
        <v>785117.14805764367</v>
      </c>
      <c r="O101" s="309">
        <f t="shared" si="92"/>
        <v>939952.35550877964</v>
      </c>
      <c r="P101" s="309">
        <f t="shared" si="92"/>
        <v>976604.00736571616</v>
      </c>
      <c r="Q101" s="309">
        <f t="shared" si="92"/>
        <v>976604.00736571616</v>
      </c>
      <c r="R101" s="309">
        <f t="shared" si="92"/>
        <v>976604.00736571616</v>
      </c>
      <c r="S101" s="309">
        <f t="shared" si="92"/>
        <v>976604.00736571616</v>
      </c>
      <c r="T101" s="309">
        <f t="shared" si="92"/>
        <v>976604.00736571616</v>
      </c>
      <c r="U101" s="309">
        <f t="shared" si="92"/>
        <v>976604.00736571616</v>
      </c>
      <c r="V101" s="309">
        <f t="shared" si="92"/>
        <v>976604.00736571616</v>
      </c>
      <c r="W101" s="309">
        <f t="shared" si="92"/>
        <v>976604.00736571616</v>
      </c>
      <c r="X101" s="309">
        <f t="shared" si="92"/>
        <v>976604.00736571616</v>
      </c>
      <c r="Y101" s="309">
        <f t="shared" si="92"/>
        <v>976604.00736571616</v>
      </c>
      <c r="Z101" s="309">
        <f t="shared" si="92"/>
        <v>976604.00736571616</v>
      </c>
      <c r="AA101" s="309">
        <f t="shared" si="92"/>
        <v>976604.00736571616</v>
      </c>
      <c r="AB101" s="309">
        <f t="shared" si="92"/>
        <v>976604.00736571616</v>
      </c>
      <c r="AC101" s="309">
        <f t="shared" si="92"/>
        <v>976604.00736571616</v>
      </c>
      <c r="AD101" s="309">
        <f t="shared" si="92"/>
        <v>976604.00736571616</v>
      </c>
      <c r="AE101" s="309">
        <f t="shared" si="92"/>
        <v>976604.00736571616</v>
      </c>
      <c r="AF101" s="309">
        <f t="shared" si="92"/>
        <v>976604.00736571616</v>
      </c>
      <c r="AG101" s="309">
        <f t="shared" si="92"/>
        <v>976604.00736571616</v>
      </c>
      <c r="AH101" s="309">
        <f t="shared" si="92"/>
        <v>976604.00736571616</v>
      </c>
      <c r="AI101" s="309">
        <f t="shared" si="92"/>
        <v>976604.00736571616</v>
      </c>
      <c r="AJ101" s="309">
        <f t="shared" si="92"/>
        <v>976604.00736571616</v>
      </c>
      <c r="AK101" s="309">
        <f t="shared" si="92"/>
        <v>976604.00736571616</v>
      </c>
      <c r="AL101" s="309">
        <f t="shared" ref="AL101:BQ101" si="93">AK$110</f>
        <v>976604.00736571616</v>
      </c>
      <c r="AM101" s="309">
        <f t="shared" si="93"/>
        <v>834284.77693896182</v>
      </c>
      <c r="AN101" s="309">
        <f t="shared" si="93"/>
        <v>811658.12087074178</v>
      </c>
      <c r="AO101" s="309">
        <f t="shared" si="93"/>
        <v>724129.5910078492</v>
      </c>
      <c r="AP101" s="309">
        <f t="shared" si="93"/>
        <v>668473.77112540044</v>
      </c>
      <c r="AQ101" s="309">
        <f t="shared" si="93"/>
        <v>572488.27362274495</v>
      </c>
      <c r="AR101" s="309">
        <f t="shared" si="93"/>
        <v>492020.03705662326</v>
      </c>
      <c r="AS101" s="309">
        <f t="shared" si="93"/>
        <v>250930.69676682074</v>
      </c>
      <c r="AT101" s="309">
        <f t="shared" si="93"/>
        <v>0</v>
      </c>
      <c r="AU101" s="309">
        <f t="shared" si="93"/>
        <v>0</v>
      </c>
      <c r="AV101" s="309">
        <f t="shared" si="93"/>
        <v>0</v>
      </c>
      <c r="AW101" s="309">
        <f t="shared" si="93"/>
        <v>0</v>
      </c>
      <c r="AX101" s="309">
        <f t="shared" si="93"/>
        <v>0</v>
      </c>
      <c r="AY101" s="309">
        <f t="shared" si="93"/>
        <v>0</v>
      </c>
      <c r="AZ101" s="309">
        <f t="shared" si="93"/>
        <v>0</v>
      </c>
      <c r="BA101" s="309">
        <f t="shared" si="93"/>
        <v>0</v>
      </c>
      <c r="BB101" s="309">
        <f t="shared" si="93"/>
        <v>0</v>
      </c>
      <c r="BC101" s="309">
        <f t="shared" si="93"/>
        <v>0</v>
      </c>
      <c r="BD101" s="309">
        <f t="shared" si="93"/>
        <v>0</v>
      </c>
      <c r="BE101" s="309">
        <f t="shared" si="93"/>
        <v>0</v>
      </c>
      <c r="BF101" s="309">
        <f t="shared" si="93"/>
        <v>0</v>
      </c>
      <c r="BG101" s="309">
        <f t="shared" si="93"/>
        <v>0</v>
      </c>
      <c r="BH101" s="309">
        <f t="shared" si="93"/>
        <v>0</v>
      </c>
      <c r="BI101" s="309">
        <f t="shared" si="93"/>
        <v>0</v>
      </c>
      <c r="BJ101" s="309">
        <f t="shared" si="93"/>
        <v>0</v>
      </c>
      <c r="BK101" s="309">
        <f t="shared" si="93"/>
        <v>0</v>
      </c>
      <c r="BL101" s="309">
        <f t="shared" si="93"/>
        <v>0</v>
      </c>
      <c r="BM101" s="309">
        <f t="shared" si="93"/>
        <v>0</v>
      </c>
      <c r="BN101" s="309">
        <f t="shared" si="93"/>
        <v>0</v>
      </c>
      <c r="BO101" s="309">
        <f t="shared" si="93"/>
        <v>0</v>
      </c>
      <c r="BP101" s="309">
        <f t="shared" si="93"/>
        <v>976604.00736571616</v>
      </c>
      <c r="BQ101" s="309">
        <f t="shared" si="93"/>
        <v>0</v>
      </c>
      <c r="BR101" s="309">
        <f t="shared" ref="BR101:CW101" si="94">BQ$110</f>
        <v>0</v>
      </c>
      <c r="BS101" s="309">
        <f t="shared" si="94"/>
        <v>0</v>
      </c>
      <c r="BT101" s="309">
        <f t="shared" si="94"/>
        <v>0</v>
      </c>
      <c r="BU101" s="309">
        <f t="shared" si="94"/>
        <v>0</v>
      </c>
      <c r="BV101" s="309">
        <f t="shared" si="94"/>
        <v>0</v>
      </c>
      <c r="BW101" s="309">
        <f t="shared" si="94"/>
        <v>0</v>
      </c>
      <c r="BX101" s="309">
        <f t="shared" si="94"/>
        <v>0</v>
      </c>
      <c r="BY101" s="309">
        <f t="shared" si="94"/>
        <v>0</v>
      </c>
      <c r="BZ101" s="309">
        <f t="shared" si="94"/>
        <v>0</v>
      </c>
      <c r="CA101" s="309">
        <f t="shared" si="94"/>
        <v>0</v>
      </c>
      <c r="CB101" s="309">
        <f t="shared" si="94"/>
        <v>0</v>
      </c>
      <c r="CC101" s="309">
        <f t="shared" si="94"/>
        <v>0</v>
      </c>
      <c r="CD101" s="309">
        <f t="shared" si="94"/>
        <v>0</v>
      </c>
      <c r="CE101" s="309">
        <f t="shared" si="94"/>
        <v>0</v>
      </c>
      <c r="CF101" s="309">
        <f t="shared" si="94"/>
        <v>0</v>
      </c>
      <c r="CG101" s="309">
        <f t="shared" si="94"/>
        <v>0</v>
      </c>
      <c r="CH101" s="309">
        <f t="shared" si="94"/>
        <v>0</v>
      </c>
      <c r="CI101" s="309">
        <f t="shared" si="94"/>
        <v>0</v>
      </c>
      <c r="CJ101" s="309">
        <f t="shared" si="94"/>
        <v>0</v>
      </c>
      <c r="CK101" s="309">
        <f t="shared" si="94"/>
        <v>0</v>
      </c>
      <c r="CL101" s="309">
        <f t="shared" si="94"/>
        <v>0</v>
      </c>
      <c r="CM101" s="309">
        <f t="shared" si="94"/>
        <v>0</v>
      </c>
      <c r="CN101" s="309">
        <f t="shared" si="94"/>
        <v>0</v>
      </c>
      <c r="CO101" s="309">
        <f t="shared" si="94"/>
        <v>0</v>
      </c>
      <c r="CP101" s="309">
        <f t="shared" si="94"/>
        <v>0</v>
      </c>
      <c r="CQ101" s="309">
        <f t="shared" si="94"/>
        <v>0</v>
      </c>
      <c r="CR101" s="309">
        <f t="shared" si="94"/>
        <v>0</v>
      </c>
      <c r="CS101" s="309">
        <f t="shared" si="94"/>
        <v>0</v>
      </c>
      <c r="CT101" s="309">
        <f t="shared" si="94"/>
        <v>0</v>
      </c>
      <c r="CU101" s="309">
        <f t="shared" si="94"/>
        <v>0</v>
      </c>
      <c r="CV101" s="309">
        <f t="shared" si="94"/>
        <v>0</v>
      </c>
      <c r="CW101" s="309">
        <f t="shared" si="94"/>
        <v>0</v>
      </c>
      <c r="CX101" s="309">
        <f t="shared" ref="CX101:DV101" si="95">CW$110</f>
        <v>0</v>
      </c>
      <c r="CY101" s="309">
        <f t="shared" si="95"/>
        <v>0</v>
      </c>
      <c r="CZ101" s="309">
        <f t="shared" si="95"/>
        <v>0</v>
      </c>
      <c r="DA101" s="309">
        <f t="shared" si="95"/>
        <v>0</v>
      </c>
      <c r="DB101" s="309">
        <f t="shared" si="95"/>
        <v>0</v>
      </c>
      <c r="DC101" s="309">
        <f t="shared" si="95"/>
        <v>0</v>
      </c>
      <c r="DD101" s="309">
        <f t="shared" si="95"/>
        <v>0</v>
      </c>
      <c r="DE101" s="309">
        <f t="shared" si="95"/>
        <v>0</v>
      </c>
      <c r="DF101" s="309">
        <f t="shared" si="95"/>
        <v>0</v>
      </c>
      <c r="DG101" s="309">
        <f t="shared" si="95"/>
        <v>0</v>
      </c>
      <c r="DH101" s="309">
        <f t="shared" si="95"/>
        <v>0</v>
      </c>
      <c r="DI101" s="309">
        <f t="shared" si="95"/>
        <v>0</v>
      </c>
      <c r="DJ101" s="309">
        <f t="shared" si="95"/>
        <v>0</v>
      </c>
      <c r="DK101" s="309">
        <f t="shared" si="95"/>
        <v>0</v>
      </c>
      <c r="DL101" s="309">
        <f t="shared" si="95"/>
        <v>0</v>
      </c>
      <c r="DM101" s="309">
        <f t="shared" si="95"/>
        <v>0</v>
      </c>
      <c r="DN101" s="309">
        <f t="shared" si="95"/>
        <v>0</v>
      </c>
      <c r="DO101" s="309">
        <f t="shared" si="95"/>
        <v>0</v>
      </c>
      <c r="DP101" s="309">
        <f t="shared" si="95"/>
        <v>0</v>
      </c>
      <c r="DQ101" s="309">
        <f t="shared" si="95"/>
        <v>0</v>
      </c>
      <c r="DR101" s="309">
        <f t="shared" si="95"/>
        <v>0</v>
      </c>
      <c r="DS101" s="309">
        <f t="shared" si="95"/>
        <v>0</v>
      </c>
      <c r="DT101" s="309">
        <f t="shared" si="95"/>
        <v>0</v>
      </c>
      <c r="DU101" s="309">
        <f t="shared" si="95"/>
        <v>0</v>
      </c>
      <c r="DV101" s="309">
        <f t="shared" si="95"/>
        <v>0</v>
      </c>
    </row>
    <row r="102" spans="1:126" ht="15" customHeight="1" x14ac:dyDescent="0.35">
      <c r="A102" s="307" t="s">
        <v>1412</v>
      </c>
      <c r="B102" s="308" t="s">
        <v>1370</v>
      </c>
      <c r="C102" s="1146" t="s">
        <v>1545</v>
      </c>
      <c r="D102" s="1147"/>
      <c r="F102" s="309">
        <f t="shared" ref="F102:AK102" si="96">$B$24</f>
        <v>976604.00736571616</v>
      </c>
      <c r="G102" s="309">
        <f t="shared" si="96"/>
        <v>976604.00736571616</v>
      </c>
      <c r="H102" s="309">
        <f t="shared" si="96"/>
        <v>976604.00736571616</v>
      </c>
      <c r="I102" s="309">
        <f t="shared" si="96"/>
        <v>976604.00736571616</v>
      </c>
      <c r="J102" s="309">
        <f t="shared" si="96"/>
        <v>976604.00736571616</v>
      </c>
      <c r="K102" s="309">
        <f t="shared" si="96"/>
        <v>976604.00736571616</v>
      </c>
      <c r="L102" s="309">
        <f t="shared" si="96"/>
        <v>976604.00736571616</v>
      </c>
      <c r="M102" s="309">
        <f t="shared" si="96"/>
        <v>976604.00736571616</v>
      </c>
      <c r="N102" s="309">
        <f t="shared" si="96"/>
        <v>976604.00736571616</v>
      </c>
      <c r="O102" s="309">
        <f t="shared" si="96"/>
        <v>976604.00736571616</v>
      </c>
      <c r="P102" s="309">
        <f t="shared" si="96"/>
        <v>976604.00736571616</v>
      </c>
      <c r="Q102" s="309">
        <f t="shared" si="96"/>
        <v>976604.00736571616</v>
      </c>
      <c r="R102" s="309">
        <f t="shared" si="96"/>
        <v>976604.00736571616</v>
      </c>
      <c r="S102" s="309">
        <f t="shared" si="96"/>
        <v>976604.00736571616</v>
      </c>
      <c r="T102" s="309">
        <f t="shared" si="96"/>
        <v>976604.00736571616</v>
      </c>
      <c r="U102" s="309">
        <f t="shared" si="96"/>
        <v>976604.00736571616</v>
      </c>
      <c r="V102" s="309">
        <f t="shared" si="96"/>
        <v>976604.00736571616</v>
      </c>
      <c r="W102" s="309">
        <f t="shared" si="96"/>
        <v>976604.00736571616</v>
      </c>
      <c r="X102" s="309">
        <f t="shared" si="96"/>
        <v>976604.00736571616</v>
      </c>
      <c r="Y102" s="309">
        <f t="shared" si="96"/>
        <v>976604.00736571616</v>
      </c>
      <c r="Z102" s="309">
        <f t="shared" si="96"/>
        <v>976604.00736571616</v>
      </c>
      <c r="AA102" s="309">
        <f t="shared" si="96"/>
        <v>976604.00736571616</v>
      </c>
      <c r="AB102" s="309">
        <f t="shared" si="96"/>
        <v>976604.00736571616</v>
      </c>
      <c r="AC102" s="309">
        <f t="shared" si="96"/>
        <v>976604.00736571616</v>
      </c>
      <c r="AD102" s="309">
        <f t="shared" si="96"/>
        <v>976604.00736571616</v>
      </c>
      <c r="AE102" s="309">
        <f t="shared" si="96"/>
        <v>976604.00736571616</v>
      </c>
      <c r="AF102" s="309">
        <f t="shared" si="96"/>
        <v>976604.00736571616</v>
      </c>
      <c r="AG102" s="309">
        <f t="shared" si="96"/>
        <v>976604.00736571616</v>
      </c>
      <c r="AH102" s="309">
        <f t="shared" si="96"/>
        <v>976604.00736571616</v>
      </c>
      <c r="AI102" s="309">
        <f t="shared" si="96"/>
        <v>976604.00736571616</v>
      </c>
      <c r="AJ102" s="309">
        <f t="shared" si="96"/>
        <v>976604.00736571616</v>
      </c>
      <c r="AK102" s="309">
        <f t="shared" si="96"/>
        <v>976604.00736571616</v>
      </c>
      <c r="AL102" s="309">
        <f t="shared" ref="AL102:BQ102" si="97">$B$24</f>
        <v>976604.00736571616</v>
      </c>
      <c r="AM102" s="309">
        <f t="shared" si="97"/>
        <v>976604.00736571616</v>
      </c>
      <c r="AN102" s="309">
        <f t="shared" si="97"/>
        <v>976604.00736571616</v>
      </c>
      <c r="AO102" s="309">
        <f t="shared" si="97"/>
        <v>976604.00736571616</v>
      </c>
      <c r="AP102" s="309">
        <f t="shared" si="97"/>
        <v>976604.00736571616</v>
      </c>
      <c r="AQ102" s="309">
        <f t="shared" si="97"/>
        <v>976604.00736571616</v>
      </c>
      <c r="AR102" s="309">
        <f t="shared" si="97"/>
        <v>976604.00736571616</v>
      </c>
      <c r="AS102" s="309">
        <f t="shared" si="97"/>
        <v>976604.00736571616</v>
      </c>
      <c r="AT102" s="309">
        <f t="shared" si="97"/>
        <v>976604.00736571616</v>
      </c>
      <c r="AU102" s="309">
        <f t="shared" si="97"/>
        <v>976604.00736571616</v>
      </c>
      <c r="AV102" s="309">
        <f t="shared" si="97"/>
        <v>976604.00736571616</v>
      </c>
      <c r="AW102" s="309">
        <f t="shared" si="97"/>
        <v>976604.00736571616</v>
      </c>
      <c r="AX102" s="309">
        <f t="shared" si="97"/>
        <v>976604.00736571616</v>
      </c>
      <c r="AY102" s="309">
        <f t="shared" si="97"/>
        <v>976604.00736571616</v>
      </c>
      <c r="AZ102" s="309">
        <f t="shared" si="97"/>
        <v>976604.00736571616</v>
      </c>
      <c r="BA102" s="309">
        <f t="shared" si="97"/>
        <v>976604.00736571616</v>
      </c>
      <c r="BB102" s="309">
        <f t="shared" si="97"/>
        <v>976604.00736571616</v>
      </c>
      <c r="BC102" s="309">
        <f t="shared" si="97"/>
        <v>976604.00736571616</v>
      </c>
      <c r="BD102" s="309">
        <f t="shared" si="97"/>
        <v>976604.00736571616</v>
      </c>
      <c r="BE102" s="309">
        <f t="shared" si="97"/>
        <v>976604.00736571616</v>
      </c>
      <c r="BF102" s="309">
        <f t="shared" si="97"/>
        <v>976604.00736571616</v>
      </c>
      <c r="BG102" s="309">
        <f t="shared" si="97"/>
        <v>976604.00736571616</v>
      </c>
      <c r="BH102" s="309">
        <f t="shared" si="97"/>
        <v>976604.00736571616</v>
      </c>
      <c r="BI102" s="309">
        <f t="shared" si="97"/>
        <v>976604.00736571616</v>
      </c>
      <c r="BJ102" s="309">
        <f t="shared" si="97"/>
        <v>976604.00736571616</v>
      </c>
      <c r="BK102" s="309">
        <f t="shared" si="97"/>
        <v>976604.00736571616</v>
      </c>
      <c r="BL102" s="309">
        <f t="shared" si="97"/>
        <v>976604.00736571616</v>
      </c>
      <c r="BM102" s="309">
        <f t="shared" si="97"/>
        <v>976604.00736571616</v>
      </c>
      <c r="BN102" s="309">
        <f t="shared" si="97"/>
        <v>976604.00736571616</v>
      </c>
      <c r="BO102" s="309">
        <f t="shared" si="97"/>
        <v>976604.00736571616</v>
      </c>
      <c r="BP102" s="309">
        <f t="shared" si="97"/>
        <v>976604.00736571616</v>
      </c>
      <c r="BQ102" s="309">
        <f t="shared" si="97"/>
        <v>976604.00736571616</v>
      </c>
      <c r="BR102" s="309">
        <f t="shared" ref="BR102:CW102" si="98">$B$24</f>
        <v>976604.00736571616</v>
      </c>
      <c r="BS102" s="309">
        <f t="shared" si="98"/>
        <v>976604.00736571616</v>
      </c>
      <c r="BT102" s="309">
        <f t="shared" si="98"/>
        <v>976604.00736571616</v>
      </c>
      <c r="BU102" s="309">
        <f t="shared" si="98"/>
        <v>976604.00736571616</v>
      </c>
      <c r="BV102" s="309">
        <f t="shared" si="98"/>
        <v>976604.00736571616</v>
      </c>
      <c r="BW102" s="309">
        <f t="shared" si="98"/>
        <v>976604.00736571616</v>
      </c>
      <c r="BX102" s="309">
        <f t="shared" si="98"/>
        <v>976604.00736571616</v>
      </c>
      <c r="BY102" s="309">
        <f t="shared" si="98"/>
        <v>976604.00736571616</v>
      </c>
      <c r="BZ102" s="309">
        <f t="shared" si="98"/>
        <v>976604.00736571616</v>
      </c>
      <c r="CA102" s="309">
        <f t="shared" si="98"/>
        <v>976604.00736571616</v>
      </c>
      <c r="CB102" s="309">
        <f t="shared" si="98"/>
        <v>976604.00736571616</v>
      </c>
      <c r="CC102" s="309">
        <f t="shared" si="98"/>
        <v>976604.00736571616</v>
      </c>
      <c r="CD102" s="309">
        <f t="shared" si="98"/>
        <v>976604.00736571616</v>
      </c>
      <c r="CE102" s="309">
        <f t="shared" si="98"/>
        <v>976604.00736571616</v>
      </c>
      <c r="CF102" s="309">
        <f t="shared" si="98"/>
        <v>976604.00736571616</v>
      </c>
      <c r="CG102" s="309">
        <f t="shared" si="98"/>
        <v>976604.00736571616</v>
      </c>
      <c r="CH102" s="309">
        <f t="shared" si="98"/>
        <v>976604.00736571616</v>
      </c>
      <c r="CI102" s="309">
        <f t="shared" si="98"/>
        <v>976604.00736571616</v>
      </c>
      <c r="CJ102" s="309">
        <f t="shared" si="98"/>
        <v>976604.00736571616</v>
      </c>
      <c r="CK102" s="309">
        <f t="shared" si="98"/>
        <v>976604.00736571616</v>
      </c>
      <c r="CL102" s="309">
        <f t="shared" si="98"/>
        <v>976604.00736571616</v>
      </c>
      <c r="CM102" s="309">
        <f t="shared" si="98"/>
        <v>976604.00736571616</v>
      </c>
      <c r="CN102" s="309">
        <f t="shared" si="98"/>
        <v>976604.00736571616</v>
      </c>
      <c r="CO102" s="309">
        <f t="shared" si="98"/>
        <v>976604.00736571616</v>
      </c>
      <c r="CP102" s="309">
        <f t="shared" si="98"/>
        <v>976604.00736571616</v>
      </c>
      <c r="CQ102" s="309">
        <f t="shared" si="98"/>
        <v>976604.00736571616</v>
      </c>
      <c r="CR102" s="309">
        <f t="shared" si="98"/>
        <v>976604.00736571616</v>
      </c>
      <c r="CS102" s="309">
        <f t="shared" si="98"/>
        <v>976604.00736571616</v>
      </c>
      <c r="CT102" s="309">
        <f t="shared" si="98"/>
        <v>976604.00736571616</v>
      </c>
      <c r="CU102" s="309">
        <f t="shared" si="98"/>
        <v>976604.00736571616</v>
      </c>
      <c r="CV102" s="309">
        <f t="shared" si="98"/>
        <v>976604.00736571616</v>
      </c>
      <c r="CW102" s="309">
        <f t="shared" si="98"/>
        <v>976604.00736571616</v>
      </c>
      <c r="CX102" s="309">
        <f t="shared" ref="CX102:DV102" si="99">$B$24</f>
        <v>976604.00736571616</v>
      </c>
      <c r="CY102" s="309">
        <f t="shared" si="99"/>
        <v>976604.00736571616</v>
      </c>
      <c r="CZ102" s="309">
        <f t="shared" si="99"/>
        <v>976604.00736571616</v>
      </c>
      <c r="DA102" s="309">
        <f t="shared" si="99"/>
        <v>976604.00736571616</v>
      </c>
      <c r="DB102" s="309">
        <f t="shared" si="99"/>
        <v>976604.00736571616</v>
      </c>
      <c r="DC102" s="309">
        <f t="shared" si="99"/>
        <v>976604.00736571616</v>
      </c>
      <c r="DD102" s="309">
        <f t="shared" si="99"/>
        <v>976604.00736571616</v>
      </c>
      <c r="DE102" s="309">
        <f t="shared" si="99"/>
        <v>976604.00736571616</v>
      </c>
      <c r="DF102" s="309">
        <f t="shared" si="99"/>
        <v>976604.00736571616</v>
      </c>
      <c r="DG102" s="309">
        <f t="shared" si="99"/>
        <v>976604.00736571616</v>
      </c>
      <c r="DH102" s="309">
        <f t="shared" si="99"/>
        <v>976604.00736571616</v>
      </c>
      <c r="DI102" s="309">
        <f t="shared" si="99"/>
        <v>976604.00736571616</v>
      </c>
      <c r="DJ102" s="309">
        <f t="shared" si="99"/>
        <v>976604.00736571616</v>
      </c>
      <c r="DK102" s="309">
        <f t="shared" si="99"/>
        <v>976604.00736571616</v>
      </c>
      <c r="DL102" s="309">
        <f t="shared" si="99"/>
        <v>976604.00736571616</v>
      </c>
      <c r="DM102" s="309">
        <f t="shared" si="99"/>
        <v>976604.00736571616</v>
      </c>
      <c r="DN102" s="309">
        <f t="shared" si="99"/>
        <v>976604.00736571616</v>
      </c>
      <c r="DO102" s="309">
        <f t="shared" si="99"/>
        <v>976604.00736571616</v>
      </c>
      <c r="DP102" s="309">
        <f t="shared" si="99"/>
        <v>976604.00736571616</v>
      </c>
      <c r="DQ102" s="309">
        <f t="shared" si="99"/>
        <v>976604.00736571616</v>
      </c>
      <c r="DR102" s="309">
        <f t="shared" si="99"/>
        <v>976604.00736571616</v>
      </c>
      <c r="DS102" s="309">
        <f t="shared" si="99"/>
        <v>976604.00736571616</v>
      </c>
      <c r="DT102" s="309">
        <f t="shared" si="99"/>
        <v>976604.00736571616</v>
      </c>
      <c r="DU102" s="309">
        <f t="shared" si="99"/>
        <v>976604.00736571616</v>
      </c>
      <c r="DV102" s="309">
        <f t="shared" si="99"/>
        <v>976604.00736571616</v>
      </c>
    </row>
    <row r="103" spans="1:126" ht="15" customHeight="1" x14ac:dyDescent="0.35">
      <c r="A103" s="307" t="s">
        <v>1546</v>
      </c>
      <c r="B103" s="308" t="s">
        <v>1370</v>
      </c>
      <c r="C103" s="1146" t="s">
        <v>1547</v>
      </c>
      <c r="D103" s="1147"/>
      <c r="F103" s="309">
        <f t="shared" ref="F103:AK103" si="100">MAX(0,F$104-(E$153+F$144-F$108-F$109-F$84-F$86-F$88-F$123-F$124-F$125-F$126-F$127))</f>
        <v>100000</v>
      </c>
      <c r="G103" s="309">
        <f t="shared" si="100"/>
        <v>94977.861549976529</v>
      </c>
      <c r="H103" s="309">
        <f t="shared" si="100"/>
        <v>101314.85744521015</v>
      </c>
      <c r="I103" s="309">
        <f t="shared" si="100"/>
        <v>66661.807595584396</v>
      </c>
      <c r="J103" s="309">
        <f t="shared" si="100"/>
        <v>79587.396576441432</v>
      </c>
      <c r="K103" s="309">
        <f t="shared" si="100"/>
        <v>90934.355225676583</v>
      </c>
      <c r="L103" s="309">
        <f t="shared" si="100"/>
        <v>113147.52355967704</v>
      </c>
      <c r="M103" s="309">
        <f t="shared" si="100"/>
        <v>138493.34610507754</v>
      </c>
      <c r="N103" s="309">
        <f t="shared" si="100"/>
        <v>154835.20745113603</v>
      </c>
      <c r="O103" s="309">
        <f t="shared" si="100"/>
        <v>213310.22819712412</v>
      </c>
      <c r="P103" s="309">
        <f t="shared" si="100"/>
        <v>256178.45603973174</v>
      </c>
      <c r="Q103" s="309">
        <f t="shared" si="100"/>
        <v>327154.96489586018</v>
      </c>
      <c r="R103" s="309">
        <f t="shared" si="100"/>
        <v>388525.01245300274</v>
      </c>
      <c r="S103" s="309">
        <f t="shared" si="100"/>
        <v>481495.69099595479</v>
      </c>
      <c r="T103" s="309">
        <f t="shared" si="100"/>
        <v>547142.1247892864</v>
      </c>
      <c r="U103" s="309">
        <f t="shared" si="100"/>
        <v>581711.81602747797</v>
      </c>
      <c r="V103" s="309">
        <f t="shared" si="100"/>
        <v>659175.2250659155</v>
      </c>
      <c r="W103" s="309">
        <f t="shared" si="100"/>
        <v>696859.6437675911</v>
      </c>
      <c r="X103" s="309">
        <f t="shared" si="100"/>
        <v>782353.58393297985</v>
      </c>
      <c r="Y103" s="309">
        <f t="shared" si="100"/>
        <v>844377.96140908916</v>
      </c>
      <c r="Z103" s="309">
        <f t="shared" si="100"/>
        <v>846343.02982239029</v>
      </c>
      <c r="AA103" s="309">
        <f t="shared" si="100"/>
        <v>961783.22667243076</v>
      </c>
      <c r="AB103" s="309">
        <f t="shared" si="100"/>
        <v>437244.41714494303</v>
      </c>
      <c r="AC103" s="309">
        <f t="shared" si="100"/>
        <v>345716.44899060216</v>
      </c>
      <c r="AD103" s="309">
        <f t="shared" si="100"/>
        <v>352149.9176723297</v>
      </c>
      <c r="AE103" s="309">
        <f t="shared" si="100"/>
        <v>259267.39335871185</v>
      </c>
      <c r="AF103" s="309">
        <f t="shared" si="100"/>
        <v>237609.42876873305</v>
      </c>
      <c r="AG103" s="309">
        <f t="shared" si="100"/>
        <v>223907.53950449848</v>
      </c>
      <c r="AH103" s="309">
        <f t="shared" si="100"/>
        <v>150052.0506921683</v>
      </c>
      <c r="AI103" s="309">
        <f t="shared" si="100"/>
        <v>84176.226901093731</v>
      </c>
      <c r="AJ103" s="309">
        <f t="shared" si="100"/>
        <v>133479.25947788032</v>
      </c>
      <c r="AK103" s="309">
        <f t="shared" si="100"/>
        <v>15946.682505244156</v>
      </c>
      <c r="AL103" s="309">
        <f t="shared" ref="AL103:BQ103" si="101">MAX(0,AL$104-(AK$153+AL$144-AL$108-AL$109-AL$84-AL$86-AL$88-AL$123-AL$124-AL$125-AL$126-AL$127))</f>
        <v>0</v>
      </c>
      <c r="AM103" s="309">
        <f t="shared" si="101"/>
        <v>0</v>
      </c>
      <c r="AN103" s="309">
        <f t="shared" si="101"/>
        <v>0</v>
      </c>
      <c r="AO103" s="309">
        <f t="shared" si="101"/>
        <v>0</v>
      </c>
      <c r="AP103" s="309">
        <f t="shared" si="101"/>
        <v>0</v>
      </c>
      <c r="AQ103" s="309">
        <f t="shared" si="101"/>
        <v>0</v>
      </c>
      <c r="AR103" s="309">
        <f t="shared" si="101"/>
        <v>0</v>
      </c>
      <c r="AS103" s="309">
        <f t="shared" si="101"/>
        <v>0</v>
      </c>
      <c r="AT103" s="309">
        <f t="shared" si="101"/>
        <v>0</v>
      </c>
      <c r="AU103" s="309">
        <f t="shared" si="101"/>
        <v>0</v>
      </c>
      <c r="AV103" s="309">
        <f t="shared" si="101"/>
        <v>0</v>
      </c>
      <c r="AW103" s="309">
        <f t="shared" si="101"/>
        <v>0</v>
      </c>
      <c r="AX103" s="309">
        <f t="shared" si="101"/>
        <v>0</v>
      </c>
      <c r="AY103" s="309">
        <f t="shared" si="101"/>
        <v>0</v>
      </c>
      <c r="AZ103" s="309">
        <f t="shared" si="101"/>
        <v>0</v>
      </c>
      <c r="BA103" s="309">
        <f t="shared" si="101"/>
        <v>0</v>
      </c>
      <c r="BB103" s="309">
        <f t="shared" si="101"/>
        <v>0</v>
      </c>
      <c r="BC103" s="309">
        <f t="shared" si="101"/>
        <v>0</v>
      </c>
      <c r="BD103" s="309">
        <f t="shared" si="101"/>
        <v>0</v>
      </c>
      <c r="BE103" s="309">
        <f t="shared" si="101"/>
        <v>0</v>
      </c>
      <c r="BF103" s="309">
        <f t="shared" si="101"/>
        <v>0</v>
      </c>
      <c r="BG103" s="309">
        <f t="shared" si="101"/>
        <v>0</v>
      </c>
      <c r="BH103" s="309">
        <f t="shared" si="101"/>
        <v>0</v>
      </c>
      <c r="BI103" s="309">
        <f t="shared" si="101"/>
        <v>0</v>
      </c>
      <c r="BJ103" s="309">
        <f t="shared" si="101"/>
        <v>0</v>
      </c>
      <c r="BK103" s="309">
        <f t="shared" si="101"/>
        <v>0</v>
      </c>
      <c r="BL103" s="309">
        <f t="shared" si="101"/>
        <v>0</v>
      </c>
      <c r="BM103" s="309">
        <f t="shared" si="101"/>
        <v>0</v>
      </c>
      <c r="BN103" s="309">
        <f t="shared" si="101"/>
        <v>0</v>
      </c>
      <c r="BO103" s="309">
        <f t="shared" si="101"/>
        <v>175931078.43334568</v>
      </c>
      <c r="BP103" s="309">
        <f t="shared" si="101"/>
        <v>0</v>
      </c>
      <c r="BQ103" s="309">
        <f t="shared" si="101"/>
        <v>0</v>
      </c>
      <c r="BR103" s="309">
        <f t="shared" ref="BR103:CW103" si="102">MAX(0,BR$104-(BQ$153+BR$144-BR$108-BR$109-BR$84-BR$86-BR$88-BR$123-BR$124-BR$125-BR$126-BR$127))</f>
        <v>0</v>
      </c>
      <c r="BS103" s="309">
        <f t="shared" si="102"/>
        <v>0</v>
      </c>
      <c r="BT103" s="309">
        <f t="shared" si="102"/>
        <v>0</v>
      </c>
      <c r="BU103" s="309">
        <f t="shared" si="102"/>
        <v>0</v>
      </c>
      <c r="BV103" s="309">
        <f t="shared" si="102"/>
        <v>0</v>
      </c>
      <c r="BW103" s="309">
        <f t="shared" si="102"/>
        <v>0</v>
      </c>
      <c r="BX103" s="309">
        <f t="shared" si="102"/>
        <v>0</v>
      </c>
      <c r="BY103" s="309">
        <f t="shared" si="102"/>
        <v>0</v>
      </c>
      <c r="BZ103" s="309">
        <f t="shared" si="102"/>
        <v>0</v>
      </c>
      <c r="CA103" s="309">
        <f t="shared" si="102"/>
        <v>0</v>
      </c>
      <c r="CB103" s="309">
        <f t="shared" si="102"/>
        <v>0</v>
      </c>
      <c r="CC103" s="309">
        <f t="shared" si="102"/>
        <v>0</v>
      </c>
      <c r="CD103" s="309">
        <f t="shared" si="102"/>
        <v>0</v>
      </c>
      <c r="CE103" s="309">
        <f t="shared" si="102"/>
        <v>0</v>
      </c>
      <c r="CF103" s="309">
        <f t="shared" si="102"/>
        <v>0</v>
      </c>
      <c r="CG103" s="309">
        <f t="shared" si="102"/>
        <v>0</v>
      </c>
      <c r="CH103" s="309">
        <f t="shared" si="102"/>
        <v>0</v>
      </c>
      <c r="CI103" s="309">
        <f t="shared" si="102"/>
        <v>0</v>
      </c>
      <c r="CJ103" s="309">
        <f t="shared" si="102"/>
        <v>0</v>
      </c>
      <c r="CK103" s="309">
        <f t="shared" si="102"/>
        <v>0</v>
      </c>
      <c r="CL103" s="309">
        <f t="shared" si="102"/>
        <v>0</v>
      </c>
      <c r="CM103" s="309">
        <f t="shared" si="102"/>
        <v>0</v>
      </c>
      <c r="CN103" s="309">
        <f t="shared" si="102"/>
        <v>0</v>
      </c>
      <c r="CO103" s="309">
        <f t="shared" si="102"/>
        <v>0</v>
      </c>
      <c r="CP103" s="309">
        <f t="shared" si="102"/>
        <v>0</v>
      </c>
      <c r="CQ103" s="309">
        <f t="shared" si="102"/>
        <v>0</v>
      </c>
      <c r="CR103" s="309">
        <f t="shared" si="102"/>
        <v>0</v>
      </c>
      <c r="CS103" s="309">
        <f t="shared" si="102"/>
        <v>0</v>
      </c>
      <c r="CT103" s="309">
        <f t="shared" si="102"/>
        <v>0</v>
      </c>
      <c r="CU103" s="309">
        <f t="shared" si="102"/>
        <v>0</v>
      </c>
      <c r="CV103" s="309">
        <f t="shared" si="102"/>
        <v>0</v>
      </c>
      <c r="CW103" s="309">
        <f t="shared" si="102"/>
        <v>0</v>
      </c>
      <c r="CX103" s="309">
        <f t="shared" ref="CX103:DV103" si="103">MAX(0,CX$104-(CW$153+CX$144-CX$108-CX$109-CX$84-CX$86-CX$88-CX$123-CX$124-CX$125-CX$126-CX$127))</f>
        <v>0</v>
      </c>
      <c r="CY103" s="309">
        <f t="shared" si="103"/>
        <v>0</v>
      </c>
      <c r="CZ103" s="309">
        <f t="shared" si="103"/>
        <v>0</v>
      </c>
      <c r="DA103" s="309">
        <f t="shared" si="103"/>
        <v>0</v>
      </c>
      <c r="DB103" s="309">
        <f t="shared" si="103"/>
        <v>0</v>
      </c>
      <c r="DC103" s="309">
        <f t="shared" si="103"/>
        <v>0</v>
      </c>
      <c r="DD103" s="309">
        <f t="shared" si="103"/>
        <v>0</v>
      </c>
      <c r="DE103" s="309">
        <f t="shared" si="103"/>
        <v>0</v>
      </c>
      <c r="DF103" s="309">
        <f t="shared" si="103"/>
        <v>0</v>
      </c>
      <c r="DG103" s="309">
        <f t="shared" si="103"/>
        <v>0</v>
      </c>
      <c r="DH103" s="309">
        <f t="shared" si="103"/>
        <v>0</v>
      </c>
      <c r="DI103" s="309">
        <f t="shared" si="103"/>
        <v>0</v>
      </c>
      <c r="DJ103" s="309">
        <f t="shared" si="103"/>
        <v>0</v>
      </c>
      <c r="DK103" s="309">
        <f t="shared" si="103"/>
        <v>0</v>
      </c>
      <c r="DL103" s="309">
        <f t="shared" si="103"/>
        <v>0</v>
      </c>
      <c r="DM103" s="309">
        <f t="shared" si="103"/>
        <v>0</v>
      </c>
      <c r="DN103" s="309">
        <f t="shared" si="103"/>
        <v>0</v>
      </c>
      <c r="DO103" s="309">
        <f t="shared" si="103"/>
        <v>0</v>
      </c>
      <c r="DP103" s="309">
        <f t="shared" si="103"/>
        <v>0</v>
      </c>
      <c r="DQ103" s="309">
        <f t="shared" si="103"/>
        <v>0</v>
      </c>
      <c r="DR103" s="309">
        <f t="shared" si="103"/>
        <v>0</v>
      </c>
      <c r="DS103" s="309">
        <f t="shared" si="103"/>
        <v>0</v>
      </c>
      <c r="DT103" s="309">
        <f t="shared" si="103"/>
        <v>0</v>
      </c>
      <c r="DU103" s="309">
        <f t="shared" si="103"/>
        <v>0</v>
      </c>
      <c r="DV103" s="309">
        <f t="shared" si="103"/>
        <v>0</v>
      </c>
    </row>
    <row r="104" spans="1:126" ht="15" customHeight="1" x14ac:dyDescent="0.35">
      <c r="A104" s="307" t="s">
        <v>1548</v>
      </c>
      <c r="B104" s="308" t="s">
        <v>1370</v>
      </c>
      <c r="C104" s="1146" t="s">
        <v>1549</v>
      </c>
      <c r="D104" s="1147"/>
      <c r="F104" s="309">
        <f t="shared" ref="F104:AK104" si="104">$B$27</f>
        <v>100000</v>
      </c>
      <c r="G104" s="309">
        <f t="shared" si="104"/>
        <v>100000</v>
      </c>
      <c r="H104" s="309">
        <f t="shared" si="104"/>
        <v>100000</v>
      </c>
      <c r="I104" s="309">
        <f t="shared" si="104"/>
        <v>100000</v>
      </c>
      <c r="J104" s="309">
        <f t="shared" si="104"/>
        <v>100000</v>
      </c>
      <c r="K104" s="309">
        <f t="shared" si="104"/>
        <v>100000</v>
      </c>
      <c r="L104" s="309">
        <f t="shared" si="104"/>
        <v>100000</v>
      </c>
      <c r="M104" s="309">
        <f t="shared" si="104"/>
        <v>100000</v>
      </c>
      <c r="N104" s="309">
        <f t="shared" si="104"/>
        <v>100000</v>
      </c>
      <c r="O104" s="309">
        <f t="shared" si="104"/>
        <v>100000</v>
      </c>
      <c r="P104" s="309">
        <f t="shared" si="104"/>
        <v>100000</v>
      </c>
      <c r="Q104" s="309">
        <f t="shared" si="104"/>
        <v>100000</v>
      </c>
      <c r="R104" s="309">
        <f t="shared" si="104"/>
        <v>100000</v>
      </c>
      <c r="S104" s="309">
        <f t="shared" si="104"/>
        <v>100000</v>
      </c>
      <c r="T104" s="309">
        <f t="shared" si="104"/>
        <v>100000</v>
      </c>
      <c r="U104" s="309">
        <f t="shared" si="104"/>
        <v>100000</v>
      </c>
      <c r="V104" s="309">
        <f t="shared" si="104"/>
        <v>100000</v>
      </c>
      <c r="W104" s="309">
        <f t="shared" si="104"/>
        <v>100000</v>
      </c>
      <c r="X104" s="309">
        <f t="shared" si="104"/>
        <v>100000</v>
      </c>
      <c r="Y104" s="309">
        <f t="shared" si="104"/>
        <v>100000</v>
      </c>
      <c r="Z104" s="309">
        <f t="shared" si="104"/>
        <v>100000</v>
      </c>
      <c r="AA104" s="309">
        <f t="shared" si="104"/>
        <v>100000</v>
      </c>
      <c r="AB104" s="309">
        <f t="shared" si="104"/>
        <v>100000</v>
      </c>
      <c r="AC104" s="309">
        <f t="shared" si="104"/>
        <v>100000</v>
      </c>
      <c r="AD104" s="309">
        <f t="shared" si="104"/>
        <v>100000</v>
      </c>
      <c r="AE104" s="309">
        <f t="shared" si="104"/>
        <v>100000</v>
      </c>
      <c r="AF104" s="309">
        <f t="shared" si="104"/>
        <v>100000</v>
      </c>
      <c r="AG104" s="309">
        <f t="shared" si="104"/>
        <v>100000</v>
      </c>
      <c r="AH104" s="309">
        <f t="shared" si="104"/>
        <v>100000</v>
      </c>
      <c r="AI104" s="309">
        <f t="shared" si="104"/>
        <v>100000</v>
      </c>
      <c r="AJ104" s="309">
        <f t="shared" si="104"/>
        <v>100000</v>
      </c>
      <c r="AK104" s="309">
        <f t="shared" si="104"/>
        <v>100000</v>
      </c>
      <c r="AL104" s="309">
        <f t="shared" ref="AL104:BQ104" si="105">$B$27</f>
        <v>100000</v>
      </c>
      <c r="AM104" s="309">
        <f t="shared" si="105"/>
        <v>100000</v>
      </c>
      <c r="AN104" s="309">
        <f t="shared" si="105"/>
        <v>100000</v>
      </c>
      <c r="AO104" s="309">
        <f t="shared" si="105"/>
        <v>100000</v>
      </c>
      <c r="AP104" s="309">
        <f t="shared" si="105"/>
        <v>100000</v>
      </c>
      <c r="AQ104" s="309">
        <f t="shared" si="105"/>
        <v>100000</v>
      </c>
      <c r="AR104" s="309">
        <f t="shared" si="105"/>
        <v>100000</v>
      </c>
      <c r="AS104" s="309">
        <f t="shared" si="105"/>
        <v>100000</v>
      </c>
      <c r="AT104" s="309">
        <f t="shared" si="105"/>
        <v>100000</v>
      </c>
      <c r="AU104" s="309">
        <f t="shared" si="105"/>
        <v>100000</v>
      </c>
      <c r="AV104" s="309">
        <f t="shared" si="105"/>
        <v>100000</v>
      </c>
      <c r="AW104" s="309">
        <f t="shared" si="105"/>
        <v>100000</v>
      </c>
      <c r="AX104" s="309">
        <f t="shared" si="105"/>
        <v>100000</v>
      </c>
      <c r="AY104" s="309">
        <f t="shared" si="105"/>
        <v>100000</v>
      </c>
      <c r="AZ104" s="309">
        <f t="shared" si="105"/>
        <v>100000</v>
      </c>
      <c r="BA104" s="309">
        <f t="shared" si="105"/>
        <v>100000</v>
      </c>
      <c r="BB104" s="309">
        <f t="shared" si="105"/>
        <v>100000</v>
      </c>
      <c r="BC104" s="309">
        <f t="shared" si="105"/>
        <v>100000</v>
      </c>
      <c r="BD104" s="309">
        <f t="shared" si="105"/>
        <v>100000</v>
      </c>
      <c r="BE104" s="309">
        <f t="shared" si="105"/>
        <v>100000</v>
      </c>
      <c r="BF104" s="309">
        <f t="shared" si="105"/>
        <v>100000</v>
      </c>
      <c r="BG104" s="309">
        <f t="shared" si="105"/>
        <v>100000</v>
      </c>
      <c r="BH104" s="309">
        <f t="shared" si="105"/>
        <v>100000</v>
      </c>
      <c r="BI104" s="309">
        <f t="shared" si="105"/>
        <v>100000</v>
      </c>
      <c r="BJ104" s="309">
        <f t="shared" si="105"/>
        <v>100000</v>
      </c>
      <c r="BK104" s="309">
        <f t="shared" si="105"/>
        <v>100000</v>
      </c>
      <c r="BL104" s="309">
        <f t="shared" si="105"/>
        <v>100000</v>
      </c>
      <c r="BM104" s="309">
        <f t="shared" si="105"/>
        <v>100000</v>
      </c>
      <c r="BN104" s="309">
        <f t="shared" si="105"/>
        <v>100000</v>
      </c>
      <c r="BO104" s="309">
        <f t="shared" si="105"/>
        <v>100000</v>
      </c>
      <c r="BP104" s="309">
        <f t="shared" si="105"/>
        <v>100000</v>
      </c>
      <c r="BQ104" s="309">
        <f t="shared" si="105"/>
        <v>100000</v>
      </c>
      <c r="BR104" s="309">
        <f t="shared" ref="BR104:CW104" si="106">$B$27</f>
        <v>100000</v>
      </c>
      <c r="BS104" s="309">
        <f t="shared" si="106"/>
        <v>100000</v>
      </c>
      <c r="BT104" s="309">
        <f t="shared" si="106"/>
        <v>100000</v>
      </c>
      <c r="BU104" s="309">
        <f t="shared" si="106"/>
        <v>100000</v>
      </c>
      <c r="BV104" s="309">
        <f t="shared" si="106"/>
        <v>100000</v>
      </c>
      <c r="BW104" s="309">
        <f t="shared" si="106"/>
        <v>100000</v>
      </c>
      <c r="BX104" s="309">
        <f t="shared" si="106"/>
        <v>100000</v>
      </c>
      <c r="BY104" s="309">
        <f t="shared" si="106"/>
        <v>100000</v>
      </c>
      <c r="BZ104" s="309">
        <f t="shared" si="106"/>
        <v>100000</v>
      </c>
      <c r="CA104" s="309">
        <f t="shared" si="106"/>
        <v>100000</v>
      </c>
      <c r="CB104" s="309">
        <f t="shared" si="106"/>
        <v>100000</v>
      </c>
      <c r="CC104" s="309">
        <f t="shared" si="106"/>
        <v>100000</v>
      </c>
      <c r="CD104" s="309">
        <f t="shared" si="106"/>
        <v>100000</v>
      </c>
      <c r="CE104" s="309">
        <f t="shared" si="106"/>
        <v>100000</v>
      </c>
      <c r="CF104" s="309">
        <f t="shared" si="106"/>
        <v>100000</v>
      </c>
      <c r="CG104" s="309">
        <f t="shared" si="106"/>
        <v>100000</v>
      </c>
      <c r="CH104" s="309">
        <f t="shared" si="106"/>
        <v>100000</v>
      </c>
      <c r="CI104" s="309">
        <f t="shared" si="106"/>
        <v>100000</v>
      </c>
      <c r="CJ104" s="309">
        <f t="shared" si="106"/>
        <v>100000</v>
      </c>
      <c r="CK104" s="309">
        <f t="shared" si="106"/>
        <v>100000</v>
      </c>
      <c r="CL104" s="309">
        <f t="shared" si="106"/>
        <v>100000</v>
      </c>
      <c r="CM104" s="309">
        <f t="shared" si="106"/>
        <v>100000</v>
      </c>
      <c r="CN104" s="309">
        <f t="shared" si="106"/>
        <v>100000</v>
      </c>
      <c r="CO104" s="309">
        <f t="shared" si="106"/>
        <v>100000</v>
      </c>
      <c r="CP104" s="309">
        <f t="shared" si="106"/>
        <v>100000</v>
      </c>
      <c r="CQ104" s="309">
        <f t="shared" si="106"/>
        <v>100000</v>
      </c>
      <c r="CR104" s="309">
        <f t="shared" si="106"/>
        <v>100000</v>
      </c>
      <c r="CS104" s="309">
        <f t="shared" si="106"/>
        <v>100000</v>
      </c>
      <c r="CT104" s="309">
        <f t="shared" si="106"/>
        <v>100000</v>
      </c>
      <c r="CU104" s="309">
        <f t="shared" si="106"/>
        <v>100000</v>
      </c>
      <c r="CV104" s="309">
        <f t="shared" si="106"/>
        <v>100000</v>
      </c>
      <c r="CW104" s="309">
        <f t="shared" si="106"/>
        <v>100000</v>
      </c>
      <c r="CX104" s="309">
        <f t="shared" ref="CX104:DV104" si="107">$B$27</f>
        <v>100000</v>
      </c>
      <c r="CY104" s="309">
        <f t="shared" si="107"/>
        <v>100000</v>
      </c>
      <c r="CZ104" s="309">
        <f t="shared" si="107"/>
        <v>100000</v>
      </c>
      <c r="DA104" s="309">
        <f t="shared" si="107"/>
        <v>100000</v>
      </c>
      <c r="DB104" s="309">
        <f t="shared" si="107"/>
        <v>100000</v>
      </c>
      <c r="DC104" s="309">
        <f t="shared" si="107"/>
        <v>100000</v>
      </c>
      <c r="DD104" s="309">
        <f t="shared" si="107"/>
        <v>100000</v>
      </c>
      <c r="DE104" s="309">
        <f t="shared" si="107"/>
        <v>100000</v>
      </c>
      <c r="DF104" s="309">
        <f t="shared" si="107"/>
        <v>100000</v>
      </c>
      <c r="DG104" s="309">
        <f t="shared" si="107"/>
        <v>100000</v>
      </c>
      <c r="DH104" s="309">
        <f t="shared" si="107"/>
        <v>100000</v>
      </c>
      <c r="DI104" s="309">
        <f t="shared" si="107"/>
        <v>100000</v>
      </c>
      <c r="DJ104" s="309">
        <f t="shared" si="107"/>
        <v>100000</v>
      </c>
      <c r="DK104" s="309">
        <f t="shared" si="107"/>
        <v>100000</v>
      </c>
      <c r="DL104" s="309">
        <f t="shared" si="107"/>
        <v>100000</v>
      </c>
      <c r="DM104" s="309">
        <f t="shared" si="107"/>
        <v>100000</v>
      </c>
      <c r="DN104" s="309">
        <f t="shared" si="107"/>
        <v>100000</v>
      </c>
      <c r="DO104" s="309">
        <f t="shared" si="107"/>
        <v>100000</v>
      </c>
      <c r="DP104" s="309">
        <f t="shared" si="107"/>
        <v>100000</v>
      </c>
      <c r="DQ104" s="309">
        <f t="shared" si="107"/>
        <v>100000</v>
      </c>
      <c r="DR104" s="309">
        <f t="shared" si="107"/>
        <v>100000</v>
      </c>
      <c r="DS104" s="309">
        <f t="shared" si="107"/>
        <v>100000</v>
      </c>
      <c r="DT104" s="309">
        <f t="shared" si="107"/>
        <v>100000</v>
      </c>
      <c r="DU104" s="309">
        <f t="shared" si="107"/>
        <v>100000</v>
      </c>
      <c r="DV104" s="309">
        <f t="shared" si="107"/>
        <v>100000</v>
      </c>
    </row>
    <row r="105" spans="1:126" ht="15" customHeight="1" x14ac:dyDescent="0.35">
      <c r="A105" s="307" t="s">
        <v>1550</v>
      </c>
      <c r="B105" s="308" t="s">
        <v>1370</v>
      </c>
      <c r="C105" s="1146" t="s">
        <v>1551</v>
      </c>
      <c r="D105" s="1147"/>
      <c r="F105" s="309">
        <f t="shared" ref="F105:AK105" si="108">IF(F$64&lt;=$B$29,MIN(F$103,MAX(0,$B$24-F$101)),0)</f>
        <v>100000</v>
      </c>
      <c r="G105" s="309">
        <f t="shared" si="108"/>
        <v>94977.861549976529</v>
      </c>
      <c r="H105" s="309">
        <f t="shared" si="108"/>
        <v>101314.85744521015</v>
      </c>
      <c r="I105" s="309">
        <f t="shared" si="108"/>
        <v>66661.807595584396</v>
      </c>
      <c r="J105" s="309">
        <f t="shared" si="108"/>
        <v>79587.396576441432</v>
      </c>
      <c r="K105" s="309">
        <f t="shared" si="108"/>
        <v>90934.355225676583</v>
      </c>
      <c r="L105" s="309">
        <f t="shared" si="108"/>
        <v>113147.52355967704</v>
      </c>
      <c r="M105" s="309">
        <f t="shared" si="108"/>
        <v>138493.34610507754</v>
      </c>
      <c r="N105" s="309">
        <f t="shared" si="108"/>
        <v>154835.20745113603</v>
      </c>
      <c r="O105" s="309">
        <f t="shared" si="108"/>
        <v>36651.651856936514</v>
      </c>
      <c r="P105" s="309">
        <f t="shared" si="108"/>
        <v>0</v>
      </c>
      <c r="Q105" s="309">
        <f t="shared" si="108"/>
        <v>0</v>
      </c>
      <c r="R105" s="309">
        <f t="shared" si="108"/>
        <v>0</v>
      </c>
      <c r="S105" s="309">
        <f t="shared" si="108"/>
        <v>0</v>
      </c>
      <c r="T105" s="309">
        <f t="shared" si="108"/>
        <v>0</v>
      </c>
      <c r="U105" s="309">
        <f t="shared" si="108"/>
        <v>0</v>
      </c>
      <c r="V105" s="309">
        <f t="shared" si="108"/>
        <v>0</v>
      </c>
      <c r="W105" s="309">
        <f t="shared" si="108"/>
        <v>0</v>
      </c>
      <c r="X105" s="309">
        <f t="shared" si="108"/>
        <v>0</v>
      </c>
      <c r="Y105" s="309">
        <f t="shared" si="108"/>
        <v>0</v>
      </c>
      <c r="Z105" s="309">
        <f t="shared" si="108"/>
        <v>0</v>
      </c>
      <c r="AA105" s="309">
        <f t="shared" si="108"/>
        <v>0</v>
      </c>
      <c r="AB105" s="309">
        <f t="shared" si="108"/>
        <v>0</v>
      </c>
      <c r="AC105" s="309">
        <f t="shared" si="108"/>
        <v>0</v>
      </c>
      <c r="AD105" s="309">
        <f t="shared" si="108"/>
        <v>0</v>
      </c>
      <c r="AE105" s="309">
        <f t="shared" si="108"/>
        <v>0</v>
      </c>
      <c r="AF105" s="309">
        <f t="shared" si="108"/>
        <v>0</v>
      </c>
      <c r="AG105" s="309">
        <f t="shared" si="108"/>
        <v>0</v>
      </c>
      <c r="AH105" s="309">
        <f t="shared" si="108"/>
        <v>0</v>
      </c>
      <c r="AI105" s="309">
        <f t="shared" si="108"/>
        <v>0</v>
      </c>
      <c r="AJ105" s="309">
        <f t="shared" si="108"/>
        <v>0</v>
      </c>
      <c r="AK105" s="309">
        <f t="shared" si="108"/>
        <v>0</v>
      </c>
      <c r="AL105" s="309">
        <f t="shared" ref="AL105:BQ105" si="109">IF(AL$64&lt;=$B$29,MIN(AL$103,MAX(0,$B$24-AL$101)),0)</f>
        <v>0</v>
      </c>
      <c r="AM105" s="309">
        <f t="shared" si="109"/>
        <v>0</v>
      </c>
      <c r="AN105" s="309">
        <f t="shared" si="109"/>
        <v>0</v>
      </c>
      <c r="AO105" s="309">
        <f t="shared" si="109"/>
        <v>0</v>
      </c>
      <c r="AP105" s="309">
        <f t="shared" si="109"/>
        <v>0</v>
      </c>
      <c r="AQ105" s="309">
        <f t="shared" si="109"/>
        <v>0</v>
      </c>
      <c r="AR105" s="309">
        <f t="shared" si="109"/>
        <v>0</v>
      </c>
      <c r="AS105" s="309">
        <f t="shared" si="109"/>
        <v>0</v>
      </c>
      <c r="AT105" s="309">
        <f t="shared" si="109"/>
        <v>0</v>
      </c>
      <c r="AU105" s="309">
        <f t="shared" si="109"/>
        <v>0</v>
      </c>
      <c r="AV105" s="309">
        <f t="shared" si="109"/>
        <v>0</v>
      </c>
      <c r="AW105" s="309">
        <f t="shared" si="109"/>
        <v>0</v>
      </c>
      <c r="AX105" s="309">
        <f t="shared" si="109"/>
        <v>0</v>
      </c>
      <c r="AY105" s="309">
        <f t="shared" si="109"/>
        <v>0</v>
      </c>
      <c r="AZ105" s="309">
        <f t="shared" si="109"/>
        <v>0</v>
      </c>
      <c r="BA105" s="309">
        <f t="shared" si="109"/>
        <v>0</v>
      </c>
      <c r="BB105" s="309">
        <f t="shared" si="109"/>
        <v>0</v>
      </c>
      <c r="BC105" s="309">
        <f t="shared" si="109"/>
        <v>0</v>
      </c>
      <c r="BD105" s="309">
        <f t="shared" si="109"/>
        <v>0</v>
      </c>
      <c r="BE105" s="309">
        <f t="shared" si="109"/>
        <v>0</v>
      </c>
      <c r="BF105" s="309">
        <f t="shared" si="109"/>
        <v>0</v>
      </c>
      <c r="BG105" s="309">
        <f t="shared" si="109"/>
        <v>0</v>
      </c>
      <c r="BH105" s="309">
        <f t="shared" si="109"/>
        <v>0</v>
      </c>
      <c r="BI105" s="309">
        <f t="shared" si="109"/>
        <v>0</v>
      </c>
      <c r="BJ105" s="309">
        <f t="shared" si="109"/>
        <v>0</v>
      </c>
      <c r="BK105" s="309">
        <f t="shared" si="109"/>
        <v>0</v>
      </c>
      <c r="BL105" s="309">
        <f t="shared" si="109"/>
        <v>0</v>
      </c>
      <c r="BM105" s="309">
        <f t="shared" si="109"/>
        <v>0</v>
      </c>
      <c r="BN105" s="309">
        <f t="shared" si="109"/>
        <v>0</v>
      </c>
      <c r="BO105" s="309">
        <f t="shared" si="109"/>
        <v>976604.00736571616</v>
      </c>
      <c r="BP105" s="309">
        <f t="shared" si="109"/>
        <v>0</v>
      </c>
      <c r="BQ105" s="309">
        <f t="shared" si="109"/>
        <v>0</v>
      </c>
      <c r="BR105" s="309">
        <f t="shared" ref="BR105:CW105" si="110">IF(BR$64&lt;=$B$29,MIN(BR$103,MAX(0,$B$24-BR$101)),0)</f>
        <v>0</v>
      </c>
      <c r="BS105" s="309">
        <f t="shared" si="110"/>
        <v>0</v>
      </c>
      <c r="BT105" s="309">
        <f t="shared" si="110"/>
        <v>0</v>
      </c>
      <c r="BU105" s="309">
        <f t="shared" si="110"/>
        <v>0</v>
      </c>
      <c r="BV105" s="309">
        <f t="shared" si="110"/>
        <v>0</v>
      </c>
      <c r="BW105" s="309">
        <f t="shared" si="110"/>
        <v>0</v>
      </c>
      <c r="BX105" s="309">
        <f t="shared" si="110"/>
        <v>0</v>
      </c>
      <c r="BY105" s="309">
        <f t="shared" si="110"/>
        <v>0</v>
      </c>
      <c r="BZ105" s="309">
        <f t="shared" si="110"/>
        <v>0</v>
      </c>
      <c r="CA105" s="309">
        <f t="shared" si="110"/>
        <v>0</v>
      </c>
      <c r="CB105" s="309">
        <f t="shared" si="110"/>
        <v>0</v>
      </c>
      <c r="CC105" s="309">
        <f t="shared" si="110"/>
        <v>0</v>
      </c>
      <c r="CD105" s="309">
        <f t="shared" si="110"/>
        <v>0</v>
      </c>
      <c r="CE105" s="309">
        <f t="shared" si="110"/>
        <v>0</v>
      </c>
      <c r="CF105" s="309">
        <f t="shared" si="110"/>
        <v>0</v>
      </c>
      <c r="CG105" s="309">
        <f t="shared" si="110"/>
        <v>0</v>
      </c>
      <c r="CH105" s="309">
        <f t="shared" si="110"/>
        <v>0</v>
      </c>
      <c r="CI105" s="309">
        <f t="shared" si="110"/>
        <v>0</v>
      </c>
      <c r="CJ105" s="309">
        <f t="shared" si="110"/>
        <v>0</v>
      </c>
      <c r="CK105" s="309">
        <f t="shared" si="110"/>
        <v>0</v>
      </c>
      <c r="CL105" s="309">
        <f t="shared" si="110"/>
        <v>0</v>
      </c>
      <c r="CM105" s="309">
        <f t="shared" si="110"/>
        <v>0</v>
      </c>
      <c r="CN105" s="309">
        <f t="shared" si="110"/>
        <v>0</v>
      </c>
      <c r="CO105" s="309">
        <f t="shared" si="110"/>
        <v>0</v>
      </c>
      <c r="CP105" s="309">
        <f t="shared" si="110"/>
        <v>0</v>
      </c>
      <c r="CQ105" s="309">
        <f t="shared" si="110"/>
        <v>0</v>
      </c>
      <c r="CR105" s="309">
        <f t="shared" si="110"/>
        <v>0</v>
      </c>
      <c r="CS105" s="309">
        <f t="shared" si="110"/>
        <v>0</v>
      </c>
      <c r="CT105" s="309">
        <f t="shared" si="110"/>
        <v>0</v>
      </c>
      <c r="CU105" s="309">
        <f t="shared" si="110"/>
        <v>0</v>
      </c>
      <c r="CV105" s="309">
        <f t="shared" si="110"/>
        <v>0</v>
      </c>
      <c r="CW105" s="309">
        <f t="shared" si="110"/>
        <v>0</v>
      </c>
      <c r="CX105" s="309">
        <f t="shared" ref="CX105:DV105" si="111">IF(CX$64&lt;=$B$29,MIN(CX$103,MAX(0,$B$24-CX$101)),0)</f>
        <v>0</v>
      </c>
      <c r="CY105" s="309">
        <f t="shared" si="111"/>
        <v>0</v>
      </c>
      <c r="CZ105" s="309">
        <f t="shared" si="111"/>
        <v>0</v>
      </c>
      <c r="DA105" s="309">
        <f t="shared" si="111"/>
        <v>0</v>
      </c>
      <c r="DB105" s="309">
        <f t="shared" si="111"/>
        <v>0</v>
      </c>
      <c r="DC105" s="309">
        <f t="shared" si="111"/>
        <v>0</v>
      </c>
      <c r="DD105" s="309">
        <f t="shared" si="111"/>
        <v>0</v>
      </c>
      <c r="DE105" s="309">
        <f t="shared" si="111"/>
        <v>0</v>
      </c>
      <c r="DF105" s="309">
        <f t="shared" si="111"/>
        <v>0</v>
      </c>
      <c r="DG105" s="309">
        <f t="shared" si="111"/>
        <v>0</v>
      </c>
      <c r="DH105" s="309">
        <f t="shared" si="111"/>
        <v>0</v>
      </c>
      <c r="DI105" s="309">
        <f t="shared" si="111"/>
        <v>0</v>
      </c>
      <c r="DJ105" s="309">
        <f t="shared" si="111"/>
        <v>0</v>
      </c>
      <c r="DK105" s="309">
        <f t="shared" si="111"/>
        <v>0</v>
      </c>
      <c r="DL105" s="309">
        <f t="shared" si="111"/>
        <v>0</v>
      </c>
      <c r="DM105" s="309">
        <f t="shared" si="111"/>
        <v>0</v>
      </c>
      <c r="DN105" s="309">
        <f t="shared" si="111"/>
        <v>0</v>
      </c>
      <c r="DO105" s="309">
        <f t="shared" si="111"/>
        <v>0</v>
      </c>
      <c r="DP105" s="309">
        <f t="shared" si="111"/>
        <v>0</v>
      </c>
      <c r="DQ105" s="309">
        <f t="shared" si="111"/>
        <v>0</v>
      </c>
      <c r="DR105" s="309">
        <f t="shared" si="111"/>
        <v>0</v>
      </c>
      <c r="DS105" s="309">
        <f t="shared" si="111"/>
        <v>0</v>
      </c>
      <c r="DT105" s="309">
        <f t="shared" si="111"/>
        <v>0</v>
      </c>
      <c r="DU105" s="309">
        <f t="shared" si="111"/>
        <v>0</v>
      </c>
      <c r="DV105" s="309">
        <f t="shared" si="111"/>
        <v>0</v>
      </c>
    </row>
    <row r="106" spans="1:126" ht="15" customHeight="1" x14ac:dyDescent="0.35">
      <c r="A106" s="307" t="s">
        <v>1552</v>
      </c>
      <c r="B106" s="308" t="s">
        <v>1370</v>
      </c>
      <c r="C106" s="1146" t="s">
        <v>1553</v>
      </c>
      <c r="D106" s="1147"/>
      <c r="F106" s="309">
        <f t="shared" ref="F106:AK106" si="112">F$105</f>
        <v>100000</v>
      </c>
      <c r="G106" s="309">
        <f t="shared" si="112"/>
        <v>94977.861549976529</v>
      </c>
      <c r="H106" s="309">
        <f t="shared" si="112"/>
        <v>101314.85744521015</v>
      </c>
      <c r="I106" s="309">
        <f t="shared" si="112"/>
        <v>66661.807595584396</v>
      </c>
      <c r="J106" s="309">
        <f t="shared" si="112"/>
        <v>79587.396576441432</v>
      </c>
      <c r="K106" s="309">
        <f t="shared" si="112"/>
        <v>90934.355225676583</v>
      </c>
      <c r="L106" s="309">
        <f t="shared" si="112"/>
        <v>113147.52355967704</v>
      </c>
      <c r="M106" s="309">
        <f t="shared" si="112"/>
        <v>138493.34610507754</v>
      </c>
      <c r="N106" s="309">
        <f t="shared" si="112"/>
        <v>154835.20745113603</v>
      </c>
      <c r="O106" s="309">
        <f t="shared" si="112"/>
        <v>36651.651856936514</v>
      </c>
      <c r="P106" s="309">
        <f t="shared" si="112"/>
        <v>0</v>
      </c>
      <c r="Q106" s="309">
        <f t="shared" si="112"/>
        <v>0</v>
      </c>
      <c r="R106" s="309">
        <f t="shared" si="112"/>
        <v>0</v>
      </c>
      <c r="S106" s="309">
        <f t="shared" si="112"/>
        <v>0</v>
      </c>
      <c r="T106" s="309">
        <f t="shared" si="112"/>
        <v>0</v>
      </c>
      <c r="U106" s="309">
        <f t="shared" si="112"/>
        <v>0</v>
      </c>
      <c r="V106" s="309">
        <f t="shared" si="112"/>
        <v>0</v>
      </c>
      <c r="W106" s="309">
        <f t="shared" si="112"/>
        <v>0</v>
      </c>
      <c r="X106" s="309">
        <f t="shared" si="112"/>
        <v>0</v>
      </c>
      <c r="Y106" s="309">
        <f t="shared" si="112"/>
        <v>0</v>
      </c>
      <c r="Z106" s="309">
        <f t="shared" si="112"/>
        <v>0</v>
      </c>
      <c r="AA106" s="309">
        <f t="shared" si="112"/>
        <v>0</v>
      </c>
      <c r="AB106" s="309">
        <f t="shared" si="112"/>
        <v>0</v>
      </c>
      <c r="AC106" s="309">
        <f t="shared" si="112"/>
        <v>0</v>
      </c>
      <c r="AD106" s="309">
        <f t="shared" si="112"/>
        <v>0</v>
      </c>
      <c r="AE106" s="309">
        <f t="shared" si="112"/>
        <v>0</v>
      </c>
      <c r="AF106" s="309">
        <f t="shared" si="112"/>
        <v>0</v>
      </c>
      <c r="AG106" s="309">
        <f t="shared" si="112"/>
        <v>0</v>
      </c>
      <c r="AH106" s="309">
        <f t="shared" si="112"/>
        <v>0</v>
      </c>
      <c r="AI106" s="309">
        <f t="shared" si="112"/>
        <v>0</v>
      </c>
      <c r="AJ106" s="309">
        <f t="shared" si="112"/>
        <v>0</v>
      </c>
      <c r="AK106" s="309">
        <f t="shared" si="112"/>
        <v>0</v>
      </c>
      <c r="AL106" s="309">
        <f t="shared" ref="AL106:BQ106" si="113">AL$105</f>
        <v>0</v>
      </c>
      <c r="AM106" s="309">
        <f t="shared" si="113"/>
        <v>0</v>
      </c>
      <c r="AN106" s="309">
        <f t="shared" si="113"/>
        <v>0</v>
      </c>
      <c r="AO106" s="309">
        <f t="shared" si="113"/>
        <v>0</v>
      </c>
      <c r="AP106" s="309">
        <f t="shared" si="113"/>
        <v>0</v>
      </c>
      <c r="AQ106" s="309">
        <f t="shared" si="113"/>
        <v>0</v>
      </c>
      <c r="AR106" s="309">
        <f t="shared" si="113"/>
        <v>0</v>
      </c>
      <c r="AS106" s="309">
        <f t="shared" si="113"/>
        <v>0</v>
      </c>
      <c r="AT106" s="309">
        <f t="shared" si="113"/>
        <v>0</v>
      </c>
      <c r="AU106" s="309">
        <f t="shared" si="113"/>
        <v>0</v>
      </c>
      <c r="AV106" s="309">
        <f t="shared" si="113"/>
        <v>0</v>
      </c>
      <c r="AW106" s="309">
        <f t="shared" si="113"/>
        <v>0</v>
      </c>
      <c r="AX106" s="309">
        <f t="shared" si="113"/>
        <v>0</v>
      </c>
      <c r="AY106" s="309">
        <f t="shared" si="113"/>
        <v>0</v>
      </c>
      <c r="AZ106" s="309">
        <f t="shared" si="113"/>
        <v>0</v>
      </c>
      <c r="BA106" s="309">
        <f t="shared" si="113"/>
        <v>0</v>
      </c>
      <c r="BB106" s="309">
        <f t="shared" si="113"/>
        <v>0</v>
      </c>
      <c r="BC106" s="309">
        <f t="shared" si="113"/>
        <v>0</v>
      </c>
      <c r="BD106" s="309">
        <f t="shared" si="113"/>
        <v>0</v>
      </c>
      <c r="BE106" s="309">
        <f t="shared" si="113"/>
        <v>0</v>
      </c>
      <c r="BF106" s="309">
        <f t="shared" si="113"/>
        <v>0</v>
      </c>
      <c r="BG106" s="309">
        <f t="shared" si="113"/>
        <v>0</v>
      </c>
      <c r="BH106" s="309">
        <f t="shared" si="113"/>
        <v>0</v>
      </c>
      <c r="BI106" s="309">
        <f t="shared" si="113"/>
        <v>0</v>
      </c>
      <c r="BJ106" s="309">
        <f t="shared" si="113"/>
        <v>0</v>
      </c>
      <c r="BK106" s="309">
        <f t="shared" si="113"/>
        <v>0</v>
      </c>
      <c r="BL106" s="309">
        <f t="shared" si="113"/>
        <v>0</v>
      </c>
      <c r="BM106" s="309">
        <f t="shared" si="113"/>
        <v>0</v>
      </c>
      <c r="BN106" s="309">
        <f t="shared" si="113"/>
        <v>0</v>
      </c>
      <c r="BO106" s="309">
        <f t="shared" si="113"/>
        <v>976604.00736571616</v>
      </c>
      <c r="BP106" s="309">
        <f t="shared" si="113"/>
        <v>0</v>
      </c>
      <c r="BQ106" s="309">
        <f t="shared" si="113"/>
        <v>0</v>
      </c>
      <c r="BR106" s="309">
        <f t="shared" ref="BR106:CW106" si="114">BR$105</f>
        <v>0</v>
      </c>
      <c r="BS106" s="309">
        <f t="shared" si="114"/>
        <v>0</v>
      </c>
      <c r="BT106" s="309">
        <f t="shared" si="114"/>
        <v>0</v>
      </c>
      <c r="BU106" s="309">
        <f t="shared" si="114"/>
        <v>0</v>
      </c>
      <c r="BV106" s="309">
        <f t="shared" si="114"/>
        <v>0</v>
      </c>
      <c r="BW106" s="309">
        <f t="shared" si="114"/>
        <v>0</v>
      </c>
      <c r="BX106" s="309">
        <f t="shared" si="114"/>
        <v>0</v>
      </c>
      <c r="BY106" s="309">
        <f t="shared" si="114"/>
        <v>0</v>
      </c>
      <c r="BZ106" s="309">
        <f t="shared" si="114"/>
        <v>0</v>
      </c>
      <c r="CA106" s="309">
        <f t="shared" si="114"/>
        <v>0</v>
      </c>
      <c r="CB106" s="309">
        <f t="shared" si="114"/>
        <v>0</v>
      </c>
      <c r="CC106" s="309">
        <f t="shared" si="114"/>
        <v>0</v>
      </c>
      <c r="CD106" s="309">
        <f t="shared" si="114"/>
        <v>0</v>
      </c>
      <c r="CE106" s="309">
        <f t="shared" si="114"/>
        <v>0</v>
      </c>
      <c r="CF106" s="309">
        <f t="shared" si="114"/>
        <v>0</v>
      </c>
      <c r="CG106" s="309">
        <f t="shared" si="114"/>
        <v>0</v>
      </c>
      <c r="CH106" s="309">
        <f t="shared" si="114"/>
        <v>0</v>
      </c>
      <c r="CI106" s="309">
        <f t="shared" si="114"/>
        <v>0</v>
      </c>
      <c r="CJ106" s="309">
        <f t="shared" si="114"/>
        <v>0</v>
      </c>
      <c r="CK106" s="309">
        <f t="shared" si="114"/>
        <v>0</v>
      </c>
      <c r="CL106" s="309">
        <f t="shared" si="114"/>
        <v>0</v>
      </c>
      <c r="CM106" s="309">
        <f t="shared" si="114"/>
        <v>0</v>
      </c>
      <c r="CN106" s="309">
        <f t="shared" si="114"/>
        <v>0</v>
      </c>
      <c r="CO106" s="309">
        <f t="shared" si="114"/>
        <v>0</v>
      </c>
      <c r="CP106" s="309">
        <f t="shared" si="114"/>
        <v>0</v>
      </c>
      <c r="CQ106" s="309">
        <f t="shared" si="114"/>
        <v>0</v>
      </c>
      <c r="CR106" s="309">
        <f t="shared" si="114"/>
        <v>0</v>
      </c>
      <c r="CS106" s="309">
        <f t="shared" si="114"/>
        <v>0</v>
      </c>
      <c r="CT106" s="309">
        <f t="shared" si="114"/>
        <v>0</v>
      </c>
      <c r="CU106" s="309">
        <f t="shared" si="114"/>
        <v>0</v>
      </c>
      <c r="CV106" s="309">
        <f t="shared" si="114"/>
        <v>0</v>
      </c>
      <c r="CW106" s="309">
        <f t="shared" si="114"/>
        <v>0</v>
      </c>
      <c r="CX106" s="309">
        <f t="shared" ref="CX106:DV106" si="115">CX$105</f>
        <v>0</v>
      </c>
      <c r="CY106" s="309">
        <f t="shared" si="115"/>
        <v>0</v>
      </c>
      <c r="CZ106" s="309">
        <f t="shared" si="115"/>
        <v>0</v>
      </c>
      <c r="DA106" s="309">
        <f t="shared" si="115"/>
        <v>0</v>
      </c>
      <c r="DB106" s="309">
        <f t="shared" si="115"/>
        <v>0</v>
      </c>
      <c r="DC106" s="309">
        <f t="shared" si="115"/>
        <v>0</v>
      </c>
      <c r="DD106" s="309">
        <f t="shared" si="115"/>
        <v>0</v>
      </c>
      <c r="DE106" s="309">
        <f t="shared" si="115"/>
        <v>0</v>
      </c>
      <c r="DF106" s="309">
        <f t="shared" si="115"/>
        <v>0</v>
      </c>
      <c r="DG106" s="309">
        <f t="shared" si="115"/>
        <v>0</v>
      </c>
      <c r="DH106" s="309">
        <f t="shared" si="115"/>
        <v>0</v>
      </c>
      <c r="DI106" s="309">
        <f t="shared" si="115"/>
        <v>0</v>
      </c>
      <c r="DJ106" s="309">
        <f t="shared" si="115"/>
        <v>0</v>
      </c>
      <c r="DK106" s="309">
        <f t="shared" si="115"/>
        <v>0</v>
      </c>
      <c r="DL106" s="309">
        <f t="shared" si="115"/>
        <v>0</v>
      </c>
      <c r="DM106" s="309">
        <f t="shared" si="115"/>
        <v>0</v>
      </c>
      <c r="DN106" s="309">
        <f t="shared" si="115"/>
        <v>0</v>
      </c>
      <c r="DO106" s="309">
        <f t="shared" si="115"/>
        <v>0</v>
      </c>
      <c r="DP106" s="309">
        <f t="shared" si="115"/>
        <v>0</v>
      </c>
      <c r="DQ106" s="309">
        <f t="shared" si="115"/>
        <v>0</v>
      </c>
      <c r="DR106" s="309">
        <f t="shared" si="115"/>
        <v>0</v>
      </c>
      <c r="DS106" s="309">
        <f t="shared" si="115"/>
        <v>0</v>
      </c>
      <c r="DT106" s="309">
        <f t="shared" si="115"/>
        <v>0</v>
      </c>
      <c r="DU106" s="309">
        <f t="shared" si="115"/>
        <v>0</v>
      </c>
      <c r="DV106" s="309">
        <f t="shared" si="115"/>
        <v>0</v>
      </c>
    </row>
    <row r="107" spans="1:126" ht="15" customHeight="1" x14ac:dyDescent="0.35">
      <c r="A107" s="307" t="s">
        <v>1554</v>
      </c>
      <c r="B107" s="308" t="s">
        <v>1370</v>
      </c>
      <c r="C107" s="1146" t="s">
        <v>1555</v>
      </c>
      <c r="D107" s="1147"/>
      <c r="F107" s="309">
        <f t="shared" ref="F107:AK107" si="116">IF(F$69=1,MAX(0,F$101+F$106),MIN(F$101+F$106,F$118+MAX(0,(E$153+F$144-F$108-F$109-F$84-F$86-F$88-F$123-F$124-F$125-F$126-F$127)+F$106-F$104)))</f>
        <v>0</v>
      </c>
      <c r="G107" s="309">
        <f t="shared" si="116"/>
        <v>0</v>
      </c>
      <c r="H107" s="309">
        <f t="shared" si="116"/>
        <v>0</v>
      </c>
      <c r="I107" s="309">
        <f t="shared" si="116"/>
        <v>0</v>
      </c>
      <c r="J107" s="309">
        <f t="shared" si="116"/>
        <v>0</v>
      </c>
      <c r="K107" s="309">
        <f t="shared" si="116"/>
        <v>0</v>
      </c>
      <c r="L107" s="309">
        <f t="shared" si="116"/>
        <v>0</v>
      </c>
      <c r="M107" s="309">
        <f t="shared" si="116"/>
        <v>0</v>
      </c>
      <c r="N107" s="309">
        <f t="shared" si="116"/>
        <v>0</v>
      </c>
      <c r="O107" s="309">
        <f t="shared" si="116"/>
        <v>0</v>
      </c>
      <c r="P107" s="309">
        <f t="shared" si="116"/>
        <v>0</v>
      </c>
      <c r="Q107" s="309">
        <f t="shared" si="116"/>
        <v>0</v>
      </c>
      <c r="R107" s="309">
        <f t="shared" si="116"/>
        <v>0</v>
      </c>
      <c r="S107" s="309">
        <f t="shared" si="116"/>
        <v>0</v>
      </c>
      <c r="T107" s="309">
        <f t="shared" si="116"/>
        <v>0</v>
      </c>
      <c r="U107" s="309">
        <f t="shared" si="116"/>
        <v>0</v>
      </c>
      <c r="V107" s="309">
        <f t="shared" si="116"/>
        <v>0</v>
      </c>
      <c r="W107" s="309">
        <f t="shared" si="116"/>
        <v>0</v>
      </c>
      <c r="X107" s="309">
        <f t="shared" si="116"/>
        <v>0</v>
      </c>
      <c r="Y107" s="309">
        <f t="shared" si="116"/>
        <v>0</v>
      </c>
      <c r="Z107" s="309">
        <f t="shared" si="116"/>
        <v>0</v>
      </c>
      <c r="AA107" s="309">
        <f t="shared" si="116"/>
        <v>0</v>
      </c>
      <c r="AB107" s="309">
        <f t="shared" si="116"/>
        <v>0</v>
      </c>
      <c r="AC107" s="309">
        <f t="shared" si="116"/>
        <v>0</v>
      </c>
      <c r="AD107" s="309">
        <f t="shared" si="116"/>
        <v>0</v>
      </c>
      <c r="AE107" s="309">
        <f t="shared" si="116"/>
        <v>0</v>
      </c>
      <c r="AF107" s="309">
        <f t="shared" si="116"/>
        <v>0</v>
      </c>
      <c r="AG107" s="309">
        <f t="shared" si="116"/>
        <v>0</v>
      </c>
      <c r="AH107" s="309">
        <f t="shared" si="116"/>
        <v>0</v>
      </c>
      <c r="AI107" s="309">
        <f t="shared" si="116"/>
        <v>0</v>
      </c>
      <c r="AJ107" s="309">
        <f t="shared" si="116"/>
        <v>0</v>
      </c>
      <c r="AK107" s="309">
        <f t="shared" si="116"/>
        <v>0</v>
      </c>
      <c r="AL107" s="309">
        <f t="shared" ref="AL107:BQ107" si="117">IF(AL$69=1,MAX(0,AL$101+AL$106),MIN(AL$101+AL$106,AL$118+MAX(0,(AK$153+AL$144-AL$108-AL$109-AL$84-AL$86-AL$88-AL$123-AL$124-AL$125-AL$126-AL$127)+AL$106-AL$104)))</f>
        <v>142319.23042675434</v>
      </c>
      <c r="AM107" s="309">
        <f t="shared" si="117"/>
        <v>22626.656068220036</v>
      </c>
      <c r="AN107" s="309">
        <f t="shared" si="117"/>
        <v>87528.529862892581</v>
      </c>
      <c r="AO107" s="309">
        <f t="shared" si="117"/>
        <v>55655.819882448763</v>
      </c>
      <c r="AP107" s="309">
        <f t="shared" si="117"/>
        <v>95985.497502655489</v>
      </c>
      <c r="AQ107" s="309">
        <f t="shared" si="117"/>
        <v>80468.23656612169</v>
      </c>
      <c r="AR107" s="309">
        <f t="shared" si="117"/>
        <v>241089.34028980252</v>
      </c>
      <c r="AS107" s="309">
        <f t="shared" si="117"/>
        <v>250930.69676682074</v>
      </c>
      <c r="AT107" s="309">
        <f t="shared" si="117"/>
        <v>0</v>
      </c>
      <c r="AU107" s="309">
        <f t="shared" si="117"/>
        <v>0</v>
      </c>
      <c r="AV107" s="309">
        <f t="shared" si="117"/>
        <v>0</v>
      </c>
      <c r="AW107" s="309">
        <f t="shared" si="117"/>
        <v>0</v>
      </c>
      <c r="AX107" s="309">
        <f t="shared" si="117"/>
        <v>0</v>
      </c>
      <c r="AY107" s="309">
        <f t="shared" si="117"/>
        <v>0</v>
      </c>
      <c r="AZ107" s="309">
        <f t="shared" si="117"/>
        <v>0</v>
      </c>
      <c r="BA107" s="309">
        <f t="shared" si="117"/>
        <v>0</v>
      </c>
      <c r="BB107" s="309">
        <f t="shared" si="117"/>
        <v>0</v>
      </c>
      <c r="BC107" s="309">
        <f t="shared" si="117"/>
        <v>0</v>
      </c>
      <c r="BD107" s="309">
        <f t="shared" si="117"/>
        <v>0</v>
      </c>
      <c r="BE107" s="309">
        <f t="shared" si="117"/>
        <v>0</v>
      </c>
      <c r="BF107" s="309">
        <f t="shared" si="117"/>
        <v>0</v>
      </c>
      <c r="BG107" s="309">
        <f t="shared" si="117"/>
        <v>0</v>
      </c>
      <c r="BH107" s="309">
        <f t="shared" si="117"/>
        <v>0</v>
      </c>
      <c r="BI107" s="309">
        <f t="shared" si="117"/>
        <v>0</v>
      </c>
      <c r="BJ107" s="309">
        <f t="shared" si="117"/>
        <v>0</v>
      </c>
      <c r="BK107" s="309">
        <f t="shared" si="117"/>
        <v>0</v>
      </c>
      <c r="BL107" s="309">
        <f t="shared" si="117"/>
        <v>0</v>
      </c>
      <c r="BM107" s="309">
        <f t="shared" si="117"/>
        <v>0</v>
      </c>
      <c r="BN107" s="309">
        <f t="shared" si="117"/>
        <v>0</v>
      </c>
      <c r="BO107" s="309">
        <f t="shared" si="117"/>
        <v>0</v>
      </c>
      <c r="BP107" s="309">
        <f t="shared" si="117"/>
        <v>976604.00736571616</v>
      </c>
      <c r="BQ107" s="309">
        <f t="shared" si="117"/>
        <v>0</v>
      </c>
      <c r="BR107" s="309">
        <f t="shared" ref="BR107:CW107" si="118">IF(BR$69=1,MAX(0,BR$101+BR$106),MIN(BR$101+BR$106,BR$118+MAX(0,(BQ$153+BR$144-BR$108-BR$109-BR$84-BR$86-BR$88-BR$123-BR$124-BR$125-BR$126-BR$127)+BR$106-BR$104)))</f>
        <v>0</v>
      </c>
      <c r="BS107" s="309">
        <f t="shared" si="118"/>
        <v>0</v>
      </c>
      <c r="BT107" s="309">
        <f t="shared" si="118"/>
        <v>0</v>
      </c>
      <c r="BU107" s="309">
        <f t="shared" si="118"/>
        <v>0</v>
      </c>
      <c r="BV107" s="309">
        <f t="shared" si="118"/>
        <v>0</v>
      </c>
      <c r="BW107" s="309">
        <f t="shared" si="118"/>
        <v>0</v>
      </c>
      <c r="BX107" s="309">
        <f t="shared" si="118"/>
        <v>0</v>
      </c>
      <c r="BY107" s="309">
        <f t="shared" si="118"/>
        <v>0</v>
      </c>
      <c r="BZ107" s="309">
        <f t="shared" si="118"/>
        <v>0</v>
      </c>
      <c r="CA107" s="309">
        <f t="shared" si="118"/>
        <v>0</v>
      </c>
      <c r="CB107" s="309">
        <f t="shared" si="118"/>
        <v>0</v>
      </c>
      <c r="CC107" s="309">
        <f t="shared" si="118"/>
        <v>0</v>
      </c>
      <c r="CD107" s="309">
        <f t="shared" si="118"/>
        <v>0</v>
      </c>
      <c r="CE107" s="309">
        <f t="shared" si="118"/>
        <v>0</v>
      </c>
      <c r="CF107" s="309">
        <f t="shared" si="118"/>
        <v>0</v>
      </c>
      <c r="CG107" s="309">
        <f t="shared" si="118"/>
        <v>0</v>
      </c>
      <c r="CH107" s="309">
        <f t="shared" si="118"/>
        <v>0</v>
      </c>
      <c r="CI107" s="309">
        <f t="shared" si="118"/>
        <v>0</v>
      </c>
      <c r="CJ107" s="309">
        <f t="shared" si="118"/>
        <v>0</v>
      </c>
      <c r="CK107" s="309">
        <f t="shared" si="118"/>
        <v>0</v>
      </c>
      <c r="CL107" s="309">
        <f t="shared" si="118"/>
        <v>0</v>
      </c>
      <c r="CM107" s="309">
        <f t="shared" si="118"/>
        <v>0</v>
      </c>
      <c r="CN107" s="309">
        <f t="shared" si="118"/>
        <v>0</v>
      </c>
      <c r="CO107" s="309">
        <f t="shared" si="118"/>
        <v>0</v>
      </c>
      <c r="CP107" s="309">
        <f t="shared" si="118"/>
        <v>0</v>
      </c>
      <c r="CQ107" s="309">
        <f t="shared" si="118"/>
        <v>0</v>
      </c>
      <c r="CR107" s="309">
        <f t="shared" si="118"/>
        <v>0</v>
      </c>
      <c r="CS107" s="309">
        <f t="shared" si="118"/>
        <v>0</v>
      </c>
      <c r="CT107" s="309">
        <f t="shared" si="118"/>
        <v>0</v>
      </c>
      <c r="CU107" s="309">
        <f t="shared" si="118"/>
        <v>0</v>
      </c>
      <c r="CV107" s="309">
        <f t="shared" si="118"/>
        <v>0</v>
      </c>
      <c r="CW107" s="309">
        <f t="shared" si="118"/>
        <v>0</v>
      </c>
      <c r="CX107" s="309">
        <f t="shared" ref="CX107:DV107" si="119">IF(CX$69=1,MAX(0,CX$101+CX$106),MIN(CX$101+CX$106,CX$118+MAX(0,(CW$153+CX$144-CX$108-CX$109-CX$84-CX$86-CX$88-CX$123-CX$124-CX$125-CX$126-CX$127)+CX$106-CX$104)))</f>
        <v>0</v>
      </c>
      <c r="CY107" s="309">
        <f t="shared" si="119"/>
        <v>0</v>
      </c>
      <c r="CZ107" s="309">
        <f t="shared" si="119"/>
        <v>0</v>
      </c>
      <c r="DA107" s="309">
        <f t="shared" si="119"/>
        <v>0</v>
      </c>
      <c r="DB107" s="309">
        <f t="shared" si="119"/>
        <v>0</v>
      </c>
      <c r="DC107" s="309">
        <f t="shared" si="119"/>
        <v>0</v>
      </c>
      <c r="DD107" s="309">
        <f t="shared" si="119"/>
        <v>0</v>
      </c>
      <c r="DE107" s="309">
        <f t="shared" si="119"/>
        <v>0</v>
      </c>
      <c r="DF107" s="309">
        <f t="shared" si="119"/>
        <v>0</v>
      </c>
      <c r="DG107" s="309">
        <f t="shared" si="119"/>
        <v>0</v>
      </c>
      <c r="DH107" s="309">
        <f t="shared" si="119"/>
        <v>0</v>
      </c>
      <c r="DI107" s="309">
        <f t="shared" si="119"/>
        <v>0</v>
      </c>
      <c r="DJ107" s="309">
        <f t="shared" si="119"/>
        <v>0</v>
      </c>
      <c r="DK107" s="309">
        <f t="shared" si="119"/>
        <v>0</v>
      </c>
      <c r="DL107" s="309">
        <f t="shared" si="119"/>
        <v>0</v>
      </c>
      <c r="DM107" s="309">
        <f t="shared" si="119"/>
        <v>0</v>
      </c>
      <c r="DN107" s="309">
        <f t="shared" si="119"/>
        <v>0</v>
      </c>
      <c r="DO107" s="309">
        <f t="shared" si="119"/>
        <v>0</v>
      </c>
      <c r="DP107" s="309">
        <f t="shared" si="119"/>
        <v>0</v>
      </c>
      <c r="DQ107" s="309">
        <f t="shared" si="119"/>
        <v>0</v>
      </c>
      <c r="DR107" s="309">
        <f t="shared" si="119"/>
        <v>0</v>
      </c>
      <c r="DS107" s="309">
        <f t="shared" si="119"/>
        <v>0</v>
      </c>
      <c r="DT107" s="309">
        <f t="shared" si="119"/>
        <v>0</v>
      </c>
      <c r="DU107" s="309">
        <f t="shared" si="119"/>
        <v>0</v>
      </c>
      <c r="DV107" s="309">
        <f t="shared" si="119"/>
        <v>0</v>
      </c>
    </row>
    <row r="108" spans="1:126" ht="15" customHeight="1" x14ac:dyDescent="0.35">
      <c r="A108" s="307" t="s">
        <v>1556</v>
      </c>
      <c r="B108" s="308" t="s">
        <v>1370</v>
      </c>
      <c r="C108" s="1146" t="s">
        <v>1557</v>
      </c>
      <c r="D108" s="1147"/>
      <c r="F108" s="309">
        <f t="shared" ref="F108:AK108" si="120">F$101*MAX(0,$B$25+$B$26+INDEX($M$31:$M$33,MATCH($B$6,$J$31:$J$33,0)))*F$65/$B$17</f>
        <v>0</v>
      </c>
      <c r="G108" s="309">
        <f t="shared" si="120"/>
        <v>552.05479452054794</v>
      </c>
      <c r="H108" s="309">
        <f t="shared" si="120"/>
        <v>1076.3846329402813</v>
      </c>
      <c r="I108" s="309">
        <f t="shared" si="120"/>
        <v>1582.9337042208601</v>
      </c>
      <c r="J108" s="309">
        <f t="shared" si="120"/>
        <v>2003.7078659737087</v>
      </c>
      <c r="K108" s="309">
        <f t="shared" si="120"/>
        <v>2364.2650689755187</v>
      </c>
      <c r="L108" s="309">
        <f t="shared" si="120"/>
        <v>2945.0813724977302</v>
      </c>
      <c r="M108" s="309">
        <f t="shared" si="120"/>
        <v>3569.717701190194</v>
      </c>
      <c r="N108" s="309">
        <f t="shared" si="120"/>
        <v>3914.8307108627714</v>
      </c>
      <c r="O108" s="309">
        <f t="shared" si="120"/>
        <v>5189.0520447950439</v>
      </c>
      <c r="P108" s="309">
        <f t="shared" si="120"/>
        <v>5217.4734640086208</v>
      </c>
      <c r="Q108" s="309">
        <f t="shared" si="120"/>
        <v>5391.389246142242</v>
      </c>
      <c r="R108" s="309">
        <f t="shared" si="120"/>
        <v>5217.4734640086208</v>
      </c>
      <c r="S108" s="309">
        <f t="shared" si="120"/>
        <v>5391.389246142242</v>
      </c>
      <c r="T108" s="309">
        <f t="shared" si="120"/>
        <v>5391.389246142242</v>
      </c>
      <c r="U108" s="309">
        <f t="shared" si="120"/>
        <v>5217.4734640086208</v>
      </c>
      <c r="V108" s="309">
        <f t="shared" si="120"/>
        <v>5391.389246142242</v>
      </c>
      <c r="W108" s="309">
        <f t="shared" si="120"/>
        <v>5217.4734640086208</v>
      </c>
      <c r="X108" s="309">
        <f t="shared" si="120"/>
        <v>5391.389246142242</v>
      </c>
      <c r="Y108" s="309">
        <f t="shared" si="120"/>
        <v>5391.389246142242</v>
      </c>
      <c r="Z108" s="309">
        <f t="shared" si="120"/>
        <v>5043.5576818750005</v>
      </c>
      <c r="AA108" s="309">
        <f t="shared" si="120"/>
        <v>5391.389246142242</v>
      </c>
      <c r="AB108" s="309">
        <f t="shared" si="120"/>
        <v>5217.4734640086208</v>
      </c>
      <c r="AC108" s="309">
        <f t="shared" si="120"/>
        <v>5391.389246142242</v>
      </c>
      <c r="AD108" s="309">
        <f t="shared" si="120"/>
        <v>5217.4734640086208</v>
      </c>
      <c r="AE108" s="309">
        <f t="shared" si="120"/>
        <v>5391.389246142242</v>
      </c>
      <c r="AF108" s="309">
        <f t="shared" si="120"/>
        <v>5391.389246142242</v>
      </c>
      <c r="AG108" s="309">
        <f t="shared" si="120"/>
        <v>5217.4734640086208</v>
      </c>
      <c r="AH108" s="309">
        <f t="shared" si="120"/>
        <v>5391.389246142242</v>
      </c>
      <c r="AI108" s="309">
        <f t="shared" si="120"/>
        <v>5217.4734640086208</v>
      </c>
      <c r="AJ108" s="309">
        <f t="shared" si="120"/>
        <v>5391.389246142242</v>
      </c>
      <c r="AK108" s="309">
        <f t="shared" si="120"/>
        <v>5391.389246142242</v>
      </c>
      <c r="AL108" s="309">
        <f t="shared" ref="AL108:BQ108" si="121">AL$101*MAX(0,$B$25+$B$26+INDEX($M$31:$M$33,MATCH($B$6,$J$31:$J$33,0)))*AL$65/$B$17</f>
        <v>4869.6418997413793</v>
      </c>
      <c r="AM108" s="309">
        <f t="shared" si="121"/>
        <v>4605.7091110465981</v>
      </c>
      <c r="AN108" s="309">
        <f t="shared" si="121"/>
        <v>4336.2557142409487</v>
      </c>
      <c r="AO108" s="309">
        <f t="shared" si="121"/>
        <v>3997.5921257008663</v>
      </c>
      <c r="AP108" s="309">
        <f t="shared" si="121"/>
        <v>3571.2982293000846</v>
      </c>
      <c r="AQ108" s="309">
        <f t="shared" si="121"/>
        <v>3160.4489626022769</v>
      </c>
      <c r="AR108" s="309">
        <f t="shared" si="121"/>
        <v>2716.2202045728654</v>
      </c>
      <c r="AS108" s="309">
        <f t="shared" si="121"/>
        <v>1340.5886539597273</v>
      </c>
      <c r="AT108" s="309">
        <f t="shared" si="121"/>
        <v>0</v>
      </c>
      <c r="AU108" s="309">
        <f t="shared" si="121"/>
        <v>0</v>
      </c>
      <c r="AV108" s="309">
        <f t="shared" si="121"/>
        <v>0</v>
      </c>
      <c r="AW108" s="309">
        <f t="shared" si="121"/>
        <v>0</v>
      </c>
      <c r="AX108" s="309">
        <f t="shared" si="121"/>
        <v>0</v>
      </c>
      <c r="AY108" s="309">
        <f t="shared" si="121"/>
        <v>0</v>
      </c>
      <c r="AZ108" s="309">
        <f t="shared" si="121"/>
        <v>0</v>
      </c>
      <c r="BA108" s="309">
        <f t="shared" si="121"/>
        <v>0</v>
      </c>
      <c r="BB108" s="309">
        <f t="shared" si="121"/>
        <v>0</v>
      </c>
      <c r="BC108" s="309">
        <f t="shared" si="121"/>
        <v>0</v>
      </c>
      <c r="BD108" s="309">
        <f t="shared" si="121"/>
        <v>0</v>
      </c>
      <c r="BE108" s="309">
        <f t="shared" si="121"/>
        <v>0</v>
      </c>
      <c r="BF108" s="309">
        <f t="shared" si="121"/>
        <v>0</v>
      </c>
      <c r="BG108" s="309">
        <f t="shared" si="121"/>
        <v>0</v>
      </c>
      <c r="BH108" s="309">
        <f t="shared" si="121"/>
        <v>0</v>
      </c>
      <c r="BI108" s="309">
        <f t="shared" si="121"/>
        <v>0</v>
      </c>
      <c r="BJ108" s="309">
        <f t="shared" si="121"/>
        <v>0</v>
      </c>
      <c r="BK108" s="309">
        <f t="shared" si="121"/>
        <v>0</v>
      </c>
      <c r="BL108" s="309">
        <f t="shared" si="121"/>
        <v>0</v>
      </c>
      <c r="BM108" s="309">
        <f t="shared" si="121"/>
        <v>0</v>
      </c>
      <c r="BN108" s="309">
        <f t="shared" si="121"/>
        <v>0</v>
      </c>
      <c r="BO108" s="309">
        <f t="shared" si="121"/>
        <v>0</v>
      </c>
      <c r="BP108" s="309">
        <f t="shared" si="121"/>
        <v>5391.389246142242</v>
      </c>
      <c r="BQ108" s="309">
        <f t="shared" si="121"/>
        <v>0</v>
      </c>
      <c r="BR108" s="309">
        <f t="shared" ref="BR108:CW108" si="122">BR$101*MAX(0,$B$25+$B$26+INDEX($M$31:$M$33,MATCH($B$6,$J$31:$J$33,0)))*BR$65/$B$17</f>
        <v>0</v>
      </c>
      <c r="BS108" s="309">
        <f t="shared" si="122"/>
        <v>0</v>
      </c>
      <c r="BT108" s="309">
        <f t="shared" si="122"/>
        <v>0</v>
      </c>
      <c r="BU108" s="309">
        <f t="shared" si="122"/>
        <v>0</v>
      </c>
      <c r="BV108" s="309">
        <f t="shared" si="122"/>
        <v>0</v>
      </c>
      <c r="BW108" s="309">
        <f t="shared" si="122"/>
        <v>0</v>
      </c>
      <c r="BX108" s="309">
        <f t="shared" si="122"/>
        <v>0</v>
      </c>
      <c r="BY108" s="309">
        <f t="shared" si="122"/>
        <v>0</v>
      </c>
      <c r="BZ108" s="309">
        <f t="shared" si="122"/>
        <v>0</v>
      </c>
      <c r="CA108" s="309">
        <f t="shared" si="122"/>
        <v>0</v>
      </c>
      <c r="CB108" s="309">
        <f t="shared" si="122"/>
        <v>0</v>
      </c>
      <c r="CC108" s="309">
        <f t="shared" si="122"/>
        <v>0</v>
      </c>
      <c r="CD108" s="309">
        <f t="shared" si="122"/>
        <v>0</v>
      </c>
      <c r="CE108" s="309">
        <f t="shared" si="122"/>
        <v>0</v>
      </c>
      <c r="CF108" s="309">
        <f t="shared" si="122"/>
        <v>0</v>
      </c>
      <c r="CG108" s="309">
        <f t="shared" si="122"/>
        <v>0</v>
      </c>
      <c r="CH108" s="309">
        <f t="shared" si="122"/>
        <v>0</v>
      </c>
      <c r="CI108" s="309">
        <f t="shared" si="122"/>
        <v>0</v>
      </c>
      <c r="CJ108" s="309">
        <f t="shared" si="122"/>
        <v>0</v>
      </c>
      <c r="CK108" s="309">
        <f t="shared" si="122"/>
        <v>0</v>
      </c>
      <c r="CL108" s="309">
        <f t="shared" si="122"/>
        <v>0</v>
      </c>
      <c r="CM108" s="309">
        <f t="shared" si="122"/>
        <v>0</v>
      </c>
      <c r="CN108" s="309">
        <f t="shared" si="122"/>
        <v>0</v>
      </c>
      <c r="CO108" s="309">
        <f t="shared" si="122"/>
        <v>0</v>
      </c>
      <c r="CP108" s="309">
        <f t="shared" si="122"/>
        <v>0</v>
      </c>
      <c r="CQ108" s="309">
        <f t="shared" si="122"/>
        <v>0</v>
      </c>
      <c r="CR108" s="309">
        <f t="shared" si="122"/>
        <v>0</v>
      </c>
      <c r="CS108" s="309">
        <f t="shared" si="122"/>
        <v>0</v>
      </c>
      <c r="CT108" s="309">
        <f t="shared" si="122"/>
        <v>0</v>
      </c>
      <c r="CU108" s="309">
        <f t="shared" si="122"/>
        <v>0</v>
      </c>
      <c r="CV108" s="309">
        <f t="shared" si="122"/>
        <v>0</v>
      </c>
      <c r="CW108" s="309">
        <f t="shared" si="122"/>
        <v>0</v>
      </c>
      <c r="CX108" s="309">
        <f t="shared" ref="CX108:DV108" si="123">CX$101*MAX(0,$B$25+$B$26+INDEX($M$31:$M$33,MATCH($B$6,$J$31:$J$33,0)))*CX$65/$B$17</f>
        <v>0</v>
      </c>
      <c r="CY108" s="309">
        <f t="shared" si="123"/>
        <v>0</v>
      </c>
      <c r="CZ108" s="309">
        <f t="shared" si="123"/>
        <v>0</v>
      </c>
      <c r="DA108" s="309">
        <f t="shared" si="123"/>
        <v>0</v>
      </c>
      <c r="DB108" s="309">
        <f t="shared" si="123"/>
        <v>0</v>
      </c>
      <c r="DC108" s="309">
        <f t="shared" si="123"/>
        <v>0</v>
      </c>
      <c r="DD108" s="309">
        <f t="shared" si="123"/>
        <v>0</v>
      </c>
      <c r="DE108" s="309">
        <f t="shared" si="123"/>
        <v>0</v>
      </c>
      <c r="DF108" s="309">
        <f t="shared" si="123"/>
        <v>0</v>
      </c>
      <c r="DG108" s="309">
        <f t="shared" si="123"/>
        <v>0</v>
      </c>
      <c r="DH108" s="309">
        <f t="shared" si="123"/>
        <v>0</v>
      </c>
      <c r="DI108" s="309">
        <f t="shared" si="123"/>
        <v>0</v>
      </c>
      <c r="DJ108" s="309">
        <f t="shared" si="123"/>
        <v>0</v>
      </c>
      <c r="DK108" s="309">
        <f t="shared" si="123"/>
        <v>0</v>
      </c>
      <c r="DL108" s="309">
        <f t="shared" si="123"/>
        <v>0</v>
      </c>
      <c r="DM108" s="309">
        <f t="shared" si="123"/>
        <v>0</v>
      </c>
      <c r="DN108" s="309">
        <f t="shared" si="123"/>
        <v>0</v>
      </c>
      <c r="DO108" s="309">
        <f t="shared" si="123"/>
        <v>0</v>
      </c>
      <c r="DP108" s="309">
        <f t="shared" si="123"/>
        <v>0</v>
      </c>
      <c r="DQ108" s="309">
        <f t="shared" si="123"/>
        <v>0</v>
      </c>
      <c r="DR108" s="309">
        <f t="shared" si="123"/>
        <v>0</v>
      </c>
      <c r="DS108" s="309">
        <f t="shared" si="123"/>
        <v>0</v>
      </c>
      <c r="DT108" s="309">
        <f t="shared" si="123"/>
        <v>0</v>
      </c>
      <c r="DU108" s="309">
        <f t="shared" si="123"/>
        <v>0</v>
      </c>
      <c r="DV108" s="309">
        <f t="shared" si="123"/>
        <v>0</v>
      </c>
    </row>
    <row r="109" spans="1:126" ht="15" customHeight="1" x14ac:dyDescent="0.35">
      <c r="A109" s="307" t="s">
        <v>1558</v>
      </c>
      <c r="B109" s="308" t="s">
        <v>1370</v>
      </c>
      <c r="C109" s="1146" t="s">
        <v>1422</v>
      </c>
      <c r="D109" s="1147"/>
      <c r="F109" s="309">
        <f t="shared" ref="F109:AK109" si="124">MAX(0,$B$24-F$101)*$B$28*F$65/$B$17</f>
        <v>0</v>
      </c>
      <c r="G109" s="309">
        <f t="shared" si="124"/>
        <v>0</v>
      </c>
      <c r="H109" s="309">
        <f t="shared" si="124"/>
        <v>0</v>
      </c>
      <c r="I109" s="309">
        <f t="shared" si="124"/>
        <v>0</v>
      </c>
      <c r="J109" s="309">
        <f t="shared" si="124"/>
        <v>0</v>
      </c>
      <c r="K109" s="309">
        <f t="shared" si="124"/>
        <v>0</v>
      </c>
      <c r="L109" s="309">
        <f t="shared" si="124"/>
        <v>0</v>
      </c>
      <c r="M109" s="309">
        <f t="shared" si="124"/>
        <v>0</v>
      </c>
      <c r="N109" s="309">
        <f t="shared" si="124"/>
        <v>0</v>
      </c>
      <c r="O109" s="309">
        <f t="shared" si="124"/>
        <v>0</v>
      </c>
      <c r="P109" s="309">
        <f t="shared" si="124"/>
        <v>0</v>
      </c>
      <c r="Q109" s="309">
        <f t="shared" si="124"/>
        <v>0</v>
      </c>
      <c r="R109" s="309">
        <f t="shared" si="124"/>
        <v>0</v>
      </c>
      <c r="S109" s="309">
        <f t="shared" si="124"/>
        <v>0</v>
      </c>
      <c r="T109" s="309">
        <f t="shared" si="124"/>
        <v>0</v>
      </c>
      <c r="U109" s="309">
        <f t="shared" si="124"/>
        <v>0</v>
      </c>
      <c r="V109" s="309">
        <f t="shared" si="124"/>
        <v>0</v>
      </c>
      <c r="W109" s="309">
        <f t="shared" si="124"/>
        <v>0</v>
      </c>
      <c r="X109" s="309">
        <f t="shared" si="124"/>
        <v>0</v>
      </c>
      <c r="Y109" s="309">
        <f t="shared" si="124"/>
        <v>0</v>
      </c>
      <c r="Z109" s="309">
        <f t="shared" si="124"/>
        <v>0</v>
      </c>
      <c r="AA109" s="309">
        <f t="shared" si="124"/>
        <v>0</v>
      </c>
      <c r="AB109" s="309">
        <f t="shared" si="124"/>
        <v>0</v>
      </c>
      <c r="AC109" s="309">
        <f t="shared" si="124"/>
        <v>0</v>
      </c>
      <c r="AD109" s="309">
        <f t="shared" si="124"/>
        <v>0</v>
      </c>
      <c r="AE109" s="309">
        <f t="shared" si="124"/>
        <v>0</v>
      </c>
      <c r="AF109" s="309">
        <f t="shared" si="124"/>
        <v>0</v>
      </c>
      <c r="AG109" s="309">
        <f t="shared" si="124"/>
        <v>0</v>
      </c>
      <c r="AH109" s="309">
        <f t="shared" si="124"/>
        <v>0</v>
      </c>
      <c r="AI109" s="309">
        <f t="shared" si="124"/>
        <v>0</v>
      </c>
      <c r="AJ109" s="309">
        <f t="shared" si="124"/>
        <v>0</v>
      </c>
      <c r="AK109" s="309">
        <f t="shared" si="124"/>
        <v>0</v>
      </c>
      <c r="AL109" s="309">
        <f t="shared" ref="AL109:BQ109" si="125">MAX(0,$B$24-AL$101)*$B$28*AL$65/$B$17</f>
        <v>0</v>
      </c>
      <c r="AM109" s="309">
        <f t="shared" si="125"/>
        <v>0</v>
      </c>
      <c r="AN109" s="309">
        <f t="shared" si="125"/>
        <v>0</v>
      </c>
      <c r="AO109" s="309">
        <f t="shared" si="125"/>
        <v>0</v>
      </c>
      <c r="AP109" s="309">
        <f t="shared" si="125"/>
        <v>0</v>
      </c>
      <c r="AQ109" s="309">
        <f t="shared" si="125"/>
        <v>0</v>
      </c>
      <c r="AR109" s="309">
        <f t="shared" si="125"/>
        <v>0</v>
      </c>
      <c r="AS109" s="309">
        <f t="shared" si="125"/>
        <v>0</v>
      </c>
      <c r="AT109" s="309">
        <f t="shared" si="125"/>
        <v>0</v>
      </c>
      <c r="AU109" s="309">
        <f t="shared" si="125"/>
        <v>0</v>
      </c>
      <c r="AV109" s="309">
        <f t="shared" si="125"/>
        <v>0</v>
      </c>
      <c r="AW109" s="309">
        <f t="shared" si="125"/>
        <v>0</v>
      </c>
      <c r="AX109" s="309">
        <f t="shared" si="125"/>
        <v>0</v>
      </c>
      <c r="AY109" s="309">
        <f t="shared" si="125"/>
        <v>0</v>
      </c>
      <c r="AZ109" s="309">
        <f t="shared" si="125"/>
        <v>0</v>
      </c>
      <c r="BA109" s="309">
        <f t="shared" si="125"/>
        <v>0</v>
      </c>
      <c r="BB109" s="309">
        <f t="shared" si="125"/>
        <v>0</v>
      </c>
      <c r="BC109" s="309">
        <f t="shared" si="125"/>
        <v>0</v>
      </c>
      <c r="BD109" s="309">
        <f t="shared" si="125"/>
        <v>0</v>
      </c>
      <c r="BE109" s="309">
        <f t="shared" si="125"/>
        <v>0</v>
      </c>
      <c r="BF109" s="309">
        <f t="shared" si="125"/>
        <v>0</v>
      </c>
      <c r="BG109" s="309">
        <f t="shared" si="125"/>
        <v>0</v>
      </c>
      <c r="BH109" s="309">
        <f t="shared" si="125"/>
        <v>0</v>
      </c>
      <c r="BI109" s="309">
        <f t="shared" si="125"/>
        <v>0</v>
      </c>
      <c r="BJ109" s="309">
        <f t="shared" si="125"/>
        <v>0</v>
      </c>
      <c r="BK109" s="309">
        <f t="shared" si="125"/>
        <v>0</v>
      </c>
      <c r="BL109" s="309">
        <f t="shared" si="125"/>
        <v>0</v>
      </c>
      <c r="BM109" s="309">
        <f t="shared" si="125"/>
        <v>0</v>
      </c>
      <c r="BN109" s="309">
        <f t="shared" si="125"/>
        <v>0</v>
      </c>
      <c r="BO109" s="309">
        <f t="shared" si="125"/>
        <v>0</v>
      </c>
      <c r="BP109" s="309">
        <f t="shared" si="125"/>
        <v>0</v>
      </c>
      <c r="BQ109" s="309">
        <f t="shared" si="125"/>
        <v>0</v>
      </c>
      <c r="BR109" s="309">
        <f t="shared" ref="BR109:CW109" si="126">MAX(0,$B$24-BR$101)*$B$28*BR$65/$B$17</f>
        <v>0</v>
      </c>
      <c r="BS109" s="309">
        <f t="shared" si="126"/>
        <v>0</v>
      </c>
      <c r="BT109" s="309">
        <f t="shared" si="126"/>
        <v>0</v>
      </c>
      <c r="BU109" s="309">
        <f t="shared" si="126"/>
        <v>0</v>
      </c>
      <c r="BV109" s="309">
        <f t="shared" si="126"/>
        <v>0</v>
      </c>
      <c r="BW109" s="309">
        <f t="shared" si="126"/>
        <v>0</v>
      </c>
      <c r="BX109" s="309">
        <f t="shared" si="126"/>
        <v>0</v>
      </c>
      <c r="BY109" s="309">
        <f t="shared" si="126"/>
        <v>0</v>
      </c>
      <c r="BZ109" s="309">
        <f t="shared" si="126"/>
        <v>0</v>
      </c>
      <c r="CA109" s="309">
        <f t="shared" si="126"/>
        <v>0</v>
      </c>
      <c r="CB109" s="309">
        <f t="shared" si="126"/>
        <v>0</v>
      </c>
      <c r="CC109" s="309">
        <f t="shared" si="126"/>
        <v>0</v>
      </c>
      <c r="CD109" s="309">
        <f t="shared" si="126"/>
        <v>0</v>
      </c>
      <c r="CE109" s="309">
        <f t="shared" si="126"/>
        <v>0</v>
      </c>
      <c r="CF109" s="309">
        <f t="shared" si="126"/>
        <v>0</v>
      </c>
      <c r="CG109" s="309">
        <f t="shared" si="126"/>
        <v>0</v>
      </c>
      <c r="CH109" s="309">
        <f t="shared" si="126"/>
        <v>0</v>
      </c>
      <c r="CI109" s="309">
        <f t="shared" si="126"/>
        <v>0</v>
      </c>
      <c r="CJ109" s="309">
        <f t="shared" si="126"/>
        <v>0</v>
      </c>
      <c r="CK109" s="309">
        <f t="shared" si="126"/>
        <v>0</v>
      </c>
      <c r="CL109" s="309">
        <f t="shared" si="126"/>
        <v>0</v>
      </c>
      <c r="CM109" s="309">
        <f t="shared" si="126"/>
        <v>0</v>
      </c>
      <c r="CN109" s="309">
        <f t="shared" si="126"/>
        <v>0</v>
      </c>
      <c r="CO109" s="309">
        <f t="shared" si="126"/>
        <v>0</v>
      </c>
      <c r="CP109" s="309">
        <f t="shared" si="126"/>
        <v>0</v>
      </c>
      <c r="CQ109" s="309">
        <f t="shared" si="126"/>
        <v>0</v>
      </c>
      <c r="CR109" s="309">
        <f t="shared" si="126"/>
        <v>0</v>
      </c>
      <c r="CS109" s="309">
        <f t="shared" si="126"/>
        <v>0</v>
      </c>
      <c r="CT109" s="309">
        <f t="shared" si="126"/>
        <v>0</v>
      </c>
      <c r="CU109" s="309">
        <f t="shared" si="126"/>
        <v>0</v>
      </c>
      <c r="CV109" s="309">
        <f t="shared" si="126"/>
        <v>0</v>
      </c>
      <c r="CW109" s="309">
        <f t="shared" si="126"/>
        <v>0</v>
      </c>
      <c r="CX109" s="309">
        <f t="shared" ref="CX109:DV109" si="127">MAX(0,$B$24-CX$101)*$B$28*CX$65/$B$17</f>
        <v>0</v>
      </c>
      <c r="CY109" s="309">
        <f t="shared" si="127"/>
        <v>0</v>
      </c>
      <c r="CZ109" s="309">
        <f t="shared" si="127"/>
        <v>0</v>
      </c>
      <c r="DA109" s="309">
        <f t="shared" si="127"/>
        <v>0</v>
      </c>
      <c r="DB109" s="309">
        <f t="shared" si="127"/>
        <v>0</v>
      </c>
      <c r="DC109" s="309">
        <f t="shared" si="127"/>
        <v>0</v>
      </c>
      <c r="DD109" s="309">
        <f t="shared" si="127"/>
        <v>0</v>
      </c>
      <c r="DE109" s="309">
        <f t="shared" si="127"/>
        <v>0</v>
      </c>
      <c r="DF109" s="309">
        <f t="shared" si="127"/>
        <v>0</v>
      </c>
      <c r="DG109" s="309">
        <f t="shared" si="127"/>
        <v>0</v>
      </c>
      <c r="DH109" s="309">
        <f t="shared" si="127"/>
        <v>0</v>
      </c>
      <c r="DI109" s="309">
        <f t="shared" si="127"/>
        <v>0</v>
      </c>
      <c r="DJ109" s="309">
        <f t="shared" si="127"/>
        <v>0</v>
      </c>
      <c r="DK109" s="309">
        <f t="shared" si="127"/>
        <v>0</v>
      </c>
      <c r="DL109" s="309">
        <f t="shared" si="127"/>
        <v>0</v>
      </c>
      <c r="DM109" s="309">
        <f t="shared" si="127"/>
        <v>0</v>
      </c>
      <c r="DN109" s="309">
        <f t="shared" si="127"/>
        <v>0</v>
      </c>
      <c r="DO109" s="309">
        <f t="shared" si="127"/>
        <v>0</v>
      </c>
      <c r="DP109" s="309">
        <f t="shared" si="127"/>
        <v>0</v>
      </c>
      <c r="DQ109" s="309">
        <f t="shared" si="127"/>
        <v>0</v>
      </c>
      <c r="DR109" s="309">
        <f t="shared" si="127"/>
        <v>0</v>
      </c>
      <c r="DS109" s="309">
        <f t="shared" si="127"/>
        <v>0</v>
      </c>
      <c r="DT109" s="309">
        <f t="shared" si="127"/>
        <v>0</v>
      </c>
      <c r="DU109" s="309">
        <f t="shared" si="127"/>
        <v>0</v>
      </c>
      <c r="DV109" s="309">
        <f t="shared" si="127"/>
        <v>0</v>
      </c>
    </row>
    <row r="110" spans="1:126" ht="15" customHeight="1" x14ac:dyDescent="0.35">
      <c r="A110" s="307" t="s">
        <v>1559</v>
      </c>
      <c r="B110" s="308" t="s">
        <v>1370</v>
      </c>
      <c r="C110" s="1146" t="s">
        <v>1560</v>
      </c>
      <c r="D110" s="1147"/>
      <c r="E110" s="309">
        <v>0</v>
      </c>
      <c r="F110" s="309">
        <f t="shared" ref="F110:AK110" si="128">MAX(0,F$101+F$106-F$107)</f>
        <v>100000</v>
      </c>
      <c r="G110" s="309">
        <f t="shared" si="128"/>
        <v>194977.86154997651</v>
      </c>
      <c r="H110" s="309">
        <f t="shared" si="128"/>
        <v>296292.71899518667</v>
      </c>
      <c r="I110" s="309">
        <f t="shared" si="128"/>
        <v>362954.52659077104</v>
      </c>
      <c r="J110" s="309">
        <f t="shared" si="128"/>
        <v>442541.92316721246</v>
      </c>
      <c r="K110" s="309">
        <f t="shared" si="128"/>
        <v>533476.27839288907</v>
      </c>
      <c r="L110" s="309">
        <f t="shared" si="128"/>
        <v>646623.80195256614</v>
      </c>
      <c r="M110" s="309">
        <f t="shared" si="128"/>
        <v>785117.14805764367</v>
      </c>
      <c r="N110" s="309">
        <f t="shared" si="128"/>
        <v>939952.35550877964</v>
      </c>
      <c r="O110" s="309">
        <f t="shared" si="128"/>
        <v>976604.00736571616</v>
      </c>
      <c r="P110" s="309">
        <f t="shared" si="128"/>
        <v>976604.00736571616</v>
      </c>
      <c r="Q110" s="309">
        <f t="shared" si="128"/>
        <v>976604.00736571616</v>
      </c>
      <c r="R110" s="309">
        <f t="shared" si="128"/>
        <v>976604.00736571616</v>
      </c>
      <c r="S110" s="309">
        <f t="shared" si="128"/>
        <v>976604.00736571616</v>
      </c>
      <c r="T110" s="309">
        <f t="shared" si="128"/>
        <v>976604.00736571616</v>
      </c>
      <c r="U110" s="309">
        <f t="shared" si="128"/>
        <v>976604.00736571616</v>
      </c>
      <c r="V110" s="309">
        <f t="shared" si="128"/>
        <v>976604.00736571616</v>
      </c>
      <c r="W110" s="309">
        <f t="shared" si="128"/>
        <v>976604.00736571616</v>
      </c>
      <c r="X110" s="309">
        <f t="shared" si="128"/>
        <v>976604.00736571616</v>
      </c>
      <c r="Y110" s="309">
        <f t="shared" si="128"/>
        <v>976604.00736571616</v>
      </c>
      <c r="Z110" s="309">
        <f t="shared" si="128"/>
        <v>976604.00736571616</v>
      </c>
      <c r="AA110" s="309">
        <f t="shared" si="128"/>
        <v>976604.00736571616</v>
      </c>
      <c r="AB110" s="309">
        <f t="shared" si="128"/>
        <v>976604.00736571616</v>
      </c>
      <c r="AC110" s="309">
        <f t="shared" si="128"/>
        <v>976604.00736571616</v>
      </c>
      <c r="AD110" s="309">
        <f t="shared" si="128"/>
        <v>976604.00736571616</v>
      </c>
      <c r="AE110" s="309">
        <f t="shared" si="128"/>
        <v>976604.00736571616</v>
      </c>
      <c r="AF110" s="309">
        <f t="shared" si="128"/>
        <v>976604.00736571616</v>
      </c>
      <c r="AG110" s="309">
        <f t="shared" si="128"/>
        <v>976604.00736571616</v>
      </c>
      <c r="AH110" s="309">
        <f t="shared" si="128"/>
        <v>976604.00736571616</v>
      </c>
      <c r="AI110" s="309">
        <f t="shared" si="128"/>
        <v>976604.00736571616</v>
      </c>
      <c r="AJ110" s="309">
        <f t="shared" si="128"/>
        <v>976604.00736571616</v>
      </c>
      <c r="AK110" s="309">
        <f t="shared" si="128"/>
        <v>976604.00736571616</v>
      </c>
      <c r="AL110" s="309">
        <f t="shared" ref="AL110:BQ110" si="129">MAX(0,AL$101+AL$106-AL$107)</f>
        <v>834284.77693896182</v>
      </c>
      <c r="AM110" s="309">
        <f t="shared" si="129"/>
        <v>811658.12087074178</v>
      </c>
      <c r="AN110" s="309">
        <f t="shared" si="129"/>
        <v>724129.5910078492</v>
      </c>
      <c r="AO110" s="309">
        <f t="shared" si="129"/>
        <v>668473.77112540044</v>
      </c>
      <c r="AP110" s="309">
        <f t="shared" si="129"/>
        <v>572488.27362274495</v>
      </c>
      <c r="AQ110" s="309">
        <f t="shared" si="129"/>
        <v>492020.03705662326</v>
      </c>
      <c r="AR110" s="309">
        <f t="shared" si="129"/>
        <v>250930.69676682074</v>
      </c>
      <c r="AS110" s="309">
        <f t="shared" si="129"/>
        <v>0</v>
      </c>
      <c r="AT110" s="309">
        <f t="shared" si="129"/>
        <v>0</v>
      </c>
      <c r="AU110" s="309">
        <f t="shared" si="129"/>
        <v>0</v>
      </c>
      <c r="AV110" s="309">
        <f t="shared" si="129"/>
        <v>0</v>
      </c>
      <c r="AW110" s="309">
        <f t="shared" si="129"/>
        <v>0</v>
      </c>
      <c r="AX110" s="309">
        <f t="shared" si="129"/>
        <v>0</v>
      </c>
      <c r="AY110" s="309">
        <f t="shared" si="129"/>
        <v>0</v>
      </c>
      <c r="AZ110" s="309">
        <f t="shared" si="129"/>
        <v>0</v>
      </c>
      <c r="BA110" s="309">
        <f t="shared" si="129"/>
        <v>0</v>
      </c>
      <c r="BB110" s="309">
        <f t="shared" si="129"/>
        <v>0</v>
      </c>
      <c r="BC110" s="309">
        <f t="shared" si="129"/>
        <v>0</v>
      </c>
      <c r="BD110" s="309">
        <f t="shared" si="129"/>
        <v>0</v>
      </c>
      <c r="BE110" s="309">
        <f t="shared" si="129"/>
        <v>0</v>
      </c>
      <c r="BF110" s="309">
        <f t="shared" si="129"/>
        <v>0</v>
      </c>
      <c r="BG110" s="309">
        <f t="shared" si="129"/>
        <v>0</v>
      </c>
      <c r="BH110" s="309">
        <f t="shared" si="129"/>
        <v>0</v>
      </c>
      <c r="BI110" s="309">
        <f t="shared" si="129"/>
        <v>0</v>
      </c>
      <c r="BJ110" s="309">
        <f t="shared" si="129"/>
        <v>0</v>
      </c>
      <c r="BK110" s="309">
        <f t="shared" si="129"/>
        <v>0</v>
      </c>
      <c r="BL110" s="309">
        <f t="shared" si="129"/>
        <v>0</v>
      </c>
      <c r="BM110" s="309">
        <f t="shared" si="129"/>
        <v>0</v>
      </c>
      <c r="BN110" s="309">
        <f t="shared" si="129"/>
        <v>0</v>
      </c>
      <c r="BO110" s="309">
        <f t="shared" si="129"/>
        <v>976604.00736571616</v>
      </c>
      <c r="BP110" s="309">
        <f t="shared" si="129"/>
        <v>0</v>
      </c>
      <c r="BQ110" s="309">
        <f t="shared" si="129"/>
        <v>0</v>
      </c>
      <c r="BR110" s="309">
        <f t="shared" ref="BR110:CW110" si="130">MAX(0,BR$101+BR$106-BR$107)</f>
        <v>0</v>
      </c>
      <c r="BS110" s="309">
        <f t="shared" si="130"/>
        <v>0</v>
      </c>
      <c r="BT110" s="309">
        <f t="shared" si="130"/>
        <v>0</v>
      </c>
      <c r="BU110" s="309">
        <f t="shared" si="130"/>
        <v>0</v>
      </c>
      <c r="BV110" s="309">
        <f t="shared" si="130"/>
        <v>0</v>
      </c>
      <c r="BW110" s="309">
        <f t="shared" si="130"/>
        <v>0</v>
      </c>
      <c r="BX110" s="309">
        <f t="shared" si="130"/>
        <v>0</v>
      </c>
      <c r="BY110" s="309">
        <f t="shared" si="130"/>
        <v>0</v>
      </c>
      <c r="BZ110" s="309">
        <f t="shared" si="130"/>
        <v>0</v>
      </c>
      <c r="CA110" s="309">
        <f t="shared" si="130"/>
        <v>0</v>
      </c>
      <c r="CB110" s="309">
        <f t="shared" si="130"/>
        <v>0</v>
      </c>
      <c r="CC110" s="309">
        <f t="shared" si="130"/>
        <v>0</v>
      </c>
      <c r="CD110" s="309">
        <f t="shared" si="130"/>
        <v>0</v>
      </c>
      <c r="CE110" s="309">
        <f t="shared" si="130"/>
        <v>0</v>
      </c>
      <c r="CF110" s="309">
        <f t="shared" si="130"/>
        <v>0</v>
      </c>
      <c r="CG110" s="309">
        <f t="shared" si="130"/>
        <v>0</v>
      </c>
      <c r="CH110" s="309">
        <f t="shared" si="130"/>
        <v>0</v>
      </c>
      <c r="CI110" s="309">
        <f t="shared" si="130"/>
        <v>0</v>
      </c>
      <c r="CJ110" s="309">
        <f t="shared" si="130"/>
        <v>0</v>
      </c>
      <c r="CK110" s="309">
        <f t="shared" si="130"/>
        <v>0</v>
      </c>
      <c r="CL110" s="309">
        <f t="shared" si="130"/>
        <v>0</v>
      </c>
      <c r="CM110" s="309">
        <f t="shared" si="130"/>
        <v>0</v>
      </c>
      <c r="CN110" s="309">
        <f t="shared" si="130"/>
        <v>0</v>
      </c>
      <c r="CO110" s="309">
        <f t="shared" si="130"/>
        <v>0</v>
      </c>
      <c r="CP110" s="309">
        <f t="shared" si="130"/>
        <v>0</v>
      </c>
      <c r="CQ110" s="309">
        <f t="shared" si="130"/>
        <v>0</v>
      </c>
      <c r="CR110" s="309">
        <f t="shared" si="130"/>
        <v>0</v>
      </c>
      <c r="CS110" s="309">
        <f t="shared" si="130"/>
        <v>0</v>
      </c>
      <c r="CT110" s="309">
        <f t="shared" si="130"/>
        <v>0</v>
      </c>
      <c r="CU110" s="309">
        <f t="shared" si="130"/>
        <v>0</v>
      </c>
      <c r="CV110" s="309">
        <f t="shared" si="130"/>
        <v>0</v>
      </c>
      <c r="CW110" s="309">
        <f t="shared" si="130"/>
        <v>0</v>
      </c>
      <c r="CX110" s="309">
        <f t="shared" ref="CX110:DV110" si="131">MAX(0,CX$101+CX$106-CX$107)</f>
        <v>0</v>
      </c>
      <c r="CY110" s="309">
        <f t="shared" si="131"/>
        <v>0</v>
      </c>
      <c r="CZ110" s="309">
        <f t="shared" si="131"/>
        <v>0</v>
      </c>
      <c r="DA110" s="309">
        <f t="shared" si="131"/>
        <v>0</v>
      </c>
      <c r="DB110" s="309">
        <f t="shared" si="131"/>
        <v>0</v>
      </c>
      <c r="DC110" s="309">
        <f t="shared" si="131"/>
        <v>0</v>
      </c>
      <c r="DD110" s="309">
        <f t="shared" si="131"/>
        <v>0</v>
      </c>
      <c r="DE110" s="309">
        <f t="shared" si="131"/>
        <v>0</v>
      </c>
      <c r="DF110" s="309">
        <f t="shared" si="131"/>
        <v>0</v>
      </c>
      <c r="DG110" s="309">
        <f t="shared" si="131"/>
        <v>0</v>
      </c>
      <c r="DH110" s="309">
        <f t="shared" si="131"/>
        <v>0</v>
      </c>
      <c r="DI110" s="309">
        <f t="shared" si="131"/>
        <v>0</v>
      </c>
      <c r="DJ110" s="309">
        <f t="shared" si="131"/>
        <v>0</v>
      </c>
      <c r="DK110" s="309">
        <f t="shared" si="131"/>
        <v>0</v>
      </c>
      <c r="DL110" s="309">
        <f t="shared" si="131"/>
        <v>0</v>
      </c>
      <c r="DM110" s="309">
        <f t="shared" si="131"/>
        <v>0</v>
      </c>
      <c r="DN110" s="309">
        <f t="shared" si="131"/>
        <v>0</v>
      </c>
      <c r="DO110" s="309">
        <f t="shared" si="131"/>
        <v>0</v>
      </c>
      <c r="DP110" s="309">
        <f t="shared" si="131"/>
        <v>0</v>
      </c>
      <c r="DQ110" s="309">
        <f t="shared" si="131"/>
        <v>0</v>
      </c>
      <c r="DR110" s="309">
        <f t="shared" si="131"/>
        <v>0</v>
      </c>
      <c r="DS110" s="309">
        <f t="shared" si="131"/>
        <v>0</v>
      </c>
      <c r="DT110" s="309">
        <f t="shared" si="131"/>
        <v>0</v>
      </c>
      <c r="DU110" s="309">
        <f t="shared" si="131"/>
        <v>0</v>
      </c>
      <c r="DV110" s="309">
        <f t="shared" si="131"/>
        <v>0</v>
      </c>
    </row>
    <row r="111" spans="1:126" ht="15" customHeight="1" x14ac:dyDescent="0.35">
      <c r="A111" s="307" t="s">
        <v>1561</v>
      </c>
      <c r="B111" s="308" t="s">
        <v>1370</v>
      </c>
      <c r="C111" s="1146" t="s">
        <v>1562</v>
      </c>
      <c r="D111" s="1147"/>
      <c r="F111" s="309">
        <f t="shared" ref="F111:AK111" si="132">MAX(0,$B$24-F$110)</f>
        <v>876604.00736571616</v>
      </c>
      <c r="G111" s="309">
        <f t="shared" si="132"/>
        <v>781626.14581573964</v>
      </c>
      <c r="H111" s="309">
        <f t="shared" si="132"/>
        <v>680311.28837052942</v>
      </c>
      <c r="I111" s="309">
        <f t="shared" si="132"/>
        <v>613649.48077494511</v>
      </c>
      <c r="J111" s="309">
        <f t="shared" si="132"/>
        <v>534062.08419850376</v>
      </c>
      <c r="K111" s="309">
        <f t="shared" si="132"/>
        <v>443127.72897282708</v>
      </c>
      <c r="L111" s="309">
        <f t="shared" si="132"/>
        <v>329980.20541315002</v>
      </c>
      <c r="M111" s="309">
        <f t="shared" si="132"/>
        <v>191486.85930807248</v>
      </c>
      <c r="N111" s="309">
        <f t="shared" si="132"/>
        <v>36651.651856936514</v>
      </c>
      <c r="O111" s="309">
        <f t="shared" si="132"/>
        <v>0</v>
      </c>
      <c r="P111" s="309">
        <f t="shared" si="132"/>
        <v>0</v>
      </c>
      <c r="Q111" s="309">
        <f t="shared" si="132"/>
        <v>0</v>
      </c>
      <c r="R111" s="309">
        <f t="shared" si="132"/>
        <v>0</v>
      </c>
      <c r="S111" s="309">
        <f t="shared" si="132"/>
        <v>0</v>
      </c>
      <c r="T111" s="309">
        <f t="shared" si="132"/>
        <v>0</v>
      </c>
      <c r="U111" s="309">
        <f t="shared" si="132"/>
        <v>0</v>
      </c>
      <c r="V111" s="309">
        <f t="shared" si="132"/>
        <v>0</v>
      </c>
      <c r="W111" s="309">
        <f t="shared" si="132"/>
        <v>0</v>
      </c>
      <c r="X111" s="309">
        <f t="shared" si="132"/>
        <v>0</v>
      </c>
      <c r="Y111" s="309">
        <f t="shared" si="132"/>
        <v>0</v>
      </c>
      <c r="Z111" s="309">
        <f t="shared" si="132"/>
        <v>0</v>
      </c>
      <c r="AA111" s="309">
        <f t="shared" si="132"/>
        <v>0</v>
      </c>
      <c r="AB111" s="309">
        <f t="shared" si="132"/>
        <v>0</v>
      </c>
      <c r="AC111" s="309">
        <f t="shared" si="132"/>
        <v>0</v>
      </c>
      <c r="AD111" s="309">
        <f t="shared" si="132"/>
        <v>0</v>
      </c>
      <c r="AE111" s="309">
        <f t="shared" si="132"/>
        <v>0</v>
      </c>
      <c r="AF111" s="309">
        <f t="shared" si="132"/>
        <v>0</v>
      </c>
      <c r="AG111" s="309">
        <f t="shared" si="132"/>
        <v>0</v>
      </c>
      <c r="AH111" s="309">
        <f t="shared" si="132"/>
        <v>0</v>
      </c>
      <c r="AI111" s="309">
        <f t="shared" si="132"/>
        <v>0</v>
      </c>
      <c r="AJ111" s="309">
        <f t="shared" si="132"/>
        <v>0</v>
      </c>
      <c r="AK111" s="309">
        <f t="shared" si="132"/>
        <v>0</v>
      </c>
      <c r="AL111" s="309">
        <f t="shared" ref="AL111:BQ111" si="133">MAX(0,$B$24-AL$110)</f>
        <v>142319.23042675434</v>
      </c>
      <c r="AM111" s="309">
        <f t="shared" si="133"/>
        <v>164945.88649497437</v>
      </c>
      <c r="AN111" s="309">
        <f t="shared" si="133"/>
        <v>252474.41635786695</v>
      </c>
      <c r="AO111" s="309">
        <f t="shared" si="133"/>
        <v>308130.23624031572</v>
      </c>
      <c r="AP111" s="309">
        <f t="shared" si="133"/>
        <v>404115.73374297121</v>
      </c>
      <c r="AQ111" s="309">
        <f t="shared" si="133"/>
        <v>484583.9703090929</v>
      </c>
      <c r="AR111" s="309">
        <f t="shared" si="133"/>
        <v>725673.31059889542</v>
      </c>
      <c r="AS111" s="309">
        <f t="shared" si="133"/>
        <v>976604.00736571616</v>
      </c>
      <c r="AT111" s="309">
        <f t="shared" si="133"/>
        <v>976604.00736571616</v>
      </c>
      <c r="AU111" s="309">
        <f t="shared" si="133"/>
        <v>976604.00736571616</v>
      </c>
      <c r="AV111" s="309">
        <f t="shared" si="133"/>
        <v>976604.00736571616</v>
      </c>
      <c r="AW111" s="309">
        <f t="shared" si="133"/>
        <v>976604.00736571616</v>
      </c>
      <c r="AX111" s="309">
        <f t="shared" si="133"/>
        <v>976604.00736571616</v>
      </c>
      <c r="AY111" s="309">
        <f t="shared" si="133"/>
        <v>976604.00736571616</v>
      </c>
      <c r="AZ111" s="309">
        <f t="shared" si="133"/>
        <v>976604.00736571616</v>
      </c>
      <c r="BA111" s="309">
        <f t="shared" si="133"/>
        <v>976604.00736571616</v>
      </c>
      <c r="BB111" s="309">
        <f t="shared" si="133"/>
        <v>976604.00736571616</v>
      </c>
      <c r="BC111" s="309">
        <f t="shared" si="133"/>
        <v>976604.00736571616</v>
      </c>
      <c r="BD111" s="309">
        <f t="shared" si="133"/>
        <v>976604.00736571616</v>
      </c>
      <c r="BE111" s="309">
        <f t="shared" si="133"/>
        <v>976604.00736571616</v>
      </c>
      <c r="BF111" s="309">
        <f t="shared" si="133"/>
        <v>976604.00736571616</v>
      </c>
      <c r="BG111" s="309">
        <f t="shared" si="133"/>
        <v>976604.00736571616</v>
      </c>
      <c r="BH111" s="309">
        <f t="shared" si="133"/>
        <v>976604.00736571616</v>
      </c>
      <c r="BI111" s="309">
        <f t="shared" si="133"/>
        <v>976604.00736571616</v>
      </c>
      <c r="BJ111" s="309">
        <f t="shared" si="133"/>
        <v>976604.00736571616</v>
      </c>
      <c r="BK111" s="309">
        <f t="shared" si="133"/>
        <v>976604.00736571616</v>
      </c>
      <c r="BL111" s="309">
        <f t="shared" si="133"/>
        <v>976604.00736571616</v>
      </c>
      <c r="BM111" s="309">
        <f t="shared" si="133"/>
        <v>976604.00736571616</v>
      </c>
      <c r="BN111" s="309">
        <f t="shared" si="133"/>
        <v>976604.00736571616</v>
      </c>
      <c r="BO111" s="309">
        <f t="shared" si="133"/>
        <v>0</v>
      </c>
      <c r="BP111" s="309">
        <f t="shared" si="133"/>
        <v>976604.00736571616</v>
      </c>
      <c r="BQ111" s="309">
        <f t="shared" si="133"/>
        <v>976604.00736571616</v>
      </c>
      <c r="BR111" s="309">
        <f t="shared" ref="BR111:CW111" si="134">MAX(0,$B$24-BR$110)</f>
        <v>976604.00736571616</v>
      </c>
      <c r="BS111" s="309">
        <f t="shared" si="134"/>
        <v>976604.00736571616</v>
      </c>
      <c r="BT111" s="309">
        <f t="shared" si="134"/>
        <v>976604.00736571616</v>
      </c>
      <c r="BU111" s="309">
        <f t="shared" si="134"/>
        <v>976604.00736571616</v>
      </c>
      <c r="BV111" s="309">
        <f t="shared" si="134"/>
        <v>976604.00736571616</v>
      </c>
      <c r="BW111" s="309">
        <f t="shared" si="134"/>
        <v>976604.00736571616</v>
      </c>
      <c r="BX111" s="309">
        <f t="shared" si="134"/>
        <v>976604.00736571616</v>
      </c>
      <c r="BY111" s="309">
        <f t="shared" si="134"/>
        <v>976604.00736571616</v>
      </c>
      <c r="BZ111" s="309">
        <f t="shared" si="134"/>
        <v>976604.00736571616</v>
      </c>
      <c r="CA111" s="309">
        <f t="shared" si="134"/>
        <v>976604.00736571616</v>
      </c>
      <c r="CB111" s="309">
        <f t="shared" si="134"/>
        <v>976604.00736571616</v>
      </c>
      <c r="CC111" s="309">
        <f t="shared" si="134"/>
        <v>976604.00736571616</v>
      </c>
      <c r="CD111" s="309">
        <f t="shared" si="134"/>
        <v>976604.00736571616</v>
      </c>
      <c r="CE111" s="309">
        <f t="shared" si="134"/>
        <v>976604.00736571616</v>
      </c>
      <c r="CF111" s="309">
        <f t="shared" si="134"/>
        <v>976604.00736571616</v>
      </c>
      <c r="CG111" s="309">
        <f t="shared" si="134"/>
        <v>976604.00736571616</v>
      </c>
      <c r="CH111" s="309">
        <f t="shared" si="134"/>
        <v>976604.00736571616</v>
      </c>
      <c r="CI111" s="309">
        <f t="shared" si="134"/>
        <v>976604.00736571616</v>
      </c>
      <c r="CJ111" s="309">
        <f t="shared" si="134"/>
        <v>976604.00736571616</v>
      </c>
      <c r="CK111" s="309">
        <f t="shared" si="134"/>
        <v>976604.00736571616</v>
      </c>
      <c r="CL111" s="309">
        <f t="shared" si="134"/>
        <v>976604.00736571616</v>
      </c>
      <c r="CM111" s="309">
        <f t="shared" si="134"/>
        <v>976604.00736571616</v>
      </c>
      <c r="CN111" s="309">
        <f t="shared" si="134"/>
        <v>976604.00736571616</v>
      </c>
      <c r="CO111" s="309">
        <f t="shared" si="134"/>
        <v>976604.00736571616</v>
      </c>
      <c r="CP111" s="309">
        <f t="shared" si="134"/>
        <v>976604.00736571616</v>
      </c>
      <c r="CQ111" s="309">
        <f t="shared" si="134"/>
        <v>976604.00736571616</v>
      </c>
      <c r="CR111" s="309">
        <f t="shared" si="134"/>
        <v>976604.00736571616</v>
      </c>
      <c r="CS111" s="309">
        <f t="shared" si="134"/>
        <v>976604.00736571616</v>
      </c>
      <c r="CT111" s="309">
        <f t="shared" si="134"/>
        <v>976604.00736571616</v>
      </c>
      <c r="CU111" s="309">
        <f t="shared" si="134"/>
        <v>976604.00736571616</v>
      </c>
      <c r="CV111" s="309">
        <f t="shared" si="134"/>
        <v>976604.00736571616</v>
      </c>
      <c r="CW111" s="309">
        <f t="shared" si="134"/>
        <v>976604.00736571616</v>
      </c>
      <c r="CX111" s="309">
        <f t="shared" ref="CX111:DV111" si="135">MAX(0,$B$24-CX$110)</f>
        <v>976604.00736571616</v>
      </c>
      <c r="CY111" s="309">
        <f t="shared" si="135"/>
        <v>976604.00736571616</v>
      </c>
      <c r="CZ111" s="309">
        <f t="shared" si="135"/>
        <v>976604.00736571616</v>
      </c>
      <c r="DA111" s="309">
        <f t="shared" si="135"/>
        <v>976604.00736571616</v>
      </c>
      <c r="DB111" s="309">
        <f t="shared" si="135"/>
        <v>976604.00736571616</v>
      </c>
      <c r="DC111" s="309">
        <f t="shared" si="135"/>
        <v>976604.00736571616</v>
      </c>
      <c r="DD111" s="309">
        <f t="shared" si="135"/>
        <v>976604.00736571616</v>
      </c>
      <c r="DE111" s="309">
        <f t="shared" si="135"/>
        <v>976604.00736571616</v>
      </c>
      <c r="DF111" s="309">
        <f t="shared" si="135"/>
        <v>976604.00736571616</v>
      </c>
      <c r="DG111" s="309">
        <f t="shared" si="135"/>
        <v>976604.00736571616</v>
      </c>
      <c r="DH111" s="309">
        <f t="shared" si="135"/>
        <v>976604.00736571616</v>
      </c>
      <c r="DI111" s="309">
        <f t="shared" si="135"/>
        <v>976604.00736571616</v>
      </c>
      <c r="DJ111" s="309">
        <f t="shared" si="135"/>
        <v>976604.00736571616</v>
      </c>
      <c r="DK111" s="309">
        <f t="shared" si="135"/>
        <v>976604.00736571616</v>
      </c>
      <c r="DL111" s="309">
        <f t="shared" si="135"/>
        <v>976604.00736571616</v>
      </c>
      <c r="DM111" s="309">
        <f t="shared" si="135"/>
        <v>976604.00736571616</v>
      </c>
      <c r="DN111" s="309">
        <f t="shared" si="135"/>
        <v>976604.00736571616</v>
      </c>
      <c r="DO111" s="309">
        <f t="shared" si="135"/>
        <v>976604.00736571616</v>
      </c>
      <c r="DP111" s="309">
        <f t="shared" si="135"/>
        <v>976604.00736571616</v>
      </c>
      <c r="DQ111" s="309">
        <f t="shared" si="135"/>
        <v>976604.00736571616</v>
      </c>
      <c r="DR111" s="309">
        <f t="shared" si="135"/>
        <v>976604.00736571616</v>
      </c>
      <c r="DS111" s="309">
        <f t="shared" si="135"/>
        <v>976604.00736571616</v>
      </c>
      <c r="DT111" s="309">
        <f t="shared" si="135"/>
        <v>976604.00736571616</v>
      </c>
      <c r="DU111" s="309">
        <f t="shared" si="135"/>
        <v>976604.00736571616</v>
      </c>
      <c r="DV111" s="309">
        <f t="shared" si="135"/>
        <v>976604.00736571616</v>
      </c>
    </row>
    <row r="112" spans="1:126" ht="15" customHeight="1" x14ac:dyDescent="0.35">
      <c r="A112" s="307" t="s">
        <v>1563</v>
      </c>
      <c r="B112" s="308" t="s">
        <v>924</v>
      </c>
      <c r="C112" s="1146" t="s">
        <v>1564</v>
      </c>
      <c r="D112" s="1147"/>
      <c r="F112" s="323" t="str">
        <f t="shared" ref="F112:AK112" si="136">IF(AND(F$64&gt;$B$29,F$110&gt;0.01),"MATURED / OUTSTANDING","OK")</f>
        <v>OK</v>
      </c>
      <c r="G112" s="323" t="str">
        <f t="shared" si="136"/>
        <v>OK</v>
      </c>
      <c r="H112" s="323" t="str">
        <f t="shared" si="136"/>
        <v>OK</v>
      </c>
      <c r="I112" s="323" t="str">
        <f t="shared" si="136"/>
        <v>OK</v>
      </c>
      <c r="J112" s="323" t="str">
        <f t="shared" si="136"/>
        <v>OK</v>
      </c>
      <c r="K112" s="323" t="str">
        <f t="shared" si="136"/>
        <v>OK</v>
      </c>
      <c r="L112" s="323" t="str">
        <f t="shared" si="136"/>
        <v>OK</v>
      </c>
      <c r="M112" s="323" t="str">
        <f t="shared" si="136"/>
        <v>OK</v>
      </c>
      <c r="N112" s="323" t="str">
        <f t="shared" si="136"/>
        <v>OK</v>
      </c>
      <c r="O112" s="323" t="str">
        <f t="shared" si="136"/>
        <v>OK</v>
      </c>
      <c r="P112" s="323" t="str">
        <f t="shared" si="136"/>
        <v>OK</v>
      </c>
      <c r="Q112" s="323" t="str">
        <f t="shared" si="136"/>
        <v>OK</v>
      </c>
      <c r="R112" s="323" t="str">
        <f t="shared" si="136"/>
        <v>OK</v>
      </c>
      <c r="S112" s="323" t="str">
        <f t="shared" si="136"/>
        <v>OK</v>
      </c>
      <c r="T112" s="323" t="str">
        <f t="shared" si="136"/>
        <v>OK</v>
      </c>
      <c r="U112" s="323" t="str">
        <f t="shared" si="136"/>
        <v>OK</v>
      </c>
      <c r="V112" s="323" t="str">
        <f t="shared" si="136"/>
        <v>OK</v>
      </c>
      <c r="W112" s="323" t="str">
        <f t="shared" si="136"/>
        <v>OK</v>
      </c>
      <c r="X112" s="323" t="str">
        <f t="shared" si="136"/>
        <v>OK</v>
      </c>
      <c r="Y112" s="323" t="str">
        <f t="shared" si="136"/>
        <v>OK</v>
      </c>
      <c r="Z112" s="323" t="str">
        <f t="shared" si="136"/>
        <v>OK</v>
      </c>
      <c r="AA112" s="323" t="str">
        <f t="shared" si="136"/>
        <v>OK</v>
      </c>
      <c r="AB112" s="323" t="str">
        <f t="shared" si="136"/>
        <v>OK</v>
      </c>
      <c r="AC112" s="323" t="str">
        <f t="shared" si="136"/>
        <v>OK</v>
      </c>
      <c r="AD112" s="323" t="str">
        <f t="shared" si="136"/>
        <v>OK</v>
      </c>
      <c r="AE112" s="323" t="str">
        <f t="shared" si="136"/>
        <v>OK</v>
      </c>
      <c r="AF112" s="323" t="str">
        <f t="shared" si="136"/>
        <v>OK</v>
      </c>
      <c r="AG112" s="323" t="str">
        <f t="shared" si="136"/>
        <v>OK</v>
      </c>
      <c r="AH112" s="323" t="str">
        <f t="shared" si="136"/>
        <v>OK</v>
      </c>
      <c r="AI112" s="323" t="str">
        <f t="shared" si="136"/>
        <v>OK</v>
      </c>
      <c r="AJ112" s="323" t="str">
        <f t="shared" si="136"/>
        <v>OK</v>
      </c>
      <c r="AK112" s="323" t="str">
        <f t="shared" si="136"/>
        <v>OK</v>
      </c>
      <c r="AL112" s="323" t="str">
        <f t="shared" ref="AL112:BQ112" si="137">IF(AND(AL$64&gt;$B$29,AL$110&gt;0.01),"MATURED / OUTSTANDING","OK")</f>
        <v>OK</v>
      </c>
      <c r="AM112" s="323" t="str">
        <f t="shared" si="137"/>
        <v>OK</v>
      </c>
      <c r="AN112" s="323" t="str">
        <f t="shared" si="137"/>
        <v>OK</v>
      </c>
      <c r="AO112" s="323" t="str">
        <f t="shared" si="137"/>
        <v>OK</v>
      </c>
      <c r="AP112" s="323" t="str">
        <f t="shared" si="137"/>
        <v>OK</v>
      </c>
      <c r="AQ112" s="323" t="str">
        <f t="shared" si="137"/>
        <v>OK</v>
      </c>
      <c r="AR112" s="323" t="str">
        <f t="shared" si="137"/>
        <v>OK</v>
      </c>
      <c r="AS112" s="323" t="str">
        <f t="shared" si="137"/>
        <v>OK</v>
      </c>
      <c r="AT112" s="323" t="str">
        <f t="shared" si="137"/>
        <v>OK</v>
      </c>
      <c r="AU112" s="323" t="str">
        <f t="shared" si="137"/>
        <v>OK</v>
      </c>
      <c r="AV112" s="323" t="str">
        <f t="shared" si="137"/>
        <v>OK</v>
      </c>
      <c r="AW112" s="323" t="str">
        <f t="shared" si="137"/>
        <v>OK</v>
      </c>
      <c r="AX112" s="323" t="str">
        <f t="shared" si="137"/>
        <v>OK</v>
      </c>
      <c r="AY112" s="323" t="str">
        <f t="shared" si="137"/>
        <v>OK</v>
      </c>
      <c r="AZ112" s="323" t="str">
        <f t="shared" si="137"/>
        <v>OK</v>
      </c>
      <c r="BA112" s="323" t="str">
        <f t="shared" si="137"/>
        <v>OK</v>
      </c>
      <c r="BB112" s="323" t="str">
        <f t="shared" si="137"/>
        <v>OK</v>
      </c>
      <c r="BC112" s="323" t="str">
        <f t="shared" si="137"/>
        <v>OK</v>
      </c>
      <c r="BD112" s="323" t="str">
        <f t="shared" si="137"/>
        <v>OK</v>
      </c>
      <c r="BE112" s="323" t="str">
        <f t="shared" si="137"/>
        <v>OK</v>
      </c>
      <c r="BF112" s="323" t="str">
        <f t="shared" si="137"/>
        <v>OK</v>
      </c>
      <c r="BG112" s="323" t="str">
        <f t="shared" si="137"/>
        <v>OK</v>
      </c>
      <c r="BH112" s="323" t="str">
        <f t="shared" si="137"/>
        <v>OK</v>
      </c>
      <c r="BI112" s="323" t="str">
        <f t="shared" si="137"/>
        <v>OK</v>
      </c>
      <c r="BJ112" s="323" t="str">
        <f t="shared" si="137"/>
        <v>OK</v>
      </c>
      <c r="BK112" s="323" t="str">
        <f t="shared" si="137"/>
        <v>OK</v>
      </c>
      <c r="BL112" s="323" t="str">
        <f t="shared" si="137"/>
        <v>OK</v>
      </c>
      <c r="BM112" s="323" t="str">
        <f t="shared" si="137"/>
        <v>OK</v>
      </c>
      <c r="BN112" s="323" t="str">
        <f t="shared" si="137"/>
        <v>OK</v>
      </c>
      <c r="BO112" s="323" t="str">
        <f t="shared" si="137"/>
        <v>OK</v>
      </c>
      <c r="BP112" s="323" t="str">
        <f t="shared" si="137"/>
        <v>OK</v>
      </c>
      <c r="BQ112" s="323" t="str">
        <f t="shared" si="137"/>
        <v>OK</v>
      </c>
      <c r="BR112" s="323" t="str">
        <f t="shared" ref="BR112:CW112" si="138">IF(AND(BR$64&gt;$B$29,BR$110&gt;0.01),"MATURED / OUTSTANDING","OK")</f>
        <v>OK</v>
      </c>
      <c r="BS112" s="323" t="str">
        <f t="shared" si="138"/>
        <v>OK</v>
      </c>
      <c r="BT112" s="323" t="str">
        <f t="shared" si="138"/>
        <v>OK</v>
      </c>
      <c r="BU112" s="323" t="str">
        <f t="shared" si="138"/>
        <v>OK</v>
      </c>
      <c r="BV112" s="323" t="str">
        <f t="shared" si="138"/>
        <v>OK</v>
      </c>
      <c r="BW112" s="323" t="str">
        <f t="shared" si="138"/>
        <v>OK</v>
      </c>
      <c r="BX112" s="323" t="str">
        <f t="shared" si="138"/>
        <v>OK</v>
      </c>
      <c r="BY112" s="323" t="str">
        <f t="shared" si="138"/>
        <v>OK</v>
      </c>
      <c r="BZ112" s="323" t="str">
        <f t="shared" si="138"/>
        <v>OK</v>
      </c>
      <c r="CA112" s="323" t="str">
        <f t="shared" si="138"/>
        <v>OK</v>
      </c>
      <c r="CB112" s="323" t="str">
        <f t="shared" si="138"/>
        <v>OK</v>
      </c>
      <c r="CC112" s="323" t="str">
        <f t="shared" si="138"/>
        <v>OK</v>
      </c>
      <c r="CD112" s="323" t="str">
        <f t="shared" si="138"/>
        <v>OK</v>
      </c>
      <c r="CE112" s="323" t="str">
        <f t="shared" si="138"/>
        <v>OK</v>
      </c>
      <c r="CF112" s="323" t="str">
        <f t="shared" si="138"/>
        <v>OK</v>
      </c>
      <c r="CG112" s="323" t="str">
        <f t="shared" si="138"/>
        <v>OK</v>
      </c>
      <c r="CH112" s="323" t="str">
        <f t="shared" si="138"/>
        <v>OK</v>
      </c>
      <c r="CI112" s="323" t="str">
        <f t="shared" si="138"/>
        <v>OK</v>
      </c>
      <c r="CJ112" s="323" t="str">
        <f t="shared" si="138"/>
        <v>OK</v>
      </c>
      <c r="CK112" s="323" t="str">
        <f t="shared" si="138"/>
        <v>OK</v>
      </c>
      <c r="CL112" s="323" t="str">
        <f t="shared" si="138"/>
        <v>OK</v>
      </c>
      <c r="CM112" s="323" t="str">
        <f t="shared" si="138"/>
        <v>OK</v>
      </c>
      <c r="CN112" s="323" t="str">
        <f t="shared" si="138"/>
        <v>OK</v>
      </c>
      <c r="CO112" s="323" t="str">
        <f t="shared" si="138"/>
        <v>OK</v>
      </c>
      <c r="CP112" s="323" t="str">
        <f t="shared" si="138"/>
        <v>OK</v>
      </c>
      <c r="CQ112" s="323" t="str">
        <f t="shared" si="138"/>
        <v>OK</v>
      </c>
      <c r="CR112" s="323" t="str">
        <f t="shared" si="138"/>
        <v>OK</v>
      </c>
      <c r="CS112" s="323" t="str">
        <f t="shared" si="138"/>
        <v>OK</v>
      </c>
      <c r="CT112" s="323" t="str">
        <f t="shared" si="138"/>
        <v>OK</v>
      </c>
      <c r="CU112" s="323" t="str">
        <f t="shared" si="138"/>
        <v>OK</v>
      </c>
      <c r="CV112" s="323" t="str">
        <f t="shared" si="138"/>
        <v>OK</v>
      </c>
      <c r="CW112" s="323" t="str">
        <f t="shared" si="138"/>
        <v>OK</v>
      </c>
      <c r="CX112" s="323" t="str">
        <f t="shared" ref="CX112:DV112" si="139">IF(AND(CX$64&gt;$B$29,CX$110&gt;0.01),"MATURED / OUTSTANDING","OK")</f>
        <v>OK</v>
      </c>
      <c r="CY112" s="323" t="str">
        <f t="shared" si="139"/>
        <v>OK</v>
      </c>
      <c r="CZ112" s="323" t="str">
        <f t="shared" si="139"/>
        <v>OK</v>
      </c>
      <c r="DA112" s="323" t="str">
        <f t="shared" si="139"/>
        <v>OK</v>
      </c>
      <c r="DB112" s="323" t="str">
        <f t="shared" si="139"/>
        <v>OK</v>
      </c>
      <c r="DC112" s="323" t="str">
        <f t="shared" si="139"/>
        <v>OK</v>
      </c>
      <c r="DD112" s="323" t="str">
        <f t="shared" si="139"/>
        <v>OK</v>
      </c>
      <c r="DE112" s="323" t="str">
        <f t="shared" si="139"/>
        <v>OK</v>
      </c>
      <c r="DF112" s="323" t="str">
        <f t="shared" si="139"/>
        <v>OK</v>
      </c>
      <c r="DG112" s="323" t="str">
        <f t="shared" si="139"/>
        <v>OK</v>
      </c>
      <c r="DH112" s="323" t="str">
        <f t="shared" si="139"/>
        <v>OK</v>
      </c>
      <c r="DI112" s="323" t="str">
        <f t="shared" si="139"/>
        <v>OK</v>
      </c>
      <c r="DJ112" s="323" t="str">
        <f t="shared" si="139"/>
        <v>OK</v>
      </c>
      <c r="DK112" s="323" t="str">
        <f t="shared" si="139"/>
        <v>OK</v>
      </c>
      <c r="DL112" s="323" t="str">
        <f t="shared" si="139"/>
        <v>OK</v>
      </c>
      <c r="DM112" s="323" t="str">
        <f t="shared" si="139"/>
        <v>OK</v>
      </c>
      <c r="DN112" s="323" t="str">
        <f t="shared" si="139"/>
        <v>OK</v>
      </c>
      <c r="DO112" s="323" t="str">
        <f t="shared" si="139"/>
        <v>OK</v>
      </c>
      <c r="DP112" s="323" t="str">
        <f t="shared" si="139"/>
        <v>OK</v>
      </c>
      <c r="DQ112" s="323" t="str">
        <f t="shared" si="139"/>
        <v>OK</v>
      </c>
      <c r="DR112" s="323" t="str">
        <f t="shared" si="139"/>
        <v>OK</v>
      </c>
      <c r="DS112" s="323" t="str">
        <f t="shared" si="139"/>
        <v>OK</v>
      </c>
      <c r="DT112" s="323" t="str">
        <f t="shared" si="139"/>
        <v>OK</v>
      </c>
      <c r="DU112" s="323" t="str">
        <f t="shared" si="139"/>
        <v>OK</v>
      </c>
      <c r="DV112" s="323" t="str">
        <f t="shared" si="139"/>
        <v>OK</v>
      </c>
    </row>
    <row r="113" spans="1:126" ht="15" customHeight="1" x14ac:dyDescent="0.35">
      <c r="A113" s="307" t="s">
        <v>1565</v>
      </c>
      <c r="B113" s="308" t="s">
        <v>1370</v>
      </c>
      <c r="C113" s="1146" t="s">
        <v>1542</v>
      </c>
      <c r="D113" s="1147"/>
      <c r="F113" s="309">
        <f t="shared" ref="F113:AK113" si="140">F$101+F$106-F$107-F$110</f>
        <v>0</v>
      </c>
      <c r="G113" s="309">
        <f t="shared" si="140"/>
        <v>0</v>
      </c>
      <c r="H113" s="309">
        <f t="shared" si="140"/>
        <v>0</v>
      </c>
      <c r="I113" s="309">
        <f t="shared" si="140"/>
        <v>0</v>
      </c>
      <c r="J113" s="309">
        <f t="shared" si="140"/>
        <v>0</v>
      </c>
      <c r="K113" s="309">
        <f t="shared" si="140"/>
        <v>0</v>
      </c>
      <c r="L113" s="309">
        <f t="shared" si="140"/>
        <v>0</v>
      </c>
      <c r="M113" s="309">
        <f t="shared" si="140"/>
        <v>0</v>
      </c>
      <c r="N113" s="309">
        <f t="shared" si="140"/>
        <v>0</v>
      </c>
      <c r="O113" s="309">
        <f t="shared" si="140"/>
        <v>0</v>
      </c>
      <c r="P113" s="309">
        <f t="shared" si="140"/>
        <v>0</v>
      </c>
      <c r="Q113" s="309">
        <f t="shared" si="140"/>
        <v>0</v>
      </c>
      <c r="R113" s="309">
        <f t="shared" si="140"/>
        <v>0</v>
      </c>
      <c r="S113" s="309">
        <f t="shared" si="140"/>
        <v>0</v>
      </c>
      <c r="T113" s="309">
        <f t="shared" si="140"/>
        <v>0</v>
      </c>
      <c r="U113" s="309">
        <f t="shared" si="140"/>
        <v>0</v>
      </c>
      <c r="V113" s="309">
        <f t="shared" si="140"/>
        <v>0</v>
      </c>
      <c r="W113" s="309">
        <f t="shared" si="140"/>
        <v>0</v>
      </c>
      <c r="X113" s="309">
        <f t="shared" si="140"/>
        <v>0</v>
      </c>
      <c r="Y113" s="309">
        <f t="shared" si="140"/>
        <v>0</v>
      </c>
      <c r="Z113" s="309">
        <f t="shared" si="140"/>
        <v>0</v>
      </c>
      <c r="AA113" s="309">
        <f t="shared" si="140"/>
        <v>0</v>
      </c>
      <c r="AB113" s="309">
        <f t="shared" si="140"/>
        <v>0</v>
      </c>
      <c r="AC113" s="309">
        <f t="shared" si="140"/>
        <v>0</v>
      </c>
      <c r="AD113" s="309">
        <f t="shared" si="140"/>
        <v>0</v>
      </c>
      <c r="AE113" s="309">
        <f t="shared" si="140"/>
        <v>0</v>
      </c>
      <c r="AF113" s="309">
        <f t="shared" si="140"/>
        <v>0</v>
      </c>
      <c r="AG113" s="309">
        <f t="shared" si="140"/>
        <v>0</v>
      </c>
      <c r="AH113" s="309">
        <f t="shared" si="140"/>
        <v>0</v>
      </c>
      <c r="AI113" s="309">
        <f t="shared" si="140"/>
        <v>0</v>
      </c>
      <c r="AJ113" s="309">
        <f t="shared" si="140"/>
        <v>0</v>
      </c>
      <c r="AK113" s="309">
        <f t="shared" si="140"/>
        <v>0</v>
      </c>
      <c r="AL113" s="309">
        <f t="shared" ref="AL113:BQ113" si="141">AL$101+AL$106-AL$107-AL$110</f>
        <v>0</v>
      </c>
      <c r="AM113" s="309">
        <f t="shared" si="141"/>
        <v>0</v>
      </c>
      <c r="AN113" s="309">
        <f t="shared" si="141"/>
        <v>0</v>
      </c>
      <c r="AO113" s="309">
        <f t="shared" si="141"/>
        <v>0</v>
      </c>
      <c r="AP113" s="309">
        <f t="shared" si="141"/>
        <v>0</v>
      </c>
      <c r="AQ113" s="309">
        <f t="shared" si="141"/>
        <v>0</v>
      </c>
      <c r="AR113" s="309">
        <f t="shared" si="141"/>
        <v>0</v>
      </c>
      <c r="AS113" s="309">
        <f t="shared" si="141"/>
        <v>0</v>
      </c>
      <c r="AT113" s="309">
        <f t="shared" si="141"/>
        <v>0</v>
      </c>
      <c r="AU113" s="309">
        <f t="shared" si="141"/>
        <v>0</v>
      </c>
      <c r="AV113" s="309">
        <f t="shared" si="141"/>
        <v>0</v>
      </c>
      <c r="AW113" s="309">
        <f t="shared" si="141"/>
        <v>0</v>
      </c>
      <c r="AX113" s="309">
        <f t="shared" si="141"/>
        <v>0</v>
      </c>
      <c r="AY113" s="309">
        <f t="shared" si="141"/>
        <v>0</v>
      </c>
      <c r="AZ113" s="309">
        <f t="shared" si="141"/>
        <v>0</v>
      </c>
      <c r="BA113" s="309">
        <f t="shared" si="141"/>
        <v>0</v>
      </c>
      <c r="BB113" s="309">
        <f t="shared" si="141"/>
        <v>0</v>
      </c>
      <c r="BC113" s="309">
        <f t="shared" si="141"/>
        <v>0</v>
      </c>
      <c r="BD113" s="309">
        <f t="shared" si="141"/>
        <v>0</v>
      </c>
      <c r="BE113" s="309">
        <f t="shared" si="141"/>
        <v>0</v>
      </c>
      <c r="BF113" s="309">
        <f t="shared" si="141"/>
        <v>0</v>
      </c>
      <c r="BG113" s="309">
        <f t="shared" si="141"/>
        <v>0</v>
      </c>
      <c r="BH113" s="309">
        <f t="shared" si="141"/>
        <v>0</v>
      </c>
      <c r="BI113" s="309">
        <f t="shared" si="141"/>
        <v>0</v>
      </c>
      <c r="BJ113" s="309">
        <f t="shared" si="141"/>
        <v>0</v>
      </c>
      <c r="BK113" s="309">
        <f t="shared" si="141"/>
        <v>0</v>
      </c>
      <c r="BL113" s="309">
        <f t="shared" si="141"/>
        <v>0</v>
      </c>
      <c r="BM113" s="309">
        <f t="shared" si="141"/>
        <v>0</v>
      </c>
      <c r="BN113" s="309">
        <f t="shared" si="141"/>
        <v>0</v>
      </c>
      <c r="BO113" s="309">
        <f t="shared" si="141"/>
        <v>0</v>
      </c>
      <c r="BP113" s="309">
        <f t="shared" si="141"/>
        <v>0</v>
      </c>
      <c r="BQ113" s="309">
        <f t="shared" si="141"/>
        <v>0</v>
      </c>
      <c r="BR113" s="309">
        <f t="shared" ref="BR113:CW113" si="142">BR$101+BR$106-BR$107-BR$110</f>
        <v>0</v>
      </c>
      <c r="BS113" s="309">
        <f t="shared" si="142"/>
        <v>0</v>
      </c>
      <c r="BT113" s="309">
        <f t="shared" si="142"/>
        <v>0</v>
      </c>
      <c r="BU113" s="309">
        <f t="shared" si="142"/>
        <v>0</v>
      </c>
      <c r="BV113" s="309">
        <f t="shared" si="142"/>
        <v>0</v>
      </c>
      <c r="BW113" s="309">
        <f t="shared" si="142"/>
        <v>0</v>
      </c>
      <c r="BX113" s="309">
        <f t="shared" si="142"/>
        <v>0</v>
      </c>
      <c r="BY113" s="309">
        <f t="shared" si="142"/>
        <v>0</v>
      </c>
      <c r="BZ113" s="309">
        <f t="shared" si="142"/>
        <v>0</v>
      </c>
      <c r="CA113" s="309">
        <f t="shared" si="142"/>
        <v>0</v>
      </c>
      <c r="CB113" s="309">
        <f t="shared" si="142"/>
        <v>0</v>
      </c>
      <c r="CC113" s="309">
        <f t="shared" si="142"/>
        <v>0</v>
      </c>
      <c r="CD113" s="309">
        <f t="shared" si="142"/>
        <v>0</v>
      </c>
      <c r="CE113" s="309">
        <f t="shared" si="142"/>
        <v>0</v>
      </c>
      <c r="CF113" s="309">
        <f t="shared" si="142"/>
        <v>0</v>
      </c>
      <c r="CG113" s="309">
        <f t="shared" si="142"/>
        <v>0</v>
      </c>
      <c r="CH113" s="309">
        <f t="shared" si="142"/>
        <v>0</v>
      </c>
      <c r="CI113" s="309">
        <f t="shared" si="142"/>
        <v>0</v>
      </c>
      <c r="CJ113" s="309">
        <f t="shared" si="142"/>
        <v>0</v>
      </c>
      <c r="CK113" s="309">
        <f t="shared" si="142"/>
        <v>0</v>
      </c>
      <c r="CL113" s="309">
        <f t="shared" si="142"/>
        <v>0</v>
      </c>
      <c r="CM113" s="309">
        <f t="shared" si="142"/>
        <v>0</v>
      </c>
      <c r="CN113" s="309">
        <f t="shared" si="142"/>
        <v>0</v>
      </c>
      <c r="CO113" s="309">
        <f t="shared" si="142"/>
        <v>0</v>
      </c>
      <c r="CP113" s="309">
        <f t="shared" si="142"/>
        <v>0</v>
      </c>
      <c r="CQ113" s="309">
        <f t="shared" si="142"/>
        <v>0</v>
      </c>
      <c r="CR113" s="309">
        <f t="shared" si="142"/>
        <v>0</v>
      </c>
      <c r="CS113" s="309">
        <f t="shared" si="142"/>
        <v>0</v>
      </c>
      <c r="CT113" s="309">
        <f t="shared" si="142"/>
        <v>0</v>
      </c>
      <c r="CU113" s="309">
        <f t="shared" si="142"/>
        <v>0</v>
      </c>
      <c r="CV113" s="309">
        <f t="shared" si="142"/>
        <v>0</v>
      </c>
      <c r="CW113" s="309">
        <f t="shared" si="142"/>
        <v>0</v>
      </c>
      <c r="CX113" s="309">
        <f t="shared" ref="CX113:DV113" si="143">CX$101+CX$106-CX$107-CX$110</f>
        <v>0</v>
      </c>
      <c r="CY113" s="309">
        <f t="shared" si="143"/>
        <v>0</v>
      </c>
      <c r="CZ113" s="309">
        <f t="shared" si="143"/>
        <v>0</v>
      </c>
      <c r="DA113" s="309">
        <f t="shared" si="143"/>
        <v>0</v>
      </c>
      <c r="DB113" s="309">
        <f t="shared" si="143"/>
        <v>0</v>
      </c>
      <c r="DC113" s="309">
        <f t="shared" si="143"/>
        <v>0</v>
      </c>
      <c r="DD113" s="309">
        <f t="shared" si="143"/>
        <v>0</v>
      </c>
      <c r="DE113" s="309">
        <f t="shared" si="143"/>
        <v>0</v>
      </c>
      <c r="DF113" s="309">
        <f t="shared" si="143"/>
        <v>0</v>
      </c>
      <c r="DG113" s="309">
        <f t="shared" si="143"/>
        <v>0</v>
      </c>
      <c r="DH113" s="309">
        <f t="shared" si="143"/>
        <v>0</v>
      </c>
      <c r="DI113" s="309">
        <f t="shared" si="143"/>
        <v>0</v>
      </c>
      <c r="DJ113" s="309">
        <f t="shared" si="143"/>
        <v>0</v>
      </c>
      <c r="DK113" s="309">
        <f t="shared" si="143"/>
        <v>0</v>
      </c>
      <c r="DL113" s="309">
        <f t="shared" si="143"/>
        <v>0</v>
      </c>
      <c r="DM113" s="309">
        <f t="shared" si="143"/>
        <v>0</v>
      </c>
      <c r="DN113" s="309">
        <f t="shared" si="143"/>
        <v>0</v>
      </c>
      <c r="DO113" s="309">
        <f t="shared" si="143"/>
        <v>0</v>
      </c>
      <c r="DP113" s="309">
        <f t="shared" si="143"/>
        <v>0</v>
      </c>
      <c r="DQ113" s="309">
        <f t="shared" si="143"/>
        <v>0</v>
      </c>
      <c r="DR113" s="309">
        <f t="shared" si="143"/>
        <v>0</v>
      </c>
      <c r="DS113" s="309">
        <f t="shared" si="143"/>
        <v>0</v>
      </c>
      <c r="DT113" s="309">
        <f t="shared" si="143"/>
        <v>0</v>
      </c>
      <c r="DU113" s="309">
        <f t="shared" si="143"/>
        <v>0</v>
      </c>
      <c r="DV113" s="309">
        <f t="shared" si="143"/>
        <v>0</v>
      </c>
    </row>
    <row r="115" spans="1:126" ht="21" customHeight="1" x14ac:dyDescent="0.35">
      <c r="A115" s="1148" t="s">
        <v>1566</v>
      </c>
      <c r="B115" s="937"/>
      <c r="C115" s="937"/>
      <c r="D115" s="937"/>
      <c r="E115" s="937"/>
      <c r="F115" s="937"/>
      <c r="G115" s="937"/>
      <c r="H115" s="937"/>
      <c r="I115" s="937"/>
      <c r="J115" s="937"/>
      <c r="K115" s="937"/>
      <c r="L115" s="937"/>
      <c r="M115" s="937"/>
      <c r="N115" s="937"/>
      <c r="O115" s="937"/>
      <c r="P115" s="937"/>
      <c r="Q115" s="937"/>
      <c r="R115" s="937"/>
      <c r="S115" s="937"/>
      <c r="T115" s="937"/>
      <c r="U115" s="937"/>
      <c r="V115" s="937"/>
      <c r="W115" s="937"/>
      <c r="X115" s="937"/>
      <c r="Y115" s="937"/>
      <c r="Z115" s="937"/>
      <c r="AA115" s="937"/>
      <c r="AB115" s="937"/>
      <c r="AC115" s="937"/>
      <c r="AD115" s="937"/>
      <c r="AE115" s="937"/>
      <c r="AF115" s="937"/>
      <c r="AG115" s="937"/>
      <c r="AH115" s="937"/>
      <c r="AI115" s="937"/>
      <c r="AJ115" s="937"/>
      <c r="AK115" s="937"/>
      <c r="AL115" s="937"/>
      <c r="AM115" s="937"/>
      <c r="AN115" s="937"/>
      <c r="AO115" s="937"/>
      <c r="AP115" s="937"/>
      <c r="AQ115" s="937"/>
      <c r="AR115" s="937"/>
      <c r="AS115" s="937"/>
      <c r="AT115" s="937"/>
      <c r="AU115" s="937"/>
      <c r="AV115" s="937"/>
      <c r="AW115" s="937"/>
      <c r="AX115" s="937"/>
      <c r="AY115" s="937"/>
      <c r="AZ115" s="937"/>
      <c r="BA115" s="937"/>
      <c r="BB115" s="937"/>
      <c r="BC115" s="937"/>
      <c r="BD115" s="937"/>
      <c r="BE115" s="937"/>
      <c r="BF115" s="937"/>
      <c r="BG115" s="937"/>
      <c r="BH115" s="937"/>
      <c r="BI115" s="937"/>
      <c r="BJ115" s="937"/>
      <c r="BK115" s="937"/>
      <c r="BL115" s="937"/>
      <c r="BM115" s="937"/>
      <c r="BN115" s="937"/>
      <c r="BO115" s="937"/>
      <c r="BP115" s="937"/>
      <c r="BQ115" s="937"/>
      <c r="BR115" s="937"/>
      <c r="BS115" s="937"/>
      <c r="BT115" s="937"/>
      <c r="BU115" s="937"/>
      <c r="BV115" s="937"/>
      <c r="BW115" s="937"/>
      <c r="BX115" s="937"/>
      <c r="BY115" s="937"/>
      <c r="BZ115" s="937"/>
      <c r="CA115" s="937"/>
      <c r="CB115" s="937"/>
      <c r="CC115" s="937"/>
      <c r="CD115" s="937"/>
      <c r="CE115" s="937"/>
      <c r="CF115" s="937"/>
      <c r="CG115" s="937"/>
      <c r="CH115" s="937"/>
      <c r="CI115" s="937"/>
      <c r="CJ115" s="937"/>
      <c r="CK115" s="937"/>
      <c r="CL115" s="937"/>
      <c r="CM115" s="937"/>
      <c r="CN115" s="937"/>
      <c r="CO115" s="937"/>
      <c r="CP115" s="937"/>
      <c r="CQ115" s="937"/>
      <c r="CR115" s="937"/>
      <c r="CS115" s="937"/>
      <c r="CT115" s="937"/>
      <c r="CU115" s="937"/>
      <c r="CV115" s="937"/>
      <c r="CW115" s="937"/>
      <c r="CX115" s="937"/>
      <c r="CY115" s="937"/>
      <c r="CZ115" s="937"/>
      <c r="DA115" s="937"/>
      <c r="DB115" s="937"/>
      <c r="DC115" s="937"/>
      <c r="DD115" s="937"/>
      <c r="DE115" s="937"/>
      <c r="DF115" s="937"/>
      <c r="DG115" s="937"/>
      <c r="DH115" s="937"/>
      <c r="DI115" s="937"/>
      <c r="DJ115" s="937"/>
      <c r="DK115" s="937"/>
      <c r="DL115" s="937"/>
      <c r="DM115" s="937"/>
      <c r="DN115" s="937"/>
      <c r="DO115" s="937"/>
      <c r="DP115" s="937"/>
      <c r="DQ115" s="937"/>
      <c r="DR115" s="937"/>
      <c r="DS115" s="937"/>
      <c r="DT115" s="937"/>
      <c r="DU115" s="937"/>
      <c r="DV115" s="937"/>
    </row>
    <row r="116" spans="1:126" ht="15" customHeight="1" x14ac:dyDescent="0.35">
      <c r="A116" s="307" t="s">
        <v>1567</v>
      </c>
      <c r="B116" s="308" t="s">
        <v>1370</v>
      </c>
      <c r="C116" s="1146" t="s">
        <v>1499</v>
      </c>
      <c r="D116" s="1147"/>
      <c r="E116" s="309">
        <v>0</v>
      </c>
      <c r="F116" s="309">
        <f t="shared" ref="F116:AK116" si="144">E$128</f>
        <v>0</v>
      </c>
      <c r="G116" s="309">
        <f t="shared" si="144"/>
        <v>0</v>
      </c>
      <c r="H116" s="309">
        <f t="shared" si="144"/>
        <v>0</v>
      </c>
      <c r="I116" s="309">
        <f t="shared" si="144"/>
        <v>0</v>
      </c>
      <c r="J116" s="309">
        <f t="shared" si="144"/>
        <v>0</v>
      </c>
      <c r="K116" s="309">
        <f t="shared" si="144"/>
        <v>0</v>
      </c>
      <c r="L116" s="309">
        <f t="shared" si="144"/>
        <v>0</v>
      </c>
      <c r="M116" s="309">
        <f t="shared" si="144"/>
        <v>0</v>
      </c>
      <c r="N116" s="309">
        <f t="shared" si="144"/>
        <v>0</v>
      </c>
      <c r="O116" s="309">
        <f t="shared" si="144"/>
        <v>0</v>
      </c>
      <c r="P116" s="309">
        <f t="shared" si="144"/>
        <v>0</v>
      </c>
      <c r="Q116" s="309">
        <f t="shared" si="144"/>
        <v>0</v>
      </c>
      <c r="R116" s="309">
        <f t="shared" si="144"/>
        <v>0</v>
      </c>
      <c r="S116" s="309">
        <f t="shared" si="144"/>
        <v>0</v>
      </c>
      <c r="T116" s="309">
        <f t="shared" si="144"/>
        <v>0</v>
      </c>
      <c r="U116" s="309">
        <f t="shared" si="144"/>
        <v>0</v>
      </c>
      <c r="V116" s="309">
        <f t="shared" si="144"/>
        <v>0</v>
      </c>
      <c r="W116" s="309">
        <f t="shared" si="144"/>
        <v>0</v>
      </c>
      <c r="X116" s="309">
        <f t="shared" si="144"/>
        <v>0</v>
      </c>
      <c r="Y116" s="309">
        <f t="shared" si="144"/>
        <v>0</v>
      </c>
      <c r="Z116" s="309">
        <f t="shared" si="144"/>
        <v>0</v>
      </c>
      <c r="AA116" s="309">
        <f t="shared" si="144"/>
        <v>0</v>
      </c>
      <c r="AB116" s="309">
        <f t="shared" si="144"/>
        <v>0</v>
      </c>
      <c r="AC116" s="309">
        <f t="shared" si="144"/>
        <v>0</v>
      </c>
      <c r="AD116" s="309">
        <f t="shared" si="144"/>
        <v>0</v>
      </c>
      <c r="AE116" s="309">
        <f t="shared" si="144"/>
        <v>0</v>
      </c>
      <c r="AF116" s="309">
        <f t="shared" si="144"/>
        <v>0</v>
      </c>
      <c r="AG116" s="309">
        <f t="shared" si="144"/>
        <v>0</v>
      </c>
      <c r="AH116" s="309">
        <f t="shared" si="144"/>
        <v>0</v>
      </c>
      <c r="AI116" s="309">
        <f t="shared" si="144"/>
        <v>0</v>
      </c>
      <c r="AJ116" s="309">
        <f t="shared" si="144"/>
        <v>0</v>
      </c>
      <c r="AK116" s="309">
        <f t="shared" si="144"/>
        <v>0</v>
      </c>
      <c r="AL116" s="309">
        <f t="shared" ref="AL116:BQ116" si="145">AK$128</f>
        <v>0</v>
      </c>
      <c r="AM116" s="309">
        <f t="shared" si="145"/>
        <v>0</v>
      </c>
      <c r="AN116" s="309">
        <f t="shared" si="145"/>
        <v>0</v>
      </c>
      <c r="AO116" s="309">
        <f t="shared" si="145"/>
        <v>0</v>
      </c>
      <c r="AP116" s="309">
        <f t="shared" si="145"/>
        <v>0</v>
      </c>
      <c r="AQ116" s="309">
        <f t="shared" si="145"/>
        <v>0</v>
      </c>
      <c r="AR116" s="309">
        <f t="shared" si="145"/>
        <v>0</v>
      </c>
      <c r="AS116" s="309">
        <f t="shared" si="145"/>
        <v>0</v>
      </c>
      <c r="AT116" s="309">
        <f t="shared" si="145"/>
        <v>0</v>
      </c>
      <c r="AU116" s="309">
        <f t="shared" si="145"/>
        <v>0</v>
      </c>
      <c r="AV116" s="309">
        <f t="shared" si="145"/>
        <v>0</v>
      </c>
      <c r="AW116" s="309">
        <f t="shared" si="145"/>
        <v>0</v>
      </c>
      <c r="AX116" s="309">
        <f t="shared" si="145"/>
        <v>0</v>
      </c>
      <c r="AY116" s="309">
        <f t="shared" si="145"/>
        <v>0</v>
      </c>
      <c r="AZ116" s="309">
        <f t="shared" si="145"/>
        <v>0</v>
      </c>
      <c r="BA116" s="309">
        <f t="shared" si="145"/>
        <v>0</v>
      </c>
      <c r="BB116" s="309">
        <f t="shared" si="145"/>
        <v>0</v>
      </c>
      <c r="BC116" s="309">
        <f t="shared" si="145"/>
        <v>0</v>
      </c>
      <c r="BD116" s="309">
        <f t="shared" si="145"/>
        <v>226508151.17314392</v>
      </c>
      <c r="BE116" s="309">
        <f t="shared" si="145"/>
        <v>225165084.4861145</v>
      </c>
      <c r="BF116" s="309">
        <f t="shared" si="145"/>
        <v>223798261.62118649</v>
      </c>
      <c r="BG116" s="309">
        <f t="shared" si="145"/>
        <v>222445317.40530816</v>
      </c>
      <c r="BH116" s="309">
        <f t="shared" si="145"/>
        <v>221068074.81538689</v>
      </c>
      <c r="BI116" s="309">
        <f t="shared" si="145"/>
        <v>219706837.43342817</v>
      </c>
      <c r="BJ116" s="309">
        <f t="shared" si="145"/>
        <v>218339663.12585348</v>
      </c>
      <c r="BK116" s="309">
        <f t="shared" si="145"/>
        <v>216909703.15897837</v>
      </c>
      <c r="BL116" s="309">
        <f t="shared" si="145"/>
        <v>215534119.71946806</v>
      </c>
      <c r="BM116" s="309">
        <f t="shared" si="145"/>
        <v>214125234.09769592</v>
      </c>
      <c r="BN116" s="309">
        <f t="shared" si="145"/>
        <v>212728393.97008324</v>
      </c>
      <c r="BO116" s="309">
        <f t="shared" si="145"/>
        <v>211308756.6116963</v>
      </c>
      <c r="BP116" s="309">
        <f t="shared" si="145"/>
        <v>0</v>
      </c>
      <c r="BQ116" s="309">
        <f t="shared" si="145"/>
        <v>0</v>
      </c>
      <c r="BR116" s="309">
        <f t="shared" ref="BR116:CW116" si="146">BQ$128</f>
        <v>0</v>
      </c>
      <c r="BS116" s="309">
        <f t="shared" si="146"/>
        <v>0</v>
      </c>
      <c r="BT116" s="309">
        <f t="shared" si="146"/>
        <v>0</v>
      </c>
      <c r="BU116" s="309">
        <f t="shared" si="146"/>
        <v>0</v>
      </c>
      <c r="BV116" s="309">
        <f t="shared" si="146"/>
        <v>0</v>
      </c>
      <c r="BW116" s="309">
        <f t="shared" si="146"/>
        <v>0</v>
      </c>
      <c r="BX116" s="309">
        <f t="shared" si="146"/>
        <v>0</v>
      </c>
      <c r="BY116" s="309">
        <f t="shared" si="146"/>
        <v>0</v>
      </c>
      <c r="BZ116" s="309">
        <f t="shared" si="146"/>
        <v>0</v>
      </c>
      <c r="CA116" s="309">
        <f t="shared" si="146"/>
        <v>0</v>
      </c>
      <c r="CB116" s="309">
        <f t="shared" si="146"/>
        <v>0</v>
      </c>
      <c r="CC116" s="309">
        <f t="shared" si="146"/>
        <v>0</v>
      </c>
      <c r="CD116" s="309">
        <f t="shared" si="146"/>
        <v>0</v>
      </c>
      <c r="CE116" s="309">
        <f t="shared" si="146"/>
        <v>0</v>
      </c>
      <c r="CF116" s="309">
        <f t="shared" si="146"/>
        <v>0</v>
      </c>
      <c r="CG116" s="309">
        <f t="shared" si="146"/>
        <v>0</v>
      </c>
      <c r="CH116" s="309">
        <f t="shared" si="146"/>
        <v>0</v>
      </c>
      <c r="CI116" s="309">
        <f t="shared" si="146"/>
        <v>0</v>
      </c>
      <c r="CJ116" s="309">
        <f t="shared" si="146"/>
        <v>0</v>
      </c>
      <c r="CK116" s="309">
        <f t="shared" si="146"/>
        <v>0</v>
      </c>
      <c r="CL116" s="309">
        <f t="shared" si="146"/>
        <v>0</v>
      </c>
      <c r="CM116" s="309">
        <f t="shared" si="146"/>
        <v>0</v>
      </c>
      <c r="CN116" s="309">
        <f t="shared" si="146"/>
        <v>0</v>
      </c>
      <c r="CO116" s="309">
        <f t="shared" si="146"/>
        <v>0</v>
      </c>
      <c r="CP116" s="309">
        <f t="shared" si="146"/>
        <v>0</v>
      </c>
      <c r="CQ116" s="309">
        <f t="shared" si="146"/>
        <v>0</v>
      </c>
      <c r="CR116" s="309">
        <f t="shared" si="146"/>
        <v>0</v>
      </c>
      <c r="CS116" s="309">
        <f t="shared" si="146"/>
        <v>0</v>
      </c>
      <c r="CT116" s="309">
        <f t="shared" si="146"/>
        <v>0</v>
      </c>
      <c r="CU116" s="309">
        <f t="shared" si="146"/>
        <v>0</v>
      </c>
      <c r="CV116" s="309">
        <f t="shared" si="146"/>
        <v>0</v>
      </c>
      <c r="CW116" s="309">
        <f t="shared" si="146"/>
        <v>0</v>
      </c>
      <c r="CX116" s="309">
        <f t="shared" ref="CX116:DV116" si="147">CW$128</f>
        <v>0</v>
      </c>
      <c r="CY116" s="309">
        <f t="shared" si="147"/>
        <v>0</v>
      </c>
      <c r="CZ116" s="309">
        <f t="shared" si="147"/>
        <v>0</v>
      </c>
      <c r="DA116" s="309">
        <f t="shared" si="147"/>
        <v>0</v>
      </c>
      <c r="DB116" s="309">
        <f t="shared" si="147"/>
        <v>0</v>
      </c>
      <c r="DC116" s="309">
        <f t="shared" si="147"/>
        <v>0</v>
      </c>
      <c r="DD116" s="309">
        <f t="shared" si="147"/>
        <v>0</v>
      </c>
      <c r="DE116" s="309">
        <f t="shared" si="147"/>
        <v>0</v>
      </c>
      <c r="DF116" s="309">
        <f t="shared" si="147"/>
        <v>0</v>
      </c>
      <c r="DG116" s="309">
        <f t="shared" si="147"/>
        <v>0</v>
      </c>
      <c r="DH116" s="309">
        <f t="shared" si="147"/>
        <v>0</v>
      </c>
      <c r="DI116" s="309">
        <f t="shared" si="147"/>
        <v>0</v>
      </c>
      <c r="DJ116" s="309">
        <f t="shared" si="147"/>
        <v>0</v>
      </c>
      <c r="DK116" s="309">
        <f t="shared" si="147"/>
        <v>0</v>
      </c>
      <c r="DL116" s="309">
        <f t="shared" si="147"/>
        <v>0</v>
      </c>
      <c r="DM116" s="309">
        <f t="shared" si="147"/>
        <v>0</v>
      </c>
      <c r="DN116" s="309">
        <f t="shared" si="147"/>
        <v>0</v>
      </c>
      <c r="DO116" s="309">
        <f t="shared" si="147"/>
        <v>0</v>
      </c>
      <c r="DP116" s="309">
        <f t="shared" si="147"/>
        <v>0</v>
      </c>
      <c r="DQ116" s="309">
        <f t="shared" si="147"/>
        <v>0</v>
      </c>
      <c r="DR116" s="309">
        <f t="shared" si="147"/>
        <v>0</v>
      </c>
      <c r="DS116" s="309">
        <f t="shared" si="147"/>
        <v>0</v>
      </c>
      <c r="DT116" s="309">
        <f t="shared" si="147"/>
        <v>0</v>
      </c>
      <c r="DU116" s="309">
        <f t="shared" si="147"/>
        <v>0</v>
      </c>
      <c r="DV116" s="309">
        <f t="shared" si="147"/>
        <v>0</v>
      </c>
    </row>
    <row r="117" spans="1:126" ht="15" customHeight="1" x14ac:dyDescent="0.35">
      <c r="A117" s="307" t="s">
        <v>1568</v>
      </c>
      <c r="B117" s="308" t="s">
        <v>1370</v>
      </c>
      <c r="C117" s="1146" t="s">
        <v>1569</v>
      </c>
      <c r="D117" s="1147"/>
      <c r="F117" s="309">
        <f t="shared" ref="F117:AK117" si="148">IF(F$69=1,MAX(0,MIN(F$74+F$81+F$82,F$120-F$119)),0)</f>
        <v>0</v>
      </c>
      <c r="G117" s="309">
        <f t="shared" si="148"/>
        <v>0</v>
      </c>
      <c r="H117" s="309">
        <f t="shared" si="148"/>
        <v>0</v>
      </c>
      <c r="I117" s="309">
        <f t="shared" si="148"/>
        <v>0</v>
      </c>
      <c r="J117" s="309">
        <f t="shared" si="148"/>
        <v>0</v>
      </c>
      <c r="K117" s="309">
        <f t="shared" si="148"/>
        <v>0</v>
      </c>
      <c r="L117" s="309">
        <f t="shared" si="148"/>
        <v>0</v>
      </c>
      <c r="M117" s="309">
        <f t="shared" si="148"/>
        <v>0</v>
      </c>
      <c r="N117" s="309">
        <f t="shared" si="148"/>
        <v>0</v>
      </c>
      <c r="O117" s="309">
        <f t="shared" si="148"/>
        <v>0</v>
      </c>
      <c r="P117" s="309">
        <f t="shared" si="148"/>
        <v>0</v>
      </c>
      <c r="Q117" s="309">
        <f t="shared" si="148"/>
        <v>0</v>
      </c>
      <c r="R117" s="309">
        <f t="shared" si="148"/>
        <v>0</v>
      </c>
      <c r="S117" s="309">
        <f t="shared" si="148"/>
        <v>0</v>
      </c>
      <c r="T117" s="309">
        <f t="shared" si="148"/>
        <v>0</v>
      </c>
      <c r="U117" s="309">
        <f t="shared" si="148"/>
        <v>0</v>
      </c>
      <c r="V117" s="309">
        <f t="shared" si="148"/>
        <v>0</v>
      </c>
      <c r="W117" s="309">
        <f t="shared" si="148"/>
        <v>0</v>
      </c>
      <c r="X117" s="309">
        <f t="shared" si="148"/>
        <v>0</v>
      </c>
      <c r="Y117" s="309">
        <f t="shared" si="148"/>
        <v>0</v>
      </c>
      <c r="Z117" s="309">
        <f t="shared" si="148"/>
        <v>0</v>
      </c>
      <c r="AA117" s="309">
        <f t="shared" si="148"/>
        <v>0</v>
      </c>
      <c r="AB117" s="309">
        <f t="shared" si="148"/>
        <v>0</v>
      </c>
      <c r="AC117" s="309">
        <f t="shared" si="148"/>
        <v>0</v>
      </c>
      <c r="AD117" s="309">
        <f t="shared" si="148"/>
        <v>0</v>
      </c>
      <c r="AE117" s="309">
        <f t="shared" si="148"/>
        <v>0</v>
      </c>
      <c r="AF117" s="309">
        <f t="shared" si="148"/>
        <v>0</v>
      </c>
      <c r="AG117" s="309">
        <f t="shared" si="148"/>
        <v>0</v>
      </c>
      <c r="AH117" s="309">
        <f t="shared" si="148"/>
        <v>0</v>
      </c>
      <c r="AI117" s="309">
        <f t="shared" si="148"/>
        <v>0</v>
      </c>
      <c r="AJ117" s="309">
        <f t="shared" si="148"/>
        <v>0</v>
      </c>
      <c r="AK117" s="309">
        <f t="shared" si="148"/>
        <v>0</v>
      </c>
      <c r="AL117" s="309">
        <f t="shared" ref="AL117:BQ117" si="149">IF(AL$69=1,MAX(0,MIN(AL$74+AL$81+AL$82,AL$120-AL$119)),0)</f>
        <v>0</v>
      </c>
      <c r="AM117" s="309">
        <f t="shared" si="149"/>
        <v>0</v>
      </c>
      <c r="AN117" s="309">
        <f t="shared" si="149"/>
        <v>0</v>
      </c>
      <c r="AO117" s="309">
        <f t="shared" si="149"/>
        <v>0</v>
      </c>
      <c r="AP117" s="309">
        <f t="shared" si="149"/>
        <v>0</v>
      </c>
      <c r="AQ117" s="309">
        <f t="shared" si="149"/>
        <v>0</v>
      </c>
      <c r="AR117" s="309">
        <f t="shared" si="149"/>
        <v>0</v>
      </c>
      <c r="AS117" s="309">
        <f t="shared" si="149"/>
        <v>0</v>
      </c>
      <c r="AT117" s="309">
        <f t="shared" si="149"/>
        <v>0</v>
      </c>
      <c r="AU117" s="309">
        <f t="shared" si="149"/>
        <v>0</v>
      </c>
      <c r="AV117" s="309">
        <f t="shared" si="149"/>
        <v>0</v>
      </c>
      <c r="AW117" s="309">
        <f t="shared" si="149"/>
        <v>0</v>
      </c>
      <c r="AX117" s="309">
        <f t="shared" si="149"/>
        <v>0</v>
      </c>
      <c r="AY117" s="309">
        <f t="shared" si="149"/>
        <v>0</v>
      </c>
      <c r="AZ117" s="309">
        <f t="shared" si="149"/>
        <v>0</v>
      </c>
      <c r="BA117" s="309">
        <f t="shared" si="149"/>
        <v>0</v>
      </c>
      <c r="BB117" s="309">
        <f t="shared" si="149"/>
        <v>0</v>
      </c>
      <c r="BC117" s="309">
        <f t="shared" si="149"/>
        <v>224265496.21103358</v>
      </c>
      <c r="BD117" s="309">
        <f t="shared" si="149"/>
        <v>0</v>
      </c>
      <c r="BE117" s="309">
        <f t="shared" si="149"/>
        <v>0</v>
      </c>
      <c r="BF117" s="309">
        <f t="shared" si="149"/>
        <v>0</v>
      </c>
      <c r="BG117" s="309">
        <f t="shared" si="149"/>
        <v>0</v>
      </c>
      <c r="BH117" s="309">
        <f t="shared" si="149"/>
        <v>0</v>
      </c>
      <c r="BI117" s="309">
        <f t="shared" si="149"/>
        <v>0</v>
      </c>
      <c r="BJ117" s="309">
        <f t="shared" si="149"/>
        <v>0</v>
      </c>
      <c r="BK117" s="309">
        <f t="shared" si="149"/>
        <v>0</v>
      </c>
      <c r="BL117" s="309">
        <f t="shared" si="149"/>
        <v>0</v>
      </c>
      <c r="BM117" s="309">
        <f t="shared" si="149"/>
        <v>0</v>
      </c>
      <c r="BN117" s="309">
        <f t="shared" si="149"/>
        <v>0</v>
      </c>
      <c r="BO117" s="309">
        <f t="shared" si="149"/>
        <v>0</v>
      </c>
      <c r="BP117" s="309">
        <f t="shared" si="149"/>
        <v>0</v>
      </c>
      <c r="BQ117" s="309">
        <f t="shared" si="149"/>
        <v>0</v>
      </c>
      <c r="BR117" s="309">
        <f t="shared" ref="BR117:CW117" si="150">IF(BR$69=1,MAX(0,MIN(BR$74+BR$81+BR$82,BR$120-BR$119)),0)</f>
        <v>0</v>
      </c>
      <c r="BS117" s="309">
        <f t="shared" si="150"/>
        <v>0</v>
      </c>
      <c r="BT117" s="309">
        <f t="shared" si="150"/>
        <v>0</v>
      </c>
      <c r="BU117" s="309">
        <f t="shared" si="150"/>
        <v>0</v>
      </c>
      <c r="BV117" s="309">
        <f t="shared" si="150"/>
        <v>0</v>
      </c>
      <c r="BW117" s="309">
        <f t="shared" si="150"/>
        <v>0</v>
      </c>
      <c r="BX117" s="309">
        <f t="shared" si="150"/>
        <v>0</v>
      </c>
      <c r="BY117" s="309">
        <f t="shared" si="150"/>
        <v>0</v>
      </c>
      <c r="BZ117" s="309">
        <f t="shared" si="150"/>
        <v>0</v>
      </c>
      <c r="CA117" s="309">
        <f t="shared" si="150"/>
        <v>0</v>
      </c>
      <c r="CB117" s="309">
        <f t="shared" si="150"/>
        <v>0</v>
      </c>
      <c r="CC117" s="309">
        <f t="shared" si="150"/>
        <v>0</v>
      </c>
      <c r="CD117" s="309">
        <f t="shared" si="150"/>
        <v>0</v>
      </c>
      <c r="CE117" s="309">
        <f t="shared" si="150"/>
        <v>0</v>
      </c>
      <c r="CF117" s="309">
        <f t="shared" si="150"/>
        <v>0</v>
      </c>
      <c r="CG117" s="309">
        <f t="shared" si="150"/>
        <v>0</v>
      </c>
      <c r="CH117" s="309">
        <f t="shared" si="150"/>
        <v>0</v>
      </c>
      <c r="CI117" s="309">
        <f t="shared" si="150"/>
        <v>0</v>
      </c>
      <c r="CJ117" s="309">
        <f t="shared" si="150"/>
        <v>0</v>
      </c>
      <c r="CK117" s="309">
        <f t="shared" si="150"/>
        <v>0</v>
      </c>
      <c r="CL117" s="309">
        <f t="shared" si="150"/>
        <v>0</v>
      </c>
      <c r="CM117" s="309">
        <f t="shared" si="150"/>
        <v>0</v>
      </c>
      <c r="CN117" s="309">
        <f t="shared" si="150"/>
        <v>0</v>
      </c>
      <c r="CO117" s="309">
        <f t="shared" si="150"/>
        <v>0</v>
      </c>
      <c r="CP117" s="309">
        <f t="shared" si="150"/>
        <v>0</v>
      </c>
      <c r="CQ117" s="309">
        <f t="shared" si="150"/>
        <v>0</v>
      </c>
      <c r="CR117" s="309">
        <f t="shared" si="150"/>
        <v>0</v>
      </c>
      <c r="CS117" s="309">
        <f t="shared" si="150"/>
        <v>0</v>
      </c>
      <c r="CT117" s="309">
        <f t="shared" si="150"/>
        <v>0</v>
      </c>
      <c r="CU117" s="309">
        <f t="shared" si="150"/>
        <v>0</v>
      </c>
      <c r="CV117" s="309">
        <f t="shared" si="150"/>
        <v>0</v>
      </c>
      <c r="CW117" s="309">
        <f t="shared" si="150"/>
        <v>0</v>
      </c>
      <c r="CX117" s="309">
        <f t="shared" ref="CX117:DV117" si="151">IF(CX$69=1,MAX(0,MIN(CX$74+CX$81+CX$82,CX$120-CX$119)),0)</f>
        <v>0</v>
      </c>
      <c r="CY117" s="309">
        <f t="shared" si="151"/>
        <v>0</v>
      </c>
      <c r="CZ117" s="309">
        <f t="shared" si="151"/>
        <v>0</v>
      </c>
      <c r="DA117" s="309">
        <f t="shared" si="151"/>
        <v>0</v>
      </c>
      <c r="DB117" s="309">
        <f t="shared" si="151"/>
        <v>0</v>
      </c>
      <c r="DC117" s="309">
        <f t="shared" si="151"/>
        <v>0</v>
      </c>
      <c r="DD117" s="309">
        <f t="shared" si="151"/>
        <v>0</v>
      </c>
      <c r="DE117" s="309">
        <f t="shared" si="151"/>
        <v>0</v>
      </c>
      <c r="DF117" s="309">
        <f t="shared" si="151"/>
        <v>0</v>
      </c>
      <c r="DG117" s="309">
        <f t="shared" si="151"/>
        <v>0</v>
      </c>
      <c r="DH117" s="309">
        <f t="shared" si="151"/>
        <v>0</v>
      </c>
      <c r="DI117" s="309">
        <f t="shared" si="151"/>
        <v>0</v>
      </c>
      <c r="DJ117" s="309">
        <f t="shared" si="151"/>
        <v>0</v>
      </c>
      <c r="DK117" s="309">
        <f t="shared" si="151"/>
        <v>0</v>
      </c>
      <c r="DL117" s="309">
        <f t="shared" si="151"/>
        <v>0</v>
      </c>
      <c r="DM117" s="309">
        <f t="shared" si="151"/>
        <v>0</v>
      </c>
      <c r="DN117" s="309">
        <f t="shared" si="151"/>
        <v>0</v>
      </c>
      <c r="DO117" s="309">
        <f t="shared" si="151"/>
        <v>0</v>
      </c>
      <c r="DP117" s="309">
        <f t="shared" si="151"/>
        <v>0</v>
      </c>
      <c r="DQ117" s="309">
        <f t="shared" si="151"/>
        <v>0</v>
      </c>
      <c r="DR117" s="309">
        <f t="shared" si="151"/>
        <v>0</v>
      </c>
      <c r="DS117" s="309">
        <f t="shared" si="151"/>
        <v>0</v>
      </c>
      <c r="DT117" s="309">
        <f t="shared" si="151"/>
        <v>0</v>
      </c>
      <c r="DU117" s="309">
        <f t="shared" si="151"/>
        <v>0</v>
      </c>
      <c r="DV117" s="309">
        <f t="shared" si="151"/>
        <v>0</v>
      </c>
    </row>
    <row r="118" spans="1:126" ht="15" customHeight="1" x14ac:dyDescent="0.35">
      <c r="A118" s="307" t="s">
        <v>1570</v>
      </c>
      <c r="B118" s="308" t="s">
        <v>1370</v>
      </c>
      <c r="C118" s="1146" t="s">
        <v>1571</v>
      </c>
      <c r="D118" s="1147"/>
      <c r="F118" s="309">
        <f t="shared" ref="F118:AK118" si="152">IF(AND(F$69=1,$B$36="Yes"),MAX(0,MIN(F$101,F$120-F$119-F$117)),0)</f>
        <v>0</v>
      </c>
      <c r="G118" s="309">
        <f t="shared" si="152"/>
        <v>0</v>
      </c>
      <c r="H118" s="309">
        <f t="shared" si="152"/>
        <v>0</v>
      </c>
      <c r="I118" s="309">
        <f t="shared" si="152"/>
        <v>0</v>
      </c>
      <c r="J118" s="309">
        <f t="shared" si="152"/>
        <v>0</v>
      </c>
      <c r="K118" s="309">
        <f t="shared" si="152"/>
        <v>0</v>
      </c>
      <c r="L118" s="309">
        <f t="shared" si="152"/>
        <v>0</v>
      </c>
      <c r="M118" s="309">
        <f t="shared" si="152"/>
        <v>0</v>
      </c>
      <c r="N118" s="309">
        <f t="shared" si="152"/>
        <v>0</v>
      </c>
      <c r="O118" s="309">
        <f t="shared" si="152"/>
        <v>0</v>
      </c>
      <c r="P118" s="309">
        <f t="shared" si="152"/>
        <v>0</v>
      </c>
      <c r="Q118" s="309">
        <f t="shared" si="152"/>
        <v>0</v>
      </c>
      <c r="R118" s="309">
        <f t="shared" si="152"/>
        <v>0</v>
      </c>
      <c r="S118" s="309">
        <f t="shared" si="152"/>
        <v>0</v>
      </c>
      <c r="T118" s="309">
        <f t="shared" si="152"/>
        <v>0</v>
      </c>
      <c r="U118" s="309">
        <f t="shared" si="152"/>
        <v>0</v>
      </c>
      <c r="V118" s="309">
        <f t="shared" si="152"/>
        <v>0</v>
      </c>
      <c r="W118" s="309">
        <f t="shared" si="152"/>
        <v>0</v>
      </c>
      <c r="X118" s="309">
        <f t="shared" si="152"/>
        <v>0</v>
      </c>
      <c r="Y118" s="309">
        <f t="shared" si="152"/>
        <v>0</v>
      </c>
      <c r="Z118" s="309">
        <f t="shared" si="152"/>
        <v>0</v>
      </c>
      <c r="AA118" s="309">
        <f t="shared" si="152"/>
        <v>0</v>
      </c>
      <c r="AB118" s="309">
        <f t="shared" si="152"/>
        <v>0</v>
      </c>
      <c r="AC118" s="309">
        <f t="shared" si="152"/>
        <v>0</v>
      </c>
      <c r="AD118" s="309">
        <f t="shared" si="152"/>
        <v>0</v>
      </c>
      <c r="AE118" s="309">
        <f t="shared" si="152"/>
        <v>0</v>
      </c>
      <c r="AF118" s="309">
        <f t="shared" si="152"/>
        <v>0</v>
      </c>
      <c r="AG118" s="309">
        <f t="shared" si="152"/>
        <v>0</v>
      </c>
      <c r="AH118" s="309">
        <f t="shared" si="152"/>
        <v>0</v>
      </c>
      <c r="AI118" s="309">
        <f t="shared" si="152"/>
        <v>0</v>
      </c>
      <c r="AJ118" s="309">
        <f t="shared" si="152"/>
        <v>0</v>
      </c>
      <c r="AK118" s="309">
        <f t="shared" si="152"/>
        <v>0</v>
      </c>
      <c r="AL118" s="309">
        <f t="shared" ref="AL118:BQ118" si="153">IF(AND(AL$69=1,$B$36="Yes"),MAX(0,MIN(AL$101,AL$120-AL$119-AL$117)),0)</f>
        <v>0</v>
      </c>
      <c r="AM118" s="309">
        <f t="shared" si="153"/>
        <v>0</v>
      </c>
      <c r="AN118" s="309">
        <f t="shared" si="153"/>
        <v>0</v>
      </c>
      <c r="AO118" s="309">
        <f t="shared" si="153"/>
        <v>0</v>
      </c>
      <c r="AP118" s="309">
        <f t="shared" si="153"/>
        <v>0</v>
      </c>
      <c r="AQ118" s="309">
        <f t="shared" si="153"/>
        <v>0</v>
      </c>
      <c r="AR118" s="309">
        <f t="shared" si="153"/>
        <v>0</v>
      </c>
      <c r="AS118" s="309">
        <f t="shared" si="153"/>
        <v>0</v>
      </c>
      <c r="AT118" s="309">
        <f t="shared" si="153"/>
        <v>0</v>
      </c>
      <c r="AU118" s="309">
        <f t="shared" si="153"/>
        <v>0</v>
      </c>
      <c r="AV118" s="309">
        <f t="shared" si="153"/>
        <v>0</v>
      </c>
      <c r="AW118" s="309">
        <f t="shared" si="153"/>
        <v>0</v>
      </c>
      <c r="AX118" s="309">
        <f t="shared" si="153"/>
        <v>0</v>
      </c>
      <c r="AY118" s="309">
        <f t="shared" si="153"/>
        <v>0</v>
      </c>
      <c r="AZ118" s="309">
        <f t="shared" si="153"/>
        <v>0</v>
      </c>
      <c r="BA118" s="309">
        <f t="shared" si="153"/>
        <v>0</v>
      </c>
      <c r="BB118" s="309">
        <f t="shared" si="153"/>
        <v>0</v>
      </c>
      <c r="BC118" s="309">
        <f t="shared" si="153"/>
        <v>0</v>
      </c>
      <c r="BD118" s="309">
        <f t="shared" si="153"/>
        <v>0</v>
      </c>
      <c r="BE118" s="309">
        <f t="shared" si="153"/>
        <v>0</v>
      </c>
      <c r="BF118" s="309">
        <f t="shared" si="153"/>
        <v>0</v>
      </c>
      <c r="BG118" s="309">
        <f t="shared" si="153"/>
        <v>0</v>
      </c>
      <c r="BH118" s="309">
        <f t="shared" si="153"/>
        <v>0</v>
      </c>
      <c r="BI118" s="309">
        <f t="shared" si="153"/>
        <v>0</v>
      </c>
      <c r="BJ118" s="309">
        <f t="shared" si="153"/>
        <v>0</v>
      </c>
      <c r="BK118" s="309">
        <f t="shared" si="153"/>
        <v>0</v>
      </c>
      <c r="BL118" s="309">
        <f t="shared" si="153"/>
        <v>0</v>
      </c>
      <c r="BM118" s="309">
        <f t="shared" si="153"/>
        <v>0</v>
      </c>
      <c r="BN118" s="309">
        <f t="shared" si="153"/>
        <v>0</v>
      </c>
      <c r="BO118" s="309">
        <f t="shared" si="153"/>
        <v>0</v>
      </c>
      <c r="BP118" s="309">
        <f t="shared" si="153"/>
        <v>0</v>
      </c>
      <c r="BQ118" s="309">
        <f t="shared" si="153"/>
        <v>0</v>
      </c>
      <c r="BR118" s="309">
        <f t="shared" ref="BR118:CW118" si="154">IF(AND(BR$69=1,$B$36="Yes"),MAX(0,MIN(BR$101,BR$120-BR$119-BR$117)),0)</f>
        <v>0</v>
      </c>
      <c r="BS118" s="309">
        <f t="shared" si="154"/>
        <v>0</v>
      </c>
      <c r="BT118" s="309">
        <f t="shared" si="154"/>
        <v>0</v>
      </c>
      <c r="BU118" s="309">
        <f t="shared" si="154"/>
        <v>0</v>
      </c>
      <c r="BV118" s="309">
        <f t="shared" si="154"/>
        <v>0</v>
      </c>
      <c r="BW118" s="309">
        <f t="shared" si="154"/>
        <v>0</v>
      </c>
      <c r="BX118" s="309">
        <f t="shared" si="154"/>
        <v>0</v>
      </c>
      <c r="BY118" s="309">
        <f t="shared" si="154"/>
        <v>0</v>
      </c>
      <c r="BZ118" s="309">
        <f t="shared" si="154"/>
        <v>0</v>
      </c>
      <c r="CA118" s="309">
        <f t="shared" si="154"/>
        <v>0</v>
      </c>
      <c r="CB118" s="309">
        <f t="shared" si="154"/>
        <v>0</v>
      </c>
      <c r="CC118" s="309">
        <f t="shared" si="154"/>
        <v>0</v>
      </c>
      <c r="CD118" s="309">
        <f t="shared" si="154"/>
        <v>0</v>
      </c>
      <c r="CE118" s="309">
        <f t="shared" si="154"/>
        <v>0</v>
      </c>
      <c r="CF118" s="309">
        <f t="shared" si="154"/>
        <v>0</v>
      </c>
      <c r="CG118" s="309">
        <f t="shared" si="154"/>
        <v>0</v>
      </c>
      <c r="CH118" s="309">
        <f t="shared" si="154"/>
        <v>0</v>
      </c>
      <c r="CI118" s="309">
        <f t="shared" si="154"/>
        <v>0</v>
      </c>
      <c r="CJ118" s="309">
        <f t="shared" si="154"/>
        <v>0</v>
      </c>
      <c r="CK118" s="309">
        <f t="shared" si="154"/>
        <v>0</v>
      </c>
      <c r="CL118" s="309">
        <f t="shared" si="154"/>
        <v>0</v>
      </c>
      <c r="CM118" s="309">
        <f t="shared" si="154"/>
        <v>0</v>
      </c>
      <c r="CN118" s="309">
        <f t="shared" si="154"/>
        <v>0</v>
      </c>
      <c r="CO118" s="309">
        <f t="shared" si="154"/>
        <v>0</v>
      </c>
      <c r="CP118" s="309">
        <f t="shared" si="154"/>
        <v>0</v>
      </c>
      <c r="CQ118" s="309">
        <f t="shared" si="154"/>
        <v>0</v>
      </c>
      <c r="CR118" s="309">
        <f t="shared" si="154"/>
        <v>0</v>
      </c>
      <c r="CS118" s="309">
        <f t="shared" si="154"/>
        <v>0</v>
      </c>
      <c r="CT118" s="309">
        <f t="shared" si="154"/>
        <v>0</v>
      </c>
      <c r="CU118" s="309">
        <f t="shared" si="154"/>
        <v>0</v>
      </c>
      <c r="CV118" s="309">
        <f t="shared" si="154"/>
        <v>0</v>
      </c>
      <c r="CW118" s="309">
        <f t="shared" si="154"/>
        <v>0</v>
      </c>
      <c r="CX118" s="309">
        <f t="shared" ref="CX118:DV118" si="155">IF(AND(CX$69=1,$B$36="Yes"),MAX(0,MIN(CX$101,CX$120-CX$119-CX$117)),0)</f>
        <v>0</v>
      </c>
      <c r="CY118" s="309">
        <f t="shared" si="155"/>
        <v>0</v>
      </c>
      <c r="CZ118" s="309">
        <f t="shared" si="155"/>
        <v>0</v>
      </c>
      <c r="DA118" s="309">
        <f t="shared" si="155"/>
        <v>0</v>
      </c>
      <c r="DB118" s="309">
        <f t="shared" si="155"/>
        <v>0</v>
      </c>
      <c r="DC118" s="309">
        <f t="shared" si="155"/>
        <v>0</v>
      </c>
      <c r="DD118" s="309">
        <f t="shared" si="155"/>
        <v>0</v>
      </c>
      <c r="DE118" s="309">
        <f t="shared" si="155"/>
        <v>0</v>
      </c>
      <c r="DF118" s="309">
        <f t="shared" si="155"/>
        <v>0</v>
      </c>
      <c r="DG118" s="309">
        <f t="shared" si="155"/>
        <v>0</v>
      </c>
      <c r="DH118" s="309">
        <f t="shared" si="155"/>
        <v>0</v>
      </c>
      <c r="DI118" s="309">
        <f t="shared" si="155"/>
        <v>0</v>
      </c>
      <c r="DJ118" s="309">
        <f t="shared" si="155"/>
        <v>0</v>
      </c>
      <c r="DK118" s="309">
        <f t="shared" si="155"/>
        <v>0</v>
      </c>
      <c r="DL118" s="309">
        <f t="shared" si="155"/>
        <v>0</v>
      </c>
      <c r="DM118" s="309">
        <f t="shared" si="155"/>
        <v>0</v>
      </c>
      <c r="DN118" s="309">
        <f t="shared" si="155"/>
        <v>0</v>
      </c>
      <c r="DO118" s="309">
        <f t="shared" si="155"/>
        <v>0</v>
      </c>
      <c r="DP118" s="309">
        <f t="shared" si="155"/>
        <v>0</v>
      </c>
      <c r="DQ118" s="309">
        <f t="shared" si="155"/>
        <v>0</v>
      </c>
      <c r="DR118" s="309">
        <f t="shared" si="155"/>
        <v>0</v>
      </c>
      <c r="DS118" s="309">
        <f t="shared" si="155"/>
        <v>0</v>
      </c>
      <c r="DT118" s="309">
        <f t="shared" si="155"/>
        <v>0</v>
      </c>
      <c r="DU118" s="309">
        <f t="shared" si="155"/>
        <v>0</v>
      </c>
      <c r="DV118" s="309">
        <f t="shared" si="155"/>
        <v>0</v>
      </c>
    </row>
    <row r="119" spans="1:126" ht="15" customHeight="1" x14ac:dyDescent="0.35">
      <c r="A119" s="307" t="s">
        <v>1572</v>
      </c>
      <c r="B119" s="308" t="s">
        <v>1370</v>
      </c>
      <c r="C119" s="1146" t="s">
        <v>1573</v>
      </c>
      <c r="D119" s="1147"/>
      <c r="F119" s="309">
        <f t="shared" ref="F119:AK119" si="156">IF(F$69=1,(F$74+F$81+F$82+IF($B$36="Yes",F$101,0))*$B$47,0)</f>
        <v>0</v>
      </c>
      <c r="G119" s="309">
        <f t="shared" si="156"/>
        <v>0</v>
      </c>
      <c r="H119" s="309">
        <f t="shared" si="156"/>
        <v>0</v>
      </c>
      <c r="I119" s="309">
        <f t="shared" si="156"/>
        <v>0</v>
      </c>
      <c r="J119" s="309">
        <f t="shared" si="156"/>
        <v>0</v>
      </c>
      <c r="K119" s="309">
        <f t="shared" si="156"/>
        <v>0</v>
      </c>
      <c r="L119" s="309">
        <f t="shared" si="156"/>
        <v>0</v>
      </c>
      <c r="M119" s="309">
        <f t="shared" si="156"/>
        <v>0</v>
      </c>
      <c r="N119" s="309">
        <f t="shared" si="156"/>
        <v>0</v>
      </c>
      <c r="O119" s="309">
        <f t="shared" si="156"/>
        <v>0</v>
      </c>
      <c r="P119" s="309">
        <f t="shared" si="156"/>
        <v>0</v>
      </c>
      <c r="Q119" s="309">
        <f t="shared" si="156"/>
        <v>0</v>
      </c>
      <c r="R119" s="309">
        <f t="shared" si="156"/>
        <v>0</v>
      </c>
      <c r="S119" s="309">
        <f t="shared" si="156"/>
        <v>0</v>
      </c>
      <c r="T119" s="309">
        <f t="shared" si="156"/>
        <v>0</v>
      </c>
      <c r="U119" s="309">
        <f t="shared" si="156"/>
        <v>0</v>
      </c>
      <c r="V119" s="309">
        <f t="shared" si="156"/>
        <v>0</v>
      </c>
      <c r="W119" s="309">
        <f t="shared" si="156"/>
        <v>0</v>
      </c>
      <c r="X119" s="309">
        <f t="shared" si="156"/>
        <v>0</v>
      </c>
      <c r="Y119" s="309">
        <f t="shared" si="156"/>
        <v>0</v>
      </c>
      <c r="Z119" s="309">
        <f t="shared" si="156"/>
        <v>0</v>
      </c>
      <c r="AA119" s="309">
        <f t="shared" si="156"/>
        <v>0</v>
      </c>
      <c r="AB119" s="309">
        <f t="shared" si="156"/>
        <v>0</v>
      </c>
      <c r="AC119" s="309">
        <f t="shared" si="156"/>
        <v>0</v>
      </c>
      <c r="AD119" s="309">
        <f t="shared" si="156"/>
        <v>0</v>
      </c>
      <c r="AE119" s="309">
        <f t="shared" si="156"/>
        <v>0</v>
      </c>
      <c r="AF119" s="309">
        <f t="shared" si="156"/>
        <v>0</v>
      </c>
      <c r="AG119" s="309">
        <f t="shared" si="156"/>
        <v>0</v>
      </c>
      <c r="AH119" s="309">
        <f t="shared" si="156"/>
        <v>0</v>
      </c>
      <c r="AI119" s="309">
        <f t="shared" si="156"/>
        <v>0</v>
      </c>
      <c r="AJ119" s="309">
        <f t="shared" si="156"/>
        <v>0</v>
      </c>
      <c r="AK119" s="309">
        <f t="shared" si="156"/>
        <v>0</v>
      </c>
      <c r="AL119" s="309">
        <f t="shared" ref="AL119:BQ119" si="157">IF(AL$69=1,(AL$74+AL$81+AL$82+IF($B$36="Yes",AL$101,0))*$B$47,0)</f>
        <v>0</v>
      </c>
      <c r="AM119" s="309">
        <f t="shared" si="157"/>
        <v>0</v>
      </c>
      <c r="AN119" s="309">
        <f t="shared" si="157"/>
        <v>0</v>
      </c>
      <c r="AO119" s="309">
        <f t="shared" si="157"/>
        <v>0</v>
      </c>
      <c r="AP119" s="309">
        <f t="shared" si="157"/>
        <v>0</v>
      </c>
      <c r="AQ119" s="309">
        <f t="shared" si="157"/>
        <v>0</v>
      </c>
      <c r="AR119" s="309">
        <f t="shared" si="157"/>
        <v>0</v>
      </c>
      <c r="AS119" s="309">
        <f t="shared" si="157"/>
        <v>0</v>
      </c>
      <c r="AT119" s="309">
        <f t="shared" si="157"/>
        <v>0</v>
      </c>
      <c r="AU119" s="309">
        <f t="shared" si="157"/>
        <v>0</v>
      </c>
      <c r="AV119" s="309">
        <f t="shared" si="157"/>
        <v>0</v>
      </c>
      <c r="AW119" s="309">
        <f t="shared" si="157"/>
        <v>0</v>
      </c>
      <c r="AX119" s="309">
        <f t="shared" si="157"/>
        <v>0</v>
      </c>
      <c r="AY119" s="309">
        <f t="shared" si="157"/>
        <v>0</v>
      </c>
      <c r="AZ119" s="309">
        <f t="shared" si="157"/>
        <v>0</v>
      </c>
      <c r="BA119" s="309">
        <f t="shared" si="157"/>
        <v>0</v>
      </c>
      <c r="BB119" s="309">
        <f t="shared" si="157"/>
        <v>0</v>
      </c>
      <c r="BC119" s="309">
        <f t="shared" si="157"/>
        <v>2242654.9621103359</v>
      </c>
      <c r="BD119" s="309">
        <f t="shared" si="157"/>
        <v>0</v>
      </c>
      <c r="BE119" s="309">
        <f t="shared" si="157"/>
        <v>0</v>
      </c>
      <c r="BF119" s="309">
        <f t="shared" si="157"/>
        <v>0</v>
      </c>
      <c r="BG119" s="309">
        <f t="shared" si="157"/>
        <v>0</v>
      </c>
      <c r="BH119" s="309">
        <f t="shared" si="157"/>
        <v>0</v>
      </c>
      <c r="BI119" s="309">
        <f t="shared" si="157"/>
        <v>0</v>
      </c>
      <c r="BJ119" s="309">
        <f t="shared" si="157"/>
        <v>0</v>
      </c>
      <c r="BK119" s="309">
        <f t="shared" si="157"/>
        <v>0</v>
      </c>
      <c r="BL119" s="309">
        <f t="shared" si="157"/>
        <v>0</v>
      </c>
      <c r="BM119" s="309">
        <f t="shared" si="157"/>
        <v>0</v>
      </c>
      <c r="BN119" s="309">
        <f t="shared" si="157"/>
        <v>0</v>
      </c>
      <c r="BO119" s="309">
        <f t="shared" si="157"/>
        <v>0</v>
      </c>
      <c r="BP119" s="309">
        <f t="shared" si="157"/>
        <v>0</v>
      </c>
      <c r="BQ119" s="309">
        <f t="shared" si="157"/>
        <v>0</v>
      </c>
      <c r="BR119" s="309">
        <f t="shared" ref="BR119:CW119" si="158">IF(BR$69=1,(BR$74+BR$81+BR$82+IF($B$36="Yes",BR$101,0))*$B$47,0)</f>
        <v>0</v>
      </c>
      <c r="BS119" s="309">
        <f t="shared" si="158"/>
        <v>0</v>
      </c>
      <c r="BT119" s="309">
        <f t="shared" si="158"/>
        <v>0</v>
      </c>
      <c r="BU119" s="309">
        <f t="shared" si="158"/>
        <v>0</v>
      </c>
      <c r="BV119" s="309">
        <f t="shared" si="158"/>
        <v>0</v>
      </c>
      <c r="BW119" s="309">
        <f t="shared" si="158"/>
        <v>0</v>
      </c>
      <c r="BX119" s="309">
        <f t="shared" si="158"/>
        <v>0</v>
      </c>
      <c r="BY119" s="309">
        <f t="shared" si="158"/>
        <v>0</v>
      </c>
      <c r="BZ119" s="309">
        <f t="shared" si="158"/>
        <v>0</v>
      </c>
      <c r="CA119" s="309">
        <f t="shared" si="158"/>
        <v>0</v>
      </c>
      <c r="CB119" s="309">
        <f t="shared" si="158"/>
        <v>0</v>
      </c>
      <c r="CC119" s="309">
        <f t="shared" si="158"/>
        <v>0</v>
      </c>
      <c r="CD119" s="309">
        <f t="shared" si="158"/>
        <v>0</v>
      </c>
      <c r="CE119" s="309">
        <f t="shared" si="158"/>
        <v>0</v>
      </c>
      <c r="CF119" s="309">
        <f t="shared" si="158"/>
        <v>0</v>
      </c>
      <c r="CG119" s="309">
        <f t="shared" si="158"/>
        <v>0</v>
      </c>
      <c r="CH119" s="309">
        <f t="shared" si="158"/>
        <v>0</v>
      </c>
      <c r="CI119" s="309">
        <f t="shared" si="158"/>
        <v>0</v>
      </c>
      <c r="CJ119" s="309">
        <f t="shared" si="158"/>
        <v>0</v>
      </c>
      <c r="CK119" s="309">
        <f t="shared" si="158"/>
        <v>0</v>
      </c>
      <c r="CL119" s="309">
        <f t="shared" si="158"/>
        <v>0</v>
      </c>
      <c r="CM119" s="309">
        <f t="shared" si="158"/>
        <v>0</v>
      </c>
      <c r="CN119" s="309">
        <f t="shared" si="158"/>
        <v>0</v>
      </c>
      <c r="CO119" s="309">
        <f t="shared" si="158"/>
        <v>0</v>
      </c>
      <c r="CP119" s="309">
        <f t="shared" si="158"/>
        <v>0</v>
      </c>
      <c r="CQ119" s="309">
        <f t="shared" si="158"/>
        <v>0</v>
      </c>
      <c r="CR119" s="309">
        <f t="shared" si="158"/>
        <v>0</v>
      </c>
      <c r="CS119" s="309">
        <f t="shared" si="158"/>
        <v>0</v>
      </c>
      <c r="CT119" s="309">
        <f t="shared" si="158"/>
        <v>0</v>
      </c>
      <c r="CU119" s="309">
        <f t="shared" si="158"/>
        <v>0</v>
      </c>
      <c r="CV119" s="309">
        <f t="shared" si="158"/>
        <v>0</v>
      </c>
      <c r="CW119" s="309">
        <f t="shared" si="158"/>
        <v>0</v>
      </c>
      <c r="CX119" s="309">
        <f t="shared" ref="CX119:DV119" si="159">IF(CX$69=1,(CX$74+CX$81+CX$82+IF($B$36="Yes",CX$101,0))*$B$47,0)</f>
        <v>0</v>
      </c>
      <c r="CY119" s="309">
        <f t="shared" si="159"/>
        <v>0</v>
      </c>
      <c r="CZ119" s="309">
        <f t="shared" si="159"/>
        <v>0</v>
      </c>
      <c r="DA119" s="309">
        <f t="shared" si="159"/>
        <v>0</v>
      </c>
      <c r="DB119" s="309">
        <f t="shared" si="159"/>
        <v>0</v>
      </c>
      <c r="DC119" s="309">
        <f t="shared" si="159"/>
        <v>0</v>
      </c>
      <c r="DD119" s="309">
        <f t="shared" si="159"/>
        <v>0</v>
      </c>
      <c r="DE119" s="309">
        <f t="shared" si="159"/>
        <v>0</v>
      </c>
      <c r="DF119" s="309">
        <f t="shared" si="159"/>
        <v>0</v>
      </c>
      <c r="DG119" s="309">
        <f t="shared" si="159"/>
        <v>0</v>
      </c>
      <c r="DH119" s="309">
        <f t="shared" si="159"/>
        <v>0</v>
      </c>
      <c r="DI119" s="309">
        <f t="shared" si="159"/>
        <v>0</v>
      </c>
      <c r="DJ119" s="309">
        <f t="shared" si="159"/>
        <v>0</v>
      </c>
      <c r="DK119" s="309">
        <f t="shared" si="159"/>
        <v>0</v>
      </c>
      <c r="DL119" s="309">
        <f t="shared" si="159"/>
        <v>0</v>
      </c>
      <c r="DM119" s="309">
        <f t="shared" si="159"/>
        <v>0</v>
      </c>
      <c r="DN119" s="309">
        <f t="shared" si="159"/>
        <v>0</v>
      </c>
      <c r="DO119" s="309">
        <f t="shared" si="159"/>
        <v>0</v>
      </c>
      <c r="DP119" s="309">
        <f t="shared" si="159"/>
        <v>0</v>
      </c>
      <c r="DQ119" s="309">
        <f t="shared" si="159"/>
        <v>0</v>
      </c>
      <c r="DR119" s="309">
        <f t="shared" si="159"/>
        <v>0</v>
      </c>
      <c r="DS119" s="309">
        <f t="shared" si="159"/>
        <v>0</v>
      </c>
      <c r="DT119" s="309">
        <f t="shared" si="159"/>
        <v>0</v>
      </c>
      <c r="DU119" s="309">
        <f t="shared" si="159"/>
        <v>0</v>
      </c>
      <c r="DV119" s="309">
        <f t="shared" si="159"/>
        <v>0</v>
      </c>
    </row>
    <row r="120" spans="1:126" ht="15" customHeight="1" x14ac:dyDescent="0.35">
      <c r="A120" s="307" t="s">
        <v>1574</v>
      </c>
      <c r="B120" s="308" t="s">
        <v>1370</v>
      </c>
      <c r="C120" s="1146" t="s">
        <v>1575</v>
      </c>
      <c r="D120" s="1147"/>
      <c r="F120" s="309">
        <f>IF(F$69=1,MAX(0,MIN($B$37*INDEX($Q$31:$Q$33,MATCH($B$6,$J$31:$J$33,0)),'VALUATION &amp; RETURNS'!$DA$8*1000000*INDEX($O$31:$O$33,MATCH($B$6,$J$31:$J$33,0))*MAX(0,$B$38+INDEX($R$31:$R$33,MATCH($B$6,$J$31:$J$33,0))),F$74+F$81+F$82+IF($B$36="Yes",F$101,0)+F$119)),0)</f>
        <v>0</v>
      </c>
      <c r="G120" s="309">
        <f>IF(G$69=1,MAX(0,MIN($B$37*INDEX($Q$31:$Q$33,MATCH($B$6,$J$31:$J$33,0)),'VALUATION &amp; RETURNS'!$DA$8*1000000*INDEX($O$31:$O$33,MATCH($B$6,$J$31:$J$33,0))*MAX(0,$B$38+INDEX($R$31:$R$33,MATCH($B$6,$J$31:$J$33,0))),G$74+G$81+G$82+IF($B$36="Yes",G$101,0)+G$119)),0)</f>
        <v>0</v>
      </c>
      <c r="H120" s="309">
        <f>IF(H$69=1,MAX(0,MIN($B$37*INDEX($Q$31:$Q$33,MATCH($B$6,$J$31:$J$33,0)),'VALUATION &amp; RETURNS'!$DA$8*1000000*INDEX($O$31:$O$33,MATCH($B$6,$J$31:$J$33,0))*MAX(0,$B$38+INDEX($R$31:$R$33,MATCH($B$6,$J$31:$J$33,0))),H$74+H$81+H$82+IF($B$36="Yes",H$101,0)+H$119)),0)</f>
        <v>0</v>
      </c>
      <c r="I120" s="309">
        <f>IF(I$69=1,MAX(0,MIN($B$37*INDEX($Q$31:$Q$33,MATCH($B$6,$J$31:$J$33,0)),'VALUATION &amp; RETURNS'!$DA$8*1000000*INDEX($O$31:$O$33,MATCH($B$6,$J$31:$J$33,0))*MAX(0,$B$38+INDEX($R$31:$R$33,MATCH($B$6,$J$31:$J$33,0))),I$74+I$81+I$82+IF($B$36="Yes",I$101,0)+I$119)),0)</f>
        <v>0</v>
      </c>
      <c r="J120" s="309">
        <f>IF(J$69=1,MAX(0,MIN($B$37*INDEX($Q$31:$Q$33,MATCH($B$6,$J$31:$J$33,0)),'VALUATION &amp; RETURNS'!$DA$8*1000000*INDEX($O$31:$O$33,MATCH($B$6,$J$31:$J$33,0))*MAX(0,$B$38+INDEX($R$31:$R$33,MATCH($B$6,$J$31:$J$33,0))),J$74+J$81+J$82+IF($B$36="Yes",J$101,0)+J$119)),0)</f>
        <v>0</v>
      </c>
      <c r="K120" s="309">
        <f>IF(K$69=1,MAX(0,MIN($B$37*INDEX($Q$31:$Q$33,MATCH($B$6,$J$31:$J$33,0)),'VALUATION &amp; RETURNS'!$DA$8*1000000*INDEX($O$31:$O$33,MATCH($B$6,$J$31:$J$33,0))*MAX(0,$B$38+INDEX($R$31:$R$33,MATCH($B$6,$J$31:$J$33,0))),K$74+K$81+K$82+IF($B$36="Yes",K$101,0)+K$119)),0)</f>
        <v>0</v>
      </c>
      <c r="L120" s="309">
        <f>IF(L$69=1,MAX(0,MIN($B$37*INDEX($Q$31:$Q$33,MATCH($B$6,$J$31:$J$33,0)),'VALUATION &amp; RETURNS'!$DA$8*1000000*INDEX($O$31:$O$33,MATCH($B$6,$J$31:$J$33,0))*MAX(0,$B$38+INDEX($R$31:$R$33,MATCH($B$6,$J$31:$J$33,0))),L$74+L$81+L$82+IF($B$36="Yes",L$101,0)+L$119)),0)</f>
        <v>0</v>
      </c>
      <c r="M120" s="309">
        <f>IF(M$69=1,MAX(0,MIN($B$37*INDEX($Q$31:$Q$33,MATCH($B$6,$J$31:$J$33,0)),'VALUATION &amp; RETURNS'!$DA$8*1000000*INDEX($O$31:$O$33,MATCH($B$6,$J$31:$J$33,0))*MAX(0,$B$38+INDEX($R$31:$R$33,MATCH($B$6,$J$31:$J$33,0))),M$74+M$81+M$82+IF($B$36="Yes",M$101,0)+M$119)),0)</f>
        <v>0</v>
      </c>
      <c r="N120" s="309">
        <f>IF(N$69=1,MAX(0,MIN($B$37*INDEX($Q$31:$Q$33,MATCH($B$6,$J$31:$J$33,0)),'VALUATION &amp; RETURNS'!$DA$8*1000000*INDEX($O$31:$O$33,MATCH($B$6,$J$31:$J$33,0))*MAX(0,$B$38+INDEX($R$31:$R$33,MATCH($B$6,$J$31:$J$33,0))),N$74+N$81+N$82+IF($B$36="Yes",N$101,0)+N$119)),0)</f>
        <v>0</v>
      </c>
      <c r="O120" s="309">
        <f>IF(O$69=1,MAX(0,MIN($B$37*INDEX($Q$31:$Q$33,MATCH($B$6,$J$31:$J$33,0)),'VALUATION &amp; RETURNS'!$DA$8*1000000*INDEX($O$31:$O$33,MATCH($B$6,$J$31:$J$33,0))*MAX(0,$B$38+INDEX($R$31:$R$33,MATCH($B$6,$J$31:$J$33,0))),O$74+O$81+O$82+IF($B$36="Yes",O$101,0)+O$119)),0)</f>
        <v>0</v>
      </c>
      <c r="P120" s="309">
        <f>IF(P$69=1,MAX(0,MIN($B$37*INDEX($Q$31:$Q$33,MATCH($B$6,$J$31:$J$33,0)),'VALUATION &amp; RETURNS'!$DA$8*1000000*INDEX($O$31:$O$33,MATCH($B$6,$J$31:$J$33,0))*MAX(0,$B$38+INDEX($R$31:$R$33,MATCH($B$6,$J$31:$J$33,0))),P$74+P$81+P$82+IF($B$36="Yes",P$101,0)+P$119)),0)</f>
        <v>0</v>
      </c>
      <c r="Q120" s="309">
        <f>IF(Q$69=1,MAX(0,MIN($B$37*INDEX($Q$31:$Q$33,MATCH($B$6,$J$31:$J$33,0)),'VALUATION &amp; RETURNS'!$DA$8*1000000*INDEX($O$31:$O$33,MATCH($B$6,$J$31:$J$33,0))*MAX(0,$B$38+INDEX($R$31:$R$33,MATCH($B$6,$J$31:$J$33,0))),Q$74+Q$81+Q$82+IF($B$36="Yes",Q$101,0)+Q$119)),0)</f>
        <v>0</v>
      </c>
      <c r="R120" s="309">
        <f>IF(R$69=1,MAX(0,MIN($B$37*INDEX($Q$31:$Q$33,MATCH($B$6,$J$31:$J$33,0)),'VALUATION &amp; RETURNS'!$DA$8*1000000*INDEX($O$31:$O$33,MATCH($B$6,$J$31:$J$33,0))*MAX(0,$B$38+INDEX($R$31:$R$33,MATCH($B$6,$J$31:$J$33,0))),R$74+R$81+R$82+IF($B$36="Yes",R$101,0)+R$119)),0)</f>
        <v>0</v>
      </c>
      <c r="S120" s="309">
        <f>IF(S$69=1,MAX(0,MIN($B$37*INDEX($Q$31:$Q$33,MATCH($B$6,$J$31:$J$33,0)),'VALUATION &amp; RETURNS'!$DA$8*1000000*INDEX($O$31:$O$33,MATCH($B$6,$J$31:$J$33,0))*MAX(0,$B$38+INDEX($R$31:$R$33,MATCH($B$6,$J$31:$J$33,0))),S$74+S$81+S$82+IF($B$36="Yes",S$101,0)+S$119)),0)</f>
        <v>0</v>
      </c>
      <c r="T120" s="309">
        <f>IF(T$69=1,MAX(0,MIN($B$37*INDEX($Q$31:$Q$33,MATCH($B$6,$J$31:$J$33,0)),'VALUATION &amp; RETURNS'!$DA$8*1000000*INDEX($O$31:$O$33,MATCH($B$6,$J$31:$J$33,0))*MAX(0,$B$38+INDEX($R$31:$R$33,MATCH($B$6,$J$31:$J$33,0))),T$74+T$81+T$82+IF($B$36="Yes",T$101,0)+T$119)),0)</f>
        <v>0</v>
      </c>
      <c r="U120" s="309">
        <f>IF(U$69=1,MAX(0,MIN($B$37*INDEX($Q$31:$Q$33,MATCH($B$6,$J$31:$J$33,0)),'VALUATION &amp; RETURNS'!$DA$8*1000000*INDEX($O$31:$O$33,MATCH($B$6,$J$31:$J$33,0))*MAX(0,$B$38+INDEX($R$31:$R$33,MATCH($B$6,$J$31:$J$33,0))),U$74+U$81+U$82+IF($B$36="Yes",U$101,0)+U$119)),0)</f>
        <v>0</v>
      </c>
      <c r="V120" s="309">
        <f>IF(V$69=1,MAX(0,MIN($B$37*INDEX($Q$31:$Q$33,MATCH($B$6,$J$31:$J$33,0)),'VALUATION &amp; RETURNS'!$DA$8*1000000*INDEX($O$31:$O$33,MATCH($B$6,$J$31:$J$33,0))*MAX(0,$B$38+INDEX($R$31:$R$33,MATCH($B$6,$J$31:$J$33,0))),V$74+V$81+V$82+IF($B$36="Yes",V$101,0)+V$119)),0)</f>
        <v>0</v>
      </c>
      <c r="W120" s="309">
        <f>IF(W$69=1,MAX(0,MIN($B$37*INDEX($Q$31:$Q$33,MATCH($B$6,$J$31:$J$33,0)),'VALUATION &amp; RETURNS'!$DA$8*1000000*INDEX($O$31:$O$33,MATCH($B$6,$J$31:$J$33,0))*MAX(0,$B$38+INDEX($R$31:$R$33,MATCH($B$6,$J$31:$J$33,0))),W$74+W$81+W$82+IF($B$36="Yes",W$101,0)+W$119)),0)</f>
        <v>0</v>
      </c>
      <c r="X120" s="309">
        <f>IF(X$69=1,MAX(0,MIN($B$37*INDEX($Q$31:$Q$33,MATCH($B$6,$J$31:$J$33,0)),'VALUATION &amp; RETURNS'!$DA$8*1000000*INDEX($O$31:$O$33,MATCH($B$6,$J$31:$J$33,0))*MAX(0,$B$38+INDEX($R$31:$R$33,MATCH($B$6,$J$31:$J$33,0))),X$74+X$81+X$82+IF($B$36="Yes",X$101,0)+X$119)),0)</f>
        <v>0</v>
      </c>
      <c r="Y120" s="309">
        <f>IF(Y$69=1,MAX(0,MIN($B$37*INDEX($Q$31:$Q$33,MATCH($B$6,$J$31:$J$33,0)),'VALUATION &amp; RETURNS'!$DA$8*1000000*INDEX($O$31:$O$33,MATCH($B$6,$J$31:$J$33,0))*MAX(0,$B$38+INDEX($R$31:$R$33,MATCH($B$6,$J$31:$J$33,0))),Y$74+Y$81+Y$82+IF($B$36="Yes",Y$101,0)+Y$119)),0)</f>
        <v>0</v>
      </c>
      <c r="Z120" s="309">
        <f>IF(Z$69=1,MAX(0,MIN($B$37*INDEX($Q$31:$Q$33,MATCH($B$6,$J$31:$J$33,0)),'VALUATION &amp; RETURNS'!$DA$8*1000000*INDEX($O$31:$O$33,MATCH($B$6,$J$31:$J$33,0))*MAX(0,$B$38+INDEX($R$31:$R$33,MATCH($B$6,$J$31:$J$33,0))),Z$74+Z$81+Z$82+IF($B$36="Yes",Z$101,0)+Z$119)),0)</f>
        <v>0</v>
      </c>
      <c r="AA120" s="309">
        <f>IF(AA$69=1,MAX(0,MIN($B$37*INDEX($Q$31:$Q$33,MATCH($B$6,$J$31:$J$33,0)),'VALUATION &amp; RETURNS'!$DA$8*1000000*INDEX($O$31:$O$33,MATCH($B$6,$J$31:$J$33,0))*MAX(0,$B$38+INDEX($R$31:$R$33,MATCH($B$6,$J$31:$J$33,0))),AA$74+AA$81+AA$82+IF($B$36="Yes",AA$101,0)+AA$119)),0)</f>
        <v>0</v>
      </c>
      <c r="AB120" s="309">
        <f>IF(AB$69=1,MAX(0,MIN($B$37*INDEX($Q$31:$Q$33,MATCH($B$6,$J$31:$J$33,0)),'VALUATION &amp; RETURNS'!$DA$8*1000000*INDEX($O$31:$O$33,MATCH($B$6,$J$31:$J$33,0))*MAX(0,$B$38+INDEX($R$31:$R$33,MATCH($B$6,$J$31:$J$33,0))),AB$74+AB$81+AB$82+IF($B$36="Yes",AB$101,0)+AB$119)),0)</f>
        <v>0</v>
      </c>
      <c r="AC120" s="309">
        <f>IF(AC$69=1,MAX(0,MIN($B$37*INDEX($Q$31:$Q$33,MATCH($B$6,$J$31:$J$33,0)),'VALUATION &amp; RETURNS'!$DA$8*1000000*INDEX($O$31:$O$33,MATCH($B$6,$J$31:$J$33,0))*MAX(0,$B$38+INDEX($R$31:$R$33,MATCH($B$6,$J$31:$J$33,0))),AC$74+AC$81+AC$82+IF($B$36="Yes",AC$101,0)+AC$119)),0)</f>
        <v>0</v>
      </c>
      <c r="AD120" s="309">
        <f>IF(AD$69=1,MAX(0,MIN($B$37*INDEX($Q$31:$Q$33,MATCH($B$6,$J$31:$J$33,0)),'VALUATION &amp; RETURNS'!$DA$8*1000000*INDEX($O$31:$O$33,MATCH($B$6,$J$31:$J$33,0))*MAX(0,$B$38+INDEX($R$31:$R$33,MATCH($B$6,$J$31:$J$33,0))),AD$74+AD$81+AD$82+IF($B$36="Yes",AD$101,0)+AD$119)),0)</f>
        <v>0</v>
      </c>
      <c r="AE120" s="309">
        <f>IF(AE$69=1,MAX(0,MIN($B$37*INDEX($Q$31:$Q$33,MATCH($B$6,$J$31:$J$33,0)),'VALUATION &amp; RETURNS'!$DA$8*1000000*INDEX($O$31:$O$33,MATCH($B$6,$J$31:$J$33,0))*MAX(0,$B$38+INDEX($R$31:$R$33,MATCH($B$6,$J$31:$J$33,0))),AE$74+AE$81+AE$82+IF($B$36="Yes",AE$101,0)+AE$119)),0)</f>
        <v>0</v>
      </c>
      <c r="AF120" s="309">
        <f>IF(AF$69=1,MAX(0,MIN($B$37*INDEX($Q$31:$Q$33,MATCH($B$6,$J$31:$J$33,0)),'VALUATION &amp; RETURNS'!$DA$8*1000000*INDEX($O$31:$O$33,MATCH($B$6,$J$31:$J$33,0))*MAX(0,$B$38+INDEX($R$31:$R$33,MATCH($B$6,$J$31:$J$33,0))),AF$74+AF$81+AF$82+IF($B$36="Yes",AF$101,0)+AF$119)),0)</f>
        <v>0</v>
      </c>
      <c r="AG120" s="309">
        <f>IF(AG$69=1,MAX(0,MIN($B$37*INDEX($Q$31:$Q$33,MATCH($B$6,$J$31:$J$33,0)),'VALUATION &amp; RETURNS'!$DA$8*1000000*INDEX($O$31:$O$33,MATCH($B$6,$J$31:$J$33,0))*MAX(0,$B$38+INDEX($R$31:$R$33,MATCH($B$6,$J$31:$J$33,0))),AG$74+AG$81+AG$82+IF($B$36="Yes",AG$101,0)+AG$119)),0)</f>
        <v>0</v>
      </c>
      <c r="AH120" s="309">
        <f>IF(AH$69=1,MAX(0,MIN($B$37*INDEX($Q$31:$Q$33,MATCH($B$6,$J$31:$J$33,0)),'VALUATION &amp; RETURNS'!$DA$8*1000000*INDEX($O$31:$O$33,MATCH($B$6,$J$31:$J$33,0))*MAX(0,$B$38+INDEX($R$31:$R$33,MATCH($B$6,$J$31:$J$33,0))),AH$74+AH$81+AH$82+IF($B$36="Yes",AH$101,0)+AH$119)),0)</f>
        <v>0</v>
      </c>
      <c r="AI120" s="309">
        <f>IF(AI$69=1,MAX(0,MIN($B$37*INDEX($Q$31:$Q$33,MATCH($B$6,$J$31:$J$33,0)),'VALUATION &amp; RETURNS'!$DA$8*1000000*INDEX($O$31:$O$33,MATCH($B$6,$J$31:$J$33,0))*MAX(0,$B$38+INDEX($R$31:$R$33,MATCH($B$6,$J$31:$J$33,0))),AI$74+AI$81+AI$82+IF($B$36="Yes",AI$101,0)+AI$119)),0)</f>
        <v>0</v>
      </c>
      <c r="AJ120" s="309">
        <f>IF(AJ$69=1,MAX(0,MIN($B$37*INDEX($Q$31:$Q$33,MATCH($B$6,$J$31:$J$33,0)),'VALUATION &amp; RETURNS'!$DA$8*1000000*INDEX($O$31:$O$33,MATCH($B$6,$J$31:$J$33,0))*MAX(0,$B$38+INDEX($R$31:$R$33,MATCH($B$6,$J$31:$J$33,0))),AJ$74+AJ$81+AJ$82+IF($B$36="Yes",AJ$101,0)+AJ$119)),0)</f>
        <v>0</v>
      </c>
      <c r="AK120" s="309">
        <f>IF(AK$69=1,MAX(0,MIN($B$37*INDEX($Q$31:$Q$33,MATCH($B$6,$J$31:$J$33,0)),'VALUATION &amp; RETURNS'!$DA$8*1000000*INDEX($O$31:$O$33,MATCH($B$6,$J$31:$J$33,0))*MAX(0,$B$38+INDEX($R$31:$R$33,MATCH($B$6,$J$31:$J$33,0))),AK$74+AK$81+AK$82+IF($B$36="Yes",AK$101,0)+AK$119)),0)</f>
        <v>0</v>
      </c>
      <c r="AL120" s="309">
        <f>IF(AL$69=1,MAX(0,MIN($B$37*INDEX($Q$31:$Q$33,MATCH($B$6,$J$31:$J$33,0)),'VALUATION &amp; RETURNS'!$DA$8*1000000*INDEX($O$31:$O$33,MATCH($B$6,$J$31:$J$33,0))*MAX(0,$B$38+INDEX($R$31:$R$33,MATCH($B$6,$J$31:$J$33,0))),AL$74+AL$81+AL$82+IF($B$36="Yes",AL$101,0)+AL$119)),0)</f>
        <v>0</v>
      </c>
      <c r="AM120" s="309">
        <f>IF(AM$69=1,MAX(0,MIN($B$37*INDEX($Q$31:$Q$33,MATCH($B$6,$J$31:$J$33,0)),'VALUATION &amp; RETURNS'!$DA$8*1000000*INDEX($O$31:$O$33,MATCH($B$6,$J$31:$J$33,0))*MAX(0,$B$38+INDEX($R$31:$R$33,MATCH($B$6,$J$31:$J$33,0))),AM$74+AM$81+AM$82+IF($B$36="Yes",AM$101,0)+AM$119)),0)</f>
        <v>0</v>
      </c>
      <c r="AN120" s="309">
        <f>IF(AN$69=1,MAX(0,MIN($B$37*INDEX($Q$31:$Q$33,MATCH($B$6,$J$31:$J$33,0)),'VALUATION &amp; RETURNS'!$DA$8*1000000*INDEX($O$31:$O$33,MATCH($B$6,$J$31:$J$33,0))*MAX(0,$B$38+INDEX($R$31:$R$33,MATCH($B$6,$J$31:$J$33,0))),AN$74+AN$81+AN$82+IF($B$36="Yes",AN$101,0)+AN$119)),0)</f>
        <v>0</v>
      </c>
      <c r="AO120" s="309">
        <f>IF(AO$69=1,MAX(0,MIN($B$37*INDEX($Q$31:$Q$33,MATCH($B$6,$J$31:$J$33,0)),'VALUATION &amp; RETURNS'!$DA$8*1000000*INDEX($O$31:$O$33,MATCH($B$6,$J$31:$J$33,0))*MAX(0,$B$38+INDEX($R$31:$R$33,MATCH($B$6,$J$31:$J$33,0))),AO$74+AO$81+AO$82+IF($B$36="Yes",AO$101,0)+AO$119)),0)</f>
        <v>0</v>
      </c>
      <c r="AP120" s="309">
        <f>IF(AP$69=1,MAX(0,MIN($B$37*INDEX($Q$31:$Q$33,MATCH($B$6,$J$31:$J$33,0)),'VALUATION &amp; RETURNS'!$DA$8*1000000*INDEX($O$31:$O$33,MATCH($B$6,$J$31:$J$33,0))*MAX(0,$B$38+INDEX($R$31:$R$33,MATCH($B$6,$J$31:$J$33,0))),AP$74+AP$81+AP$82+IF($B$36="Yes",AP$101,0)+AP$119)),0)</f>
        <v>0</v>
      </c>
      <c r="AQ120" s="309">
        <f>IF(AQ$69=1,MAX(0,MIN($B$37*INDEX($Q$31:$Q$33,MATCH($B$6,$J$31:$J$33,0)),'VALUATION &amp; RETURNS'!$DA$8*1000000*INDEX($O$31:$O$33,MATCH($B$6,$J$31:$J$33,0))*MAX(0,$B$38+INDEX($R$31:$R$33,MATCH($B$6,$J$31:$J$33,0))),AQ$74+AQ$81+AQ$82+IF($B$36="Yes",AQ$101,0)+AQ$119)),0)</f>
        <v>0</v>
      </c>
      <c r="AR120" s="309">
        <f>IF(AR$69=1,MAX(0,MIN($B$37*INDEX($Q$31:$Q$33,MATCH($B$6,$J$31:$J$33,0)),'VALUATION &amp; RETURNS'!$DA$8*1000000*INDEX($O$31:$O$33,MATCH($B$6,$J$31:$J$33,0))*MAX(0,$B$38+INDEX($R$31:$R$33,MATCH($B$6,$J$31:$J$33,0))),AR$74+AR$81+AR$82+IF($B$36="Yes",AR$101,0)+AR$119)),0)</f>
        <v>0</v>
      </c>
      <c r="AS120" s="309">
        <f>IF(AS$69=1,MAX(0,MIN($B$37*INDEX($Q$31:$Q$33,MATCH($B$6,$J$31:$J$33,0)),'VALUATION &amp; RETURNS'!$DA$8*1000000*INDEX($O$31:$O$33,MATCH($B$6,$J$31:$J$33,0))*MAX(0,$B$38+INDEX($R$31:$R$33,MATCH($B$6,$J$31:$J$33,0))),AS$74+AS$81+AS$82+IF($B$36="Yes",AS$101,0)+AS$119)),0)</f>
        <v>0</v>
      </c>
      <c r="AT120" s="309">
        <f>IF(AT$69=1,MAX(0,MIN($B$37*INDEX($Q$31:$Q$33,MATCH($B$6,$J$31:$J$33,0)),'VALUATION &amp; RETURNS'!$DA$8*1000000*INDEX($O$31:$O$33,MATCH($B$6,$J$31:$J$33,0))*MAX(0,$B$38+INDEX($R$31:$R$33,MATCH($B$6,$J$31:$J$33,0))),AT$74+AT$81+AT$82+IF($B$36="Yes",AT$101,0)+AT$119)),0)</f>
        <v>0</v>
      </c>
      <c r="AU120" s="309">
        <f>IF(AU$69=1,MAX(0,MIN($B$37*INDEX($Q$31:$Q$33,MATCH($B$6,$J$31:$J$33,0)),'VALUATION &amp; RETURNS'!$DA$8*1000000*INDEX($O$31:$O$33,MATCH($B$6,$J$31:$J$33,0))*MAX(0,$B$38+INDEX($R$31:$R$33,MATCH($B$6,$J$31:$J$33,0))),AU$74+AU$81+AU$82+IF($B$36="Yes",AU$101,0)+AU$119)),0)</f>
        <v>0</v>
      </c>
      <c r="AV120" s="309">
        <f>IF(AV$69=1,MAX(0,MIN($B$37*INDEX($Q$31:$Q$33,MATCH($B$6,$J$31:$J$33,0)),'VALUATION &amp; RETURNS'!$DA$8*1000000*INDEX($O$31:$O$33,MATCH($B$6,$J$31:$J$33,0))*MAX(0,$B$38+INDEX($R$31:$R$33,MATCH($B$6,$J$31:$J$33,0))),AV$74+AV$81+AV$82+IF($B$36="Yes",AV$101,0)+AV$119)),0)</f>
        <v>0</v>
      </c>
      <c r="AW120" s="309">
        <f>IF(AW$69=1,MAX(0,MIN($B$37*INDEX($Q$31:$Q$33,MATCH($B$6,$J$31:$J$33,0)),'VALUATION &amp; RETURNS'!$DA$8*1000000*INDEX($O$31:$O$33,MATCH($B$6,$J$31:$J$33,0))*MAX(0,$B$38+INDEX($R$31:$R$33,MATCH($B$6,$J$31:$J$33,0))),AW$74+AW$81+AW$82+IF($B$36="Yes",AW$101,0)+AW$119)),0)</f>
        <v>0</v>
      </c>
      <c r="AX120" s="309">
        <f>IF(AX$69=1,MAX(0,MIN($B$37*INDEX($Q$31:$Q$33,MATCH($B$6,$J$31:$J$33,0)),'VALUATION &amp; RETURNS'!$DA$8*1000000*INDEX($O$31:$O$33,MATCH($B$6,$J$31:$J$33,0))*MAX(0,$B$38+INDEX($R$31:$R$33,MATCH($B$6,$J$31:$J$33,0))),AX$74+AX$81+AX$82+IF($B$36="Yes",AX$101,0)+AX$119)),0)</f>
        <v>0</v>
      </c>
      <c r="AY120" s="309">
        <f>IF(AY$69=1,MAX(0,MIN($B$37*INDEX($Q$31:$Q$33,MATCH($B$6,$J$31:$J$33,0)),'VALUATION &amp; RETURNS'!$DA$8*1000000*INDEX($O$31:$O$33,MATCH($B$6,$J$31:$J$33,0))*MAX(0,$B$38+INDEX($R$31:$R$33,MATCH($B$6,$J$31:$J$33,0))),AY$74+AY$81+AY$82+IF($B$36="Yes",AY$101,0)+AY$119)),0)</f>
        <v>0</v>
      </c>
      <c r="AZ120" s="309">
        <f>IF(AZ$69=1,MAX(0,MIN($B$37*INDEX($Q$31:$Q$33,MATCH($B$6,$J$31:$J$33,0)),'VALUATION &amp; RETURNS'!$DA$8*1000000*INDEX($O$31:$O$33,MATCH($B$6,$J$31:$J$33,0))*MAX(0,$B$38+INDEX($R$31:$R$33,MATCH($B$6,$J$31:$J$33,0))),AZ$74+AZ$81+AZ$82+IF($B$36="Yes",AZ$101,0)+AZ$119)),0)</f>
        <v>0</v>
      </c>
      <c r="BA120" s="309">
        <f>IF(BA$69=1,MAX(0,MIN($B$37*INDEX($Q$31:$Q$33,MATCH($B$6,$J$31:$J$33,0)),'VALUATION &amp; RETURNS'!$DA$8*1000000*INDEX($O$31:$O$33,MATCH($B$6,$J$31:$J$33,0))*MAX(0,$B$38+INDEX($R$31:$R$33,MATCH($B$6,$J$31:$J$33,0))),BA$74+BA$81+BA$82+IF($B$36="Yes",BA$101,0)+BA$119)),0)</f>
        <v>0</v>
      </c>
      <c r="BB120" s="309">
        <f>IF(BB$69=1,MAX(0,MIN($B$37*INDEX($Q$31:$Q$33,MATCH($B$6,$J$31:$J$33,0)),'VALUATION &amp; RETURNS'!$DA$8*1000000*INDEX($O$31:$O$33,MATCH($B$6,$J$31:$J$33,0))*MAX(0,$B$38+INDEX($R$31:$R$33,MATCH($B$6,$J$31:$J$33,0))),BB$74+BB$81+BB$82+IF($B$36="Yes",BB$101,0)+BB$119)),0)</f>
        <v>0</v>
      </c>
      <c r="BC120" s="309">
        <f>IF(BC$69=1,MAX(0,MIN($B$37*INDEX($Q$31:$Q$33,MATCH($B$6,$J$31:$J$33,0)),'VALUATION &amp; RETURNS'!$DA$8*1000000*INDEX($O$31:$O$33,MATCH($B$6,$J$31:$J$33,0))*MAX(0,$B$38+INDEX($R$31:$R$33,MATCH($B$6,$J$31:$J$33,0))),BC$74+BC$81+BC$82+IF($B$36="Yes",BC$101,0)+BC$119)),0)</f>
        <v>226508151.17314392</v>
      </c>
      <c r="BD120" s="309">
        <f>IF(BD$69=1,MAX(0,MIN($B$37*INDEX($Q$31:$Q$33,MATCH($B$6,$J$31:$J$33,0)),'VALUATION &amp; RETURNS'!$DA$8*1000000*INDEX($O$31:$O$33,MATCH($B$6,$J$31:$J$33,0))*MAX(0,$B$38+INDEX($R$31:$R$33,MATCH($B$6,$J$31:$J$33,0))),BD$74+BD$81+BD$82+IF($B$36="Yes",BD$101,0)+BD$119)),0)</f>
        <v>0</v>
      </c>
      <c r="BE120" s="309">
        <f>IF(BE$69=1,MAX(0,MIN($B$37*INDEX($Q$31:$Q$33,MATCH($B$6,$J$31:$J$33,0)),'VALUATION &amp; RETURNS'!$DA$8*1000000*INDEX($O$31:$O$33,MATCH($B$6,$J$31:$J$33,0))*MAX(0,$B$38+INDEX($R$31:$R$33,MATCH($B$6,$J$31:$J$33,0))),BE$74+BE$81+BE$82+IF($B$36="Yes",BE$101,0)+BE$119)),0)</f>
        <v>0</v>
      </c>
      <c r="BF120" s="309">
        <f>IF(BF$69=1,MAX(0,MIN($B$37*INDEX($Q$31:$Q$33,MATCH($B$6,$J$31:$J$33,0)),'VALUATION &amp; RETURNS'!$DA$8*1000000*INDEX($O$31:$O$33,MATCH($B$6,$J$31:$J$33,0))*MAX(0,$B$38+INDEX($R$31:$R$33,MATCH($B$6,$J$31:$J$33,0))),BF$74+BF$81+BF$82+IF($B$36="Yes",BF$101,0)+BF$119)),0)</f>
        <v>0</v>
      </c>
      <c r="BG120" s="309">
        <f>IF(BG$69=1,MAX(0,MIN($B$37*INDEX($Q$31:$Q$33,MATCH($B$6,$J$31:$J$33,0)),'VALUATION &amp; RETURNS'!$DA$8*1000000*INDEX($O$31:$O$33,MATCH($B$6,$J$31:$J$33,0))*MAX(0,$B$38+INDEX($R$31:$R$33,MATCH($B$6,$J$31:$J$33,0))),BG$74+BG$81+BG$82+IF($B$36="Yes",BG$101,0)+BG$119)),0)</f>
        <v>0</v>
      </c>
      <c r="BH120" s="309">
        <f>IF(BH$69=1,MAX(0,MIN($B$37*INDEX($Q$31:$Q$33,MATCH($B$6,$J$31:$J$33,0)),'VALUATION &amp; RETURNS'!$DA$8*1000000*INDEX($O$31:$O$33,MATCH($B$6,$J$31:$J$33,0))*MAX(0,$B$38+INDEX($R$31:$R$33,MATCH($B$6,$J$31:$J$33,0))),BH$74+BH$81+BH$82+IF($B$36="Yes",BH$101,0)+BH$119)),0)</f>
        <v>0</v>
      </c>
      <c r="BI120" s="309">
        <f>IF(BI$69=1,MAX(0,MIN($B$37*INDEX($Q$31:$Q$33,MATCH($B$6,$J$31:$J$33,0)),'VALUATION &amp; RETURNS'!$DA$8*1000000*INDEX($O$31:$O$33,MATCH($B$6,$J$31:$J$33,0))*MAX(0,$B$38+INDEX($R$31:$R$33,MATCH($B$6,$J$31:$J$33,0))),BI$74+BI$81+BI$82+IF($B$36="Yes",BI$101,0)+BI$119)),0)</f>
        <v>0</v>
      </c>
      <c r="BJ120" s="309">
        <f>IF(BJ$69=1,MAX(0,MIN($B$37*INDEX($Q$31:$Q$33,MATCH($B$6,$J$31:$J$33,0)),'VALUATION &amp; RETURNS'!$DA$8*1000000*INDEX($O$31:$O$33,MATCH($B$6,$J$31:$J$33,0))*MAX(0,$B$38+INDEX($R$31:$R$33,MATCH($B$6,$J$31:$J$33,0))),BJ$74+BJ$81+BJ$82+IF($B$36="Yes",BJ$101,0)+BJ$119)),0)</f>
        <v>0</v>
      </c>
      <c r="BK120" s="309">
        <f>IF(BK$69=1,MAX(0,MIN($B$37*INDEX($Q$31:$Q$33,MATCH($B$6,$J$31:$J$33,0)),'VALUATION &amp; RETURNS'!$DA$8*1000000*INDEX($O$31:$O$33,MATCH($B$6,$J$31:$J$33,0))*MAX(0,$B$38+INDEX($R$31:$R$33,MATCH($B$6,$J$31:$J$33,0))),BK$74+BK$81+BK$82+IF($B$36="Yes",BK$101,0)+BK$119)),0)</f>
        <v>0</v>
      </c>
      <c r="BL120" s="309">
        <f>IF(BL$69=1,MAX(0,MIN($B$37*INDEX($Q$31:$Q$33,MATCH($B$6,$J$31:$J$33,0)),'VALUATION &amp; RETURNS'!$DA$8*1000000*INDEX($O$31:$O$33,MATCH($B$6,$J$31:$J$33,0))*MAX(0,$B$38+INDEX($R$31:$R$33,MATCH($B$6,$J$31:$J$33,0))),BL$74+BL$81+BL$82+IF($B$36="Yes",BL$101,0)+BL$119)),0)</f>
        <v>0</v>
      </c>
      <c r="BM120" s="309">
        <f>IF(BM$69=1,MAX(0,MIN($B$37*INDEX($Q$31:$Q$33,MATCH($B$6,$J$31:$J$33,0)),'VALUATION &amp; RETURNS'!$DA$8*1000000*INDEX($O$31:$O$33,MATCH($B$6,$J$31:$J$33,0))*MAX(0,$B$38+INDEX($R$31:$R$33,MATCH($B$6,$J$31:$J$33,0))),BM$74+BM$81+BM$82+IF($B$36="Yes",BM$101,0)+BM$119)),0)</f>
        <v>0</v>
      </c>
      <c r="BN120" s="309">
        <f>IF(BN$69=1,MAX(0,MIN($B$37*INDEX($Q$31:$Q$33,MATCH($B$6,$J$31:$J$33,0)),'VALUATION &amp; RETURNS'!$DA$8*1000000*INDEX($O$31:$O$33,MATCH($B$6,$J$31:$J$33,0))*MAX(0,$B$38+INDEX($R$31:$R$33,MATCH($B$6,$J$31:$J$33,0))),BN$74+BN$81+BN$82+IF($B$36="Yes",BN$101,0)+BN$119)),0)</f>
        <v>0</v>
      </c>
      <c r="BO120" s="309">
        <f>IF(BO$69=1,MAX(0,MIN($B$37*INDEX($Q$31:$Q$33,MATCH($B$6,$J$31:$J$33,0)),'VALUATION &amp; RETURNS'!$DA$8*1000000*INDEX($O$31:$O$33,MATCH($B$6,$J$31:$J$33,0))*MAX(0,$B$38+INDEX($R$31:$R$33,MATCH($B$6,$J$31:$J$33,0))),BO$74+BO$81+BO$82+IF($B$36="Yes",BO$101,0)+BO$119)),0)</f>
        <v>0</v>
      </c>
      <c r="BP120" s="309">
        <f>IF(BP$69=1,MAX(0,MIN($B$37*INDEX($Q$31:$Q$33,MATCH($B$6,$J$31:$J$33,0)),'VALUATION &amp; RETURNS'!$DA$8*1000000*INDEX($O$31:$O$33,MATCH($B$6,$J$31:$J$33,0))*MAX(0,$B$38+INDEX($R$31:$R$33,MATCH($B$6,$J$31:$J$33,0))),BP$74+BP$81+BP$82+IF($B$36="Yes",BP$101,0)+BP$119)),0)</f>
        <v>0</v>
      </c>
      <c r="BQ120" s="309">
        <f>IF(BQ$69=1,MAX(0,MIN($B$37*INDEX($Q$31:$Q$33,MATCH($B$6,$J$31:$J$33,0)),'VALUATION &amp; RETURNS'!$DA$8*1000000*INDEX($O$31:$O$33,MATCH($B$6,$J$31:$J$33,0))*MAX(0,$B$38+INDEX($R$31:$R$33,MATCH($B$6,$J$31:$J$33,0))),BQ$74+BQ$81+BQ$82+IF($B$36="Yes",BQ$101,0)+BQ$119)),0)</f>
        <v>0</v>
      </c>
      <c r="BR120" s="309">
        <f>IF(BR$69=1,MAX(0,MIN($B$37*INDEX($Q$31:$Q$33,MATCH($B$6,$J$31:$J$33,0)),'VALUATION &amp; RETURNS'!$DA$8*1000000*INDEX($O$31:$O$33,MATCH($B$6,$J$31:$J$33,0))*MAX(0,$B$38+INDEX($R$31:$R$33,MATCH($B$6,$J$31:$J$33,0))),BR$74+BR$81+BR$82+IF($B$36="Yes",BR$101,0)+BR$119)),0)</f>
        <v>0</v>
      </c>
      <c r="BS120" s="309">
        <f>IF(BS$69=1,MAX(0,MIN($B$37*INDEX($Q$31:$Q$33,MATCH($B$6,$J$31:$J$33,0)),'VALUATION &amp; RETURNS'!$DA$8*1000000*INDEX($O$31:$O$33,MATCH($B$6,$J$31:$J$33,0))*MAX(0,$B$38+INDEX($R$31:$R$33,MATCH($B$6,$J$31:$J$33,0))),BS$74+BS$81+BS$82+IF($B$36="Yes",BS$101,0)+BS$119)),0)</f>
        <v>0</v>
      </c>
      <c r="BT120" s="309">
        <f>IF(BT$69=1,MAX(0,MIN($B$37*INDEX($Q$31:$Q$33,MATCH($B$6,$J$31:$J$33,0)),'VALUATION &amp; RETURNS'!$DA$8*1000000*INDEX($O$31:$O$33,MATCH($B$6,$J$31:$J$33,0))*MAX(0,$B$38+INDEX($R$31:$R$33,MATCH($B$6,$J$31:$J$33,0))),BT$74+BT$81+BT$82+IF($B$36="Yes",BT$101,0)+BT$119)),0)</f>
        <v>0</v>
      </c>
      <c r="BU120" s="309">
        <f>IF(BU$69=1,MAX(0,MIN($B$37*INDEX($Q$31:$Q$33,MATCH($B$6,$J$31:$J$33,0)),'VALUATION &amp; RETURNS'!$DA$8*1000000*INDEX($O$31:$O$33,MATCH($B$6,$J$31:$J$33,0))*MAX(0,$B$38+INDEX($R$31:$R$33,MATCH($B$6,$J$31:$J$33,0))),BU$74+BU$81+BU$82+IF($B$36="Yes",BU$101,0)+BU$119)),0)</f>
        <v>0</v>
      </c>
      <c r="BV120" s="309">
        <f>IF(BV$69=1,MAX(0,MIN($B$37*INDEX($Q$31:$Q$33,MATCH($B$6,$J$31:$J$33,0)),'VALUATION &amp; RETURNS'!$DA$8*1000000*INDEX($O$31:$O$33,MATCH($B$6,$J$31:$J$33,0))*MAX(0,$B$38+INDEX($R$31:$R$33,MATCH($B$6,$J$31:$J$33,0))),BV$74+BV$81+BV$82+IF($B$36="Yes",BV$101,0)+BV$119)),0)</f>
        <v>0</v>
      </c>
      <c r="BW120" s="309">
        <f>IF(BW$69=1,MAX(0,MIN($B$37*INDEX($Q$31:$Q$33,MATCH($B$6,$J$31:$J$33,0)),'VALUATION &amp; RETURNS'!$DA$8*1000000*INDEX($O$31:$O$33,MATCH($B$6,$J$31:$J$33,0))*MAX(0,$B$38+INDEX($R$31:$R$33,MATCH($B$6,$J$31:$J$33,0))),BW$74+BW$81+BW$82+IF($B$36="Yes",BW$101,0)+BW$119)),0)</f>
        <v>0</v>
      </c>
      <c r="BX120" s="309">
        <f>IF(BX$69=1,MAX(0,MIN($B$37*INDEX($Q$31:$Q$33,MATCH($B$6,$J$31:$J$33,0)),'VALUATION &amp; RETURNS'!$DA$8*1000000*INDEX($O$31:$O$33,MATCH($B$6,$J$31:$J$33,0))*MAX(0,$B$38+INDEX($R$31:$R$33,MATCH($B$6,$J$31:$J$33,0))),BX$74+BX$81+BX$82+IF($B$36="Yes",BX$101,0)+BX$119)),0)</f>
        <v>0</v>
      </c>
      <c r="BY120" s="309">
        <f>IF(BY$69=1,MAX(0,MIN($B$37*INDEX($Q$31:$Q$33,MATCH($B$6,$J$31:$J$33,0)),'VALUATION &amp; RETURNS'!$DA$8*1000000*INDEX($O$31:$O$33,MATCH($B$6,$J$31:$J$33,0))*MAX(0,$B$38+INDEX($R$31:$R$33,MATCH($B$6,$J$31:$J$33,0))),BY$74+BY$81+BY$82+IF($B$36="Yes",BY$101,0)+BY$119)),0)</f>
        <v>0</v>
      </c>
      <c r="BZ120" s="309">
        <f>IF(BZ$69=1,MAX(0,MIN($B$37*INDEX($Q$31:$Q$33,MATCH($B$6,$J$31:$J$33,0)),'VALUATION &amp; RETURNS'!$DA$8*1000000*INDEX($O$31:$O$33,MATCH($B$6,$J$31:$J$33,0))*MAX(0,$B$38+INDEX($R$31:$R$33,MATCH($B$6,$J$31:$J$33,0))),BZ$74+BZ$81+BZ$82+IF($B$36="Yes",BZ$101,0)+BZ$119)),0)</f>
        <v>0</v>
      </c>
      <c r="CA120" s="309">
        <f>IF(CA$69=1,MAX(0,MIN($B$37*INDEX($Q$31:$Q$33,MATCH($B$6,$J$31:$J$33,0)),'VALUATION &amp; RETURNS'!$DA$8*1000000*INDEX($O$31:$O$33,MATCH($B$6,$J$31:$J$33,0))*MAX(0,$B$38+INDEX($R$31:$R$33,MATCH($B$6,$J$31:$J$33,0))),CA$74+CA$81+CA$82+IF($B$36="Yes",CA$101,0)+CA$119)),0)</f>
        <v>0</v>
      </c>
      <c r="CB120" s="309">
        <f>IF(CB$69=1,MAX(0,MIN($B$37*INDEX($Q$31:$Q$33,MATCH($B$6,$J$31:$J$33,0)),'VALUATION &amp; RETURNS'!$DA$8*1000000*INDEX($O$31:$O$33,MATCH($B$6,$J$31:$J$33,0))*MAX(0,$B$38+INDEX($R$31:$R$33,MATCH($B$6,$J$31:$J$33,0))),CB$74+CB$81+CB$82+IF($B$36="Yes",CB$101,0)+CB$119)),0)</f>
        <v>0</v>
      </c>
      <c r="CC120" s="309">
        <f>IF(CC$69=1,MAX(0,MIN($B$37*INDEX($Q$31:$Q$33,MATCH($B$6,$J$31:$J$33,0)),'VALUATION &amp; RETURNS'!$DA$8*1000000*INDEX($O$31:$O$33,MATCH($B$6,$J$31:$J$33,0))*MAX(0,$B$38+INDEX($R$31:$R$33,MATCH($B$6,$J$31:$J$33,0))),CC$74+CC$81+CC$82+IF($B$36="Yes",CC$101,0)+CC$119)),0)</f>
        <v>0</v>
      </c>
      <c r="CD120" s="309">
        <f>IF(CD$69=1,MAX(0,MIN($B$37*INDEX($Q$31:$Q$33,MATCH($B$6,$J$31:$J$33,0)),'VALUATION &amp; RETURNS'!$DA$8*1000000*INDEX($O$31:$O$33,MATCH($B$6,$J$31:$J$33,0))*MAX(0,$B$38+INDEX($R$31:$R$33,MATCH($B$6,$J$31:$J$33,0))),CD$74+CD$81+CD$82+IF($B$36="Yes",CD$101,0)+CD$119)),0)</f>
        <v>0</v>
      </c>
      <c r="CE120" s="309">
        <f>IF(CE$69=1,MAX(0,MIN($B$37*INDEX($Q$31:$Q$33,MATCH($B$6,$J$31:$J$33,0)),'VALUATION &amp; RETURNS'!$DA$8*1000000*INDEX($O$31:$O$33,MATCH($B$6,$J$31:$J$33,0))*MAX(0,$B$38+INDEX($R$31:$R$33,MATCH($B$6,$J$31:$J$33,0))),CE$74+CE$81+CE$82+IF($B$36="Yes",CE$101,0)+CE$119)),0)</f>
        <v>0</v>
      </c>
      <c r="CF120" s="309">
        <f>IF(CF$69=1,MAX(0,MIN($B$37*INDEX($Q$31:$Q$33,MATCH($B$6,$J$31:$J$33,0)),'VALUATION &amp; RETURNS'!$DA$8*1000000*INDEX($O$31:$O$33,MATCH($B$6,$J$31:$J$33,0))*MAX(0,$B$38+INDEX($R$31:$R$33,MATCH($B$6,$J$31:$J$33,0))),CF$74+CF$81+CF$82+IF($B$36="Yes",CF$101,0)+CF$119)),0)</f>
        <v>0</v>
      </c>
      <c r="CG120" s="309">
        <f>IF(CG$69=1,MAX(0,MIN($B$37*INDEX($Q$31:$Q$33,MATCH($B$6,$J$31:$J$33,0)),'VALUATION &amp; RETURNS'!$DA$8*1000000*INDEX($O$31:$O$33,MATCH($B$6,$J$31:$J$33,0))*MAX(0,$B$38+INDEX($R$31:$R$33,MATCH($B$6,$J$31:$J$33,0))),CG$74+CG$81+CG$82+IF($B$36="Yes",CG$101,0)+CG$119)),0)</f>
        <v>0</v>
      </c>
      <c r="CH120" s="309">
        <f>IF(CH$69=1,MAX(0,MIN($B$37*INDEX($Q$31:$Q$33,MATCH($B$6,$J$31:$J$33,0)),'VALUATION &amp; RETURNS'!$DA$8*1000000*INDEX($O$31:$O$33,MATCH($B$6,$J$31:$J$33,0))*MAX(0,$B$38+INDEX($R$31:$R$33,MATCH($B$6,$J$31:$J$33,0))),CH$74+CH$81+CH$82+IF($B$36="Yes",CH$101,0)+CH$119)),0)</f>
        <v>0</v>
      </c>
      <c r="CI120" s="309">
        <f>IF(CI$69=1,MAX(0,MIN($B$37*INDEX($Q$31:$Q$33,MATCH($B$6,$J$31:$J$33,0)),'VALUATION &amp; RETURNS'!$DA$8*1000000*INDEX($O$31:$O$33,MATCH($B$6,$J$31:$J$33,0))*MAX(0,$B$38+INDEX($R$31:$R$33,MATCH($B$6,$J$31:$J$33,0))),CI$74+CI$81+CI$82+IF($B$36="Yes",CI$101,0)+CI$119)),0)</f>
        <v>0</v>
      </c>
      <c r="CJ120" s="309">
        <f>IF(CJ$69=1,MAX(0,MIN($B$37*INDEX($Q$31:$Q$33,MATCH($B$6,$J$31:$J$33,0)),'VALUATION &amp; RETURNS'!$DA$8*1000000*INDEX($O$31:$O$33,MATCH($B$6,$J$31:$J$33,0))*MAX(0,$B$38+INDEX($R$31:$R$33,MATCH($B$6,$J$31:$J$33,0))),CJ$74+CJ$81+CJ$82+IF($B$36="Yes",CJ$101,0)+CJ$119)),0)</f>
        <v>0</v>
      </c>
      <c r="CK120" s="309">
        <f>IF(CK$69=1,MAX(0,MIN($B$37*INDEX($Q$31:$Q$33,MATCH($B$6,$J$31:$J$33,0)),'VALUATION &amp; RETURNS'!$DA$8*1000000*INDEX($O$31:$O$33,MATCH($B$6,$J$31:$J$33,0))*MAX(0,$B$38+INDEX($R$31:$R$33,MATCH($B$6,$J$31:$J$33,0))),CK$74+CK$81+CK$82+IF($B$36="Yes",CK$101,0)+CK$119)),0)</f>
        <v>0</v>
      </c>
      <c r="CL120" s="309">
        <f>IF(CL$69=1,MAX(0,MIN($B$37*INDEX($Q$31:$Q$33,MATCH($B$6,$J$31:$J$33,0)),'VALUATION &amp; RETURNS'!$DA$8*1000000*INDEX($O$31:$O$33,MATCH($B$6,$J$31:$J$33,0))*MAX(0,$B$38+INDEX($R$31:$R$33,MATCH($B$6,$J$31:$J$33,0))),CL$74+CL$81+CL$82+IF($B$36="Yes",CL$101,0)+CL$119)),0)</f>
        <v>0</v>
      </c>
      <c r="CM120" s="309">
        <f>IF(CM$69=1,MAX(0,MIN($B$37*INDEX($Q$31:$Q$33,MATCH($B$6,$J$31:$J$33,0)),'VALUATION &amp; RETURNS'!$DA$8*1000000*INDEX($O$31:$O$33,MATCH($B$6,$J$31:$J$33,0))*MAX(0,$B$38+INDEX($R$31:$R$33,MATCH($B$6,$J$31:$J$33,0))),CM$74+CM$81+CM$82+IF($B$36="Yes",CM$101,0)+CM$119)),0)</f>
        <v>0</v>
      </c>
      <c r="CN120" s="309">
        <f>IF(CN$69=1,MAX(0,MIN($B$37*INDEX($Q$31:$Q$33,MATCH($B$6,$J$31:$J$33,0)),'VALUATION &amp; RETURNS'!$DA$8*1000000*INDEX($O$31:$O$33,MATCH($B$6,$J$31:$J$33,0))*MAX(0,$B$38+INDEX($R$31:$R$33,MATCH($B$6,$J$31:$J$33,0))),CN$74+CN$81+CN$82+IF($B$36="Yes",CN$101,0)+CN$119)),0)</f>
        <v>0</v>
      </c>
      <c r="CO120" s="309">
        <f>IF(CO$69=1,MAX(0,MIN($B$37*INDEX($Q$31:$Q$33,MATCH($B$6,$J$31:$J$33,0)),'VALUATION &amp; RETURNS'!$DA$8*1000000*INDEX($O$31:$O$33,MATCH($B$6,$J$31:$J$33,0))*MAX(0,$B$38+INDEX($R$31:$R$33,MATCH($B$6,$J$31:$J$33,0))),CO$74+CO$81+CO$82+IF($B$36="Yes",CO$101,0)+CO$119)),0)</f>
        <v>0</v>
      </c>
      <c r="CP120" s="309">
        <f>IF(CP$69=1,MAX(0,MIN($B$37*INDEX($Q$31:$Q$33,MATCH($B$6,$J$31:$J$33,0)),'VALUATION &amp; RETURNS'!$DA$8*1000000*INDEX($O$31:$O$33,MATCH($B$6,$J$31:$J$33,0))*MAX(0,$B$38+INDEX($R$31:$R$33,MATCH($B$6,$J$31:$J$33,0))),CP$74+CP$81+CP$82+IF($B$36="Yes",CP$101,0)+CP$119)),0)</f>
        <v>0</v>
      </c>
      <c r="CQ120" s="309">
        <f>IF(CQ$69=1,MAX(0,MIN($B$37*INDEX($Q$31:$Q$33,MATCH($B$6,$J$31:$J$33,0)),'VALUATION &amp; RETURNS'!$DA$8*1000000*INDEX($O$31:$O$33,MATCH($B$6,$J$31:$J$33,0))*MAX(0,$B$38+INDEX($R$31:$R$33,MATCH($B$6,$J$31:$J$33,0))),CQ$74+CQ$81+CQ$82+IF($B$36="Yes",CQ$101,0)+CQ$119)),0)</f>
        <v>0</v>
      </c>
      <c r="CR120" s="309">
        <f>IF(CR$69=1,MAX(0,MIN($B$37*INDEX($Q$31:$Q$33,MATCH($B$6,$J$31:$J$33,0)),'VALUATION &amp; RETURNS'!$DA$8*1000000*INDEX($O$31:$O$33,MATCH($B$6,$J$31:$J$33,0))*MAX(0,$B$38+INDEX($R$31:$R$33,MATCH($B$6,$J$31:$J$33,0))),CR$74+CR$81+CR$82+IF($B$36="Yes",CR$101,0)+CR$119)),0)</f>
        <v>0</v>
      </c>
      <c r="CS120" s="309">
        <f>IF(CS$69=1,MAX(0,MIN($B$37*INDEX($Q$31:$Q$33,MATCH($B$6,$J$31:$J$33,0)),'VALUATION &amp; RETURNS'!$DA$8*1000000*INDEX($O$31:$O$33,MATCH($B$6,$J$31:$J$33,0))*MAX(0,$B$38+INDEX($R$31:$R$33,MATCH($B$6,$J$31:$J$33,0))),CS$74+CS$81+CS$82+IF($B$36="Yes",CS$101,0)+CS$119)),0)</f>
        <v>0</v>
      </c>
      <c r="CT120" s="309">
        <f>IF(CT$69=1,MAX(0,MIN($B$37*INDEX($Q$31:$Q$33,MATCH($B$6,$J$31:$J$33,0)),'VALUATION &amp; RETURNS'!$DA$8*1000000*INDEX($O$31:$O$33,MATCH($B$6,$J$31:$J$33,0))*MAX(0,$B$38+INDEX($R$31:$R$33,MATCH($B$6,$J$31:$J$33,0))),CT$74+CT$81+CT$82+IF($B$36="Yes",CT$101,0)+CT$119)),0)</f>
        <v>0</v>
      </c>
      <c r="CU120" s="309">
        <f>IF(CU$69=1,MAX(0,MIN($B$37*INDEX($Q$31:$Q$33,MATCH($B$6,$J$31:$J$33,0)),'VALUATION &amp; RETURNS'!$DA$8*1000000*INDEX($O$31:$O$33,MATCH($B$6,$J$31:$J$33,0))*MAX(0,$B$38+INDEX($R$31:$R$33,MATCH($B$6,$J$31:$J$33,0))),CU$74+CU$81+CU$82+IF($B$36="Yes",CU$101,0)+CU$119)),0)</f>
        <v>0</v>
      </c>
      <c r="CV120" s="309">
        <f>IF(CV$69=1,MAX(0,MIN($B$37*INDEX($Q$31:$Q$33,MATCH($B$6,$J$31:$J$33,0)),'VALUATION &amp; RETURNS'!$DA$8*1000000*INDEX($O$31:$O$33,MATCH($B$6,$J$31:$J$33,0))*MAX(0,$B$38+INDEX($R$31:$R$33,MATCH($B$6,$J$31:$J$33,0))),CV$74+CV$81+CV$82+IF($B$36="Yes",CV$101,0)+CV$119)),0)</f>
        <v>0</v>
      </c>
      <c r="CW120" s="309">
        <f>IF(CW$69=1,MAX(0,MIN($B$37*INDEX($Q$31:$Q$33,MATCH($B$6,$J$31:$J$33,0)),'VALUATION &amp; RETURNS'!$DA$8*1000000*INDEX($O$31:$O$33,MATCH($B$6,$J$31:$J$33,0))*MAX(0,$B$38+INDEX($R$31:$R$33,MATCH($B$6,$J$31:$J$33,0))),CW$74+CW$81+CW$82+IF($B$36="Yes",CW$101,0)+CW$119)),0)</f>
        <v>0</v>
      </c>
      <c r="CX120" s="309">
        <f>IF(CX$69=1,MAX(0,MIN($B$37*INDEX($Q$31:$Q$33,MATCH($B$6,$J$31:$J$33,0)),'VALUATION &amp; RETURNS'!$DA$8*1000000*INDEX($O$31:$O$33,MATCH($B$6,$J$31:$J$33,0))*MAX(0,$B$38+INDEX($R$31:$R$33,MATCH($B$6,$J$31:$J$33,0))),CX$74+CX$81+CX$82+IF($B$36="Yes",CX$101,0)+CX$119)),0)</f>
        <v>0</v>
      </c>
      <c r="CY120" s="309">
        <f>IF(CY$69=1,MAX(0,MIN($B$37*INDEX($Q$31:$Q$33,MATCH($B$6,$J$31:$J$33,0)),'VALUATION &amp; RETURNS'!$DA$8*1000000*INDEX($O$31:$O$33,MATCH($B$6,$J$31:$J$33,0))*MAX(0,$B$38+INDEX($R$31:$R$33,MATCH($B$6,$J$31:$J$33,0))),CY$74+CY$81+CY$82+IF($B$36="Yes",CY$101,0)+CY$119)),0)</f>
        <v>0</v>
      </c>
      <c r="CZ120" s="309">
        <f>IF(CZ$69=1,MAX(0,MIN($B$37*INDEX($Q$31:$Q$33,MATCH($B$6,$J$31:$J$33,0)),'VALUATION &amp; RETURNS'!$DA$8*1000000*INDEX($O$31:$O$33,MATCH($B$6,$J$31:$J$33,0))*MAX(0,$B$38+INDEX($R$31:$R$33,MATCH($B$6,$J$31:$J$33,0))),CZ$74+CZ$81+CZ$82+IF($B$36="Yes",CZ$101,0)+CZ$119)),0)</f>
        <v>0</v>
      </c>
      <c r="DA120" s="309">
        <f>IF(DA$69=1,MAX(0,MIN($B$37*INDEX($Q$31:$Q$33,MATCH($B$6,$J$31:$J$33,0)),'VALUATION &amp; RETURNS'!$DA$8*1000000*INDEX($O$31:$O$33,MATCH($B$6,$J$31:$J$33,0))*MAX(0,$B$38+INDEX($R$31:$R$33,MATCH($B$6,$J$31:$J$33,0))),DA$74+DA$81+DA$82+IF($B$36="Yes",DA$101,0)+DA$119)),0)</f>
        <v>0</v>
      </c>
      <c r="DB120" s="309">
        <f>IF(DB$69=1,MAX(0,MIN($B$37*INDEX($Q$31:$Q$33,MATCH($B$6,$J$31:$J$33,0)),'VALUATION &amp; RETURNS'!$DA$8*1000000*INDEX($O$31:$O$33,MATCH($B$6,$J$31:$J$33,0))*MAX(0,$B$38+INDEX($R$31:$R$33,MATCH($B$6,$J$31:$J$33,0))),DB$74+DB$81+DB$82+IF($B$36="Yes",DB$101,0)+DB$119)),0)</f>
        <v>0</v>
      </c>
      <c r="DC120" s="309">
        <f>IF(DC$69=1,MAX(0,MIN($B$37*INDEX($Q$31:$Q$33,MATCH($B$6,$J$31:$J$33,0)),'VALUATION &amp; RETURNS'!$DA$8*1000000*INDEX($O$31:$O$33,MATCH($B$6,$J$31:$J$33,0))*MAX(0,$B$38+INDEX($R$31:$R$33,MATCH($B$6,$J$31:$J$33,0))),DC$74+DC$81+DC$82+IF($B$36="Yes",DC$101,0)+DC$119)),0)</f>
        <v>0</v>
      </c>
      <c r="DD120" s="309">
        <f>IF(DD$69=1,MAX(0,MIN($B$37*INDEX($Q$31:$Q$33,MATCH($B$6,$J$31:$J$33,0)),'VALUATION &amp; RETURNS'!$DA$8*1000000*INDEX($O$31:$O$33,MATCH($B$6,$J$31:$J$33,0))*MAX(0,$B$38+INDEX($R$31:$R$33,MATCH($B$6,$J$31:$J$33,0))),DD$74+DD$81+DD$82+IF($B$36="Yes",DD$101,0)+DD$119)),0)</f>
        <v>0</v>
      </c>
      <c r="DE120" s="309">
        <f>IF(DE$69=1,MAX(0,MIN($B$37*INDEX($Q$31:$Q$33,MATCH($B$6,$J$31:$J$33,0)),'VALUATION &amp; RETURNS'!$DA$8*1000000*INDEX($O$31:$O$33,MATCH($B$6,$J$31:$J$33,0))*MAX(0,$B$38+INDEX($R$31:$R$33,MATCH($B$6,$J$31:$J$33,0))),DE$74+DE$81+DE$82+IF($B$36="Yes",DE$101,0)+DE$119)),0)</f>
        <v>0</v>
      </c>
      <c r="DF120" s="309">
        <f>IF(DF$69=1,MAX(0,MIN($B$37*INDEX($Q$31:$Q$33,MATCH($B$6,$J$31:$J$33,0)),'VALUATION &amp; RETURNS'!$DA$8*1000000*INDEX($O$31:$O$33,MATCH($B$6,$J$31:$J$33,0))*MAX(0,$B$38+INDEX($R$31:$R$33,MATCH($B$6,$J$31:$J$33,0))),DF$74+DF$81+DF$82+IF($B$36="Yes",DF$101,0)+DF$119)),0)</f>
        <v>0</v>
      </c>
      <c r="DG120" s="309">
        <f>IF(DG$69=1,MAX(0,MIN($B$37*INDEX($Q$31:$Q$33,MATCH($B$6,$J$31:$J$33,0)),'VALUATION &amp; RETURNS'!$DA$8*1000000*INDEX($O$31:$O$33,MATCH($B$6,$J$31:$J$33,0))*MAX(0,$B$38+INDEX($R$31:$R$33,MATCH($B$6,$J$31:$J$33,0))),DG$74+DG$81+DG$82+IF($B$36="Yes",DG$101,0)+DG$119)),0)</f>
        <v>0</v>
      </c>
      <c r="DH120" s="309">
        <f>IF(DH$69=1,MAX(0,MIN($B$37*INDEX($Q$31:$Q$33,MATCH($B$6,$J$31:$J$33,0)),'VALUATION &amp; RETURNS'!$DA$8*1000000*INDEX($O$31:$O$33,MATCH($B$6,$J$31:$J$33,0))*MAX(0,$B$38+INDEX($R$31:$R$33,MATCH($B$6,$J$31:$J$33,0))),DH$74+DH$81+DH$82+IF($B$36="Yes",DH$101,0)+DH$119)),0)</f>
        <v>0</v>
      </c>
      <c r="DI120" s="309">
        <f>IF(DI$69=1,MAX(0,MIN($B$37*INDEX($Q$31:$Q$33,MATCH($B$6,$J$31:$J$33,0)),'VALUATION &amp; RETURNS'!$DA$8*1000000*INDEX($O$31:$O$33,MATCH($B$6,$J$31:$J$33,0))*MAX(0,$B$38+INDEX($R$31:$R$33,MATCH($B$6,$J$31:$J$33,0))),DI$74+DI$81+DI$82+IF($B$36="Yes",DI$101,0)+DI$119)),0)</f>
        <v>0</v>
      </c>
      <c r="DJ120" s="309">
        <f>IF(DJ$69=1,MAX(0,MIN($B$37*INDEX($Q$31:$Q$33,MATCH($B$6,$J$31:$J$33,0)),'VALUATION &amp; RETURNS'!$DA$8*1000000*INDEX($O$31:$O$33,MATCH($B$6,$J$31:$J$33,0))*MAX(0,$B$38+INDEX($R$31:$R$33,MATCH($B$6,$J$31:$J$33,0))),DJ$74+DJ$81+DJ$82+IF($B$36="Yes",DJ$101,0)+DJ$119)),0)</f>
        <v>0</v>
      </c>
      <c r="DK120" s="309">
        <f>IF(DK$69=1,MAX(0,MIN($B$37*INDEX($Q$31:$Q$33,MATCH($B$6,$J$31:$J$33,0)),'VALUATION &amp; RETURNS'!$DA$8*1000000*INDEX($O$31:$O$33,MATCH($B$6,$J$31:$J$33,0))*MAX(0,$B$38+INDEX($R$31:$R$33,MATCH($B$6,$J$31:$J$33,0))),DK$74+DK$81+DK$82+IF($B$36="Yes",DK$101,0)+DK$119)),0)</f>
        <v>0</v>
      </c>
      <c r="DL120" s="309">
        <f>IF(DL$69=1,MAX(0,MIN($B$37*INDEX($Q$31:$Q$33,MATCH($B$6,$J$31:$J$33,0)),'VALUATION &amp; RETURNS'!$DA$8*1000000*INDEX($O$31:$O$33,MATCH($B$6,$J$31:$J$33,0))*MAX(0,$B$38+INDEX($R$31:$R$33,MATCH($B$6,$J$31:$J$33,0))),DL$74+DL$81+DL$82+IF($B$36="Yes",DL$101,0)+DL$119)),0)</f>
        <v>0</v>
      </c>
      <c r="DM120" s="309">
        <f>IF(DM$69=1,MAX(0,MIN($B$37*INDEX($Q$31:$Q$33,MATCH($B$6,$J$31:$J$33,0)),'VALUATION &amp; RETURNS'!$DA$8*1000000*INDEX($O$31:$O$33,MATCH($B$6,$J$31:$J$33,0))*MAX(0,$B$38+INDEX($R$31:$R$33,MATCH($B$6,$J$31:$J$33,0))),DM$74+DM$81+DM$82+IF($B$36="Yes",DM$101,0)+DM$119)),0)</f>
        <v>0</v>
      </c>
      <c r="DN120" s="309">
        <f>IF(DN$69=1,MAX(0,MIN($B$37*INDEX($Q$31:$Q$33,MATCH($B$6,$J$31:$J$33,0)),'VALUATION &amp; RETURNS'!$DA$8*1000000*INDEX($O$31:$O$33,MATCH($B$6,$J$31:$J$33,0))*MAX(0,$B$38+INDEX($R$31:$R$33,MATCH($B$6,$J$31:$J$33,0))),DN$74+DN$81+DN$82+IF($B$36="Yes",DN$101,0)+DN$119)),0)</f>
        <v>0</v>
      </c>
      <c r="DO120" s="309">
        <f>IF(DO$69=1,MAX(0,MIN($B$37*INDEX($Q$31:$Q$33,MATCH($B$6,$J$31:$J$33,0)),'VALUATION &amp; RETURNS'!$DA$8*1000000*INDEX($O$31:$O$33,MATCH($B$6,$J$31:$J$33,0))*MAX(0,$B$38+INDEX($R$31:$R$33,MATCH($B$6,$J$31:$J$33,0))),DO$74+DO$81+DO$82+IF($B$36="Yes",DO$101,0)+DO$119)),0)</f>
        <v>0</v>
      </c>
      <c r="DP120" s="309">
        <f>IF(DP$69=1,MAX(0,MIN($B$37*INDEX($Q$31:$Q$33,MATCH($B$6,$J$31:$J$33,0)),'VALUATION &amp; RETURNS'!$DA$8*1000000*INDEX($O$31:$O$33,MATCH($B$6,$J$31:$J$33,0))*MAX(0,$B$38+INDEX($R$31:$R$33,MATCH($B$6,$J$31:$J$33,0))),DP$74+DP$81+DP$82+IF($B$36="Yes",DP$101,0)+DP$119)),0)</f>
        <v>0</v>
      </c>
      <c r="DQ120" s="309">
        <f>IF(DQ$69=1,MAX(0,MIN($B$37*INDEX($Q$31:$Q$33,MATCH($B$6,$J$31:$J$33,0)),'VALUATION &amp; RETURNS'!$DA$8*1000000*INDEX($O$31:$O$33,MATCH($B$6,$J$31:$J$33,0))*MAX(0,$B$38+INDEX($R$31:$R$33,MATCH($B$6,$J$31:$J$33,0))),DQ$74+DQ$81+DQ$82+IF($B$36="Yes",DQ$101,0)+DQ$119)),0)</f>
        <v>0</v>
      </c>
      <c r="DR120" s="309">
        <f>IF(DR$69=1,MAX(0,MIN($B$37*INDEX($Q$31:$Q$33,MATCH($B$6,$J$31:$J$33,0)),'VALUATION &amp; RETURNS'!$DA$8*1000000*INDEX($O$31:$O$33,MATCH($B$6,$J$31:$J$33,0))*MAX(0,$B$38+INDEX($R$31:$R$33,MATCH($B$6,$J$31:$J$33,0))),DR$74+DR$81+DR$82+IF($B$36="Yes",DR$101,0)+DR$119)),0)</f>
        <v>0</v>
      </c>
      <c r="DS120" s="309">
        <f>IF(DS$69=1,MAX(0,MIN($B$37*INDEX($Q$31:$Q$33,MATCH($B$6,$J$31:$J$33,0)),'VALUATION &amp; RETURNS'!$DA$8*1000000*INDEX($O$31:$O$33,MATCH($B$6,$J$31:$J$33,0))*MAX(0,$B$38+INDEX($R$31:$R$33,MATCH($B$6,$J$31:$J$33,0))),DS$74+DS$81+DS$82+IF($B$36="Yes",DS$101,0)+DS$119)),0)</f>
        <v>0</v>
      </c>
      <c r="DT120" s="309">
        <f>IF(DT$69=1,MAX(0,MIN($B$37*INDEX($Q$31:$Q$33,MATCH($B$6,$J$31:$J$33,0)),'VALUATION &amp; RETURNS'!$DA$8*1000000*INDEX($O$31:$O$33,MATCH($B$6,$J$31:$J$33,0))*MAX(0,$B$38+INDEX($R$31:$R$33,MATCH($B$6,$J$31:$J$33,0))),DT$74+DT$81+DT$82+IF($B$36="Yes",DT$101,0)+DT$119)),0)</f>
        <v>0</v>
      </c>
      <c r="DU120" s="309">
        <f>IF(DU$69=1,MAX(0,MIN($B$37*INDEX($Q$31:$Q$33,MATCH($B$6,$J$31:$J$33,0)),'VALUATION &amp; RETURNS'!$DA$8*1000000*INDEX($O$31:$O$33,MATCH($B$6,$J$31:$J$33,0))*MAX(0,$B$38+INDEX($R$31:$R$33,MATCH($B$6,$J$31:$J$33,0))),DU$74+DU$81+DU$82+IF($B$36="Yes",DU$101,0)+DU$119)),0)</f>
        <v>0</v>
      </c>
      <c r="DV120" s="309">
        <f>IF(DV$69=1,MAX(0,MIN($B$37*INDEX($Q$31:$Q$33,MATCH($B$6,$J$31:$J$33,0)),'VALUATION &amp; RETURNS'!$DA$8*1000000*INDEX($O$31:$O$33,MATCH($B$6,$J$31:$J$33,0))*MAX(0,$B$38+INDEX($R$31:$R$33,MATCH($B$6,$J$31:$J$33,0))),DV$74+DV$81+DV$82+IF($B$36="Yes",DV$101,0)+DV$119)),0)</f>
        <v>0</v>
      </c>
    </row>
    <row r="121" spans="1:126" ht="15" customHeight="1" x14ac:dyDescent="0.35">
      <c r="A121" s="307" t="s">
        <v>1576</v>
      </c>
      <c r="B121" s="308" t="s">
        <v>1370</v>
      </c>
      <c r="C121" s="1146" t="s">
        <v>1577</v>
      </c>
      <c r="D121" s="1147"/>
      <c r="F121" s="309">
        <f t="shared" ref="F121:AK121" si="160">IF(F$69=1,MAX(0,F$74+F$81+F$82+IF($B$36="Yes",F$101,0)+F$119-F$120),0)</f>
        <v>0</v>
      </c>
      <c r="G121" s="309">
        <f t="shared" si="160"/>
        <v>0</v>
      </c>
      <c r="H121" s="309">
        <f t="shared" si="160"/>
        <v>0</v>
      </c>
      <c r="I121" s="309">
        <f t="shared" si="160"/>
        <v>0</v>
      </c>
      <c r="J121" s="309">
        <f t="shared" si="160"/>
        <v>0</v>
      </c>
      <c r="K121" s="309">
        <f t="shared" si="160"/>
        <v>0</v>
      </c>
      <c r="L121" s="309">
        <f t="shared" si="160"/>
        <v>0</v>
      </c>
      <c r="M121" s="309">
        <f t="shared" si="160"/>
        <v>0</v>
      </c>
      <c r="N121" s="309">
        <f t="shared" si="160"/>
        <v>0</v>
      </c>
      <c r="O121" s="309">
        <f t="shared" si="160"/>
        <v>0</v>
      </c>
      <c r="P121" s="309">
        <f t="shared" si="160"/>
        <v>0</v>
      </c>
      <c r="Q121" s="309">
        <f t="shared" si="160"/>
        <v>0</v>
      </c>
      <c r="R121" s="309">
        <f t="shared" si="160"/>
        <v>0</v>
      </c>
      <c r="S121" s="309">
        <f t="shared" si="160"/>
        <v>0</v>
      </c>
      <c r="T121" s="309">
        <f t="shared" si="160"/>
        <v>0</v>
      </c>
      <c r="U121" s="309">
        <f t="shared" si="160"/>
        <v>0</v>
      </c>
      <c r="V121" s="309">
        <f t="shared" si="160"/>
        <v>0</v>
      </c>
      <c r="W121" s="309">
        <f t="shared" si="160"/>
        <v>0</v>
      </c>
      <c r="X121" s="309">
        <f t="shared" si="160"/>
        <v>0</v>
      </c>
      <c r="Y121" s="309">
        <f t="shared" si="160"/>
        <v>0</v>
      </c>
      <c r="Z121" s="309">
        <f t="shared" si="160"/>
        <v>0</v>
      </c>
      <c r="AA121" s="309">
        <f t="shared" si="160"/>
        <v>0</v>
      </c>
      <c r="AB121" s="309">
        <f t="shared" si="160"/>
        <v>0</v>
      </c>
      <c r="AC121" s="309">
        <f t="shared" si="160"/>
        <v>0</v>
      </c>
      <c r="AD121" s="309">
        <f t="shared" si="160"/>
        <v>0</v>
      </c>
      <c r="AE121" s="309">
        <f t="shared" si="160"/>
        <v>0</v>
      </c>
      <c r="AF121" s="309">
        <f t="shared" si="160"/>
        <v>0</v>
      </c>
      <c r="AG121" s="309">
        <f t="shared" si="160"/>
        <v>0</v>
      </c>
      <c r="AH121" s="309">
        <f t="shared" si="160"/>
        <v>0</v>
      </c>
      <c r="AI121" s="309">
        <f t="shared" si="160"/>
        <v>0</v>
      </c>
      <c r="AJ121" s="309">
        <f t="shared" si="160"/>
        <v>0</v>
      </c>
      <c r="AK121" s="309">
        <f t="shared" si="160"/>
        <v>0</v>
      </c>
      <c r="AL121" s="309">
        <f t="shared" ref="AL121:BQ121" si="161">IF(AL$69=1,MAX(0,AL$74+AL$81+AL$82+IF($B$36="Yes",AL$101,0)+AL$119-AL$120),0)</f>
        <v>0</v>
      </c>
      <c r="AM121" s="309">
        <f t="shared" si="161"/>
        <v>0</v>
      </c>
      <c r="AN121" s="309">
        <f t="shared" si="161"/>
        <v>0</v>
      </c>
      <c r="AO121" s="309">
        <f t="shared" si="161"/>
        <v>0</v>
      </c>
      <c r="AP121" s="309">
        <f t="shared" si="161"/>
        <v>0</v>
      </c>
      <c r="AQ121" s="309">
        <f t="shared" si="161"/>
        <v>0</v>
      </c>
      <c r="AR121" s="309">
        <f t="shared" si="161"/>
        <v>0</v>
      </c>
      <c r="AS121" s="309">
        <f t="shared" si="161"/>
        <v>0</v>
      </c>
      <c r="AT121" s="309">
        <f t="shared" si="161"/>
        <v>0</v>
      </c>
      <c r="AU121" s="309">
        <f t="shared" si="161"/>
        <v>0</v>
      </c>
      <c r="AV121" s="309">
        <f t="shared" si="161"/>
        <v>0</v>
      </c>
      <c r="AW121" s="309">
        <f t="shared" si="161"/>
        <v>0</v>
      </c>
      <c r="AX121" s="309">
        <f t="shared" si="161"/>
        <v>0</v>
      </c>
      <c r="AY121" s="309">
        <f t="shared" si="161"/>
        <v>0</v>
      </c>
      <c r="AZ121" s="309">
        <f t="shared" si="161"/>
        <v>0</v>
      </c>
      <c r="BA121" s="309">
        <f t="shared" si="161"/>
        <v>0</v>
      </c>
      <c r="BB121" s="309">
        <f t="shared" si="161"/>
        <v>0</v>
      </c>
      <c r="BC121" s="309">
        <f t="shared" si="161"/>
        <v>0</v>
      </c>
      <c r="BD121" s="309">
        <f t="shared" si="161"/>
        <v>0</v>
      </c>
      <c r="BE121" s="309">
        <f t="shared" si="161"/>
        <v>0</v>
      </c>
      <c r="BF121" s="309">
        <f t="shared" si="161"/>
        <v>0</v>
      </c>
      <c r="BG121" s="309">
        <f t="shared" si="161"/>
        <v>0</v>
      </c>
      <c r="BH121" s="309">
        <f t="shared" si="161"/>
        <v>0</v>
      </c>
      <c r="BI121" s="309">
        <f t="shared" si="161"/>
        <v>0</v>
      </c>
      <c r="BJ121" s="309">
        <f t="shared" si="161"/>
        <v>0</v>
      </c>
      <c r="BK121" s="309">
        <f t="shared" si="161"/>
        <v>0</v>
      </c>
      <c r="BL121" s="309">
        <f t="shared" si="161"/>
        <v>0</v>
      </c>
      <c r="BM121" s="309">
        <f t="shared" si="161"/>
        <v>0</v>
      </c>
      <c r="BN121" s="309">
        <f t="shared" si="161"/>
        <v>0</v>
      </c>
      <c r="BO121" s="309">
        <f t="shared" si="161"/>
        <v>0</v>
      </c>
      <c r="BP121" s="309">
        <f t="shared" si="161"/>
        <v>0</v>
      </c>
      <c r="BQ121" s="309">
        <f t="shared" si="161"/>
        <v>0</v>
      </c>
      <c r="BR121" s="309">
        <f t="shared" ref="BR121:CW121" si="162">IF(BR$69=1,MAX(0,BR$74+BR$81+BR$82+IF($B$36="Yes",BR$101,0)+BR$119-BR$120),0)</f>
        <v>0</v>
      </c>
      <c r="BS121" s="309">
        <f t="shared" si="162"/>
        <v>0</v>
      </c>
      <c r="BT121" s="309">
        <f t="shared" si="162"/>
        <v>0</v>
      </c>
      <c r="BU121" s="309">
        <f t="shared" si="162"/>
        <v>0</v>
      </c>
      <c r="BV121" s="309">
        <f t="shared" si="162"/>
        <v>0</v>
      </c>
      <c r="BW121" s="309">
        <f t="shared" si="162"/>
        <v>0</v>
      </c>
      <c r="BX121" s="309">
        <f t="shared" si="162"/>
        <v>0</v>
      </c>
      <c r="BY121" s="309">
        <f t="shared" si="162"/>
        <v>0</v>
      </c>
      <c r="BZ121" s="309">
        <f t="shared" si="162"/>
        <v>0</v>
      </c>
      <c r="CA121" s="309">
        <f t="shared" si="162"/>
        <v>0</v>
      </c>
      <c r="CB121" s="309">
        <f t="shared" si="162"/>
        <v>0</v>
      </c>
      <c r="CC121" s="309">
        <f t="shared" si="162"/>
        <v>0</v>
      </c>
      <c r="CD121" s="309">
        <f t="shared" si="162"/>
        <v>0</v>
      </c>
      <c r="CE121" s="309">
        <f t="shared" si="162"/>
        <v>0</v>
      </c>
      <c r="CF121" s="309">
        <f t="shared" si="162"/>
        <v>0</v>
      </c>
      <c r="CG121" s="309">
        <f t="shared" si="162"/>
        <v>0</v>
      </c>
      <c r="CH121" s="309">
        <f t="shared" si="162"/>
        <v>0</v>
      </c>
      <c r="CI121" s="309">
        <f t="shared" si="162"/>
        <v>0</v>
      </c>
      <c r="CJ121" s="309">
        <f t="shared" si="162"/>
        <v>0</v>
      </c>
      <c r="CK121" s="309">
        <f t="shared" si="162"/>
        <v>0</v>
      </c>
      <c r="CL121" s="309">
        <f t="shared" si="162"/>
        <v>0</v>
      </c>
      <c r="CM121" s="309">
        <f t="shared" si="162"/>
        <v>0</v>
      </c>
      <c r="CN121" s="309">
        <f t="shared" si="162"/>
        <v>0</v>
      </c>
      <c r="CO121" s="309">
        <f t="shared" si="162"/>
        <v>0</v>
      </c>
      <c r="CP121" s="309">
        <f t="shared" si="162"/>
        <v>0</v>
      </c>
      <c r="CQ121" s="309">
        <f t="shared" si="162"/>
        <v>0</v>
      </c>
      <c r="CR121" s="309">
        <f t="shared" si="162"/>
        <v>0</v>
      </c>
      <c r="CS121" s="309">
        <f t="shared" si="162"/>
        <v>0</v>
      </c>
      <c r="CT121" s="309">
        <f t="shared" si="162"/>
        <v>0</v>
      </c>
      <c r="CU121" s="309">
        <f t="shared" si="162"/>
        <v>0</v>
      </c>
      <c r="CV121" s="309">
        <f t="shared" si="162"/>
        <v>0</v>
      </c>
      <c r="CW121" s="309">
        <f t="shared" si="162"/>
        <v>0</v>
      </c>
      <c r="CX121" s="309">
        <f t="shared" ref="CX121:DV121" si="163">IF(CX$69=1,MAX(0,CX$74+CX$81+CX$82+IF($B$36="Yes",CX$101,0)+CX$119-CX$120),0)</f>
        <v>0</v>
      </c>
      <c r="CY121" s="309">
        <f t="shared" si="163"/>
        <v>0</v>
      </c>
      <c r="CZ121" s="309">
        <f t="shared" si="163"/>
        <v>0</v>
      </c>
      <c r="DA121" s="309">
        <f t="shared" si="163"/>
        <v>0</v>
      </c>
      <c r="DB121" s="309">
        <f t="shared" si="163"/>
        <v>0</v>
      </c>
      <c r="DC121" s="309">
        <f t="shared" si="163"/>
        <v>0</v>
      </c>
      <c r="DD121" s="309">
        <f t="shared" si="163"/>
        <v>0</v>
      </c>
      <c r="DE121" s="309">
        <f t="shared" si="163"/>
        <v>0</v>
      </c>
      <c r="DF121" s="309">
        <f t="shared" si="163"/>
        <v>0</v>
      </c>
      <c r="DG121" s="309">
        <f t="shared" si="163"/>
        <v>0</v>
      </c>
      <c r="DH121" s="309">
        <f t="shared" si="163"/>
        <v>0</v>
      </c>
      <c r="DI121" s="309">
        <f t="shared" si="163"/>
        <v>0</v>
      </c>
      <c r="DJ121" s="309">
        <f t="shared" si="163"/>
        <v>0</v>
      </c>
      <c r="DK121" s="309">
        <f t="shared" si="163"/>
        <v>0</v>
      </c>
      <c r="DL121" s="309">
        <f t="shared" si="163"/>
        <v>0</v>
      </c>
      <c r="DM121" s="309">
        <f t="shared" si="163"/>
        <v>0</v>
      </c>
      <c r="DN121" s="309">
        <f t="shared" si="163"/>
        <v>0</v>
      </c>
      <c r="DO121" s="309">
        <f t="shared" si="163"/>
        <v>0</v>
      </c>
      <c r="DP121" s="309">
        <f t="shared" si="163"/>
        <v>0</v>
      </c>
      <c r="DQ121" s="309">
        <f t="shared" si="163"/>
        <v>0</v>
      </c>
      <c r="DR121" s="309">
        <f t="shared" si="163"/>
        <v>0</v>
      </c>
      <c r="DS121" s="309">
        <f t="shared" si="163"/>
        <v>0</v>
      </c>
      <c r="DT121" s="309">
        <f t="shared" si="163"/>
        <v>0</v>
      </c>
      <c r="DU121" s="309">
        <f t="shared" si="163"/>
        <v>0</v>
      </c>
      <c r="DV121" s="309">
        <f t="shared" si="163"/>
        <v>0</v>
      </c>
    </row>
    <row r="122" spans="1:126" ht="15" customHeight="1" x14ac:dyDescent="0.35">
      <c r="A122" s="307" t="s">
        <v>1578</v>
      </c>
      <c r="B122" s="308" t="s">
        <v>83</v>
      </c>
      <c r="C122" s="1146" t="s">
        <v>1579</v>
      </c>
      <c r="D122" s="1147"/>
      <c r="F122" s="312">
        <f t="shared" ref="F122:AK122" si="164">MAX(0,$B$39+$B$40+INDEX($M$31:$M$33,MATCH($B$6,$J$31:$J$33,0)))</f>
        <v>6.5000000000000002E-2</v>
      </c>
      <c r="G122" s="312">
        <f t="shared" si="164"/>
        <v>6.5000000000000002E-2</v>
      </c>
      <c r="H122" s="312">
        <f t="shared" si="164"/>
        <v>6.5000000000000002E-2</v>
      </c>
      <c r="I122" s="312">
        <f t="shared" si="164"/>
        <v>6.5000000000000002E-2</v>
      </c>
      <c r="J122" s="312">
        <f t="shared" si="164"/>
        <v>6.5000000000000002E-2</v>
      </c>
      <c r="K122" s="312">
        <f t="shared" si="164"/>
        <v>6.5000000000000002E-2</v>
      </c>
      <c r="L122" s="312">
        <f t="shared" si="164"/>
        <v>6.5000000000000002E-2</v>
      </c>
      <c r="M122" s="312">
        <f t="shared" si="164"/>
        <v>6.5000000000000002E-2</v>
      </c>
      <c r="N122" s="312">
        <f t="shared" si="164"/>
        <v>6.5000000000000002E-2</v>
      </c>
      <c r="O122" s="312">
        <f t="shared" si="164"/>
        <v>6.5000000000000002E-2</v>
      </c>
      <c r="P122" s="312">
        <f t="shared" si="164"/>
        <v>6.5000000000000002E-2</v>
      </c>
      <c r="Q122" s="312">
        <f t="shared" si="164"/>
        <v>6.5000000000000002E-2</v>
      </c>
      <c r="R122" s="312">
        <f t="shared" si="164"/>
        <v>6.5000000000000002E-2</v>
      </c>
      <c r="S122" s="312">
        <f t="shared" si="164"/>
        <v>6.5000000000000002E-2</v>
      </c>
      <c r="T122" s="312">
        <f t="shared" si="164"/>
        <v>6.5000000000000002E-2</v>
      </c>
      <c r="U122" s="312">
        <f t="shared" si="164"/>
        <v>6.5000000000000002E-2</v>
      </c>
      <c r="V122" s="312">
        <f t="shared" si="164"/>
        <v>6.5000000000000002E-2</v>
      </c>
      <c r="W122" s="312">
        <f t="shared" si="164"/>
        <v>6.5000000000000002E-2</v>
      </c>
      <c r="X122" s="312">
        <f t="shared" si="164"/>
        <v>6.5000000000000002E-2</v>
      </c>
      <c r="Y122" s="312">
        <f t="shared" si="164"/>
        <v>6.5000000000000002E-2</v>
      </c>
      <c r="Z122" s="312">
        <f t="shared" si="164"/>
        <v>6.5000000000000002E-2</v>
      </c>
      <c r="AA122" s="312">
        <f t="shared" si="164"/>
        <v>6.5000000000000002E-2</v>
      </c>
      <c r="AB122" s="312">
        <f t="shared" si="164"/>
        <v>6.5000000000000002E-2</v>
      </c>
      <c r="AC122" s="312">
        <f t="shared" si="164"/>
        <v>6.5000000000000002E-2</v>
      </c>
      <c r="AD122" s="312">
        <f t="shared" si="164"/>
        <v>6.5000000000000002E-2</v>
      </c>
      <c r="AE122" s="312">
        <f t="shared" si="164"/>
        <v>6.5000000000000002E-2</v>
      </c>
      <c r="AF122" s="312">
        <f t="shared" si="164"/>
        <v>6.5000000000000002E-2</v>
      </c>
      <c r="AG122" s="312">
        <f t="shared" si="164"/>
        <v>6.5000000000000002E-2</v>
      </c>
      <c r="AH122" s="312">
        <f t="shared" si="164"/>
        <v>6.5000000000000002E-2</v>
      </c>
      <c r="AI122" s="312">
        <f t="shared" si="164"/>
        <v>6.5000000000000002E-2</v>
      </c>
      <c r="AJ122" s="312">
        <f t="shared" si="164"/>
        <v>6.5000000000000002E-2</v>
      </c>
      <c r="AK122" s="312">
        <f t="shared" si="164"/>
        <v>6.5000000000000002E-2</v>
      </c>
      <c r="AL122" s="312">
        <f t="shared" ref="AL122:BQ122" si="165">MAX(0,$B$39+$B$40+INDEX($M$31:$M$33,MATCH($B$6,$J$31:$J$33,0)))</f>
        <v>6.5000000000000002E-2</v>
      </c>
      <c r="AM122" s="312">
        <f t="shared" si="165"/>
        <v>6.5000000000000002E-2</v>
      </c>
      <c r="AN122" s="312">
        <f t="shared" si="165"/>
        <v>6.5000000000000002E-2</v>
      </c>
      <c r="AO122" s="312">
        <f t="shared" si="165"/>
        <v>6.5000000000000002E-2</v>
      </c>
      <c r="AP122" s="312">
        <f t="shared" si="165"/>
        <v>6.5000000000000002E-2</v>
      </c>
      <c r="AQ122" s="312">
        <f t="shared" si="165"/>
        <v>6.5000000000000002E-2</v>
      </c>
      <c r="AR122" s="312">
        <f t="shared" si="165"/>
        <v>6.5000000000000002E-2</v>
      </c>
      <c r="AS122" s="312">
        <f t="shared" si="165"/>
        <v>6.5000000000000002E-2</v>
      </c>
      <c r="AT122" s="312">
        <f t="shared" si="165"/>
        <v>6.5000000000000002E-2</v>
      </c>
      <c r="AU122" s="312">
        <f t="shared" si="165"/>
        <v>6.5000000000000002E-2</v>
      </c>
      <c r="AV122" s="312">
        <f t="shared" si="165"/>
        <v>6.5000000000000002E-2</v>
      </c>
      <c r="AW122" s="312">
        <f t="shared" si="165"/>
        <v>6.5000000000000002E-2</v>
      </c>
      <c r="AX122" s="312">
        <f t="shared" si="165"/>
        <v>6.5000000000000002E-2</v>
      </c>
      <c r="AY122" s="312">
        <f t="shared" si="165"/>
        <v>6.5000000000000002E-2</v>
      </c>
      <c r="AZ122" s="312">
        <f t="shared" si="165"/>
        <v>6.5000000000000002E-2</v>
      </c>
      <c r="BA122" s="312">
        <f t="shared" si="165"/>
        <v>6.5000000000000002E-2</v>
      </c>
      <c r="BB122" s="312">
        <f t="shared" si="165"/>
        <v>6.5000000000000002E-2</v>
      </c>
      <c r="BC122" s="312">
        <f t="shared" si="165"/>
        <v>6.5000000000000002E-2</v>
      </c>
      <c r="BD122" s="312">
        <f t="shared" si="165"/>
        <v>6.5000000000000002E-2</v>
      </c>
      <c r="BE122" s="312">
        <f t="shared" si="165"/>
        <v>6.5000000000000002E-2</v>
      </c>
      <c r="BF122" s="312">
        <f t="shared" si="165"/>
        <v>6.5000000000000002E-2</v>
      </c>
      <c r="BG122" s="312">
        <f t="shared" si="165"/>
        <v>6.5000000000000002E-2</v>
      </c>
      <c r="BH122" s="312">
        <f t="shared" si="165"/>
        <v>6.5000000000000002E-2</v>
      </c>
      <c r="BI122" s="312">
        <f t="shared" si="165"/>
        <v>6.5000000000000002E-2</v>
      </c>
      <c r="BJ122" s="312">
        <f t="shared" si="165"/>
        <v>6.5000000000000002E-2</v>
      </c>
      <c r="BK122" s="312">
        <f t="shared" si="165"/>
        <v>6.5000000000000002E-2</v>
      </c>
      <c r="BL122" s="312">
        <f t="shared" si="165"/>
        <v>6.5000000000000002E-2</v>
      </c>
      <c r="BM122" s="312">
        <f t="shared" si="165"/>
        <v>6.5000000000000002E-2</v>
      </c>
      <c r="BN122" s="312">
        <f t="shared" si="165"/>
        <v>6.5000000000000002E-2</v>
      </c>
      <c r="BO122" s="312">
        <f t="shared" si="165"/>
        <v>6.5000000000000002E-2</v>
      </c>
      <c r="BP122" s="312">
        <f t="shared" si="165"/>
        <v>6.5000000000000002E-2</v>
      </c>
      <c r="BQ122" s="312">
        <f t="shared" si="165"/>
        <v>6.5000000000000002E-2</v>
      </c>
      <c r="BR122" s="312">
        <f t="shared" ref="BR122:CW122" si="166">MAX(0,$B$39+$B$40+INDEX($M$31:$M$33,MATCH($B$6,$J$31:$J$33,0)))</f>
        <v>6.5000000000000002E-2</v>
      </c>
      <c r="BS122" s="312">
        <f t="shared" si="166"/>
        <v>6.5000000000000002E-2</v>
      </c>
      <c r="BT122" s="312">
        <f t="shared" si="166"/>
        <v>6.5000000000000002E-2</v>
      </c>
      <c r="BU122" s="312">
        <f t="shared" si="166"/>
        <v>6.5000000000000002E-2</v>
      </c>
      <c r="BV122" s="312">
        <f t="shared" si="166"/>
        <v>6.5000000000000002E-2</v>
      </c>
      <c r="BW122" s="312">
        <f t="shared" si="166"/>
        <v>6.5000000000000002E-2</v>
      </c>
      <c r="BX122" s="312">
        <f t="shared" si="166"/>
        <v>6.5000000000000002E-2</v>
      </c>
      <c r="BY122" s="312">
        <f t="shared" si="166"/>
        <v>6.5000000000000002E-2</v>
      </c>
      <c r="BZ122" s="312">
        <f t="shared" si="166"/>
        <v>6.5000000000000002E-2</v>
      </c>
      <c r="CA122" s="312">
        <f t="shared" si="166"/>
        <v>6.5000000000000002E-2</v>
      </c>
      <c r="CB122" s="312">
        <f t="shared" si="166"/>
        <v>6.5000000000000002E-2</v>
      </c>
      <c r="CC122" s="312">
        <f t="shared" si="166"/>
        <v>6.5000000000000002E-2</v>
      </c>
      <c r="CD122" s="312">
        <f t="shared" si="166"/>
        <v>6.5000000000000002E-2</v>
      </c>
      <c r="CE122" s="312">
        <f t="shared" si="166"/>
        <v>6.5000000000000002E-2</v>
      </c>
      <c r="CF122" s="312">
        <f t="shared" si="166"/>
        <v>6.5000000000000002E-2</v>
      </c>
      <c r="CG122" s="312">
        <f t="shared" si="166"/>
        <v>6.5000000000000002E-2</v>
      </c>
      <c r="CH122" s="312">
        <f t="shared" si="166"/>
        <v>6.5000000000000002E-2</v>
      </c>
      <c r="CI122" s="312">
        <f t="shared" si="166"/>
        <v>6.5000000000000002E-2</v>
      </c>
      <c r="CJ122" s="312">
        <f t="shared" si="166"/>
        <v>6.5000000000000002E-2</v>
      </c>
      <c r="CK122" s="312">
        <f t="shared" si="166"/>
        <v>6.5000000000000002E-2</v>
      </c>
      <c r="CL122" s="312">
        <f t="shared" si="166"/>
        <v>6.5000000000000002E-2</v>
      </c>
      <c r="CM122" s="312">
        <f t="shared" si="166"/>
        <v>6.5000000000000002E-2</v>
      </c>
      <c r="CN122" s="312">
        <f t="shared" si="166"/>
        <v>6.5000000000000002E-2</v>
      </c>
      <c r="CO122" s="312">
        <f t="shared" si="166"/>
        <v>6.5000000000000002E-2</v>
      </c>
      <c r="CP122" s="312">
        <f t="shared" si="166"/>
        <v>6.5000000000000002E-2</v>
      </c>
      <c r="CQ122" s="312">
        <f t="shared" si="166"/>
        <v>6.5000000000000002E-2</v>
      </c>
      <c r="CR122" s="312">
        <f t="shared" si="166"/>
        <v>6.5000000000000002E-2</v>
      </c>
      <c r="CS122" s="312">
        <f t="shared" si="166"/>
        <v>6.5000000000000002E-2</v>
      </c>
      <c r="CT122" s="312">
        <f t="shared" si="166"/>
        <v>6.5000000000000002E-2</v>
      </c>
      <c r="CU122" s="312">
        <f t="shared" si="166"/>
        <v>6.5000000000000002E-2</v>
      </c>
      <c r="CV122" s="312">
        <f t="shared" si="166"/>
        <v>6.5000000000000002E-2</v>
      </c>
      <c r="CW122" s="312">
        <f t="shared" si="166"/>
        <v>6.5000000000000002E-2</v>
      </c>
      <c r="CX122" s="312">
        <f t="shared" ref="CX122:DV122" si="167">MAX(0,$B$39+$B$40+INDEX($M$31:$M$33,MATCH($B$6,$J$31:$J$33,0)))</f>
        <v>6.5000000000000002E-2</v>
      </c>
      <c r="CY122" s="312">
        <f t="shared" si="167"/>
        <v>6.5000000000000002E-2</v>
      </c>
      <c r="CZ122" s="312">
        <f t="shared" si="167"/>
        <v>6.5000000000000002E-2</v>
      </c>
      <c r="DA122" s="312">
        <f t="shared" si="167"/>
        <v>6.5000000000000002E-2</v>
      </c>
      <c r="DB122" s="312">
        <f t="shared" si="167"/>
        <v>6.5000000000000002E-2</v>
      </c>
      <c r="DC122" s="312">
        <f t="shared" si="167"/>
        <v>6.5000000000000002E-2</v>
      </c>
      <c r="DD122" s="312">
        <f t="shared" si="167"/>
        <v>6.5000000000000002E-2</v>
      </c>
      <c r="DE122" s="312">
        <f t="shared" si="167"/>
        <v>6.5000000000000002E-2</v>
      </c>
      <c r="DF122" s="312">
        <f t="shared" si="167"/>
        <v>6.5000000000000002E-2</v>
      </c>
      <c r="DG122" s="312">
        <f t="shared" si="167"/>
        <v>6.5000000000000002E-2</v>
      </c>
      <c r="DH122" s="312">
        <f t="shared" si="167"/>
        <v>6.5000000000000002E-2</v>
      </c>
      <c r="DI122" s="312">
        <f t="shared" si="167"/>
        <v>6.5000000000000002E-2</v>
      </c>
      <c r="DJ122" s="312">
        <f t="shared" si="167"/>
        <v>6.5000000000000002E-2</v>
      </c>
      <c r="DK122" s="312">
        <f t="shared" si="167"/>
        <v>6.5000000000000002E-2</v>
      </c>
      <c r="DL122" s="312">
        <f t="shared" si="167"/>
        <v>6.5000000000000002E-2</v>
      </c>
      <c r="DM122" s="312">
        <f t="shared" si="167"/>
        <v>6.5000000000000002E-2</v>
      </c>
      <c r="DN122" s="312">
        <f t="shared" si="167"/>
        <v>6.5000000000000002E-2</v>
      </c>
      <c r="DO122" s="312">
        <f t="shared" si="167"/>
        <v>6.5000000000000002E-2</v>
      </c>
      <c r="DP122" s="312">
        <f t="shared" si="167"/>
        <v>6.5000000000000002E-2</v>
      </c>
      <c r="DQ122" s="312">
        <f t="shared" si="167"/>
        <v>6.5000000000000002E-2</v>
      </c>
      <c r="DR122" s="312">
        <f t="shared" si="167"/>
        <v>6.5000000000000002E-2</v>
      </c>
      <c r="DS122" s="312">
        <f t="shared" si="167"/>
        <v>6.5000000000000002E-2</v>
      </c>
      <c r="DT122" s="312">
        <f t="shared" si="167"/>
        <v>6.5000000000000002E-2</v>
      </c>
      <c r="DU122" s="312">
        <f t="shared" si="167"/>
        <v>6.5000000000000002E-2</v>
      </c>
      <c r="DV122" s="312">
        <f t="shared" si="167"/>
        <v>6.5000000000000002E-2</v>
      </c>
    </row>
    <row r="123" spans="1:126" ht="15" customHeight="1" x14ac:dyDescent="0.35">
      <c r="A123" s="307" t="s">
        <v>1580</v>
      </c>
      <c r="B123" s="308" t="s">
        <v>1370</v>
      </c>
      <c r="C123" s="1146" t="s">
        <v>1514</v>
      </c>
      <c r="D123" s="1147"/>
      <c r="F123" s="309">
        <f t="shared" ref="F123:AK123" si="168">(F$116+0.5*F$120)*F$122*F$65/$B$17</f>
        <v>0</v>
      </c>
      <c r="G123" s="309">
        <f t="shared" si="168"/>
        <v>0</v>
      </c>
      <c r="H123" s="309">
        <f t="shared" si="168"/>
        <v>0</v>
      </c>
      <c r="I123" s="309">
        <f t="shared" si="168"/>
        <v>0</v>
      </c>
      <c r="J123" s="309">
        <f t="shared" si="168"/>
        <v>0</v>
      </c>
      <c r="K123" s="309">
        <f t="shared" si="168"/>
        <v>0</v>
      </c>
      <c r="L123" s="309">
        <f t="shared" si="168"/>
        <v>0</v>
      </c>
      <c r="M123" s="309">
        <f t="shared" si="168"/>
        <v>0</v>
      </c>
      <c r="N123" s="309">
        <f t="shared" si="168"/>
        <v>0</v>
      </c>
      <c r="O123" s="309">
        <f t="shared" si="168"/>
        <v>0</v>
      </c>
      <c r="P123" s="309">
        <f t="shared" si="168"/>
        <v>0</v>
      </c>
      <c r="Q123" s="309">
        <f t="shared" si="168"/>
        <v>0</v>
      </c>
      <c r="R123" s="309">
        <f t="shared" si="168"/>
        <v>0</v>
      </c>
      <c r="S123" s="309">
        <f t="shared" si="168"/>
        <v>0</v>
      </c>
      <c r="T123" s="309">
        <f t="shared" si="168"/>
        <v>0</v>
      </c>
      <c r="U123" s="309">
        <f t="shared" si="168"/>
        <v>0</v>
      </c>
      <c r="V123" s="309">
        <f t="shared" si="168"/>
        <v>0</v>
      </c>
      <c r="W123" s="309">
        <f t="shared" si="168"/>
        <v>0</v>
      </c>
      <c r="X123" s="309">
        <f t="shared" si="168"/>
        <v>0</v>
      </c>
      <c r="Y123" s="309">
        <f t="shared" si="168"/>
        <v>0</v>
      </c>
      <c r="Z123" s="309">
        <f t="shared" si="168"/>
        <v>0</v>
      </c>
      <c r="AA123" s="309">
        <f t="shared" si="168"/>
        <v>0</v>
      </c>
      <c r="AB123" s="309">
        <f t="shared" si="168"/>
        <v>0</v>
      </c>
      <c r="AC123" s="309">
        <f t="shared" si="168"/>
        <v>0</v>
      </c>
      <c r="AD123" s="309">
        <f t="shared" si="168"/>
        <v>0</v>
      </c>
      <c r="AE123" s="309">
        <f t="shared" si="168"/>
        <v>0</v>
      </c>
      <c r="AF123" s="309">
        <f t="shared" si="168"/>
        <v>0</v>
      </c>
      <c r="AG123" s="309">
        <f t="shared" si="168"/>
        <v>0</v>
      </c>
      <c r="AH123" s="309">
        <f t="shared" si="168"/>
        <v>0</v>
      </c>
      <c r="AI123" s="309">
        <f t="shared" si="168"/>
        <v>0</v>
      </c>
      <c r="AJ123" s="309">
        <f t="shared" si="168"/>
        <v>0</v>
      </c>
      <c r="AK123" s="309">
        <f t="shared" si="168"/>
        <v>0</v>
      </c>
      <c r="AL123" s="309">
        <f t="shared" ref="AL123:BQ123" si="169">(AL$116+0.5*AL$120)*AL$122*AL$65/$B$17</f>
        <v>0</v>
      </c>
      <c r="AM123" s="309">
        <f t="shared" si="169"/>
        <v>0</v>
      </c>
      <c r="AN123" s="309">
        <f t="shared" si="169"/>
        <v>0</v>
      </c>
      <c r="AO123" s="309">
        <f t="shared" si="169"/>
        <v>0</v>
      </c>
      <c r="AP123" s="309">
        <f t="shared" si="169"/>
        <v>0</v>
      </c>
      <c r="AQ123" s="309">
        <f t="shared" si="169"/>
        <v>0</v>
      </c>
      <c r="AR123" s="309">
        <f t="shared" si="169"/>
        <v>0</v>
      </c>
      <c r="AS123" s="309">
        <f t="shared" si="169"/>
        <v>0</v>
      </c>
      <c r="AT123" s="309">
        <f t="shared" si="169"/>
        <v>0</v>
      </c>
      <c r="AU123" s="309">
        <f t="shared" si="169"/>
        <v>0</v>
      </c>
      <c r="AV123" s="309">
        <f t="shared" si="169"/>
        <v>0</v>
      </c>
      <c r="AW123" s="309">
        <f t="shared" si="169"/>
        <v>0</v>
      </c>
      <c r="AX123" s="309">
        <f t="shared" si="169"/>
        <v>0</v>
      </c>
      <c r="AY123" s="309">
        <f t="shared" si="169"/>
        <v>0</v>
      </c>
      <c r="AZ123" s="309">
        <f t="shared" si="169"/>
        <v>0</v>
      </c>
      <c r="BA123" s="309">
        <f t="shared" si="169"/>
        <v>0</v>
      </c>
      <c r="BB123" s="309">
        <f t="shared" si="169"/>
        <v>0</v>
      </c>
      <c r="BC123" s="309">
        <f t="shared" si="169"/>
        <v>625224.55426559586</v>
      </c>
      <c r="BD123" s="309">
        <f t="shared" si="169"/>
        <v>1250449.1085311917</v>
      </c>
      <c r="BE123" s="309">
        <f t="shared" si="169"/>
        <v>1202936.7527340364</v>
      </c>
      <c r="BF123" s="309">
        <f t="shared" si="169"/>
        <v>1235489.0333333996</v>
      </c>
      <c r="BG123" s="309">
        <f t="shared" si="169"/>
        <v>1188406.4902475367</v>
      </c>
      <c r="BH123" s="309">
        <f t="shared" si="169"/>
        <v>1220416.9061726155</v>
      </c>
      <c r="BI123" s="309">
        <f t="shared" si="169"/>
        <v>1212902.1299407063</v>
      </c>
      <c r="BJ123" s="309">
        <f t="shared" si="169"/>
        <v>1088707.3613398722</v>
      </c>
      <c r="BK123" s="309">
        <f t="shared" si="169"/>
        <v>1197460.4160694287</v>
      </c>
      <c r="BL123" s="309">
        <f t="shared" si="169"/>
        <v>1151483.6532957882</v>
      </c>
      <c r="BM123" s="309">
        <f t="shared" si="169"/>
        <v>1182088.6211146775</v>
      </c>
      <c r="BN123" s="309">
        <f t="shared" si="169"/>
        <v>1136494.1595661982</v>
      </c>
      <c r="BO123" s="309">
        <f t="shared" si="169"/>
        <v>1166540.1221166248</v>
      </c>
      <c r="BP123" s="309">
        <f t="shared" si="169"/>
        <v>0</v>
      </c>
      <c r="BQ123" s="309">
        <f t="shared" si="169"/>
        <v>0</v>
      </c>
      <c r="BR123" s="309">
        <f t="shared" ref="BR123:CW123" si="170">(BR$116+0.5*BR$120)*BR$122*BR$65/$B$17</f>
        <v>0</v>
      </c>
      <c r="BS123" s="309">
        <f t="shared" si="170"/>
        <v>0</v>
      </c>
      <c r="BT123" s="309">
        <f t="shared" si="170"/>
        <v>0</v>
      </c>
      <c r="BU123" s="309">
        <f t="shared" si="170"/>
        <v>0</v>
      </c>
      <c r="BV123" s="309">
        <f t="shared" si="170"/>
        <v>0</v>
      </c>
      <c r="BW123" s="309">
        <f t="shared" si="170"/>
        <v>0</v>
      </c>
      <c r="BX123" s="309">
        <f t="shared" si="170"/>
        <v>0</v>
      </c>
      <c r="BY123" s="309">
        <f t="shared" si="170"/>
        <v>0</v>
      </c>
      <c r="BZ123" s="309">
        <f t="shared" si="170"/>
        <v>0</v>
      </c>
      <c r="CA123" s="309">
        <f t="shared" si="170"/>
        <v>0</v>
      </c>
      <c r="CB123" s="309">
        <f t="shared" si="170"/>
        <v>0</v>
      </c>
      <c r="CC123" s="309">
        <f t="shared" si="170"/>
        <v>0</v>
      </c>
      <c r="CD123" s="309">
        <f t="shared" si="170"/>
        <v>0</v>
      </c>
      <c r="CE123" s="309">
        <f t="shared" si="170"/>
        <v>0</v>
      </c>
      <c r="CF123" s="309">
        <f t="shared" si="170"/>
        <v>0</v>
      </c>
      <c r="CG123" s="309">
        <f t="shared" si="170"/>
        <v>0</v>
      </c>
      <c r="CH123" s="309">
        <f t="shared" si="170"/>
        <v>0</v>
      </c>
      <c r="CI123" s="309">
        <f t="shared" si="170"/>
        <v>0</v>
      </c>
      <c r="CJ123" s="309">
        <f t="shared" si="170"/>
        <v>0</v>
      </c>
      <c r="CK123" s="309">
        <f t="shared" si="170"/>
        <v>0</v>
      </c>
      <c r="CL123" s="309">
        <f t="shared" si="170"/>
        <v>0</v>
      </c>
      <c r="CM123" s="309">
        <f t="shared" si="170"/>
        <v>0</v>
      </c>
      <c r="CN123" s="309">
        <f t="shared" si="170"/>
        <v>0</v>
      </c>
      <c r="CO123" s="309">
        <f t="shared" si="170"/>
        <v>0</v>
      </c>
      <c r="CP123" s="309">
        <f t="shared" si="170"/>
        <v>0</v>
      </c>
      <c r="CQ123" s="309">
        <f t="shared" si="170"/>
        <v>0</v>
      </c>
      <c r="CR123" s="309">
        <f t="shared" si="170"/>
        <v>0</v>
      </c>
      <c r="CS123" s="309">
        <f t="shared" si="170"/>
        <v>0</v>
      </c>
      <c r="CT123" s="309">
        <f t="shared" si="170"/>
        <v>0</v>
      </c>
      <c r="CU123" s="309">
        <f t="shared" si="170"/>
        <v>0</v>
      </c>
      <c r="CV123" s="309">
        <f t="shared" si="170"/>
        <v>0</v>
      </c>
      <c r="CW123" s="309">
        <f t="shared" si="170"/>
        <v>0</v>
      </c>
      <c r="CX123" s="309">
        <f t="shared" ref="CX123:DV123" si="171">(CX$116+0.5*CX$120)*CX$122*CX$65/$B$17</f>
        <v>0</v>
      </c>
      <c r="CY123" s="309">
        <f t="shared" si="171"/>
        <v>0</v>
      </c>
      <c r="CZ123" s="309">
        <f t="shared" si="171"/>
        <v>0</v>
      </c>
      <c r="DA123" s="309">
        <f t="shared" si="171"/>
        <v>0</v>
      </c>
      <c r="DB123" s="309">
        <f t="shared" si="171"/>
        <v>0</v>
      </c>
      <c r="DC123" s="309">
        <f t="shared" si="171"/>
        <v>0</v>
      </c>
      <c r="DD123" s="309">
        <f t="shared" si="171"/>
        <v>0</v>
      </c>
      <c r="DE123" s="309">
        <f t="shared" si="171"/>
        <v>0</v>
      </c>
      <c r="DF123" s="309">
        <f t="shared" si="171"/>
        <v>0</v>
      </c>
      <c r="DG123" s="309">
        <f t="shared" si="171"/>
        <v>0</v>
      </c>
      <c r="DH123" s="309">
        <f t="shared" si="171"/>
        <v>0</v>
      </c>
      <c r="DI123" s="309">
        <f t="shared" si="171"/>
        <v>0</v>
      </c>
      <c r="DJ123" s="309">
        <f t="shared" si="171"/>
        <v>0</v>
      </c>
      <c r="DK123" s="309">
        <f t="shared" si="171"/>
        <v>0</v>
      </c>
      <c r="DL123" s="309">
        <f t="shared" si="171"/>
        <v>0</v>
      </c>
      <c r="DM123" s="309">
        <f t="shared" si="171"/>
        <v>0</v>
      </c>
      <c r="DN123" s="309">
        <f t="shared" si="171"/>
        <v>0</v>
      </c>
      <c r="DO123" s="309">
        <f t="shared" si="171"/>
        <v>0</v>
      </c>
      <c r="DP123" s="309">
        <f t="shared" si="171"/>
        <v>0</v>
      </c>
      <c r="DQ123" s="309">
        <f t="shared" si="171"/>
        <v>0</v>
      </c>
      <c r="DR123" s="309">
        <f t="shared" si="171"/>
        <v>0</v>
      </c>
      <c r="DS123" s="309">
        <f t="shared" si="171"/>
        <v>0</v>
      </c>
      <c r="DT123" s="309">
        <f t="shared" si="171"/>
        <v>0</v>
      </c>
      <c r="DU123" s="309">
        <f t="shared" si="171"/>
        <v>0</v>
      </c>
      <c r="DV123" s="309">
        <f t="shared" si="171"/>
        <v>0</v>
      </c>
    </row>
    <row r="124" spans="1:126" ht="15" customHeight="1" x14ac:dyDescent="0.35">
      <c r="A124" s="307" t="s">
        <v>1581</v>
      </c>
      <c r="B124" s="308" t="s">
        <v>1370</v>
      </c>
      <c r="C124" s="1146" t="s">
        <v>1582</v>
      </c>
      <c r="D124" s="1147"/>
      <c r="F124" s="309">
        <f t="shared" ref="F124:AK124" si="172">IF(OR(F$64&lt;=$B$35,(F$116+F$120)&lt;=0,F$64&gt;$B$52),0,IF($B$44="Full amortisation",MIN((F$116+F$120),(F$116+F$120)/MAX(1,$B$42*12)),IF($B$44="Partial amortisation with bullet",MIN((F$116+F$120),(F$116+F$120)*(1-$B$45)/MAX(1,$B$42*12)),IF($B$44="Interest-only followed by amortisation",IF(MAX(0,(YEAR(F$64)-YEAR($B$35))*12+MONTH(F$64)-MONTH($B$35))&lt;$B$43,0,MIN((F$116+F$120),(F$116+F$120)/MAX(1,$B$42*12-$B$43))),IF($B$44="Sculpted to CFADS",MIN((F$116+F$120),MAX(0,F$144/$B$48-F$123)),0)))))</f>
        <v>0</v>
      </c>
      <c r="G124" s="309">
        <f t="shared" si="172"/>
        <v>0</v>
      </c>
      <c r="H124" s="309">
        <f t="shared" si="172"/>
        <v>0</v>
      </c>
      <c r="I124" s="309">
        <f t="shared" si="172"/>
        <v>0</v>
      </c>
      <c r="J124" s="309">
        <f t="shared" si="172"/>
        <v>0</v>
      </c>
      <c r="K124" s="309">
        <f t="shared" si="172"/>
        <v>0</v>
      </c>
      <c r="L124" s="309">
        <f t="shared" si="172"/>
        <v>0</v>
      </c>
      <c r="M124" s="309">
        <f t="shared" si="172"/>
        <v>0</v>
      </c>
      <c r="N124" s="309">
        <f t="shared" si="172"/>
        <v>0</v>
      </c>
      <c r="O124" s="309">
        <f t="shared" si="172"/>
        <v>0</v>
      </c>
      <c r="P124" s="309">
        <f t="shared" si="172"/>
        <v>0</v>
      </c>
      <c r="Q124" s="309">
        <f t="shared" si="172"/>
        <v>0</v>
      </c>
      <c r="R124" s="309">
        <f t="shared" si="172"/>
        <v>0</v>
      </c>
      <c r="S124" s="309">
        <f t="shared" si="172"/>
        <v>0</v>
      </c>
      <c r="T124" s="309">
        <f t="shared" si="172"/>
        <v>0</v>
      </c>
      <c r="U124" s="309">
        <f t="shared" si="172"/>
        <v>0</v>
      </c>
      <c r="V124" s="309">
        <f t="shared" si="172"/>
        <v>0</v>
      </c>
      <c r="W124" s="309">
        <f t="shared" si="172"/>
        <v>0</v>
      </c>
      <c r="X124" s="309">
        <f t="shared" si="172"/>
        <v>0</v>
      </c>
      <c r="Y124" s="309">
        <f t="shared" si="172"/>
        <v>0</v>
      </c>
      <c r="Z124" s="309">
        <f t="shared" si="172"/>
        <v>0</v>
      </c>
      <c r="AA124" s="309">
        <f t="shared" si="172"/>
        <v>0</v>
      </c>
      <c r="AB124" s="309">
        <f t="shared" si="172"/>
        <v>0</v>
      </c>
      <c r="AC124" s="309">
        <f t="shared" si="172"/>
        <v>0</v>
      </c>
      <c r="AD124" s="309">
        <f t="shared" si="172"/>
        <v>0</v>
      </c>
      <c r="AE124" s="309">
        <f t="shared" si="172"/>
        <v>0</v>
      </c>
      <c r="AF124" s="309">
        <f t="shared" si="172"/>
        <v>0</v>
      </c>
      <c r="AG124" s="309">
        <f t="shared" si="172"/>
        <v>0</v>
      </c>
      <c r="AH124" s="309">
        <f t="shared" si="172"/>
        <v>0</v>
      </c>
      <c r="AI124" s="309">
        <f t="shared" si="172"/>
        <v>0</v>
      </c>
      <c r="AJ124" s="309">
        <f t="shared" si="172"/>
        <v>0</v>
      </c>
      <c r="AK124" s="309">
        <f t="shared" si="172"/>
        <v>0</v>
      </c>
      <c r="AL124" s="309">
        <f t="shared" ref="AL124:BQ124" si="173">IF(OR(AL$64&lt;=$B$35,(AL$116+AL$120)&lt;=0,AL$64&gt;$B$52),0,IF($B$44="Full amortisation",MIN((AL$116+AL$120),(AL$116+AL$120)/MAX(1,$B$42*12)),IF($B$44="Partial amortisation with bullet",MIN((AL$116+AL$120),(AL$116+AL$120)*(1-$B$45)/MAX(1,$B$42*12)),IF($B$44="Interest-only followed by amortisation",IF(MAX(0,(YEAR(AL$64)-YEAR($B$35))*12+MONTH(AL$64)-MONTH($B$35))&lt;$B$43,0,MIN((AL$116+AL$120),(AL$116+AL$120)/MAX(1,$B$42*12-$B$43))),IF($B$44="Sculpted to CFADS",MIN((AL$116+AL$120),MAX(0,AL$144/$B$48-AL$123)),0)))))</f>
        <v>0</v>
      </c>
      <c r="AM124" s="309">
        <f t="shared" si="173"/>
        <v>0</v>
      </c>
      <c r="AN124" s="309">
        <f t="shared" si="173"/>
        <v>0</v>
      </c>
      <c r="AO124" s="309">
        <f t="shared" si="173"/>
        <v>0</v>
      </c>
      <c r="AP124" s="309">
        <f t="shared" si="173"/>
        <v>0</v>
      </c>
      <c r="AQ124" s="309">
        <f t="shared" si="173"/>
        <v>0</v>
      </c>
      <c r="AR124" s="309">
        <f t="shared" si="173"/>
        <v>0</v>
      </c>
      <c r="AS124" s="309">
        <f t="shared" si="173"/>
        <v>0</v>
      </c>
      <c r="AT124" s="309">
        <f t="shared" si="173"/>
        <v>0</v>
      </c>
      <c r="AU124" s="309">
        <f t="shared" si="173"/>
        <v>0</v>
      </c>
      <c r="AV124" s="309">
        <f t="shared" si="173"/>
        <v>0</v>
      </c>
      <c r="AW124" s="309">
        <f t="shared" si="173"/>
        <v>0</v>
      </c>
      <c r="AX124" s="309">
        <f t="shared" si="173"/>
        <v>0</v>
      </c>
      <c r="AY124" s="309">
        <f t="shared" si="173"/>
        <v>0</v>
      </c>
      <c r="AZ124" s="309">
        <f t="shared" si="173"/>
        <v>0</v>
      </c>
      <c r="BA124" s="309">
        <f t="shared" si="173"/>
        <v>0</v>
      </c>
      <c r="BB124" s="309">
        <f t="shared" si="173"/>
        <v>0</v>
      </c>
      <c r="BC124" s="309">
        <f t="shared" si="173"/>
        <v>0</v>
      </c>
      <c r="BD124" s="309">
        <f t="shared" si="173"/>
        <v>0</v>
      </c>
      <c r="BE124" s="309">
        <f t="shared" si="173"/>
        <v>0</v>
      </c>
      <c r="BF124" s="309">
        <f t="shared" si="173"/>
        <v>0</v>
      </c>
      <c r="BG124" s="309">
        <f t="shared" si="173"/>
        <v>0</v>
      </c>
      <c r="BH124" s="309">
        <f t="shared" si="173"/>
        <v>0</v>
      </c>
      <c r="BI124" s="309">
        <f t="shared" si="173"/>
        <v>0</v>
      </c>
      <c r="BJ124" s="309">
        <f t="shared" si="173"/>
        <v>0</v>
      </c>
      <c r="BK124" s="309">
        <f t="shared" si="173"/>
        <v>0</v>
      </c>
      <c r="BL124" s="309">
        <f t="shared" si="173"/>
        <v>0</v>
      </c>
      <c r="BM124" s="309">
        <f t="shared" si="173"/>
        <v>0</v>
      </c>
      <c r="BN124" s="309">
        <f t="shared" si="173"/>
        <v>0</v>
      </c>
      <c r="BO124" s="309">
        <f t="shared" si="173"/>
        <v>607209.07072326529</v>
      </c>
      <c r="BP124" s="309">
        <f t="shared" si="173"/>
        <v>0</v>
      </c>
      <c r="BQ124" s="309">
        <f t="shared" si="173"/>
        <v>0</v>
      </c>
      <c r="BR124" s="309">
        <f t="shared" ref="BR124:CW124" si="174">IF(OR(BR$64&lt;=$B$35,(BR$116+BR$120)&lt;=0,BR$64&gt;$B$52),0,IF($B$44="Full amortisation",MIN((BR$116+BR$120),(BR$116+BR$120)/MAX(1,$B$42*12)),IF($B$44="Partial amortisation with bullet",MIN((BR$116+BR$120),(BR$116+BR$120)*(1-$B$45)/MAX(1,$B$42*12)),IF($B$44="Interest-only followed by amortisation",IF(MAX(0,(YEAR(BR$64)-YEAR($B$35))*12+MONTH(BR$64)-MONTH($B$35))&lt;$B$43,0,MIN((BR$116+BR$120),(BR$116+BR$120)/MAX(1,$B$42*12-$B$43))),IF($B$44="Sculpted to CFADS",MIN((BR$116+BR$120),MAX(0,BR$144/$B$48-BR$123)),0)))))</f>
        <v>0</v>
      </c>
      <c r="BS124" s="309">
        <f t="shared" si="174"/>
        <v>0</v>
      </c>
      <c r="BT124" s="309">
        <f t="shared" si="174"/>
        <v>0</v>
      </c>
      <c r="BU124" s="309">
        <f t="shared" si="174"/>
        <v>0</v>
      </c>
      <c r="BV124" s="309">
        <f t="shared" si="174"/>
        <v>0</v>
      </c>
      <c r="BW124" s="309">
        <f t="shared" si="174"/>
        <v>0</v>
      </c>
      <c r="BX124" s="309">
        <f t="shared" si="174"/>
        <v>0</v>
      </c>
      <c r="BY124" s="309">
        <f t="shared" si="174"/>
        <v>0</v>
      </c>
      <c r="BZ124" s="309">
        <f t="shared" si="174"/>
        <v>0</v>
      </c>
      <c r="CA124" s="309">
        <f t="shared" si="174"/>
        <v>0</v>
      </c>
      <c r="CB124" s="309">
        <f t="shared" si="174"/>
        <v>0</v>
      </c>
      <c r="CC124" s="309">
        <f t="shared" si="174"/>
        <v>0</v>
      </c>
      <c r="CD124" s="309">
        <f t="shared" si="174"/>
        <v>0</v>
      </c>
      <c r="CE124" s="309">
        <f t="shared" si="174"/>
        <v>0</v>
      </c>
      <c r="CF124" s="309">
        <f t="shared" si="174"/>
        <v>0</v>
      </c>
      <c r="CG124" s="309">
        <f t="shared" si="174"/>
        <v>0</v>
      </c>
      <c r="CH124" s="309">
        <f t="shared" si="174"/>
        <v>0</v>
      </c>
      <c r="CI124" s="309">
        <f t="shared" si="174"/>
        <v>0</v>
      </c>
      <c r="CJ124" s="309">
        <f t="shared" si="174"/>
        <v>0</v>
      </c>
      <c r="CK124" s="309">
        <f t="shared" si="174"/>
        <v>0</v>
      </c>
      <c r="CL124" s="309">
        <f t="shared" si="174"/>
        <v>0</v>
      </c>
      <c r="CM124" s="309">
        <f t="shared" si="174"/>
        <v>0</v>
      </c>
      <c r="CN124" s="309">
        <f t="shared" si="174"/>
        <v>0</v>
      </c>
      <c r="CO124" s="309">
        <f t="shared" si="174"/>
        <v>0</v>
      </c>
      <c r="CP124" s="309">
        <f t="shared" si="174"/>
        <v>0</v>
      </c>
      <c r="CQ124" s="309">
        <f t="shared" si="174"/>
        <v>0</v>
      </c>
      <c r="CR124" s="309">
        <f t="shared" si="174"/>
        <v>0</v>
      </c>
      <c r="CS124" s="309">
        <f t="shared" si="174"/>
        <v>0</v>
      </c>
      <c r="CT124" s="309">
        <f t="shared" si="174"/>
        <v>0</v>
      </c>
      <c r="CU124" s="309">
        <f t="shared" si="174"/>
        <v>0</v>
      </c>
      <c r="CV124" s="309">
        <f t="shared" si="174"/>
        <v>0</v>
      </c>
      <c r="CW124" s="309">
        <f t="shared" si="174"/>
        <v>0</v>
      </c>
      <c r="CX124" s="309">
        <f t="shared" ref="CX124:DV124" si="175">IF(OR(CX$64&lt;=$B$35,(CX$116+CX$120)&lt;=0,CX$64&gt;$B$52),0,IF($B$44="Full amortisation",MIN((CX$116+CX$120),(CX$116+CX$120)/MAX(1,$B$42*12)),IF($B$44="Partial amortisation with bullet",MIN((CX$116+CX$120),(CX$116+CX$120)*(1-$B$45)/MAX(1,$B$42*12)),IF($B$44="Interest-only followed by amortisation",IF(MAX(0,(YEAR(CX$64)-YEAR($B$35))*12+MONTH(CX$64)-MONTH($B$35))&lt;$B$43,0,MIN((CX$116+CX$120),(CX$116+CX$120)/MAX(1,$B$42*12-$B$43))),IF($B$44="Sculpted to CFADS",MIN((CX$116+CX$120),MAX(0,CX$144/$B$48-CX$123)),0)))))</f>
        <v>0</v>
      </c>
      <c r="CY124" s="309">
        <f t="shared" si="175"/>
        <v>0</v>
      </c>
      <c r="CZ124" s="309">
        <f t="shared" si="175"/>
        <v>0</v>
      </c>
      <c r="DA124" s="309">
        <f t="shared" si="175"/>
        <v>0</v>
      </c>
      <c r="DB124" s="309">
        <f t="shared" si="175"/>
        <v>0</v>
      </c>
      <c r="DC124" s="309">
        <f t="shared" si="175"/>
        <v>0</v>
      </c>
      <c r="DD124" s="309">
        <f t="shared" si="175"/>
        <v>0</v>
      </c>
      <c r="DE124" s="309">
        <f t="shared" si="175"/>
        <v>0</v>
      </c>
      <c r="DF124" s="309">
        <f t="shared" si="175"/>
        <v>0</v>
      </c>
      <c r="DG124" s="309">
        <f t="shared" si="175"/>
        <v>0</v>
      </c>
      <c r="DH124" s="309">
        <f t="shared" si="175"/>
        <v>0</v>
      </c>
      <c r="DI124" s="309">
        <f t="shared" si="175"/>
        <v>0</v>
      </c>
      <c r="DJ124" s="309">
        <f t="shared" si="175"/>
        <v>0</v>
      </c>
      <c r="DK124" s="309">
        <f t="shared" si="175"/>
        <v>0</v>
      </c>
      <c r="DL124" s="309">
        <f t="shared" si="175"/>
        <v>0</v>
      </c>
      <c r="DM124" s="309">
        <f t="shared" si="175"/>
        <v>0</v>
      </c>
      <c r="DN124" s="309">
        <f t="shared" si="175"/>
        <v>0</v>
      </c>
      <c r="DO124" s="309">
        <f t="shared" si="175"/>
        <v>0</v>
      </c>
      <c r="DP124" s="309">
        <f t="shared" si="175"/>
        <v>0</v>
      </c>
      <c r="DQ124" s="309">
        <f t="shared" si="175"/>
        <v>0</v>
      </c>
      <c r="DR124" s="309">
        <f t="shared" si="175"/>
        <v>0</v>
      </c>
      <c r="DS124" s="309">
        <f t="shared" si="175"/>
        <v>0</v>
      </c>
      <c r="DT124" s="309">
        <f t="shared" si="175"/>
        <v>0</v>
      </c>
      <c r="DU124" s="309">
        <f t="shared" si="175"/>
        <v>0</v>
      </c>
      <c r="DV124" s="309">
        <f t="shared" si="175"/>
        <v>0</v>
      </c>
    </row>
    <row r="125" spans="1:126" ht="15" customHeight="1" x14ac:dyDescent="0.35">
      <c r="A125" s="307" t="s">
        <v>1583</v>
      </c>
      <c r="B125" s="308" t="s">
        <v>1370</v>
      </c>
      <c r="C125" s="1146" t="s">
        <v>1584</v>
      </c>
      <c r="D125" s="1147"/>
      <c r="F125" s="309">
        <f t="shared" ref="F125:AK125" si="176">IF(F$70=1,MAX(0,F$116+F$120-F$124-F$126),0)</f>
        <v>0</v>
      </c>
      <c r="G125" s="309">
        <f t="shared" si="176"/>
        <v>0</v>
      </c>
      <c r="H125" s="309">
        <f t="shared" si="176"/>
        <v>0</v>
      </c>
      <c r="I125" s="309">
        <f t="shared" si="176"/>
        <v>0</v>
      </c>
      <c r="J125" s="309">
        <f t="shared" si="176"/>
        <v>0</v>
      </c>
      <c r="K125" s="309">
        <f t="shared" si="176"/>
        <v>0</v>
      </c>
      <c r="L125" s="309">
        <f t="shared" si="176"/>
        <v>0</v>
      </c>
      <c r="M125" s="309">
        <f t="shared" si="176"/>
        <v>0</v>
      </c>
      <c r="N125" s="309">
        <f t="shared" si="176"/>
        <v>0</v>
      </c>
      <c r="O125" s="309">
        <f t="shared" si="176"/>
        <v>0</v>
      </c>
      <c r="P125" s="309">
        <f t="shared" si="176"/>
        <v>0</v>
      </c>
      <c r="Q125" s="309">
        <f t="shared" si="176"/>
        <v>0</v>
      </c>
      <c r="R125" s="309">
        <f t="shared" si="176"/>
        <v>0</v>
      </c>
      <c r="S125" s="309">
        <f t="shared" si="176"/>
        <v>0</v>
      </c>
      <c r="T125" s="309">
        <f t="shared" si="176"/>
        <v>0</v>
      </c>
      <c r="U125" s="309">
        <f t="shared" si="176"/>
        <v>0</v>
      </c>
      <c r="V125" s="309">
        <f t="shared" si="176"/>
        <v>0</v>
      </c>
      <c r="W125" s="309">
        <f t="shared" si="176"/>
        <v>0</v>
      </c>
      <c r="X125" s="309">
        <f t="shared" si="176"/>
        <v>0</v>
      </c>
      <c r="Y125" s="309">
        <f t="shared" si="176"/>
        <v>0</v>
      </c>
      <c r="Z125" s="309">
        <f t="shared" si="176"/>
        <v>0</v>
      </c>
      <c r="AA125" s="309">
        <f t="shared" si="176"/>
        <v>0</v>
      </c>
      <c r="AB125" s="309">
        <f t="shared" si="176"/>
        <v>0</v>
      </c>
      <c r="AC125" s="309">
        <f t="shared" si="176"/>
        <v>0</v>
      </c>
      <c r="AD125" s="309">
        <f t="shared" si="176"/>
        <v>0</v>
      </c>
      <c r="AE125" s="309">
        <f t="shared" si="176"/>
        <v>0</v>
      </c>
      <c r="AF125" s="309">
        <f t="shared" si="176"/>
        <v>0</v>
      </c>
      <c r="AG125" s="309">
        <f t="shared" si="176"/>
        <v>0</v>
      </c>
      <c r="AH125" s="309">
        <f t="shared" si="176"/>
        <v>0</v>
      </c>
      <c r="AI125" s="309">
        <f t="shared" si="176"/>
        <v>0</v>
      </c>
      <c r="AJ125" s="309">
        <f t="shared" si="176"/>
        <v>0</v>
      </c>
      <c r="AK125" s="309">
        <f t="shared" si="176"/>
        <v>0</v>
      </c>
      <c r="AL125" s="309">
        <f t="shared" ref="AL125:BQ125" si="177">IF(AL$70=1,MAX(0,AL$116+AL$120-AL$124-AL$126),0)</f>
        <v>0</v>
      </c>
      <c r="AM125" s="309">
        <f t="shared" si="177"/>
        <v>0</v>
      </c>
      <c r="AN125" s="309">
        <f t="shared" si="177"/>
        <v>0</v>
      </c>
      <c r="AO125" s="309">
        <f t="shared" si="177"/>
        <v>0</v>
      </c>
      <c r="AP125" s="309">
        <f t="shared" si="177"/>
        <v>0</v>
      </c>
      <c r="AQ125" s="309">
        <f t="shared" si="177"/>
        <v>0</v>
      </c>
      <c r="AR125" s="309">
        <f t="shared" si="177"/>
        <v>0</v>
      </c>
      <c r="AS125" s="309">
        <f t="shared" si="177"/>
        <v>0</v>
      </c>
      <c r="AT125" s="309">
        <f t="shared" si="177"/>
        <v>0</v>
      </c>
      <c r="AU125" s="309">
        <f t="shared" si="177"/>
        <v>0</v>
      </c>
      <c r="AV125" s="309">
        <f t="shared" si="177"/>
        <v>0</v>
      </c>
      <c r="AW125" s="309">
        <f t="shared" si="177"/>
        <v>0</v>
      </c>
      <c r="AX125" s="309">
        <f t="shared" si="177"/>
        <v>0</v>
      </c>
      <c r="AY125" s="309">
        <f t="shared" si="177"/>
        <v>0</v>
      </c>
      <c r="AZ125" s="309">
        <f t="shared" si="177"/>
        <v>0</v>
      </c>
      <c r="BA125" s="309">
        <f t="shared" si="177"/>
        <v>0</v>
      </c>
      <c r="BB125" s="309">
        <f t="shared" si="177"/>
        <v>0</v>
      </c>
      <c r="BC125" s="309">
        <f t="shared" si="177"/>
        <v>0</v>
      </c>
      <c r="BD125" s="309">
        <f t="shared" si="177"/>
        <v>0</v>
      </c>
      <c r="BE125" s="309">
        <f t="shared" si="177"/>
        <v>0</v>
      </c>
      <c r="BF125" s="309">
        <f t="shared" si="177"/>
        <v>0</v>
      </c>
      <c r="BG125" s="309">
        <f t="shared" si="177"/>
        <v>0</v>
      </c>
      <c r="BH125" s="309">
        <f t="shared" si="177"/>
        <v>0</v>
      </c>
      <c r="BI125" s="309">
        <f t="shared" si="177"/>
        <v>0</v>
      </c>
      <c r="BJ125" s="309">
        <f t="shared" si="177"/>
        <v>0</v>
      </c>
      <c r="BK125" s="309">
        <f t="shared" si="177"/>
        <v>0</v>
      </c>
      <c r="BL125" s="309">
        <f t="shared" si="177"/>
        <v>0</v>
      </c>
      <c r="BM125" s="309">
        <f t="shared" si="177"/>
        <v>0</v>
      </c>
      <c r="BN125" s="309">
        <f t="shared" si="177"/>
        <v>0</v>
      </c>
      <c r="BO125" s="309">
        <f t="shared" si="177"/>
        <v>210701547.54097304</v>
      </c>
      <c r="BP125" s="309">
        <f t="shared" si="177"/>
        <v>0</v>
      </c>
      <c r="BQ125" s="309">
        <f t="shared" si="177"/>
        <v>0</v>
      </c>
      <c r="BR125" s="309">
        <f t="shared" ref="BR125:CW125" si="178">IF(BR$70=1,MAX(0,BR$116+BR$120-BR$124-BR$126),0)</f>
        <v>0</v>
      </c>
      <c r="BS125" s="309">
        <f t="shared" si="178"/>
        <v>0</v>
      </c>
      <c r="BT125" s="309">
        <f t="shared" si="178"/>
        <v>0</v>
      </c>
      <c r="BU125" s="309">
        <f t="shared" si="178"/>
        <v>0</v>
      </c>
      <c r="BV125" s="309">
        <f t="shared" si="178"/>
        <v>0</v>
      </c>
      <c r="BW125" s="309">
        <f t="shared" si="178"/>
        <v>0</v>
      </c>
      <c r="BX125" s="309">
        <f t="shared" si="178"/>
        <v>0</v>
      </c>
      <c r="BY125" s="309">
        <f t="shared" si="178"/>
        <v>0</v>
      </c>
      <c r="BZ125" s="309">
        <f t="shared" si="178"/>
        <v>0</v>
      </c>
      <c r="CA125" s="309">
        <f t="shared" si="178"/>
        <v>0</v>
      </c>
      <c r="CB125" s="309">
        <f t="shared" si="178"/>
        <v>0</v>
      </c>
      <c r="CC125" s="309">
        <f t="shared" si="178"/>
        <v>0</v>
      </c>
      <c r="CD125" s="309">
        <f t="shared" si="178"/>
        <v>0</v>
      </c>
      <c r="CE125" s="309">
        <f t="shared" si="178"/>
        <v>0</v>
      </c>
      <c r="CF125" s="309">
        <f t="shared" si="178"/>
        <v>0</v>
      </c>
      <c r="CG125" s="309">
        <f t="shared" si="178"/>
        <v>0</v>
      </c>
      <c r="CH125" s="309">
        <f t="shared" si="178"/>
        <v>0</v>
      </c>
      <c r="CI125" s="309">
        <f t="shared" si="178"/>
        <v>0</v>
      </c>
      <c r="CJ125" s="309">
        <f t="shared" si="178"/>
        <v>0</v>
      </c>
      <c r="CK125" s="309">
        <f t="shared" si="178"/>
        <v>0</v>
      </c>
      <c r="CL125" s="309">
        <f t="shared" si="178"/>
        <v>0</v>
      </c>
      <c r="CM125" s="309">
        <f t="shared" si="178"/>
        <v>0</v>
      </c>
      <c r="CN125" s="309">
        <f t="shared" si="178"/>
        <v>0</v>
      </c>
      <c r="CO125" s="309">
        <f t="shared" si="178"/>
        <v>0</v>
      </c>
      <c r="CP125" s="309">
        <f t="shared" si="178"/>
        <v>0</v>
      </c>
      <c r="CQ125" s="309">
        <f t="shared" si="178"/>
        <v>0</v>
      </c>
      <c r="CR125" s="309">
        <f t="shared" si="178"/>
        <v>0</v>
      </c>
      <c r="CS125" s="309">
        <f t="shared" si="178"/>
        <v>0</v>
      </c>
      <c r="CT125" s="309">
        <f t="shared" si="178"/>
        <v>0</v>
      </c>
      <c r="CU125" s="309">
        <f t="shared" si="178"/>
        <v>0</v>
      </c>
      <c r="CV125" s="309">
        <f t="shared" si="178"/>
        <v>0</v>
      </c>
      <c r="CW125" s="309">
        <f t="shared" si="178"/>
        <v>0</v>
      </c>
      <c r="CX125" s="309">
        <f t="shared" ref="CX125:DV125" si="179">IF(CX$70=1,MAX(0,CX$116+CX$120-CX$124-CX$126),0)</f>
        <v>0</v>
      </c>
      <c r="CY125" s="309">
        <f t="shared" si="179"/>
        <v>0</v>
      </c>
      <c r="CZ125" s="309">
        <f t="shared" si="179"/>
        <v>0</v>
      </c>
      <c r="DA125" s="309">
        <f t="shared" si="179"/>
        <v>0</v>
      </c>
      <c r="DB125" s="309">
        <f t="shared" si="179"/>
        <v>0</v>
      </c>
      <c r="DC125" s="309">
        <f t="shared" si="179"/>
        <v>0</v>
      </c>
      <c r="DD125" s="309">
        <f t="shared" si="179"/>
        <v>0</v>
      </c>
      <c r="DE125" s="309">
        <f t="shared" si="179"/>
        <v>0</v>
      </c>
      <c r="DF125" s="309">
        <f t="shared" si="179"/>
        <v>0</v>
      </c>
      <c r="DG125" s="309">
        <f t="shared" si="179"/>
        <v>0</v>
      </c>
      <c r="DH125" s="309">
        <f t="shared" si="179"/>
        <v>0</v>
      </c>
      <c r="DI125" s="309">
        <f t="shared" si="179"/>
        <v>0</v>
      </c>
      <c r="DJ125" s="309">
        <f t="shared" si="179"/>
        <v>0</v>
      </c>
      <c r="DK125" s="309">
        <f t="shared" si="179"/>
        <v>0</v>
      </c>
      <c r="DL125" s="309">
        <f t="shared" si="179"/>
        <v>0</v>
      </c>
      <c r="DM125" s="309">
        <f t="shared" si="179"/>
        <v>0</v>
      </c>
      <c r="DN125" s="309">
        <f t="shared" si="179"/>
        <v>0</v>
      </c>
      <c r="DO125" s="309">
        <f t="shared" si="179"/>
        <v>0</v>
      </c>
      <c r="DP125" s="309">
        <f t="shared" si="179"/>
        <v>0</v>
      </c>
      <c r="DQ125" s="309">
        <f t="shared" si="179"/>
        <v>0</v>
      </c>
      <c r="DR125" s="309">
        <f t="shared" si="179"/>
        <v>0</v>
      </c>
      <c r="DS125" s="309">
        <f t="shared" si="179"/>
        <v>0</v>
      </c>
      <c r="DT125" s="309">
        <f t="shared" si="179"/>
        <v>0</v>
      </c>
      <c r="DU125" s="309">
        <f t="shared" si="179"/>
        <v>0</v>
      </c>
      <c r="DV125" s="309">
        <f t="shared" si="179"/>
        <v>0</v>
      </c>
    </row>
    <row r="126" spans="1:126" ht="15" customHeight="1" x14ac:dyDescent="0.35">
      <c r="A126" s="307" t="s">
        <v>1585</v>
      </c>
      <c r="B126" s="308" t="s">
        <v>1370</v>
      </c>
      <c r="C126" s="1146" t="s">
        <v>1586</v>
      </c>
      <c r="D126" s="1147"/>
      <c r="F126" s="309">
        <f t="shared" ref="F126:AK126" si="180">IF(OR(F$64&lt;=$B$35,F$70=1,F$64&gt;=$B$52),0,MIN(MAX(0,F$116+F$120-F$124),MAX(0,F$144-F$108-F$84-F$123-F$124)*$B$46))</f>
        <v>0</v>
      </c>
      <c r="G126" s="309">
        <f t="shared" si="180"/>
        <v>0</v>
      </c>
      <c r="H126" s="309">
        <f t="shared" si="180"/>
        <v>0</v>
      </c>
      <c r="I126" s="309">
        <f t="shared" si="180"/>
        <v>0</v>
      </c>
      <c r="J126" s="309">
        <f t="shared" si="180"/>
        <v>0</v>
      </c>
      <c r="K126" s="309">
        <f t="shared" si="180"/>
        <v>0</v>
      </c>
      <c r="L126" s="309">
        <f t="shared" si="180"/>
        <v>0</v>
      </c>
      <c r="M126" s="309">
        <f t="shared" si="180"/>
        <v>0</v>
      </c>
      <c r="N126" s="309">
        <f t="shared" si="180"/>
        <v>0</v>
      </c>
      <c r="O126" s="309">
        <f t="shared" si="180"/>
        <v>0</v>
      </c>
      <c r="P126" s="309">
        <f t="shared" si="180"/>
        <v>0</v>
      </c>
      <c r="Q126" s="309">
        <f t="shared" si="180"/>
        <v>0</v>
      </c>
      <c r="R126" s="309">
        <f t="shared" si="180"/>
        <v>0</v>
      </c>
      <c r="S126" s="309">
        <f t="shared" si="180"/>
        <v>0</v>
      </c>
      <c r="T126" s="309">
        <f t="shared" si="180"/>
        <v>0</v>
      </c>
      <c r="U126" s="309">
        <f t="shared" si="180"/>
        <v>0</v>
      </c>
      <c r="V126" s="309">
        <f t="shared" si="180"/>
        <v>0</v>
      </c>
      <c r="W126" s="309">
        <f t="shared" si="180"/>
        <v>0</v>
      </c>
      <c r="X126" s="309">
        <f t="shared" si="180"/>
        <v>0</v>
      </c>
      <c r="Y126" s="309">
        <f t="shared" si="180"/>
        <v>0</v>
      </c>
      <c r="Z126" s="309">
        <f t="shared" si="180"/>
        <v>0</v>
      </c>
      <c r="AA126" s="309">
        <f t="shared" si="180"/>
        <v>0</v>
      </c>
      <c r="AB126" s="309">
        <f t="shared" si="180"/>
        <v>0</v>
      </c>
      <c r="AC126" s="309">
        <f t="shared" si="180"/>
        <v>0</v>
      </c>
      <c r="AD126" s="309">
        <f t="shared" si="180"/>
        <v>0</v>
      </c>
      <c r="AE126" s="309">
        <f t="shared" si="180"/>
        <v>0</v>
      </c>
      <c r="AF126" s="309">
        <f t="shared" si="180"/>
        <v>0</v>
      </c>
      <c r="AG126" s="309">
        <f t="shared" si="180"/>
        <v>0</v>
      </c>
      <c r="AH126" s="309">
        <f t="shared" si="180"/>
        <v>0</v>
      </c>
      <c r="AI126" s="309">
        <f t="shared" si="180"/>
        <v>0</v>
      </c>
      <c r="AJ126" s="309">
        <f t="shared" si="180"/>
        <v>0</v>
      </c>
      <c r="AK126" s="309">
        <f t="shared" si="180"/>
        <v>0</v>
      </c>
      <c r="AL126" s="309">
        <f t="shared" ref="AL126:BQ126" si="181">IF(OR(AL$64&lt;=$B$35,AL$70=1,AL$64&gt;=$B$52),0,MIN(MAX(0,AL$116+AL$120-AL$124),MAX(0,AL$144-AL$108-AL$84-AL$123-AL$124)*$B$46))</f>
        <v>0</v>
      </c>
      <c r="AM126" s="309">
        <f t="shared" si="181"/>
        <v>0</v>
      </c>
      <c r="AN126" s="309">
        <f t="shared" si="181"/>
        <v>0</v>
      </c>
      <c r="AO126" s="309">
        <f t="shared" si="181"/>
        <v>0</v>
      </c>
      <c r="AP126" s="309">
        <f t="shared" si="181"/>
        <v>0</v>
      </c>
      <c r="AQ126" s="309">
        <f t="shared" si="181"/>
        <v>0</v>
      </c>
      <c r="AR126" s="309">
        <f t="shared" si="181"/>
        <v>0</v>
      </c>
      <c r="AS126" s="309">
        <f t="shared" si="181"/>
        <v>0</v>
      </c>
      <c r="AT126" s="309">
        <f t="shared" si="181"/>
        <v>0</v>
      </c>
      <c r="AU126" s="309">
        <f t="shared" si="181"/>
        <v>0</v>
      </c>
      <c r="AV126" s="309">
        <f t="shared" si="181"/>
        <v>0</v>
      </c>
      <c r="AW126" s="309">
        <f t="shared" si="181"/>
        <v>0</v>
      </c>
      <c r="AX126" s="309">
        <f t="shared" si="181"/>
        <v>0</v>
      </c>
      <c r="AY126" s="309">
        <f t="shared" si="181"/>
        <v>0</v>
      </c>
      <c r="AZ126" s="309">
        <f t="shared" si="181"/>
        <v>0</v>
      </c>
      <c r="BA126" s="309">
        <f t="shared" si="181"/>
        <v>0</v>
      </c>
      <c r="BB126" s="309">
        <f t="shared" si="181"/>
        <v>0</v>
      </c>
      <c r="BC126" s="309">
        <f t="shared" si="181"/>
        <v>0</v>
      </c>
      <c r="BD126" s="309">
        <f t="shared" si="181"/>
        <v>1343066.6870294325</v>
      </c>
      <c r="BE126" s="309">
        <f t="shared" si="181"/>
        <v>1366822.8649280099</v>
      </c>
      <c r="BF126" s="309">
        <f t="shared" si="181"/>
        <v>1352944.2158783283</v>
      </c>
      <c r="BG126" s="309">
        <f t="shared" si="181"/>
        <v>1377242.5899212598</v>
      </c>
      <c r="BH126" s="309">
        <f t="shared" si="181"/>
        <v>1361237.3819587205</v>
      </c>
      <c r="BI126" s="309">
        <f t="shared" si="181"/>
        <v>1367174.3075746752</v>
      </c>
      <c r="BJ126" s="309">
        <f t="shared" si="181"/>
        <v>1429959.9668750921</v>
      </c>
      <c r="BK126" s="309">
        <f t="shared" si="181"/>
        <v>1375583.4395103138</v>
      </c>
      <c r="BL126" s="309">
        <f t="shared" si="181"/>
        <v>1408885.6217721342</v>
      </c>
      <c r="BM126" s="309">
        <f t="shared" si="181"/>
        <v>1396840.12761269</v>
      </c>
      <c r="BN126" s="309">
        <f t="shared" si="181"/>
        <v>1419637.3583869296</v>
      </c>
      <c r="BO126" s="309">
        <f t="shared" si="181"/>
        <v>0</v>
      </c>
      <c r="BP126" s="309">
        <f t="shared" si="181"/>
        <v>0</v>
      </c>
      <c r="BQ126" s="309">
        <f t="shared" si="181"/>
        <v>0</v>
      </c>
      <c r="BR126" s="309">
        <f t="shared" ref="BR126:CW126" si="182">IF(OR(BR$64&lt;=$B$35,BR$70=1,BR$64&gt;=$B$52),0,MIN(MAX(0,BR$116+BR$120-BR$124),MAX(0,BR$144-BR$108-BR$84-BR$123-BR$124)*$B$46))</f>
        <v>0</v>
      </c>
      <c r="BS126" s="309">
        <f t="shared" si="182"/>
        <v>0</v>
      </c>
      <c r="BT126" s="309">
        <f t="shared" si="182"/>
        <v>0</v>
      </c>
      <c r="BU126" s="309">
        <f t="shared" si="182"/>
        <v>0</v>
      </c>
      <c r="BV126" s="309">
        <f t="shared" si="182"/>
        <v>0</v>
      </c>
      <c r="BW126" s="309">
        <f t="shared" si="182"/>
        <v>0</v>
      </c>
      <c r="BX126" s="309">
        <f t="shared" si="182"/>
        <v>0</v>
      </c>
      <c r="BY126" s="309">
        <f t="shared" si="182"/>
        <v>0</v>
      </c>
      <c r="BZ126" s="309">
        <f t="shared" si="182"/>
        <v>0</v>
      </c>
      <c r="CA126" s="309">
        <f t="shared" si="182"/>
        <v>0</v>
      </c>
      <c r="CB126" s="309">
        <f t="shared" si="182"/>
        <v>0</v>
      </c>
      <c r="CC126" s="309">
        <f t="shared" si="182"/>
        <v>0</v>
      </c>
      <c r="CD126" s="309">
        <f t="shared" si="182"/>
        <v>0</v>
      </c>
      <c r="CE126" s="309">
        <f t="shared" si="182"/>
        <v>0</v>
      </c>
      <c r="CF126" s="309">
        <f t="shared" si="182"/>
        <v>0</v>
      </c>
      <c r="CG126" s="309">
        <f t="shared" si="182"/>
        <v>0</v>
      </c>
      <c r="CH126" s="309">
        <f t="shared" si="182"/>
        <v>0</v>
      </c>
      <c r="CI126" s="309">
        <f t="shared" si="182"/>
        <v>0</v>
      </c>
      <c r="CJ126" s="309">
        <f t="shared" si="182"/>
        <v>0</v>
      </c>
      <c r="CK126" s="309">
        <f t="shared" si="182"/>
        <v>0</v>
      </c>
      <c r="CL126" s="309">
        <f t="shared" si="182"/>
        <v>0</v>
      </c>
      <c r="CM126" s="309">
        <f t="shared" si="182"/>
        <v>0</v>
      </c>
      <c r="CN126" s="309">
        <f t="shared" si="182"/>
        <v>0</v>
      </c>
      <c r="CO126" s="309">
        <f t="shared" si="182"/>
        <v>0</v>
      </c>
      <c r="CP126" s="309">
        <f t="shared" si="182"/>
        <v>0</v>
      </c>
      <c r="CQ126" s="309">
        <f t="shared" si="182"/>
        <v>0</v>
      </c>
      <c r="CR126" s="309">
        <f t="shared" si="182"/>
        <v>0</v>
      </c>
      <c r="CS126" s="309">
        <f t="shared" si="182"/>
        <v>0</v>
      </c>
      <c r="CT126" s="309">
        <f t="shared" si="182"/>
        <v>0</v>
      </c>
      <c r="CU126" s="309">
        <f t="shared" si="182"/>
        <v>0</v>
      </c>
      <c r="CV126" s="309">
        <f t="shared" si="182"/>
        <v>0</v>
      </c>
      <c r="CW126" s="309">
        <f t="shared" si="182"/>
        <v>0</v>
      </c>
      <c r="CX126" s="309">
        <f t="shared" ref="CX126:DV126" si="183">IF(OR(CX$64&lt;=$B$35,CX$70=1,CX$64&gt;=$B$52),0,MIN(MAX(0,CX$116+CX$120-CX$124),MAX(0,CX$144-CX$108-CX$84-CX$123-CX$124)*$B$46))</f>
        <v>0</v>
      </c>
      <c r="CY126" s="309">
        <f t="shared" si="183"/>
        <v>0</v>
      </c>
      <c r="CZ126" s="309">
        <f t="shared" si="183"/>
        <v>0</v>
      </c>
      <c r="DA126" s="309">
        <f t="shared" si="183"/>
        <v>0</v>
      </c>
      <c r="DB126" s="309">
        <f t="shared" si="183"/>
        <v>0</v>
      </c>
      <c r="DC126" s="309">
        <f t="shared" si="183"/>
        <v>0</v>
      </c>
      <c r="DD126" s="309">
        <f t="shared" si="183"/>
        <v>0</v>
      </c>
      <c r="DE126" s="309">
        <f t="shared" si="183"/>
        <v>0</v>
      </c>
      <c r="DF126" s="309">
        <f t="shared" si="183"/>
        <v>0</v>
      </c>
      <c r="DG126" s="309">
        <f t="shared" si="183"/>
        <v>0</v>
      </c>
      <c r="DH126" s="309">
        <f t="shared" si="183"/>
        <v>0</v>
      </c>
      <c r="DI126" s="309">
        <f t="shared" si="183"/>
        <v>0</v>
      </c>
      <c r="DJ126" s="309">
        <f t="shared" si="183"/>
        <v>0</v>
      </c>
      <c r="DK126" s="309">
        <f t="shared" si="183"/>
        <v>0</v>
      </c>
      <c r="DL126" s="309">
        <f t="shared" si="183"/>
        <v>0</v>
      </c>
      <c r="DM126" s="309">
        <f t="shared" si="183"/>
        <v>0</v>
      </c>
      <c r="DN126" s="309">
        <f t="shared" si="183"/>
        <v>0</v>
      </c>
      <c r="DO126" s="309">
        <f t="shared" si="183"/>
        <v>0</v>
      </c>
      <c r="DP126" s="309">
        <f t="shared" si="183"/>
        <v>0</v>
      </c>
      <c r="DQ126" s="309">
        <f t="shared" si="183"/>
        <v>0</v>
      </c>
      <c r="DR126" s="309">
        <f t="shared" si="183"/>
        <v>0</v>
      </c>
      <c r="DS126" s="309">
        <f t="shared" si="183"/>
        <v>0</v>
      </c>
      <c r="DT126" s="309">
        <f t="shared" si="183"/>
        <v>0</v>
      </c>
      <c r="DU126" s="309">
        <f t="shared" si="183"/>
        <v>0</v>
      </c>
      <c r="DV126" s="309">
        <f t="shared" si="183"/>
        <v>0</v>
      </c>
    </row>
    <row r="127" spans="1:126" ht="15" customHeight="1" x14ac:dyDescent="0.35">
      <c r="A127" s="307" t="s">
        <v>1587</v>
      </c>
      <c r="B127" s="308" t="s">
        <v>1370</v>
      </c>
      <c r="C127" s="1146" t="s">
        <v>1588</v>
      </c>
      <c r="D127" s="1147"/>
      <c r="F127" s="309">
        <f t="shared" ref="F127:AK127" si="184">F$129</f>
        <v>0</v>
      </c>
      <c r="G127" s="309">
        <f t="shared" si="184"/>
        <v>0</v>
      </c>
      <c r="H127" s="309">
        <f t="shared" si="184"/>
        <v>0</v>
      </c>
      <c r="I127" s="309">
        <f t="shared" si="184"/>
        <v>0</v>
      </c>
      <c r="J127" s="309">
        <f t="shared" si="184"/>
        <v>0</v>
      </c>
      <c r="K127" s="309">
        <f t="shared" si="184"/>
        <v>0</v>
      </c>
      <c r="L127" s="309">
        <f t="shared" si="184"/>
        <v>0</v>
      </c>
      <c r="M127" s="309">
        <f t="shared" si="184"/>
        <v>0</v>
      </c>
      <c r="N127" s="309">
        <f t="shared" si="184"/>
        <v>0</v>
      </c>
      <c r="O127" s="309">
        <f t="shared" si="184"/>
        <v>0</v>
      </c>
      <c r="P127" s="309">
        <f t="shared" si="184"/>
        <v>0</v>
      </c>
      <c r="Q127" s="309">
        <f t="shared" si="184"/>
        <v>0</v>
      </c>
      <c r="R127" s="309">
        <f t="shared" si="184"/>
        <v>0</v>
      </c>
      <c r="S127" s="309">
        <f t="shared" si="184"/>
        <v>0</v>
      </c>
      <c r="T127" s="309">
        <f t="shared" si="184"/>
        <v>0</v>
      </c>
      <c r="U127" s="309">
        <f t="shared" si="184"/>
        <v>0</v>
      </c>
      <c r="V127" s="309">
        <f t="shared" si="184"/>
        <v>0</v>
      </c>
      <c r="W127" s="309">
        <f t="shared" si="184"/>
        <v>0</v>
      </c>
      <c r="X127" s="309">
        <f t="shared" si="184"/>
        <v>0</v>
      </c>
      <c r="Y127" s="309">
        <f t="shared" si="184"/>
        <v>0</v>
      </c>
      <c r="Z127" s="309">
        <f t="shared" si="184"/>
        <v>0</v>
      </c>
      <c r="AA127" s="309">
        <f t="shared" si="184"/>
        <v>0</v>
      </c>
      <c r="AB127" s="309">
        <f t="shared" si="184"/>
        <v>0</v>
      </c>
      <c r="AC127" s="309">
        <f t="shared" si="184"/>
        <v>0</v>
      </c>
      <c r="AD127" s="309">
        <f t="shared" si="184"/>
        <v>0</v>
      </c>
      <c r="AE127" s="309">
        <f t="shared" si="184"/>
        <v>0</v>
      </c>
      <c r="AF127" s="309">
        <f t="shared" si="184"/>
        <v>0</v>
      </c>
      <c r="AG127" s="309">
        <f t="shared" si="184"/>
        <v>0</v>
      </c>
      <c r="AH127" s="309">
        <f t="shared" si="184"/>
        <v>0</v>
      </c>
      <c r="AI127" s="309">
        <f t="shared" si="184"/>
        <v>0</v>
      </c>
      <c r="AJ127" s="309">
        <f t="shared" si="184"/>
        <v>0</v>
      </c>
      <c r="AK127" s="309">
        <f t="shared" si="184"/>
        <v>0</v>
      </c>
      <c r="AL127" s="309">
        <f t="shared" ref="AL127:BQ127" si="185">AL$129</f>
        <v>0</v>
      </c>
      <c r="AM127" s="309">
        <f t="shared" si="185"/>
        <v>0</v>
      </c>
      <c r="AN127" s="309">
        <f t="shared" si="185"/>
        <v>0</v>
      </c>
      <c r="AO127" s="309">
        <f t="shared" si="185"/>
        <v>0</v>
      </c>
      <c r="AP127" s="309">
        <f t="shared" si="185"/>
        <v>0</v>
      </c>
      <c r="AQ127" s="309">
        <f t="shared" si="185"/>
        <v>0</v>
      </c>
      <c r="AR127" s="309">
        <f t="shared" si="185"/>
        <v>0</v>
      </c>
      <c r="AS127" s="309">
        <f t="shared" si="185"/>
        <v>0</v>
      </c>
      <c r="AT127" s="309">
        <f t="shared" si="185"/>
        <v>0</v>
      </c>
      <c r="AU127" s="309">
        <f t="shared" si="185"/>
        <v>0</v>
      </c>
      <c r="AV127" s="309">
        <f t="shared" si="185"/>
        <v>0</v>
      </c>
      <c r="AW127" s="309">
        <f t="shared" si="185"/>
        <v>0</v>
      </c>
      <c r="AX127" s="309">
        <f t="shared" si="185"/>
        <v>0</v>
      </c>
      <c r="AY127" s="309">
        <f t="shared" si="185"/>
        <v>0</v>
      </c>
      <c r="AZ127" s="309">
        <f t="shared" si="185"/>
        <v>0</v>
      </c>
      <c r="BA127" s="309">
        <f t="shared" si="185"/>
        <v>0</v>
      </c>
      <c r="BB127" s="309">
        <f t="shared" si="185"/>
        <v>0</v>
      </c>
      <c r="BC127" s="309">
        <f t="shared" si="185"/>
        <v>0</v>
      </c>
      <c r="BD127" s="309">
        <f t="shared" si="185"/>
        <v>0</v>
      </c>
      <c r="BE127" s="309">
        <f t="shared" si="185"/>
        <v>0</v>
      </c>
      <c r="BF127" s="309">
        <f t="shared" si="185"/>
        <v>0</v>
      </c>
      <c r="BG127" s="309">
        <f t="shared" si="185"/>
        <v>0</v>
      </c>
      <c r="BH127" s="309">
        <f t="shared" si="185"/>
        <v>0</v>
      </c>
      <c r="BI127" s="309">
        <f t="shared" si="185"/>
        <v>0</v>
      </c>
      <c r="BJ127" s="309">
        <f t="shared" si="185"/>
        <v>0</v>
      </c>
      <c r="BK127" s="309">
        <f t="shared" si="185"/>
        <v>0</v>
      </c>
      <c r="BL127" s="309">
        <f t="shared" si="185"/>
        <v>0</v>
      </c>
      <c r="BM127" s="309">
        <f t="shared" si="185"/>
        <v>0</v>
      </c>
      <c r="BN127" s="309">
        <f t="shared" si="185"/>
        <v>0</v>
      </c>
      <c r="BO127" s="309">
        <f t="shared" si="185"/>
        <v>0</v>
      </c>
      <c r="BP127" s="309">
        <f t="shared" si="185"/>
        <v>0</v>
      </c>
      <c r="BQ127" s="309">
        <f t="shared" si="185"/>
        <v>0</v>
      </c>
      <c r="BR127" s="309">
        <f t="shared" ref="BR127:CW127" si="186">BR$129</f>
        <v>0</v>
      </c>
      <c r="BS127" s="309">
        <f t="shared" si="186"/>
        <v>0</v>
      </c>
      <c r="BT127" s="309">
        <f t="shared" si="186"/>
        <v>0</v>
      </c>
      <c r="BU127" s="309">
        <f t="shared" si="186"/>
        <v>0</v>
      </c>
      <c r="BV127" s="309">
        <f t="shared" si="186"/>
        <v>0</v>
      </c>
      <c r="BW127" s="309">
        <f t="shared" si="186"/>
        <v>0</v>
      </c>
      <c r="BX127" s="309">
        <f t="shared" si="186"/>
        <v>0</v>
      </c>
      <c r="BY127" s="309">
        <f t="shared" si="186"/>
        <v>0</v>
      </c>
      <c r="BZ127" s="309">
        <f t="shared" si="186"/>
        <v>0</v>
      </c>
      <c r="CA127" s="309">
        <f t="shared" si="186"/>
        <v>0</v>
      </c>
      <c r="CB127" s="309">
        <f t="shared" si="186"/>
        <v>0</v>
      </c>
      <c r="CC127" s="309">
        <f t="shared" si="186"/>
        <v>0</v>
      </c>
      <c r="CD127" s="309">
        <f t="shared" si="186"/>
        <v>0</v>
      </c>
      <c r="CE127" s="309">
        <f t="shared" si="186"/>
        <v>0</v>
      </c>
      <c r="CF127" s="309">
        <f t="shared" si="186"/>
        <v>0</v>
      </c>
      <c r="CG127" s="309">
        <f t="shared" si="186"/>
        <v>0</v>
      </c>
      <c r="CH127" s="309">
        <f t="shared" si="186"/>
        <v>0</v>
      </c>
      <c r="CI127" s="309">
        <f t="shared" si="186"/>
        <v>0</v>
      </c>
      <c r="CJ127" s="309">
        <f t="shared" si="186"/>
        <v>0</v>
      </c>
      <c r="CK127" s="309">
        <f t="shared" si="186"/>
        <v>0</v>
      </c>
      <c r="CL127" s="309">
        <f t="shared" si="186"/>
        <v>0</v>
      </c>
      <c r="CM127" s="309">
        <f t="shared" si="186"/>
        <v>0</v>
      </c>
      <c r="CN127" s="309">
        <f t="shared" si="186"/>
        <v>0</v>
      </c>
      <c r="CO127" s="309">
        <f t="shared" si="186"/>
        <v>0</v>
      </c>
      <c r="CP127" s="309">
        <f t="shared" si="186"/>
        <v>0</v>
      </c>
      <c r="CQ127" s="309">
        <f t="shared" si="186"/>
        <v>0</v>
      </c>
      <c r="CR127" s="309">
        <f t="shared" si="186"/>
        <v>0</v>
      </c>
      <c r="CS127" s="309">
        <f t="shared" si="186"/>
        <v>0</v>
      </c>
      <c r="CT127" s="309">
        <f t="shared" si="186"/>
        <v>0</v>
      </c>
      <c r="CU127" s="309">
        <f t="shared" si="186"/>
        <v>0</v>
      </c>
      <c r="CV127" s="309">
        <f t="shared" si="186"/>
        <v>0</v>
      </c>
      <c r="CW127" s="309">
        <f t="shared" si="186"/>
        <v>0</v>
      </c>
      <c r="CX127" s="309">
        <f t="shared" ref="CX127:DV127" si="187">CX$129</f>
        <v>0</v>
      </c>
      <c r="CY127" s="309">
        <f t="shared" si="187"/>
        <v>0</v>
      </c>
      <c r="CZ127" s="309">
        <f t="shared" si="187"/>
        <v>0</v>
      </c>
      <c r="DA127" s="309">
        <f t="shared" si="187"/>
        <v>0</v>
      </c>
      <c r="DB127" s="309">
        <f t="shared" si="187"/>
        <v>0</v>
      </c>
      <c r="DC127" s="309">
        <f t="shared" si="187"/>
        <v>0</v>
      </c>
      <c r="DD127" s="309">
        <f t="shared" si="187"/>
        <v>0</v>
      </c>
      <c r="DE127" s="309">
        <f t="shared" si="187"/>
        <v>0</v>
      </c>
      <c r="DF127" s="309">
        <f t="shared" si="187"/>
        <v>0</v>
      </c>
      <c r="DG127" s="309">
        <f t="shared" si="187"/>
        <v>0</v>
      </c>
      <c r="DH127" s="309">
        <f t="shared" si="187"/>
        <v>0</v>
      </c>
      <c r="DI127" s="309">
        <f t="shared" si="187"/>
        <v>0</v>
      </c>
      <c r="DJ127" s="309">
        <f t="shared" si="187"/>
        <v>0</v>
      </c>
      <c r="DK127" s="309">
        <f t="shared" si="187"/>
        <v>0</v>
      </c>
      <c r="DL127" s="309">
        <f t="shared" si="187"/>
        <v>0</v>
      </c>
      <c r="DM127" s="309">
        <f t="shared" si="187"/>
        <v>0</v>
      </c>
      <c r="DN127" s="309">
        <f t="shared" si="187"/>
        <v>0</v>
      </c>
      <c r="DO127" s="309">
        <f t="shared" si="187"/>
        <v>0</v>
      </c>
      <c r="DP127" s="309">
        <f t="shared" si="187"/>
        <v>0</v>
      </c>
      <c r="DQ127" s="309">
        <f t="shared" si="187"/>
        <v>0</v>
      </c>
      <c r="DR127" s="309">
        <f t="shared" si="187"/>
        <v>0</v>
      </c>
      <c r="DS127" s="309">
        <f t="shared" si="187"/>
        <v>0</v>
      </c>
      <c r="DT127" s="309">
        <f t="shared" si="187"/>
        <v>0</v>
      </c>
      <c r="DU127" s="309">
        <f t="shared" si="187"/>
        <v>0</v>
      </c>
      <c r="DV127" s="309">
        <f t="shared" si="187"/>
        <v>0</v>
      </c>
    </row>
    <row r="128" spans="1:126" ht="15" customHeight="1" x14ac:dyDescent="0.35">
      <c r="A128" s="307" t="s">
        <v>1589</v>
      </c>
      <c r="B128" s="308" t="s">
        <v>1370</v>
      </c>
      <c r="C128" s="1146" t="s">
        <v>1530</v>
      </c>
      <c r="D128" s="1147"/>
      <c r="E128" s="309">
        <v>0</v>
      </c>
      <c r="F128" s="309">
        <f t="shared" ref="F128:AK128" si="188">MAX(0,F$116+F$120-F$124-F$125-F$126-F$127)</f>
        <v>0</v>
      </c>
      <c r="G128" s="309">
        <f t="shared" si="188"/>
        <v>0</v>
      </c>
      <c r="H128" s="309">
        <f t="shared" si="188"/>
        <v>0</v>
      </c>
      <c r="I128" s="309">
        <f t="shared" si="188"/>
        <v>0</v>
      </c>
      <c r="J128" s="309">
        <f t="shared" si="188"/>
        <v>0</v>
      </c>
      <c r="K128" s="309">
        <f t="shared" si="188"/>
        <v>0</v>
      </c>
      <c r="L128" s="309">
        <f t="shared" si="188"/>
        <v>0</v>
      </c>
      <c r="M128" s="309">
        <f t="shared" si="188"/>
        <v>0</v>
      </c>
      <c r="N128" s="309">
        <f t="shared" si="188"/>
        <v>0</v>
      </c>
      <c r="O128" s="309">
        <f t="shared" si="188"/>
        <v>0</v>
      </c>
      <c r="P128" s="309">
        <f t="shared" si="188"/>
        <v>0</v>
      </c>
      <c r="Q128" s="309">
        <f t="shared" si="188"/>
        <v>0</v>
      </c>
      <c r="R128" s="309">
        <f t="shared" si="188"/>
        <v>0</v>
      </c>
      <c r="S128" s="309">
        <f t="shared" si="188"/>
        <v>0</v>
      </c>
      <c r="T128" s="309">
        <f t="shared" si="188"/>
        <v>0</v>
      </c>
      <c r="U128" s="309">
        <f t="shared" si="188"/>
        <v>0</v>
      </c>
      <c r="V128" s="309">
        <f t="shared" si="188"/>
        <v>0</v>
      </c>
      <c r="W128" s="309">
        <f t="shared" si="188"/>
        <v>0</v>
      </c>
      <c r="X128" s="309">
        <f t="shared" si="188"/>
        <v>0</v>
      </c>
      <c r="Y128" s="309">
        <f t="shared" si="188"/>
        <v>0</v>
      </c>
      <c r="Z128" s="309">
        <f t="shared" si="188"/>
        <v>0</v>
      </c>
      <c r="AA128" s="309">
        <f t="shared" si="188"/>
        <v>0</v>
      </c>
      <c r="AB128" s="309">
        <f t="shared" si="188"/>
        <v>0</v>
      </c>
      <c r="AC128" s="309">
        <f t="shared" si="188"/>
        <v>0</v>
      </c>
      <c r="AD128" s="309">
        <f t="shared" si="188"/>
        <v>0</v>
      </c>
      <c r="AE128" s="309">
        <f t="shared" si="188"/>
        <v>0</v>
      </c>
      <c r="AF128" s="309">
        <f t="shared" si="188"/>
        <v>0</v>
      </c>
      <c r="AG128" s="309">
        <f t="shared" si="188"/>
        <v>0</v>
      </c>
      <c r="AH128" s="309">
        <f t="shared" si="188"/>
        <v>0</v>
      </c>
      <c r="AI128" s="309">
        <f t="shared" si="188"/>
        <v>0</v>
      </c>
      <c r="AJ128" s="309">
        <f t="shared" si="188"/>
        <v>0</v>
      </c>
      <c r="AK128" s="309">
        <f t="shared" si="188"/>
        <v>0</v>
      </c>
      <c r="AL128" s="309">
        <f t="shared" ref="AL128:BQ128" si="189">MAX(0,AL$116+AL$120-AL$124-AL$125-AL$126-AL$127)</f>
        <v>0</v>
      </c>
      <c r="AM128" s="309">
        <f t="shared" si="189"/>
        <v>0</v>
      </c>
      <c r="AN128" s="309">
        <f t="shared" si="189"/>
        <v>0</v>
      </c>
      <c r="AO128" s="309">
        <f t="shared" si="189"/>
        <v>0</v>
      </c>
      <c r="AP128" s="309">
        <f t="shared" si="189"/>
        <v>0</v>
      </c>
      <c r="AQ128" s="309">
        <f t="shared" si="189"/>
        <v>0</v>
      </c>
      <c r="AR128" s="309">
        <f t="shared" si="189"/>
        <v>0</v>
      </c>
      <c r="AS128" s="309">
        <f t="shared" si="189"/>
        <v>0</v>
      </c>
      <c r="AT128" s="309">
        <f t="shared" si="189"/>
        <v>0</v>
      </c>
      <c r="AU128" s="309">
        <f t="shared" si="189"/>
        <v>0</v>
      </c>
      <c r="AV128" s="309">
        <f t="shared" si="189"/>
        <v>0</v>
      </c>
      <c r="AW128" s="309">
        <f t="shared" si="189"/>
        <v>0</v>
      </c>
      <c r="AX128" s="309">
        <f t="shared" si="189"/>
        <v>0</v>
      </c>
      <c r="AY128" s="309">
        <f t="shared" si="189"/>
        <v>0</v>
      </c>
      <c r="AZ128" s="309">
        <f t="shared" si="189"/>
        <v>0</v>
      </c>
      <c r="BA128" s="309">
        <f t="shared" si="189"/>
        <v>0</v>
      </c>
      <c r="BB128" s="309">
        <f t="shared" si="189"/>
        <v>0</v>
      </c>
      <c r="BC128" s="309">
        <f t="shared" si="189"/>
        <v>226508151.17314392</v>
      </c>
      <c r="BD128" s="309">
        <f t="shared" si="189"/>
        <v>225165084.4861145</v>
      </c>
      <c r="BE128" s="309">
        <f t="shared" si="189"/>
        <v>223798261.62118649</v>
      </c>
      <c r="BF128" s="309">
        <f t="shared" si="189"/>
        <v>222445317.40530816</v>
      </c>
      <c r="BG128" s="309">
        <f t="shared" si="189"/>
        <v>221068074.81538689</v>
      </c>
      <c r="BH128" s="309">
        <f t="shared" si="189"/>
        <v>219706837.43342817</v>
      </c>
      <c r="BI128" s="309">
        <f t="shared" si="189"/>
        <v>218339663.12585348</v>
      </c>
      <c r="BJ128" s="309">
        <f t="shared" si="189"/>
        <v>216909703.15897837</v>
      </c>
      <c r="BK128" s="309">
        <f t="shared" si="189"/>
        <v>215534119.71946806</v>
      </c>
      <c r="BL128" s="309">
        <f t="shared" si="189"/>
        <v>214125234.09769592</v>
      </c>
      <c r="BM128" s="309">
        <f t="shared" si="189"/>
        <v>212728393.97008324</v>
      </c>
      <c r="BN128" s="309">
        <f t="shared" si="189"/>
        <v>211308756.6116963</v>
      </c>
      <c r="BO128" s="309">
        <f t="shared" si="189"/>
        <v>0</v>
      </c>
      <c r="BP128" s="309">
        <f t="shared" si="189"/>
        <v>0</v>
      </c>
      <c r="BQ128" s="309">
        <f t="shared" si="189"/>
        <v>0</v>
      </c>
      <c r="BR128" s="309">
        <f t="shared" ref="BR128:CW128" si="190">MAX(0,BR$116+BR$120-BR$124-BR$125-BR$126-BR$127)</f>
        <v>0</v>
      </c>
      <c r="BS128" s="309">
        <f t="shared" si="190"/>
        <v>0</v>
      </c>
      <c r="BT128" s="309">
        <f t="shared" si="190"/>
        <v>0</v>
      </c>
      <c r="BU128" s="309">
        <f t="shared" si="190"/>
        <v>0</v>
      </c>
      <c r="BV128" s="309">
        <f t="shared" si="190"/>
        <v>0</v>
      </c>
      <c r="BW128" s="309">
        <f t="shared" si="190"/>
        <v>0</v>
      </c>
      <c r="BX128" s="309">
        <f t="shared" si="190"/>
        <v>0</v>
      </c>
      <c r="BY128" s="309">
        <f t="shared" si="190"/>
        <v>0</v>
      </c>
      <c r="BZ128" s="309">
        <f t="shared" si="190"/>
        <v>0</v>
      </c>
      <c r="CA128" s="309">
        <f t="shared" si="190"/>
        <v>0</v>
      </c>
      <c r="CB128" s="309">
        <f t="shared" si="190"/>
        <v>0</v>
      </c>
      <c r="CC128" s="309">
        <f t="shared" si="190"/>
        <v>0</v>
      </c>
      <c r="CD128" s="309">
        <f t="shared" si="190"/>
        <v>0</v>
      </c>
      <c r="CE128" s="309">
        <f t="shared" si="190"/>
        <v>0</v>
      </c>
      <c r="CF128" s="309">
        <f t="shared" si="190"/>
        <v>0</v>
      </c>
      <c r="CG128" s="309">
        <f t="shared" si="190"/>
        <v>0</v>
      </c>
      <c r="CH128" s="309">
        <f t="shared" si="190"/>
        <v>0</v>
      </c>
      <c r="CI128" s="309">
        <f t="shared" si="190"/>
        <v>0</v>
      </c>
      <c r="CJ128" s="309">
        <f t="shared" si="190"/>
        <v>0</v>
      </c>
      <c r="CK128" s="309">
        <f t="shared" si="190"/>
        <v>0</v>
      </c>
      <c r="CL128" s="309">
        <f t="shared" si="190"/>
        <v>0</v>
      </c>
      <c r="CM128" s="309">
        <f t="shared" si="190"/>
        <v>0</v>
      </c>
      <c r="CN128" s="309">
        <f t="shared" si="190"/>
        <v>0</v>
      </c>
      <c r="CO128" s="309">
        <f t="shared" si="190"/>
        <v>0</v>
      </c>
      <c r="CP128" s="309">
        <f t="shared" si="190"/>
        <v>0</v>
      </c>
      <c r="CQ128" s="309">
        <f t="shared" si="190"/>
        <v>0</v>
      </c>
      <c r="CR128" s="309">
        <f t="shared" si="190"/>
        <v>0</v>
      </c>
      <c r="CS128" s="309">
        <f t="shared" si="190"/>
        <v>0</v>
      </c>
      <c r="CT128" s="309">
        <f t="shared" si="190"/>
        <v>0</v>
      </c>
      <c r="CU128" s="309">
        <f t="shared" si="190"/>
        <v>0</v>
      </c>
      <c r="CV128" s="309">
        <f t="shared" si="190"/>
        <v>0</v>
      </c>
      <c r="CW128" s="309">
        <f t="shared" si="190"/>
        <v>0</v>
      </c>
      <c r="CX128" s="309">
        <f t="shared" ref="CX128:DV128" si="191">MAX(0,CX$116+CX$120-CX$124-CX$125-CX$126-CX$127)</f>
        <v>0</v>
      </c>
      <c r="CY128" s="309">
        <f t="shared" si="191"/>
        <v>0</v>
      </c>
      <c r="CZ128" s="309">
        <f t="shared" si="191"/>
        <v>0</v>
      </c>
      <c r="DA128" s="309">
        <f t="shared" si="191"/>
        <v>0</v>
      </c>
      <c r="DB128" s="309">
        <f t="shared" si="191"/>
        <v>0</v>
      </c>
      <c r="DC128" s="309">
        <f t="shared" si="191"/>
        <v>0</v>
      </c>
      <c r="DD128" s="309">
        <f t="shared" si="191"/>
        <v>0</v>
      </c>
      <c r="DE128" s="309">
        <f t="shared" si="191"/>
        <v>0</v>
      </c>
      <c r="DF128" s="309">
        <f t="shared" si="191"/>
        <v>0</v>
      </c>
      <c r="DG128" s="309">
        <f t="shared" si="191"/>
        <v>0</v>
      </c>
      <c r="DH128" s="309">
        <f t="shared" si="191"/>
        <v>0</v>
      </c>
      <c r="DI128" s="309">
        <f t="shared" si="191"/>
        <v>0</v>
      </c>
      <c r="DJ128" s="309">
        <f t="shared" si="191"/>
        <v>0</v>
      </c>
      <c r="DK128" s="309">
        <f t="shared" si="191"/>
        <v>0</v>
      </c>
      <c r="DL128" s="309">
        <f t="shared" si="191"/>
        <v>0</v>
      </c>
      <c r="DM128" s="309">
        <f t="shared" si="191"/>
        <v>0</v>
      </c>
      <c r="DN128" s="309">
        <f t="shared" si="191"/>
        <v>0</v>
      </c>
      <c r="DO128" s="309">
        <f t="shared" si="191"/>
        <v>0</v>
      </c>
      <c r="DP128" s="309">
        <f t="shared" si="191"/>
        <v>0</v>
      </c>
      <c r="DQ128" s="309">
        <f t="shared" si="191"/>
        <v>0</v>
      </c>
      <c r="DR128" s="309">
        <f t="shared" si="191"/>
        <v>0</v>
      </c>
      <c r="DS128" s="309">
        <f t="shared" si="191"/>
        <v>0</v>
      </c>
      <c r="DT128" s="309">
        <f t="shared" si="191"/>
        <v>0</v>
      </c>
      <c r="DU128" s="309">
        <f t="shared" si="191"/>
        <v>0</v>
      </c>
      <c r="DV128" s="309">
        <f t="shared" si="191"/>
        <v>0</v>
      </c>
    </row>
    <row r="129" spans="1:126" ht="15" customHeight="1" x14ac:dyDescent="0.35">
      <c r="A129" s="307" t="s">
        <v>1590</v>
      </c>
      <c r="B129" s="308" t="s">
        <v>1370</v>
      </c>
      <c r="C129" s="1146" t="s">
        <v>1591</v>
      </c>
      <c r="D129" s="1147"/>
      <c r="F129" s="309">
        <f t="shared" ref="F129:AK129" si="192">IF(AND(F$64&gt;=$B$52,E$64&lt;$B$52),MAX(0,F$116+F$120-F$124-F$125-F$126),0)</f>
        <v>0</v>
      </c>
      <c r="G129" s="309">
        <f t="shared" si="192"/>
        <v>0</v>
      </c>
      <c r="H129" s="309">
        <f t="shared" si="192"/>
        <v>0</v>
      </c>
      <c r="I129" s="309">
        <f t="shared" si="192"/>
        <v>0</v>
      </c>
      <c r="J129" s="309">
        <f t="shared" si="192"/>
        <v>0</v>
      </c>
      <c r="K129" s="309">
        <f t="shared" si="192"/>
        <v>0</v>
      </c>
      <c r="L129" s="309">
        <f t="shared" si="192"/>
        <v>0</v>
      </c>
      <c r="M129" s="309">
        <f t="shared" si="192"/>
        <v>0</v>
      </c>
      <c r="N129" s="309">
        <f t="shared" si="192"/>
        <v>0</v>
      </c>
      <c r="O129" s="309">
        <f t="shared" si="192"/>
        <v>0</v>
      </c>
      <c r="P129" s="309">
        <f t="shared" si="192"/>
        <v>0</v>
      </c>
      <c r="Q129" s="309">
        <f t="shared" si="192"/>
        <v>0</v>
      </c>
      <c r="R129" s="309">
        <f t="shared" si="192"/>
        <v>0</v>
      </c>
      <c r="S129" s="309">
        <f t="shared" si="192"/>
        <v>0</v>
      </c>
      <c r="T129" s="309">
        <f t="shared" si="192"/>
        <v>0</v>
      </c>
      <c r="U129" s="309">
        <f t="shared" si="192"/>
        <v>0</v>
      </c>
      <c r="V129" s="309">
        <f t="shared" si="192"/>
        <v>0</v>
      </c>
      <c r="W129" s="309">
        <f t="shared" si="192"/>
        <v>0</v>
      </c>
      <c r="X129" s="309">
        <f t="shared" si="192"/>
        <v>0</v>
      </c>
      <c r="Y129" s="309">
        <f t="shared" si="192"/>
        <v>0</v>
      </c>
      <c r="Z129" s="309">
        <f t="shared" si="192"/>
        <v>0</v>
      </c>
      <c r="AA129" s="309">
        <f t="shared" si="192"/>
        <v>0</v>
      </c>
      <c r="AB129" s="309">
        <f t="shared" si="192"/>
        <v>0</v>
      </c>
      <c r="AC129" s="309">
        <f t="shared" si="192"/>
        <v>0</v>
      </c>
      <c r="AD129" s="309">
        <f t="shared" si="192"/>
        <v>0</v>
      </c>
      <c r="AE129" s="309">
        <f t="shared" si="192"/>
        <v>0</v>
      </c>
      <c r="AF129" s="309">
        <f t="shared" si="192"/>
        <v>0</v>
      </c>
      <c r="AG129" s="309">
        <f t="shared" si="192"/>
        <v>0</v>
      </c>
      <c r="AH129" s="309">
        <f t="shared" si="192"/>
        <v>0</v>
      </c>
      <c r="AI129" s="309">
        <f t="shared" si="192"/>
        <v>0</v>
      </c>
      <c r="AJ129" s="309">
        <f t="shared" si="192"/>
        <v>0</v>
      </c>
      <c r="AK129" s="309">
        <f t="shared" si="192"/>
        <v>0</v>
      </c>
      <c r="AL129" s="309">
        <f t="shared" ref="AL129:BQ129" si="193">IF(AND(AL$64&gt;=$B$52,AK$64&lt;$B$52),MAX(0,AL$116+AL$120-AL$124-AL$125-AL$126),0)</f>
        <v>0</v>
      </c>
      <c r="AM129" s="309">
        <f t="shared" si="193"/>
        <v>0</v>
      </c>
      <c r="AN129" s="309">
        <f t="shared" si="193"/>
        <v>0</v>
      </c>
      <c r="AO129" s="309">
        <f t="shared" si="193"/>
        <v>0</v>
      </c>
      <c r="AP129" s="309">
        <f t="shared" si="193"/>
        <v>0</v>
      </c>
      <c r="AQ129" s="309">
        <f t="shared" si="193"/>
        <v>0</v>
      </c>
      <c r="AR129" s="309">
        <f t="shared" si="193"/>
        <v>0</v>
      </c>
      <c r="AS129" s="309">
        <f t="shared" si="193"/>
        <v>0</v>
      </c>
      <c r="AT129" s="309">
        <f t="shared" si="193"/>
        <v>0</v>
      </c>
      <c r="AU129" s="309">
        <f t="shared" si="193"/>
        <v>0</v>
      </c>
      <c r="AV129" s="309">
        <f t="shared" si="193"/>
        <v>0</v>
      </c>
      <c r="AW129" s="309">
        <f t="shared" si="193"/>
        <v>0</v>
      </c>
      <c r="AX129" s="309">
        <f t="shared" si="193"/>
        <v>0</v>
      </c>
      <c r="AY129" s="309">
        <f t="shared" si="193"/>
        <v>0</v>
      </c>
      <c r="AZ129" s="309">
        <f t="shared" si="193"/>
        <v>0</v>
      </c>
      <c r="BA129" s="309">
        <f t="shared" si="193"/>
        <v>0</v>
      </c>
      <c r="BB129" s="309">
        <f t="shared" si="193"/>
        <v>0</v>
      </c>
      <c r="BC129" s="309">
        <f t="shared" si="193"/>
        <v>0</v>
      </c>
      <c r="BD129" s="309">
        <f t="shared" si="193"/>
        <v>0</v>
      </c>
      <c r="BE129" s="309">
        <f t="shared" si="193"/>
        <v>0</v>
      </c>
      <c r="BF129" s="309">
        <f t="shared" si="193"/>
        <v>0</v>
      </c>
      <c r="BG129" s="309">
        <f t="shared" si="193"/>
        <v>0</v>
      </c>
      <c r="BH129" s="309">
        <f t="shared" si="193"/>
        <v>0</v>
      </c>
      <c r="BI129" s="309">
        <f t="shared" si="193"/>
        <v>0</v>
      </c>
      <c r="BJ129" s="309">
        <f t="shared" si="193"/>
        <v>0</v>
      </c>
      <c r="BK129" s="309">
        <f t="shared" si="193"/>
        <v>0</v>
      </c>
      <c r="BL129" s="309">
        <f t="shared" si="193"/>
        <v>0</v>
      </c>
      <c r="BM129" s="309">
        <f t="shared" si="193"/>
        <v>0</v>
      </c>
      <c r="BN129" s="309">
        <f t="shared" si="193"/>
        <v>0</v>
      </c>
      <c r="BO129" s="309">
        <f t="shared" si="193"/>
        <v>0</v>
      </c>
      <c r="BP129" s="309">
        <f t="shared" si="193"/>
        <v>0</v>
      </c>
      <c r="BQ129" s="309">
        <f t="shared" si="193"/>
        <v>0</v>
      </c>
      <c r="BR129" s="309">
        <f t="shared" ref="BR129:CW129" si="194">IF(AND(BR$64&gt;=$B$52,BQ$64&lt;$B$52),MAX(0,BR$116+BR$120-BR$124-BR$125-BR$126),0)</f>
        <v>0</v>
      </c>
      <c r="BS129" s="309">
        <f t="shared" si="194"/>
        <v>0</v>
      </c>
      <c r="BT129" s="309">
        <f t="shared" si="194"/>
        <v>0</v>
      </c>
      <c r="BU129" s="309">
        <f t="shared" si="194"/>
        <v>0</v>
      </c>
      <c r="BV129" s="309">
        <f t="shared" si="194"/>
        <v>0</v>
      </c>
      <c r="BW129" s="309">
        <f t="shared" si="194"/>
        <v>0</v>
      </c>
      <c r="BX129" s="309">
        <f t="shared" si="194"/>
        <v>0</v>
      </c>
      <c r="BY129" s="309">
        <f t="shared" si="194"/>
        <v>0</v>
      </c>
      <c r="BZ129" s="309">
        <f t="shared" si="194"/>
        <v>0</v>
      </c>
      <c r="CA129" s="309">
        <f t="shared" si="194"/>
        <v>0</v>
      </c>
      <c r="CB129" s="309">
        <f t="shared" si="194"/>
        <v>0</v>
      </c>
      <c r="CC129" s="309">
        <f t="shared" si="194"/>
        <v>0</v>
      </c>
      <c r="CD129" s="309">
        <f t="shared" si="194"/>
        <v>0</v>
      </c>
      <c r="CE129" s="309">
        <f t="shared" si="194"/>
        <v>0</v>
      </c>
      <c r="CF129" s="309">
        <f t="shared" si="194"/>
        <v>0</v>
      </c>
      <c r="CG129" s="309">
        <f t="shared" si="194"/>
        <v>0</v>
      </c>
      <c r="CH129" s="309">
        <f t="shared" si="194"/>
        <v>0</v>
      </c>
      <c r="CI129" s="309">
        <f t="shared" si="194"/>
        <v>0</v>
      </c>
      <c r="CJ129" s="309">
        <f t="shared" si="194"/>
        <v>0</v>
      </c>
      <c r="CK129" s="309">
        <f t="shared" si="194"/>
        <v>0</v>
      </c>
      <c r="CL129" s="309">
        <f t="shared" si="194"/>
        <v>0</v>
      </c>
      <c r="CM129" s="309">
        <f t="shared" si="194"/>
        <v>0</v>
      </c>
      <c r="CN129" s="309">
        <f t="shared" si="194"/>
        <v>0</v>
      </c>
      <c r="CO129" s="309">
        <f t="shared" si="194"/>
        <v>0</v>
      </c>
      <c r="CP129" s="309">
        <f t="shared" si="194"/>
        <v>0</v>
      </c>
      <c r="CQ129" s="309">
        <f t="shared" si="194"/>
        <v>0</v>
      </c>
      <c r="CR129" s="309">
        <f t="shared" si="194"/>
        <v>0</v>
      </c>
      <c r="CS129" s="309">
        <f t="shared" si="194"/>
        <v>0</v>
      </c>
      <c r="CT129" s="309">
        <f t="shared" si="194"/>
        <v>0</v>
      </c>
      <c r="CU129" s="309">
        <f t="shared" si="194"/>
        <v>0</v>
      </c>
      <c r="CV129" s="309">
        <f t="shared" si="194"/>
        <v>0</v>
      </c>
      <c r="CW129" s="309">
        <f t="shared" si="194"/>
        <v>0</v>
      </c>
      <c r="CX129" s="309">
        <f t="shared" ref="CX129:DV129" si="195">IF(AND(CX$64&gt;=$B$52,CW$64&lt;$B$52),MAX(0,CX$116+CX$120-CX$124-CX$125-CX$126),0)</f>
        <v>0</v>
      </c>
      <c r="CY129" s="309">
        <f t="shared" si="195"/>
        <v>0</v>
      </c>
      <c r="CZ129" s="309">
        <f t="shared" si="195"/>
        <v>0</v>
      </c>
      <c r="DA129" s="309">
        <f t="shared" si="195"/>
        <v>0</v>
      </c>
      <c r="DB129" s="309">
        <f t="shared" si="195"/>
        <v>0</v>
      </c>
      <c r="DC129" s="309">
        <f t="shared" si="195"/>
        <v>0</v>
      </c>
      <c r="DD129" s="309">
        <f t="shared" si="195"/>
        <v>0</v>
      </c>
      <c r="DE129" s="309">
        <f t="shared" si="195"/>
        <v>0</v>
      </c>
      <c r="DF129" s="309">
        <f t="shared" si="195"/>
        <v>0</v>
      </c>
      <c r="DG129" s="309">
        <f t="shared" si="195"/>
        <v>0</v>
      </c>
      <c r="DH129" s="309">
        <f t="shared" si="195"/>
        <v>0</v>
      </c>
      <c r="DI129" s="309">
        <f t="shared" si="195"/>
        <v>0</v>
      </c>
      <c r="DJ129" s="309">
        <f t="shared" si="195"/>
        <v>0</v>
      </c>
      <c r="DK129" s="309">
        <f t="shared" si="195"/>
        <v>0</v>
      </c>
      <c r="DL129" s="309">
        <f t="shared" si="195"/>
        <v>0</v>
      </c>
      <c r="DM129" s="309">
        <f t="shared" si="195"/>
        <v>0</v>
      </c>
      <c r="DN129" s="309">
        <f t="shared" si="195"/>
        <v>0</v>
      </c>
      <c r="DO129" s="309">
        <f t="shared" si="195"/>
        <v>0</v>
      </c>
      <c r="DP129" s="309">
        <f t="shared" si="195"/>
        <v>0</v>
      </c>
      <c r="DQ129" s="309">
        <f t="shared" si="195"/>
        <v>0</v>
      </c>
      <c r="DR129" s="309">
        <f t="shared" si="195"/>
        <v>0</v>
      </c>
      <c r="DS129" s="309">
        <f t="shared" si="195"/>
        <v>0</v>
      </c>
      <c r="DT129" s="309">
        <f t="shared" si="195"/>
        <v>0</v>
      </c>
      <c r="DU129" s="309">
        <f t="shared" si="195"/>
        <v>0</v>
      </c>
      <c r="DV129" s="309">
        <f t="shared" si="195"/>
        <v>0</v>
      </c>
    </row>
    <row r="130" spans="1:126" ht="15" customHeight="1" x14ac:dyDescent="0.35">
      <c r="A130" s="307" t="s">
        <v>1405</v>
      </c>
      <c r="B130" s="308" t="s">
        <v>1370</v>
      </c>
      <c r="C130" s="1146" t="s">
        <v>1592</v>
      </c>
      <c r="D130" s="1147"/>
      <c r="F130" s="309">
        <f t="shared" ref="F130:AK130" si="196">MAX(0,F$123+F$124)*$B$51</f>
        <v>0</v>
      </c>
      <c r="G130" s="309">
        <f t="shared" si="196"/>
        <v>0</v>
      </c>
      <c r="H130" s="309">
        <f t="shared" si="196"/>
        <v>0</v>
      </c>
      <c r="I130" s="309">
        <f t="shared" si="196"/>
        <v>0</v>
      </c>
      <c r="J130" s="309">
        <f t="shared" si="196"/>
        <v>0</v>
      </c>
      <c r="K130" s="309">
        <f t="shared" si="196"/>
        <v>0</v>
      </c>
      <c r="L130" s="309">
        <f t="shared" si="196"/>
        <v>0</v>
      </c>
      <c r="M130" s="309">
        <f t="shared" si="196"/>
        <v>0</v>
      </c>
      <c r="N130" s="309">
        <f t="shared" si="196"/>
        <v>0</v>
      </c>
      <c r="O130" s="309">
        <f t="shared" si="196"/>
        <v>0</v>
      </c>
      <c r="P130" s="309">
        <f t="shared" si="196"/>
        <v>0</v>
      </c>
      <c r="Q130" s="309">
        <f t="shared" si="196"/>
        <v>0</v>
      </c>
      <c r="R130" s="309">
        <f t="shared" si="196"/>
        <v>0</v>
      </c>
      <c r="S130" s="309">
        <f t="shared" si="196"/>
        <v>0</v>
      </c>
      <c r="T130" s="309">
        <f t="shared" si="196"/>
        <v>0</v>
      </c>
      <c r="U130" s="309">
        <f t="shared" si="196"/>
        <v>0</v>
      </c>
      <c r="V130" s="309">
        <f t="shared" si="196"/>
        <v>0</v>
      </c>
      <c r="W130" s="309">
        <f t="shared" si="196"/>
        <v>0</v>
      </c>
      <c r="X130" s="309">
        <f t="shared" si="196"/>
        <v>0</v>
      </c>
      <c r="Y130" s="309">
        <f t="shared" si="196"/>
        <v>0</v>
      </c>
      <c r="Z130" s="309">
        <f t="shared" si="196"/>
        <v>0</v>
      </c>
      <c r="AA130" s="309">
        <f t="shared" si="196"/>
        <v>0</v>
      </c>
      <c r="AB130" s="309">
        <f t="shared" si="196"/>
        <v>0</v>
      </c>
      <c r="AC130" s="309">
        <f t="shared" si="196"/>
        <v>0</v>
      </c>
      <c r="AD130" s="309">
        <f t="shared" si="196"/>
        <v>0</v>
      </c>
      <c r="AE130" s="309">
        <f t="shared" si="196"/>
        <v>0</v>
      </c>
      <c r="AF130" s="309">
        <f t="shared" si="196"/>
        <v>0</v>
      </c>
      <c r="AG130" s="309">
        <f t="shared" si="196"/>
        <v>0</v>
      </c>
      <c r="AH130" s="309">
        <f t="shared" si="196"/>
        <v>0</v>
      </c>
      <c r="AI130" s="309">
        <f t="shared" si="196"/>
        <v>0</v>
      </c>
      <c r="AJ130" s="309">
        <f t="shared" si="196"/>
        <v>0</v>
      </c>
      <c r="AK130" s="309">
        <f t="shared" si="196"/>
        <v>0</v>
      </c>
      <c r="AL130" s="309">
        <f t="shared" ref="AL130:BQ130" si="197">MAX(0,AL$123+AL$124)*$B$51</f>
        <v>0</v>
      </c>
      <c r="AM130" s="309">
        <f t="shared" si="197"/>
        <v>0</v>
      </c>
      <c r="AN130" s="309">
        <f t="shared" si="197"/>
        <v>0</v>
      </c>
      <c r="AO130" s="309">
        <f t="shared" si="197"/>
        <v>0</v>
      </c>
      <c r="AP130" s="309">
        <f t="shared" si="197"/>
        <v>0</v>
      </c>
      <c r="AQ130" s="309">
        <f t="shared" si="197"/>
        <v>0</v>
      </c>
      <c r="AR130" s="309">
        <f t="shared" si="197"/>
        <v>0</v>
      </c>
      <c r="AS130" s="309">
        <f t="shared" si="197"/>
        <v>0</v>
      </c>
      <c r="AT130" s="309">
        <f t="shared" si="197"/>
        <v>0</v>
      </c>
      <c r="AU130" s="309">
        <f t="shared" si="197"/>
        <v>0</v>
      </c>
      <c r="AV130" s="309">
        <f t="shared" si="197"/>
        <v>0</v>
      </c>
      <c r="AW130" s="309">
        <f t="shared" si="197"/>
        <v>0</v>
      </c>
      <c r="AX130" s="309">
        <f t="shared" si="197"/>
        <v>0</v>
      </c>
      <c r="AY130" s="309">
        <f t="shared" si="197"/>
        <v>0</v>
      </c>
      <c r="AZ130" s="309">
        <f t="shared" si="197"/>
        <v>0</v>
      </c>
      <c r="BA130" s="309">
        <f t="shared" si="197"/>
        <v>0</v>
      </c>
      <c r="BB130" s="309">
        <f t="shared" si="197"/>
        <v>0</v>
      </c>
      <c r="BC130" s="309">
        <f t="shared" si="197"/>
        <v>0</v>
      </c>
      <c r="BD130" s="309">
        <f t="shared" si="197"/>
        <v>0</v>
      </c>
      <c r="BE130" s="309">
        <f t="shared" si="197"/>
        <v>0</v>
      </c>
      <c r="BF130" s="309">
        <f t="shared" si="197"/>
        <v>0</v>
      </c>
      <c r="BG130" s="309">
        <f t="shared" si="197"/>
        <v>0</v>
      </c>
      <c r="BH130" s="309">
        <f t="shared" si="197"/>
        <v>0</v>
      </c>
      <c r="BI130" s="309">
        <f t="shared" si="197"/>
        <v>0</v>
      </c>
      <c r="BJ130" s="309">
        <f t="shared" si="197"/>
        <v>0</v>
      </c>
      <c r="BK130" s="309">
        <f t="shared" si="197"/>
        <v>0</v>
      </c>
      <c r="BL130" s="309">
        <f t="shared" si="197"/>
        <v>0</v>
      </c>
      <c r="BM130" s="309">
        <f t="shared" si="197"/>
        <v>0</v>
      </c>
      <c r="BN130" s="309">
        <f t="shared" si="197"/>
        <v>0</v>
      </c>
      <c r="BO130" s="309">
        <f t="shared" si="197"/>
        <v>0</v>
      </c>
      <c r="BP130" s="309">
        <f t="shared" si="197"/>
        <v>0</v>
      </c>
      <c r="BQ130" s="309">
        <f t="shared" si="197"/>
        <v>0</v>
      </c>
      <c r="BR130" s="309">
        <f t="shared" ref="BR130:CW130" si="198">MAX(0,BR$123+BR$124)*$B$51</f>
        <v>0</v>
      </c>
      <c r="BS130" s="309">
        <f t="shared" si="198"/>
        <v>0</v>
      </c>
      <c r="BT130" s="309">
        <f t="shared" si="198"/>
        <v>0</v>
      </c>
      <c r="BU130" s="309">
        <f t="shared" si="198"/>
        <v>0</v>
      </c>
      <c r="BV130" s="309">
        <f t="shared" si="198"/>
        <v>0</v>
      </c>
      <c r="BW130" s="309">
        <f t="shared" si="198"/>
        <v>0</v>
      </c>
      <c r="BX130" s="309">
        <f t="shared" si="198"/>
        <v>0</v>
      </c>
      <c r="BY130" s="309">
        <f t="shared" si="198"/>
        <v>0</v>
      </c>
      <c r="BZ130" s="309">
        <f t="shared" si="198"/>
        <v>0</v>
      </c>
      <c r="CA130" s="309">
        <f t="shared" si="198"/>
        <v>0</v>
      </c>
      <c r="CB130" s="309">
        <f t="shared" si="198"/>
        <v>0</v>
      </c>
      <c r="CC130" s="309">
        <f t="shared" si="198"/>
        <v>0</v>
      </c>
      <c r="CD130" s="309">
        <f t="shared" si="198"/>
        <v>0</v>
      </c>
      <c r="CE130" s="309">
        <f t="shared" si="198"/>
        <v>0</v>
      </c>
      <c r="CF130" s="309">
        <f t="shared" si="198"/>
        <v>0</v>
      </c>
      <c r="CG130" s="309">
        <f t="shared" si="198"/>
        <v>0</v>
      </c>
      <c r="CH130" s="309">
        <f t="shared" si="198"/>
        <v>0</v>
      </c>
      <c r="CI130" s="309">
        <f t="shared" si="198"/>
        <v>0</v>
      </c>
      <c r="CJ130" s="309">
        <f t="shared" si="198"/>
        <v>0</v>
      </c>
      <c r="CK130" s="309">
        <f t="shared" si="198"/>
        <v>0</v>
      </c>
      <c r="CL130" s="309">
        <f t="shared" si="198"/>
        <v>0</v>
      </c>
      <c r="CM130" s="309">
        <f t="shared" si="198"/>
        <v>0</v>
      </c>
      <c r="CN130" s="309">
        <f t="shared" si="198"/>
        <v>0</v>
      </c>
      <c r="CO130" s="309">
        <f t="shared" si="198"/>
        <v>0</v>
      </c>
      <c r="CP130" s="309">
        <f t="shared" si="198"/>
        <v>0</v>
      </c>
      <c r="CQ130" s="309">
        <f t="shared" si="198"/>
        <v>0</v>
      </c>
      <c r="CR130" s="309">
        <f t="shared" si="198"/>
        <v>0</v>
      </c>
      <c r="CS130" s="309">
        <f t="shared" si="198"/>
        <v>0</v>
      </c>
      <c r="CT130" s="309">
        <f t="shared" si="198"/>
        <v>0</v>
      </c>
      <c r="CU130" s="309">
        <f t="shared" si="198"/>
        <v>0</v>
      </c>
      <c r="CV130" s="309">
        <f t="shared" si="198"/>
        <v>0</v>
      </c>
      <c r="CW130" s="309">
        <f t="shared" si="198"/>
        <v>0</v>
      </c>
      <c r="CX130" s="309">
        <f t="shared" ref="CX130:DV130" si="199">MAX(0,CX$123+CX$124)*$B$51</f>
        <v>0</v>
      </c>
      <c r="CY130" s="309">
        <f t="shared" si="199"/>
        <v>0</v>
      </c>
      <c r="CZ130" s="309">
        <f t="shared" si="199"/>
        <v>0</v>
      </c>
      <c r="DA130" s="309">
        <f t="shared" si="199"/>
        <v>0</v>
      </c>
      <c r="DB130" s="309">
        <f t="shared" si="199"/>
        <v>0</v>
      </c>
      <c r="DC130" s="309">
        <f t="shared" si="199"/>
        <v>0</v>
      </c>
      <c r="DD130" s="309">
        <f t="shared" si="199"/>
        <v>0</v>
      </c>
      <c r="DE130" s="309">
        <f t="shared" si="199"/>
        <v>0</v>
      </c>
      <c r="DF130" s="309">
        <f t="shared" si="199"/>
        <v>0</v>
      </c>
      <c r="DG130" s="309">
        <f t="shared" si="199"/>
        <v>0</v>
      </c>
      <c r="DH130" s="309">
        <f t="shared" si="199"/>
        <v>0</v>
      </c>
      <c r="DI130" s="309">
        <f t="shared" si="199"/>
        <v>0</v>
      </c>
      <c r="DJ130" s="309">
        <f t="shared" si="199"/>
        <v>0</v>
      </c>
      <c r="DK130" s="309">
        <f t="shared" si="199"/>
        <v>0</v>
      </c>
      <c r="DL130" s="309">
        <f t="shared" si="199"/>
        <v>0</v>
      </c>
      <c r="DM130" s="309">
        <f t="shared" si="199"/>
        <v>0</v>
      </c>
      <c r="DN130" s="309">
        <f t="shared" si="199"/>
        <v>0</v>
      </c>
      <c r="DO130" s="309">
        <f t="shared" si="199"/>
        <v>0</v>
      </c>
      <c r="DP130" s="309">
        <f t="shared" si="199"/>
        <v>0</v>
      </c>
      <c r="DQ130" s="309">
        <f t="shared" si="199"/>
        <v>0</v>
      </c>
      <c r="DR130" s="309">
        <f t="shared" si="199"/>
        <v>0</v>
      </c>
      <c r="DS130" s="309">
        <f t="shared" si="199"/>
        <v>0</v>
      </c>
      <c r="DT130" s="309">
        <f t="shared" si="199"/>
        <v>0</v>
      </c>
      <c r="DU130" s="309">
        <f t="shared" si="199"/>
        <v>0</v>
      </c>
      <c r="DV130" s="309">
        <f t="shared" si="199"/>
        <v>0</v>
      </c>
    </row>
    <row r="131" spans="1:126" ht="15" customHeight="1" x14ac:dyDescent="0.35">
      <c r="A131" s="307" t="s">
        <v>1593</v>
      </c>
      <c r="B131" s="308" t="s">
        <v>795</v>
      </c>
      <c r="C131" s="1146" t="s">
        <v>1594</v>
      </c>
      <c r="D131" s="1147"/>
      <c r="F131" s="314">
        <f t="shared" ref="F131:AK131" si="200">IF(OR(F$64&lt;$B$35,F$64&gt;$B$52,SUM(F$123:Q$123,F$124:Q$124)=0),0,SUM(F$144:Q$144)/SUM(F$123:Q$123,F$124:Q$124))</f>
        <v>0</v>
      </c>
      <c r="G131" s="314">
        <f t="shared" si="200"/>
        <v>0</v>
      </c>
      <c r="H131" s="314">
        <f t="shared" si="200"/>
        <v>0</v>
      </c>
      <c r="I131" s="314">
        <f t="shared" si="200"/>
        <v>0</v>
      </c>
      <c r="J131" s="314">
        <f t="shared" si="200"/>
        <v>0</v>
      </c>
      <c r="K131" s="314">
        <f t="shared" si="200"/>
        <v>0</v>
      </c>
      <c r="L131" s="314">
        <f t="shared" si="200"/>
        <v>0</v>
      </c>
      <c r="M131" s="314">
        <f t="shared" si="200"/>
        <v>0</v>
      </c>
      <c r="N131" s="314">
        <f t="shared" si="200"/>
        <v>0</v>
      </c>
      <c r="O131" s="314">
        <f t="shared" si="200"/>
        <v>0</v>
      </c>
      <c r="P131" s="314">
        <f t="shared" si="200"/>
        <v>0</v>
      </c>
      <c r="Q131" s="314">
        <f t="shared" si="200"/>
        <v>0</v>
      </c>
      <c r="R131" s="314">
        <f t="shared" si="200"/>
        <v>0</v>
      </c>
      <c r="S131" s="314">
        <f t="shared" si="200"/>
        <v>0</v>
      </c>
      <c r="T131" s="314">
        <f t="shared" si="200"/>
        <v>0</v>
      </c>
      <c r="U131" s="314">
        <f t="shared" si="200"/>
        <v>0</v>
      </c>
      <c r="V131" s="314">
        <f t="shared" si="200"/>
        <v>0</v>
      </c>
      <c r="W131" s="314">
        <f t="shared" si="200"/>
        <v>0</v>
      </c>
      <c r="X131" s="314">
        <f t="shared" si="200"/>
        <v>0</v>
      </c>
      <c r="Y131" s="314">
        <f t="shared" si="200"/>
        <v>0</v>
      </c>
      <c r="Z131" s="314">
        <f t="shared" si="200"/>
        <v>0</v>
      </c>
      <c r="AA131" s="314">
        <f t="shared" si="200"/>
        <v>0</v>
      </c>
      <c r="AB131" s="314">
        <f t="shared" si="200"/>
        <v>0</v>
      </c>
      <c r="AC131" s="314">
        <f t="shared" si="200"/>
        <v>0</v>
      </c>
      <c r="AD131" s="314">
        <f t="shared" si="200"/>
        <v>0</v>
      </c>
      <c r="AE131" s="314">
        <f t="shared" si="200"/>
        <v>0</v>
      </c>
      <c r="AF131" s="314">
        <f t="shared" si="200"/>
        <v>0</v>
      </c>
      <c r="AG131" s="314">
        <f t="shared" si="200"/>
        <v>0</v>
      </c>
      <c r="AH131" s="314">
        <f t="shared" si="200"/>
        <v>0</v>
      </c>
      <c r="AI131" s="314">
        <f t="shared" si="200"/>
        <v>0</v>
      </c>
      <c r="AJ131" s="314">
        <f t="shared" si="200"/>
        <v>0</v>
      </c>
      <c r="AK131" s="314">
        <f t="shared" si="200"/>
        <v>0</v>
      </c>
      <c r="AL131" s="314">
        <f t="shared" ref="AL131:BQ131" si="201">IF(OR(AL$64&lt;$B$35,AL$64&gt;$B$52,SUM(AL$123:AW$123,AL$124:AW$124)=0),0,SUM(AL$144:AW$144)/SUM(AL$123:AW$123,AL$124:AW$124))</f>
        <v>0</v>
      </c>
      <c r="AM131" s="314">
        <f t="shared" si="201"/>
        <v>0</v>
      </c>
      <c r="AN131" s="314">
        <f t="shared" si="201"/>
        <v>0</v>
      </c>
      <c r="AO131" s="314">
        <f t="shared" si="201"/>
        <v>0</v>
      </c>
      <c r="AP131" s="314">
        <f t="shared" si="201"/>
        <v>0</v>
      </c>
      <c r="AQ131" s="314">
        <f t="shared" si="201"/>
        <v>0</v>
      </c>
      <c r="AR131" s="314">
        <f t="shared" si="201"/>
        <v>0</v>
      </c>
      <c r="AS131" s="314">
        <f t="shared" si="201"/>
        <v>0</v>
      </c>
      <c r="AT131" s="314">
        <f t="shared" si="201"/>
        <v>0</v>
      </c>
      <c r="AU131" s="314">
        <f t="shared" si="201"/>
        <v>0</v>
      </c>
      <c r="AV131" s="314">
        <f t="shared" si="201"/>
        <v>0</v>
      </c>
      <c r="AW131" s="314">
        <f t="shared" si="201"/>
        <v>0</v>
      </c>
      <c r="AX131" s="314">
        <f t="shared" si="201"/>
        <v>0</v>
      </c>
      <c r="AY131" s="314">
        <f t="shared" si="201"/>
        <v>0</v>
      </c>
      <c r="AZ131" s="314">
        <f t="shared" si="201"/>
        <v>0</v>
      </c>
      <c r="BA131" s="314">
        <f t="shared" si="201"/>
        <v>0</v>
      </c>
      <c r="BB131" s="314">
        <f t="shared" si="201"/>
        <v>0</v>
      </c>
      <c r="BC131" s="314">
        <f t="shared" si="201"/>
        <v>3.4566100780501867</v>
      </c>
      <c r="BD131" s="314">
        <f t="shared" si="201"/>
        <v>3.2003453740212628</v>
      </c>
      <c r="BE131" s="314">
        <f t="shared" si="201"/>
        <v>3.5030502969504136</v>
      </c>
      <c r="BF131" s="314">
        <f t="shared" si="201"/>
        <v>3.852272100262363</v>
      </c>
      <c r="BG131" s="314">
        <f t="shared" si="201"/>
        <v>4.2891145115972789</v>
      </c>
      <c r="BH131" s="314">
        <f t="shared" si="201"/>
        <v>4.8119696630712321</v>
      </c>
      <c r="BI131" s="314">
        <f t="shared" si="201"/>
        <v>5.4964989971270324</v>
      </c>
      <c r="BJ131" s="314">
        <f t="shared" si="201"/>
        <v>6.2860285861515219</v>
      </c>
      <c r="BK131" s="314">
        <f t="shared" si="201"/>
        <v>7.2202696632447481</v>
      </c>
      <c r="BL131" s="314">
        <f t="shared" si="201"/>
        <v>8.7115589732494421</v>
      </c>
      <c r="BM131" s="314">
        <f t="shared" si="201"/>
        <v>10.959072466738997</v>
      </c>
      <c r="BN131" s="314">
        <f t="shared" si="201"/>
        <v>15.124076887442213</v>
      </c>
      <c r="BO131" s="314">
        <f t="shared" si="201"/>
        <v>24.344662686504893</v>
      </c>
      <c r="BP131" s="314">
        <f t="shared" si="201"/>
        <v>0</v>
      </c>
      <c r="BQ131" s="314">
        <f t="shared" si="201"/>
        <v>0</v>
      </c>
      <c r="BR131" s="314">
        <f t="shared" ref="BR131:CW131" si="202">IF(OR(BR$64&lt;$B$35,BR$64&gt;$B$52,SUM(BR$123:CC$123,BR$124:CC$124)=0),0,SUM(BR$144:CC$144)/SUM(BR$123:CC$123,BR$124:CC$124))</f>
        <v>0</v>
      </c>
      <c r="BS131" s="314">
        <f t="shared" si="202"/>
        <v>0</v>
      </c>
      <c r="BT131" s="314">
        <f t="shared" si="202"/>
        <v>0</v>
      </c>
      <c r="BU131" s="314">
        <f t="shared" si="202"/>
        <v>0</v>
      </c>
      <c r="BV131" s="314">
        <f t="shared" si="202"/>
        <v>0</v>
      </c>
      <c r="BW131" s="314">
        <f t="shared" si="202"/>
        <v>0</v>
      </c>
      <c r="BX131" s="314">
        <f t="shared" si="202"/>
        <v>0</v>
      </c>
      <c r="BY131" s="314">
        <f t="shared" si="202"/>
        <v>0</v>
      </c>
      <c r="BZ131" s="314">
        <f t="shared" si="202"/>
        <v>0</v>
      </c>
      <c r="CA131" s="314">
        <f t="shared" si="202"/>
        <v>0</v>
      </c>
      <c r="CB131" s="314">
        <f t="shared" si="202"/>
        <v>0</v>
      </c>
      <c r="CC131" s="314">
        <f t="shared" si="202"/>
        <v>0</v>
      </c>
      <c r="CD131" s="314">
        <f t="shared" si="202"/>
        <v>0</v>
      </c>
      <c r="CE131" s="314">
        <f t="shared" si="202"/>
        <v>0</v>
      </c>
      <c r="CF131" s="314">
        <f t="shared" si="202"/>
        <v>0</v>
      </c>
      <c r="CG131" s="314">
        <f t="shared" si="202"/>
        <v>0</v>
      </c>
      <c r="CH131" s="314">
        <f t="shared" si="202"/>
        <v>0</v>
      </c>
      <c r="CI131" s="314">
        <f t="shared" si="202"/>
        <v>0</v>
      </c>
      <c r="CJ131" s="314">
        <f t="shared" si="202"/>
        <v>0</v>
      </c>
      <c r="CK131" s="314">
        <f t="shared" si="202"/>
        <v>0</v>
      </c>
      <c r="CL131" s="314">
        <f t="shared" si="202"/>
        <v>0</v>
      </c>
      <c r="CM131" s="314">
        <f t="shared" si="202"/>
        <v>0</v>
      </c>
      <c r="CN131" s="314">
        <f t="shared" si="202"/>
        <v>0</v>
      </c>
      <c r="CO131" s="314">
        <f t="shared" si="202"/>
        <v>0</v>
      </c>
      <c r="CP131" s="314">
        <f t="shared" si="202"/>
        <v>0</v>
      </c>
      <c r="CQ131" s="314">
        <f t="shared" si="202"/>
        <v>0</v>
      </c>
      <c r="CR131" s="314">
        <f t="shared" si="202"/>
        <v>0</v>
      </c>
      <c r="CS131" s="314">
        <f t="shared" si="202"/>
        <v>0</v>
      </c>
      <c r="CT131" s="314">
        <f t="shared" si="202"/>
        <v>0</v>
      </c>
      <c r="CU131" s="314">
        <f t="shared" si="202"/>
        <v>0</v>
      </c>
      <c r="CV131" s="314">
        <f t="shared" si="202"/>
        <v>0</v>
      </c>
      <c r="CW131" s="314">
        <f t="shared" si="202"/>
        <v>0</v>
      </c>
      <c r="CX131" s="314">
        <f t="shared" ref="CX131:DK131" si="203">IF(OR(CX$64&lt;$B$35,CX$64&gt;$B$52,SUM(CX$123:DI$123,CX$124:DI$124)=0),0,SUM(CX$144:DI$144)/SUM(CX$123:DI$123,CX$124:DI$124))</f>
        <v>0</v>
      </c>
      <c r="CY131" s="314">
        <f t="shared" si="203"/>
        <v>0</v>
      </c>
      <c r="CZ131" s="314">
        <f t="shared" si="203"/>
        <v>0</v>
      </c>
      <c r="DA131" s="314">
        <f t="shared" si="203"/>
        <v>0</v>
      </c>
      <c r="DB131" s="314">
        <f t="shared" si="203"/>
        <v>0</v>
      </c>
      <c r="DC131" s="314">
        <f t="shared" si="203"/>
        <v>0</v>
      </c>
      <c r="DD131" s="314">
        <f t="shared" si="203"/>
        <v>0</v>
      </c>
      <c r="DE131" s="314">
        <f t="shared" si="203"/>
        <v>0</v>
      </c>
      <c r="DF131" s="314">
        <f t="shared" si="203"/>
        <v>0</v>
      </c>
      <c r="DG131" s="314">
        <f t="shared" si="203"/>
        <v>0</v>
      </c>
      <c r="DH131" s="314">
        <f t="shared" si="203"/>
        <v>0</v>
      </c>
      <c r="DI131" s="314">
        <f t="shared" si="203"/>
        <v>0</v>
      </c>
      <c r="DJ131" s="314">
        <f t="shared" si="203"/>
        <v>0</v>
      </c>
      <c r="DK131" s="314">
        <f t="shared" si="203"/>
        <v>0</v>
      </c>
      <c r="DL131" s="314">
        <f t="shared" ref="DL131:DV131" si="204">IF(OR(DL$64&lt;$B$35,DL$64&gt;$B$52,SUM(DL$123:DW$123,DL$124:DW$124)=0),0,SUM(DL$144:DW$144)/SUM(DL$123:DW$123,DL$124:DW$124))</f>
        <v>0</v>
      </c>
      <c r="DM131" s="314">
        <f t="shared" si="204"/>
        <v>0</v>
      </c>
      <c r="DN131" s="314">
        <f t="shared" si="204"/>
        <v>0</v>
      </c>
      <c r="DO131" s="314">
        <f t="shared" si="204"/>
        <v>0</v>
      </c>
      <c r="DP131" s="314">
        <f t="shared" si="204"/>
        <v>0</v>
      </c>
      <c r="DQ131" s="314">
        <f t="shared" si="204"/>
        <v>0</v>
      </c>
      <c r="DR131" s="314">
        <f t="shared" si="204"/>
        <v>0</v>
      </c>
      <c r="DS131" s="314">
        <f t="shared" si="204"/>
        <v>0</v>
      </c>
      <c r="DT131" s="314">
        <f t="shared" si="204"/>
        <v>0</v>
      </c>
      <c r="DU131" s="314">
        <f t="shared" si="204"/>
        <v>0</v>
      </c>
      <c r="DV131" s="314">
        <f t="shared" si="204"/>
        <v>0</v>
      </c>
    </row>
    <row r="132" spans="1:126" ht="15" customHeight="1" x14ac:dyDescent="0.35">
      <c r="A132" s="307" t="s">
        <v>1595</v>
      </c>
      <c r="B132" s="308" t="s">
        <v>795</v>
      </c>
      <c r="C132" s="1146" t="s">
        <v>1596</v>
      </c>
      <c r="D132" s="1147"/>
      <c r="F132" s="314">
        <f t="shared" ref="F132:AK132" si="205">IF(OR(F$64&lt;$B$35,F$64&gt;$B$52,SUM(F$123:Q$123)=0),0,SUM(F$144:Q$144)/SUM(F$123:Q$123))</f>
        <v>0</v>
      </c>
      <c r="G132" s="314">
        <f t="shared" si="205"/>
        <v>0</v>
      </c>
      <c r="H132" s="314">
        <f t="shared" si="205"/>
        <v>0</v>
      </c>
      <c r="I132" s="314">
        <f t="shared" si="205"/>
        <v>0</v>
      </c>
      <c r="J132" s="314">
        <f t="shared" si="205"/>
        <v>0</v>
      </c>
      <c r="K132" s="314">
        <f t="shared" si="205"/>
        <v>0</v>
      </c>
      <c r="L132" s="314">
        <f t="shared" si="205"/>
        <v>0</v>
      </c>
      <c r="M132" s="314">
        <f t="shared" si="205"/>
        <v>0</v>
      </c>
      <c r="N132" s="314">
        <f t="shared" si="205"/>
        <v>0</v>
      </c>
      <c r="O132" s="314">
        <f t="shared" si="205"/>
        <v>0</v>
      </c>
      <c r="P132" s="314">
        <f t="shared" si="205"/>
        <v>0</v>
      </c>
      <c r="Q132" s="314">
        <f t="shared" si="205"/>
        <v>0</v>
      </c>
      <c r="R132" s="314">
        <f t="shared" si="205"/>
        <v>0</v>
      </c>
      <c r="S132" s="314">
        <f t="shared" si="205"/>
        <v>0</v>
      </c>
      <c r="T132" s="314">
        <f t="shared" si="205"/>
        <v>0</v>
      </c>
      <c r="U132" s="314">
        <f t="shared" si="205"/>
        <v>0</v>
      </c>
      <c r="V132" s="314">
        <f t="shared" si="205"/>
        <v>0</v>
      </c>
      <c r="W132" s="314">
        <f t="shared" si="205"/>
        <v>0</v>
      </c>
      <c r="X132" s="314">
        <f t="shared" si="205"/>
        <v>0</v>
      </c>
      <c r="Y132" s="314">
        <f t="shared" si="205"/>
        <v>0</v>
      </c>
      <c r="Z132" s="314">
        <f t="shared" si="205"/>
        <v>0</v>
      </c>
      <c r="AA132" s="314">
        <f t="shared" si="205"/>
        <v>0</v>
      </c>
      <c r="AB132" s="314">
        <f t="shared" si="205"/>
        <v>0</v>
      </c>
      <c r="AC132" s="314">
        <f t="shared" si="205"/>
        <v>0</v>
      </c>
      <c r="AD132" s="314">
        <f t="shared" si="205"/>
        <v>0</v>
      </c>
      <c r="AE132" s="314">
        <f t="shared" si="205"/>
        <v>0</v>
      </c>
      <c r="AF132" s="314">
        <f t="shared" si="205"/>
        <v>0</v>
      </c>
      <c r="AG132" s="314">
        <f t="shared" si="205"/>
        <v>0</v>
      </c>
      <c r="AH132" s="314">
        <f t="shared" si="205"/>
        <v>0</v>
      </c>
      <c r="AI132" s="314">
        <f t="shared" si="205"/>
        <v>0</v>
      </c>
      <c r="AJ132" s="314">
        <f t="shared" si="205"/>
        <v>0</v>
      </c>
      <c r="AK132" s="314">
        <f t="shared" si="205"/>
        <v>0</v>
      </c>
      <c r="AL132" s="314">
        <f t="shared" ref="AL132:BQ132" si="206">IF(OR(AL$64&lt;$B$35,AL$64&gt;$B$52,SUM(AL$123:AW$123)=0),0,SUM(AL$144:AW$144)/SUM(AL$123:AW$123))</f>
        <v>0</v>
      </c>
      <c r="AM132" s="314">
        <f t="shared" si="206"/>
        <v>0</v>
      </c>
      <c r="AN132" s="314">
        <f t="shared" si="206"/>
        <v>0</v>
      </c>
      <c r="AO132" s="314">
        <f t="shared" si="206"/>
        <v>0</v>
      </c>
      <c r="AP132" s="314">
        <f t="shared" si="206"/>
        <v>0</v>
      </c>
      <c r="AQ132" s="314">
        <f t="shared" si="206"/>
        <v>0</v>
      </c>
      <c r="AR132" s="314">
        <f t="shared" si="206"/>
        <v>0</v>
      </c>
      <c r="AS132" s="314">
        <f t="shared" si="206"/>
        <v>0</v>
      </c>
      <c r="AT132" s="314">
        <f t="shared" si="206"/>
        <v>0</v>
      </c>
      <c r="AU132" s="314">
        <f t="shared" si="206"/>
        <v>0</v>
      </c>
      <c r="AV132" s="314">
        <f t="shared" si="206"/>
        <v>0</v>
      </c>
      <c r="AW132" s="314">
        <f t="shared" si="206"/>
        <v>0</v>
      </c>
      <c r="AX132" s="314">
        <f t="shared" si="206"/>
        <v>0</v>
      </c>
      <c r="AY132" s="314">
        <f t="shared" si="206"/>
        <v>0</v>
      </c>
      <c r="AZ132" s="314">
        <f t="shared" si="206"/>
        <v>0</v>
      </c>
      <c r="BA132" s="314">
        <f t="shared" si="206"/>
        <v>0</v>
      </c>
      <c r="BB132" s="314">
        <f t="shared" si="206"/>
        <v>0</v>
      </c>
      <c r="BC132" s="314">
        <f t="shared" si="206"/>
        <v>3.4566100780501867</v>
      </c>
      <c r="BD132" s="314">
        <f t="shared" si="206"/>
        <v>3.3368750989864364</v>
      </c>
      <c r="BE132" s="314">
        <f t="shared" si="206"/>
        <v>3.6668873220954192</v>
      </c>
      <c r="BF132" s="314">
        <f t="shared" si="206"/>
        <v>4.050840586479219</v>
      </c>
      <c r="BG132" s="314">
        <f t="shared" si="206"/>
        <v>4.5361048166307114</v>
      </c>
      <c r="BH132" s="314">
        <f t="shared" si="206"/>
        <v>5.1242657798405302</v>
      </c>
      <c r="BI132" s="314">
        <f t="shared" si="206"/>
        <v>5.90673213057004</v>
      </c>
      <c r="BJ132" s="314">
        <f t="shared" si="206"/>
        <v>6.8373875345235628</v>
      </c>
      <c r="BK132" s="314">
        <f t="shared" si="206"/>
        <v>7.9717545628027278</v>
      </c>
      <c r="BL132" s="314">
        <f t="shared" si="206"/>
        <v>9.852423000572637</v>
      </c>
      <c r="BM132" s="314">
        <f t="shared" si="206"/>
        <v>12.868459422124703</v>
      </c>
      <c r="BN132" s="314">
        <f t="shared" si="206"/>
        <v>19.111632237969019</v>
      </c>
      <c r="BO132" s="314">
        <f t="shared" si="206"/>
        <v>37.016580031381373</v>
      </c>
      <c r="BP132" s="314">
        <f t="shared" si="206"/>
        <v>0</v>
      </c>
      <c r="BQ132" s="314">
        <f t="shared" si="206"/>
        <v>0</v>
      </c>
      <c r="BR132" s="314">
        <f t="shared" ref="BR132:CW132" si="207">IF(OR(BR$64&lt;$B$35,BR$64&gt;$B$52,SUM(BR$123:CC$123)=0),0,SUM(BR$144:CC$144)/SUM(BR$123:CC$123))</f>
        <v>0</v>
      </c>
      <c r="BS132" s="314">
        <f t="shared" si="207"/>
        <v>0</v>
      </c>
      <c r="BT132" s="314">
        <f t="shared" si="207"/>
        <v>0</v>
      </c>
      <c r="BU132" s="314">
        <f t="shared" si="207"/>
        <v>0</v>
      </c>
      <c r="BV132" s="314">
        <f t="shared" si="207"/>
        <v>0</v>
      </c>
      <c r="BW132" s="314">
        <f t="shared" si="207"/>
        <v>0</v>
      </c>
      <c r="BX132" s="314">
        <f t="shared" si="207"/>
        <v>0</v>
      </c>
      <c r="BY132" s="314">
        <f t="shared" si="207"/>
        <v>0</v>
      </c>
      <c r="BZ132" s="314">
        <f t="shared" si="207"/>
        <v>0</v>
      </c>
      <c r="CA132" s="314">
        <f t="shared" si="207"/>
        <v>0</v>
      </c>
      <c r="CB132" s="314">
        <f t="shared" si="207"/>
        <v>0</v>
      </c>
      <c r="CC132" s="314">
        <f t="shared" si="207"/>
        <v>0</v>
      </c>
      <c r="CD132" s="314">
        <f t="shared" si="207"/>
        <v>0</v>
      </c>
      <c r="CE132" s="314">
        <f t="shared" si="207"/>
        <v>0</v>
      </c>
      <c r="CF132" s="314">
        <f t="shared" si="207"/>
        <v>0</v>
      </c>
      <c r="CG132" s="314">
        <f t="shared" si="207"/>
        <v>0</v>
      </c>
      <c r="CH132" s="314">
        <f t="shared" si="207"/>
        <v>0</v>
      </c>
      <c r="CI132" s="314">
        <f t="shared" si="207"/>
        <v>0</v>
      </c>
      <c r="CJ132" s="314">
        <f t="shared" si="207"/>
        <v>0</v>
      </c>
      <c r="CK132" s="314">
        <f t="shared" si="207"/>
        <v>0</v>
      </c>
      <c r="CL132" s="314">
        <f t="shared" si="207"/>
        <v>0</v>
      </c>
      <c r="CM132" s="314">
        <f t="shared" si="207"/>
        <v>0</v>
      </c>
      <c r="CN132" s="314">
        <f t="shared" si="207"/>
        <v>0</v>
      </c>
      <c r="CO132" s="314">
        <f t="shared" si="207"/>
        <v>0</v>
      </c>
      <c r="CP132" s="314">
        <f t="shared" si="207"/>
        <v>0</v>
      </c>
      <c r="CQ132" s="314">
        <f t="shared" si="207"/>
        <v>0</v>
      </c>
      <c r="CR132" s="314">
        <f t="shared" si="207"/>
        <v>0</v>
      </c>
      <c r="CS132" s="314">
        <f t="shared" si="207"/>
        <v>0</v>
      </c>
      <c r="CT132" s="314">
        <f t="shared" si="207"/>
        <v>0</v>
      </c>
      <c r="CU132" s="314">
        <f t="shared" si="207"/>
        <v>0</v>
      </c>
      <c r="CV132" s="314">
        <f t="shared" si="207"/>
        <v>0</v>
      </c>
      <c r="CW132" s="314">
        <f t="shared" si="207"/>
        <v>0</v>
      </c>
      <c r="CX132" s="314">
        <f t="shared" ref="CX132:DV132" si="208">IF(OR(CX$64&lt;$B$35,CX$64&gt;$B$52,SUM(CX$123:DI$123)=0),0,SUM(CX$144:DI$144)/SUM(CX$123:DI$123))</f>
        <v>0</v>
      </c>
      <c r="CY132" s="314">
        <f t="shared" si="208"/>
        <v>0</v>
      </c>
      <c r="CZ132" s="314">
        <f t="shared" si="208"/>
        <v>0</v>
      </c>
      <c r="DA132" s="314">
        <f t="shared" si="208"/>
        <v>0</v>
      </c>
      <c r="DB132" s="314">
        <f t="shared" si="208"/>
        <v>0</v>
      </c>
      <c r="DC132" s="314">
        <f t="shared" si="208"/>
        <v>0</v>
      </c>
      <c r="DD132" s="314">
        <f t="shared" si="208"/>
        <v>0</v>
      </c>
      <c r="DE132" s="314">
        <f t="shared" si="208"/>
        <v>0</v>
      </c>
      <c r="DF132" s="314">
        <f t="shared" si="208"/>
        <v>0</v>
      </c>
      <c r="DG132" s="314">
        <f t="shared" si="208"/>
        <v>0</v>
      </c>
      <c r="DH132" s="314">
        <f t="shared" si="208"/>
        <v>0</v>
      </c>
      <c r="DI132" s="314">
        <f t="shared" si="208"/>
        <v>0</v>
      </c>
      <c r="DJ132" s="314">
        <f t="shared" si="208"/>
        <v>0</v>
      </c>
      <c r="DK132" s="314">
        <f t="shared" si="208"/>
        <v>0</v>
      </c>
      <c r="DL132" s="314">
        <f t="shared" si="208"/>
        <v>0</v>
      </c>
      <c r="DM132" s="314">
        <f t="shared" si="208"/>
        <v>0</v>
      </c>
      <c r="DN132" s="314">
        <f t="shared" si="208"/>
        <v>0</v>
      </c>
      <c r="DO132" s="314">
        <f t="shared" si="208"/>
        <v>0</v>
      </c>
      <c r="DP132" s="314">
        <f t="shared" si="208"/>
        <v>0</v>
      </c>
      <c r="DQ132" s="314">
        <f t="shared" si="208"/>
        <v>0</v>
      </c>
      <c r="DR132" s="314">
        <f t="shared" si="208"/>
        <v>0</v>
      </c>
      <c r="DS132" s="314">
        <f t="shared" si="208"/>
        <v>0</v>
      </c>
      <c r="DT132" s="314">
        <f t="shared" si="208"/>
        <v>0</v>
      </c>
      <c r="DU132" s="314">
        <f t="shared" si="208"/>
        <v>0</v>
      </c>
      <c r="DV132" s="314">
        <f t="shared" si="208"/>
        <v>0</v>
      </c>
    </row>
    <row r="133" spans="1:126" ht="15" customHeight="1" x14ac:dyDescent="0.35">
      <c r="A133" s="307" t="s">
        <v>1395</v>
      </c>
      <c r="B133" s="308" t="s">
        <v>83</v>
      </c>
      <c r="C133" s="1146" t="s">
        <v>1597</v>
      </c>
      <c r="D133" s="1147"/>
      <c r="F133" s="312">
        <f t="shared" ref="F133:P133" si="209">IF((F$92+F$110+F$128)=0,0,MAX(0,F$139-F$140)*12/(F$92+F$110+F$128))</f>
        <v>0</v>
      </c>
      <c r="G133" s="312">
        <f t="shared" si="209"/>
        <v>0</v>
      </c>
      <c r="H133" s="312">
        <f t="shared" si="209"/>
        <v>0</v>
      </c>
      <c r="I133" s="312">
        <f t="shared" si="209"/>
        <v>0</v>
      </c>
      <c r="J133" s="312">
        <f t="shared" si="209"/>
        <v>0</v>
      </c>
      <c r="K133" s="312">
        <f t="shared" si="209"/>
        <v>0</v>
      </c>
      <c r="L133" s="312">
        <f t="shared" si="209"/>
        <v>0</v>
      </c>
      <c r="M133" s="312">
        <f t="shared" si="209"/>
        <v>0</v>
      </c>
      <c r="N133" s="312">
        <f t="shared" si="209"/>
        <v>0</v>
      </c>
      <c r="O133" s="312">
        <f t="shared" si="209"/>
        <v>0</v>
      </c>
      <c r="P133" s="312">
        <f t="shared" si="209"/>
        <v>0</v>
      </c>
      <c r="Q133" s="312">
        <f t="shared" ref="Q133:AV133" si="210">IF((Q$92+Q$110+Q$128)=0,0,MAX(0,Q$139-Q$140)*12/(Q$92+Q$110+Q$128))</f>
        <v>0</v>
      </c>
      <c r="R133" s="312">
        <f t="shared" si="210"/>
        <v>0</v>
      </c>
      <c r="S133" s="312">
        <f t="shared" si="210"/>
        <v>0</v>
      </c>
      <c r="T133" s="312">
        <f t="shared" si="210"/>
        <v>0</v>
      </c>
      <c r="U133" s="312">
        <f t="shared" si="210"/>
        <v>0</v>
      </c>
      <c r="V133" s="312">
        <f t="shared" si="210"/>
        <v>0</v>
      </c>
      <c r="W133" s="312">
        <f t="shared" si="210"/>
        <v>0</v>
      </c>
      <c r="X133" s="312">
        <f t="shared" si="210"/>
        <v>0</v>
      </c>
      <c r="Y133" s="312">
        <f t="shared" si="210"/>
        <v>0</v>
      </c>
      <c r="Z133" s="312">
        <f t="shared" si="210"/>
        <v>0</v>
      </c>
      <c r="AA133" s="312">
        <f t="shared" si="210"/>
        <v>0</v>
      </c>
      <c r="AB133" s="312">
        <f t="shared" si="210"/>
        <v>4.5689357559470796E-2</v>
      </c>
      <c r="AC133" s="312">
        <f t="shared" si="210"/>
        <v>4.3797797201994469E-2</v>
      </c>
      <c r="AD133" s="312">
        <f t="shared" si="210"/>
        <v>4.2274552222000224E-2</v>
      </c>
      <c r="AE133" s="312">
        <f t="shared" si="210"/>
        <v>5.3475261456558162E-2</v>
      </c>
      <c r="AF133" s="312">
        <f t="shared" si="210"/>
        <v>5.2231597146221387E-2</v>
      </c>
      <c r="AG133" s="312">
        <f t="shared" si="210"/>
        <v>5.1264694488115166E-2</v>
      </c>
      <c r="AH133" s="312">
        <f t="shared" si="210"/>
        <v>5.9950296412982051E-2</v>
      </c>
      <c r="AI133" s="312">
        <f t="shared" si="210"/>
        <v>5.9282556192630127E-2</v>
      </c>
      <c r="AJ133" s="312">
        <f t="shared" si="210"/>
        <v>5.9015445807539542E-2</v>
      </c>
      <c r="AK133" s="312">
        <f t="shared" si="210"/>
        <v>6.7440568139905441E-2</v>
      </c>
      <c r="AL133" s="312">
        <f t="shared" si="210"/>
        <v>6.7472159840217594E-2</v>
      </c>
      <c r="AM133" s="312">
        <f t="shared" si="210"/>
        <v>6.7469316695269801E-2</v>
      </c>
      <c r="AN133" s="312">
        <f t="shared" si="210"/>
        <v>6.9224728050041942E-2</v>
      </c>
      <c r="AO133" s="312">
        <f t="shared" si="210"/>
        <v>6.9235316344069306E-2</v>
      </c>
      <c r="AP133" s="312">
        <f t="shared" si="210"/>
        <v>6.9259858455840609E-2</v>
      </c>
      <c r="AQ133" s="312">
        <f t="shared" si="210"/>
        <v>7.0990460220400231E-2</v>
      </c>
      <c r="AR133" s="312">
        <f t="shared" si="210"/>
        <v>8.2174544012178261E-2</v>
      </c>
      <c r="AS133" s="312">
        <f t="shared" si="210"/>
        <v>9.3369102080152727E-2</v>
      </c>
      <c r="AT133" s="312">
        <f t="shared" si="210"/>
        <v>0.104903930093244</v>
      </c>
      <c r="AU133" s="312">
        <f t="shared" si="210"/>
        <v>0.11604188943674983</v>
      </c>
      <c r="AV133" s="312">
        <f t="shared" si="210"/>
        <v>0.12717984878025565</v>
      </c>
      <c r="AW133" s="312">
        <f t="shared" ref="AW133:CB133" si="211">IF((AW$92+AW$110+AW$128)=0,0,MAX(0,AW$139-AW$140)*12/(AW$92+AW$110+AW$128))</f>
        <v>0.13861433166895018</v>
      </c>
      <c r="AX133" s="312">
        <f t="shared" si="211"/>
        <v>0.14975229101245596</v>
      </c>
      <c r="AY133" s="312">
        <f t="shared" si="211"/>
        <v>0.1608902503559618</v>
      </c>
      <c r="AZ133" s="312">
        <f t="shared" si="211"/>
        <v>0.17343139032830532</v>
      </c>
      <c r="BA133" s="312">
        <f t="shared" si="211"/>
        <v>0.18456934967181116</v>
      </c>
      <c r="BB133" s="312">
        <f t="shared" si="211"/>
        <v>0.19570730901531694</v>
      </c>
      <c r="BC133" s="312">
        <f t="shared" si="211"/>
        <v>0.20855315601852653</v>
      </c>
      <c r="BD133" s="312">
        <f t="shared" si="211"/>
        <v>0.20979713572773676</v>
      </c>
      <c r="BE133" s="312">
        <f t="shared" si="211"/>
        <v>0.21107844828142608</v>
      </c>
      <c r="BF133" s="312">
        <f t="shared" si="211"/>
        <v>0.21270261200810342</v>
      </c>
      <c r="BG133" s="312">
        <f t="shared" si="211"/>
        <v>0.21402773820052037</v>
      </c>
      <c r="BH133" s="312">
        <f t="shared" si="211"/>
        <v>0.21535378959435966</v>
      </c>
      <c r="BI133" s="312">
        <f t="shared" si="211"/>
        <v>0.21701749861988323</v>
      </c>
      <c r="BJ133" s="312">
        <f t="shared" si="211"/>
        <v>0.21844816921976118</v>
      </c>
      <c r="BK133" s="312">
        <f t="shared" si="211"/>
        <v>0.21984235072736269</v>
      </c>
      <c r="BL133" s="312">
        <f t="shared" si="211"/>
        <v>0.22280992110585651</v>
      </c>
      <c r="BM133" s="312">
        <f t="shared" si="211"/>
        <v>0.22427295964444788</v>
      </c>
      <c r="BN133" s="312">
        <f t="shared" si="211"/>
        <v>0.22577969451475111</v>
      </c>
      <c r="BO133" s="312">
        <f t="shared" si="211"/>
        <v>49.746027427127657</v>
      </c>
      <c r="BP133" s="312">
        <f t="shared" si="211"/>
        <v>0</v>
      </c>
      <c r="BQ133" s="312">
        <f t="shared" si="211"/>
        <v>0</v>
      </c>
      <c r="BR133" s="312">
        <f t="shared" si="211"/>
        <v>0</v>
      </c>
      <c r="BS133" s="312">
        <f t="shared" si="211"/>
        <v>0</v>
      </c>
      <c r="BT133" s="312">
        <f t="shared" si="211"/>
        <v>0</v>
      </c>
      <c r="BU133" s="312">
        <f t="shared" si="211"/>
        <v>0</v>
      </c>
      <c r="BV133" s="312">
        <f t="shared" si="211"/>
        <v>0</v>
      </c>
      <c r="BW133" s="312">
        <f t="shared" si="211"/>
        <v>0</v>
      </c>
      <c r="BX133" s="312">
        <f t="shared" si="211"/>
        <v>0</v>
      </c>
      <c r="BY133" s="312">
        <f t="shared" si="211"/>
        <v>0</v>
      </c>
      <c r="BZ133" s="312">
        <f t="shared" si="211"/>
        <v>0</v>
      </c>
      <c r="CA133" s="312">
        <f t="shared" si="211"/>
        <v>0</v>
      </c>
      <c r="CB133" s="312">
        <f t="shared" si="211"/>
        <v>0</v>
      </c>
      <c r="CC133" s="312">
        <f t="shared" ref="CC133:DH133" si="212">IF((CC$92+CC$110+CC$128)=0,0,MAX(0,CC$139-CC$140)*12/(CC$92+CC$110+CC$128))</f>
        <v>0</v>
      </c>
      <c r="CD133" s="312">
        <f t="shared" si="212"/>
        <v>0</v>
      </c>
      <c r="CE133" s="312">
        <f t="shared" si="212"/>
        <v>0</v>
      </c>
      <c r="CF133" s="312">
        <f t="shared" si="212"/>
        <v>0</v>
      </c>
      <c r="CG133" s="312">
        <f t="shared" si="212"/>
        <v>0</v>
      </c>
      <c r="CH133" s="312">
        <f t="shared" si="212"/>
        <v>0</v>
      </c>
      <c r="CI133" s="312">
        <f t="shared" si="212"/>
        <v>0</v>
      </c>
      <c r="CJ133" s="312">
        <f t="shared" si="212"/>
        <v>0</v>
      </c>
      <c r="CK133" s="312">
        <f t="shared" si="212"/>
        <v>0</v>
      </c>
      <c r="CL133" s="312">
        <f t="shared" si="212"/>
        <v>0</v>
      </c>
      <c r="CM133" s="312">
        <f t="shared" si="212"/>
        <v>0</v>
      </c>
      <c r="CN133" s="312">
        <f t="shared" si="212"/>
        <v>0</v>
      </c>
      <c r="CO133" s="312">
        <f t="shared" si="212"/>
        <v>0</v>
      </c>
      <c r="CP133" s="312">
        <f t="shared" si="212"/>
        <v>0</v>
      </c>
      <c r="CQ133" s="312">
        <f t="shared" si="212"/>
        <v>0</v>
      </c>
      <c r="CR133" s="312">
        <f t="shared" si="212"/>
        <v>0</v>
      </c>
      <c r="CS133" s="312">
        <f t="shared" si="212"/>
        <v>0</v>
      </c>
      <c r="CT133" s="312">
        <f t="shared" si="212"/>
        <v>0</v>
      </c>
      <c r="CU133" s="312">
        <f t="shared" si="212"/>
        <v>0</v>
      </c>
      <c r="CV133" s="312">
        <f t="shared" si="212"/>
        <v>0</v>
      </c>
      <c r="CW133" s="312">
        <f t="shared" si="212"/>
        <v>0</v>
      </c>
      <c r="CX133" s="312">
        <f t="shared" si="212"/>
        <v>0</v>
      </c>
      <c r="CY133" s="312">
        <f t="shared" si="212"/>
        <v>0</v>
      </c>
      <c r="CZ133" s="312">
        <f t="shared" si="212"/>
        <v>0</v>
      </c>
      <c r="DA133" s="312">
        <f t="shared" si="212"/>
        <v>0</v>
      </c>
      <c r="DB133" s="312">
        <f t="shared" si="212"/>
        <v>0</v>
      </c>
      <c r="DC133" s="312">
        <f t="shared" si="212"/>
        <v>0</v>
      </c>
      <c r="DD133" s="312">
        <f t="shared" si="212"/>
        <v>0</v>
      </c>
      <c r="DE133" s="312">
        <f t="shared" si="212"/>
        <v>0</v>
      </c>
      <c r="DF133" s="312">
        <f t="shared" si="212"/>
        <v>0</v>
      </c>
      <c r="DG133" s="312">
        <f t="shared" si="212"/>
        <v>0</v>
      </c>
      <c r="DH133" s="312">
        <f t="shared" si="212"/>
        <v>0</v>
      </c>
      <c r="DI133" s="312">
        <f t="shared" ref="DI133:DV133" si="213">IF((DI$92+DI$110+DI$128)=0,0,MAX(0,DI$139-DI$140)*12/(DI$92+DI$110+DI$128))</f>
        <v>0</v>
      </c>
      <c r="DJ133" s="312">
        <f t="shared" si="213"/>
        <v>0</v>
      </c>
      <c r="DK133" s="312">
        <f t="shared" si="213"/>
        <v>0</v>
      </c>
      <c r="DL133" s="312">
        <f t="shared" si="213"/>
        <v>0</v>
      </c>
      <c r="DM133" s="312">
        <f t="shared" si="213"/>
        <v>0</v>
      </c>
      <c r="DN133" s="312">
        <f t="shared" si="213"/>
        <v>0</v>
      </c>
      <c r="DO133" s="312">
        <f t="shared" si="213"/>
        <v>0</v>
      </c>
      <c r="DP133" s="312">
        <f t="shared" si="213"/>
        <v>0</v>
      </c>
      <c r="DQ133" s="312">
        <f t="shared" si="213"/>
        <v>0</v>
      </c>
      <c r="DR133" s="312">
        <f t="shared" si="213"/>
        <v>0</v>
      </c>
      <c r="DS133" s="312">
        <f t="shared" si="213"/>
        <v>0</v>
      </c>
      <c r="DT133" s="312">
        <f t="shared" si="213"/>
        <v>0</v>
      </c>
      <c r="DU133" s="312">
        <f t="shared" si="213"/>
        <v>0</v>
      </c>
      <c r="DV133" s="312">
        <f t="shared" si="213"/>
        <v>0</v>
      </c>
    </row>
    <row r="134" spans="1:126" ht="15" customHeight="1" x14ac:dyDescent="0.35">
      <c r="A134" s="307" t="s">
        <v>1598</v>
      </c>
      <c r="B134" s="308" t="s">
        <v>83</v>
      </c>
      <c r="C134" s="1146" t="s">
        <v>1599</v>
      </c>
      <c r="D134" s="1147"/>
      <c r="F134" s="312">
        <f>IF('VALUATION &amp; RETURNS'!$DA$8*1000000*INDEX($O$31:$O$33,MATCH($B$6,$J$31:$J$33,0))=0,0,(F$92+F$110+F$128)/('VALUATION &amp; RETURNS'!$DA$8*1000000*INDEX($O$31:$O$33,MATCH($B$6,$J$31:$J$33,0))))</f>
        <v>2.4612968984364662E-2</v>
      </c>
      <c r="G134" s="312">
        <f>IF('VALUATION &amp; RETURNS'!$DA$8*1000000*INDEX($O$31:$O$33,MATCH($B$6,$J$31:$J$33,0))=0,0,(G$92+G$110+G$128)/('VALUATION &amp; RETURNS'!$DA$8*1000000*INDEX($O$31:$O$33,MATCH($B$6,$J$31:$J$33,0))))</f>
        <v>2.6154310959866114E-2</v>
      </c>
      <c r="H134" s="312">
        <f>IF('VALUATION &amp; RETURNS'!$DA$8*1000000*INDEX($O$31:$O$33,MATCH($B$6,$J$31:$J$33,0))=0,0,(H$92+H$110+H$128)/('VALUATION &amp; RETURNS'!$DA$8*1000000*INDEX($O$31:$O$33,MATCH($B$6,$J$31:$J$33,0))))</f>
        <v>1.7187002696033005E-2</v>
      </c>
      <c r="I134" s="312">
        <f>IF('VALUATION &amp; RETURNS'!$DA$8*1000000*INDEX($O$31:$O$33,MATCH($B$6,$J$31:$J$33,0))=0,0,(I$92+I$110+I$128)/('VALUATION &amp; RETURNS'!$DA$8*1000000*INDEX($O$31:$O$33,MATCH($B$6,$J$31:$J$33,0))))</f>
        <v>1.9629325045234017E-2</v>
      </c>
      <c r="J134" s="312">
        <f>IF('VALUATION &amp; RETURNS'!$DA$8*1000000*INDEX($O$31:$O$33,MATCH($B$6,$J$31:$J$33,0))=0,0,(J$92+J$110+J$128)/('VALUATION &amp; RETURNS'!$DA$8*1000000*INDEX($O$31:$O$33,MATCH($B$6,$J$31:$J$33,0))))</f>
        <v>2.2911490004625511E-2</v>
      </c>
      <c r="K134" s="312">
        <f>IF('VALUATION &amp; RETURNS'!$DA$8*1000000*INDEX($O$31:$O$33,MATCH($B$6,$J$31:$J$33,0))=0,0,(K$92+K$110+K$128)/('VALUATION &amp; RETURNS'!$DA$8*1000000*INDEX($O$31:$O$33,MATCH($B$6,$J$31:$J$33,0))))</f>
        <v>2.7310205831163149E-2</v>
      </c>
      <c r="L134" s="312">
        <f>IF('VALUATION &amp; RETURNS'!$DA$8*1000000*INDEX($O$31:$O$33,MATCH($B$6,$J$31:$J$33,0))=0,0,(L$92+L$110+L$128)/('VALUATION &amp; RETURNS'!$DA$8*1000000*INDEX($O$31:$O$33,MATCH($B$6,$J$31:$J$33,0))))</f>
        <v>3.316906702052163E-2</v>
      </c>
      <c r="M134" s="312">
        <f>IF('VALUATION &amp; RETURNS'!$DA$8*1000000*INDEX($O$31:$O$33,MATCH($B$6,$J$31:$J$33,0))=0,0,(M$92+M$110+M$128)/('VALUATION &amp; RETURNS'!$DA$8*1000000*INDEX($O$31:$O$33,MATCH($B$6,$J$31:$J$33,0))))</f>
        <v>4.0857978412903936E-2</v>
      </c>
      <c r="N134" s="312">
        <f>IF('VALUATION &amp; RETURNS'!$DA$8*1000000*INDEX($O$31:$O$33,MATCH($B$6,$J$31:$J$33,0))=0,0,(N$92+N$110+N$128)/('VALUATION &amp; RETURNS'!$DA$8*1000000*INDEX($O$31:$O$33,MATCH($B$6,$J$31:$J$33,0))))</f>
        <v>5.0747022728312711E-2</v>
      </c>
      <c r="O134" s="312">
        <f>IF('VALUATION &amp; RETURNS'!$DA$8*1000000*INDEX($O$31:$O$33,MATCH($B$6,$J$31:$J$33,0))=0,0,(O$92+O$110+O$128)/('VALUATION &amp; RETURNS'!$DA$8*1000000*INDEX($O$31:$O$33,MATCH($B$6,$J$31:$J$33,0))))</f>
        <v>6.301098980256796E-2</v>
      </c>
      <c r="P134" s="312">
        <f>IF('VALUATION &amp; RETURNS'!$DA$8*1000000*INDEX($O$31:$O$33,MATCH($B$6,$J$31:$J$33,0))=0,0,(P$92+P$110+P$128)/('VALUATION &amp; RETURNS'!$DA$8*1000000*INDEX($O$31:$O$33,MATCH($B$6,$J$31:$J$33,0))))</f>
        <v>7.8095643666427114E-2</v>
      </c>
      <c r="Q134" s="312">
        <f>IF('VALUATION &amp; RETURNS'!$DA$8*1000000*INDEX($O$31:$O$33,MATCH($B$6,$J$31:$J$33,0))=0,0,(Q$92+Q$110+Q$128)/('VALUATION &amp; RETURNS'!$DA$8*1000000*INDEX($O$31:$O$33,MATCH($B$6,$J$31:$J$33,0))))</f>
        <v>9.6292880820036175E-2</v>
      </c>
      <c r="R134" s="312">
        <f>IF('VALUATION &amp; RETURNS'!$DA$8*1000000*INDEX($O$31:$O$33,MATCH($B$6,$J$31:$J$33,0))=0,0,(R$92+R$110+R$128)/('VALUATION &amp; RETURNS'!$DA$8*1000000*INDEX($O$31:$O$33,MATCH($B$6,$J$31:$J$33,0))))</f>
        <v>0.11771206469044738</v>
      </c>
      <c r="S134" s="312">
        <f>IF('VALUATION &amp; RETURNS'!$DA$8*1000000*INDEX($O$31:$O$33,MATCH($B$6,$J$31:$J$33,0))=0,0,(S$92+S$110+S$128)/('VALUATION &amp; RETURNS'!$DA$8*1000000*INDEX($O$31:$O$33,MATCH($B$6,$J$31:$J$33,0))))</f>
        <v>0.13894710942938621</v>
      </c>
      <c r="T134" s="312">
        <f>IF('VALUATION &amp; RETURNS'!$DA$8*1000000*INDEX($O$31:$O$33,MATCH($B$6,$J$31:$J$33,0))=0,0,(T$92+T$110+T$128)/('VALUATION &amp; RETURNS'!$DA$8*1000000*INDEX($O$31:$O$33,MATCH($B$6,$J$31:$J$33,0))))</f>
        <v>0.15270460937232783</v>
      </c>
      <c r="U134" s="312">
        <f>IF('VALUATION &amp; RETURNS'!$DA$8*1000000*INDEX($O$31:$O$33,MATCH($B$6,$J$31:$J$33,0))=0,0,(U$92+U$110+U$128)/('VALUATION &amp; RETURNS'!$DA$8*1000000*INDEX($O$31:$O$33,MATCH($B$6,$J$31:$J$33,0))))</f>
        <v>0.16771029700856699</v>
      </c>
      <c r="V134" s="312">
        <f>IF('VALUATION &amp; RETURNS'!$DA$8*1000000*INDEX($O$31:$O$33,MATCH($B$6,$J$31:$J$33,0))=0,0,(V$92+V$110+V$128)/('VALUATION &amp; RETURNS'!$DA$8*1000000*INDEX($O$31:$O$33,MATCH($B$6,$J$31:$J$33,0))))</f>
        <v>0.18366017635065293</v>
      </c>
      <c r="W134" s="312">
        <f>IF('VALUATION &amp; RETURNS'!$DA$8*1000000*INDEX($O$31:$O$33,MATCH($B$6,$J$31:$J$33,0))=0,0,(W$92+W$110+W$128)/('VALUATION &amp; RETURNS'!$DA$8*1000000*INDEX($O$31:$O$33,MATCH($B$6,$J$31:$J$33,0))))</f>
        <v>0.20017974466595789</v>
      </c>
      <c r="X134" s="312">
        <f>IF('VALUATION &amp; RETURNS'!$DA$8*1000000*INDEX($O$31:$O$33,MATCH($B$6,$J$31:$J$33,0))=0,0,(X$92+X$110+X$128)/('VALUATION &amp; RETURNS'!$DA$8*1000000*INDEX($O$31:$O$33,MATCH($B$6,$J$31:$J$33,0))))</f>
        <v>0.21685041464156846</v>
      </c>
      <c r="Y134" s="312">
        <f>IF('VALUATION &amp; RETURNS'!$DA$8*1000000*INDEX($O$31:$O$33,MATCH($B$6,$J$31:$J$33,0))=0,0,(Y$92+Y$110+Y$128)/('VALUATION &amp; RETURNS'!$DA$8*1000000*INDEX($O$31:$O$33,MATCH($B$6,$J$31:$J$33,0))))</f>
        <v>0.23324156805504573</v>
      </c>
      <c r="Z134" s="312">
        <f>IF('VALUATION &amp; RETURNS'!$DA$8*1000000*INDEX($O$31:$O$33,MATCH($B$6,$J$31:$J$33,0))=0,0,(Z$92+Z$110+Z$128)/('VALUATION &amp; RETURNS'!$DA$8*1000000*INDEX($O$31:$O$33,MATCH($B$6,$J$31:$J$33,0))))</f>
        <v>0.24887742763135404</v>
      </c>
      <c r="AA134" s="312">
        <f>IF('VALUATION &amp; RETURNS'!$DA$8*1000000*INDEX($O$31:$O$33,MATCH($B$6,$J$31:$J$33,0))=0,0,(AA$92+AA$110+AA$128)/('VALUATION &amp; RETURNS'!$DA$8*1000000*INDEX($O$31:$O$33,MATCH($B$6,$J$31:$J$33,0))))</f>
        <v>0.2635400888908202</v>
      </c>
      <c r="AB134" s="312">
        <f>IF('VALUATION &amp; RETURNS'!$DA$8*1000000*INDEX($O$31:$O$33,MATCH($B$6,$J$31:$J$33,0))=0,0,(AB$92+AB$110+AB$128)/('VALUATION &amp; RETURNS'!$DA$8*1000000*INDEX($O$31:$O$33,MATCH($B$6,$J$31:$J$33,0))))</f>
        <v>0.27694911246561316</v>
      </c>
      <c r="AC134" s="312">
        <f>IF('VALUATION &amp; RETURNS'!$DA$8*1000000*INDEX($O$31:$O$33,MATCH($B$6,$J$31:$J$33,0))=0,0,(AC$92+AC$110+AC$128)/('VALUATION &amp; RETURNS'!$DA$8*1000000*INDEX($O$31:$O$33,MATCH($B$6,$J$31:$J$33,0))))</f>
        <v>0.28891012410649886</v>
      </c>
      <c r="AD134" s="312">
        <f>IF('VALUATION &amp; RETURNS'!$DA$8*1000000*INDEX($O$31:$O$33,MATCH($B$6,$J$31:$J$33,0))=0,0,(AD$92+AD$110+AD$128)/('VALUATION &amp; RETURNS'!$DA$8*1000000*INDEX($O$31:$O$33,MATCH($B$6,$J$31:$J$33,0))))</f>
        <v>0.29932019051959063</v>
      </c>
      <c r="AE134" s="312">
        <f>IF('VALUATION &amp; RETURNS'!$DA$8*1000000*INDEX($O$31:$O$33,MATCH($B$6,$J$31:$J$33,0))=0,0,(AE$92+AE$110+AE$128)/('VALUATION &amp; RETURNS'!$DA$8*1000000*INDEX($O$31:$O$33,MATCH($B$6,$J$31:$J$33,0))))</f>
        <v>0.30816384480450038</v>
      </c>
      <c r="AF134" s="312">
        <f>IF('VALUATION &amp; RETURNS'!$DA$8*1000000*INDEX($O$31:$O$33,MATCH($B$6,$J$31:$J$33,0))=0,0,(AF$92+AF$110+AF$128)/('VALUATION &amp; RETURNS'!$DA$8*1000000*INDEX($O$31:$O$33,MATCH($B$6,$J$31:$J$33,0))))</f>
        <v>0.31550140284329842</v>
      </c>
      <c r="AG134" s="312">
        <f>IF('VALUATION &amp; RETURNS'!$DA$8*1000000*INDEX($O$31:$O$33,MATCH($B$6,$J$31:$J$33,0))=0,0,(AG$92+AG$110+AG$128)/('VALUATION &amp; RETURNS'!$DA$8*1000000*INDEX($O$31:$O$33,MATCH($B$6,$J$31:$J$33,0))))</f>
        <v>0.32145207021957917</v>
      </c>
      <c r="AH134" s="312">
        <f>IF('VALUATION &amp; RETURNS'!$DA$8*1000000*INDEX($O$31:$O$33,MATCH($B$6,$J$31:$J$33,0))=0,0,(AH$92+AH$110+AH$128)/('VALUATION &amp; RETURNS'!$DA$8*1000000*INDEX($O$31:$O$33,MATCH($B$6,$J$31:$J$33,0))))</f>
        <v>0.32617466434525794</v>
      </c>
      <c r="AI134" s="312">
        <f>IF('VALUATION &amp; RETURNS'!$DA$8*1000000*INDEX($O$31:$O$33,MATCH($B$6,$J$31:$J$33,0))=0,0,(AI$92+AI$110+AI$128)/('VALUATION &amp; RETURNS'!$DA$8*1000000*INDEX($O$31:$O$33,MATCH($B$6,$J$31:$J$33,0))))</f>
        <v>0.32984859401751104</v>
      </c>
      <c r="AJ134" s="312">
        <f>IF('VALUATION &amp; RETURNS'!$DA$8*1000000*INDEX($O$31:$O$33,MATCH($B$6,$J$31:$J$33,0))=0,0,(AJ$92+AJ$110+AJ$128)/('VALUATION &amp; RETURNS'!$DA$8*1000000*INDEX($O$31:$O$33,MATCH($B$6,$J$31:$J$33,0))))</f>
        <v>0.33134152495726771</v>
      </c>
      <c r="AK134" s="312">
        <f>IF('VALUATION &amp; RETURNS'!$DA$8*1000000*INDEX($O$31:$O$33,MATCH($B$6,$J$31:$J$33,0))=0,0,(AK$92+AK$110+AK$128)/('VALUATION &amp; RETURNS'!$DA$8*1000000*INDEX($O$31:$O$33,MATCH($B$6,$J$31:$J$33,0))))</f>
        <v>0.33140047878784346</v>
      </c>
      <c r="AL134" s="312">
        <f>IF('VALUATION &amp; RETURNS'!$DA$8*1000000*INDEX($O$31:$O$33,MATCH($B$6,$J$31:$J$33,0))=0,0,(AL$92+AL$110+AL$128)/('VALUATION &amp; RETURNS'!$DA$8*1000000*INDEX($O$31:$O$33,MATCH($B$6,$J$31:$J$33,0))))</f>
        <v>0.33124531101740357</v>
      </c>
      <c r="AM134" s="312">
        <f>IF('VALUATION &amp; RETURNS'!$DA$8*1000000*INDEX($O$31:$O$33,MATCH($B$6,$J$31:$J$33,0))=0,0,(AM$92+AM$110+AM$128)/('VALUATION &amp; RETURNS'!$DA$8*1000000*INDEX($O$31:$O$33,MATCH($B$6,$J$31:$J$33,0))))</f>
        <v>0.33125926963561148</v>
      </c>
      <c r="AN134" s="312">
        <f>IF('VALUATION &amp; RETURNS'!$DA$8*1000000*INDEX($O$31:$O$33,MATCH($B$6,$J$31:$J$33,0))=0,0,(AN$92+AN$110+AN$128)/('VALUATION &amp; RETURNS'!$DA$8*1000000*INDEX($O$31:$O$33,MATCH($B$6,$J$31:$J$33,0))))</f>
        <v>0.33116974007857491</v>
      </c>
      <c r="AO134" s="312">
        <f>IF('VALUATION &amp; RETURNS'!$DA$8*1000000*INDEX($O$31:$O$33,MATCH($B$6,$J$31:$J$33,0))=0,0,(AO$92+AO$110+AO$128)/('VALUATION &amp; RETURNS'!$DA$8*1000000*INDEX($O$31:$O$33,MATCH($B$6,$J$31:$J$33,0))))</f>
        <v>0.33111909363444669</v>
      </c>
      <c r="AP134" s="312">
        <f>IF('VALUATION &amp; RETURNS'!$DA$8*1000000*INDEX($O$31:$O$33,MATCH($B$6,$J$31:$J$33,0))=0,0,(AP$92+AP$110+AP$128)/('VALUATION &amp; RETURNS'!$DA$8*1000000*INDEX($O$31:$O$33,MATCH($B$6,$J$31:$J$33,0))))</f>
        <v>0.33100176215288196</v>
      </c>
      <c r="AQ134" s="312">
        <f>IF('VALUATION &amp; RETURNS'!$DA$8*1000000*INDEX($O$31:$O$33,MATCH($B$6,$J$31:$J$33,0))=0,0,(AQ$92+AQ$110+AQ$128)/('VALUATION &amp; RETURNS'!$DA$8*1000000*INDEX($O$31:$O$33,MATCH($B$6,$J$31:$J$33,0))))</f>
        <v>0.3307795431195697</v>
      </c>
      <c r="AR134" s="312">
        <f>IF('VALUATION &amp; RETURNS'!$DA$8*1000000*INDEX($O$31:$O$33,MATCH($B$6,$J$31:$J$33,0))=0,0,(AR$92+AR$110+AR$128)/('VALUATION &amp; RETURNS'!$DA$8*1000000*INDEX($O$31:$O$33,MATCH($B$6,$J$31:$J$33,0))))</f>
        <v>0.33034268920072785</v>
      </c>
      <c r="AS134" s="312">
        <f>IF('VALUATION &amp; RETURNS'!$DA$8*1000000*INDEX($O$31:$O$33,MATCH($B$6,$J$31:$J$33,0))=0,0,(AS$92+AS$110+AS$128)/('VALUATION &amp; RETURNS'!$DA$8*1000000*INDEX($O$31:$O$33,MATCH($B$6,$J$31:$J$33,0))))</f>
        <v>0.32997348182327835</v>
      </c>
      <c r="AT134" s="312">
        <f>IF('VALUATION &amp; RETURNS'!$DA$8*1000000*INDEX($O$31:$O$33,MATCH($B$6,$J$31:$J$33,0))=0,0,(AT$92+AT$110+AT$128)/('VALUATION &amp; RETURNS'!$DA$8*1000000*INDEX($O$31:$O$33,MATCH($B$6,$J$31:$J$33,0))))</f>
        <v>0.32997348182327835</v>
      </c>
      <c r="AU134" s="312">
        <f>IF('VALUATION &amp; RETURNS'!$DA$8*1000000*INDEX($O$31:$O$33,MATCH($B$6,$J$31:$J$33,0))=0,0,(AU$92+AU$110+AU$128)/('VALUATION &amp; RETURNS'!$DA$8*1000000*INDEX($O$31:$O$33,MATCH($B$6,$J$31:$J$33,0))))</f>
        <v>0.32997348182327835</v>
      </c>
      <c r="AV134" s="312">
        <f>IF('VALUATION &amp; RETURNS'!$DA$8*1000000*INDEX($O$31:$O$33,MATCH($B$6,$J$31:$J$33,0))=0,0,(AV$92+AV$110+AV$128)/('VALUATION &amp; RETURNS'!$DA$8*1000000*INDEX($O$31:$O$33,MATCH($B$6,$J$31:$J$33,0))))</f>
        <v>0.32997348182327835</v>
      </c>
      <c r="AW134" s="312">
        <f>IF('VALUATION &amp; RETURNS'!$DA$8*1000000*INDEX($O$31:$O$33,MATCH($B$6,$J$31:$J$33,0))=0,0,(AW$92+AW$110+AW$128)/('VALUATION &amp; RETURNS'!$DA$8*1000000*INDEX($O$31:$O$33,MATCH($B$6,$J$31:$J$33,0))))</f>
        <v>0.32997348182327835</v>
      </c>
      <c r="AX134" s="312">
        <f>IF('VALUATION &amp; RETURNS'!$DA$8*1000000*INDEX($O$31:$O$33,MATCH($B$6,$J$31:$J$33,0))=0,0,(AX$92+AX$110+AX$128)/('VALUATION &amp; RETURNS'!$DA$8*1000000*INDEX($O$31:$O$33,MATCH($B$6,$J$31:$J$33,0))))</f>
        <v>0.32997348182327835</v>
      </c>
      <c r="AY134" s="312">
        <f>IF('VALUATION &amp; RETURNS'!$DA$8*1000000*INDEX($O$31:$O$33,MATCH($B$6,$J$31:$J$33,0))=0,0,(AY$92+AY$110+AY$128)/('VALUATION &amp; RETURNS'!$DA$8*1000000*INDEX($O$31:$O$33,MATCH($B$6,$J$31:$J$33,0))))</f>
        <v>0.32997348182327835</v>
      </c>
      <c r="AZ134" s="312">
        <f>IF('VALUATION &amp; RETURNS'!$DA$8*1000000*INDEX($O$31:$O$33,MATCH($B$6,$J$31:$J$33,0))=0,0,(AZ$92+AZ$110+AZ$128)/('VALUATION &amp; RETURNS'!$DA$8*1000000*INDEX($O$31:$O$33,MATCH($B$6,$J$31:$J$33,0))))</f>
        <v>0.32997348182327835</v>
      </c>
      <c r="BA134" s="312">
        <f>IF('VALUATION &amp; RETURNS'!$DA$8*1000000*INDEX($O$31:$O$33,MATCH($B$6,$J$31:$J$33,0))=0,0,(BA$92+BA$110+BA$128)/('VALUATION &amp; RETURNS'!$DA$8*1000000*INDEX($O$31:$O$33,MATCH($B$6,$J$31:$J$33,0))))</f>
        <v>0.32997348182327835</v>
      </c>
      <c r="BB134" s="312">
        <f>IF('VALUATION &amp; RETURNS'!$DA$8*1000000*INDEX($O$31:$O$33,MATCH($B$6,$J$31:$J$33,0))=0,0,(BB$92+BB$110+BB$128)/('VALUATION &amp; RETURNS'!$DA$8*1000000*INDEX($O$31:$O$33,MATCH($B$6,$J$31:$J$33,0))))</f>
        <v>0.32997348182327835</v>
      </c>
      <c r="BC134" s="312">
        <f>IF('VALUATION &amp; RETURNS'!$DA$8*1000000*INDEX($O$31:$O$33,MATCH($B$6,$J$31:$J$33,0))=0,0,(BC$92+BC$110+BC$128)/('VALUATION &amp; RETURNS'!$DA$8*1000000*INDEX($O$31:$O$33,MATCH($B$6,$J$31:$J$33,0))))</f>
        <v>0.33327321664151111</v>
      </c>
      <c r="BD134" s="312">
        <f>IF('VALUATION &amp; RETURNS'!$DA$8*1000000*INDEX($O$31:$O$33,MATCH($B$6,$J$31:$J$33,0))=0,0,(BD$92+BD$110+BD$128)/('VALUATION &amp; RETURNS'!$DA$8*1000000*INDEX($O$31:$O$33,MATCH($B$6,$J$31:$J$33,0))))</f>
        <v>0.33129709281271258</v>
      </c>
      <c r="BE134" s="312">
        <f>IF('VALUATION &amp; RETURNS'!$DA$8*1000000*INDEX($O$31:$O$33,MATCH($B$6,$J$31:$J$33,0))=0,0,(BE$92+BE$110+BE$128)/('VALUATION &amp; RETURNS'!$DA$8*1000000*INDEX($O$31:$O$33,MATCH($B$6,$J$31:$J$33,0))))</f>
        <v>0.32928601528453338</v>
      </c>
      <c r="BF134" s="312">
        <f>IF('VALUATION &amp; RETURNS'!$DA$8*1000000*INDEX($O$31:$O$33,MATCH($B$6,$J$31:$J$33,0))=0,0,(BF$92+BF$110+BF$128)/('VALUATION &amp; RETURNS'!$DA$8*1000000*INDEX($O$31:$O$33,MATCH($B$6,$J$31:$J$33,0))))</f>
        <v>0.3272953581341087</v>
      </c>
      <c r="BG134" s="312">
        <f>IF('VALUATION &amp; RETURNS'!$DA$8*1000000*INDEX($O$31:$O$33,MATCH($B$6,$J$31:$J$33,0))=0,0,(BG$92+BG$110+BG$128)/('VALUATION &amp; RETURNS'!$DA$8*1000000*INDEX($O$31:$O$33,MATCH($B$6,$J$31:$J$33,0))))</f>
        <v>0.325268949522933</v>
      </c>
      <c r="BH134" s="312">
        <f>IF('VALUATION &amp; RETURNS'!$DA$8*1000000*INDEX($O$31:$O$33,MATCH($B$6,$J$31:$J$33,0))=0,0,(BH$92+BH$110+BH$128)/('VALUATION &amp; RETURNS'!$DA$8*1000000*INDEX($O$31:$O$33,MATCH($B$6,$J$31:$J$33,0))))</f>
        <v>0.32326609020617808</v>
      </c>
      <c r="BI134" s="312">
        <f>IF('VALUATION &amp; RETURNS'!$DA$8*1000000*INDEX($O$31:$O$33,MATCH($B$6,$J$31:$J$33,0))=0,0,(BI$92+BI$110+BI$128)/('VALUATION &amp; RETURNS'!$DA$8*1000000*INDEX($O$31:$O$33,MATCH($B$6,$J$31:$J$33,0))))</f>
        <v>0.32125449558216501</v>
      </c>
      <c r="BJ134" s="312">
        <f>IF('VALUATION &amp; RETURNS'!$DA$8*1000000*INDEX($O$31:$O$33,MATCH($B$6,$J$31:$J$33,0))=0,0,(BJ$92+BJ$110+BJ$128)/('VALUATION &amp; RETURNS'!$DA$8*1000000*INDEX($O$31:$O$33,MATCH($B$6,$J$31:$J$33,0))))</f>
        <v>0.31915052115404491</v>
      </c>
      <c r="BK134" s="312">
        <f>IF('VALUATION &amp; RETURNS'!$DA$8*1000000*INDEX($O$31:$O$33,MATCH($B$6,$J$31:$J$33,0))=0,0,(BK$92+BK$110+BK$128)/('VALUATION &amp; RETURNS'!$DA$8*1000000*INDEX($O$31:$O$33,MATCH($B$6,$J$31:$J$33,0))))</f>
        <v>0.31712655373711091</v>
      </c>
      <c r="BL134" s="312">
        <f>IF('VALUATION &amp; RETURNS'!$DA$8*1000000*INDEX($O$31:$O$33,MATCH($B$6,$J$31:$J$33,0))=0,0,(BL$92+BL$110+BL$128)/('VALUATION &amp; RETURNS'!$DA$8*1000000*INDEX($O$31:$O$33,MATCH($B$6,$J$31:$J$33,0))))</f>
        <v>0.3150535870883785</v>
      </c>
      <c r="BM134" s="312">
        <f>IF('VALUATION &amp; RETURNS'!$DA$8*1000000*INDEX($O$31:$O$33,MATCH($B$6,$J$31:$J$33,0))=0,0,(BM$92+BM$110+BM$128)/('VALUATION &amp; RETURNS'!$DA$8*1000000*INDEX($O$31:$O$33,MATCH($B$6,$J$31:$J$33,0))))</f>
        <v>0.31299834360132373</v>
      </c>
      <c r="BN134" s="312">
        <f>IF('VALUATION &amp; RETURNS'!$DA$8*1000000*INDEX($O$31:$O$33,MATCH($B$6,$J$31:$J$33,0))=0,0,(BN$92+BN$110+BN$128)/('VALUATION &amp; RETURNS'!$DA$8*1000000*INDEX($O$31:$O$33,MATCH($B$6,$J$31:$J$33,0))))</f>
        <v>0.31090955736363812</v>
      </c>
      <c r="BO134" s="312">
        <f>IF('VALUATION &amp; RETURNS'!$DA$8*1000000*INDEX($O$31:$O$33,MATCH($B$6,$J$31:$J$33,0))=0,0,(BO$92+BO$110+BO$128)/('VALUATION &amp; RETURNS'!$DA$8*1000000*INDEX($O$31:$O$33,MATCH($B$6,$J$31:$J$33,0))))</f>
        <v>1.4369282395977302E-3</v>
      </c>
      <c r="BP134" s="312">
        <f>IF('VALUATION &amp; RETURNS'!$DA$8*1000000*INDEX($O$31:$O$33,MATCH($B$6,$J$31:$J$33,0))=0,0,(BP$92+BP$110+BP$128)/('VALUATION &amp; RETURNS'!$DA$8*1000000*INDEX($O$31:$O$33,MATCH($B$6,$J$31:$J$33,0))))</f>
        <v>0</v>
      </c>
      <c r="BQ134" s="312">
        <f>IF('VALUATION &amp; RETURNS'!$DA$8*1000000*INDEX($O$31:$O$33,MATCH($B$6,$J$31:$J$33,0))=0,0,(BQ$92+BQ$110+BQ$128)/('VALUATION &amp; RETURNS'!$DA$8*1000000*INDEX($O$31:$O$33,MATCH($B$6,$J$31:$J$33,0))))</f>
        <v>0</v>
      </c>
      <c r="BR134" s="312">
        <f>IF('VALUATION &amp; RETURNS'!$DA$8*1000000*INDEX($O$31:$O$33,MATCH($B$6,$J$31:$J$33,0))=0,0,(BR$92+BR$110+BR$128)/('VALUATION &amp; RETURNS'!$DA$8*1000000*INDEX($O$31:$O$33,MATCH($B$6,$J$31:$J$33,0))))</f>
        <v>0</v>
      </c>
      <c r="BS134" s="312">
        <f>IF('VALUATION &amp; RETURNS'!$DA$8*1000000*INDEX($O$31:$O$33,MATCH($B$6,$J$31:$J$33,0))=0,0,(BS$92+BS$110+BS$128)/('VALUATION &amp; RETURNS'!$DA$8*1000000*INDEX($O$31:$O$33,MATCH($B$6,$J$31:$J$33,0))))</f>
        <v>0</v>
      </c>
      <c r="BT134" s="312">
        <f>IF('VALUATION &amp; RETURNS'!$DA$8*1000000*INDEX($O$31:$O$33,MATCH($B$6,$J$31:$J$33,0))=0,0,(BT$92+BT$110+BT$128)/('VALUATION &amp; RETURNS'!$DA$8*1000000*INDEX($O$31:$O$33,MATCH($B$6,$J$31:$J$33,0))))</f>
        <v>0</v>
      </c>
      <c r="BU134" s="312">
        <f>IF('VALUATION &amp; RETURNS'!$DA$8*1000000*INDEX($O$31:$O$33,MATCH($B$6,$J$31:$J$33,0))=0,0,(BU$92+BU$110+BU$128)/('VALUATION &amp; RETURNS'!$DA$8*1000000*INDEX($O$31:$O$33,MATCH($B$6,$J$31:$J$33,0))))</f>
        <v>0</v>
      </c>
      <c r="BV134" s="312">
        <f>IF('VALUATION &amp; RETURNS'!$DA$8*1000000*INDEX($O$31:$O$33,MATCH($B$6,$J$31:$J$33,0))=0,0,(BV$92+BV$110+BV$128)/('VALUATION &amp; RETURNS'!$DA$8*1000000*INDEX($O$31:$O$33,MATCH($B$6,$J$31:$J$33,0))))</f>
        <v>0</v>
      </c>
      <c r="BW134" s="312">
        <f>IF('VALUATION &amp; RETURNS'!$DA$8*1000000*INDEX($O$31:$O$33,MATCH($B$6,$J$31:$J$33,0))=0,0,(BW$92+BW$110+BW$128)/('VALUATION &amp; RETURNS'!$DA$8*1000000*INDEX($O$31:$O$33,MATCH($B$6,$J$31:$J$33,0))))</f>
        <v>0</v>
      </c>
      <c r="BX134" s="312">
        <f>IF('VALUATION &amp; RETURNS'!$DA$8*1000000*INDEX($O$31:$O$33,MATCH($B$6,$J$31:$J$33,0))=0,0,(BX$92+BX$110+BX$128)/('VALUATION &amp; RETURNS'!$DA$8*1000000*INDEX($O$31:$O$33,MATCH($B$6,$J$31:$J$33,0))))</f>
        <v>0</v>
      </c>
      <c r="BY134" s="312">
        <f>IF('VALUATION &amp; RETURNS'!$DA$8*1000000*INDEX($O$31:$O$33,MATCH($B$6,$J$31:$J$33,0))=0,0,(BY$92+BY$110+BY$128)/('VALUATION &amp; RETURNS'!$DA$8*1000000*INDEX($O$31:$O$33,MATCH($B$6,$J$31:$J$33,0))))</f>
        <v>0</v>
      </c>
      <c r="BZ134" s="312">
        <f>IF('VALUATION &amp; RETURNS'!$DA$8*1000000*INDEX($O$31:$O$33,MATCH($B$6,$J$31:$J$33,0))=0,0,(BZ$92+BZ$110+BZ$128)/('VALUATION &amp; RETURNS'!$DA$8*1000000*INDEX($O$31:$O$33,MATCH($B$6,$J$31:$J$33,0))))</f>
        <v>0</v>
      </c>
      <c r="CA134" s="312">
        <f>IF('VALUATION &amp; RETURNS'!$DA$8*1000000*INDEX($O$31:$O$33,MATCH($B$6,$J$31:$J$33,0))=0,0,(CA$92+CA$110+CA$128)/('VALUATION &amp; RETURNS'!$DA$8*1000000*INDEX($O$31:$O$33,MATCH($B$6,$J$31:$J$33,0))))</f>
        <v>0</v>
      </c>
      <c r="CB134" s="312">
        <f>IF('VALUATION &amp; RETURNS'!$DA$8*1000000*INDEX($O$31:$O$33,MATCH($B$6,$J$31:$J$33,0))=0,0,(CB$92+CB$110+CB$128)/('VALUATION &amp; RETURNS'!$DA$8*1000000*INDEX($O$31:$O$33,MATCH($B$6,$J$31:$J$33,0))))</f>
        <v>0</v>
      </c>
      <c r="CC134" s="312">
        <f>IF('VALUATION &amp; RETURNS'!$DA$8*1000000*INDEX($O$31:$O$33,MATCH($B$6,$J$31:$J$33,0))=0,0,(CC$92+CC$110+CC$128)/('VALUATION &amp; RETURNS'!$DA$8*1000000*INDEX($O$31:$O$33,MATCH($B$6,$J$31:$J$33,0))))</f>
        <v>0</v>
      </c>
      <c r="CD134" s="312">
        <f>IF('VALUATION &amp; RETURNS'!$DA$8*1000000*INDEX($O$31:$O$33,MATCH($B$6,$J$31:$J$33,0))=0,0,(CD$92+CD$110+CD$128)/('VALUATION &amp; RETURNS'!$DA$8*1000000*INDEX($O$31:$O$33,MATCH($B$6,$J$31:$J$33,0))))</f>
        <v>0</v>
      </c>
      <c r="CE134" s="312">
        <f>IF('VALUATION &amp; RETURNS'!$DA$8*1000000*INDEX($O$31:$O$33,MATCH($B$6,$J$31:$J$33,0))=0,0,(CE$92+CE$110+CE$128)/('VALUATION &amp; RETURNS'!$DA$8*1000000*INDEX($O$31:$O$33,MATCH($B$6,$J$31:$J$33,0))))</f>
        <v>0</v>
      </c>
      <c r="CF134" s="312">
        <f>IF('VALUATION &amp; RETURNS'!$DA$8*1000000*INDEX($O$31:$O$33,MATCH($B$6,$J$31:$J$33,0))=0,0,(CF$92+CF$110+CF$128)/('VALUATION &amp; RETURNS'!$DA$8*1000000*INDEX($O$31:$O$33,MATCH($B$6,$J$31:$J$33,0))))</f>
        <v>0</v>
      </c>
      <c r="CG134" s="312">
        <f>IF('VALUATION &amp; RETURNS'!$DA$8*1000000*INDEX($O$31:$O$33,MATCH($B$6,$J$31:$J$33,0))=0,0,(CG$92+CG$110+CG$128)/('VALUATION &amp; RETURNS'!$DA$8*1000000*INDEX($O$31:$O$33,MATCH($B$6,$J$31:$J$33,0))))</f>
        <v>0</v>
      </c>
      <c r="CH134" s="312">
        <f>IF('VALUATION &amp; RETURNS'!$DA$8*1000000*INDEX($O$31:$O$33,MATCH($B$6,$J$31:$J$33,0))=0,0,(CH$92+CH$110+CH$128)/('VALUATION &amp; RETURNS'!$DA$8*1000000*INDEX($O$31:$O$33,MATCH($B$6,$J$31:$J$33,0))))</f>
        <v>0</v>
      </c>
      <c r="CI134" s="312">
        <f>IF('VALUATION &amp; RETURNS'!$DA$8*1000000*INDEX($O$31:$O$33,MATCH($B$6,$J$31:$J$33,0))=0,0,(CI$92+CI$110+CI$128)/('VALUATION &amp; RETURNS'!$DA$8*1000000*INDEX($O$31:$O$33,MATCH($B$6,$J$31:$J$33,0))))</f>
        <v>0</v>
      </c>
      <c r="CJ134" s="312">
        <f>IF('VALUATION &amp; RETURNS'!$DA$8*1000000*INDEX($O$31:$O$33,MATCH($B$6,$J$31:$J$33,0))=0,0,(CJ$92+CJ$110+CJ$128)/('VALUATION &amp; RETURNS'!$DA$8*1000000*INDEX($O$31:$O$33,MATCH($B$6,$J$31:$J$33,0))))</f>
        <v>0</v>
      </c>
      <c r="CK134" s="312">
        <f>IF('VALUATION &amp; RETURNS'!$DA$8*1000000*INDEX($O$31:$O$33,MATCH($B$6,$J$31:$J$33,0))=0,0,(CK$92+CK$110+CK$128)/('VALUATION &amp; RETURNS'!$DA$8*1000000*INDEX($O$31:$O$33,MATCH($B$6,$J$31:$J$33,0))))</f>
        <v>0</v>
      </c>
      <c r="CL134" s="312">
        <f>IF('VALUATION &amp; RETURNS'!$DA$8*1000000*INDEX($O$31:$O$33,MATCH($B$6,$J$31:$J$33,0))=0,0,(CL$92+CL$110+CL$128)/('VALUATION &amp; RETURNS'!$DA$8*1000000*INDEX($O$31:$O$33,MATCH($B$6,$J$31:$J$33,0))))</f>
        <v>0</v>
      </c>
      <c r="CM134" s="312">
        <f>IF('VALUATION &amp; RETURNS'!$DA$8*1000000*INDEX($O$31:$O$33,MATCH($B$6,$J$31:$J$33,0))=0,0,(CM$92+CM$110+CM$128)/('VALUATION &amp; RETURNS'!$DA$8*1000000*INDEX($O$31:$O$33,MATCH($B$6,$J$31:$J$33,0))))</f>
        <v>0</v>
      </c>
      <c r="CN134" s="312">
        <f>IF('VALUATION &amp; RETURNS'!$DA$8*1000000*INDEX($O$31:$O$33,MATCH($B$6,$J$31:$J$33,0))=0,0,(CN$92+CN$110+CN$128)/('VALUATION &amp; RETURNS'!$DA$8*1000000*INDEX($O$31:$O$33,MATCH($B$6,$J$31:$J$33,0))))</f>
        <v>0</v>
      </c>
      <c r="CO134" s="312">
        <f>IF('VALUATION &amp; RETURNS'!$DA$8*1000000*INDEX($O$31:$O$33,MATCH($B$6,$J$31:$J$33,0))=0,0,(CO$92+CO$110+CO$128)/('VALUATION &amp; RETURNS'!$DA$8*1000000*INDEX($O$31:$O$33,MATCH($B$6,$J$31:$J$33,0))))</f>
        <v>0</v>
      </c>
      <c r="CP134" s="312">
        <f>IF('VALUATION &amp; RETURNS'!$DA$8*1000000*INDEX($O$31:$O$33,MATCH($B$6,$J$31:$J$33,0))=0,0,(CP$92+CP$110+CP$128)/('VALUATION &amp; RETURNS'!$DA$8*1000000*INDEX($O$31:$O$33,MATCH($B$6,$J$31:$J$33,0))))</f>
        <v>0</v>
      </c>
      <c r="CQ134" s="312">
        <f>IF('VALUATION &amp; RETURNS'!$DA$8*1000000*INDEX($O$31:$O$33,MATCH($B$6,$J$31:$J$33,0))=0,0,(CQ$92+CQ$110+CQ$128)/('VALUATION &amp; RETURNS'!$DA$8*1000000*INDEX($O$31:$O$33,MATCH($B$6,$J$31:$J$33,0))))</f>
        <v>0</v>
      </c>
      <c r="CR134" s="312">
        <f>IF('VALUATION &amp; RETURNS'!$DA$8*1000000*INDEX($O$31:$O$33,MATCH($B$6,$J$31:$J$33,0))=0,0,(CR$92+CR$110+CR$128)/('VALUATION &amp; RETURNS'!$DA$8*1000000*INDEX($O$31:$O$33,MATCH($B$6,$J$31:$J$33,0))))</f>
        <v>0</v>
      </c>
      <c r="CS134" s="312">
        <f>IF('VALUATION &amp; RETURNS'!$DA$8*1000000*INDEX($O$31:$O$33,MATCH($B$6,$J$31:$J$33,0))=0,0,(CS$92+CS$110+CS$128)/('VALUATION &amp; RETURNS'!$DA$8*1000000*INDEX($O$31:$O$33,MATCH($B$6,$J$31:$J$33,0))))</f>
        <v>0</v>
      </c>
      <c r="CT134" s="312">
        <f>IF('VALUATION &amp; RETURNS'!$DA$8*1000000*INDEX($O$31:$O$33,MATCH($B$6,$J$31:$J$33,0))=0,0,(CT$92+CT$110+CT$128)/('VALUATION &amp; RETURNS'!$DA$8*1000000*INDEX($O$31:$O$33,MATCH($B$6,$J$31:$J$33,0))))</f>
        <v>0</v>
      </c>
      <c r="CU134" s="312">
        <f>IF('VALUATION &amp; RETURNS'!$DA$8*1000000*INDEX($O$31:$O$33,MATCH($B$6,$J$31:$J$33,0))=0,0,(CU$92+CU$110+CU$128)/('VALUATION &amp; RETURNS'!$DA$8*1000000*INDEX($O$31:$O$33,MATCH($B$6,$J$31:$J$33,0))))</f>
        <v>0</v>
      </c>
      <c r="CV134" s="312">
        <f>IF('VALUATION &amp; RETURNS'!$DA$8*1000000*INDEX($O$31:$O$33,MATCH($B$6,$J$31:$J$33,0))=0,0,(CV$92+CV$110+CV$128)/('VALUATION &amp; RETURNS'!$DA$8*1000000*INDEX($O$31:$O$33,MATCH($B$6,$J$31:$J$33,0))))</f>
        <v>0</v>
      </c>
      <c r="CW134" s="312">
        <f>IF('VALUATION &amp; RETURNS'!$DA$8*1000000*INDEX($O$31:$O$33,MATCH($B$6,$J$31:$J$33,0))=0,0,(CW$92+CW$110+CW$128)/('VALUATION &amp; RETURNS'!$DA$8*1000000*INDEX($O$31:$O$33,MATCH($B$6,$J$31:$J$33,0))))</f>
        <v>0</v>
      </c>
      <c r="CX134" s="312">
        <f>IF('VALUATION &amp; RETURNS'!$DA$8*1000000*INDEX($O$31:$O$33,MATCH($B$6,$J$31:$J$33,0))=0,0,(CX$92+CX$110+CX$128)/('VALUATION &amp; RETURNS'!$DA$8*1000000*INDEX($O$31:$O$33,MATCH($B$6,$J$31:$J$33,0))))</f>
        <v>0</v>
      </c>
      <c r="CY134" s="312">
        <f>IF('VALUATION &amp; RETURNS'!$DA$8*1000000*INDEX($O$31:$O$33,MATCH($B$6,$J$31:$J$33,0))=0,0,(CY$92+CY$110+CY$128)/('VALUATION &amp; RETURNS'!$DA$8*1000000*INDEX($O$31:$O$33,MATCH($B$6,$J$31:$J$33,0))))</f>
        <v>0</v>
      </c>
      <c r="CZ134" s="312">
        <f>IF('VALUATION &amp; RETURNS'!$DA$8*1000000*INDEX($O$31:$O$33,MATCH($B$6,$J$31:$J$33,0))=0,0,(CZ$92+CZ$110+CZ$128)/('VALUATION &amp; RETURNS'!$DA$8*1000000*INDEX($O$31:$O$33,MATCH($B$6,$J$31:$J$33,0))))</f>
        <v>0</v>
      </c>
      <c r="DA134" s="312">
        <f>IF('VALUATION &amp; RETURNS'!$DA$8*1000000*INDEX($O$31:$O$33,MATCH($B$6,$J$31:$J$33,0))=0,0,(DA$92+DA$110+DA$128)/('VALUATION &amp; RETURNS'!$DA$8*1000000*INDEX($O$31:$O$33,MATCH($B$6,$J$31:$J$33,0))))</f>
        <v>0</v>
      </c>
      <c r="DB134" s="312">
        <f>IF('VALUATION &amp; RETURNS'!$DA$8*1000000*INDEX($O$31:$O$33,MATCH($B$6,$J$31:$J$33,0))=0,0,(DB$92+DB$110+DB$128)/('VALUATION &amp; RETURNS'!$DA$8*1000000*INDEX($O$31:$O$33,MATCH($B$6,$J$31:$J$33,0))))</f>
        <v>0</v>
      </c>
      <c r="DC134" s="312">
        <f>IF('VALUATION &amp; RETURNS'!$DA$8*1000000*INDEX($O$31:$O$33,MATCH($B$6,$J$31:$J$33,0))=0,0,(DC$92+DC$110+DC$128)/('VALUATION &amp; RETURNS'!$DA$8*1000000*INDEX($O$31:$O$33,MATCH($B$6,$J$31:$J$33,0))))</f>
        <v>0</v>
      </c>
      <c r="DD134" s="312">
        <f>IF('VALUATION &amp; RETURNS'!$DA$8*1000000*INDEX($O$31:$O$33,MATCH($B$6,$J$31:$J$33,0))=0,0,(DD$92+DD$110+DD$128)/('VALUATION &amp; RETURNS'!$DA$8*1000000*INDEX($O$31:$O$33,MATCH($B$6,$J$31:$J$33,0))))</f>
        <v>0</v>
      </c>
      <c r="DE134" s="312">
        <f>IF('VALUATION &amp; RETURNS'!$DA$8*1000000*INDEX($O$31:$O$33,MATCH($B$6,$J$31:$J$33,0))=0,0,(DE$92+DE$110+DE$128)/('VALUATION &amp; RETURNS'!$DA$8*1000000*INDEX($O$31:$O$33,MATCH($B$6,$J$31:$J$33,0))))</f>
        <v>0</v>
      </c>
      <c r="DF134" s="312">
        <f>IF('VALUATION &amp; RETURNS'!$DA$8*1000000*INDEX($O$31:$O$33,MATCH($B$6,$J$31:$J$33,0))=0,0,(DF$92+DF$110+DF$128)/('VALUATION &amp; RETURNS'!$DA$8*1000000*INDEX($O$31:$O$33,MATCH($B$6,$J$31:$J$33,0))))</f>
        <v>0</v>
      </c>
      <c r="DG134" s="312">
        <f>IF('VALUATION &amp; RETURNS'!$DA$8*1000000*INDEX($O$31:$O$33,MATCH($B$6,$J$31:$J$33,0))=0,0,(DG$92+DG$110+DG$128)/('VALUATION &amp; RETURNS'!$DA$8*1000000*INDEX($O$31:$O$33,MATCH($B$6,$J$31:$J$33,0))))</f>
        <v>0</v>
      </c>
      <c r="DH134" s="312">
        <f>IF('VALUATION &amp; RETURNS'!$DA$8*1000000*INDEX($O$31:$O$33,MATCH($B$6,$J$31:$J$33,0))=0,0,(DH$92+DH$110+DH$128)/('VALUATION &amp; RETURNS'!$DA$8*1000000*INDEX($O$31:$O$33,MATCH($B$6,$J$31:$J$33,0))))</f>
        <v>0</v>
      </c>
      <c r="DI134" s="312">
        <f>IF('VALUATION &amp; RETURNS'!$DA$8*1000000*INDEX($O$31:$O$33,MATCH($B$6,$J$31:$J$33,0))=0,0,(DI$92+DI$110+DI$128)/('VALUATION &amp; RETURNS'!$DA$8*1000000*INDEX($O$31:$O$33,MATCH($B$6,$J$31:$J$33,0))))</f>
        <v>0</v>
      </c>
      <c r="DJ134" s="312">
        <f>IF('VALUATION &amp; RETURNS'!$DA$8*1000000*INDEX($O$31:$O$33,MATCH($B$6,$J$31:$J$33,0))=0,0,(DJ$92+DJ$110+DJ$128)/('VALUATION &amp; RETURNS'!$DA$8*1000000*INDEX($O$31:$O$33,MATCH($B$6,$J$31:$J$33,0))))</f>
        <v>0</v>
      </c>
      <c r="DK134" s="312">
        <f>IF('VALUATION &amp; RETURNS'!$DA$8*1000000*INDEX($O$31:$O$33,MATCH($B$6,$J$31:$J$33,0))=0,0,(DK$92+DK$110+DK$128)/('VALUATION &amp; RETURNS'!$DA$8*1000000*INDEX($O$31:$O$33,MATCH($B$6,$J$31:$J$33,0))))</f>
        <v>0</v>
      </c>
      <c r="DL134" s="312">
        <f>IF('VALUATION &amp; RETURNS'!$DA$8*1000000*INDEX($O$31:$O$33,MATCH($B$6,$J$31:$J$33,0))=0,0,(DL$92+DL$110+DL$128)/('VALUATION &amp; RETURNS'!$DA$8*1000000*INDEX($O$31:$O$33,MATCH($B$6,$J$31:$J$33,0))))</f>
        <v>0</v>
      </c>
      <c r="DM134" s="312">
        <f>IF('VALUATION &amp; RETURNS'!$DA$8*1000000*INDEX($O$31:$O$33,MATCH($B$6,$J$31:$J$33,0))=0,0,(DM$92+DM$110+DM$128)/('VALUATION &amp; RETURNS'!$DA$8*1000000*INDEX($O$31:$O$33,MATCH($B$6,$J$31:$J$33,0))))</f>
        <v>0</v>
      </c>
      <c r="DN134" s="312">
        <f>IF('VALUATION &amp; RETURNS'!$DA$8*1000000*INDEX($O$31:$O$33,MATCH($B$6,$J$31:$J$33,0))=0,0,(DN$92+DN$110+DN$128)/('VALUATION &amp; RETURNS'!$DA$8*1000000*INDEX($O$31:$O$33,MATCH($B$6,$J$31:$J$33,0))))</f>
        <v>0</v>
      </c>
      <c r="DO134" s="312">
        <f>IF('VALUATION &amp; RETURNS'!$DA$8*1000000*INDEX($O$31:$O$33,MATCH($B$6,$J$31:$J$33,0))=0,0,(DO$92+DO$110+DO$128)/('VALUATION &amp; RETURNS'!$DA$8*1000000*INDEX($O$31:$O$33,MATCH($B$6,$J$31:$J$33,0))))</f>
        <v>0</v>
      </c>
      <c r="DP134" s="312">
        <f>IF('VALUATION &amp; RETURNS'!$DA$8*1000000*INDEX($O$31:$O$33,MATCH($B$6,$J$31:$J$33,0))=0,0,(DP$92+DP$110+DP$128)/('VALUATION &amp; RETURNS'!$DA$8*1000000*INDEX($O$31:$O$33,MATCH($B$6,$J$31:$J$33,0))))</f>
        <v>0</v>
      </c>
      <c r="DQ134" s="312">
        <f>IF('VALUATION &amp; RETURNS'!$DA$8*1000000*INDEX($O$31:$O$33,MATCH($B$6,$J$31:$J$33,0))=0,0,(DQ$92+DQ$110+DQ$128)/('VALUATION &amp; RETURNS'!$DA$8*1000000*INDEX($O$31:$O$33,MATCH($B$6,$J$31:$J$33,0))))</f>
        <v>0</v>
      </c>
      <c r="DR134" s="312">
        <f>IF('VALUATION &amp; RETURNS'!$DA$8*1000000*INDEX($O$31:$O$33,MATCH($B$6,$J$31:$J$33,0))=0,0,(DR$92+DR$110+DR$128)/('VALUATION &amp; RETURNS'!$DA$8*1000000*INDEX($O$31:$O$33,MATCH($B$6,$J$31:$J$33,0))))</f>
        <v>0</v>
      </c>
      <c r="DS134" s="312">
        <f>IF('VALUATION &amp; RETURNS'!$DA$8*1000000*INDEX($O$31:$O$33,MATCH($B$6,$J$31:$J$33,0))=0,0,(DS$92+DS$110+DS$128)/('VALUATION &amp; RETURNS'!$DA$8*1000000*INDEX($O$31:$O$33,MATCH($B$6,$J$31:$J$33,0))))</f>
        <v>0</v>
      </c>
      <c r="DT134" s="312">
        <f>IF('VALUATION &amp; RETURNS'!$DA$8*1000000*INDEX($O$31:$O$33,MATCH($B$6,$J$31:$J$33,0))=0,0,(DT$92+DT$110+DT$128)/('VALUATION &amp; RETURNS'!$DA$8*1000000*INDEX($O$31:$O$33,MATCH($B$6,$J$31:$J$33,0))))</f>
        <v>0</v>
      </c>
      <c r="DU134" s="312">
        <f>IF('VALUATION &amp; RETURNS'!$DA$8*1000000*INDEX($O$31:$O$33,MATCH($B$6,$J$31:$J$33,0))=0,0,(DU$92+DU$110+DU$128)/('VALUATION &amp; RETURNS'!$DA$8*1000000*INDEX($O$31:$O$33,MATCH($B$6,$J$31:$J$33,0))))</f>
        <v>0</v>
      </c>
      <c r="DV134" s="312">
        <f>IF('VALUATION &amp; RETURNS'!$DA$8*1000000*INDEX($O$31:$O$33,MATCH($B$6,$J$31:$J$33,0))=0,0,(DV$92+DV$110+DV$128)/('VALUATION &amp; RETURNS'!$DA$8*1000000*INDEX($O$31:$O$33,MATCH($B$6,$J$31:$J$33,0))))</f>
        <v>0</v>
      </c>
    </row>
    <row r="135" spans="1:126" ht="15" customHeight="1" x14ac:dyDescent="0.35">
      <c r="A135" s="307" t="s">
        <v>1600</v>
      </c>
      <c r="B135" s="308" t="s">
        <v>924</v>
      </c>
      <c r="C135" s="1146" t="s">
        <v>1564</v>
      </c>
      <c r="D135" s="1147"/>
      <c r="F135" s="323" t="str">
        <f t="shared" ref="F135:AK135" si="214">IF(AND(F$64&gt;$B$52,F$128&gt;0.01),"MATURED / OUTSTANDING","OK")</f>
        <v>OK</v>
      </c>
      <c r="G135" s="323" t="str">
        <f t="shared" si="214"/>
        <v>OK</v>
      </c>
      <c r="H135" s="323" t="str">
        <f t="shared" si="214"/>
        <v>OK</v>
      </c>
      <c r="I135" s="323" t="str">
        <f t="shared" si="214"/>
        <v>OK</v>
      </c>
      <c r="J135" s="323" t="str">
        <f t="shared" si="214"/>
        <v>OK</v>
      </c>
      <c r="K135" s="323" t="str">
        <f t="shared" si="214"/>
        <v>OK</v>
      </c>
      <c r="L135" s="323" t="str">
        <f t="shared" si="214"/>
        <v>OK</v>
      </c>
      <c r="M135" s="323" t="str">
        <f t="shared" si="214"/>
        <v>OK</v>
      </c>
      <c r="N135" s="323" t="str">
        <f t="shared" si="214"/>
        <v>OK</v>
      </c>
      <c r="O135" s="323" t="str">
        <f t="shared" si="214"/>
        <v>OK</v>
      </c>
      <c r="P135" s="323" t="str">
        <f t="shared" si="214"/>
        <v>OK</v>
      </c>
      <c r="Q135" s="323" t="str">
        <f t="shared" si="214"/>
        <v>OK</v>
      </c>
      <c r="R135" s="323" t="str">
        <f t="shared" si="214"/>
        <v>OK</v>
      </c>
      <c r="S135" s="323" t="str">
        <f t="shared" si="214"/>
        <v>OK</v>
      </c>
      <c r="T135" s="323" t="str">
        <f t="shared" si="214"/>
        <v>OK</v>
      </c>
      <c r="U135" s="323" t="str">
        <f t="shared" si="214"/>
        <v>OK</v>
      </c>
      <c r="V135" s="323" t="str">
        <f t="shared" si="214"/>
        <v>OK</v>
      </c>
      <c r="W135" s="323" t="str">
        <f t="shared" si="214"/>
        <v>OK</v>
      </c>
      <c r="X135" s="323" t="str">
        <f t="shared" si="214"/>
        <v>OK</v>
      </c>
      <c r="Y135" s="323" t="str">
        <f t="shared" si="214"/>
        <v>OK</v>
      </c>
      <c r="Z135" s="323" t="str">
        <f t="shared" si="214"/>
        <v>OK</v>
      </c>
      <c r="AA135" s="323" t="str">
        <f t="shared" si="214"/>
        <v>OK</v>
      </c>
      <c r="AB135" s="323" t="str">
        <f t="shared" si="214"/>
        <v>OK</v>
      </c>
      <c r="AC135" s="323" t="str">
        <f t="shared" si="214"/>
        <v>OK</v>
      </c>
      <c r="AD135" s="323" t="str">
        <f t="shared" si="214"/>
        <v>OK</v>
      </c>
      <c r="AE135" s="323" t="str">
        <f t="shared" si="214"/>
        <v>OK</v>
      </c>
      <c r="AF135" s="323" t="str">
        <f t="shared" si="214"/>
        <v>OK</v>
      </c>
      <c r="AG135" s="323" t="str">
        <f t="shared" si="214"/>
        <v>OK</v>
      </c>
      <c r="AH135" s="323" t="str">
        <f t="shared" si="214"/>
        <v>OK</v>
      </c>
      <c r="AI135" s="323" t="str">
        <f t="shared" si="214"/>
        <v>OK</v>
      </c>
      <c r="AJ135" s="323" t="str">
        <f t="shared" si="214"/>
        <v>OK</v>
      </c>
      <c r="AK135" s="323" t="str">
        <f t="shared" si="214"/>
        <v>OK</v>
      </c>
      <c r="AL135" s="323" t="str">
        <f t="shared" ref="AL135:BQ135" si="215">IF(AND(AL$64&gt;$B$52,AL$128&gt;0.01),"MATURED / OUTSTANDING","OK")</f>
        <v>OK</v>
      </c>
      <c r="AM135" s="323" t="str">
        <f t="shared" si="215"/>
        <v>OK</v>
      </c>
      <c r="AN135" s="323" t="str">
        <f t="shared" si="215"/>
        <v>OK</v>
      </c>
      <c r="AO135" s="323" t="str">
        <f t="shared" si="215"/>
        <v>OK</v>
      </c>
      <c r="AP135" s="323" t="str">
        <f t="shared" si="215"/>
        <v>OK</v>
      </c>
      <c r="AQ135" s="323" t="str">
        <f t="shared" si="215"/>
        <v>OK</v>
      </c>
      <c r="AR135" s="323" t="str">
        <f t="shared" si="215"/>
        <v>OK</v>
      </c>
      <c r="AS135" s="323" t="str">
        <f t="shared" si="215"/>
        <v>OK</v>
      </c>
      <c r="AT135" s="323" t="str">
        <f t="shared" si="215"/>
        <v>OK</v>
      </c>
      <c r="AU135" s="323" t="str">
        <f t="shared" si="215"/>
        <v>OK</v>
      </c>
      <c r="AV135" s="323" t="str">
        <f t="shared" si="215"/>
        <v>OK</v>
      </c>
      <c r="AW135" s="323" t="str">
        <f t="shared" si="215"/>
        <v>OK</v>
      </c>
      <c r="AX135" s="323" t="str">
        <f t="shared" si="215"/>
        <v>OK</v>
      </c>
      <c r="AY135" s="323" t="str">
        <f t="shared" si="215"/>
        <v>OK</v>
      </c>
      <c r="AZ135" s="323" t="str">
        <f t="shared" si="215"/>
        <v>OK</v>
      </c>
      <c r="BA135" s="323" t="str">
        <f t="shared" si="215"/>
        <v>OK</v>
      </c>
      <c r="BB135" s="323" t="str">
        <f t="shared" si="215"/>
        <v>OK</v>
      </c>
      <c r="BC135" s="323" t="str">
        <f t="shared" si="215"/>
        <v>OK</v>
      </c>
      <c r="BD135" s="323" t="str">
        <f t="shared" si="215"/>
        <v>OK</v>
      </c>
      <c r="BE135" s="323" t="str">
        <f t="shared" si="215"/>
        <v>OK</v>
      </c>
      <c r="BF135" s="323" t="str">
        <f t="shared" si="215"/>
        <v>OK</v>
      </c>
      <c r="BG135" s="323" t="str">
        <f t="shared" si="215"/>
        <v>OK</v>
      </c>
      <c r="BH135" s="323" t="str">
        <f t="shared" si="215"/>
        <v>OK</v>
      </c>
      <c r="BI135" s="323" t="str">
        <f t="shared" si="215"/>
        <v>OK</v>
      </c>
      <c r="BJ135" s="323" t="str">
        <f t="shared" si="215"/>
        <v>OK</v>
      </c>
      <c r="BK135" s="323" t="str">
        <f t="shared" si="215"/>
        <v>OK</v>
      </c>
      <c r="BL135" s="323" t="str">
        <f t="shared" si="215"/>
        <v>OK</v>
      </c>
      <c r="BM135" s="323" t="str">
        <f t="shared" si="215"/>
        <v>OK</v>
      </c>
      <c r="BN135" s="323" t="str">
        <f t="shared" si="215"/>
        <v>OK</v>
      </c>
      <c r="BO135" s="323" t="str">
        <f t="shared" si="215"/>
        <v>OK</v>
      </c>
      <c r="BP135" s="323" t="str">
        <f t="shared" si="215"/>
        <v>OK</v>
      </c>
      <c r="BQ135" s="323" t="str">
        <f t="shared" si="215"/>
        <v>OK</v>
      </c>
      <c r="BR135" s="323" t="str">
        <f t="shared" ref="BR135:CW135" si="216">IF(AND(BR$64&gt;$B$52,BR$128&gt;0.01),"MATURED / OUTSTANDING","OK")</f>
        <v>OK</v>
      </c>
      <c r="BS135" s="323" t="str">
        <f t="shared" si="216"/>
        <v>OK</v>
      </c>
      <c r="BT135" s="323" t="str">
        <f t="shared" si="216"/>
        <v>OK</v>
      </c>
      <c r="BU135" s="323" t="str">
        <f t="shared" si="216"/>
        <v>OK</v>
      </c>
      <c r="BV135" s="323" t="str">
        <f t="shared" si="216"/>
        <v>OK</v>
      </c>
      <c r="BW135" s="323" t="str">
        <f t="shared" si="216"/>
        <v>OK</v>
      </c>
      <c r="BX135" s="323" t="str">
        <f t="shared" si="216"/>
        <v>OK</v>
      </c>
      <c r="BY135" s="323" t="str">
        <f t="shared" si="216"/>
        <v>OK</v>
      </c>
      <c r="BZ135" s="323" t="str">
        <f t="shared" si="216"/>
        <v>OK</v>
      </c>
      <c r="CA135" s="323" t="str">
        <f t="shared" si="216"/>
        <v>OK</v>
      </c>
      <c r="CB135" s="323" t="str">
        <f t="shared" si="216"/>
        <v>OK</v>
      </c>
      <c r="CC135" s="323" t="str">
        <f t="shared" si="216"/>
        <v>OK</v>
      </c>
      <c r="CD135" s="323" t="str">
        <f t="shared" si="216"/>
        <v>OK</v>
      </c>
      <c r="CE135" s="323" t="str">
        <f t="shared" si="216"/>
        <v>OK</v>
      </c>
      <c r="CF135" s="323" t="str">
        <f t="shared" si="216"/>
        <v>OK</v>
      </c>
      <c r="CG135" s="323" t="str">
        <f t="shared" si="216"/>
        <v>OK</v>
      </c>
      <c r="CH135" s="323" t="str">
        <f t="shared" si="216"/>
        <v>OK</v>
      </c>
      <c r="CI135" s="323" t="str">
        <f t="shared" si="216"/>
        <v>OK</v>
      </c>
      <c r="CJ135" s="323" t="str">
        <f t="shared" si="216"/>
        <v>OK</v>
      </c>
      <c r="CK135" s="323" t="str">
        <f t="shared" si="216"/>
        <v>OK</v>
      </c>
      <c r="CL135" s="323" t="str">
        <f t="shared" si="216"/>
        <v>OK</v>
      </c>
      <c r="CM135" s="323" t="str">
        <f t="shared" si="216"/>
        <v>OK</v>
      </c>
      <c r="CN135" s="323" t="str">
        <f t="shared" si="216"/>
        <v>OK</v>
      </c>
      <c r="CO135" s="323" t="str">
        <f t="shared" si="216"/>
        <v>OK</v>
      </c>
      <c r="CP135" s="323" t="str">
        <f t="shared" si="216"/>
        <v>OK</v>
      </c>
      <c r="CQ135" s="323" t="str">
        <f t="shared" si="216"/>
        <v>OK</v>
      </c>
      <c r="CR135" s="323" t="str">
        <f t="shared" si="216"/>
        <v>OK</v>
      </c>
      <c r="CS135" s="323" t="str">
        <f t="shared" si="216"/>
        <v>OK</v>
      </c>
      <c r="CT135" s="323" t="str">
        <f t="shared" si="216"/>
        <v>OK</v>
      </c>
      <c r="CU135" s="323" t="str">
        <f t="shared" si="216"/>
        <v>OK</v>
      </c>
      <c r="CV135" s="323" t="str">
        <f t="shared" si="216"/>
        <v>OK</v>
      </c>
      <c r="CW135" s="323" t="str">
        <f t="shared" si="216"/>
        <v>OK</v>
      </c>
      <c r="CX135" s="323" t="str">
        <f t="shared" ref="CX135:DV135" si="217">IF(AND(CX$64&gt;$B$52,CX$128&gt;0.01),"MATURED / OUTSTANDING","OK")</f>
        <v>OK</v>
      </c>
      <c r="CY135" s="323" t="str">
        <f t="shared" si="217"/>
        <v>OK</v>
      </c>
      <c r="CZ135" s="323" t="str">
        <f t="shared" si="217"/>
        <v>OK</v>
      </c>
      <c r="DA135" s="323" t="str">
        <f t="shared" si="217"/>
        <v>OK</v>
      </c>
      <c r="DB135" s="323" t="str">
        <f t="shared" si="217"/>
        <v>OK</v>
      </c>
      <c r="DC135" s="323" t="str">
        <f t="shared" si="217"/>
        <v>OK</v>
      </c>
      <c r="DD135" s="323" t="str">
        <f t="shared" si="217"/>
        <v>OK</v>
      </c>
      <c r="DE135" s="323" t="str">
        <f t="shared" si="217"/>
        <v>OK</v>
      </c>
      <c r="DF135" s="323" t="str">
        <f t="shared" si="217"/>
        <v>OK</v>
      </c>
      <c r="DG135" s="323" t="str">
        <f t="shared" si="217"/>
        <v>OK</v>
      </c>
      <c r="DH135" s="323" t="str">
        <f t="shared" si="217"/>
        <v>OK</v>
      </c>
      <c r="DI135" s="323" t="str">
        <f t="shared" si="217"/>
        <v>OK</v>
      </c>
      <c r="DJ135" s="323" t="str">
        <f t="shared" si="217"/>
        <v>OK</v>
      </c>
      <c r="DK135" s="323" t="str">
        <f t="shared" si="217"/>
        <v>OK</v>
      </c>
      <c r="DL135" s="323" t="str">
        <f t="shared" si="217"/>
        <v>OK</v>
      </c>
      <c r="DM135" s="323" t="str">
        <f t="shared" si="217"/>
        <v>OK</v>
      </c>
      <c r="DN135" s="323" t="str">
        <f t="shared" si="217"/>
        <v>OK</v>
      </c>
      <c r="DO135" s="323" t="str">
        <f t="shared" si="217"/>
        <v>OK</v>
      </c>
      <c r="DP135" s="323" t="str">
        <f t="shared" si="217"/>
        <v>OK</v>
      </c>
      <c r="DQ135" s="323" t="str">
        <f t="shared" si="217"/>
        <v>OK</v>
      </c>
      <c r="DR135" s="323" t="str">
        <f t="shared" si="217"/>
        <v>OK</v>
      </c>
      <c r="DS135" s="323" t="str">
        <f t="shared" si="217"/>
        <v>OK</v>
      </c>
      <c r="DT135" s="323" t="str">
        <f t="shared" si="217"/>
        <v>OK</v>
      </c>
      <c r="DU135" s="323" t="str">
        <f t="shared" si="217"/>
        <v>OK</v>
      </c>
      <c r="DV135" s="323" t="str">
        <f t="shared" si="217"/>
        <v>OK</v>
      </c>
    </row>
    <row r="136" spans="1:126" ht="15" customHeight="1" x14ac:dyDescent="0.35">
      <c r="A136" s="307" t="s">
        <v>1601</v>
      </c>
      <c r="B136" s="308" t="s">
        <v>1370</v>
      </c>
      <c r="C136" s="1146" t="s">
        <v>1542</v>
      </c>
      <c r="D136" s="1147"/>
      <c r="F136" s="309">
        <f t="shared" ref="F136:AK136" si="218">F$116+F$120-F$124-F$125-F$126-F$127-F$128</f>
        <v>0</v>
      </c>
      <c r="G136" s="309">
        <f t="shared" si="218"/>
        <v>0</v>
      </c>
      <c r="H136" s="309">
        <f t="shared" si="218"/>
        <v>0</v>
      </c>
      <c r="I136" s="309">
        <f t="shared" si="218"/>
        <v>0</v>
      </c>
      <c r="J136" s="309">
        <f t="shared" si="218"/>
        <v>0</v>
      </c>
      <c r="K136" s="309">
        <f t="shared" si="218"/>
        <v>0</v>
      </c>
      <c r="L136" s="309">
        <f t="shared" si="218"/>
        <v>0</v>
      </c>
      <c r="M136" s="309">
        <f t="shared" si="218"/>
        <v>0</v>
      </c>
      <c r="N136" s="309">
        <f t="shared" si="218"/>
        <v>0</v>
      </c>
      <c r="O136" s="309">
        <f t="shared" si="218"/>
        <v>0</v>
      </c>
      <c r="P136" s="309">
        <f t="shared" si="218"/>
        <v>0</v>
      </c>
      <c r="Q136" s="309">
        <f t="shared" si="218"/>
        <v>0</v>
      </c>
      <c r="R136" s="309">
        <f t="shared" si="218"/>
        <v>0</v>
      </c>
      <c r="S136" s="309">
        <f t="shared" si="218"/>
        <v>0</v>
      </c>
      <c r="T136" s="309">
        <f t="shared" si="218"/>
        <v>0</v>
      </c>
      <c r="U136" s="309">
        <f t="shared" si="218"/>
        <v>0</v>
      </c>
      <c r="V136" s="309">
        <f t="shared" si="218"/>
        <v>0</v>
      </c>
      <c r="W136" s="309">
        <f t="shared" si="218"/>
        <v>0</v>
      </c>
      <c r="X136" s="309">
        <f t="shared" si="218"/>
        <v>0</v>
      </c>
      <c r="Y136" s="309">
        <f t="shared" si="218"/>
        <v>0</v>
      </c>
      <c r="Z136" s="309">
        <f t="shared" si="218"/>
        <v>0</v>
      </c>
      <c r="AA136" s="309">
        <f t="shared" si="218"/>
        <v>0</v>
      </c>
      <c r="AB136" s="309">
        <f t="shared" si="218"/>
        <v>0</v>
      </c>
      <c r="AC136" s="309">
        <f t="shared" si="218"/>
        <v>0</v>
      </c>
      <c r="AD136" s="309">
        <f t="shared" si="218"/>
        <v>0</v>
      </c>
      <c r="AE136" s="309">
        <f t="shared" si="218"/>
        <v>0</v>
      </c>
      <c r="AF136" s="309">
        <f t="shared" si="218"/>
        <v>0</v>
      </c>
      <c r="AG136" s="309">
        <f t="shared" si="218"/>
        <v>0</v>
      </c>
      <c r="AH136" s="309">
        <f t="shared" si="218"/>
        <v>0</v>
      </c>
      <c r="AI136" s="309">
        <f t="shared" si="218"/>
        <v>0</v>
      </c>
      <c r="AJ136" s="309">
        <f t="shared" si="218"/>
        <v>0</v>
      </c>
      <c r="AK136" s="309">
        <f t="shared" si="218"/>
        <v>0</v>
      </c>
      <c r="AL136" s="309">
        <f t="shared" ref="AL136:BQ136" si="219">AL$116+AL$120-AL$124-AL$125-AL$126-AL$127-AL$128</f>
        <v>0</v>
      </c>
      <c r="AM136" s="309">
        <f t="shared" si="219"/>
        <v>0</v>
      </c>
      <c r="AN136" s="309">
        <f t="shared" si="219"/>
        <v>0</v>
      </c>
      <c r="AO136" s="309">
        <f t="shared" si="219"/>
        <v>0</v>
      </c>
      <c r="AP136" s="309">
        <f t="shared" si="219"/>
        <v>0</v>
      </c>
      <c r="AQ136" s="309">
        <f t="shared" si="219"/>
        <v>0</v>
      </c>
      <c r="AR136" s="309">
        <f t="shared" si="219"/>
        <v>0</v>
      </c>
      <c r="AS136" s="309">
        <f t="shared" si="219"/>
        <v>0</v>
      </c>
      <c r="AT136" s="309">
        <f t="shared" si="219"/>
        <v>0</v>
      </c>
      <c r="AU136" s="309">
        <f t="shared" si="219"/>
        <v>0</v>
      </c>
      <c r="AV136" s="309">
        <f t="shared" si="219"/>
        <v>0</v>
      </c>
      <c r="AW136" s="309">
        <f t="shared" si="219"/>
        <v>0</v>
      </c>
      <c r="AX136" s="309">
        <f t="shared" si="219"/>
        <v>0</v>
      </c>
      <c r="AY136" s="309">
        <f t="shared" si="219"/>
        <v>0</v>
      </c>
      <c r="AZ136" s="309">
        <f t="shared" si="219"/>
        <v>0</v>
      </c>
      <c r="BA136" s="309">
        <f t="shared" si="219"/>
        <v>0</v>
      </c>
      <c r="BB136" s="309">
        <f t="shared" si="219"/>
        <v>0</v>
      </c>
      <c r="BC136" s="309">
        <f t="shared" si="219"/>
        <v>0</v>
      </c>
      <c r="BD136" s="309">
        <f t="shared" si="219"/>
        <v>0</v>
      </c>
      <c r="BE136" s="309">
        <f t="shared" si="219"/>
        <v>0</v>
      </c>
      <c r="BF136" s="309">
        <f t="shared" si="219"/>
        <v>0</v>
      </c>
      <c r="BG136" s="309">
        <f t="shared" si="219"/>
        <v>0</v>
      </c>
      <c r="BH136" s="309">
        <f t="shared" si="219"/>
        <v>0</v>
      </c>
      <c r="BI136" s="309">
        <f t="shared" si="219"/>
        <v>0</v>
      </c>
      <c r="BJ136" s="309">
        <f t="shared" si="219"/>
        <v>0</v>
      </c>
      <c r="BK136" s="309">
        <f t="shared" si="219"/>
        <v>0</v>
      </c>
      <c r="BL136" s="309">
        <f t="shared" si="219"/>
        <v>0</v>
      </c>
      <c r="BM136" s="309">
        <f t="shared" si="219"/>
        <v>0</v>
      </c>
      <c r="BN136" s="309">
        <f t="shared" si="219"/>
        <v>0</v>
      </c>
      <c r="BO136" s="309">
        <f t="shared" si="219"/>
        <v>0</v>
      </c>
      <c r="BP136" s="309">
        <f t="shared" si="219"/>
        <v>0</v>
      </c>
      <c r="BQ136" s="309">
        <f t="shared" si="219"/>
        <v>0</v>
      </c>
      <c r="BR136" s="309">
        <f t="shared" ref="BR136:CW136" si="220">BR$116+BR$120-BR$124-BR$125-BR$126-BR$127-BR$128</f>
        <v>0</v>
      </c>
      <c r="BS136" s="309">
        <f t="shared" si="220"/>
        <v>0</v>
      </c>
      <c r="BT136" s="309">
        <f t="shared" si="220"/>
        <v>0</v>
      </c>
      <c r="BU136" s="309">
        <f t="shared" si="220"/>
        <v>0</v>
      </c>
      <c r="BV136" s="309">
        <f t="shared" si="220"/>
        <v>0</v>
      </c>
      <c r="BW136" s="309">
        <f t="shared" si="220"/>
        <v>0</v>
      </c>
      <c r="BX136" s="309">
        <f t="shared" si="220"/>
        <v>0</v>
      </c>
      <c r="BY136" s="309">
        <f t="shared" si="220"/>
        <v>0</v>
      </c>
      <c r="BZ136" s="309">
        <f t="shared" si="220"/>
        <v>0</v>
      </c>
      <c r="CA136" s="309">
        <f t="shared" si="220"/>
        <v>0</v>
      </c>
      <c r="CB136" s="309">
        <f t="shared" si="220"/>
        <v>0</v>
      </c>
      <c r="CC136" s="309">
        <f t="shared" si="220"/>
        <v>0</v>
      </c>
      <c r="CD136" s="309">
        <f t="shared" si="220"/>
        <v>0</v>
      </c>
      <c r="CE136" s="309">
        <f t="shared" si="220"/>
        <v>0</v>
      </c>
      <c r="CF136" s="309">
        <f t="shared" si="220"/>
        <v>0</v>
      </c>
      <c r="CG136" s="309">
        <f t="shared" si="220"/>
        <v>0</v>
      </c>
      <c r="CH136" s="309">
        <f t="shared" si="220"/>
        <v>0</v>
      </c>
      <c r="CI136" s="309">
        <f t="shared" si="220"/>
        <v>0</v>
      </c>
      <c r="CJ136" s="309">
        <f t="shared" si="220"/>
        <v>0</v>
      </c>
      <c r="CK136" s="309">
        <f t="shared" si="220"/>
        <v>0</v>
      </c>
      <c r="CL136" s="309">
        <f t="shared" si="220"/>
        <v>0</v>
      </c>
      <c r="CM136" s="309">
        <f t="shared" si="220"/>
        <v>0</v>
      </c>
      <c r="CN136" s="309">
        <f t="shared" si="220"/>
        <v>0</v>
      </c>
      <c r="CO136" s="309">
        <f t="shared" si="220"/>
        <v>0</v>
      </c>
      <c r="CP136" s="309">
        <f t="shared" si="220"/>
        <v>0</v>
      </c>
      <c r="CQ136" s="309">
        <f t="shared" si="220"/>
        <v>0</v>
      </c>
      <c r="CR136" s="309">
        <f t="shared" si="220"/>
        <v>0</v>
      </c>
      <c r="CS136" s="309">
        <f t="shared" si="220"/>
        <v>0</v>
      </c>
      <c r="CT136" s="309">
        <f t="shared" si="220"/>
        <v>0</v>
      </c>
      <c r="CU136" s="309">
        <f t="shared" si="220"/>
        <v>0</v>
      </c>
      <c r="CV136" s="309">
        <f t="shared" si="220"/>
        <v>0</v>
      </c>
      <c r="CW136" s="309">
        <f t="shared" si="220"/>
        <v>0</v>
      </c>
      <c r="CX136" s="309">
        <f t="shared" ref="CX136:DV136" si="221">CX$116+CX$120-CX$124-CX$125-CX$126-CX$127-CX$128</f>
        <v>0</v>
      </c>
      <c r="CY136" s="309">
        <f t="shared" si="221"/>
        <v>0</v>
      </c>
      <c r="CZ136" s="309">
        <f t="shared" si="221"/>
        <v>0</v>
      </c>
      <c r="DA136" s="309">
        <f t="shared" si="221"/>
        <v>0</v>
      </c>
      <c r="DB136" s="309">
        <f t="shared" si="221"/>
        <v>0</v>
      </c>
      <c r="DC136" s="309">
        <f t="shared" si="221"/>
        <v>0</v>
      </c>
      <c r="DD136" s="309">
        <f t="shared" si="221"/>
        <v>0</v>
      </c>
      <c r="DE136" s="309">
        <f t="shared" si="221"/>
        <v>0</v>
      </c>
      <c r="DF136" s="309">
        <f t="shared" si="221"/>
        <v>0</v>
      </c>
      <c r="DG136" s="309">
        <f t="shared" si="221"/>
        <v>0</v>
      </c>
      <c r="DH136" s="309">
        <f t="shared" si="221"/>
        <v>0</v>
      </c>
      <c r="DI136" s="309">
        <f t="shared" si="221"/>
        <v>0</v>
      </c>
      <c r="DJ136" s="309">
        <f t="shared" si="221"/>
        <v>0</v>
      </c>
      <c r="DK136" s="309">
        <f t="shared" si="221"/>
        <v>0</v>
      </c>
      <c r="DL136" s="309">
        <f t="shared" si="221"/>
        <v>0</v>
      </c>
      <c r="DM136" s="309">
        <f t="shared" si="221"/>
        <v>0</v>
      </c>
      <c r="DN136" s="309">
        <f t="shared" si="221"/>
        <v>0</v>
      </c>
      <c r="DO136" s="309">
        <f t="shared" si="221"/>
        <v>0</v>
      </c>
      <c r="DP136" s="309">
        <f t="shared" si="221"/>
        <v>0</v>
      </c>
      <c r="DQ136" s="309">
        <f t="shared" si="221"/>
        <v>0</v>
      </c>
      <c r="DR136" s="309">
        <f t="shared" si="221"/>
        <v>0</v>
      </c>
      <c r="DS136" s="309">
        <f t="shared" si="221"/>
        <v>0</v>
      </c>
      <c r="DT136" s="309">
        <f t="shared" si="221"/>
        <v>0</v>
      </c>
      <c r="DU136" s="309">
        <f t="shared" si="221"/>
        <v>0</v>
      </c>
      <c r="DV136" s="309">
        <f t="shared" si="221"/>
        <v>0</v>
      </c>
    </row>
    <row r="138" spans="1:126" ht="21" customHeight="1" x14ac:dyDescent="0.35">
      <c r="A138" s="1148" t="s">
        <v>1602</v>
      </c>
      <c r="B138" s="937"/>
      <c r="C138" s="937"/>
      <c r="D138" s="937"/>
      <c r="E138" s="937"/>
      <c r="F138" s="937"/>
      <c r="G138" s="937"/>
      <c r="H138" s="937"/>
      <c r="I138" s="937"/>
      <c r="J138" s="937"/>
      <c r="K138" s="937"/>
      <c r="L138" s="937"/>
      <c r="M138" s="937"/>
      <c r="N138" s="937"/>
      <c r="O138" s="937"/>
      <c r="P138" s="937"/>
      <c r="Q138" s="937"/>
      <c r="R138" s="937"/>
      <c r="S138" s="937"/>
      <c r="T138" s="937"/>
      <c r="U138" s="937"/>
      <c r="V138" s="937"/>
      <c r="W138" s="937"/>
      <c r="X138" s="937"/>
      <c r="Y138" s="937"/>
      <c r="Z138" s="937"/>
      <c r="AA138" s="937"/>
      <c r="AB138" s="937"/>
      <c r="AC138" s="937"/>
      <c r="AD138" s="937"/>
      <c r="AE138" s="937"/>
      <c r="AF138" s="937"/>
      <c r="AG138" s="937"/>
      <c r="AH138" s="937"/>
      <c r="AI138" s="937"/>
      <c r="AJ138" s="937"/>
      <c r="AK138" s="937"/>
      <c r="AL138" s="937"/>
      <c r="AM138" s="937"/>
      <c r="AN138" s="937"/>
      <c r="AO138" s="937"/>
      <c r="AP138" s="937"/>
      <c r="AQ138" s="937"/>
      <c r="AR138" s="937"/>
      <c r="AS138" s="937"/>
      <c r="AT138" s="937"/>
      <c r="AU138" s="937"/>
      <c r="AV138" s="937"/>
      <c r="AW138" s="937"/>
      <c r="AX138" s="937"/>
      <c r="AY138" s="937"/>
      <c r="AZ138" s="937"/>
      <c r="BA138" s="937"/>
      <c r="BB138" s="937"/>
      <c r="BC138" s="937"/>
      <c r="BD138" s="937"/>
      <c r="BE138" s="937"/>
      <c r="BF138" s="937"/>
      <c r="BG138" s="937"/>
      <c r="BH138" s="937"/>
      <c r="BI138" s="937"/>
      <c r="BJ138" s="937"/>
      <c r="BK138" s="937"/>
      <c r="BL138" s="937"/>
      <c r="BM138" s="937"/>
      <c r="BN138" s="937"/>
      <c r="BO138" s="937"/>
      <c r="BP138" s="937"/>
      <c r="BQ138" s="937"/>
      <c r="BR138" s="937"/>
      <c r="BS138" s="937"/>
      <c r="BT138" s="937"/>
      <c r="BU138" s="937"/>
      <c r="BV138" s="937"/>
      <c r="BW138" s="937"/>
      <c r="BX138" s="937"/>
      <c r="BY138" s="937"/>
      <c r="BZ138" s="937"/>
      <c r="CA138" s="937"/>
      <c r="CB138" s="937"/>
      <c r="CC138" s="937"/>
      <c r="CD138" s="937"/>
      <c r="CE138" s="937"/>
      <c r="CF138" s="937"/>
      <c r="CG138" s="937"/>
      <c r="CH138" s="937"/>
      <c r="CI138" s="937"/>
      <c r="CJ138" s="937"/>
      <c r="CK138" s="937"/>
      <c r="CL138" s="937"/>
      <c r="CM138" s="937"/>
      <c r="CN138" s="937"/>
      <c r="CO138" s="937"/>
      <c r="CP138" s="937"/>
      <c r="CQ138" s="937"/>
      <c r="CR138" s="937"/>
      <c r="CS138" s="937"/>
      <c r="CT138" s="937"/>
      <c r="CU138" s="937"/>
      <c r="CV138" s="937"/>
      <c r="CW138" s="937"/>
      <c r="CX138" s="937"/>
      <c r="CY138" s="937"/>
      <c r="CZ138" s="937"/>
      <c r="DA138" s="937"/>
      <c r="DB138" s="937"/>
      <c r="DC138" s="937"/>
      <c r="DD138" s="937"/>
      <c r="DE138" s="937"/>
      <c r="DF138" s="937"/>
      <c r="DG138" s="937"/>
      <c r="DH138" s="937"/>
      <c r="DI138" s="937"/>
      <c r="DJ138" s="937"/>
      <c r="DK138" s="937"/>
      <c r="DL138" s="937"/>
      <c r="DM138" s="937"/>
      <c r="DN138" s="937"/>
      <c r="DO138" s="937"/>
      <c r="DP138" s="937"/>
      <c r="DQ138" s="937"/>
      <c r="DR138" s="937"/>
      <c r="DS138" s="937"/>
      <c r="DT138" s="937"/>
      <c r="DU138" s="937"/>
      <c r="DV138" s="937"/>
    </row>
    <row r="139" spans="1:126" ht="15" customHeight="1" x14ac:dyDescent="0.35">
      <c r="A139" s="307" t="s">
        <v>1603</v>
      </c>
      <c r="B139" s="308" t="s">
        <v>1370</v>
      </c>
      <c r="C139" s="1146" t="s">
        <v>1604</v>
      </c>
      <c r="D139" s="1147"/>
      <c r="F139" s="309">
        <f>MAX(0,Underwriting!L$130)*INDEX($N$31:$N$33,MATCH($B$6,$J$31:$J$33,0))*INDEX($P$31:$P$33,MATCH($B$6,$J$31:$J$33,0))</f>
        <v>0</v>
      </c>
      <c r="G139" s="309">
        <f>MAX(0,Underwriting!M$130)*INDEX($N$31:$N$33,MATCH($B$6,$J$31:$J$33,0))*INDEX($P$31:$P$33,MATCH($B$6,$J$31:$J$33,0))</f>
        <v>0</v>
      </c>
      <c r="H139" s="309">
        <f>MAX(0,Underwriting!N$130)*INDEX($N$31:$N$33,MATCH($B$6,$J$31:$J$33,0))*INDEX($P$31:$P$33,MATCH($B$6,$J$31:$J$33,0))</f>
        <v>0</v>
      </c>
      <c r="I139" s="309">
        <f>MAX(0,Underwriting!O$130)*INDEX($N$31:$N$33,MATCH($B$6,$J$31:$J$33,0))*INDEX($P$31:$P$33,MATCH($B$6,$J$31:$J$33,0))</f>
        <v>0</v>
      </c>
      <c r="J139" s="309">
        <f>MAX(0,Underwriting!P$130)*INDEX($N$31:$N$33,MATCH($B$6,$J$31:$J$33,0))*INDEX($P$31:$P$33,MATCH($B$6,$J$31:$J$33,0))</f>
        <v>0</v>
      </c>
      <c r="K139" s="309">
        <f>MAX(0,Underwriting!Q$130)*INDEX($N$31:$N$33,MATCH($B$6,$J$31:$J$33,0))*INDEX($P$31:$P$33,MATCH($B$6,$J$31:$J$33,0))</f>
        <v>0</v>
      </c>
      <c r="L139" s="309">
        <f>MAX(0,Underwriting!R$130)*INDEX($N$31:$N$33,MATCH($B$6,$J$31:$J$33,0))*INDEX($P$31:$P$33,MATCH($B$6,$J$31:$J$33,0))</f>
        <v>0</v>
      </c>
      <c r="M139" s="309">
        <f>MAX(0,Underwriting!S$130)*INDEX($N$31:$N$33,MATCH($B$6,$J$31:$J$33,0))*INDEX($P$31:$P$33,MATCH($B$6,$J$31:$J$33,0))</f>
        <v>0</v>
      </c>
      <c r="N139" s="309">
        <f>MAX(0,Underwriting!T$130)*INDEX($N$31:$N$33,MATCH($B$6,$J$31:$J$33,0))*INDEX($P$31:$P$33,MATCH($B$6,$J$31:$J$33,0))</f>
        <v>0</v>
      </c>
      <c r="O139" s="309">
        <f>MAX(0,Underwriting!U$130)*INDEX($N$31:$N$33,MATCH($B$6,$J$31:$J$33,0))*INDEX($P$31:$P$33,MATCH($B$6,$J$31:$J$33,0))</f>
        <v>0</v>
      </c>
      <c r="P139" s="309">
        <f>MAX(0,Underwriting!V$130)*INDEX($N$31:$N$33,MATCH($B$6,$J$31:$J$33,0))*INDEX($P$31:$P$33,MATCH($B$6,$J$31:$J$33,0))</f>
        <v>0</v>
      </c>
      <c r="Q139" s="309">
        <f>MAX(0,Underwriting!W$130)*INDEX($N$31:$N$33,MATCH($B$6,$J$31:$J$33,0))*INDEX($P$31:$P$33,MATCH($B$6,$J$31:$J$33,0))</f>
        <v>0</v>
      </c>
      <c r="R139" s="309">
        <f>MAX(0,Underwriting!X$130)*INDEX($N$31:$N$33,MATCH($B$6,$J$31:$J$33,0))*INDEX($P$31:$P$33,MATCH($B$6,$J$31:$J$33,0))</f>
        <v>0</v>
      </c>
      <c r="S139" s="309">
        <f>MAX(0,Underwriting!Y$130)*INDEX($N$31:$N$33,MATCH($B$6,$J$31:$J$33,0))*INDEX($P$31:$P$33,MATCH($B$6,$J$31:$J$33,0))</f>
        <v>0</v>
      </c>
      <c r="T139" s="309">
        <f>MAX(0,Underwriting!Z$130)*INDEX($N$31:$N$33,MATCH($B$6,$J$31:$J$33,0))*INDEX($P$31:$P$33,MATCH($B$6,$J$31:$J$33,0))</f>
        <v>0</v>
      </c>
      <c r="U139" s="309">
        <f>MAX(0,Underwriting!AA$130)*INDEX($N$31:$N$33,MATCH($B$6,$J$31:$J$33,0))*INDEX($P$31:$P$33,MATCH($B$6,$J$31:$J$33,0))</f>
        <v>0</v>
      </c>
      <c r="V139" s="309">
        <f>MAX(0,Underwriting!AB$130)*INDEX($N$31:$N$33,MATCH($B$6,$J$31:$J$33,0))*INDEX($P$31:$P$33,MATCH($B$6,$J$31:$J$33,0))</f>
        <v>0</v>
      </c>
      <c r="W139" s="309">
        <f>MAX(0,Underwriting!AC$130)*INDEX($N$31:$N$33,MATCH($B$6,$J$31:$J$33,0))*INDEX($P$31:$P$33,MATCH($B$6,$J$31:$J$33,0))</f>
        <v>0</v>
      </c>
      <c r="X139" s="309">
        <f>MAX(0,Underwriting!AD$130)*INDEX($N$31:$N$33,MATCH($B$6,$J$31:$J$33,0))*INDEX($P$31:$P$33,MATCH($B$6,$J$31:$J$33,0))</f>
        <v>0</v>
      </c>
      <c r="Y139" s="309">
        <f>MAX(0,Underwriting!AE$130)*INDEX($N$31:$N$33,MATCH($B$6,$J$31:$J$33,0))*INDEX($P$31:$P$33,MATCH($B$6,$J$31:$J$33,0))</f>
        <v>0</v>
      </c>
      <c r="Z139" s="309">
        <f>MAX(0,Underwriting!AF$130)*INDEX($N$31:$N$33,MATCH($B$6,$J$31:$J$33,0))*INDEX($P$31:$P$33,MATCH($B$6,$J$31:$J$33,0))</f>
        <v>0</v>
      </c>
      <c r="AA139" s="309">
        <f>MAX(0,Underwriting!AG$130)*INDEX($N$31:$N$33,MATCH($B$6,$J$31:$J$33,0))*INDEX($P$31:$P$33,MATCH($B$6,$J$31:$J$33,0))</f>
        <v>0</v>
      </c>
      <c r="AB139" s="309">
        <f>MAX(0,Underwriting!AH$130)*INDEX($N$31:$N$33,MATCH($B$6,$J$31:$J$33,0))*INDEX($P$31:$P$33,MATCH($B$6,$J$31:$J$33,0))</f>
        <v>716666.66666666663</v>
      </c>
      <c r="AC139" s="309">
        <f>MAX(0,Underwriting!AI$130)*INDEX($N$31:$N$33,MATCH($B$6,$J$31:$J$33,0))*INDEX($P$31:$P$33,MATCH($B$6,$J$31:$J$33,0))</f>
        <v>716666.66666666663</v>
      </c>
      <c r="AD139" s="309">
        <f>MAX(0,Underwriting!AJ$130)*INDEX($N$31:$N$33,MATCH($B$6,$J$31:$J$33,0))*INDEX($P$31:$P$33,MATCH($B$6,$J$31:$J$33,0))</f>
        <v>716666.66666666663</v>
      </c>
      <c r="AE139" s="309">
        <f>MAX(0,Underwriting!AK$130)*INDEX($N$31:$N$33,MATCH($B$6,$J$31:$J$33,0))*INDEX($P$31:$P$33,MATCH($B$6,$J$31:$J$33,0))</f>
        <v>933333.33333333326</v>
      </c>
      <c r="AF139" s="309">
        <f>MAX(0,Underwriting!AL$130)*INDEX($N$31:$N$33,MATCH($B$6,$J$31:$J$33,0))*INDEX($P$31:$P$33,MATCH($B$6,$J$31:$J$33,0))</f>
        <v>933333.33333333326</v>
      </c>
      <c r="AG139" s="309">
        <f>MAX(0,Underwriting!AM$130)*INDEX($N$31:$N$33,MATCH($B$6,$J$31:$J$33,0))*INDEX($P$31:$P$33,MATCH($B$6,$J$31:$J$33,0))</f>
        <v>933333.33333333326</v>
      </c>
      <c r="AH139" s="309">
        <f>MAX(0,Underwriting!AN$130)*INDEX($N$31:$N$33,MATCH($B$6,$J$31:$J$33,0))*INDEX($P$31:$P$33,MATCH($B$6,$J$31:$J$33,0))</f>
        <v>1107500</v>
      </c>
      <c r="AI139" s="309">
        <f>MAX(0,Underwriting!AO$130)*INDEX($N$31:$N$33,MATCH($B$6,$J$31:$J$33,0))*INDEX($P$31:$P$33,MATCH($B$6,$J$31:$J$33,0))</f>
        <v>1107500</v>
      </c>
      <c r="AJ139" s="309">
        <f>MAX(0,Underwriting!AP$130)*INDEX($N$31:$N$33,MATCH($B$6,$J$31:$J$33,0))*INDEX($P$31:$P$33,MATCH($B$6,$J$31:$J$33,0))</f>
        <v>1107500</v>
      </c>
      <c r="AK139" s="309">
        <f>MAX(0,Underwriting!AQ$130)*INDEX($N$31:$N$33,MATCH($B$6,$J$31:$J$33,0))*INDEX($P$31:$P$33,MATCH($B$6,$J$31:$J$33,0))</f>
        <v>1265833.3333333333</v>
      </c>
      <c r="AL139" s="309">
        <f>MAX(0,Underwriting!AR$130)*INDEX($N$31:$N$33,MATCH($B$6,$J$31:$J$33,0))*INDEX($P$31:$P$33,MATCH($B$6,$J$31:$J$33,0))</f>
        <v>1265833.3333333333</v>
      </c>
      <c r="AM139" s="309">
        <f>MAX(0,Underwriting!AS$130)*INDEX($N$31:$N$33,MATCH($B$6,$J$31:$J$33,0))*INDEX($P$31:$P$33,MATCH($B$6,$J$31:$J$33,0))</f>
        <v>1265833.3333333333</v>
      </c>
      <c r="AN139" s="309">
        <f>MAX(0,Underwriting!AT$130)*INDEX($N$31:$N$33,MATCH($B$6,$J$31:$J$33,0))*INDEX($P$31:$P$33,MATCH($B$6,$J$31:$J$33,0))</f>
        <v>1298416.6666666665</v>
      </c>
      <c r="AO139" s="309">
        <f>MAX(0,Underwriting!AU$130)*INDEX($N$31:$N$33,MATCH($B$6,$J$31:$J$33,0))*INDEX($P$31:$P$33,MATCH($B$6,$J$31:$J$33,0))</f>
        <v>1298416.6666666665</v>
      </c>
      <c r="AP139" s="309">
        <f>MAX(0,Underwriting!AV$130)*INDEX($N$31:$N$33,MATCH($B$6,$J$31:$J$33,0))*INDEX($P$31:$P$33,MATCH($B$6,$J$31:$J$33,0))</f>
        <v>1298416.6666666665</v>
      </c>
      <c r="AQ139" s="309">
        <f>MAX(0,Underwriting!AW$130)*INDEX($N$31:$N$33,MATCH($B$6,$J$31:$J$33,0))*INDEX($P$31:$P$33,MATCH($B$6,$J$31:$J$33,0))</f>
        <v>1329966.833333333</v>
      </c>
      <c r="AR139" s="309">
        <f>MAX(0,Underwriting!AX$130)*INDEX($N$31:$N$33,MATCH($B$6,$J$31:$J$33,0))*INDEX($P$31:$P$33,MATCH($B$6,$J$31:$J$33,0))</f>
        <v>1560296.5185666289</v>
      </c>
      <c r="AS139" s="309">
        <f>MAX(0,Underwriting!AY$130)*INDEX($N$31:$N$33,MATCH($B$6,$J$31:$J$33,0))*INDEX($P$31:$P$33,MATCH($B$6,$J$31:$J$33,0))</f>
        <v>1790626.2037999253</v>
      </c>
      <c r="AT139" s="309">
        <f>MAX(0,Underwriting!AZ$130)*INDEX($N$31:$N$33,MATCH($B$6,$J$31:$J$33,0))*INDEX($P$31:$P$33,MATCH($B$6,$J$31:$J$33,0))</f>
        <v>2029033.466005954</v>
      </c>
      <c r="AU139" s="309">
        <f>MAX(0,Underwriting!BA$130)*INDEX($N$31:$N$33,MATCH($B$6,$J$31:$J$33,0))*INDEX($P$31:$P$33,MATCH($B$6,$J$31:$J$33,0))</f>
        <v>2260023.7324523833</v>
      </c>
      <c r="AV139" s="309">
        <f>MAX(0,Underwriting!BB$130)*INDEX($N$31:$N$33,MATCH($B$6,$J$31:$J$33,0))*INDEX($P$31:$P$33,MATCH($B$6,$J$31:$J$33,0))</f>
        <v>2491013.9988988126</v>
      </c>
      <c r="AW139" s="309">
        <f>MAX(0,Underwriting!BC$130)*INDEX($N$31:$N$33,MATCH($B$6,$J$31:$J$33,0))*INDEX($P$31:$P$33,MATCH($B$6,$J$31:$J$33,0))</f>
        <v>2727545.9320119084</v>
      </c>
      <c r="AX139" s="309">
        <f>MAX(0,Underwriting!BD$130)*INDEX($N$31:$N$33,MATCH($B$6,$J$31:$J$33,0))*INDEX($P$31:$P$33,MATCH($B$6,$J$31:$J$33,0))</f>
        <v>2958536.1984583372</v>
      </c>
      <c r="AY139" s="309">
        <f>MAX(0,Underwriting!BE$130)*INDEX($N$31:$N$33,MATCH($B$6,$J$31:$J$33,0))*INDEX($P$31:$P$33,MATCH($B$6,$J$31:$J$33,0))</f>
        <v>3189526.4649047665</v>
      </c>
      <c r="AZ139" s="309">
        <f>MAX(0,Underwriting!BF$130)*INDEX($N$31:$N$33,MATCH($B$6,$J$31:$J$33,0))*INDEX($P$31:$P$33,MATCH($B$6,$J$31:$J$33,0))</f>
        <v>3446740.4813511958</v>
      </c>
      <c r="BA139" s="309">
        <f>MAX(0,Underwriting!BG$130)*INDEX($N$31:$N$33,MATCH($B$6,$J$31:$J$33,0))*INDEX($P$31:$P$33,MATCH($B$6,$J$31:$J$33,0))</f>
        <v>3677730.7477976251</v>
      </c>
      <c r="BB139" s="309">
        <f>MAX(0,Underwriting!BH$130)*INDEX($N$31:$N$33,MATCH($B$6,$J$31:$J$33,0))*INDEX($P$31:$P$33,MATCH($B$6,$J$31:$J$33,0))</f>
        <v>3908721.0142440535</v>
      </c>
      <c r="BC139" s="309">
        <f>MAX(0,Underwriting!BI$130)*INDEX($N$31:$N$33,MATCH($B$6,$J$31:$J$33,0))*INDEX($P$31:$P$33,MATCH($B$6,$J$31:$J$33,0))</f>
        <v>4217456.2814577445</v>
      </c>
      <c r="BD139" s="309">
        <f>MAX(0,Underwriting!BJ$130)*INDEX($N$31:$N$33,MATCH($B$6,$J$31:$J$33,0))*INDEX($P$31:$P$33,MATCH($B$6,$J$31:$J$33,0))</f>
        <v>4217456.2814577445</v>
      </c>
      <c r="BE139" s="309">
        <f>MAX(0,Underwriting!BK$130)*INDEX($N$31:$N$33,MATCH($B$6,$J$31:$J$33,0))*INDEX($P$31:$P$33,MATCH($B$6,$J$31:$J$33,0))</f>
        <v>4217456.2814577445</v>
      </c>
      <c r="BF139" s="309">
        <f>MAX(0,Underwriting!BL$130)*INDEX($N$31:$N$33,MATCH($B$6,$J$31:$J$33,0))*INDEX($P$31:$P$33,MATCH($B$6,$J$31:$J$33,0))</f>
        <v>4223765.4689577445</v>
      </c>
      <c r="BG139" s="309">
        <f>MAX(0,Underwriting!BM$130)*INDEX($N$31:$N$33,MATCH($B$6,$J$31:$J$33,0))*INDEX($P$31:$P$33,MATCH($B$6,$J$31:$J$33,0))</f>
        <v>4223765.4689577445</v>
      </c>
      <c r="BH139" s="309">
        <f>MAX(0,Underwriting!BN$130)*INDEX($N$31:$N$33,MATCH($B$6,$J$31:$J$33,0))*INDEX($P$31:$P$33,MATCH($B$6,$J$31:$J$33,0))</f>
        <v>4223765.4689577445</v>
      </c>
      <c r="BI139" s="309">
        <f>MAX(0,Underwriting!BO$130)*INDEX($N$31:$N$33,MATCH($B$6,$J$31:$J$33,0))*INDEX($P$31:$P$33,MATCH($B$6,$J$31:$J$33,0))</f>
        <v>4229501.0939577445</v>
      </c>
      <c r="BJ139" s="309">
        <f>MAX(0,Underwriting!BP$130)*INDEX($N$31:$N$33,MATCH($B$6,$J$31:$J$33,0))*INDEX($P$31:$P$33,MATCH($B$6,$J$31:$J$33,0))</f>
        <v>4229501.0939577445</v>
      </c>
      <c r="BK139" s="309">
        <f>MAX(0,Underwriting!BQ$130)*INDEX($N$31:$N$33,MATCH($B$6,$J$31:$J$33,0))*INDEX($P$31:$P$33,MATCH($B$6,$J$31:$J$33,0))</f>
        <v>4229501.0939577445</v>
      </c>
      <c r="BL139" s="309">
        <f>MAX(0,Underwriting!BR$130)*INDEX($N$31:$N$33,MATCH($B$6,$J$31:$J$33,0))*INDEX($P$31:$P$33,MATCH($B$6,$J$31:$J$33,0))</f>
        <v>4256642.6752077453</v>
      </c>
      <c r="BM139" s="309">
        <f>MAX(0,Underwriting!BS$130)*INDEX($N$31:$N$33,MATCH($B$6,$J$31:$J$33,0))*INDEX($P$31:$P$33,MATCH($B$6,$J$31:$J$33,0))</f>
        <v>4256642.6752077453</v>
      </c>
      <c r="BN139" s="309">
        <f>MAX(0,Underwriting!BT$130)*INDEX($N$31:$N$33,MATCH($B$6,$J$31:$J$33,0))*INDEX($P$31:$P$33,MATCH($B$6,$J$31:$J$33,0))</f>
        <v>4256642.6752077453</v>
      </c>
      <c r="BO139" s="309">
        <f>MAX(0,Underwriting!BU$130)*INDEX($N$31:$N$33,MATCH($B$6,$J$31:$J$33,0))*INDEX($P$31:$P$33,MATCH($B$6,$J$31:$J$33,0))</f>
        <v>4336409.7884941883</v>
      </c>
      <c r="BP139" s="309">
        <f>MAX(0,Underwriting!BV$130)*INDEX($N$31:$N$33,MATCH($B$6,$J$31:$J$33,0))*INDEX($P$31:$P$33,MATCH($B$6,$J$31:$J$33,0))</f>
        <v>4336409.7884941883</v>
      </c>
      <c r="BQ139" s="309">
        <f>MAX(0,Underwriting!BW$130)*INDEX($N$31:$N$33,MATCH($B$6,$J$31:$J$33,0))*INDEX($P$31:$P$33,MATCH($B$6,$J$31:$J$33,0))</f>
        <v>4336409.7884941883</v>
      </c>
      <c r="BR139" s="309">
        <f>MAX(0,Underwriting!BX$130)*INDEX($N$31:$N$33,MATCH($B$6,$J$31:$J$33,0))*INDEX($P$31:$P$33,MATCH($B$6,$J$31:$J$33,0))</f>
        <v>4342939.797556689</v>
      </c>
      <c r="BS139" s="309">
        <f>MAX(0,Underwriting!BY$130)*INDEX($N$31:$N$33,MATCH($B$6,$J$31:$J$33,0))*INDEX($P$31:$P$33,MATCH($B$6,$J$31:$J$33,0))</f>
        <v>4342939.797556689</v>
      </c>
      <c r="BT139" s="309">
        <f>MAX(0,Underwriting!BZ$130)*INDEX($N$31:$N$33,MATCH($B$6,$J$31:$J$33,0))*INDEX($P$31:$P$33,MATCH($B$6,$J$31:$J$33,0))</f>
        <v>4342939.797556689</v>
      </c>
      <c r="BU139" s="309">
        <f>MAX(0,Underwriting!CA$130)*INDEX($N$31:$N$33,MATCH($B$6,$J$31:$J$33,0))*INDEX($P$31:$P$33,MATCH($B$6,$J$31:$J$33,0))</f>
        <v>4348876.1694316883</v>
      </c>
      <c r="BV139" s="309">
        <f>MAX(0,Underwriting!CB$130)*INDEX($N$31:$N$33,MATCH($B$6,$J$31:$J$33,0))*INDEX($P$31:$P$33,MATCH($B$6,$J$31:$J$33,0))</f>
        <v>4348876.1694316883</v>
      </c>
      <c r="BW139" s="309">
        <f>MAX(0,Underwriting!CC$130)*INDEX($N$31:$N$33,MATCH($B$6,$J$31:$J$33,0))*INDEX($P$31:$P$33,MATCH($B$6,$J$31:$J$33,0))</f>
        <v>4348876.1694316883</v>
      </c>
      <c r="BX139" s="309">
        <f>MAX(0,Underwriting!CD$130)*INDEX($N$31:$N$33,MATCH($B$6,$J$31:$J$33,0))*INDEX($P$31:$P$33,MATCH($B$6,$J$31:$J$33,0))</f>
        <v>4376967.7060254384</v>
      </c>
      <c r="BY139" s="309">
        <f>MAX(0,Underwriting!CE$130)*INDEX($N$31:$N$33,MATCH($B$6,$J$31:$J$33,0))*INDEX($P$31:$P$33,MATCH($B$6,$J$31:$J$33,0))</f>
        <v>4376967.7060254384</v>
      </c>
      <c r="BZ139" s="309">
        <f>MAX(0,Underwriting!CF$130)*INDEX($N$31:$N$33,MATCH($B$6,$J$31:$J$33,0))*INDEX($P$31:$P$33,MATCH($B$6,$J$31:$J$33,0))</f>
        <v>4376967.7060254384</v>
      </c>
      <c r="CA139" s="309">
        <f>MAX(0,Underwriting!CG$130)*INDEX($N$31:$N$33,MATCH($B$6,$J$31:$J$33,0))*INDEX($P$31:$P$33,MATCH($B$6,$J$31:$J$33,0))</f>
        <v>4458810.2317065438</v>
      </c>
      <c r="CB139" s="309">
        <f>MAX(0,Underwriting!CH$130)*INDEX($N$31:$N$33,MATCH($B$6,$J$31:$J$33,0))*INDEX($P$31:$P$33,MATCH($B$6,$J$31:$J$33,0))</f>
        <v>4458810.2317065438</v>
      </c>
      <c r="CC139" s="309">
        <f>MAX(0,Underwriting!CI$130)*INDEX($N$31:$N$33,MATCH($B$6,$J$31:$J$33,0))*INDEX($P$31:$P$33,MATCH($B$6,$J$31:$J$33,0))</f>
        <v>4458810.2317065438</v>
      </c>
      <c r="CD139" s="309">
        <f>MAX(0,Underwriting!CJ$130)*INDEX($N$31:$N$33,MATCH($B$6,$J$31:$J$33,0))*INDEX($P$31:$P$33,MATCH($B$6,$J$31:$J$33,0))</f>
        <v>4465568.7910862304</v>
      </c>
      <c r="CE139" s="309">
        <f>MAX(0,Underwriting!CK$130)*INDEX($N$31:$N$33,MATCH($B$6,$J$31:$J$33,0))*INDEX($P$31:$P$33,MATCH($B$6,$J$31:$J$33,0))</f>
        <v>4465568.7910862304</v>
      </c>
      <c r="CF139" s="309">
        <f>MAX(0,Underwriting!CL$130)*INDEX($N$31:$N$33,MATCH($B$6,$J$31:$J$33,0))*INDEX($P$31:$P$33,MATCH($B$6,$J$31:$J$33,0))</f>
        <v>4465568.7910862304</v>
      </c>
      <c r="CG139" s="309">
        <f>MAX(0,Underwriting!CM$130)*INDEX($N$31:$N$33,MATCH($B$6,$J$31:$J$33,0))*INDEX($P$31:$P$33,MATCH($B$6,$J$31:$J$33,0))</f>
        <v>4471712.9359768555</v>
      </c>
      <c r="CH139" s="309">
        <f>MAX(0,Underwriting!CN$130)*INDEX($N$31:$N$33,MATCH($B$6,$J$31:$J$33,0))*INDEX($P$31:$P$33,MATCH($B$6,$J$31:$J$33,0))</f>
        <v>4471712.9359768555</v>
      </c>
      <c r="CI139" s="309">
        <f>MAX(0,Underwriting!CO$130)*INDEX($N$31:$N$33,MATCH($B$6,$J$31:$J$33,0))*INDEX($P$31:$P$33,MATCH($B$6,$J$31:$J$33,0))</f>
        <v>4471712.9359768555</v>
      </c>
      <c r="CJ139" s="309">
        <f>MAX(0,Underwriting!CP$130)*INDEX($N$31:$N$33,MATCH($B$6,$J$31:$J$33,0))*INDEX($P$31:$P$33,MATCH($B$6,$J$31:$J$33,0))</f>
        <v>4500787.6763513871</v>
      </c>
      <c r="CK139" s="309">
        <f>MAX(0,Underwriting!CQ$130)*INDEX($N$31:$N$33,MATCH($B$6,$J$31:$J$33,0))*INDEX($P$31:$P$33,MATCH($B$6,$J$31:$J$33,0))</f>
        <v>4500787.6763513871</v>
      </c>
      <c r="CL139" s="309">
        <f>MAX(0,Underwriting!CR$130)*INDEX($N$31:$N$33,MATCH($B$6,$J$31:$J$33,0))*INDEX($P$31:$P$33,MATCH($B$6,$J$31:$J$33,0))</f>
        <v>4500787.6763513871</v>
      </c>
      <c r="CM139" s="309">
        <f>MAX(0,Underwriting!CS$130)*INDEX($N$31:$N$33,MATCH($B$6,$J$31:$J$33,0))*INDEX($P$31:$P$33,MATCH($B$6,$J$31:$J$33,0))</f>
        <v>4584760.3429467063</v>
      </c>
      <c r="CN139" s="309">
        <f>MAX(0,Underwriting!CT$130)*INDEX($N$31:$N$33,MATCH($B$6,$J$31:$J$33,0))*INDEX($P$31:$P$33,MATCH($B$6,$J$31:$J$33,0))</f>
        <v>4584760.3429467063</v>
      </c>
      <c r="CO139" s="309">
        <f>MAX(0,Underwriting!CU$130)*INDEX($N$31:$N$33,MATCH($B$6,$J$31:$J$33,0))*INDEX($P$31:$P$33,MATCH($B$6,$J$31:$J$33,0))</f>
        <v>4584760.3429467063</v>
      </c>
      <c r="CP139" s="309">
        <f>MAX(0,Underwriting!CV$130)*INDEX($N$31:$N$33,MATCH($B$6,$J$31:$J$33,0))*INDEX($P$31:$P$33,MATCH($B$6,$J$31:$J$33,0))</f>
        <v>4591755.4519046834</v>
      </c>
      <c r="CQ139" s="309">
        <f>MAX(0,Underwriting!CW$130)*INDEX($N$31:$N$33,MATCH($B$6,$J$31:$J$33,0))*INDEX($P$31:$P$33,MATCH($B$6,$J$31:$J$33,0))</f>
        <v>4591755.4519046834</v>
      </c>
      <c r="CR139" s="309">
        <f>MAX(0,Underwriting!CX$130)*INDEX($N$31:$N$33,MATCH($B$6,$J$31:$J$33,0))*INDEX($P$31:$P$33,MATCH($B$6,$J$31:$J$33,0))</f>
        <v>4591755.4519046834</v>
      </c>
      <c r="CS139" s="309">
        <f>MAX(0,Underwriting!CY$130)*INDEX($N$31:$N$33,MATCH($B$6,$J$31:$J$33,0))*INDEX($P$31:$P$33,MATCH($B$6,$J$31:$J$33,0))</f>
        <v>4598114.64186648</v>
      </c>
      <c r="CT139" s="309">
        <f>MAX(0,Underwriting!CZ$130)*INDEX($N$31:$N$33,MATCH($B$6,$J$31:$J$33,0))*INDEX($P$31:$P$33,MATCH($B$6,$J$31:$J$33,0))</f>
        <v>4598114.64186648</v>
      </c>
      <c r="CU139" s="309">
        <f>MAX(0,Underwriting!DA$130)*INDEX($N$31:$N$33,MATCH($B$6,$J$31:$J$33,0))*INDEX($P$31:$P$33,MATCH($B$6,$J$31:$J$33,0))</f>
        <v>4598114.64186648</v>
      </c>
      <c r="CV139" s="309">
        <f>MAX(0,Underwriting!DB$130)*INDEX($N$31:$N$33,MATCH($B$6,$J$31:$J$33,0))*INDEX($P$31:$P$33,MATCH($B$6,$J$31:$J$33,0))</f>
        <v>4628206.9981541205</v>
      </c>
      <c r="CW139" s="309">
        <f>MAX(0,Underwriting!DC$130)*INDEX($N$31:$N$33,MATCH($B$6,$J$31:$J$33,0))*INDEX($P$31:$P$33,MATCH($B$6,$J$31:$J$33,0))</f>
        <v>4628206.9981541205</v>
      </c>
      <c r="CX139" s="309">
        <f>MAX(0,Underwriting!DD$130)*INDEX($N$31:$N$33,MATCH($B$6,$J$31:$J$33,0))*INDEX($P$31:$P$33,MATCH($B$6,$J$31:$J$33,0))</f>
        <v>4628206.9981541205</v>
      </c>
      <c r="CY139" s="309">
        <f>MAX(0,Underwriting!DE$130)*INDEX($N$31:$N$33,MATCH($B$6,$J$31:$J$33,0))*INDEX($P$31:$P$33,MATCH($B$6,$J$31:$J$33,0))</f>
        <v>4714366.001908537</v>
      </c>
      <c r="CZ139" s="309">
        <f>MAX(0,Underwriting!DF$130)*INDEX($N$31:$N$33,MATCH($B$6,$J$31:$J$33,0))*INDEX($P$31:$P$33,MATCH($B$6,$J$31:$J$33,0))</f>
        <v>4714366.001908537</v>
      </c>
      <c r="DA139" s="309">
        <f>MAX(0,Underwriting!DG$130)*INDEX($N$31:$N$33,MATCH($B$6,$J$31:$J$33,0))*INDEX($P$31:$P$33,MATCH($B$6,$J$31:$J$33,0))</f>
        <v>4714366.001908537</v>
      </c>
      <c r="DB139" s="309">
        <f>MAX(0,Underwriting!DH$130)*INDEX($N$31:$N$33,MATCH($B$6,$J$31:$J$33,0))*INDEX($P$31:$P$33,MATCH($B$6,$J$31:$J$33,0))</f>
        <v>4721605.9396800417</v>
      </c>
      <c r="DC139" s="309">
        <f>MAX(0,Underwriting!DI$130)*INDEX($N$31:$N$33,MATCH($B$6,$J$31:$J$33,0))*INDEX($P$31:$P$33,MATCH($B$6,$J$31:$J$33,0))</f>
        <v>4721605.9396800417</v>
      </c>
      <c r="DD139" s="309">
        <f>MAX(0,Underwriting!DJ$130)*INDEX($N$31:$N$33,MATCH($B$6,$J$31:$J$33,0))*INDEX($P$31:$P$33,MATCH($B$6,$J$31:$J$33,0))</f>
        <v>4721605.9396800417</v>
      </c>
      <c r="DE139" s="309">
        <f>MAX(0,Underwriting!DK$130)*INDEX($N$31:$N$33,MATCH($B$6,$J$31:$J$33,0))*INDEX($P$31:$P$33,MATCH($B$6,$J$31:$J$33,0))</f>
        <v>4728187.7012905022</v>
      </c>
      <c r="DF139" s="309">
        <f>MAX(0,Underwriting!DL$130)*INDEX($N$31:$N$33,MATCH($B$6,$J$31:$J$33,0))*INDEX($P$31:$P$33,MATCH($B$6,$J$31:$J$33,0))</f>
        <v>4728187.7012905022</v>
      </c>
      <c r="DG139" s="309">
        <f>MAX(0,Underwriting!DM$130)*INDEX($N$31:$N$33,MATCH($B$6,$J$31:$J$33,0))*INDEX($P$31:$P$33,MATCH($B$6,$J$31:$J$33,0))</f>
        <v>4728187.7012905022</v>
      </c>
      <c r="DH139" s="309">
        <f>MAX(0,Underwriting!DN$130)*INDEX($N$31:$N$33,MATCH($B$6,$J$31:$J$33,0))*INDEX($P$31:$P$33,MATCH($B$6,$J$31:$J$33,0))</f>
        <v>4759333.290048209</v>
      </c>
      <c r="DI139" s="309">
        <f>MAX(0,Underwriting!DO$130)*INDEX($N$31:$N$33,MATCH($B$6,$J$31:$J$33,0))*INDEX($P$31:$P$33,MATCH($B$6,$J$31:$J$33,0))</f>
        <v>4759333.290048209</v>
      </c>
      <c r="DJ139" s="309">
        <f>MAX(0,Underwriting!DP$130)*INDEX($N$31:$N$33,MATCH($B$6,$J$31:$J$33,0))*INDEX($P$31:$P$33,MATCH($B$6,$J$31:$J$33,0))</f>
        <v>4759333.290048209</v>
      </c>
      <c r="DK139" s="309">
        <f>MAX(0,Underwriting!DQ$130)*INDEX($N$31:$N$33,MATCH($B$6,$J$31:$J$33,0))*INDEX($P$31:$P$33,MATCH($B$6,$J$31:$J$33,0))</f>
        <v>4847736.3351079971</v>
      </c>
      <c r="DL139" s="309">
        <f>MAX(0,Underwriting!DR$130)*INDEX($N$31:$N$33,MATCH($B$6,$J$31:$J$33,0))*INDEX($P$31:$P$33,MATCH($B$6,$J$31:$J$33,0))</f>
        <v>4847736.3351079971</v>
      </c>
      <c r="DM139" s="309">
        <f>MAX(0,Underwriting!DS$130)*INDEX($N$31:$N$33,MATCH($B$6,$J$31:$J$33,0))*INDEX($P$31:$P$33,MATCH($B$6,$J$31:$J$33,0))</f>
        <v>4847736.3351079971</v>
      </c>
      <c r="DN139" s="309">
        <f>MAX(0,Underwriting!DT$130)*INDEX($N$31:$N$33,MATCH($B$6,$J$31:$J$33,0))*INDEX($P$31:$P$33,MATCH($B$6,$J$31:$J$33,0))</f>
        <v>4855229.6707015056</v>
      </c>
      <c r="DO139" s="309">
        <f>MAX(0,Underwriting!DU$130)*INDEX($N$31:$N$33,MATCH($B$6,$J$31:$J$33,0))*INDEX($P$31:$P$33,MATCH($B$6,$J$31:$J$33,0))</f>
        <v>4855229.6707015056</v>
      </c>
      <c r="DP139" s="309">
        <f>MAX(0,Underwriting!DV$130)*INDEX($N$31:$N$33,MATCH($B$6,$J$31:$J$33,0))*INDEX($P$31:$P$33,MATCH($B$6,$J$31:$J$33,0))</f>
        <v>4855229.6707015056</v>
      </c>
      <c r="DQ139" s="309">
        <f>MAX(0,Underwriting!DW$130)*INDEX($N$31:$N$33,MATCH($B$6,$J$31:$J$33,0))*INDEX($P$31:$P$33,MATCH($B$6,$J$31:$J$33,0))</f>
        <v>4862041.793968332</v>
      </c>
      <c r="DR139" s="309">
        <f>MAX(0,Underwriting!DX$130)*INDEX($N$31:$N$33,MATCH($B$6,$J$31:$J$33,0))*INDEX($P$31:$P$33,MATCH($B$6,$J$31:$J$33,0))</f>
        <v>4862041.793968332</v>
      </c>
      <c r="DS139" s="309">
        <f>MAX(0,Underwriting!DY$130)*INDEX($N$31:$N$33,MATCH($B$6,$J$31:$J$33,0))*INDEX($P$31:$P$33,MATCH($B$6,$J$31:$J$33,0))</f>
        <v>4862041.793968332</v>
      </c>
      <c r="DT139" s="309">
        <f>MAX(0,Underwriting!DZ$130)*INDEX($N$31:$N$33,MATCH($B$6,$J$31:$J$33,0))*INDEX($P$31:$P$33,MATCH($B$6,$J$31:$J$33,0))</f>
        <v>4894277.4783325586</v>
      </c>
      <c r="DU139" s="309">
        <f>MAX(0,Underwriting!EA$130)*INDEX($N$31:$N$33,MATCH($B$6,$J$31:$J$33,0))*INDEX($P$31:$P$33,MATCH($B$6,$J$31:$J$33,0))</f>
        <v>4894277.4783325586</v>
      </c>
      <c r="DV139" s="309">
        <f>MAX(0,Underwriting!EB$130)*INDEX($N$31:$N$33,MATCH($B$6,$J$31:$J$33,0))*INDEX($P$31:$P$33,MATCH($B$6,$J$31:$J$33,0))</f>
        <v>4894277.4783325586</v>
      </c>
    </row>
    <row r="140" spans="1:126" ht="15" customHeight="1" x14ac:dyDescent="0.35">
      <c r="A140" s="307" t="s">
        <v>1605</v>
      </c>
      <c r="B140" s="308" t="s">
        <v>1370</v>
      </c>
      <c r="C140" s="1146" t="s">
        <v>1606</v>
      </c>
      <c r="D140" s="1147"/>
      <c r="F140" s="309">
        <f>MAX(0,Underwriting!L$138)</f>
        <v>0</v>
      </c>
      <c r="G140" s="309">
        <f>MAX(0,Underwriting!M$138)</f>
        <v>0</v>
      </c>
      <c r="H140" s="309">
        <f>MAX(0,Underwriting!N$138)</f>
        <v>0</v>
      </c>
      <c r="I140" s="309">
        <f>MAX(0,Underwriting!O$138)</f>
        <v>0</v>
      </c>
      <c r="J140" s="309">
        <f>MAX(0,Underwriting!P$138)</f>
        <v>0</v>
      </c>
      <c r="K140" s="309">
        <f>MAX(0,Underwriting!Q$138)</f>
        <v>0</v>
      </c>
      <c r="L140" s="309">
        <f>MAX(0,Underwriting!R$138)</f>
        <v>0</v>
      </c>
      <c r="M140" s="309">
        <f>MAX(0,Underwriting!S$138)</f>
        <v>0</v>
      </c>
      <c r="N140" s="309">
        <f>MAX(0,Underwriting!T$138)</f>
        <v>0</v>
      </c>
      <c r="O140" s="309">
        <f>MAX(0,Underwriting!U$138)</f>
        <v>0</v>
      </c>
      <c r="P140" s="309">
        <f>MAX(0,Underwriting!V$138)</f>
        <v>0</v>
      </c>
      <c r="Q140" s="309">
        <f>MAX(0,Underwriting!W$138)</f>
        <v>0</v>
      </c>
      <c r="R140" s="309">
        <f>MAX(0,Underwriting!X$138)</f>
        <v>0</v>
      </c>
      <c r="S140" s="309">
        <f>MAX(0,Underwriting!Y$138)</f>
        <v>0</v>
      </c>
      <c r="T140" s="309">
        <f>MAX(0,Underwriting!Z$138)</f>
        <v>0</v>
      </c>
      <c r="U140" s="309">
        <f>MAX(0,Underwriting!AA$138)</f>
        <v>0</v>
      </c>
      <c r="V140" s="309">
        <f>MAX(0,Underwriting!AB$138)</f>
        <v>0</v>
      </c>
      <c r="W140" s="309">
        <f>MAX(0,Underwriting!AC$138)</f>
        <v>0</v>
      </c>
      <c r="X140" s="309">
        <f>MAX(0,Underwriting!AD$138)</f>
        <v>0</v>
      </c>
      <c r="Y140" s="309">
        <f>MAX(0,Underwriting!AE$138)</f>
        <v>0</v>
      </c>
      <c r="Z140" s="309">
        <f>MAX(0,Underwriting!AF$138)</f>
        <v>0</v>
      </c>
      <c r="AA140" s="309">
        <f>MAX(0,Underwriting!AG$138)</f>
        <v>0</v>
      </c>
      <c r="AB140" s="309">
        <f>MAX(0,Underwriting!AH$138)</f>
        <v>0</v>
      </c>
      <c r="AC140" s="309">
        <f>MAX(0,Underwriting!AI$138)</f>
        <v>0</v>
      </c>
      <c r="AD140" s="309">
        <f>MAX(0,Underwriting!AJ$138)</f>
        <v>0</v>
      </c>
      <c r="AE140" s="309">
        <f>MAX(0,Underwriting!AK$138)</f>
        <v>0</v>
      </c>
      <c r="AF140" s="309">
        <f>MAX(0,Underwriting!AL$138)</f>
        <v>0</v>
      </c>
      <c r="AG140" s="309">
        <f>MAX(0,Underwriting!AM$138)</f>
        <v>0</v>
      </c>
      <c r="AH140" s="309">
        <f>MAX(0,Underwriting!AN$138)</f>
        <v>0</v>
      </c>
      <c r="AI140" s="309">
        <f>MAX(0,Underwriting!AO$138)</f>
        <v>0</v>
      </c>
      <c r="AJ140" s="309">
        <f>MAX(0,Underwriting!AP$138)</f>
        <v>0</v>
      </c>
      <c r="AK140" s="309">
        <f>MAX(0,Underwriting!AQ$138)</f>
        <v>0</v>
      </c>
      <c r="AL140" s="309">
        <f>MAX(0,Underwriting!AR$138)</f>
        <v>0</v>
      </c>
      <c r="AM140" s="309">
        <f>MAX(0,Underwriting!AS$138)</f>
        <v>0</v>
      </c>
      <c r="AN140" s="309">
        <f>MAX(0,Underwriting!AT$138)</f>
        <v>0</v>
      </c>
      <c r="AO140" s="309">
        <f>MAX(0,Underwriting!AU$138)</f>
        <v>0</v>
      </c>
      <c r="AP140" s="309">
        <f>MAX(0,Underwriting!AV$138)</f>
        <v>0</v>
      </c>
      <c r="AQ140" s="309">
        <f>MAX(0,Underwriting!AW$138)</f>
        <v>0</v>
      </c>
      <c r="AR140" s="309">
        <f>MAX(0,Underwriting!AX$138)</f>
        <v>22835.268200625029</v>
      </c>
      <c r="AS140" s="309">
        <f>MAX(0,Underwriting!AY$138)</f>
        <v>45670.536401250058</v>
      </c>
      <c r="AT140" s="309">
        <f>MAX(0,Underwriting!AZ$138)</f>
        <v>68505.80460187509</v>
      </c>
      <c r="AU140" s="309">
        <f>MAX(0,Underwriting!BA$138)</f>
        <v>91341.072802500115</v>
      </c>
      <c r="AV140" s="309">
        <f>MAX(0,Underwriting!BB$138)</f>
        <v>114176.34100312516</v>
      </c>
      <c r="AW140" s="309">
        <f>MAX(0,Underwriting!BC$138)</f>
        <v>137011.60920375018</v>
      </c>
      <c r="AX140" s="309">
        <f>MAX(0,Underwriting!BD$138)</f>
        <v>159846.87740437523</v>
      </c>
      <c r="AY140" s="309">
        <f>MAX(0,Underwriting!BE$138)</f>
        <v>182682.14560500023</v>
      </c>
      <c r="AZ140" s="309">
        <f>MAX(0,Underwriting!BF$138)</f>
        <v>205517.41380562529</v>
      </c>
      <c r="BA140" s="309">
        <f>MAX(0,Underwriting!BG$138)</f>
        <v>228352.68200625031</v>
      </c>
      <c r="BB140" s="309">
        <f>MAX(0,Underwriting!BH$138)</f>
        <v>251187.95020687531</v>
      </c>
      <c r="BC140" s="309">
        <f>MAX(0,Underwriting!BI$138)</f>
        <v>280873.79886768787</v>
      </c>
      <c r="BD140" s="309">
        <f>MAX(0,Underwriting!BJ$138)</f>
        <v>280873.79886768787</v>
      </c>
      <c r="BE140" s="309">
        <f>MAX(0,Underwriting!BK$138)</f>
        <v>280873.79886768787</v>
      </c>
      <c r="BF140" s="309">
        <f>MAX(0,Underwriting!BL$138)</f>
        <v>280873.79886768787</v>
      </c>
      <c r="BG140" s="309">
        <f>MAX(0,Underwriting!BM$138)</f>
        <v>280873.79886768787</v>
      </c>
      <c r="BH140" s="309">
        <f>MAX(0,Underwriting!BN$138)</f>
        <v>280873.79886768787</v>
      </c>
      <c r="BI140" s="309">
        <f>MAX(0,Underwriting!BO$138)</f>
        <v>280873.79886768787</v>
      </c>
      <c r="BJ140" s="309">
        <f>MAX(0,Underwriting!BP$138)</f>
        <v>280873.79886768787</v>
      </c>
      <c r="BK140" s="309">
        <f>MAX(0,Underwriting!BQ$138)</f>
        <v>280873.79886768787</v>
      </c>
      <c r="BL140" s="309">
        <f>MAX(0,Underwriting!BR$138)</f>
        <v>280873.79886768787</v>
      </c>
      <c r="BM140" s="309">
        <f>MAX(0,Underwriting!BS$138)</f>
        <v>280873.79886768787</v>
      </c>
      <c r="BN140" s="309">
        <f>MAX(0,Underwriting!BT$138)</f>
        <v>280873.79886768787</v>
      </c>
      <c r="BO140" s="309">
        <f>MAX(0,Underwriting!BU$138)</f>
        <v>287895.64383938006</v>
      </c>
      <c r="BP140" s="309">
        <f>MAX(0,Underwriting!BV$138)</f>
        <v>287895.64383938006</v>
      </c>
      <c r="BQ140" s="309">
        <f>MAX(0,Underwriting!BW$138)</f>
        <v>287895.64383938006</v>
      </c>
      <c r="BR140" s="309">
        <f>MAX(0,Underwriting!BX$138)</f>
        <v>287895.64383938006</v>
      </c>
      <c r="BS140" s="309">
        <f>MAX(0,Underwriting!BY$138)</f>
        <v>287895.64383938006</v>
      </c>
      <c r="BT140" s="309">
        <f>MAX(0,Underwriting!BZ$138)</f>
        <v>287895.64383938006</v>
      </c>
      <c r="BU140" s="309">
        <f>MAX(0,Underwriting!CA$138)</f>
        <v>287895.64383938006</v>
      </c>
      <c r="BV140" s="309">
        <f>MAX(0,Underwriting!CB$138)</f>
        <v>287895.64383938006</v>
      </c>
      <c r="BW140" s="309">
        <f>MAX(0,Underwriting!CC$138)</f>
        <v>287895.64383938006</v>
      </c>
      <c r="BX140" s="309">
        <f>MAX(0,Underwriting!CD$138)</f>
        <v>287895.64383938006</v>
      </c>
      <c r="BY140" s="309">
        <f>MAX(0,Underwriting!CE$138)</f>
        <v>287895.64383938006</v>
      </c>
      <c r="BZ140" s="309">
        <f>MAX(0,Underwriting!CF$138)</f>
        <v>287895.64383938006</v>
      </c>
      <c r="CA140" s="309">
        <f>MAX(0,Underwriting!CG$138)</f>
        <v>295093.03493536456</v>
      </c>
      <c r="CB140" s="309">
        <f>MAX(0,Underwriting!CH$138)</f>
        <v>295093.03493536456</v>
      </c>
      <c r="CC140" s="309">
        <f>MAX(0,Underwriting!CI$138)</f>
        <v>295093.03493536456</v>
      </c>
      <c r="CD140" s="309">
        <f>MAX(0,Underwriting!CJ$138)</f>
        <v>295093.03493536456</v>
      </c>
      <c r="CE140" s="309">
        <f>MAX(0,Underwriting!CK$138)</f>
        <v>295093.03493536456</v>
      </c>
      <c r="CF140" s="309">
        <f>MAX(0,Underwriting!CL$138)</f>
        <v>295093.03493536456</v>
      </c>
      <c r="CG140" s="309">
        <f>MAX(0,Underwriting!CM$138)</f>
        <v>295093.03493536456</v>
      </c>
      <c r="CH140" s="309">
        <f>MAX(0,Underwriting!CN$138)</f>
        <v>295093.03493536456</v>
      </c>
      <c r="CI140" s="309">
        <f>MAX(0,Underwriting!CO$138)</f>
        <v>295093.03493536456</v>
      </c>
      <c r="CJ140" s="309">
        <f>MAX(0,Underwriting!CP$138)</f>
        <v>295093.03493536456</v>
      </c>
      <c r="CK140" s="309">
        <f>MAX(0,Underwriting!CQ$138)</f>
        <v>295093.03493536456</v>
      </c>
      <c r="CL140" s="309">
        <f>MAX(0,Underwriting!CR$138)</f>
        <v>295093.03493536456</v>
      </c>
      <c r="CM140" s="309">
        <f>MAX(0,Underwriting!CS$138)</f>
        <v>302470.36080874864</v>
      </c>
      <c r="CN140" s="309">
        <f>MAX(0,Underwriting!CT$138)</f>
        <v>302470.36080874864</v>
      </c>
      <c r="CO140" s="309">
        <f>MAX(0,Underwriting!CU$138)</f>
        <v>302470.36080874864</v>
      </c>
      <c r="CP140" s="309">
        <f>MAX(0,Underwriting!CV$138)</f>
        <v>302470.36080874864</v>
      </c>
      <c r="CQ140" s="309">
        <f>MAX(0,Underwriting!CW$138)</f>
        <v>302470.36080874864</v>
      </c>
      <c r="CR140" s="309">
        <f>MAX(0,Underwriting!CX$138)</f>
        <v>302470.36080874864</v>
      </c>
      <c r="CS140" s="309">
        <f>MAX(0,Underwriting!CY$138)</f>
        <v>302470.36080874864</v>
      </c>
      <c r="CT140" s="309">
        <f>MAX(0,Underwriting!CZ$138)</f>
        <v>302470.36080874864</v>
      </c>
      <c r="CU140" s="309">
        <f>MAX(0,Underwriting!DA$138)</f>
        <v>302470.36080874864</v>
      </c>
      <c r="CV140" s="309">
        <f>MAX(0,Underwriting!DB$138)</f>
        <v>302470.36080874864</v>
      </c>
      <c r="CW140" s="309">
        <f>MAX(0,Underwriting!DC$138)</f>
        <v>302470.36080874864</v>
      </c>
      <c r="CX140" s="309">
        <f>MAX(0,Underwriting!DD$138)</f>
        <v>302470.36080874864</v>
      </c>
      <c r="CY140" s="309">
        <f>MAX(0,Underwriting!DE$138)</f>
        <v>310032.11982896732</v>
      </c>
      <c r="CZ140" s="309">
        <f>MAX(0,Underwriting!DF$138)</f>
        <v>310032.11982896732</v>
      </c>
      <c r="DA140" s="309">
        <f>MAX(0,Underwriting!DG$138)</f>
        <v>310032.11982896732</v>
      </c>
      <c r="DB140" s="309">
        <f>MAX(0,Underwriting!DH$138)</f>
        <v>310032.11982896732</v>
      </c>
      <c r="DC140" s="309">
        <f>MAX(0,Underwriting!DI$138)</f>
        <v>310032.11982896732</v>
      </c>
      <c r="DD140" s="309">
        <f>MAX(0,Underwriting!DJ$138)</f>
        <v>310032.11982896732</v>
      </c>
      <c r="DE140" s="309">
        <f>MAX(0,Underwriting!DK$138)</f>
        <v>310032.11982896732</v>
      </c>
      <c r="DF140" s="309">
        <f>MAX(0,Underwriting!DL$138)</f>
        <v>310032.11982896732</v>
      </c>
      <c r="DG140" s="309">
        <f>MAX(0,Underwriting!DM$138)</f>
        <v>310032.11982896732</v>
      </c>
      <c r="DH140" s="309">
        <f>MAX(0,Underwriting!DN$138)</f>
        <v>310032.11982896732</v>
      </c>
      <c r="DI140" s="309">
        <f>MAX(0,Underwriting!DO$138)</f>
        <v>310032.11982896732</v>
      </c>
      <c r="DJ140" s="309">
        <f>MAX(0,Underwriting!DP$138)</f>
        <v>310032.11982896732</v>
      </c>
      <c r="DK140" s="309">
        <f>MAX(0,Underwriting!DQ$138)</f>
        <v>317782.92282469146</v>
      </c>
      <c r="DL140" s="309">
        <f>MAX(0,Underwriting!DR$138)</f>
        <v>317782.92282469146</v>
      </c>
      <c r="DM140" s="309">
        <f>MAX(0,Underwriting!DS$138)</f>
        <v>317782.92282469146</v>
      </c>
      <c r="DN140" s="309">
        <f>MAX(0,Underwriting!DT$138)</f>
        <v>317782.92282469146</v>
      </c>
      <c r="DO140" s="309">
        <f>MAX(0,Underwriting!DU$138)</f>
        <v>317782.92282469146</v>
      </c>
      <c r="DP140" s="309">
        <f>MAX(0,Underwriting!DV$138)</f>
        <v>317782.92282469146</v>
      </c>
      <c r="DQ140" s="309">
        <f>MAX(0,Underwriting!DW$138)</f>
        <v>317782.92282469146</v>
      </c>
      <c r="DR140" s="309">
        <f>MAX(0,Underwriting!DX$138)</f>
        <v>317782.92282469146</v>
      </c>
      <c r="DS140" s="309">
        <f>MAX(0,Underwriting!DY$138)</f>
        <v>317782.92282469146</v>
      </c>
      <c r="DT140" s="309">
        <f>MAX(0,Underwriting!DZ$138)</f>
        <v>317782.92282469146</v>
      </c>
      <c r="DU140" s="309">
        <f>MAX(0,Underwriting!EA$138)</f>
        <v>317782.92282469146</v>
      </c>
      <c r="DV140" s="309">
        <f>MAX(0,Underwriting!EB$138)</f>
        <v>317782.92282469146</v>
      </c>
    </row>
    <row r="141" spans="1:126" ht="15" customHeight="1" x14ac:dyDescent="0.35">
      <c r="A141" s="307" t="s">
        <v>1607</v>
      </c>
      <c r="B141" s="308" t="s">
        <v>1370</v>
      </c>
      <c r="C141" s="1146" t="s">
        <v>1608</v>
      </c>
      <c r="D141" s="1147"/>
      <c r="F141" s="309">
        <f t="shared" ref="F141:AK141" si="222">F$193</f>
        <v>0</v>
      </c>
      <c r="G141" s="309">
        <f t="shared" si="222"/>
        <v>0</v>
      </c>
      <c r="H141" s="309">
        <f t="shared" si="222"/>
        <v>0</v>
      </c>
      <c r="I141" s="309">
        <f t="shared" si="222"/>
        <v>0</v>
      </c>
      <c r="J141" s="309">
        <f t="shared" si="222"/>
        <v>0</v>
      </c>
      <c r="K141" s="309">
        <f t="shared" si="222"/>
        <v>0</v>
      </c>
      <c r="L141" s="309">
        <f t="shared" si="222"/>
        <v>0</v>
      </c>
      <c r="M141" s="309">
        <f t="shared" si="222"/>
        <v>0</v>
      </c>
      <c r="N141" s="309">
        <f t="shared" si="222"/>
        <v>0</v>
      </c>
      <c r="O141" s="309">
        <f t="shared" si="222"/>
        <v>0</v>
      </c>
      <c r="P141" s="309">
        <f t="shared" si="222"/>
        <v>0</v>
      </c>
      <c r="Q141" s="309">
        <f t="shared" si="222"/>
        <v>0</v>
      </c>
      <c r="R141" s="309">
        <f t="shared" si="222"/>
        <v>0</v>
      </c>
      <c r="S141" s="309">
        <f t="shared" si="222"/>
        <v>0</v>
      </c>
      <c r="T141" s="309">
        <f t="shared" si="222"/>
        <v>0</v>
      </c>
      <c r="U141" s="309">
        <f t="shared" si="222"/>
        <v>0</v>
      </c>
      <c r="V141" s="309">
        <f t="shared" si="222"/>
        <v>0</v>
      </c>
      <c r="W141" s="309">
        <f t="shared" si="222"/>
        <v>0</v>
      </c>
      <c r="X141" s="309">
        <f t="shared" si="222"/>
        <v>0</v>
      </c>
      <c r="Y141" s="309">
        <f t="shared" si="222"/>
        <v>0</v>
      </c>
      <c r="Z141" s="309">
        <f t="shared" si="222"/>
        <v>0</v>
      </c>
      <c r="AA141" s="309">
        <f t="shared" si="222"/>
        <v>0</v>
      </c>
      <c r="AB141" s="309">
        <f t="shared" si="222"/>
        <v>0</v>
      </c>
      <c r="AC141" s="309">
        <f t="shared" si="222"/>
        <v>0</v>
      </c>
      <c r="AD141" s="309">
        <f t="shared" si="222"/>
        <v>0</v>
      </c>
      <c r="AE141" s="309">
        <f t="shared" si="222"/>
        <v>0</v>
      </c>
      <c r="AF141" s="309">
        <f t="shared" si="222"/>
        <v>0</v>
      </c>
      <c r="AG141" s="309">
        <f t="shared" si="222"/>
        <v>0</v>
      </c>
      <c r="AH141" s="309">
        <f t="shared" si="222"/>
        <v>0</v>
      </c>
      <c r="AI141" s="309">
        <f t="shared" si="222"/>
        <v>0</v>
      </c>
      <c r="AJ141" s="309">
        <f t="shared" si="222"/>
        <v>0</v>
      </c>
      <c r="AK141" s="309">
        <f t="shared" si="222"/>
        <v>0</v>
      </c>
      <c r="AL141" s="309">
        <f t="shared" ref="AL141:BQ141" si="223">AL$193</f>
        <v>0</v>
      </c>
      <c r="AM141" s="309">
        <f t="shared" si="223"/>
        <v>0</v>
      </c>
      <c r="AN141" s="309">
        <f t="shared" si="223"/>
        <v>0</v>
      </c>
      <c r="AO141" s="309">
        <f t="shared" si="223"/>
        <v>0</v>
      </c>
      <c r="AP141" s="309">
        <f t="shared" si="223"/>
        <v>0</v>
      </c>
      <c r="AQ141" s="309">
        <f t="shared" si="223"/>
        <v>0</v>
      </c>
      <c r="AR141" s="309">
        <f t="shared" si="223"/>
        <v>0</v>
      </c>
      <c r="AS141" s="309">
        <f t="shared" si="223"/>
        <v>0</v>
      </c>
      <c r="AT141" s="309">
        <f t="shared" si="223"/>
        <v>0</v>
      </c>
      <c r="AU141" s="309">
        <f t="shared" si="223"/>
        <v>0</v>
      </c>
      <c r="AV141" s="309">
        <f t="shared" si="223"/>
        <v>0</v>
      </c>
      <c r="AW141" s="309">
        <f t="shared" si="223"/>
        <v>0</v>
      </c>
      <c r="AX141" s="309">
        <f t="shared" si="223"/>
        <v>0</v>
      </c>
      <c r="AY141" s="309">
        <f t="shared" si="223"/>
        <v>0</v>
      </c>
      <c r="AZ141" s="309">
        <f t="shared" si="223"/>
        <v>0</v>
      </c>
      <c r="BA141" s="309">
        <f t="shared" si="223"/>
        <v>0</v>
      </c>
      <c r="BB141" s="309">
        <f t="shared" si="223"/>
        <v>0</v>
      </c>
      <c r="BC141" s="309">
        <f t="shared" si="223"/>
        <v>0</v>
      </c>
      <c r="BD141" s="309">
        <f t="shared" si="223"/>
        <v>0</v>
      </c>
      <c r="BE141" s="309">
        <f t="shared" si="223"/>
        <v>0</v>
      </c>
      <c r="BF141" s="309">
        <f t="shared" si="223"/>
        <v>0</v>
      </c>
      <c r="BG141" s="309">
        <f t="shared" si="223"/>
        <v>0</v>
      </c>
      <c r="BH141" s="309">
        <f t="shared" si="223"/>
        <v>0</v>
      </c>
      <c r="BI141" s="309">
        <f t="shared" si="223"/>
        <v>0</v>
      </c>
      <c r="BJ141" s="309">
        <f t="shared" si="223"/>
        <v>0</v>
      </c>
      <c r="BK141" s="309">
        <f t="shared" si="223"/>
        <v>0</v>
      </c>
      <c r="BL141" s="309">
        <f t="shared" si="223"/>
        <v>0</v>
      </c>
      <c r="BM141" s="309">
        <f t="shared" si="223"/>
        <v>0</v>
      </c>
      <c r="BN141" s="309">
        <f t="shared" si="223"/>
        <v>0</v>
      </c>
      <c r="BO141" s="309">
        <f t="shared" si="223"/>
        <v>0</v>
      </c>
      <c r="BP141" s="309">
        <f t="shared" si="223"/>
        <v>0</v>
      </c>
      <c r="BQ141" s="309">
        <f t="shared" si="223"/>
        <v>0</v>
      </c>
      <c r="BR141" s="309">
        <f t="shared" ref="BR141:CW141" si="224">BR$193</f>
        <v>0</v>
      </c>
      <c r="BS141" s="309">
        <f t="shared" si="224"/>
        <v>0</v>
      </c>
      <c r="BT141" s="309">
        <f t="shared" si="224"/>
        <v>0</v>
      </c>
      <c r="BU141" s="309">
        <f t="shared" si="224"/>
        <v>833875.68958491564</v>
      </c>
      <c r="BV141" s="309">
        <f t="shared" si="224"/>
        <v>938294.15767769236</v>
      </c>
      <c r="BW141" s="309">
        <f t="shared" si="224"/>
        <v>938294.15767769236</v>
      </c>
      <c r="BX141" s="309">
        <f t="shared" si="224"/>
        <v>946721.61865581735</v>
      </c>
      <c r="BY141" s="309">
        <f t="shared" si="224"/>
        <v>946721.61865581735</v>
      </c>
      <c r="BZ141" s="309">
        <f t="shared" si="224"/>
        <v>946721.61865581735</v>
      </c>
      <c r="CA141" s="309">
        <f t="shared" si="224"/>
        <v>969115.15903135366</v>
      </c>
      <c r="CB141" s="309">
        <f t="shared" si="224"/>
        <v>969115.15903135366</v>
      </c>
      <c r="CC141" s="309">
        <f t="shared" si="224"/>
        <v>969115.15903135366</v>
      </c>
      <c r="CD141" s="309">
        <f t="shared" si="224"/>
        <v>971142.72684525966</v>
      </c>
      <c r="CE141" s="309">
        <f t="shared" si="224"/>
        <v>971142.72684525966</v>
      </c>
      <c r="CF141" s="309">
        <f t="shared" si="224"/>
        <v>971142.72684525966</v>
      </c>
      <c r="CG141" s="309">
        <f t="shared" si="224"/>
        <v>972985.97031244717</v>
      </c>
      <c r="CH141" s="309">
        <f t="shared" si="224"/>
        <v>972985.97031244717</v>
      </c>
      <c r="CI141" s="309">
        <f t="shared" si="224"/>
        <v>972985.97031244717</v>
      </c>
      <c r="CJ141" s="309">
        <f t="shared" si="224"/>
        <v>981708.39242480672</v>
      </c>
      <c r="CK141" s="309">
        <f t="shared" si="224"/>
        <v>981708.39242480672</v>
      </c>
      <c r="CL141" s="309">
        <f t="shared" si="224"/>
        <v>981708.39242480672</v>
      </c>
      <c r="CM141" s="309">
        <f t="shared" si="224"/>
        <v>1004686.9946413871</v>
      </c>
      <c r="CN141" s="309">
        <f t="shared" si="224"/>
        <v>1004686.9946413871</v>
      </c>
      <c r="CO141" s="309">
        <f t="shared" si="224"/>
        <v>1004686.9946413871</v>
      </c>
      <c r="CP141" s="309">
        <f t="shared" si="224"/>
        <v>1006785.5273287803</v>
      </c>
      <c r="CQ141" s="309">
        <f t="shared" si="224"/>
        <v>1006785.5273287803</v>
      </c>
      <c r="CR141" s="309">
        <f t="shared" si="224"/>
        <v>1006785.5273287803</v>
      </c>
      <c r="CS141" s="309">
        <f t="shared" si="224"/>
        <v>1008693.2843173193</v>
      </c>
      <c r="CT141" s="309">
        <f t="shared" si="224"/>
        <v>1008693.2843173193</v>
      </c>
      <c r="CU141" s="309">
        <f t="shared" si="224"/>
        <v>1008693.2843173193</v>
      </c>
      <c r="CV141" s="309">
        <f t="shared" si="224"/>
        <v>1017720.9912036115</v>
      </c>
      <c r="CW141" s="309">
        <f t="shared" si="224"/>
        <v>1017720.9912036115</v>
      </c>
      <c r="CX141" s="309">
        <f t="shared" ref="CX141:DV141" si="225">CX$193</f>
        <v>1017720.9912036115</v>
      </c>
      <c r="CY141" s="309">
        <f t="shared" si="225"/>
        <v>1041300.1646238707</v>
      </c>
      <c r="CZ141" s="309">
        <f t="shared" si="225"/>
        <v>1041300.1646238707</v>
      </c>
      <c r="DA141" s="309">
        <f t="shared" si="225"/>
        <v>1041300.1646238707</v>
      </c>
      <c r="DB141" s="309">
        <f t="shared" si="225"/>
        <v>1043472.1459553222</v>
      </c>
      <c r="DC141" s="309">
        <f t="shared" si="225"/>
        <v>1043472.1459553222</v>
      </c>
      <c r="DD141" s="309">
        <f t="shared" si="225"/>
        <v>1043472.1459553222</v>
      </c>
      <c r="DE141" s="309">
        <f t="shared" si="225"/>
        <v>1045446.6744384604</v>
      </c>
      <c r="DF141" s="309">
        <f t="shared" si="225"/>
        <v>1045446.6744384604</v>
      </c>
      <c r="DG141" s="309">
        <f t="shared" si="225"/>
        <v>1045446.6744384604</v>
      </c>
      <c r="DH141" s="309">
        <f t="shared" si="225"/>
        <v>1054790.3510657724</v>
      </c>
      <c r="DI141" s="309">
        <f t="shared" si="225"/>
        <v>1054790.3510657724</v>
      </c>
      <c r="DJ141" s="309">
        <f t="shared" si="225"/>
        <v>1054790.3510657724</v>
      </c>
      <c r="DK141" s="309">
        <f t="shared" si="225"/>
        <v>1078986.0236849918</v>
      </c>
      <c r="DL141" s="309">
        <f t="shared" si="225"/>
        <v>1078986.0236849918</v>
      </c>
      <c r="DM141" s="309">
        <f t="shared" si="225"/>
        <v>1078986.0236849918</v>
      </c>
      <c r="DN141" s="309">
        <f t="shared" si="225"/>
        <v>1081234.0243630442</v>
      </c>
      <c r="DO141" s="309">
        <f t="shared" si="225"/>
        <v>1081234.0243630442</v>
      </c>
      <c r="DP141" s="309">
        <f t="shared" si="225"/>
        <v>1081234.0243630442</v>
      </c>
      <c r="DQ141" s="309">
        <f t="shared" si="225"/>
        <v>1083277.6613430921</v>
      </c>
      <c r="DR141" s="309">
        <f t="shared" si="225"/>
        <v>1083277.6613430921</v>
      </c>
      <c r="DS141" s="309">
        <f t="shared" si="225"/>
        <v>1083277.6613430921</v>
      </c>
      <c r="DT141" s="309">
        <f t="shared" si="225"/>
        <v>1092948.3666523602</v>
      </c>
      <c r="DU141" s="309">
        <f t="shared" si="225"/>
        <v>1092948.3666523602</v>
      </c>
      <c r="DV141" s="309">
        <f t="shared" si="225"/>
        <v>1092948.3666523602</v>
      </c>
    </row>
    <row r="142" spans="1:126" ht="15" customHeight="1" x14ac:dyDescent="0.35">
      <c r="A142" s="307" t="s">
        <v>1609</v>
      </c>
      <c r="B142" s="308" t="s">
        <v>1370</v>
      </c>
      <c r="C142" s="1146" t="s">
        <v>1610</v>
      </c>
      <c r="D142" s="1147"/>
      <c r="F142" s="309">
        <f>MAX(0,Underwriting!L$153)</f>
        <v>0</v>
      </c>
      <c r="G142" s="309">
        <f>MAX(0,Underwriting!M$153)</f>
        <v>0</v>
      </c>
      <c r="H142" s="309">
        <f>MAX(0,Underwriting!N$153)</f>
        <v>0</v>
      </c>
      <c r="I142" s="309">
        <f>MAX(0,Underwriting!O$153)</f>
        <v>0</v>
      </c>
      <c r="J142" s="309">
        <f>MAX(0,Underwriting!P$153)</f>
        <v>0</v>
      </c>
      <c r="K142" s="309">
        <f>MAX(0,Underwriting!Q$153)</f>
        <v>0</v>
      </c>
      <c r="L142" s="309">
        <f>MAX(0,Underwriting!R$153)</f>
        <v>0</v>
      </c>
      <c r="M142" s="309">
        <f>MAX(0,Underwriting!S$153)</f>
        <v>0</v>
      </c>
      <c r="N142" s="309">
        <f>MAX(0,Underwriting!T$153)</f>
        <v>0</v>
      </c>
      <c r="O142" s="309">
        <f>MAX(0,Underwriting!U$153)</f>
        <v>0</v>
      </c>
      <c r="P142" s="309">
        <f>MAX(0,Underwriting!V$153)</f>
        <v>0</v>
      </c>
      <c r="Q142" s="309">
        <f>MAX(0,Underwriting!W$153)</f>
        <v>0</v>
      </c>
      <c r="R142" s="309">
        <f>MAX(0,Underwriting!X$153)</f>
        <v>0</v>
      </c>
      <c r="S142" s="309">
        <f>MAX(0,Underwriting!Y$153)</f>
        <v>0</v>
      </c>
      <c r="T142" s="309">
        <f>MAX(0,Underwriting!Z$153)</f>
        <v>0</v>
      </c>
      <c r="U142" s="309">
        <f>MAX(0,Underwriting!AA$153)</f>
        <v>0</v>
      </c>
      <c r="V142" s="309">
        <f>MAX(0,Underwriting!AB$153)</f>
        <v>0</v>
      </c>
      <c r="W142" s="309">
        <f>MAX(0,Underwriting!AC$153)</f>
        <v>0</v>
      </c>
      <c r="X142" s="309">
        <f>MAX(0,Underwriting!AD$153)</f>
        <v>0</v>
      </c>
      <c r="Y142" s="309">
        <f>MAX(0,Underwriting!AE$153)</f>
        <v>0</v>
      </c>
      <c r="Z142" s="309">
        <f>MAX(0,Underwriting!AF$153)</f>
        <v>0</v>
      </c>
      <c r="AA142" s="309">
        <f>MAX(0,Underwriting!AG$153)</f>
        <v>0</v>
      </c>
      <c r="AB142" s="309">
        <f>MAX(0,Underwriting!AH$153)</f>
        <v>0</v>
      </c>
      <c r="AC142" s="309">
        <f>MAX(0,Underwriting!AI$153)</f>
        <v>0</v>
      </c>
      <c r="AD142" s="309">
        <f>MAX(0,Underwriting!AJ$153)</f>
        <v>0</v>
      </c>
      <c r="AE142" s="309">
        <f>MAX(0,Underwriting!AK$153)</f>
        <v>0</v>
      </c>
      <c r="AF142" s="309">
        <f>MAX(0,Underwriting!AL$153)</f>
        <v>0</v>
      </c>
      <c r="AG142" s="309">
        <f>MAX(0,Underwriting!AM$153)</f>
        <v>0</v>
      </c>
      <c r="AH142" s="309">
        <f>MAX(0,Underwriting!AN$153)</f>
        <v>0</v>
      </c>
      <c r="AI142" s="309">
        <f>MAX(0,Underwriting!AO$153)</f>
        <v>0</v>
      </c>
      <c r="AJ142" s="309">
        <f>MAX(0,Underwriting!AP$153)</f>
        <v>0</v>
      </c>
      <c r="AK142" s="309">
        <f>MAX(0,Underwriting!AQ$153)</f>
        <v>0</v>
      </c>
      <c r="AL142" s="309">
        <f>MAX(0,Underwriting!AR$153)</f>
        <v>0</v>
      </c>
      <c r="AM142" s="309">
        <f>MAX(0,Underwriting!AS$153)</f>
        <v>0</v>
      </c>
      <c r="AN142" s="309">
        <f>MAX(0,Underwriting!AT$153)</f>
        <v>0</v>
      </c>
      <c r="AO142" s="309">
        <f>MAX(0,Underwriting!AU$153)</f>
        <v>0</v>
      </c>
      <c r="AP142" s="309">
        <f>MAX(0,Underwriting!AV$153)</f>
        <v>0</v>
      </c>
      <c r="AQ142" s="309">
        <f>MAX(0,Underwriting!AW$153)</f>
        <v>0</v>
      </c>
      <c r="AR142" s="309">
        <f>MAX(0,Underwriting!AX$153)</f>
        <v>0</v>
      </c>
      <c r="AS142" s="309">
        <f>MAX(0,Underwriting!AY$153)</f>
        <v>0</v>
      </c>
      <c r="AT142" s="309">
        <f>MAX(0,Underwriting!AZ$153)</f>
        <v>0</v>
      </c>
      <c r="AU142" s="309">
        <f>MAX(0,Underwriting!BA$153)</f>
        <v>0</v>
      </c>
      <c r="AV142" s="309">
        <f>MAX(0,Underwriting!BB$153)</f>
        <v>0</v>
      </c>
      <c r="AW142" s="309">
        <f>MAX(0,Underwriting!BC$153)</f>
        <v>0</v>
      </c>
      <c r="AX142" s="309">
        <f>MAX(0,Underwriting!BD$153)</f>
        <v>0</v>
      </c>
      <c r="AY142" s="309">
        <f>MAX(0,Underwriting!BE$153)</f>
        <v>0</v>
      </c>
      <c r="AZ142" s="309">
        <f>MAX(0,Underwriting!BF$153)</f>
        <v>0</v>
      </c>
      <c r="BA142" s="309">
        <f>MAX(0,Underwriting!BG$153)</f>
        <v>0</v>
      </c>
      <c r="BB142" s="309">
        <f>MAX(0,Underwriting!BH$153)</f>
        <v>0</v>
      </c>
      <c r="BC142" s="309">
        <f>MAX(0,Underwriting!BI$153)</f>
        <v>0</v>
      </c>
      <c r="BD142" s="309">
        <f>MAX(0,Underwriting!BJ$153)</f>
        <v>0</v>
      </c>
      <c r="BE142" s="309">
        <f>MAX(0,Underwriting!BK$153)</f>
        <v>0</v>
      </c>
      <c r="BF142" s="309">
        <f>MAX(0,Underwriting!BL$153)</f>
        <v>0</v>
      </c>
      <c r="BG142" s="309">
        <f>MAX(0,Underwriting!BM$153)</f>
        <v>0</v>
      </c>
      <c r="BH142" s="309">
        <f>MAX(0,Underwriting!BN$153)</f>
        <v>0</v>
      </c>
      <c r="BI142" s="309">
        <f>MAX(0,Underwriting!BO$153)</f>
        <v>0</v>
      </c>
      <c r="BJ142" s="309">
        <f>MAX(0,Underwriting!BP$153)</f>
        <v>0</v>
      </c>
      <c r="BK142" s="309">
        <f>MAX(0,Underwriting!BQ$153)</f>
        <v>0</v>
      </c>
      <c r="BL142" s="309">
        <f>MAX(0,Underwriting!BR$153)</f>
        <v>0</v>
      </c>
      <c r="BM142" s="309">
        <f>MAX(0,Underwriting!BS$153)</f>
        <v>0</v>
      </c>
      <c r="BN142" s="309">
        <f>MAX(0,Underwriting!BT$153)</f>
        <v>0</v>
      </c>
      <c r="BO142" s="309">
        <f>MAX(0,Underwriting!BU$153)</f>
        <v>0</v>
      </c>
      <c r="BP142" s="309">
        <f>MAX(0,Underwriting!BV$153)</f>
        <v>0</v>
      </c>
      <c r="BQ142" s="309">
        <f>MAX(0,Underwriting!BW$153)</f>
        <v>0</v>
      </c>
      <c r="BR142" s="309">
        <f>MAX(0,Underwriting!BX$153)</f>
        <v>0</v>
      </c>
      <c r="BS142" s="309">
        <f>MAX(0,Underwriting!BY$153)</f>
        <v>0</v>
      </c>
      <c r="BT142" s="309">
        <f>MAX(0,Underwriting!BZ$153)</f>
        <v>0</v>
      </c>
      <c r="BU142" s="309">
        <f>MAX(0,Underwriting!CA$153)</f>
        <v>0</v>
      </c>
      <c r="BV142" s="309">
        <f>MAX(0,Underwriting!CB$153)</f>
        <v>0</v>
      </c>
      <c r="BW142" s="309">
        <f>MAX(0,Underwriting!CC$153)</f>
        <v>0</v>
      </c>
      <c r="BX142" s="309">
        <f>MAX(0,Underwriting!CD$153)</f>
        <v>0</v>
      </c>
      <c r="BY142" s="309">
        <f>MAX(0,Underwriting!CE$153)</f>
        <v>0</v>
      </c>
      <c r="BZ142" s="309">
        <f>MAX(0,Underwriting!CF$153)</f>
        <v>0</v>
      </c>
      <c r="CA142" s="309">
        <f>MAX(0,Underwriting!CG$153)</f>
        <v>0</v>
      </c>
      <c r="CB142" s="309">
        <f>MAX(0,Underwriting!CH$153)</f>
        <v>0</v>
      </c>
      <c r="CC142" s="309">
        <f>MAX(0,Underwriting!CI$153)</f>
        <v>0</v>
      </c>
      <c r="CD142" s="309">
        <f>MAX(0,Underwriting!CJ$153)</f>
        <v>0</v>
      </c>
      <c r="CE142" s="309">
        <f>MAX(0,Underwriting!CK$153)</f>
        <v>0</v>
      </c>
      <c r="CF142" s="309">
        <f>MAX(0,Underwriting!CL$153)</f>
        <v>0</v>
      </c>
      <c r="CG142" s="309">
        <f>MAX(0,Underwriting!CM$153)</f>
        <v>0</v>
      </c>
      <c r="CH142" s="309">
        <f>MAX(0,Underwriting!CN$153)</f>
        <v>0</v>
      </c>
      <c r="CI142" s="309">
        <f>MAX(0,Underwriting!CO$153)</f>
        <v>0</v>
      </c>
      <c r="CJ142" s="309">
        <f>MAX(0,Underwriting!CP$153)</f>
        <v>0</v>
      </c>
      <c r="CK142" s="309">
        <f>MAX(0,Underwriting!CQ$153)</f>
        <v>0</v>
      </c>
      <c r="CL142" s="309">
        <f>MAX(0,Underwriting!CR$153)</f>
        <v>0</v>
      </c>
      <c r="CM142" s="309">
        <f>MAX(0,Underwriting!CS$153)</f>
        <v>0</v>
      </c>
      <c r="CN142" s="309">
        <f>MAX(0,Underwriting!CT$153)</f>
        <v>0</v>
      </c>
      <c r="CO142" s="309">
        <f>MAX(0,Underwriting!CU$153)</f>
        <v>0</v>
      </c>
      <c r="CP142" s="309">
        <f>MAX(0,Underwriting!CV$153)</f>
        <v>0</v>
      </c>
      <c r="CQ142" s="309">
        <f>MAX(0,Underwriting!CW$153)</f>
        <v>0</v>
      </c>
      <c r="CR142" s="309">
        <f>MAX(0,Underwriting!CX$153)</f>
        <v>0</v>
      </c>
      <c r="CS142" s="309">
        <f>MAX(0,Underwriting!CY$153)</f>
        <v>0</v>
      </c>
      <c r="CT142" s="309">
        <f>MAX(0,Underwriting!CZ$153)</f>
        <v>0</v>
      </c>
      <c r="CU142" s="309">
        <f>MAX(0,Underwriting!DA$153)</f>
        <v>0</v>
      </c>
      <c r="CV142" s="309">
        <f>MAX(0,Underwriting!DB$153)</f>
        <v>0</v>
      </c>
      <c r="CW142" s="309">
        <f>MAX(0,Underwriting!DC$153)</f>
        <v>0</v>
      </c>
      <c r="CX142" s="309">
        <f>MAX(0,Underwriting!DD$153)</f>
        <v>0</v>
      </c>
      <c r="CY142" s="309">
        <f>MAX(0,Underwriting!DE$153)</f>
        <v>0</v>
      </c>
      <c r="CZ142" s="309">
        <f>MAX(0,Underwriting!DF$153)</f>
        <v>0</v>
      </c>
      <c r="DA142" s="309">
        <f>MAX(0,Underwriting!DG$153)</f>
        <v>0</v>
      </c>
      <c r="DB142" s="309">
        <f>MAX(0,Underwriting!DH$153)</f>
        <v>0</v>
      </c>
      <c r="DC142" s="309">
        <f>MAX(0,Underwriting!DI$153)</f>
        <v>0</v>
      </c>
      <c r="DD142" s="309">
        <f>MAX(0,Underwriting!DJ$153)</f>
        <v>0</v>
      </c>
      <c r="DE142" s="309">
        <f>MAX(0,Underwriting!DK$153)</f>
        <v>0</v>
      </c>
      <c r="DF142" s="309">
        <f>MAX(0,Underwriting!DL$153)</f>
        <v>0</v>
      </c>
      <c r="DG142" s="309">
        <f>MAX(0,Underwriting!DM$153)</f>
        <v>0</v>
      </c>
      <c r="DH142" s="309">
        <f>MAX(0,Underwriting!DN$153)</f>
        <v>0</v>
      </c>
      <c r="DI142" s="309">
        <f>MAX(0,Underwriting!DO$153)</f>
        <v>0</v>
      </c>
      <c r="DJ142" s="309">
        <f>MAX(0,Underwriting!DP$153)</f>
        <v>0</v>
      </c>
      <c r="DK142" s="309">
        <f>MAX(0,Underwriting!DQ$153)</f>
        <v>0</v>
      </c>
      <c r="DL142" s="309">
        <f>MAX(0,Underwriting!DR$153)</f>
        <v>0</v>
      </c>
      <c r="DM142" s="309">
        <f>MAX(0,Underwriting!DS$153)</f>
        <v>0</v>
      </c>
      <c r="DN142" s="309">
        <f>MAX(0,Underwriting!DT$153)</f>
        <v>0</v>
      </c>
      <c r="DO142" s="309">
        <f>MAX(0,Underwriting!DU$153)</f>
        <v>0</v>
      </c>
      <c r="DP142" s="309">
        <f>MAX(0,Underwriting!DV$153)</f>
        <v>0</v>
      </c>
      <c r="DQ142" s="309">
        <f>MAX(0,Underwriting!DW$153)</f>
        <v>0</v>
      </c>
      <c r="DR142" s="309">
        <f>MAX(0,Underwriting!DX$153)</f>
        <v>0</v>
      </c>
      <c r="DS142" s="309">
        <f>MAX(0,Underwriting!DY$153)</f>
        <v>0</v>
      </c>
      <c r="DT142" s="309">
        <f>MAX(0,Underwriting!DZ$153)</f>
        <v>0</v>
      </c>
      <c r="DU142" s="309">
        <f>MAX(0,Underwriting!EA$153)</f>
        <v>0</v>
      </c>
      <c r="DV142" s="309">
        <f>MAX(0,Underwriting!EB$153)</f>
        <v>0</v>
      </c>
    </row>
    <row r="143" spans="1:126" ht="15" customHeight="1" x14ac:dyDescent="0.35">
      <c r="A143" s="307" t="s">
        <v>1611</v>
      </c>
      <c r="B143" s="308" t="s">
        <v>1370</v>
      </c>
      <c r="C143" s="1146" t="s">
        <v>1612</v>
      </c>
      <c r="D143" s="1147"/>
      <c r="F143" s="309">
        <f>F$195</f>
        <v>0</v>
      </c>
      <c r="G143" s="309">
        <f t="shared" ref="G143:AL143" si="226">G$195</f>
        <v>0</v>
      </c>
      <c r="H143" s="309">
        <f t="shared" si="226"/>
        <v>0</v>
      </c>
      <c r="I143" s="309">
        <f t="shared" si="226"/>
        <v>0</v>
      </c>
      <c r="J143" s="309">
        <f t="shared" si="226"/>
        <v>0</v>
      </c>
      <c r="K143" s="309">
        <f t="shared" si="226"/>
        <v>0</v>
      </c>
      <c r="L143" s="309">
        <f t="shared" si="226"/>
        <v>0</v>
      </c>
      <c r="M143" s="309">
        <f t="shared" si="226"/>
        <v>0</v>
      </c>
      <c r="N143" s="309">
        <f t="shared" si="226"/>
        <v>0</v>
      </c>
      <c r="O143" s="309">
        <f t="shared" si="226"/>
        <v>0</v>
      </c>
      <c r="P143" s="309">
        <f t="shared" si="226"/>
        <v>0</v>
      </c>
      <c r="Q143" s="309">
        <f t="shared" si="226"/>
        <v>0</v>
      </c>
      <c r="R143" s="309">
        <f t="shared" si="226"/>
        <v>0</v>
      </c>
      <c r="S143" s="309">
        <f t="shared" si="226"/>
        <v>0</v>
      </c>
      <c r="T143" s="309">
        <f t="shared" si="226"/>
        <v>0</v>
      </c>
      <c r="U143" s="309">
        <f t="shared" si="226"/>
        <v>0</v>
      </c>
      <c r="V143" s="309">
        <f t="shared" si="226"/>
        <v>0</v>
      </c>
      <c r="W143" s="309">
        <f t="shared" si="226"/>
        <v>0</v>
      </c>
      <c r="X143" s="309">
        <f t="shared" si="226"/>
        <v>0</v>
      </c>
      <c r="Y143" s="309">
        <f t="shared" si="226"/>
        <v>0</v>
      </c>
      <c r="Z143" s="309">
        <f t="shared" si="226"/>
        <v>0</v>
      </c>
      <c r="AA143" s="309">
        <f t="shared" si="226"/>
        <v>0</v>
      </c>
      <c r="AB143" s="309">
        <f t="shared" si="226"/>
        <v>172000</v>
      </c>
      <c r="AC143" s="309">
        <f t="shared" si="226"/>
        <v>0</v>
      </c>
      <c r="AD143" s="309">
        <f t="shared" si="226"/>
        <v>0</v>
      </c>
      <c r="AE143" s="309">
        <f t="shared" si="226"/>
        <v>52000</v>
      </c>
      <c r="AF143" s="309">
        <f t="shared" si="226"/>
        <v>0</v>
      </c>
      <c r="AG143" s="309">
        <f t="shared" si="226"/>
        <v>0</v>
      </c>
      <c r="AH143" s="309">
        <f t="shared" si="226"/>
        <v>41800</v>
      </c>
      <c r="AI143" s="309">
        <f t="shared" si="226"/>
        <v>0</v>
      </c>
      <c r="AJ143" s="309">
        <f t="shared" si="226"/>
        <v>0</v>
      </c>
      <c r="AK143" s="309">
        <f t="shared" si="226"/>
        <v>38000</v>
      </c>
      <c r="AL143" s="309">
        <f t="shared" si="226"/>
        <v>0</v>
      </c>
      <c r="AM143" s="309">
        <f t="shared" ref="AM143:BR143" si="227">AM$195</f>
        <v>0</v>
      </c>
      <c r="AN143" s="309">
        <f t="shared" si="227"/>
        <v>7819.9999999999418</v>
      </c>
      <c r="AO143" s="309">
        <f t="shared" si="227"/>
        <v>0</v>
      </c>
      <c r="AP143" s="309">
        <f t="shared" si="227"/>
        <v>0</v>
      </c>
      <c r="AQ143" s="309">
        <f t="shared" si="227"/>
        <v>7572.039999999979</v>
      </c>
      <c r="AR143" s="309">
        <f t="shared" si="227"/>
        <v>55279.124455991026</v>
      </c>
      <c r="AS143" s="309">
        <f t="shared" si="227"/>
        <v>55279.124455991085</v>
      </c>
      <c r="AT143" s="309">
        <f t="shared" si="227"/>
        <v>57217.742929446918</v>
      </c>
      <c r="AU143" s="309">
        <f t="shared" si="227"/>
        <v>55437.66394714301</v>
      </c>
      <c r="AV143" s="309">
        <f t="shared" si="227"/>
        <v>55437.663947143126</v>
      </c>
      <c r="AW143" s="309">
        <f t="shared" si="227"/>
        <v>56767.66394714301</v>
      </c>
      <c r="AX143" s="309">
        <f t="shared" si="227"/>
        <v>55437.663947142893</v>
      </c>
      <c r="AY143" s="309">
        <f t="shared" si="227"/>
        <v>55437.66394714301</v>
      </c>
      <c r="AZ143" s="309">
        <f t="shared" si="227"/>
        <v>61731.363947142963</v>
      </c>
      <c r="BA143" s="309">
        <f t="shared" si="227"/>
        <v>55437.663947143126</v>
      </c>
      <c r="BB143" s="309">
        <f t="shared" si="227"/>
        <v>55437.663947142777</v>
      </c>
      <c r="BC143" s="309">
        <f t="shared" si="227"/>
        <v>74096.464131285902</v>
      </c>
      <c r="BD143" s="309">
        <f t="shared" si="227"/>
        <v>0</v>
      </c>
      <c r="BE143" s="309">
        <f t="shared" si="227"/>
        <v>0</v>
      </c>
      <c r="BF143" s="309">
        <f t="shared" si="227"/>
        <v>1514.2049999999581</v>
      </c>
      <c r="BG143" s="309">
        <f t="shared" si="227"/>
        <v>0</v>
      </c>
      <c r="BH143" s="309">
        <f t="shared" si="227"/>
        <v>0</v>
      </c>
      <c r="BI143" s="309">
        <f t="shared" si="227"/>
        <v>1376.5499999999302</v>
      </c>
      <c r="BJ143" s="309">
        <f t="shared" si="227"/>
        <v>0</v>
      </c>
      <c r="BK143" s="309">
        <f t="shared" si="227"/>
        <v>0</v>
      </c>
      <c r="BL143" s="309">
        <f t="shared" si="227"/>
        <v>6513.9795000002487</v>
      </c>
      <c r="BM143" s="309">
        <f t="shared" si="227"/>
        <v>0</v>
      </c>
      <c r="BN143" s="309">
        <f t="shared" si="227"/>
        <v>0</v>
      </c>
      <c r="BO143" s="309">
        <f t="shared" si="227"/>
        <v>19144.107188746333</v>
      </c>
      <c r="BP143" s="309">
        <f t="shared" si="227"/>
        <v>0</v>
      </c>
      <c r="BQ143" s="309">
        <f t="shared" si="227"/>
        <v>0</v>
      </c>
      <c r="BR143" s="309">
        <f t="shared" si="227"/>
        <v>1567.2021750001004</v>
      </c>
      <c r="BS143" s="309">
        <f t="shared" ref="BS143:CX143" si="228">BS$195</f>
        <v>0</v>
      </c>
      <c r="BT143" s="309">
        <f t="shared" si="228"/>
        <v>0</v>
      </c>
      <c r="BU143" s="309">
        <f t="shared" si="228"/>
        <v>1424.7292499998584</v>
      </c>
      <c r="BV143" s="309">
        <f t="shared" si="228"/>
        <v>0</v>
      </c>
      <c r="BW143" s="309">
        <f t="shared" si="228"/>
        <v>0</v>
      </c>
      <c r="BX143" s="309">
        <f t="shared" si="228"/>
        <v>6741.9687825000146</v>
      </c>
      <c r="BY143" s="309">
        <f t="shared" si="228"/>
        <v>0</v>
      </c>
      <c r="BZ143" s="309">
        <f t="shared" si="228"/>
        <v>0</v>
      </c>
      <c r="CA143" s="309">
        <f t="shared" si="228"/>
        <v>19642.206163465278</v>
      </c>
      <c r="CB143" s="309">
        <f t="shared" si="228"/>
        <v>0</v>
      </c>
      <c r="CC143" s="309">
        <f t="shared" si="228"/>
        <v>0</v>
      </c>
      <c r="CD143" s="309">
        <f t="shared" si="228"/>
        <v>1622.0542511248495</v>
      </c>
      <c r="CE143" s="309">
        <f t="shared" si="228"/>
        <v>0</v>
      </c>
      <c r="CF143" s="309">
        <f t="shared" si="228"/>
        <v>0</v>
      </c>
      <c r="CG143" s="309">
        <f t="shared" si="228"/>
        <v>1474.5947737500537</v>
      </c>
      <c r="CH143" s="309">
        <f t="shared" si="228"/>
        <v>0</v>
      </c>
      <c r="CI143" s="309">
        <f t="shared" si="228"/>
        <v>0</v>
      </c>
      <c r="CJ143" s="309">
        <f t="shared" si="228"/>
        <v>6977.9376898875926</v>
      </c>
      <c r="CK143" s="309">
        <f t="shared" si="228"/>
        <v>0</v>
      </c>
      <c r="CL143" s="309">
        <f t="shared" si="228"/>
        <v>0</v>
      </c>
      <c r="CM143" s="309">
        <f t="shared" si="228"/>
        <v>20153.439982876647</v>
      </c>
      <c r="CN143" s="309">
        <f t="shared" si="228"/>
        <v>0</v>
      </c>
      <c r="CO143" s="309">
        <f t="shared" si="228"/>
        <v>0</v>
      </c>
      <c r="CP143" s="309">
        <f t="shared" si="228"/>
        <v>1678.8261499144137</v>
      </c>
      <c r="CQ143" s="309">
        <f t="shared" si="228"/>
        <v>0</v>
      </c>
      <c r="CR143" s="309">
        <f t="shared" si="228"/>
        <v>0</v>
      </c>
      <c r="CS143" s="309">
        <f t="shared" si="228"/>
        <v>1526.2055908313487</v>
      </c>
      <c r="CT143" s="309">
        <f t="shared" si="228"/>
        <v>0</v>
      </c>
      <c r="CU143" s="309">
        <f t="shared" si="228"/>
        <v>0</v>
      </c>
      <c r="CV143" s="309">
        <f t="shared" si="228"/>
        <v>7222.1655090334825</v>
      </c>
      <c r="CW143" s="309">
        <f t="shared" si="228"/>
        <v>0</v>
      </c>
      <c r="CX143" s="309">
        <f t="shared" si="228"/>
        <v>0</v>
      </c>
      <c r="CY143" s="309">
        <f t="shared" ref="CY143:DV143" si="229">CY$195</f>
        <v>20678.160901060095</v>
      </c>
      <c r="CZ143" s="309">
        <f t="shared" si="229"/>
        <v>0</v>
      </c>
      <c r="DA143" s="309">
        <f t="shared" si="229"/>
        <v>0</v>
      </c>
      <c r="DB143" s="309">
        <f t="shared" si="229"/>
        <v>1737.5850651611108</v>
      </c>
      <c r="DC143" s="309">
        <f t="shared" si="229"/>
        <v>0</v>
      </c>
      <c r="DD143" s="309">
        <f t="shared" si="229"/>
        <v>0</v>
      </c>
      <c r="DE143" s="309">
        <f t="shared" si="229"/>
        <v>1579.6227865105029</v>
      </c>
      <c r="DF143" s="309">
        <f t="shared" si="229"/>
        <v>0</v>
      </c>
      <c r="DG143" s="309">
        <f t="shared" si="229"/>
        <v>0</v>
      </c>
      <c r="DH143" s="309">
        <f t="shared" si="229"/>
        <v>7474.9413018496707</v>
      </c>
      <c r="DI143" s="309">
        <f t="shared" si="229"/>
        <v>0</v>
      </c>
      <c r="DJ143" s="309">
        <f t="shared" si="229"/>
        <v>0</v>
      </c>
      <c r="DK143" s="309">
        <f t="shared" si="229"/>
        <v>21216.730814349139</v>
      </c>
      <c r="DL143" s="309">
        <f t="shared" si="229"/>
        <v>0</v>
      </c>
      <c r="DM143" s="309">
        <f t="shared" si="229"/>
        <v>0</v>
      </c>
      <c r="DN143" s="309">
        <f t="shared" si="229"/>
        <v>1798.4005424419884</v>
      </c>
      <c r="DO143" s="309">
        <f t="shared" si="229"/>
        <v>0</v>
      </c>
      <c r="DP143" s="309">
        <f t="shared" si="229"/>
        <v>0</v>
      </c>
      <c r="DQ143" s="309">
        <f t="shared" si="229"/>
        <v>1634.9095840384252</v>
      </c>
      <c r="DR143" s="309">
        <f t="shared" si="229"/>
        <v>0</v>
      </c>
      <c r="DS143" s="309">
        <f t="shared" si="229"/>
        <v>0</v>
      </c>
      <c r="DT143" s="309">
        <f t="shared" si="229"/>
        <v>7736.5642474142369</v>
      </c>
      <c r="DU143" s="309">
        <f t="shared" si="229"/>
        <v>0</v>
      </c>
      <c r="DV143" s="309">
        <f t="shared" si="229"/>
        <v>0</v>
      </c>
    </row>
    <row r="144" spans="1:126" ht="15" customHeight="1" x14ac:dyDescent="0.35">
      <c r="A144" s="307" t="s">
        <v>1613</v>
      </c>
      <c r="B144" s="308" t="s">
        <v>1370</v>
      </c>
      <c r="C144" s="1146" t="s">
        <v>1614</v>
      </c>
      <c r="D144" s="1147"/>
      <c r="F144" s="309">
        <f t="shared" ref="F144:AK144" si="230">F$139-F$140-F$141-F$142-F$143</f>
        <v>0</v>
      </c>
      <c r="G144" s="309">
        <f t="shared" si="230"/>
        <v>0</v>
      </c>
      <c r="H144" s="309">
        <f t="shared" si="230"/>
        <v>0</v>
      </c>
      <c r="I144" s="309">
        <f t="shared" si="230"/>
        <v>0</v>
      </c>
      <c r="J144" s="309">
        <f t="shared" si="230"/>
        <v>0</v>
      </c>
      <c r="K144" s="309">
        <f t="shared" si="230"/>
        <v>0</v>
      </c>
      <c r="L144" s="309">
        <f t="shared" si="230"/>
        <v>0</v>
      </c>
      <c r="M144" s="309">
        <f t="shared" si="230"/>
        <v>0</v>
      </c>
      <c r="N144" s="309">
        <f t="shared" si="230"/>
        <v>0</v>
      </c>
      <c r="O144" s="309">
        <f t="shared" si="230"/>
        <v>0</v>
      </c>
      <c r="P144" s="309">
        <f t="shared" si="230"/>
        <v>0</v>
      </c>
      <c r="Q144" s="309">
        <f t="shared" si="230"/>
        <v>0</v>
      </c>
      <c r="R144" s="309">
        <f t="shared" si="230"/>
        <v>0</v>
      </c>
      <c r="S144" s="309">
        <f t="shared" si="230"/>
        <v>0</v>
      </c>
      <c r="T144" s="309">
        <f t="shared" si="230"/>
        <v>0</v>
      </c>
      <c r="U144" s="309">
        <f t="shared" si="230"/>
        <v>0</v>
      </c>
      <c r="V144" s="309">
        <f t="shared" si="230"/>
        <v>0</v>
      </c>
      <c r="W144" s="309">
        <f t="shared" si="230"/>
        <v>0</v>
      </c>
      <c r="X144" s="309">
        <f t="shared" si="230"/>
        <v>0</v>
      </c>
      <c r="Y144" s="309">
        <f t="shared" si="230"/>
        <v>0</v>
      </c>
      <c r="Z144" s="309">
        <f t="shared" si="230"/>
        <v>0</v>
      </c>
      <c r="AA144" s="309">
        <f t="shared" si="230"/>
        <v>0</v>
      </c>
      <c r="AB144" s="309">
        <f t="shared" si="230"/>
        <v>544666.66666666663</v>
      </c>
      <c r="AC144" s="309">
        <f t="shared" si="230"/>
        <v>716666.66666666663</v>
      </c>
      <c r="AD144" s="309">
        <f t="shared" si="230"/>
        <v>716666.66666666663</v>
      </c>
      <c r="AE144" s="309">
        <f t="shared" si="230"/>
        <v>881333.33333333326</v>
      </c>
      <c r="AF144" s="309">
        <f t="shared" si="230"/>
        <v>933333.33333333326</v>
      </c>
      <c r="AG144" s="309">
        <f t="shared" si="230"/>
        <v>933333.33333333326</v>
      </c>
      <c r="AH144" s="309">
        <f t="shared" si="230"/>
        <v>1065700</v>
      </c>
      <c r="AI144" s="309">
        <f t="shared" si="230"/>
        <v>1107500</v>
      </c>
      <c r="AJ144" s="309">
        <f t="shared" si="230"/>
        <v>1107500</v>
      </c>
      <c r="AK144" s="309">
        <f t="shared" si="230"/>
        <v>1227833.3333333333</v>
      </c>
      <c r="AL144" s="309">
        <f t="shared" ref="AL144:BQ144" si="231">AL$139-AL$140-AL$141-AL$142-AL$143</f>
        <v>1265833.3333333333</v>
      </c>
      <c r="AM144" s="309">
        <f t="shared" si="231"/>
        <v>1265833.3333333333</v>
      </c>
      <c r="AN144" s="309">
        <f t="shared" si="231"/>
        <v>1290596.6666666665</v>
      </c>
      <c r="AO144" s="309">
        <f t="shared" si="231"/>
        <v>1298416.6666666665</v>
      </c>
      <c r="AP144" s="309">
        <f t="shared" si="231"/>
        <v>1298416.6666666665</v>
      </c>
      <c r="AQ144" s="309">
        <f t="shared" si="231"/>
        <v>1322394.793333333</v>
      </c>
      <c r="AR144" s="309">
        <f t="shared" si="231"/>
        <v>1482182.125910013</v>
      </c>
      <c r="AS144" s="309">
        <f t="shared" si="231"/>
        <v>1689676.5429426841</v>
      </c>
      <c r="AT144" s="309">
        <f t="shared" si="231"/>
        <v>1903309.9184746318</v>
      </c>
      <c r="AU144" s="309">
        <f t="shared" si="231"/>
        <v>2113244.9957027398</v>
      </c>
      <c r="AV144" s="309">
        <f t="shared" si="231"/>
        <v>2321399.9939485444</v>
      </c>
      <c r="AW144" s="309">
        <f t="shared" si="231"/>
        <v>2533766.658861015</v>
      </c>
      <c r="AX144" s="309">
        <f t="shared" si="231"/>
        <v>2743251.6571068196</v>
      </c>
      <c r="AY144" s="309">
        <f t="shared" si="231"/>
        <v>2951406.6553526232</v>
      </c>
      <c r="AZ144" s="309">
        <f t="shared" si="231"/>
        <v>3179491.7035984276</v>
      </c>
      <c r="BA144" s="309">
        <f t="shared" si="231"/>
        <v>3393940.4018442319</v>
      </c>
      <c r="BB144" s="309">
        <f t="shared" si="231"/>
        <v>3602095.4000900355</v>
      </c>
      <c r="BC144" s="309">
        <f t="shared" si="231"/>
        <v>3862486.0184587706</v>
      </c>
      <c r="BD144" s="309">
        <f t="shared" si="231"/>
        <v>3936582.4825900565</v>
      </c>
      <c r="BE144" s="309">
        <f t="shared" si="231"/>
        <v>3936582.4825900565</v>
      </c>
      <c r="BF144" s="309">
        <f t="shared" si="231"/>
        <v>3941377.4650900564</v>
      </c>
      <c r="BG144" s="309">
        <f t="shared" si="231"/>
        <v>3942891.6700900565</v>
      </c>
      <c r="BH144" s="309">
        <f t="shared" si="231"/>
        <v>3942891.6700900565</v>
      </c>
      <c r="BI144" s="309">
        <f t="shared" si="231"/>
        <v>3947250.7450900567</v>
      </c>
      <c r="BJ144" s="309">
        <f t="shared" si="231"/>
        <v>3948627.2950900565</v>
      </c>
      <c r="BK144" s="309">
        <f t="shared" si="231"/>
        <v>3948627.2950900565</v>
      </c>
      <c r="BL144" s="309">
        <f t="shared" si="231"/>
        <v>3969254.8968400569</v>
      </c>
      <c r="BM144" s="309">
        <f t="shared" si="231"/>
        <v>3975768.8763400572</v>
      </c>
      <c r="BN144" s="309">
        <f t="shared" si="231"/>
        <v>3975768.8763400572</v>
      </c>
      <c r="BO144" s="309">
        <f t="shared" si="231"/>
        <v>4029370.0374660618</v>
      </c>
      <c r="BP144" s="309">
        <f t="shared" si="231"/>
        <v>4048514.1446548081</v>
      </c>
      <c r="BQ144" s="309">
        <f t="shared" si="231"/>
        <v>4048514.1446548081</v>
      </c>
      <c r="BR144" s="309">
        <f t="shared" ref="BR144:CW144" si="232">BR$139-BR$140-BR$141-BR$142-BR$143</f>
        <v>4053476.9515423086</v>
      </c>
      <c r="BS144" s="309">
        <f t="shared" si="232"/>
        <v>4055044.1537173088</v>
      </c>
      <c r="BT144" s="309">
        <f t="shared" si="232"/>
        <v>4055044.1537173088</v>
      </c>
      <c r="BU144" s="309">
        <f t="shared" si="232"/>
        <v>3225680.1067573926</v>
      </c>
      <c r="BV144" s="309">
        <f t="shared" si="232"/>
        <v>3122686.3679146157</v>
      </c>
      <c r="BW144" s="309">
        <f t="shared" si="232"/>
        <v>3122686.3679146157</v>
      </c>
      <c r="BX144" s="309">
        <f t="shared" si="232"/>
        <v>3135608.4747477411</v>
      </c>
      <c r="BY144" s="309">
        <f t="shared" si="232"/>
        <v>3142350.443530241</v>
      </c>
      <c r="BZ144" s="309">
        <f t="shared" si="232"/>
        <v>3142350.443530241</v>
      </c>
      <c r="CA144" s="309">
        <f t="shared" si="232"/>
        <v>3174959.8315763604</v>
      </c>
      <c r="CB144" s="309">
        <f t="shared" si="232"/>
        <v>3194602.0377398254</v>
      </c>
      <c r="CC144" s="309">
        <f t="shared" si="232"/>
        <v>3194602.0377398254</v>
      </c>
      <c r="CD144" s="309">
        <f t="shared" si="232"/>
        <v>3197710.9750544811</v>
      </c>
      <c r="CE144" s="309">
        <f t="shared" si="232"/>
        <v>3199333.0293056061</v>
      </c>
      <c r="CF144" s="309">
        <f t="shared" si="232"/>
        <v>3199333.0293056061</v>
      </c>
      <c r="CG144" s="309">
        <f t="shared" si="232"/>
        <v>3202159.3359552938</v>
      </c>
      <c r="CH144" s="309">
        <f t="shared" si="232"/>
        <v>3203633.9307290437</v>
      </c>
      <c r="CI144" s="309">
        <f t="shared" si="232"/>
        <v>3203633.9307290437</v>
      </c>
      <c r="CJ144" s="309">
        <f t="shared" si="232"/>
        <v>3217008.3113013282</v>
      </c>
      <c r="CK144" s="309">
        <f t="shared" si="232"/>
        <v>3223986.2489912156</v>
      </c>
      <c r="CL144" s="309">
        <f t="shared" si="232"/>
        <v>3223986.2489912156</v>
      </c>
      <c r="CM144" s="309">
        <f t="shared" si="232"/>
        <v>3257449.547513694</v>
      </c>
      <c r="CN144" s="309">
        <f t="shared" si="232"/>
        <v>3277602.9874965707</v>
      </c>
      <c r="CO144" s="309">
        <f t="shared" si="232"/>
        <v>3277602.9874965707</v>
      </c>
      <c r="CP144" s="309">
        <f t="shared" si="232"/>
        <v>3280820.7376172398</v>
      </c>
      <c r="CQ144" s="309">
        <f t="shared" si="232"/>
        <v>3282499.5637671542</v>
      </c>
      <c r="CR144" s="309">
        <f t="shared" si="232"/>
        <v>3282499.5637671542</v>
      </c>
      <c r="CS144" s="309">
        <f t="shared" si="232"/>
        <v>3285424.7911495809</v>
      </c>
      <c r="CT144" s="309">
        <f t="shared" si="232"/>
        <v>3286950.996740412</v>
      </c>
      <c r="CU144" s="309">
        <f t="shared" si="232"/>
        <v>3286950.996740412</v>
      </c>
      <c r="CV144" s="309">
        <f t="shared" si="232"/>
        <v>3300793.4806327266</v>
      </c>
      <c r="CW144" s="309">
        <f t="shared" si="232"/>
        <v>3308015.6461417601</v>
      </c>
      <c r="CX144" s="309">
        <f t="shared" ref="CX144:DV144" si="233">CX$139-CX$140-CX$141-CX$142-CX$143</f>
        <v>3308015.6461417601</v>
      </c>
      <c r="CY144" s="309">
        <f t="shared" si="233"/>
        <v>3342355.5565546388</v>
      </c>
      <c r="CZ144" s="309">
        <f t="shared" si="233"/>
        <v>3363033.7174556991</v>
      </c>
      <c r="DA144" s="309">
        <f t="shared" si="233"/>
        <v>3363033.7174556991</v>
      </c>
      <c r="DB144" s="309">
        <f t="shared" si="233"/>
        <v>3366364.0888305912</v>
      </c>
      <c r="DC144" s="309">
        <f t="shared" si="233"/>
        <v>3368101.6738957521</v>
      </c>
      <c r="DD144" s="309">
        <f t="shared" si="233"/>
        <v>3368101.6738957521</v>
      </c>
      <c r="DE144" s="309">
        <f t="shared" si="233"/>
        <v>3371129.2842365643</v>
      </c>
      <c r="DF144" s="309">
        <f t="shared" si="233"/>
        <v>3372708.9070230746</v>
      </c>
      <c r="DG144" s="309">
        <f t="shared" si="233"/>
        <v>3372708.9070230746</v>
      </c>
      <c r="DH144" s="309">
        <f t="shared" si="233"/>
        <v>3387035.8778516194</v>
      </c>
      <c r="DI144" s="309">
        <f t="shared" si="233"/>
        <v>3394510.8191534691</v>
      </c>
      <c r="DJ144" s="309">
        <f t="shared" si="233"/>
        <v>3394510.8191534691</v>
      </c>
      <c r="DK144" s="309">
        <f t="shared" si="233"/>
        <v>3429750.6577839656</v>
      </c>
      <c r="DL144" s="309">
        <f t="shared" si="233"/>
        <v>3450967.3885983145</v>
      </c>
      <c r="DM144" s="309">
        <f t="shared" si="233"/>
        <v>3450967.3885983145</v>
      </c>
      <c r="DN144" s="309">
        <f t="shared" si="233"/>
        <v>3454414.3229713282</v>
      </c>
      <c r="DO144" s="309">
        <f t="shared" si="233"/>
        <v>3456212.7235137704</v>
      </c>
      <c r="DP144" s="309">
        <f t="shared" si="233"/>
        <v>3456212.7235137704</v>
      </c>
      <c r="DQ144" s="309">
        <f t="shared" si="233"/>
        <v>3459346.3002165104</v>
      </c>
      <c r="DR144" s="309">
        <f t="shared" si="233"/>
        <v>3460981.2098005489</v>
      </c>
      <c r="DS144" s="309">
        <f t="shared" si="233"/>
        <v>3460981.2098005489</v>
      </c>
      <c r="DT144" s="309">
        <f t="shared" si="233"/>
        <v>3475809.6246080929</v>
      </c>
      <c r="DU144" s="309">
        <f t="shared" si="233"/>
        <v>3483546.1888555074</v>
      </c>
      <c r="DV144" s="309">
        <f t="shared" si="233"/>
        <v>3483546.1888555074</v>
      </c>
    </row>
    <row r="145" spans="1:126" ht="15" customHeight="1" x14ac:dyDescent="0.35">
      <c r="A145" s="307" t="s">
        <v>1615</v>
      </c>
      <c r="B145" s="308" t="s">
        <v>1370</v>
      </c>
      <c r="C145" s="1146" t="s">
        <v>1616</v>
      </c>
      <c r="D145" s="1147"/>
      <c r="F145" s="309">
        <f t="shared" ref="F145:AK145" si="234">F$108+F$109</f>
        <v>0</v>
      </c>
      <c r="G145" s="309">
        <f t="shared" si="234"/>
        <v>552.05479452054794</v>
      </c>
      <c r="H145" s="309">
        <f t="shared" si="234"/>
        <v>1076.3846329402813</v>
      </c>
      <c r="I145" s="309">
        <f t="shared" si="234"/>
        <v>1582.9337042208601</v>
      </c>
      <c r="J145" s="309">
        <f t="shared" si="234"/>
        <v>2003.7078659737087</v>
      </c>
      <c r="K145" s="309">
        <f t="shared" si="234"/>
        <v>2364.2650689755187</v>
      </c>
      <c r="L145" s="309">
        <f t="shared" si="234"/>
        <v>2945.0813724977302</v>
      </c>
      <c r="M145" s="309">
        <f t="shared" si="234"/>
        <v>3569.717701190194</v>
      </c>
      <c r="N145" s="309">
        <f t="shared" si="234"/>
        <v>3914.8307108627714</v>
      </c>
      <c r="O145" s="309">
        <f t="shared" si="234"/>
        <v>5189.0520447950439</v>
      </c>
      <c r="P145" s="309">
        <f t="shared" si="234"/>
        <v>5217.4734640086208</v>
      </c>
      <c r="Q145" s="309">
        <f t="shared" si="234"/>
        <v>5391.389246142242</v>
      </c>
      <c r="R145" s="309">
        <f t="shared" si="234"/>
        <v>5217.4734640086208</v>
      </c>
      <c r="S145" s="309">
        <f t="shared" si="234"/>
        <v>5391.389246142242</v>
      </c>
      <c r="T145" s="309">
        <f t="shared" si="234"/>
        <v>5391.389246142242</v>
      </c>
      <c r="U145" s="309">
        <f t="shared" si="234"/>
        <v>5217.4734640086208</v>
      </c>
      <c r="V145" s="309">
        <f t="shared" si="234"/>
        <v>5391.389246142242</v>
      </c>
      <c r="W145" s="309">
        <f t="shared" si="234"/>
        <v>5217.4734640086208</v>
      </c>
      <c r="X145" s="309">
        <f t="shared" si="234"/>
        <v>5391.389246142242</v>
      </c>
      <c r="Y145" s="309">
        <f t="shared" si="234"/>
        <v>5391.389246142242</v>
      </c>
      <c r="Z145" s="309">
        <f t="shared" si="234"/>
        <v>5043.5576818750005</v>
      </c>
      <c r="AA145" s="309">
        <f t="shared" si="234"/>
        <v>5391.389246142242</v>
      </c>
      <c r="AB145" s="309">
        <f t="shared" si="234"/>
        <v>5217.4734640086208</v>
      </c>
      <c r="AC145" s="309">
        <f t="shared" si="234"/>
        <v>5391.389246142242</v>
      </c>
      <c r="AD145" s="309">
        <f t="shared" si="234"/>
        <v>5217.4734640086208</v>
      </c>
      <c r="AE145" s="309">
        <f t="shared" si="234"/>
        <v>5391.389246142242</v>
      </c>
      <c r="AF145" s="309">
        <f t="shared" si="234"/>
        <v>5391.389246142242</v>
      </c>
      <c r="AG145" s="309">
        <f t="shared" si="234"/>
        <v>5217.4734640086208</v>
      </c>
      <c r="AH145" s="309">
        <f t="shared" si="234"/>
        <v>5391.389246142242</v>
      </c>
      <c r="AI145" s="309">
        <f t="shared" si="234"/>
        <v>5217.4734640086208</v>
      </c>
      <c r="AJ145" s="309">
        <f t="shared" si="234"/>
        <v>5391.389246142242</v>
      </c>
      <c r="AK145" s="309">
        <f t="shared" si="234"/>
        <v>5391.389246142242</v>
      </c>
      <c r="AL145" s="309">
        <f t="shared" ref="AL145:BQ145" si="235">AL$108+AL$109</f>
        <v>4869.6418997413793</v>
      </c>
      <c r="AM145" s="309">
        <f t="shared" si="235"/>
        <v>4605.7091110465981</v>
      </c>
      <c r="AN145" s="309">
        <f t="shared" si="235"/>
        <v>4336.2557142409487</v>
      </c>
      <c r="AO145" s="309">
        <f t="shared" si="235"/>
        <v>3997.5921257008663</v>
      </c>
      <c r="AP145" s="309">
        <f t="shared" si="235"/>
        <v>3571.2982293000846</v>
      </c>
      <c r="AQ145" s="309">
        <f t="shared" si="235"/>
        <v>3160.4489626022769</v>
      </c>
      <c r="AR145" s="309">
        <f t="shared" si="235"/>
        <v>2716.2202045728654</v>
      </c>
      <c r="AS145" s="309">
        <f t="shared" si="235"/>
        <v>1340.5886539597273</v>
      </c>
      <c r="AT145" s="309">
        <f t="shared" si="235"/>
        <v>0</v>
      </c>
      <c r="AU145" s="309">
        <f t="shared" si="235"/>
        <v>0</v>
      </c>
      <c r="AV145" s="309">
        <f t="shared" si="235"/>
        <v>0</v>
      </c>
      <c r="AW145" s="309">
        <f t="shared" si="235"/>
        <v>0</v>
      </c>
      <c r="AX145" s="309">
        <f t="shared" si="235"/>
        <v>0</v>
      </c>
      <c r="AY145" s="309">
        <f t="shared" si="235"/>
        <v>0</v>
      </c>
      <c r="AZ145" s="309">
        <f t="shared" si="235"/>
        <v>0</v>
      </c>
      <c r="BA145" s="309">
        <f t="shared" si="235"/>
        <v>0</v>
      </c>
      <c r="BB145" s="309">
        <f t="shared" si="235"/>
        <v>0</v>
      </c>
      <c r="BC145" s="309">
        <f t="shared" si="235"/>
        <v>0</v>
      </c>
      <c r="BD145" s="309">
        <f t="shared" si="235"/>
        <v>0</v>
      </c>
      <c r="BE145" s="309">
        <f t="shared" si="235"/>
        <v>0</v>
      </c>
      <c r="BF145" s="309">
        <f t="shared" si="235"/>
        <v>0</v>
      </c>
      <c r="BG145" s="309">
        <f t="shared" si="235"/>
        <v>0</v>
      </c>
      <c r="BH145" s="309">
        <f t="shared" si="235"/>
        <v>0</v>
      </c>
      <c r="BI145" s="309">
        <f t="shared" si="235"/>
        <v>0</v>
      </c>
      <c r="BJ145" s="309">
        <f t="shared" si="235"/>
        <v>0</v>
      </c>
      <c r="BK145" s="309">
        <f t="shared" si="235"/>
        <v>0</v>
      </c>
      <c r="BL145" s="309">
        <f t="shared" si="235"/>
        <v>0</v>
      </c>
      <c r="BM145" s="309">
        <f t="shared" si="235"/>
        <v>0</v>
      </c>
      <c r="BN145" s="309">
        <f t="shared" si="235"/>
        <v>0</v>
      </c>
      <c r="BO145" s="309">
        <f t="shared" si="235"/>
        <v>0</v>
      </c>
      <c r="BP145" s="309">
        <f t="shared" si="235"/>
        <v>5391.389246142242</v>
      </c>
      <c r="BQ145" s="309">
        <f t="shared" si="235"/>
        <v>0</v>
      </c>
      <c r="BR145" s="309">
        <f t="shared" ref="BR145:CW145" si="236">BR$108+BR$109</f>
        <v>0</v>
      </c>
      <c r="BS145" s="309">
        <f t="shared" si="236"/>
        <v>0</v>
      </c>
      <c r="BT145" s="309">
        <f t="shared" si="236"/>
        <v>0</v>
      </c>
      <c r="BU145" s="309">
        <f t="shared" si="236"/>
        <v>0</v>
      </c>
      <c r="BV145" s="309">
        <f t="shared" si="236"/>
        <v>0</v>
      </c>
      <c r="BW145" s="309">
        <f t="shared" si="236"/>
        <v>0</v>
      </c>
      <c r="BX145" s="309">
        <f t="shared" si="236"/>
        <v>0</v>
      </c>
      <c r="BY145" s="309">
        <f t="shared" si="236"/>
        <v>0</v>
      </c>
      <c r="BZ145" s="309">
        <f t="shared" si="236"/>
        <v>0</v>
      </c>
      <c r="CA145" s="309">
        <f t="shared" si="236"/>
        <v>0</v>
      </c>
      <c r="CB145" s="309">
        <f t="shared" si="236"/>
        <v>0</v>
      </c>
      <c r="CC145" s="309">
        <f t="shared" si="236"/>
        <v>0</v>
      </c>
      <c r="CD145" s="309">
        <f t="shared" si="236"/>
        <v>0</v>
      </c>
      <c r="CE145" s="309">
        <f t="shared" si="236"/>
        <v>0</v>
      </c>
      <c r="CF145" s="309">
        <f t="shared" si="236"/>
        <v>0</v>
      </c>
      <c r="CG145" s="309">
        <f t="shared" si="236"/>
        <v>0</v>
      </c>
      <c r="CH145" s="309">
        <f t="shared" si="236"/>
        <v>0</v>
      </c>
      <c r="CI145" s="309">
        <f t="shared" si="236"/>
        <v>0</v>
      </c>
      <c r="CJ145" s="309">
        <f t="shared" si="236"/>
        <v>0</v>
      </c>
      <c r="CK145" s="309">
        <f t="shared" si="236"/>
        <v>0</v>
      </c>
      <c r="CL145" s="309">
        <f t="shared" si="236"/>
        <v>0</v>
      </c>
      <c r="CM145" s="309">
        <f t="shared" si="236"/>
        <v>0</v>
      </c>
      <c r="CN145" s="309">
        <f t="shared" si="236"/>
        <v>0</v>
      </c>
      <c r="CO145" s="309">
        <f t="shared" si="236"/>
        <v>0</v>
      </c>
      <c r="CP145" s="309">
        <f t="shared" si="236"/>
        <v>0</v>
      </c>
      <c r="CQ145" s="309">
        <f t="shared" si="236"/>
        <v>0</v>
      </c>
      <c r="CR145" s="309">
        <f t="shared" si="236"/>
        <v>0</v>
      </c>
      <c r="CS145" s="309">
        <f t="shared" si="236"/>
        <v>0</v>
      </c>
      <c r="CT145" s="309">
        <f t="shared" si="236"/>
        <v>0</v>
      </c>
      <c r="CU145" s="309">
        <f t="shared" si="236"/>
        <v>0</v>
      </c>
      <c r="CV145" s="309">
        <f t="shared" si="236"/>
        <v>0</v>
      </c>
      <c r="CW145" s="309">
        <f t="shared" si="236"/>
        <v>0</v>
      </c>
      <c r="CX145" s="309">
        <f t="shared" ref="CX145:DV145" si="237">CX$108+CX$109</f>
        <v>0</v>
      </c>
      <c r="CY145" s="309">
        <f t="shared" si="237"/>
        <v>0</v>
      </c>
      <c r="CZ145" s="309">
        <f t="shared" si="237"/>
        <v>0</v>
      </c>
      <c r="DA145" s="309">
        <f t="shared" si="237"/>
        <v>0</v>
      </c>
      <c r="DB145" s="309">
        <f t="shared" si="237"/>
        <v>0</v>
      </c>
      <c r="DC145" s="309">
        <f t="shared" si="237"/>
        <v>0</v>
      </c>
      <c r="DD145" s="309">
        <f t="shared" si="237"/>
        <v>0</v>
      </c>
      <c r="DE145" s="309">
        <f t="shared" si="237"/>
        <v>0</v>
      </c>
      <c r="DF145" s="309">
        <f t="shared" si="237"/>
        <v>0</v>
      </c>
      <c r="DG145" s="309">
        <f t="shared" si="237"/>
        <v>0</v>
      </c>
      <c r="DH145" s="309">
        <f t="shared" si="237"/>
        <v>0</v>
      </c>
      <c r="DI145" s="309">
        <f t="shared" si="237"/>
        <v>0</v>
      </c>
      <c r="DJ145" s="309">
        <f t="shared" si="237"/>
        <v>0</v>
      </c>
      <c r="DK145" s="309">
        <f t="shared" si="237"/>
        <v>0</v>
      </c>
      <c r="DL145" s="309">
        <f t="shared" si="237"/>
        <v>0</v>
      </c>
      <c r="DM145" s="309">
        <f t="shared" si="237"/>
        <v>0</v>
      </c>
      <c r="DN145" s="309">
        <f t="shared" si="237"/>
        <v>0</v>
      </c>
      <c r="DO145" s="309">
        <f t="shared" si="237"/>
        <v>0</v>
      </c>
      <c r="DP145" s="309">
        <f t="shared" si="237"/>
        <v>0</v>
      </c>
      <c r="DQ145" s="309">
        <f t="shared" si="237"/>
        <v>0</v>
      </c>
      <c r="DR145" s="309">
        <f t="shared" si="237"/>
        <v>0</v>
      </c>
      <c r="DS145" s="309">
        <f t="shared" si="237"/>
        <v>0</v>
      </c>
      <c r="DT145" s="309">
        <f t="shared" si="237"/>
        <v>0</v>
      </c>
      <c r="DU145" s="309">
        <f t="shared" si="237"/>
        <v>0</v>
      </c>
      <c r="DV145" s="309">
        <f t="shared" si="237"/>
        <v>0</v>
      </c>
    </row>
    <row r="146" spans="1:126" ht="15" customHeight="1" x14ac:dyDescent="0.35">
      <c r="A146" s="307" t="s">
        <v>1617</v>
      </c>
      <c r="B146" s="308" t="s">
        <v>1370</v>
      </c>
      <c r="C146" s="1146" t="s">
        <v>1618</v>
      </c>
      <c r="D146" s="1147"/>
      <c r="F146" s="309">
        <f t="shared" ref="F146:AK146" si="238">F$84+F$86+F$88+F$123</f>
        <v>0</v>
      </c>
      <c r="G146" s="309">
        <f t="shared" si="238"/>
        <v>94425.806755455982</v>
      </c>
      <c r="H146" s="309">
        <f t="shared" si="238"/>
        <v>100238.47281226986</v>
      </c>
      <c r="I146" s="309">
        <f t="shared" si="238"/>
        <v>65078.873891363539</v>
      </c>
      <c r="J146" s="309">
        <f t="shared" si="238"/>
        <v>77583.68871046773</v>
      </c>
      <c r="K146" s="309">
        <f t="shared" si="238"/>
        <v>88570.090156701059</v>
      </c>
      <c r="L146" s="309">
        <f t="shared" si="238"/>
        <v>110202.44218717932</v>
      </c>
      <c r="M146" s="309">
        <f t="shared" si="238"/>
        <v>134923.62840388739</v>
      </c>
      <c r="N146" s="309">
        <f t="shared" si="238"/>
        <v>150920.37674027326</v>
      </c>
      <c r="O146" s="309">
        <f t="shared" si="238"/>
        <v>208121.17615232908</v>
      </c>
      <c r="P146" s="309">
        <f t="shared" si="238"/>
        <v>250960.98257572312</v>
      </c>
      <c r="Q146" s="309">
        <f t="shared" si="238"/>
        <v>321763.57564971794</v>
      </c>
      <c r="R146" s="309">
        <f t="shared" si="238"/>
        <v>383307.53898899409</v>
      </c>
      <c r="S146" s="309">
        <f t="shared" si="238"/>
        <v>476104.30174981256</v>
      </c>
      <c r="T146" s="309">
        <f t="shared" si="238"/>
        <v>541750.73554314417</v>
      </c>
      <c r="U146" s="309">
        <f t="shared" si="238"/>
        <v>576494.34256346931</v>
      </c>
      <c r="V146" s="309">
        <f t="shared" si="238"/>
        <v>653783.83581977326</v>
      </c>
      <c r="W146" s="309">
        <f t="shared" si="238"/>
        <v>691642.17030358245</v>
      </c>
      <c r="X146" s="309">
        <f t="shared" si="238"/>
        <v>776962.19468683761</v>
      </c>
      <c r="Y146" s="309">
        <f t="shared" si="238"/>
        <v>838986.57216294692</v>
      </c>
      <c r="Z146" s="309">
        <f t="shared" si="238"/>
        <v>841299.47214051534</v>
      </c>
      <c r="AA146" s="309">
        <f t="shared" si="238"/>
        <v>956391.83742628852</v>
      </c>
      <c r="AB146" s="309">
        <f t="shared" si="238"/>
        <v>976693.610347601</v>
      </c>
      <c r="AC146" s="309">
        <f t="shared" si="238"/>
        <v>1056991.7264111266</v>
      </c>
      <c r="AD146" s="309">
        <f t="shared" si="238"/>
        <v>1063599.1108749877</v>
      </c>
      <c r="AE146" s="309">
        <f t="shared" si="238"/>
        <v>1135209.3374459029</v>
      </c>
      <c r="AF146" s="309">
        <f t="shared" si="238"/>
        <v>1165551.3728559241</v>
      </c>
      <c r="AG146" s="309">
        <f t="shared" si="238"/>
        <v>1152023.3993738231</v>
      </c>
      <c r="AH146" s="309">
        <f t="shared" si="238"/>
        <v>1210360.6614460261</v>
      </c>
      <c r="AI146" s="309">
        <f t="shared" si="238"/>
        <v>1186458.7534370851</v>
      </c>
      <c r="AJ146" s="309">
        <f t="shared" si="238"/>
        <v>1235587.8702317381</v>
      </c>
      <c r="AK146" s="309">
        <f t="shared" si="238"/>
        <v>1238388.6265924352</v>
      </c>
      <c r="AL146" s="309">
        <f t="shared" ref="AL146:BQ146" si="239">AL$84+AL$86+AL$88+AL$123</f>
        <v>1118644.4610068374</v>
      </c>
      <c r="AM146" s="309">
        <f t="shared" si="239"/>
        <v>1238600.9681540667</v>
      </c>
      <c r="AN146" s="309">
        <f t="shared" si="239"/>
        <v>1198731.881089533</v>
      </c>
      <c r="AO146" s="309">
        <f t="shared" si="239"/>
        <v>1238763.254658517</v>
      </c>
      <c r="AP146" s="309">
        <f t="shared" si="239"/>
        <v>1198859.8709347108</v>
      </c>
      <c r="AQ146" s="309">
        <f t="shared" si="239"/>
        <v>1238766.107804609</v>
      </c>
      <c r="AR146" s="309">
        <f t="shared" si="239"/>
        <v>1238376.5654156376</v>
      </c>
      <c r="AS146" s="309">
        <f t="shared" si="239"/>
        <v>1198130.7331822342</v>
      </c>
      <c r="AT146" s="309">
        <f t="shared" si="239"/>
        <v>1238068.4242883087</v>
      </c>
      <c r="AU146" s="309">
        <f t="shared" si="239"/>
        <v>1198130.7331822342</v>
      </c>
      <c r="AV146" s="309">
        <f t="shared" si="239"/>
        <v>1238068.4242883087</v>
      </c>
      <c r="AW146" s="309">
        <f t="shared" si="239"/>
        <v>1238068.4242883087</v>
      </c>
      <c r="AX146" s="309">
        <f t="shared" si="239"/>
        <v>1118255.3509700852</v>
      </c>
      <c r="AY146" s="309">
        <f t="shared" si="239"/>
        <v>1238068.4242883087</v>
      </c>
      <c r="AZ146" s="309">
        <f t="shared" si="239"/>
        <v>1198130.7331822342</v>
      </c>
      <c r="BA146" s="309">
        <f t="shared" si="239"/>
        <v>1238068.4242883087</v>
      </c>
      <c r="BB146" s="309">
        <f t="shared" si="239"/>
        <v>1198130.7331822342</v>
      </c>
      <c r="BC146" s="309">
        <f t="shared" si="239"/>
        <v>625224.55426559586</v>
      </c>
      <c r="BD146" s="309">
        <f t="shared" si="239"/>
        <v>1250449.1085311917</v>
      </c>
      <c r="BE146" s="309">
        <f t="shared" si="239"/>
        <v>1202936.7527340364</v>
      </c>
      <c r="BF146" s="309">
        <f t="shared" si="239"/>
        <v>1235489.0333333996</v>
      </c>
      <c r="BG146" s="309">
        <f t="shared" si="239"/>
        <v>1188406.4902475367</v>
      </c>
      <c r="BH146" s="309">
        <f t="shared" si="239"/>
        <v>1220416.9061726155</v>
      </c>
      <c r="BI146" s="309">
        <f t="shared" si="239"/>
        <v>1212902.1299407063</v>
      </c>
      <c r="BJ146" s="309">
        <f t="shared" si="239"/>
        <v>1088707.3613398722</v>
      </c>
      <c r="BK146" s="309">
        <f t="shared" si="239"/>
        <v>1197460.4160694287</v>
      </c>
      <c r="BL146" s="309">
        <f t="shared" si="239"/>
        <v>1151483.6532957882</v>
      </c>
      <c r="BM146" s="309">
        <f t="shared" si="239"/>
        <v>1182088.6211146775</v>
      </c>
      <c r="BN146" s="309">
        <f t="shared" si="239"/>
        <v>1136494.1595661982</v>
      </c>
      <c r="BO146" s="309">
        <f t="shared" si="239"/>
        <v>1166540.1221166248</v>
      </c>
      <c r="BP146" s="309">
        <f t="shared" si="239"/>
        <v>0</v>
      </c>
      <c r="BQ146" s="309">
        <f t="shared" si="239"/>
        <v>0</v>
      </c>
      <c r="BR146" s="309">
        <f t="shared" ref="BR146:CW146" si="240">BR$84+BR$86+BR$88+BR$123</f>
        <v>0</v>
      </c>
      <c r="BS146" s="309">
        <f t="shared" si="240"/>
        <v>0</v>
      </c>
      <c r="BT146" s="309">
        <f t="shared" si="240"/>
        <v>0</v>
      </c>
      <c r="BU146" s="309">
        <f t="shared" si="240"/>
        <v>0</v>
      </c>
      <c r="BV146" s="309">
        <f t="shared" si="240"/>
        <v>0</v>
      </c>
      <c r="BW146" s="309">
        <f t="shared" si="240"/>
        <v>0</v>
      </c>
      <c r="BX146" s="309">
        <f t="shared" si="240"/>
        <v>0</v>
      </c>
      <c r="BY146" s="309">
        <f t="shared" si="240"/>
        <v>0</v>
      </c>
      <c r="BZ146" s="309">
        <f t="shared" si="240"/>
        <v>0</v>
      </c>
      <c r="CA146" s="309">
        <f t="shared" si="240"/>
        <v>0</v>
      </c>
      <c r="CB146" s="309">
        <f t="shared" si="240"/>
        <v>0</v>
      </c>
      <c r="CC146" s="309">
        <f t="shared" si="240"/>
        <v>0</v>
      </c>
      <c r="CD146" s="309">
        <f t="shared" si="240"/>
        <v>0</v>
      </c>
      <c r="CE146" s="309">
        <f t="shared" si="240"/>
        <v>0</v>
      </c>
      <c r="CF146" s="309">
        <f t="shared" si="240"/>
        <v>0</v>
      </c>
      <c r="CG146" s="309">
        <f t="shared" si="240"/>
        <v>0</v>
      </c>
      <c r="CH146" s="309">
        <f t="shared" si="240"/>
        <v>0</v>
      </c>
      <c r="CI146" s="309">
        <f t="shared" si="240"/>
        <v>0</v>
      </c>
      <c r="CJ146" s="309">
        <f t="shared" si="240"/>
        <v>0</v>
      </c>
      <c r="CK146" s="309">
        <f t="shared" si="240"/>
        <v>0</v>
      </c>
      <c r="CL146" s="309">
        <f t="shared" si="240"/>
        <v>0</v>
      </c>
      <c r="CM146" s="309">
        <f t="shared" si="240"/>
        <v>0</v>
      </c>
      <c r="CN146" s="309">
        <f t="shared" si="240"/>
        <v>0</v>
      </c>
      <c r="CO146" s="309">
        <f t="shared" si="240"/>
        <v>0</v>
      </c>
      <c r="CP146" s="309">
        <f t="shared" si="240"/>
        <v>0</v>
      </c>
      <c r="CQ146" s="309">
        <f t="shared" si="240"/>
        <v>0</v>
      </c>
      <c r="CR146" s="309">
        <f t="shared" si="240"/>
        <v>0</v>
      </c>
      <c r="CS146" s="309">
        <f t="shared" si="240"/>
        <v>0</v>
      </c>
      <c r="CT146" s="309">
        <f t="shared" si="240"/>
        <v>0</v>
      </c>
      <c r="CU146" s="309">
        <f t="shared" si="240"/>
        <v>0</v>
      </c>
      <c r="CV146" s="309">
        <f t="shared" si="240"/>
        <v>0</v>
      </c>
      <c r="CW146" s="309">
        <f t="shared" si="240"/>
        <v>0</v>
      </c>
      <c r="CX146" s="309">
        <f t="shared" ref="CX146:DV146" si="241">CX$84+CX$86+CX$88+CX$123</f>
        <v>0</v>
      </c>
      <c r="CY146" s="309">
        <f t="shared" si="241"/>
        <v>0</v>
      </c>
      <c r="CZ146" s="309">
        <f t="shared" si="241"/>
        <v>0</v>
      </c>
      <c r="DA146" s="309">
        <f t="shared" si="241"/>
        <v>0</v>
      </c>
      <c r="DB146" s="309">
        <f t="shared" si="241"/>
        <v>0</v>
      </c>
      <c r="DC146" s="309">
        <f t="shared" si="241"/>
        <v>0</v>
      </c>
      <c r="DD146" s="309">
        <f t="shared" si="241"/>
        <v>0</v>
      </c>
      <c r="DE146" s="309">
        <f t="shared" si="241"/>
        <v>0</v>
      </c>
      <c r="DF146" s="309">
        <f t="shared" si="241"/>
        <v>0</v>
      </c>
      <c r="DG146" s="309">
        <f t="shared" si="241"/>
        <v>0</v>
      </c>
      <c r="DH146" s="309">
        <f t="shared" si="241"/>
        <v>0</v>
      </c>
      <c r="DI146" s="309">
        <f t="shared" si="241"/>
        <v>0</v>
      </c>
      <c r="DJ146" s="309">
        <f t="shared" si="241"/>
        <v>0</v>
      </c>
      <c r="DK146" s="309">
        <f t="shared" si="241"/>
        <v>0</v>
      </c>
      <c r="DL146" s="309">
        <f t="shared" si="241"/>
        <v>0</v>
      </c>
      <c r="DM146" s="309">
        <f t="shared" si="241"/>
        <v>0</v>
      </c>
      <c r="DN146" s="309">
        <f t="shared" si="241"/>
        <v>0</v>
      </c>
      <c r="DO146" s="309">
        <f t="shared" si="241"/>
        <v>0</v>
      </c>
      <c r="DP146" s="309">
        <f t="shared" si="241"/>
        <v>0</v>
      </c>
      <c r="DQ146" s="309">
        <f t="shared" si="241"/>
        <v>0</v>
      </c>
      <c r="DR146" s="309">
        <f t="shared" si="241"/>
        <v>0</v>
      </c>
      <c r="DS146" s="309">
        <f t="shared" si="241"/>
        <v>0</v>
      </c>
      <c r="DT146" s="309">
        <f t="shared" si="241"/>
        <v>0</v>
      </c>
      <c r="DU146" s="309">
        <f t="shared" si="241"/>
        <v>0</v>
      </c>
      <c r="DV146" s="309">
        <f t="shared" si="241"/>
        <v>0</v>
      </c>
    </row>
    <row r="147" spans="1:126" ht="15" customHeight="1" x14ac:dyDescent="0.35">
      <c r="A147" s="307" t="s">
        <v>1619</v>
      </c>
      <c r="B147" s="308" t="s">
        <v>1370</v>
      </c>
      <c r="C147" s="1146" t="s">
        <v>1620</v>
      </c>
      <c r="D147" s="1147"/>
      <c r="F147" s="309">
        <f t="shared" ref="F147:AK147" si="242">F$89+F$124</f>
        <v>0</v>
      </c>
      <c r="G147" s="309">
        <f t="shared" si="242"/>
        <v>0</v>
      </c>
      <c r="H147" s="309">
        <f t="shared" si="242"/>
        <v>7349158.0265457649</v>
      </c>
      <c r="I147" s="309">
        <f t="shared" si="242"/>
        <v>0</v>
      </c>
      <c r="J147" s="309">
        <f t="shared" si="242"/>
        <v>0</v>
      </c>
      <c r="K147" s="309">
        <f t="shared" si="242"/>
        <v>0</v>
      </c>
      <c r="L147" s="309">
        <f t="shared" si="242"/>
        <v>0</v>
      </c>
      <c r="M147" s="309">
        <f t="shared" si="242"/>
        <v>0</v>
      </c>
      <c r="N147" s="309">
        <f t="shared" si="242"/>
        <v>0</v>
      </c>
      <c r="O147" s="309">
        <f t="shared" si="242"/>
        <v>0</v>
      </c>
      <c r="P147" s="309">
        <f t="shared" si="242"/>
        <v>0</v>
      </c>
      <c r="Q147" s="309">
        <f t="shared" si="242"/>
        <v>0</v>
      </c>
      <c r="R147" s="309">
        <f t="shared" si="242"/>
        <v>0</v>
      </c>
      <c r="S147" s="309">
        <f t="shared" si="242"/>
        <v>0</v>
      </c>
      <c r="T147" s="309">
        <f t="shared" si="242"/>
        <v>0</v>
      </c>
      <c r="U147" s="309">
        <f t="shared" si="242"/>
        <v>0</v>
      </c>
      <c r="V147" s="309">
        <f t="shared" si="242"/>
        <v>0</v>
      </c>
      <c r="W147" s="309">
        <f t="shared" si="242"/>
        <v>0</v>
      </c>
      <c r="X147" s="309">
        <f t="shared" si="242"/>
        <v>0</v>
      </c>
      <c r="Y147" s="309">
        <f t="shared" si="242"/>
        <v>0</v>
      </c>
      <c r="Z147" s="309">
        <f t="shared" si="242"/>
        <v>90749.137075924547</v>
      </c>
      <c r="AA147" s="309">
        <f t="shared" si="242"/>
        <v>174553.61273367773</v>
      </c>
      <c r="AB147" s="309">
        <f t="shared" si="242"/>
        <v>245346.92688102438</v>
      </c>
      <c r="AC147" s="309">
        <f t="shared" si="242"/>
        <v>298664.76362304948</v>
      </c>
      <c r="AD147" s="309">
        <f t="shared" si="242"/>
        <v>332095.22752505192</v>
      </c>
      <c r="AE147" s="309">
        <f t="shared" si="242"/>
        <v>345395.27257881453</v>
      </c>
      <c r="AF147" s="309">
        <f t="shared" si="242"/>
        <v>340282.3339730897</v>
      </c>
      <c r="AG147" s="309">
        <f t="shared" si="242"/>
        <v>319971.35631247715</v>
      </c>
      <c r="AH147" s="309">
        <f t="shared" si="242"/>
        <v>288567.01646289113</v>
      </c>
      <c r="AI147" s="309">
        <f t="shared" si="242"/>
        <v>250432.2831283253</v>
      </c>
      <c r="AJ147" s="309">
        <f t="shared" si="242"/>
        <v>209638.92700129288</v>
      </c>
      <c r="AK147" s="309">
        <f t="shared" si="242"/>
        <v>169571.13126643121</v>
      </c>
      <c r="AL147" s="309">
        <f t="shared" ref="AL147:BQ147" si="243">AL$89+AL$124</f>
        <v>132711.214846938</v>
      </c>
      <c r="AM147" s="309">
        <f t="shared" si="243"/>
        <v>100597.6253999585</v>
      </c>
      <c r="AN147" s="309">
        <f t="shared" si="243"/>
        <v>73917.59288724004</v>
      </c>
      <c r="AO147" s="309">
        <f t="shared" si="243"/>
        <v>52683.478230858702</v>
      </c>
      <c r="AP147" s="309">
        <f t="shared" si="243"/>
        <v>36441.973454236992</v>
      </c>
      <c r="AQ147" s="309">
        <f t="shared" si="243"/>
        <v>70562.268970066187</v>
      </c>
      <c r="AR147" s="309">
        <f t="shared" si="243"/>
        <v>55817.127282870271</v>
      </c>
      <c r="AS147" s="309">
        <f t="shared" si="243"/>
        <v>0</v>
      </c>
      <c r="AT147" s="309">
        <f t="shared" si="243"/>
        <v>0</v>
      </c>
      <c r="AU147" s="309">
        <f t="shared" si="243"/>
        <v>0</v>
      </c>
      <c r="AV147" s="309">
        <f t="shared" si="243"/>
        <v>0</v>
      </c>
      <c r="AW147" s="309">
        <f t="shared" si="243"/>
        <v>0</v>
      </c>
      <c r="AX147" s="309">
        <f t="shared" si="243"/>
        <v>0</v>
      </c>
      <c r="AY147" s="309">
        <f t="shared" si="243"/>
        <v>0</v>
      </c>
      <c r="AZ147" s="309">
        <f t="shared" si="243"/>
        <v>0</v>
      </c>
      <c r="BA147" s="309">
        <f t="shared" si="243"/>
        <v>0</v>
      </c>
      <c r="BB147" s="309">
        <f t="shared" si="243"/>
        <v>0</v>
      </c>
      <c r="BC147" s="309">
        <f t="shared" si="243"/>
        <v>0</v>
      </c>
      <c r="BD147" s="309">
        <f t="shared" si="243"/>
        <v>0</v>
      </c>
      <c r="BE147" s="309">
        <f t="shared" si="243"/>
        <v>0</v>
      </c>
      <c r="BF147" s="309">
        <f t="shared" si="243"/>
        <v>0</v>
      </c>
      <c r="BG147" s="309">
        <f t="shared" si="243"/>
        <v>0</v>
      </c>
      <c r="BH147" s="309">
        <f t="shared" si="243"/>
        <v>0</v>
      </c>
      <c r="BI147" s="309">
        <f t="shared" si="243"/>
        <v>0</v>
      </c>
      <c r="BJ147" s="309">
        <f t="shared" si="243"/>
        <v>0</v>
      </c>
      <c r="BK147" s="309">
        <f t="shared" si="243"/>
        <v>0</v>
      </c>
      <c r="BL147" s="309">
        <f t="shared" si="243"/>
        <v>0</v>
      </c>
      <c r="BM147" s="309">
        <f t="shared" si="243"/>
        <v>0</v>
      </c>
      <c r="BN147" s="309">
        <f t="shared" si="243"/>
        <v>0</v>
      </c>
      <c r="BO147" s="309">
        <f t="shared" si="243"/>
        <v>607209.07072326529</v>
      </c>
      <c r="BP147" s="309">
        <f t="shared" si="243"/>
        <v>0</v>
      </c>
      <c r="BQ147" s="309">
        <f t="shared" si="243"/>
        <v>0</v>
      </c>
      <c r="BR147" s="309">
        <f t="shared" ref="BR147:CW147" si="244">BR$89+BR$124</f>
        <v>0</v>
      </c>
      <c r="BS147" s="309">
        <f t="shared" si="244"/>
        <v>0</v>
      </c>
      <c r="BT147" s="309">
        <f t="shared" si="244"/>
        <v>0</v>
      </c>
      <c r="BU147" s="309">
        <f t="shared" si="244"/>
        <v>0</v>
      </c>
      <c r="BV147" s="309">
        <f t="shared" si="244"/>
        <v>0</v>
      </c>
      <c r="BW147" s="309">
        <f t="shared" si="244"/>
        <v>0</v>
      </c>
      <c r="BX147" s="309">
        <f t="shared" si="244"/>
        <v>0</v>
      </c>
      <c r="BY147" s="309">
        <f t="shared" si="244"/>
        <v>0</v>
      </c>
      <c r="BZ147" s="309">
        <f t="shared" si="244"/>
        <v>0</v>
      </c>
      <c r="CA147" s="309">
        <f t="shared" si="244"/>
        <v>0</v>
      </c>
      <c r="CB147" s="309">
        <f t="shared" si="244"/>
        <v>0</v>
      </c>
      <c r="CC147" s="309">
        <f t="shared" si="244"/>
        <v>0</v>
      </c>
      <c r="CD147" s="309">
        <f t="shared" si="244"/>
        <v>0</v>
      </c>
      <c r="CE147" s="309">
        <f t="shared" si="244"/>
        <v>0</v>
      </c>
      <c r="CF147" s="309">
        <f t="shared" si="244"/>
        <v>0</v>
      </c>
      <c r="CG147" s="309">
        <f t="shared" si="244"/>
        <v>0</v>
      </c>
      <c r="CH147" s="309">
        <f t="shared" si="244"/>
        <v>0</v>
      </c>
      <c r="CI147" s="309">
        <f t="shared" si="244"/>
        <v>0</v>
      </c>
      <c r="CJ147" s="309">
        <f t="shared" si="244"/>
        <v>0</v>
      </c>
      <c r="CK147" s="309">
        <f t="shared" si="244"/>
        <v>0</v>
      </c>
      <c r="CL147" s="309">
        <f t="shared" si="244"/>
        <v>0</v>
      </c>
      <c r="CM147" s="309">
        <f t="shared" si="244"/>
        <v>0</v>
      </c>
      <c r="CN147" s="309">
        <f t="shared" si="244"/>
        <v>0</v>
      </c>
      <c r="CO147" s="309">
        <f t="shared" si="244"/>
        <v>0</v>
      </c>
      <c r="CP147" s="309">
        <f t="shared" si="244"/>
        <v>0</v>
      </c>
      <c r="CQ147" s="309">
        <f t="shared" si="244"/>
        <v>0</v>
      </c>
      <c r="CR147" s="309">
        <f t="shared" si="244"/>
        <v>0</v>
      </c>
      <c r="CS147" s="309">
        <f t="shared" si="244"/>
        <v>0</v>
      </c>
      <c r="CT147" s="309">
        <f t="shared" si="244"/>
        <v>0</v>
      </c>
      <c r="CU147" s="309">
        <f t="shared" si="244"/>
        <v>0</v>
      </c>
      <c r="CV147" s="309">
        <f t="shared" si="244"/>
        <v>0</v>
      </c>
      <c r="CW147" s="309">
        <f t="shared" si="244"/>
        <v>0</v>
      </c>
      <c r="CX147" s="309">
        <f t="shared" ref="CX147:DV147" si="245">CX$89+CX$124</f>
        <v>0</v>
      </c>
      <c r="CY147" s="309">
        <f t="shared" si="245"/>
        <v>0</v>
      </c>
      <c r="CZ147" s="309">
        <f t="shared" si="245"/>
        <v>0</v>
      </c>
      <c r="DA147" s="309">
        <f t="shared" si="245"/>
        <v>0</v>
      </c>
      <c r="DB147" s="309">
        <f t="shared" si="245"/>
        <v>0</v>
      </c>
      <c r="DC147" s="309">
        <f t="shared" si="245"/>
        <v>0</v>
      </c>
      <c r="DD147" s="309">
        <f t="shared" si="245"/>
        <v>0</v>
      </c>
      <c r="DE147" s="309">
        <f t="shared" si="245"/>
        <v>0</v>
      </c>
      <c r="DF147" s="309">
        <f t="shared" si="245"/>
        <v>0</v>
      </c>
      <c r="DG147" s="309">
        <f t="shared" si="245"/>
        <v>0</v>
      </c>
      <c r="DH147" s="309">
        <f t="shared" si="245"/>
        <v>0</v>
      </c>
      <c r="DI147" s="309">
        <f t="shared" si="245"/>
        <v>0</v>
      </c>
      <c r="DJ147" s="309">
        <f t="shared" si="245"/>
        <v>0</v>
      </c>
      <c r="DK147" s="309">
        <f t="shared" si="245"/>
        <v>0</v>
      </c>
      <c r="DL147" s="309">
        <f t="shared" si="245"/>
        <v>0</v>
      </c>
      <c r="DM147" s="309">
        <f t="shared" si="245"/>
        <v>0</v>
      </c>
      <c r="DN147" s="309">
        <f t="shared" si="245"/>
        <v>0</v>
      </c>
      <c r="DO147" s="309">
        <f t="shared" si="245"/>
        <v>0</v>
      </c>
      <c r="DP147" s="309">
        <f t="shared" si="245"/>
        <v>0</v>
      </c>
      <c r="DQ147" s="309">
        <f t="shared" si="245"/>
        <v>0</v>
      </c>
      <c r="DR147" s="309">
        <f t="shared" si="245"/>
        <v>0</v>
      </c>
      <c r="DS147" s="309">
        <f t="shared" si="245"/>
        <v>0</v>
      </c>
      <c r="DT147" s="309">
        <f t="shared" si="245"/>
        <v>0</v>
      </c>
      <c r="DU147" s="309">
        <f t="shared" si="245"/>
        <v>0</v>
      </c>
      <c r="DV147" s="309">
        <f t="shared" si="245"/>
        <v>0</v>
      </c>
    </row>
    <row r="148" spans="1:126" ht="15" customHeight="1" x14ac:dyDescent="0.35">
      <c r="A148" s="307" t="s">
        <v>1621</v>
      </c>
      <c r="B148" s="308" t="s">
        <v>1370</v>
      </c>
      <c r="C148" s="1146" t="s">
        <v>1622</v>
      </c>
      <c r="D148" s="1147"/>
      <c r="F148" s="309">
        <f t="shared" ref="F148:AK148" si="246">F$91+F$125+MAX(0,F$107-F$118)</f>
        <v>0</v>
      </c>
      <c r="G148" s="309">
        <f t="shared" si="246"/>
        <v>0</v>
      </c>
      <c r="H148" s="309">
        <f t="shared" si="246"/>
        <v>0</v>
      </c>
      <c r="I148" s="309">
        <f t="shared" si="246"/>
        <v>0</v>
      </c>
      <c r="J148" s="309">
        <f t="shared" si="246"/>
        <v>0</v>
      </c>
      <c r="K148" s="309">
        <f t="shared" si="246"/>
        <v>0</v>
      </c>
      <c r="L148" s="309">
        <f t="shared" si="246"/>
        <v>0</v>
      </c>
      <c r="M148" s="309">
        <f t="shared" si="246"/>
        <v>0</v>
      </c>
      <c r="N148" s="309">
        <f t="shared" si="246"/>
        <v>0</v>
      </c>
      <c r="O148" s="309">
        <f t="shared" si="246"/>
        <v>0</v>
      </c>
      <c r="P148" s="309">
        <f t="shared" si="246"/>
        <v>0</v>
      </c>
      <c r="Q148" s="309">
        <f t="shared" si="246"/>
        <v>0</v>
      </c>
      <c r="R148" s="309">
        <f t="shared" si="246"/>
        <v>0</v>
      </c>
      <c r="S148" s="309">
        <f t="shared" si="246"/>
        <v>0</v>
      </c>
      <c r="T148" s="309">
        <f t="shared" si="246"/>
        <v>0</v>
      </c>
      <c r="U148" s="309">
        <f t="shared" si="246"/>
        <v>0</v>
      </c>
      <c r="V148" s="309">
        <f t="shared" si="246"/>
        <v>0</v>
      </c>
      <c r="W148" s="309">
        <f t="shared" si="246"/>
        <v>0</v>
      </c>
      <c r="X148" s="309">
        <f t="shared" si="246"/>
        <v>0</v>
      </c>
      <c r="Y148" s="309">
        <f t="shared" si="246"/>
        <v>0</v>
      </c>
      <c r="Z148" s="309">
        <f t="shared" si="246"/>
        <v>0</v>
      </c>
      <c r="AA148" s="309">
        <f t="shared" si="246"/>
        <v>0</v>
      </c>
      <c r="AB148" s="309">
        <f t="shared" si="246"/>
        <v>0</v>
      </c>
      <c r="AC148" s="309">
        <f t="shared" si="246"/>
        <v>0</v>
      </c>
      <c r="AD148" s="309">
        <f t="shared" si="246"/>
        <v>0</v>
      </c>
      <c r="AE148" s="309">
        <f t="shared" si="246"/>
        <v>0</v>
      </c>
      <c r="AF148" s="309">
        <f t="shared" si="246"/>
        <v>0</v>
      </c>
      <c r="AG148" s="309">
        <f t="shared" si="246"/>
        <v>0</v>
      </c>
      <c r="AH148" s="309">
        <f t="shared" si="246"/>
        <v>0</v>
      </c>
      <c r="AI148" s="309">
        <f t="shared" si="246"/>
        <v>0</v>
      </c>
      <c r="AJ148" s="309">
        <f t="shared" si="246"/>
        <v>0</v>
      </c>
      <c r="AK148" s="309">
        <f t="shared" si="246"/>
        <v>0</v>
      </c>
      <c r="AL148" s="309">
        <f t="shared" ref="AL148:BQ148" si="247">AL$91+AL$125+MAX(0,AL$107-AL$118)</f>
        <v>142319.23042675434</v>
      </c>
      <c r="AM148" s="309">
        <f t="shared" si="247"/>
        <v>22626.656068220036</v>
      </c>
      <c r="AN148" s="309">
        <f t="shared" si="247"/>
        <v>87528.529862892581</v>
      </c>
      <c r="AO148" s="309">
        <f t="shared" si="247"/>
        <v>55655.819882448763</v>
      </c>
      <c r="AP148" s="309">
        <f t="shared" si="247"/>
        <v>95985.497502655489</v>
      </c>
      <c r="AQ148" s="309">
        <f t="shared" si="247"/>
        <v>80468.23656612169</v>
      </c>
      <c r="AR148" s="309">
        <f t="shared" si="247"/>
        <v>241089.34028980252</v>
      </c>
      <c r="AS148" s="309">
        <f t="shared" si="247"/>
        <v>250930.69676682074</v>
      </c>
      <c r="AT148" s="309">
        <f t="shared" si="247"/>
        <v>0</v>
      </c>
      <c r="AU148" s="309">
        <f t="shared" si="247"/>
        <v>0</v>
      </c>
      <c r="AV148" s="309">
        <f t="shared" si="247"/>
        <v>0</v>
      </c>
      <c r="AW148" s="309">
        <f t="shared" si="247"/>
        <v>0</v>
      </c>
      <c r="AX148" s="309">
        <f t="shared" si="247"/>
        <v>0</v>
      </c>
      <c r="AY148" s="309">
        <f t="shared" si="247"/>
        <v>0</v>
      </c>
      <c r="AZ148" s="309">
        <f t="shared" si="247"/>
        <v>0</v>
      </c>
      <c r="BA148" s="309">
        <f t="shared" si="247"/>
        <v>0</v>
      </c>
      <c r="BB148" s="309">
        <f t="shared" si="247"/>
        <v>0</v>
      </c>
      <c r="BC148" s="309">
        <f t="shared" si="247"/>
        <v>0</v>
      </c>
      <c r="BD148" s="309">
        <f t="shared" si="247"/>
        <v>0</v>
      </c>
      <c r="BE148" s="309">
        <f t="shared" si="247"/>
        <v>0</v>
      </c>
      <c r="BF148" s="309">
        <f t="shared" si="247"/>
        <v>0</v>
      </c>
      <c r="BG148" s="309">
        <f t="shared" si="247"/>
        <v>0</v>
      </c>
      <c r="BH148" s="309">
        <f t="shared" si="247"/>
        <v>0</v>
      </c>
      <c r="BI148" s="309">
        <f t="shared" si="247"/>
        <v>0</v>
      </c>
      <c r="BJ148" s="309">
        <f t="shared" si="247"/>
        <v>0</v>
      </c>
      <c r="BK148" s="309">
        <f t="shared" si="247"/>
        <v>0</v>
      </c>
      <c r="BL148" s="309">
        <f t="shared" si="247"/>
        <v>0</v>
      </c>
      <c r="BM148" s="309">
        <f t="shared" si="247"/>
        <v>0</v>
      </c>
      <c r="BN148" s="309">
        <f t="shared" si="247"/>
        <v>0</v>
      </c>
      <c r="BO148" s="309">
        <f t="shared" si="247"/>
        <v>210701547.54097304</v>
      </c>
      <c r="BP148" s="309">
        <f t="shared" si="247"/>
        <v>976604.00736571616</v>
      </c>
      <c r="BQ148" s="309">
        <f t="shared" si="247"/>
        <v>0</v>
      </c>
      <c r="BR148" s="309">
        <f t="shared" ref="BR148:CW148" si="248">BR$91+BR$125+MAX(0,BR$107-BR$118)</f>
        <v>0</v>
      </c>
      <c r="BS148" s="309">
        <f t="shared" si="248"/>
        <v>0</v>
      </c>
      <c r="BT148" s="309">
        <f t="shared" si="248"/>
        <v>0</v>
      </c>
      <c r="BU148" s="309">
        <f t="shared" si="248"/>
        <v>0</v>
      </c>
      <c r="BV148" s="309">
        <f t="shared" si="248"/>
        <v>0</v>
      </c>
      <c r="BW148" s="309">
        <f t="shared" si="248"/>
        <v>0</v>
      </c>
      <c r="BX148" s="309">
        <f t="shared" si="248"/>
        <v>0</v>
      </c>
      <c r="BY148" s="309">
        <f t="shared" si="248"/>
        <v>0</v>
      </c>
      <c r="BZ148" s="309">
        <f t="shared" si="248"/>
        <v>0</v>
      </c>
      <c r="CA148" s="309">
        <f t="shared" si="248"/>
        <v>0</v>
      </c>
      <c r="CB148" s="309">
        <f t="shared" si="248"/>
        <v>0</v>
      </c>
      <c r="CC148" s="309">
        <f t="shared" si="248"/>
        <v>0</v>
      </c>
      <c r="CD148" s="309">
        <f t="shared" si="248"/>
        <v>0</v>
      </c>
      <c r="CE148" s="309">
        <f t="shared" si="248"/>
        <v>0</v>
      </c>
      <c r="CF148" s="309">
        <f t="shared" si="248"/>
        <v>0</v>
      </c>
      <c r="CG148" s="309">
        <f t="shared" si="248"/>
        <v>0</v>
      </c>
      <c r="CH148" s="309">
        <f t="shared" si="248"/>
        <v>0</v>
      </c>
      <c r="CI148" s="309">
        <f t="shared" si="248"/>
        <v>0</v>
      </c>
      <c r="CJ148" s="309">
        <f t="shared" si="248"/>
        <v>0</v>
      </c>
      <c r="CK148" s="309">
        <f t="shared" si="248"/>
        <v>0</v>
      </c>
      <c r="CL148" s="309">
        <f t="shared" si="248"/>
        <v>0</v>
      </c>
      <c r="CM148" s="309">
        <f t="shared" si="248"/>
        <v>0</v>
      </c>
      <c r="CN148" s="309">
        <f t="shared" si="248"/>
        <v>0</v>
      </c>
      <c r="CO148" s="309">
        <f t="shared" si="248"/>
        <v>0</v>
      </c>
      <c r="CP148" s="309">
        <f t="shared" si="248"/>
        <v>0</v>
      </c>
      <c r="CQ148" s="309">
        <f t="shared" si="248"/>
        <v>0</v>
      </c>
      <c r="CR148" s="309">
        <f t="shared" si="248"/>
        <v>0</v>
      </c>
      <c r="CS148" s="309">
        <f t="shared" si="248"/>
        <v>0</v>
      </c>
      <c r="CT148" s="309">
        <f t="shared" si="248"/>
        <v>0</v>
      </c>
      <c r="CU148" s="309">
        <f t="shared" si="248"/>
        <v>0</v>
      </c>
      <c r="CV148" s="309">
        <f t="shared" si="248"/>
        <v>0</v>
      </c>
      <c r="CW148" s="309">
        <f t="shared" si="248"/>
        <v>0</v>
      </c>
      <c r="CX148" s="309">
        <f t="shared" ref="CX148:DV148" si="249">CX$91+CX$125+MAX(0,CX$107-CX$118)</f>
        <v>0</v>
      </c>
      <c r="CY148" s="309">
        <f t="shared" si="249"/>
        <v>0</v>
      </c>
      <c r="CZ148" s="309">
        <f t="shared" si="249"/>
        <v>0</v>
      </c>
      <c r="DA148" s="309">
        <f t="shared" si="249"/>
        <v>0</v>
      </c>
      <c r="DB148" s="309">
        <f t="shared" si="249"/>
        <v>0</v>
      </c>
      <c r="DC148" s="309">
        <f t="shared" si="249"/>
        <v>0</v>
      </c>
      <c r="DD148" s="309">
        <f t="shared" si="249"/>
        <v>0</v>
      </c>
      <c r="DE148" s="309">
        <f t="shared" si="249"/>
        <v>0</v>
      </c>
      <c r="DF148" s="309">
        <f t="shared" si="249"/>
        <v>0</v>
      </c>
      <c r="DG148" s="309">
        <f t="shared" si="249"/>
        <v>0</v>
      </c>
      <c r="DH148" s="309">
        <f t="shared" si="249"/>
        <v>0</v>
      </c>
      <c r="DI148" s="309">
        <f t="shared" si="249"/>
        <v>0</v>
      </c>
      <c r="DJ148" s="309">
        <f t="shared" si="249"/>
        <v>0</v>
      </c>
      <c r="DK148" s="309">
        <f t="shared" si="249"/>
        <v>0</v>
      </c>
      <c r="DL148" s="309">
        <f t="shared" si="249"/>
        <v>0</v>
      </c>
      <c r="DM148" s="309">
        <f t="shared" si="249"/>
        <v>0</v>
      </c>
      <c r="DN148" s="309">
        <f t="shared" si="249"/>
        <v>0</v>
      </c>
      <c r="DO148" s="309">
        <f t="shared" si="249"/>
        <v>0</v>
      </c>
      <c r="DP148" s="309">
        <f t="shared" si="249"/>
        <v>0</v>
      </c>
      <c r="DQ148" s="309">
        <f t="shared" si="249"/>
        <v>0</v>
      </c>
      <c r="DR148" s="309">
        <f t="shared" si="249"/>
        <v>0</v>
      </c>
      <c r="DS148" s="309">
        <f t="shared" si="249"/>
        <v>0</v>
      </c>
      <c r="DT148" s="309">
        <f t="shared" si="249"/>
        <v>0</v>
      </c>
      <c r="DU148" s="309">
        <f t="shared" si="249"/>
        <v>0</v>
      </c>
      <c r="DV148" s="309">
        <f t="shared" si="249"/>
        <v>0</v>
      </c>
    </row>
    <row r="149" spans="1:126" ht="15" customHeight="1" x14ac:dyDescent="0.35">
      <c r="A149" s="307" t="s">
        <v>1623</v>
      </c>
      <c r="B149" s="308" t="s">
        <v>1370</v>
      </c>
      <c r="C149" s="1146" t="s">
        <v>1624</v>
      </c>
      <c r="D149" s="1147"/>
      <c r="F149" s="309">
        <f t="shared" ref="F149:AK149" si="250">F$126</f>
        <v>0</v>
      </c>
      <c r="G149" s="309">
        <f t="shared" si="250"/>
        <v>0</v>
      </c>
      <c r="H149" s="309">
        <f t="shared" si="250"/>
        <v>0</v>
      </c>
      <c r="I149" s="309">
        <f t="shared" si="250"/>
        <v>0</v>
      </c>
      <c r="J149" s="309">
        <f t="shared" si="250"/>
        <v>0</v>
      </c>
      <c r="K149" s="309">
        <f t="shared" si="250"/>
        <v>0</v>
      </c>
      <c r="L149" s="309">
        <f t="shared" si="250"/>
        <v>0</v>
      </c>
      <c r="M149" s="309">
        <f t="shared" si="250"/>
        <v>0</v>
      </c>
      <c r="N149" s="309">
        <f t="shared" si="250"/>
        <v>0</v>
      </c>
      <c r="O149" s="309">
        <f t="shared" si="250"/>
        <v>0</v>
      </c>
      <c r="P149" s="309">
        <f t="shared" si="250"/>
        <v>0</v>
      </c>
      <c r="Q149" s="309">
        <f t="shared" si="250"/>
        <v>0</v>
      </c>
      <c r="R149" s="309">
        <f t="shared" si="250"/>
        <v>0</v>
      </c>
      <c r="S149" s="309">
        <f t="shared" si="250"/>
        <v>0</v>
      </c>
      <c r="T149" s="309">
        <f t="shared" si="250"/>
        <v>0</v>
      </c>
      <c r="U149" s="309">
        <f t="shared" si="250"/>
        <v>0</v>
      </c>
      <c r="V149" s="309">
        <f t="shared" si="250"/>
        <v>0</v>
      </c>
      <c r="W149" s="309">
        <f t="shared" si="250"/>
        <v>0</v>
      </c>
      <c r="X149" s="309">
        <f t="shared" si="250"/>
        <v>0</v>
      </c>
      <c r="Y149" s="309">
        <f t="shared" si="250"/>
        <v>0</v>
      </c>
      <c r="Z149" s="309">
        <f t="shared" si="250"/>
        <v>0</v>
      </c>
      <c r="AA149" s="309">
        <f t="shared" si="250"/>
        <v>0</v>
      </c>
      <c r="AB149" s="309">
        <f t="shared" si="250"/>
        <v>0</v>
      </c>
      <c r="AC149" s="309">
        <f t="shared" si="250"/>
        <v>0</v>
      </c>
      <c r="AD149" s="309">
        <f t="shared" si="250"/>
        <v>0</v>
      </c>
      <c r="AE149" s="309">
        <f t="shared" si="250"/>
        <v>0</v>
      </c>
      <c r="AF149" s="309">
        <f t="shared" si="250"/>
        <v>0</v>
      </c>
      <c r="AG149" s="309">
        <f t="shared" si="250"/>
        <v>0</v>
      </c>
      <c r="AH149" s="309">
        <f t="shared" si="250"/>
        <v>0</v>
      </c>
      <c r="AI149" s="309">
        <f t="shared" si="250"/>
        <v>0</v>
      </c>
      <c r="AJ149" s="309">
        <f t="shared" si="250"/>
        <v>0</v>
      </c>
      <c r="AK149" s="309">
        <f t="shared" si="250"/>
        <v>0</v>
      </c>
      <c r="AL149" s="309">
        <f t="shared" ref="AL149:BQ149" si="251">AL$126</f>
        <v>0</v>
      </c>
      <c r="AM149" s="309">
        <f t="shared" si="251"/>
        <v>0</v>
      </c>
      <c r="AN149" s="309">
        <f t="shared" si="251"/>
        <v>0</v>
      </c>
      <c r="AO149" s="309">
        <f t="shared" si="251"/>
        <v>0</v>
      </c>
      <c r="AP149" s="309">
        <f t="shared" si="251"/>
        <v>0</v>
      </c>
      <c r="AQ149" s="309">
        <f t="shared" si="251"/>
        <v>0</v>
      </c>
      <c r="AR149" s="309">
        <f t="shared" si="251"/>
        <v>0</v>
      </c>
      <c r="AS149" s="309">
        <f t="shared" si="251"/>
        <v>0</v>
      </c>
      <c r="AT149" s="309">
        <f t="shared" si="251"/>
        <v>0</v>
      </c>
      <c r="AU149" s="309">
        <f t="shared" si="251"/>
        <v>0</v>
      </c>
      <c r="AV149" s="309">
        <f t="shared" si="251"/>
        <v>0</v>
      </c>
      <c r="AW149" s="309">
        <f t="shared" si="251"/>
        <v>0</v>
      </c>
      <c r="AX149" s="309">
        <f t="shared" si="251"/>
        <v>0</v>
      </c>
      <c r="AY149" s="309">
        <f t="shared" si="251"/>
        <v>0</v>
      </c>
      <c r="AZ149" s="309">
        <f t="shared" si="251"/>
        <v>0</v>
      </c>
      <c r="BA149" s="309">
        <f t="shared" si="251"/>
        <v>0</v>
      </c>
      <c r="BB149" s="309">
        <f t="shared" si="251"/>
        <v>0</v>
      </c>
      <c r="BC149" s="309">
        <f t="shared" si="251"/>
        <v>0</v>
      </c>
      <c r="BD149" s="309">
        <f t="shared" si="251"/>
        <v>1343066.6870294325</v>
      </c>
      <c r="BE149" s="309">
        <f t="shared" si="251"/>
        <v>1366822.8649280099</v>
      </c>
      <c r="BF149" s="309">
        <f t="shared" si="251"/>
        <v>1352944.2158783283</v>
      </c>
      <c r="BG149" s="309">
        <f t="shared" si="251"/>
        <v>1377242.5899212598</v>
      </c>
      <c r="BH149" s="309">
        <f t="shared" si="251"/>
        <v>1361237.3819587205</v>
      </c>
      <c r="BI149" s="309">
        <f t="shared" si="251"/>
        <v>1367174.3075746752</v>
      </c>
      <c r="BJ149" s="309">
        <f t="shared" si="251"/>
        <v>1429959.9668750921</v>
      </c>
      <c r="BK149" s="309">
        <f t="shared" si="251"/>
        <v>1375583.4395103138</v>
      </c>
      <c r="BL149" s="309">
        <f t="shared" si="251"/>
        <v>1408885.6217721342</v>
      </c>
      <c r="BM149" s="309">
        <f t="shared" si="251"/>
        <v>1396840.12761269</v>
      </c>
      <c r="BN149" s="309">
        <f t="shared" si="251"/>
        <v>1419637.3583869296</v>
      </c>
      <c r="BO149" s="309">
        <f t="shared" si="251"/>
        <v>0</v>
      </c>
      <c r="BP149" s="309">
        <f t="shared" si="251"/>
        <v>0</v>
      </c>
      <c r="BQ149" s="309">
        <f t="shared" si="251"/>
        <v>0</v>
      </c>
      <c r="BR149" s="309">
        <f t="shared" ref="BR149:CW149" si="252">BR$126</f>
        <v>0</v>
      </c>
      <c r="BS149" s="309">
        <f t="shared" si="252"/>
        <v>0</v>
      </c>
      <c r="BT149" s="309">
        <f t="shared" si="252"/>
        <v>0</v>
      </c>
      <c r="BU149" s="309">
        <f t="shared" si="252"/>
        <v>0</v>
      </c>
      <c r="BV149" s="309">
        <f t="shared" si="252"/>
        <v>0</v>
      </c>
      <c r="BW149" s="309">
        <f t="shared" si="252"/>
        <v>0</v>
      </c>
      <c r="BX149" s="309">
        <f t="shared" si="252"/>
        <v>0</v>
      </c>
      <c r="BY149" s="309">
        <f t="shared" si="252"/>
        <v>0</v>
      </c>
      <c r="BZ149" s="309">
        <f t="shared" si="252"/>
        <v>0</v>
      </c>
      <c r="CA149" s="309">
        <f t="shared" si="252"/>
        <v>0</v>
      </c>
      <c r="CB149" s="309">
        <f t="shared" si="252"/>
        <v>0</v>
      </c>
      <c r="CC149" s="309">
        <f t="shared" si="252"/>
        <v>0</v>
      </c>
      <c r="CD149" s="309">
        <f t="shared" si="252"/>
        <v>0</v>
      </c>
      <c r="CE149" s="309">
        <f t="shared" si="252"/>
        <v>0</v>
      </c>
      <c r="CF149" s="309">
        <f t="shared" si="252"/>
        <v>0</v>
      </c>
      <c r="CG149" s="309">
        <f t="shared" si="252"/>
        <v>0</v>
      </c>
      <c r="CH149" s="309">
        <f t="shared" si="252"/>
        <v>0</v>
      </c>
      <c r="CI149" s="309">
        <f t="shared" si="252"/>
        <v>0</v>
      </c>
      <c r="CJ149" s="309">
        <f t="shared" si="252"/>
        <v>0</v>
      </c>
      <c r="CK149" s="309">
        <f t="shared" si="252"/>
        <v>0</v>
      </c>
      <c r="CL149" s="309">
        <f t="shared" si="252"/>
        <v>0</v>
      </c>
      <c r="CM149" s="309">
        <f t="shared" si="252"/>
        <v>0</v>
      </c>
      <c r="CN149" s="309">
        <f t="shared" si="252"/>
        <v>0</v>
      </c>
      <c r="CO149" s="309">
        <f t="shared" si="252"/>
        <v>0</v>
      </c>
      <c r="CP149" s="309">
        <f t="shared" si="252"/>
        <v>0</v>
      </c>
      <c r="CQ149" s="309">
        <f t="shared" si="252"/>
        <v>0</v>
      </c>
      <c r="CR149" s="309">
        <f t="shared" si="252"/>
        <v>0</v>
      </c>
      <c r="CS149" s="309">
        <f t="shared" si="252"/>
        <v>0</v>
      </c>
      <c r="CT149" s="309">
        <f t="shared" si="252"/>
        <v>0</v>
      </c>
      <c r="CU149" s="309">
        <f t="shared" si="252"/>
        <v>0</v>
      </c>
      <c r="CV149" s="309">
        <f t="shared" si="252"/>
        <v>0</v>
      </c>
      <c r="CW149" s="309">
        <f t="shared" si="252"/>
        <v>0</v>
      </c>
      <c r="CX149" s="309">
        <f t="shared" ref="CX149:DV149" si="253">CX$126</f>
        <v>0</v>
      </c>
      <c r="CY149" s="309">
        <f t="shared" si="253"/>
        <v>0</v>
      </c>
      <c r="CZ149" s="309">
        <f t="shared" si="253"/>
        <v>0</v>
      </c>
      <c r="DA149" s="309">
        <f t="shared" si="253"/>
        <v>0</v>
      </c>
      <c r="DB149" s="309">
        <f t="shared" si="253"/>
        <v>0</v>
      </c>
      <c r="DC149" s="309">
        <f t="shared" si="253"/>
        <v>0</v>
      </c>
      <c r="DD149" s="309">
        <f t="shared" si="253"/>
        <v>0</v>
      </c>
      <c r="DE149" s="309">
        <f t="shared" si="253"/>
        <v>0</v>
      </c>
      <c r="DF149" s="309">
        <f t="shared" si="253"/>
        <v>0</v>
      </c>
      <c r="DG149" s="309">
        <f t="shared" si="253"/>
        <v>0</v>
      </c>
      <c r="DH149" s="309">
        <f t="shared" si="253"/>
        <v>0</v>
      </c>
      <c r="DI149" s="309">
        <f t="shared" si="253"/>
        <v>0</v>
      </c>
      <c r="DJ149" s="309">
        <f t="shared" si="253"/>
        <v>0</v>
      </c>
      <c r="DK149" s="309">
        <f t="shared" si="253"/>
        <v>0</v>
      </c>
      <c r="DL149" s="309">
        <f t="shared" si="253"/>
        <v>0</v>
      </c>
      <c r="DM149" s="309">
        <f t="shared" si="253"/>
        <v>0</v>
      </c>
      <c r="DN149" s="309">
        <f t="shared" si="253"/>
        <v>0</v>
      </c>
      <c r="DO149" s="309">
        <f t="shared" si="253"/>
        <v>0</v>
      </c>
      <c r="DP149" s="309">
        <f t="shared" si="253"/>
        <v>0</v>
      </c>
      <c r="DQ149" s="309">
        <f t="shared" si="253"/>
        <v>0</v>
      </c>
      <c r="DR149" s="309">
        <f t="shared" si="253"/>
        <v>0</v>
      </c>
      <c r="DS149" s="309">
        <f t="shared" si="253"/>
        <v>0</v>
      </c>
      <c r="DT149" s="309">
        <f t="shared" si="253"/>
        <v>0</v>
      </c>
      <c r="DU149" s="309">
        <f t="shared" si="253"/>
        <v>0</v>
      </c>
      <c r="DV149" s="309">
        <f t="shared" si="253"/>
        <v>0</v>
      </c>
    </row>
    <row r="150" spans="1:126" ht="15" customHeight="1" x14ac:dyDescent="0.35">
      <c r="A150" s="307" t="s">
        <v>1625</v>
      </c>
      <c r="B150" s="308" t="s">
        <v>1370</v>
      </c>
      <c r="C150" s="1146" t="s">
        <v>1626</v>
      </c>
      <c r="D150" s="1147"/>
      <c r="F150" s="309">
        <f t="shared" ref="F150:AK150" si="254">$B$27</f>
        <v>100000</v>
      </c>
      <c r="G150" s="309">
        <f t="shared" si="254"/>
        <v>100000</v>
      </c>
      <c r="H150" s="309">
        <f t="shared" si="254"/>
        <v>100000</v>
      </c>
      <c r="I150" s="309">
        <f t="shared" si="254"/>
        <v>100000</v>
      </c>
      <c r="J150" s="309">
        <f t="shared" si="254"/>
        <v>100000</v>
      </c>
      <c r="K150" s="309">
        <f t="shared" si="254"/>
        <v>100000</v>
      </c>
      <c r="L150" s="309">
        <f t="shared" si="254"/>
        <v>100000</v>
      </c>
      <c r="M150" s="309">
        <f t="shared" si="254"/>
        <v>100000</v>
      </c>
      <c r="N150" s="309">
        <f t="shared" si="254"/>
        <v>100000</v>
      </c>
      <c r="O150" s="309">
        <f t="shared" si="254"/>
        <v>100000</v>
      </c>
      <c r="P150" s="309">
        <f t="shared" si="254"/>
        <v>100000</v>
      </c>
      <c r="Q150" s="309">
        <f t="shared" si="254"/>
        <v>100000</v>
      </c>
      <c r="R150" s="309">
        <f t="shared" si="254"/>
        <v>100000</v>
      </c>
      <c r="S150" s="309">
        <f t="shared" si="254"/>
        <v>100000</v>
      </c>
      <c r="T150" s="309">
        <f t="shared" si="254"/>
        <v>100000</v>
      </c>
      <c r="U150" s="309">
        <f t="shared" si="254"/>
        <v>100000</v>
      </c>
      <c r="V150" s="309">
        <f t="shared" si="254"/>
        <v>100000</v>
      </c>
      <c r="W150" s="309">
        <f t="shared" si="254"/>
        <v>100000</v>
      </c>
      <c r="X150" s="309">
        <f t="shared" si="254"/>
        <v>100000</v>
      </c>
      <c r="Y150" s="309">
        <f t="shared" si="254"/>
        <v>100000</v>
      </c>
      <c r="Z150" s="309">
        <f t="shared" si="254"/>
        <v>100000</v>
      </c>
      <c r="AA150" s="309">
        <f t="shared" si="254"/>
        <v>100000</v>
      </c>
      <c r="AB150" s="309">
        <f t="shared" si="254"/>
        <v>100000</v>
      </c>
      <c r="AC150" s="309">
        <f t="shared" si="254"/>
        <v>100000</v>
      </c>
      <c r="AD150" s="309">
        <f t="shared" si="254"/>
        <v>100000</v>
      </c>
      <c r="AE150" s="309">
        <f t="shared" si="254"/>
        <v>100000</v>
      </c>
      <c r="AF150" s="309">
        <f t="shared" si="254"/>
        <v>100000</v>
      </c>
      <c r="AG150" s="309">
        <f t="shared" si="254"/>
        <v>100000</v>
      </c>
      <c r="AH150" s="309">
        <f t="shared" si="254"/>
        <v>100000</v>
      </c>
      <c r="AI150" s="309">
        <f t="shared" si="254"/>
        <v>100000</v>
      </c>
      <c r="AJ150" s="309">
        <f t="shared" si="254"/>
        <v>100000</v>
      </c>
      <c r="AK150" s="309">
        <f t="shared" si="254"/>
        <v>100000</v>
      </c>
      <c r="AL150" s="309">
        <f t="shared" ref="AL150:BQ150" si="255">$B$27</f>
        <v>100000</v>
      </c>
      <c r="AM150" s="309">
        <f t="shared" si="255"/>
        <v>100000</v>
      </c>
      <c r="AN150" s="309">
        <f t="shared" si="255"/>
        <v>100000</v>
      </c>
      <c r="AO150" s="309">
        <f t="shared" si="255"/>
        <v>100000</v>
      </c>
      <c r="AP150" s="309">
        <f t="shared" si="255"/>
        <v>100000</v>
      </c>
      <c r="AQ150" s="309">
        <f t="shared" si="255"/>
        <v>100000</v>
      </c>
      <c r="AR150" s="309">
        <f t="shared" si="255"/>
        <v>100000</v>
      </c>
      <c r="AS150" s="309">
        <f t="shared" si="255"/>
        <v>100000</v>
      </c>
      <c r="AT150" s="309">
        <f t="shared" si="255"/>
        <v>100000</v>
      </c>
      <c r="AU150" s="309">
        <f t="shared" si="255"/>
        <v>100000</v>
      </c>
      <c r="AV150" s="309">
        <f t="shared" si="255"/>
        <v>100000</v>
      </c>
      <c r="AW150" s="309">
        <f t="shared" si="255"/>
        <v>100000</v>
      </c>
      <c r="AX150" s="309">
        <f t="shared" si="255"/>
        <v>100000</v>
      </c>
      <c r="AY150" s="309">
        <f t="shared" si="255"/>
        <v>100000</v>
      </c>
      <c r="AZ150" s="309">
        <f t="shared" si="255"/>
        <v>100000</v>
      </c>
      <c r="BA150" s="309">
        <f t="shared" si="255"/>
        <v>100000</v>
      </c>
      <c r="BB150" s="309">
        <f t="shared" si="255"/>
        <v>100000</v>
      </c>
      <c r="BC150" s="309">
        <f t="shared" si="255"/>
        <v>100000</v>
      </c>
      <c r="BD150" s="309">
        <f t="shared" si="255"/>
        <v>100000</v>
      </c>
      <c r="BE150" s="309">
        <f t="shared" si="255"/>
        <v>100000</v>
      </c>
      <c r="BF150" s="309">
        <f t="shared" si="255"/>
        <v>100000</v>
      </c>
      <c r="BG150" s="309">
        <f t="shared" si="255"/>
        <v>100000</v>
      </c>
      <c r="BH150" s="309">
        <f t="shared" si="255"/>
        <v>100000</v>
      </c>
      <c r="BI150" s="309">
        <f t="shared" si="255"/>
        <v>100000</v>
      </c>
      <c r="BJ150" s="309">
        <f t="shared" si="255"/>
        <v>100000</v>
      </c>
      <c r="BK150" s="309">
        <f t="shared" si="255"/>
        <v>100000</v>
      </c>
      <c r="BL150" s="309">
        <f t="shared" si="255"/>
        <v>100000</v>
      </c>
      <c r="BM150" s="309">
        <f t="shared" si="255"/>
        <v>100000</v>
      </c>
      <c r="BN150" s="309">
        <f t="shared" si="255"/>
        <v>100000</v>
      </c>
      <c r="BO150" s="309">
        <f t="shared" si="255"/>
        <v>100000</v>
      </c>
      <c r="BP150" s="309">
        <f t="shared" si="255"/>
        <v>100000</v>
      </c>
      <c r="BQ150" s="309">
        <f t="shared" si="255"/>
        <v>100000</v>
      </c>
      <c r="BR150" s="309">
        <f t="shared" ref="BR150:CW150" si="256">$B$27</f>
        <v>100000</v>
      </c>
      <c r="BS150" s="309">
        <f t="shared" si="256"/>
        <v>100000</v>
      </c>
      <c r="BT150" s="309">
        <f t="shared" si="256"/>
        <v>100000</v>
      </c>
      <c r="BU150" s="309">
        <f t="shared" si="256"/>
        <v>100000</v>
      </c>
      <c r="BV150" s="309">
        <f t="shared" si="256"/>
        <v>100000</v>
      </c>
      <c r="BW150" s="309">
        <f t="shared" si="256"/>
        <v>100000</v>
      </c>
      <c r="BX150" s="309">
        <f t="shared" si="256"/>
        <v>100000</v>
      </c>
      <c r="BY150" s="309">
        <f t="shared" si="256"/>
        <v>100000</v>
      </c>
      <c r="BZ150" s="309">
        <f t="shared" si="256"/>
        <v>100000</v>
      </c>
      <c r="CA150" s="309">
        <f t="shared" si="256"/>
        <v>100000</v>
      </c>
      <c r="CB150" s="309">
        <f t="shared" si="256"/>
        <v>100000</v>
      </c>
      <c r="CC150" s="309">
        <f t="shared" si="256"/>
        <v>100000</v>
      </c>
      <c r="CD150" s="309">
        <f t="shared" si="256"/>
        <v>100000</v>
      </c>
      <c r="CE150" s="309">
        <f t="shared" si="256"/>
        <v>100000</v>
      </c>
      <c r="CF150" s="309">
        <f t="shared" si="256"/>
        <v>100000</v>
      </c>
      <c r="CG150" s="309">
        <f t="shared" si="256"/>
        <v>100000</v>
      </c>
      <c r="CH150" s="309">
        <f t="shared" si="256"/>
        <v>100000</v>
      </c>
      <c r="CI150" s="309">
        <f t="shared" si="256"/>
        <v>100000</v>
      </c>
      <c r="CJ150" s="309">
        <f t="shared" si="256"/>
        <v>100000</v>
      </c>
      <c r="CK150" s="309">
        <f t="shared" si="256"/>
        <v>100000</v>
      </c>
      <c r="CL150" s="309">
        <f t="shared" si="256"/>
        <v>100000</v>
      </c>
      <c r="CM150" s="309">
        <f t="shared" si="256"/>
        <v>100000</v>
      </c>
      <c r="CN150" s="309">
        <f t="shared" si="256"/>
        <v>100000</v>
      </c>
      <c r="CO150" s="309">
        <f t="shared" si="256"/>
        <v>100000</v>
      </c>
      <c r="CP150" s="309">
        <f t="shared" si="256"/>
        <v>100000</v>
      </c>
      <c r="CQ150" s="309">
        <f t="shared" si="256"/>
        <v>100000</v>
      </c>
      <c r="CR150" s="309">
        <f t="shared" si="256"/>
        <v>100000</v>
      </c>
      <c r="CS150" s="309">
        <f t="shared" si="256"/>
        <v>100000</v>
      </c>
      <c r="CT150" s="309">
        <f t="shared" si="256"/>
        <v>100000</v>
      </c>
      <c r="CU150" s="309">
        <f t="shared" si="256"/>
        <v>100000</v>
      </c>
      <c r="CV150" s="309">
        <f t="shared" si="256"/>
        <v>100000</v>
      </c>
      <c r="CW150" s="309">
        <f t="shared" si="256"/>
        <v>100000</v>
      </c>
      <c r="CX150" s="309">
        <f t="shared" ref="CX150:DV150" si="257">$B$27</f>
        <v>100000</v>
      </c>
      <c r="CY150" s="309">
        <f t="shared" si="257"/>
        <v>100000</v>
      </c>
      <c r="CZ150" s="309">
        <f t="shared" si="257"/>
        <v>100000</v>
      </c>
      <c r="DA150" s="309">
        <f t="shared" si="257"/>
        <v>100000</v>
      </c>
      <c r="DB150" s="309">
        <f t="shared" si="257"/>
        <v>100000</v>
      </c>
      <c r="DC150" s="309">
        <f t="shared" si="257"/>
        <v>100000</v>
      </c>
      <c r="DD150" s="309">
        <f t="shared" si="257"/>
        <v>100000</v>
      </c>
      <c r="DE150" s="309">
        <f t="shared" si="257"/>
        <v>100000</v>
      </c>
      <c r="DF150" s="309">
        <f t="shared" si="257"/>
        <v>100000</v>
      </c>
      <c r="DG150" s="309">
        <f t="shared" si="257"/>
        <v>100000</v>
      </c>
      <c r="DH150" s="309">
        <f t="shared" si="257"/>
        <v>100000</v>
      </c>
      <c r="DI150" s="309">
        <f t="shared" si="257"/>
        <v>100000</v>
      </c>
      <c r="DJ150" s="309">
        <f t="shared" si="257"/>
        <v>100000</v>
      </c>
      <c r="DK150" s="309">
        <f t="shared" si="257"/>
        <v>100000</v>
      </c>
      <c r="DL150" s="309">
        <f t="shared" si="257"/>
        <v>100000</v>
      </c>
      <c r="DM150" s="309">
        <f t="shared" si="257"/>
        <v>100000</v>
      </c>
      <c r="DN150" s="309">
        <f t="shared" si="257"/>
        <v>100000</v>
      </c>
      <c r="DO150" s="309">
        <f t="shared" si="257"/>
        <v>100000</v>
      </c>
      <c r="DP150" s="309">
        <f t="shared" si="257"/>
        <v>100000</v>
      </c>
      <c r="DQ150" s="309">
        <f t="shared" si="257"/>
        <v>100000</v>
      </c>
      <c r="DR150" s="309">
        <f t="shared" si="257"/>
        <v>100000</v>
      </c>
      <c r="DS150" s="309">
        <f t="shared" si="257"/>
        <v>100000</v>
      </c>
      <c r="DT150" s="309">
        <f t="shared" si="257"/>
        <v>100000</v>
      </c>
      <c r="DU150" s="309">
        <f t="shared" si="257"/>
        <v>100000</v>
      </c>
      <c r="DV150" s="309">
        <f t="shared" si="257"/>
        <v>100000</v>
      </c>
    </row>
    <row r="151" spans="1:126" ht="15" customHeight="1" x14ac:dyDescent="0.35">
      <c r="A151" s="307" t="s">
        <v>1627</v>
      </c>
      <c r="B151" s="308" t="s">
        <v>1370</v>
      </c>
      <c r="C151" s="1146" t="s">
        <v>1628</v>
      </c>
      <c r="D151" s="1147"/>
      <c r="F151" s="309">
        <f t="shared" ref="F151:AK151" si="258">MAX(0,F$150-(E$153+F$144+F$106-MAX(0,F$107-F$118)-F$145-F$146-F$147-F$125-F$127-F$149))</f>
        <v>0</v>
      </c>
      <c r="G151" s="309">
        <f t="shared" si="258"/>
        <v>1.4551915228366852E-11</v>
      </c>
      <c r="H151" s="309">
        <f t="shared" si="258"/>
        <v>7349158.0265457649</v>
      </c>
      <c r="I151" s="309">
        <f t="shared" si="258"/>
        <v>0</v>
      </c>
      <c r="J151" s="309">
        <f t="shared" si="258"/>
        <v>1.4551915228366852E-11</v>
      </c>
      <c r="K151" s="309">
        <f t="shared" si="258"/>
        <v>0</v>
      </c>
      <c r="L151" s="309">
        <f t="shared" si="258"/>
        <v>0</v>
      </c>
      <c r="M151" s="309">
        <f t="shared" si="258"/>
        <v>0</v>
      </c>
      <c r="N151" s="309">
        <f t="shared" si="258"/>
        <v>0</v>
      </c>
      <c r="O151" s="309">
        <f t="shared" si="258"/>
        <v>176658.5763401876</v>
      </c>
      <c r="P151" s="309">
        <f t="shared" si="258"/>
        <v>256178.45603973174</v>
      </c>
      <c r="Q151" s="309">
        <f t="shared" si="258"/>
        <v>327154.96489586018</v>
      </c>
      <c r="R151" s="309">
        <f t="shared" si="258"/>
        <v>388525.01245300274</v>
      </c>
      <c r="S151" s="309">
        <f t="shared" si="258"/>
        <v>481495.69099595479</v>
      </c>
      <c r="T151" s="309">
        <f t="shared" si="258"/>
        <v>547142.1247892864</v>
      </c>
      <c r="U151" s="309">
        <f t="shared" si="258"/>
        <v>581711.81602747797</v>
      </c>
      <c r="V151" s="309">
        <f t="shared" si="258"/>
        <v>659175.2250659155</v>
      </c>
      <c r="W151" s="309">
        <f t="shared" si="258"/>
        <v>696859.6437675911</v>
      </c>
      <c r="X151" s="309">
        <f t="shared" si="258"/>
        <v>782353.58393297985</v>
      </c>
      <c r="Y151" s="309">
        <f t="shared" si="258"/>
        <v>844377.96140908916</v>
      </c>
      <c r="Z151" s="309">
        <f t="shared" si="258"/>
        <v>937092.16689831484</v>
      </c>
      <c r="AA151" s="309">
        <f t="shared" si="258"/>
        <v>1136336.8394061085</v>
      </c>
      <c r="AB151" s="309">
        <f t="shared" si="258"/>
        <v>682591.34402596741</v>
      </c>
      <c r="AC151" s="309">
        <f t="shared" si="258"/>
        <v>644381.21261365165</v>
      </c>
      <c r="AD151" s="309">
        <f t="shared" si="258"/>
        <v>684245.14519738161</v>
      </c>
      <c r="AE151" s="309">
        <f t="shared" si="258"/>
        <v>604662.66593752638</v>
      </c>
      <c r="AF151" s="309">
        <f t="shared" si="258"/>
        <v>577891.76274182275</v>
      </c>
      <c r="AG151" s="309">
        <f t="shared" si="258"/>
        <v>543878.89581697562</v>
      </c>
      <c r="AH151" s="309">
        <f t="shared" si="258"/>
        <v>438619.06715505943</v>
      </c>
      <c r="AI151" s="309">
        <f t="shared" si="258"/>
        <v>334608.51002941903</v>
      </c>
      <c r="AJ151" s="309">
        <f t="shared" si="258"/>
        <v>343118.18647917319</v>
      </c>
      <c r="AK151" s="309">
        <f t="shared" si="258"/>
        <v>185517.81377167537</v>
      </c>
      <c r="AL151" s="309">
        <f t="shared" ref="AL151:BQ151" si="259">MAX(0,AL$150-(AK$153+AL$144+AL$106-MAX(0,AL$107-AL$118)-AL$145-AL$146-AL$147-AL$125-AL$127-AL$149))</f>
        <v>132711.214846938</v>
      </c>
      <c r="AM151" s="309">
        <f t="shared" si="259"/>
        <v>100597.6253999585</v>
      </c>
      <c r="AN151" s="309">
        <f t="shared" si="259"/>
        <v>73917.59288724004</v>
      </c>
      <c r="AO151" s="309">
        <f t="shared" si="259"/>
        <v>52683.478230858702</v>
      </c>
      <c r="AP151" s="309">
        <f t="shared" si="259"/>
        <v>36441.973454236992</v>
      </c>
      <c r="AQ151" s="309">
        <f t="shared" si="259"/>
        <v>70562.268970066187</v>
      </c>
      <c r="AR151" s="309">
        <f t="shared" si="259"/>
        <v>55817.127282870271</v>
      </c>
      <c r="AS151" s="309">
        <f t="shared" si="259"/>
        <v>0</v>
      </c>
      <c r="AT151" s="309">
        <f t="shared" si="259"/>
        <v>0</v>
      </c>
      <c r="AU151" s="309">
        <f t="shared" si="259"/>
        <v>0</v>
      </c>
      <c r="AV151" s="309">
        <f t="shared" si="259"/>
        <v>0</v>
      </c>
      <c r="AW151" s="309">
        <f t="shared" si="259"/>
        <v>0</v>
      </c>
      <c r="AX151" s="309">
        <f t="shared" si="259"/>
        <v>0</v>
      </c>
      <c r="AY151" s="309">
        <f t="shared" si="259"/>
        <v>0</v>
      </c>
      <c r="AZ151" s="309">
        <f t="shared" si="259"/>
        <v>0</v>
      </c>
      <c r="BA151" s="309">
        <f t="shared" si="259"/>
        <v>0</v>
      </c>
      <c r="BB151" s="309">
        <f t="shared" si="259"/>
        <v>0</v>
      </c>
      <c r="BC151" s="309">
        <f t="shared" si="259"/>
        <v>0</v>
      </c>
      <c r="BD151" s="309">
        <f t="shared" si="259"/>
        <v>0</v>
      </c>
      <c r="BE151" s="309">
        <f t="shared" si="259"/>
        <v>0</v>
      </c>
      <c r="BF151" s="309">
        <f t="shared" si="259"/>
        <v>0</v>
      </c>
      <c r="BG151" s="309">
        <f t="shared" si="259"/>
        <v>0</v>
      </c>
      <c r="BH151" s="309">
        <f t="shared" si="259"/>
        <v>0</v>
      </c>
      <c r="BI151" s="309">
        <f t="shared" si="259"/>
        <v>0</v>
      </c>
      <c r="BJ151" s="309">
        <f t="shared" si="259"/>
        <v>0</v>
      </c>
      <c r="BK151" s="309">
        <f t="shared" si="259"/>
        <v>0</v>
      </c>
      <c r="BL151" s="309">
        <f t="shared" si="259"/>
        <v>0</v>
      </c>
      <c r="BM151" s="309">
        <f t="shared" si="259"/>
        <v>0</v>
      </c>
      <c r="BN151" s="309">
        <f t="shared" si="259"/>
        <v>0</v>
      </c>
      <c r="BO151" s="309">
        <f t="shared" si="259"/>
        <v>174954474.42597997</v>
      </c>
      <c r="BP151" s="309">
        <f t="shared" si="259"/>
        <v>0</v>
      </c>
      <c r="BQ151" s="309">
        <f t="shared" si="259"/>
        <v>0</v>
      </c>
      <c r="BR151" s="309">
        <f t="shared" ref="BR151:CW151" si="260">MAX(0,BR$150-(BQ$153+BR$144+BR$106-MAX(0,BR$107-BR$118)-BR$145-BR$146-BR$147-BR$125-BR$127-BR$149))</f>
        <v>0</v>
      </c>
      <c r="BS151" s="309">
        <f t="shared" si="260"/>
        <v>0</v>
      </c>
      <c r="BT151" s="309">
        <f t="shared" si="260"/>
        <v>0</v>
      </c>
      <c r="BU151" s="309">
        <f t="shared" si="260"/>
        <v>0</v>
      </c>
      <c r="BV151" s="309">
        <f t="shared" si="260"/>
        <v>0</v>
      </c>
      <c r="BW151" s="309">
        <f t="shared" si="260"/>
        <v>0</v>
      </c>
      <c r="BX151" s="309">
        <f t="shared" si="260"/>
        <v>0</v>
      </c>
      <c r="BY151" s="309">
        <f t="shared" si="260"/>
        <v>0</v>
      </c>
      <c r="BZ151" s="309">
        <f t="shared" si="260"/>
        <v>0</v>
      </c>
      <c r="CA151" s="309">
        <f t="shared" si="260"/>
        <v>0</v>
      </c>
      <c r="CB151" s="309">
        <f t="shared" si="260"/>
        <v>0</v>
      </c>
      <c r="CC151" s="309">
        <f t="shared" si="260"/>
        <v>0</v>
      </c>
      <c r="CD151" s="309">
        <f t="shared" si="260"/>
        <v>0</v>
      </c>
      <c r="CE151" s="309">
        <f t="shared" si="260"/>
        <v>0</v>
      </c>
      <c r="CF151" s="309">
        <f t="shared" si="260"/>
        <v>0</v>
      </c>
      <c r="CG151" s="309">
        <f t="shared" si="260"/>
        <v>0</v>
      </c>
      <c r="CH151" s="309">
        <f t="shared" si="260"/>
        <v>0</v>
      </c>
      <c r="CI151" s="309">
        <f t="shared" si="260"/>
        <v>0</v>
      </c>
      <c r="CJ151" s="309">
        <f t="shared" si="260"/>
        <v>0</v>
      </c>
      <c r="CK151" s="309">
        <f t="shared" si="260"/>
        <v>0</v>
      </c>
      <c r="CL151" s="309">
        <f t="shared" si="260"/>
        <v>0</v>
      </c>
      <c r="CM151" s="309">
        <f t="shared" si="260"/>
        <v>0</v>
      </c>
      <c r="CN151" s="309">
        <f t="shared" si="260"/>
        <v>0</v>
      </c>
      <c r="CO151" s="309">
        <f t="shared" si="260"/>
        <v>0</v>
      </c>
      <c r="CP151" s="309">
        <f t="shared" si="260"/>
        <v>0</v>
      </c>
      <c r="CQ151" s="309">
        <f t="shared" si="260"/>
        <v>0</v>
      </c>
      <c r="CR151" s="309">
        <f t="shared" si="260"/>
        <v>0</v>
      </c>
      <c r="CS151" s="309">
        <f t="shared" si="260"/>
        <v>0</v>
      </c>
      <c r="CT151" s="309">
        <f t="shared" si="260"/>
        <v>0</v>
      </c>
      <c r="CU151" s="309">
        <f t="shared" si="260"/>
        <v>0</v>
      </c>
      <c r="CV151" s="309">
        <f t="shared" si="260"/>
        <v>0</v>
      </c>
      <c r="CW151" s="309">
        <f t="shared" si="260"/>
        <v>0</v>
      </c>
      <c r="CX151" s="309">
        <f t="shared" ref="CX151:DV151" si="261">MAX(0,CX$150-(CW$153+CX$144+CX$106-MAX(0,CX$107-CX$118)-CX$145-CX$146-CX$147-CX$125-CX$127-CX$149))</f>
        <v>0</v>
      </c>
      <c r="CY151" s="309">
        <f t="shared" si="261"/>
        <v>0</v>
      </c>
      <c r="CZ151" s="309">
        <f t="shared" si="261"/>
        <v>0</v>
      </c>
      <c r="DA151" s="309">
        <f t="shared" si="261"/>
        <v>0</v>
      </c>
      <c r="DB151" s="309">
        <f t="shared" si="261"/>
        <v>0</v>
      </c>
      <c r="DC151" s="309">
        <f t="shared" si="261"/>
        <v>0</v>
      </c>
      <c r="DD151" s="309">
        <f t="shared" si="261"/>
        <v>0</v>
      </c>
      <c r="DE151" s="309">
        <f t="shared" si="261"/>
        <v>0</v>
      </c>
      <c r="DF151" s="309">
        <f t="shared" si="261"/>
        <v>0</v>
      </c>
      <c r="DG151" s="309">
        <f t="shared" si="261"/>
        <v>0</v>
      </c>
      <c r="DH151" s="309">
        <f t="shared" si="261"/>
        <v>0</v>
      </c>
      <c r="DI151" s="309">
        <f t="shared" si="261"/>
        <v>0</v>
      </c>
      <c r="DJ151" s="309">
        <f t="shared" si="261"/>
        <v>0</v>
      </c>
      <c r="DK151" s="309">
        <f t="shared" si="261"/>
        <v>0</v>
      </c>
      <c r="DL151" s="309">
        <f t="shared" si="261"/>
        <v>0</v>
      </c>
      <c r="DM151" s="309">
        <f t="shared" si="261"/>
        <v>0</v>
      </c>
      <c r="DN151" s="309">
        <f t="shared" si="261"/>
        <v>0</v>
      </c>
      <c r="DO151" s="309">
        <f t="shared" si="261"/>
        <v>0</v>
      </c>
      <c r="DP151" s="309">
        <f t="shared" si="261"/>
        <v>0</v>
      </c>
      <c r="DQ151" s="309">
        <f t="shared" si="261"/>
        <v>0</v>
      </c>
      <c r="DR151" s="309">
        <f t="shared" si="261"/>
        <v>0</v>
      </c>
      <c r="DS151" s="309">
        <f t="shared" si="261"/>
        <v>0</v>
      </c>
      <c r="DT151" s="309">
        <f t="shared" si="261"/>
        <v>0</v>
      </c>
      <c r="DU151" s="309">
        <f t="shared" si="261"/>
        <v>0</v>
      </c>
      <c r="DV151" s="309">
        <f t="shared" si="261"/>
        <v>0</v>
      </c>
    </row>
    <row r="152" spans="1:126" ht="15" customHeight="1" x14ac:dyDescent="0.35">
      <c r="A152" s="307" t="s">
        <v>1014</v>
      </c>
      <c r="B152" s="308" t="s">
        <v>1370</v>
      </c>
      <c r="C152" s="1146" t="s">
        <v>1629</v>
      </c>
      <c r="D152" s="1147"/>
      <c r="F152" s="309">
        <f t="shared" ref="F152:AK152" si="262">IF($B$48="",0,IF(AND(F$97="OK",F$112="OK",F$135="OK",IF(F$123+F$124=0,TRUE,AND($B$48&lt;&gt;"",F$131&gt;=$B$48)),IF(F$123=0,TRUE,AND($B$49&lt;&gt;"",F$132&gt;=$B$49)),OR(F$133=0,AND($B$50&lt;&gt;"",F$133&gt;=$B$50)),F$134&lt;=$B$38,F$150&lt;=E$153+F$144+F$106-MAX(0,F$107-F$118)-F$145-F$146-F$147-F$125-F$127-F$149+F$151),MAX(0,(E$153+F$144+F$106-MAX(0,F$107-F$118)-F$145-F$146-F$147-F$125-F$127-F$149)+F$151-F$150),0))</f>
        <v>0</v>
      </c>
      <c r="G152" s="309">
        <f t="shared" si="262"/>
        <v>0</v>
      </c>
      <c r="H152" s="309">
        <f t="shared" si="262"/>
        <v>0</v>
      </c>
      <c r="I152" s="309">
        <f t="shared" si="262"/>
        <v>0</v>
      </c>
      <c r="J152" s="309">
        <f t="shared" si="262"/>
        <v>0</v>
      </c>
      <c r="K152" s="309">
        <f t="shared" si="262"/>
        <v>0</v>
      </c>
      <c r="L152" s="309">
        <f t="shared" si="262"/>
        <v>0</v>
      </c>
      <c r="M152" s="309">
        <f t="shared" si="262"/>
        <v>0</v>
      </c>
      <c r="N152" s="309">
        <f t="shared" si="262"/>
        <v>0</v>
      </c>
      <c r="O152" s="309">
        <f t="shared" si="262"/>
        <v>0</v>
      </c>
      <c r="P152" s="309">
        <f t="shared" si="262"/>
        <v>0</v>
      </c>
      <c r="Q152" s="309">
        <f t="shared" si="262"/>
        <v>0</v>
      </c>
      <c r="R152" s="309">
        <f t="shared" si="262"/>
        <v>0</v>
      </c>
      <c r="S152" s="309">
        <f t="shared" si="262"/>
        <v>0</v>
      </c>
      <c r="T152" s="309">
        <f t="shared" si="262"/>
        <v>0</v>
      </c>
      <c r="U152" s="309">
        <f t="shared" si="262"/>
        <v>0</v>
      </c>
      <c r="V152" s="309">
        <f t="shared" si="262"/>
        <v>0</v>
      </c>
      <c r="W152" s="309">
        <f t="shared" si="262"/>
        <v>0</v>
      </c>
      <c r="X152" s="309">
        <f t="shared" si="262"/>
        <v>0</v>
      </c>
      <c r="Y152" s="309">
        <f t="shared" si="262"/>
        <v>0</v>
      </c>
      <c r="Z152" s="309">
        <f t="shared" si="262"/>
        <v>0</v>
      </c>
      <c r="AA152" s="309">
        <f t="shared" si="262"/>
        <v>0</v>
      </c>
      <c r="AB152" s="309">
        <f t="shared" si="262"/>
        <v>0</v>
      </c>
      <c r="AC152" s="309">
        <f t="shared" si="262"/>
        <v>0</v>
      </c>
      <c r="AD152" s="309">
        <f t="shared" si="262"/>
        <v>0</v>
      </c>
      <c r="AE152" s="309">
        <f t="shared" si="262"/>
        <v>0</v>
      </c>
      <c r="AF152" s="309">
        <f t="shared" si="262"/>
        <v>0</v>
      </c>
      <c r="AG152" s="309">
        <f t="shared" si="262"/>
        <v>0</v>
      </c>
      <c r="AH152" s="309">
        <f t="shared" si="262"/>
        <v>0</v>
      </c>
      <c r="AI152" s="309">
        <f t="shared" si="262"/>
        <v>0</v>
      </c>
      <c r="AJ152" s="309">
        <f t="shared" si="262"/>
        <v>0</v>
      </c>
      <c r="AK152" s="309">
        <f t="shared" si="262"/>
        <v>0</v>
      </c>
      <c r="AL152" s="309">
        <f t="shared" ref="AL152:BQ152" si="263">IF($B$48="",0,IF(AND(AL$97="OK",AL$112="OK",AL$135="OK",IF(AL$123+AL$124=0,TRUE,AND($B$48&lt;&gt;"",AL$131&gt;=$B$48)),IF(AL$123=0,TRUE,AND($B$49&lt;&gt;"",AL$132&gt;=$B$49)),OR(AL$133=0,AND($B$50&lt;&gt;"",AL$133&gt;=$B$50)),AL$134&lt;=$B$38,AL$150&lt;=AK$153+AL$144+AL$106-MAX(0,AL$107-AL$118)-AL$145-AL$146-AL$147-AL$125-AL$127-AL$149+AL$151),MAX(0,(AK$153+AL$144+AL$106-MAX(0,AL$107-AL$118)-AL$145-AL$146-AL$147-AL$125-AL$127-AL$149)+AL$151-AL$150),0))</f>
        <v>0</v>
      </c>
      <c r="AM152" s="309">
        <f t="shared" si="263"/>
        <v>0</v>
      </c>
      <c r="AN152" s="309">
        <f t="shared" si="263"/>
        <v>0</v>
      </c>
      <c r="AO152" s="309">
        <f t="shared" si="263"/>
        <v>0</v>
      </c>
      <c r="AP152" s="309">
        <f t="shared" si="263"/>
        <v>0</v>
      </c>
      <c r="AQ152" s="309">
        <f t="shared" si="263"/>
        <v>0</v>
      </c>
      <c r="AR152" s="309">
        <f t="shared" si="263"/>
        <v>0</v>
      </c>
      <c r="AS152" s="309">
        <f t="shared" si="263"/>
        <v>0</v>
      </c>
      <c r="AT152" s="309">
        <f t="shared" si="263"/>
        <v>0</v>
      </c>
      <c r="AU152" s="309">
        <f t="shared" si="263"/>
        <v>0</v>
      </c>
      <c r="AV152" s="309">
        <f t="shared" si="263"/>
        <v>0</v>
      </c>
      <c r="AW152" s="309">
        <f t="shared" si="263"/>
        <v>0</v>
      </c>
      <c r="AX152" s="309">
        <f t="shared" si="263"/>
        <v>0</v>
      </c>
      <c r="AY152" s="309">
        <f t="shared" si="263"/>
        <v>0</v>
      </c>
      <c r="AZ152" s="309">
        <f t="shared" si="263"/>
        <v>0</v>
      </c>
      <c r="BA152" s="309">
        <f t="shared" si="263"/>
        <v>0</v>
      </c>
      <c r="BB152" s="309">
        <f t="shared" si="263"/>
        <v>0</v>
      </c>
      <c r="BC152" s="309">
        <f t="shared" si="263"/>
        <v>0</v>
      </c>
      <c r="BD152" s="309">
        <f t="shared" si="263"/>
        <v>0</v>
      </c>
      <c r="BE152" s="309">
        <f t="shared" si="263"/>
        <v>0</v>
      </c>
      <c r="BF152" s="309">
        <f t="shared" si="263"/>
        <v>0</v>
      </c>
      <c r="BG152" s="309">
        <f t="shared" si="263"/>
        <v>0</v>
      </c>
      <c r="BH152" s="309">
        <f t="shared" si="263"/>
        <v>0</v>
      </c>
      <c r="BI152" s="309">
        <f t="shared" si="263"/>
        <v>0</v>
      </c>
      <c r="BJ152" s="309">
        <f t="shared" si="263"/>
        <v>0</v>
      </c>
      <c r="BK152" s="309">
        <f t="shared" si="263"/>
        <v>0</v>
      </c>
      <c r="BL152" s="309">
        <f t="shared" si="263"/>
        <v>0</v>
      </c>
      <c r="BM152" s="309">
        <f t="shared" si="263"/>
        <v>0</v>
      </c>
      <c r="BN152" s="309">
        <f t="shared" si="263"/>
        <v>0</v>
      </c>
      <c r="BO152" s="309">
        <f t="shared" si="263"/>
        <v>0</v>
      </c>
      <c r="BP152" s="309">
        <f t="shared" si="263"/>
        <v>0</v>
      </c>
      <c r="BQ152" s="309">
        <f t="shared" si="263"/>
        <v>0</v>
      </c>
      <c r="BR152" s="309">
        <f t="shared" ref="BR152:CW152" si="264">IF($B$48="",0,IF(AND(BR$97="OK",BR$112="OK",BR$135="OK",IF(BR$123+BR$124=0,TRUE,AND($B$48&lt;&gt;"",BR$131&gt;=$B$48)),IF(BR$123=0,TRUE,AND($B$49&lt;&gt;"",BR$132&gt;=$B$49)),OR(BR$133=0,AND($B$50&lt;&gt;"",BR$133&gt;=$B$50)),BR$134&lt;=$B$38,BR$150&lt;=BQ$153+BR$144+BR$106-MAX(0,BR$107-BR$118)-BR$145-BR$146-BR$147-BR$125-BR$127-BR$149+BR$151),MAX(0,(BQ$153+BR$144+BR$106-MAX(0,BR$107-BR$118)-BR$145-BR$146-BR$147-BR$125-BR$127-BR$149)+BR$151-BR$150),0))</f>
        <v>0</v>
      </c>
      <c r="BS152" s="309">
        <f t="shared" si="264"/>
        <v>0</v>
      </c>
      <c r="BT152" s="309">
        <f t="shared" si="264"/>
        <v>0</v>
      </c>
      <c r="BU152" s="309">
        <f t="shared" si="264"/>
        <v>0</v>
      </c>
      <c r="BV152" s="309">
        <f t="shared" si="264"/>
        <v>0</v>
      </c>
      <c r="BW152" s="309">
        <f t="shared" si="264"/>
        <v>0</v>
      </c>
      <c r="BX152" s="309">
        <f t="shared" si="264"/>
        <v>0</v>
      </c>
      <c r="BY152" s="309">
        <f t="shared" si="264"/>
        <v>0</v>
      </c>
      <c r="BZ152" s="309">
        <f t="shared" si="264"/>
        <v>0</v>
      </c>
      <c r="CA152" s="309">
        <f t="shared" si="264"/>
        <v>0</v>
      </c>
      <c r="CB152" s="309">
        <f t="shared" si="264"/>
        <v>0</v>
      </c>
      <c r="CC152" s="309">
        <f t="shared" si="264"/>
        <v>0</v>
      </c>
      <c r="CD152" s="309">
        <f t="shared" si="264"/>
        <v>0</v>
      </c>
      <c r="CE152" s="309">
        <f t="shared" si="264"/>
        <v>0</v>
      </c>
      <c r="CF152" s="309">
        <f t="shared" si="264"/>
        <v>0</v>
      </c>
      <c r="CG152" s="309">
        <f t="shared" si="264"/>
        <v>0</v>
      </c>
      <c r="CH152" s="309">
        <f t="shared" si="264"/>
        <v>0</v>
      </c>
      <c r="CI152" s="309">
        <f t="shared" si="264"/>
        <v>0</v>
      </c>
      <c r="CJ152" s="309">
        <f t="shared" si="264"/>
        <v>0</v>
      </c>
      <c r="CK152" s="309">
        <f t="shared" si="264"/>
        <v>0</v>
      </c>
      <c r="CL152" s="309">
        <f t="shared" si="264"/>
        <v>0</v>
      </c>
      <c r="CM152" s="309">
        <f t="shared" si="264"/>
        <v>0</v>
      </c>
      <c r="CN152" s="309">
        <f t="shared" si="264"/>
        <v>0</v>
      </c>
      <c r="CO152" s="309">
        <f t="shared" si="264"/>
        <v>0</v>
      </c>
      <c r="CP152" s="309">
        <f t="shared" si="264"/>
        <v>0</v>
      </c>
      <c r="CQ152" s="309">
        <f t="shared" si="264"/>
        <v>0</v>
      </c>
      <c r="CR152" s="309">
        <f t="shared" si="264"/>
        <v>0</v>
      </c>
      <c r="CS152" s="309">
        <f t="shared" si="264"/>
        <v>0</v>
      </c>
      <c r="CT152" s="309">
        <f t="shared" si="264"/>
        <v>0</v>
      </c>
      <c r="CU152" s="309">
        <f t="shared" si="264"/>
        <v>0</v>
      </c>
      <c r="CV152" s="309">
        <f t="shared" si="264"/>
        <v>0</v>
      </c>
      <c r="CW152" s="309">
        <f t="shared" si="264"/>
        <v>0</v>
      </c>
      <c r="CX152" s="309">
        <f t="shared" ref="CX152:DV152" si="265">IF($B$48="",0,IF(AND(CX$97="OK",CX$112="OK",CX$135="OK",IF(CX$123+CX$124=0,TRUE,AND($B$48&lt;&gt;"",CX$131&gt;=$B$48)),IF(CX$123=0,TRUE,AND($B$49&lt;&gt;"",CX$132&gt;=$B$49)),OR(CX$133=0,AND($B$50&lt;&gt;"",CX$133&gt;=$B$50)),CX$134&lt;=$B$38,CX$150&lt;=CW$153+CX$144+CX$106-MAX(0,CX$107-CX$118)-CX$145-CX$146-CX$147-CX$125-CX$127-CX$149+CX$151),MAX(0,(CW$153+CX$144+CX$106-MAX(0,CX$107-CX$118)-CX$145-CX$146-CX$147-CX$125-CX$127-CX$149)+CX$151-CX$150),0))</f>
        <v>0</v>
      </c>
      <c r="CY152" s="309">
        <f t="shared" si="265"/>
        <v>0</v>
      </c>
      <c r="CZ152" s="309">
        <f t="shared" si="265"/>
        <v>0</v>
      </c>
      <c r="DA152" s="309">
        <f t="shared" si="265"/>
        <v>0</v>
      </c>
      <c r="DB152" s="309">
        <f t="shared" si="265"/>
        <v>0</v>
      </c>
      <c r="DC152" s="309">
        <f t="shared" si="265"/>
        <v>0</v>
      </c>
      <c r="DD152" s="309">
        <f t="shared" si="265"/>
        <v>0</v>
      </c>
      <c r="DE152" s="309">
        <f t="shared" si="265"/>
        <v>0</v>
      </c>
      <c r="DF152" s="309">
        <f t="shared" si="265"/>
        <v>0</v>
      </c>
      <c r="DG152" s="309">
        <f t="shared" si="265"/>
        <v>0</v>
      </c>
      <c r="DH152" s="309">
        <f t="shared" si="265"/>
        <v>0</v>
      </c>
      <c r="DI152" s="309">
        <f t="shared" si="265"/>
        <v>0</v>
      </c>
      <c r="DJ152" s="309">
        <f t="shared" si="265"/>
        <v>0</v>
      </c>
      <c r="DK152" s="309">
        <f t="shared" si="265"/>
        <v>0</v>
      </c>
      <c r="DL152" s="309">
        <f t="shared" si="265"/>
        <v>0</v>
      </c>
      <c r="DM152" s="309">
        <f t="shared" si="265"/>
        <v>0</v>
      </c>
      <c r="DN152" s="309">
        <f t="shared" si="265"/>
        <v>0</v>
      </c>
      <c r="DO152" s="309">
        <f t="shared" si="265"/>
        <v>0</v>
      </c>
      <c r="DP152" s="309">
        <f t="shared" si="265"/>
        <v>0</v>
      </c>
      <c r="DQ152" s="309">
        <f t="shared" si="265"/>
        <v>0</v>
      </c>
      <c r="DR152" s="309">
        <f t="shared" si="265"/>
        <v>0</v>
      </c>
      <c r="DS152" s="309">
        <f t="shared" si="265"/>
        <v>0</v>
      </c>
      <c r="DT152" s="309">
        <f t="shared" si="265"/>
        <v>0</v>
      </c>
      <c r="DU152" s="309">
        <f t="shared" si="265"/>
        <v>0</v>
      </c>
      <c r="DV152" s="309">
        <f t="shared" si="265"/>
        <v>0</v>
      </c>
    </row>
    <row r="153" spans="1:126" ht="15" customHeight="1" x14ac:dyDescent="0.35">
      <c r="A153" s="307" t="s">
        <v>1630</v>
      </c>
      <c r="B153" s="308" t="s">
        <v>1370</v>
      </c>
      <c r="C153" s="1146" t="s">
        <v>1631</v>
      </c>
      <c r="D153" s="1147"/>
      <c r="E153" s="309">
        <v>0</v>
      </c>
      <c r="F153" s="309">
        <f t="shared" ref="F153:AK153" si="266">(E$153+F$144+F$106-MAX(0,F$107-F$118)-F$145-F$146-F$147-F$125-F$127-F$149)+F$151-F$152</f>
        <v>100000</v>
      </c>
      <c r="G153" s="309">
        <f t="shared" si="266"/>
        <v>100000</v>
      </c>
      <c r="H153" s="309">
        <f t="shared" si="266"/>
        <v>100000</v>
      </c>
      <c r="I153" s="309">
        <f t="shared" si="266"/>
        <v>100000</v>
      </c>
      <c r="J153" s="309">
        <f t="shared" si="266"/>
        <v>100000</v>
      </c>
      <c r="K153" s="309">
        <f t="shared" si="266"/>
        <v>100000.00000000001</v>
      </c>
      <c r="L153" s="309">
        <f t="shared" si="266"/>
        <v>100000.00000000003</v>
      </c>
      <c r="M153" s="309">
        <f t="shared" si="266"/>
        <v>100000</v>
      </c>
      <c r="N153" s="309">
        <f t="shared" si="266"/>
        <v>100000</v>
      </c>
      <c r="O153" s="309">
        <f t="shared" si="266"/>
        <v>100000</v>
      </c>
      <c r="P153" s="309">
        <f t="shared" si="266"/>
        <v>100000</v>
      </c>
      <c r="Q153" s="309">
        <f t="shared" si="266"/>
        <v>100000</v>
      </c>
      <c r="R153" s="309">
        <f t="shared" si="266"/>
        <v>100000</v>
      </c>
      <c r="S153" s="309">
        <f t="shared" si="266"/>
        <v>100000</v>
      </c>
      <c r="T153" s="309">
        <f t="shared" si="266"/>
        <v>100000</v>
      </c>
      <c r="U153" s="309">
        <f t="shared" si="266"/>
        <v>100000</v>
      </c>
      <c r="V153" s="309">
        <f t="shared" si="266"/>
        <v>100000</v>
      </c>
      <c r="W153" s="309">
        <f t="shared" si="266"/>
        <v>100000</v>
      </c>
      <c r="X153" s="309">
        <f t="shared" si="266"/>
        <v>100000</v>
      </c>
      <c r="Y153" s="309">
        <f t="shared" si="266"/>
        <v>100000</v>
      </c>
      <c r="Z153" s="309">
        <f t="shared" si="266"/>
        <v>100000</v>
      </c>
      <c r="AA153" s="309">
        <f t="shared" si="266"/>
        <v>100000</v>
      </c>
      <c r="AB153" s="309">
        <f t="shared" si="266"/>
        <v>100000</v>
      </c>
      <c r="AC153" s="309">
        <f t="shared" si="266"/>
        <v>100000</v>
      </c>
      <c r="AD153" s="309">
        <f t="shared" si="266"/>
        <v>100000</v>
      </c>
      <c r="AE153" s="309">
        <f t="shared" si="266"/>
        <v>100000</v>
      </c>
      <c r="AF153" s="309">
        <f t="shared" si="266"/>
        <v>100000</v>
      </c>
      <c r="AG153" s="309">
        <f t="shared" si="266"/>
        <v>100000</v>
      </c>
      <c r="AH153" s="309">
        <f t="shared" si="266"/>
        <v>100000</v>
      </c>
      <c r="AI153" s="309">
        <f t="shared" si="266"/>
        <v>100000</v>
      </c>
      <c r="AJ153" s="309">
        <f t="shared" si="266"/>
        <v>100000</v>
      </c>
      <c r="AK153" s="309">
        <f t="shared" si="266"/>
        <v>100000</v>
      </c>
      <c r="AL153" s="309">
        <f t="shared" ref="AL153:BQ153" si="267">(AK$153+AL$144+AL$106-MAX(0,AL$107-AL$118)-AL$145-AL$146-AL$147-AL$125-AL$127-AL$149)+AL$151-AL$152</f>
        <v>100000</v>
      </c>
      <c r="AM153" s="309">
        <f t="shared" si="267"/>
        <v>100000</v>
      </c>
      <c r="AN153" s="309">
        <f t="shared" si="267"/>
        <v>100000</v>
      </c>
      <c r="AO153" s="309">
        <f t="shared" si="267"/>
        <v>100000</v>
      </c>
      <c r="AP153" s="309">
        <f t="shared" si="267"/>
        <v>100000</v>
      </c>
      <c r="AQ153" s="309">
        <f t="shared" si="267"/>
        <v>100000</v>
      </c>
      <c r="AR153" s="309">
        <f t="shared" si="267"/>
        <v>100000</v>
      </c>
      <c r="AS153" s="309">
        <f t="shared" si="267"/>
        <v>339274.52433966938</v>
      </c>
      <c r="AT153" s="309">
        <f t="shared" si="267"/>
        <v>1004516.0185259925</v>
      </c>
      <c r="AU153" s="309">
        <f t="shared" si="267"/>
        <v>1919630.2810464981</v>
      </c>
      <c r="AV153" s="309">
        <f t="shared" si="267"/>
        <v>3002961.8507067333</v>
      </c>
      <c r="AW153" s="309">
        <f t="shared" si="267"/>
        <v>4298660.0852794405</v>
      </c>
      <c r="AX153" s="309">
        <f t="shared" si="267"/>
        <v>5923656.3914161753</v>
      </c>
      <c r="AY153" s="309">
        <f t="shared" si="267"/>
        <v>7636994.6224804912</v>
      </c>
      <c r="AZ153" s="309">
        <f t="shared" si="267"/>
        <v>9618355.5928966831</v>
      </c>
      <c r="BA153" s="309">
        <f t="shared" si="267"/>
        <v>11774227.570452606</v>
      </c>
      <c r="BB153" s="309">
        <f t="shared" si="267"/>
        <v>14178192.237360407</v>
      </c>
      <c r="BC153" s="309">
        <f t="shared" si="267"/>
        <v>17415453.701553583</v>
      </c>
      <c r="BD153" s="309">
        <f t="shared" si="267"/>
        <v>18758520.388583016</v>
      </c>
      <c r="BE153" s="309">
        <f t="shared" si="267"/>
        <v>20125343.253511027</v>
      </c>
      <c r="BF153" s="309">
        <f t="shared" si="267"/>
        <v>21478287.469389357</v>
      </c>
      <c r="BG153" s="309">
        <f t="shared" si="267"/>
        <v>22855530.059310619</v>
      </c>
      <c r="BH153" s="309">
        <f t="shared" si="267"/>
        <v>24216767.441269342</v>
      </c>
      <c r="BI153" s="309">
        <f t="shared" si="267"/>
        <v>25583941.748844016</v>
      </c>
      <c r="BJ153" s="309">
        <f t="shared" si="267"/>
        <v>27013901.715719111</v>
      </c>
      <c r="BK153" s="309">
        <f t="shared" si="267"/>
        <v>28389485.155229427</v>
      </c>
      <c r="BL153" s="309">
        <f t="shared" si="267"/>
        <v>29798370.777001563</v>
      </c>
      <c r="BM153" s="309">
        <f t="shared" si="267"/>
        <v>31195210.904614251</v>
      </c>
      <c r="BN153" s="309">
        <f t="shared" si="267"/>
        <v>32614848.263001177</v>
      </c>
      <c r="BO153" s="309">
        <f t="shared" si="267"/>
        <v>100000</v>
      </c>
      <c r="BP153" s="309">
        <f t="shared" si="267"/>
        <v>3166518.7480429495</v>
      </c>
      <c r="BQ153" s="309">
        <f t="shared" si="267"/>
        <v>7215032.8926977571</v>
      </c>
      <c r="BR153" s="309">
        <f t="shared" ref="BR153:CW153" si="268">(BQ$153+BR$144+BR$106-MAX(0,BR$107-BR$118)-BR$145-BR$146-BR$147-BR$125-BR$127-BR$149)+BR$151-BR$152</f>
        <v>11268509.844240066</v>
      </c>
      <c r="BS153" s="309">
        <f t="shared" si="268"/>
        <v>15323553.997957375</v>
      </c>
      <c r="BT153" s="309">
        <f t="shared" si="268"/>
        <v>19378598.151674684</v>
      </c>
      <c r="BU153" s="309">
        <f t="shared" si="268"/>
        <v>22604278.258432075</v>
      </c>
      <c r="BV153" s="309">
        <f t="shared" si="268"/>
        <v>25726964.626346692</v>
      </c>
      <c r="BW153" s="309">
        <f t="shared" si="268"/>
        <v>28849650.99426131</v>
      </c>
      <c r="BX153" s="309">
        <f t="shared" si="268"/>
        <v>31985259.469009049</v>
      </c>
      <c r="BY153" s="309">
        <f t="shared" si="268"/>
        <v>35127609.912539288</v>
      </c>
      <c r="BZ153" s="309">
        <f t="shared" si="268"/>
        <v>38269960.356069528</v>
      </c>
      <c r="CA153" s="309">
        <f t="shared" si="268"/>
        <v>41444920.18764589</v>
      </c>
      <c r="CB153" s="309">
        <f t="shared" si="268"/>
        <v>44639522.225385718</v>
      </c>
      <c r="CC153" s="309">
        <f t="shared" si="268"/>
        <v>47834124.263125546</v>
      </c>
      <c r="CD153" s="309">
        <f t="shared" si="268"/>
        <v>51031835.238180026</v>
      </c>
      <c r="CE153" s="309">
        <f t="shared" si="268"/>
        <v>54231168.267485633</v>
      </c>
      <c r="CF153" s="309">
        <f t="shared" si="268"/>
        <v>57430501.296791241</v>
      </c>
      <c r="CG153" s="309">
        <f t="shared" si="268"/>
        <v>60632660.632746533</v>
      </c>
      <c r="CH153" s="309">
        <f t="shared" si="268"/>
        <v>63836294.563475579</v>
      </c>
      <c r="CI153" s="309">
        <f t="shared" si="268"/>
        <v>67039928.494204625</v>
      </c>
      <c r="CJ153" s="309">
        <f t="shared" si="268"/>
        <v>70256936.805505961</v>
      </c>
      <c r="CK153" s="309">
        <f t="shared" si="268"/>
        <v>73480923.054497182</v>
      </c>
      <c r="CL153" s="309">
        <f t="shared" si="268"/>
        <v>76704909.303488404</v>
      </c>
      <c r="CM153" s="309">
        <f t="shared" si="268"/>
        <v>79962358.851002097</v>
      </c>
      <c r="CN153" s="309">
        <f t="shared" si="268"/>
        <v>83239961.838498667</v>
      </c>
      <c r="CO153" s="309">
        <f t="shared" si="268"/>
        <v>86517564.825995237</v>
      </c>
      <c r="CP153" s="309">
        <f t="shared" si="268"/>
        <v>89798385.563612476</v>
      </c>
      <c r="CQ153" s="309">
        <f t="shared" si="268"/>
        <v>93080885.127379626</v>
      </c>
      <c r="CR153" s="309">
        <f t="shared" si="268"/>
        <v>96363384.691146776</v>
      </c>
      <c r="CS153" s="309">
        <f t="shared" si="268"/>
        <v>99648809.482296363</v>
      </c>
      <c r="CT153" s="309">
        <f t="shared" si="268"/>
        <v>102935760.47903678</v>
      </c>
      <c r="CU153" s="309">
        <f t="shared" si="268"/>
        <v>106222711.47577719</v>
      </c>
      <c r="CV153" s="309">
        <f t="shared" si="268"/>
        <v>109523504.95640992</v>
      </c>
      <c r="CW153" s="309">
        <f t="shared" si="268"/>
        <v>112831520.60255167</v>
      </c>
      <c r="CX153" s="309">
        <f t="shared" ref="CX153:DV153" si="269">(CW$153+CX$144+CX$106-MAX(0,CX$107-CX$118)-CX$145-CX$146-CX$147-CX$125-CX$127-CX$149)+CX$151-CX$152</f>
        <v>116139536.24869344</v>
      </c>
      <c r="CY153" s="309">
        <f t="shared" si="269"/>
        <v>119481891.80524808</v>
      </c>
      <c r="CZ153" s="309">
        <f t="shared" si="269"/>
        <v>122844925.52270378</v>
      </c>
      <c r="DA153" s="309">
        <f t="shared" si="269"/>
        <v>126207959.24015948</v>
      </c>
      <c r="DB153" s="309">
        <f t="shared" si="269"/>
        <v>129574323.32899007</v>
      </c>
      <c r="DC153" s="309">
        <f t="shared" si="269"/>
        <v>132942425.00288582</v>
      </c>
      <c r="DD153" s="309">
        <f t="shared" si="269"/>
        <v>136310526.67678156</v>
      </c>
      <c r="DE153" s="309">
        <f t="shared" si="269"/>
        <v>139681655.96101812</v>
      </c>
      <c r="DF153" s="309">
        <f t="shared" si="269"/>
        <v>143054364.86804119</v>
      </c>
      <c r="DG153" s="309">
        <f t="shared" si="269"/>
        <v>146427073.77506426</v>
      </c>
      <c r="DH153" s="309">
        <f t="shared" si="269"/>
        <v>149814109.65291587</v>
      </c>
      <c r="DI153" s="309">
        <f t="shared" si="269"/>
        <v>153208620.47206932</v>
      </c>
      <c r="DJ153" s="309">
        <f t="shared" si="269"/>
        <v>156603131.29122278</v>
      </c>
      <c r="DK153" s="309">
        <f t="shared" si="269"/>
        <v>160032881.94900674</v>
      </c>
      <c r="DL153" s="309">
        <f t="shared" si="269"/>
        <v>163483849.33760506</v>
      </c>
      <c r="DM153" s="309">
        <f t="shared" si="269"/>
        <v>166934816.72620338</v>
      </c>
      <c r="DN153" s="309">
        <f t="shared" si="269"/>
        <v>170389231.0491747</v>
      </c>
      <c r="DO153" s="309">
        <f t="shared" si="269"/>
        <v>173845443.77268848</v>
      </c>
      <c r="DP153" s="309">
        <f t="shared" si="269"/>
        <v>177301656.49620226</v>
      </c>
      <c r="DQ153" s="309">
        <f t="shared" si="269"/>
        <v>180761002.79641876</v>
      </c>
      <c r="DR153" s="309">
        <f t="shared" si="269"/>
        <v>184221984.0062193</v>
      </c>
      <c r="DS153" s="309">
        <f t="shared" si="269"/>
        <v>187682965.21601984</v>
      </c>
      <c r="DT153" s="309">
        <f t="shared" si="269"/>
        <v>191158774.84062794</v>
      </c>
      <c r="DU153" s="309">
        <f t="shared" si="269"/>
        <v>194642321.02948344</v>
      </c>
      <c r="DV153" s="309">
        <f t="shared" si="269"/>
        <v>198125867.21833894</v>
      </c>
    </row>
    <row r="154" spans="1:126" ht="15" customHeight="1" x14ac:dyDescent="0.35">
      <c r="A154" s="307" t="s">
        <v>1632</v>
      </c>
      <c r="B154" s="308" t="s">
        <v>924</v>
      </c>
      <c r="C154" s="1146" t="s">
        <v>1633</v>
      </c>
      <c r="D154" s="1147"/>
      <c r="F154" s="323" t="str">
        <f t="shared" ref="F154:AK154" si="270">IF(F$123+F$124=0,"NO DEBT SERVICE",IF($B$48="","COVENANT PENDING",IF(AND(F$97="OK",F$112="OK",F$135="OK",F$131&gt;=$B$48,OR(F$123=0,F$132&gt;=$B$49),OR(F$133=0,F$133&gt;=$B$50),F$134&lt;=$B$38,F$150&lt;=E$153+F$144+F$106-MAX(0,F$107-F$118)-F$145-F$146-F$147-F$125-F$127-F$149+F$151),"OK","BLOCKED")))</f>
        <v>NO DEBT SERVICE</v>
      </c>
      <c r="G154" s="323" t="str">
        <f t="shared" si="270"/>
        <v>NO DEBT SERVICE</v>
      </c>
      <c r="H154" s="323" t="str">
        <f t="shared" si="270"/>
        <v>NO DEBT SERVICE</v>
      </c>
      <c r="I154" s="323" t="str">
        <f t="shared" si="270"/>
        <v>NO DEBT SERVICE</v>
      </c>
      <c r="J154" s="323" t="str">
        <f t="shared" si="270"/>
        <v>NO DEBT SERVICE</v>
      </c>
      <c r="K154" s="323" t="str">
        <f t="shared" si="270"/>
        <v>NO DEBT SERVICE</v>
      </c>
      <c r="L154" s="323" t="str">
        <f t="shared" si="270"/>
        <v>NO DEBT SERVICE</v>
      </c>
      <c r="M154" s="323" t="str">
        <f t="shared" si="270"/>
        <v>NO DEBT SERVICE</v>
      </c>
      <c r="N154" s="323" t="str">
        <f t="shared" si="270"/>
        <v>NO DEBT SERVICE</v>
      </c>
      <c r="O154" s="323" t="str">
        <f t="shared" si="270"/>
        <v>NO DEBT SERVICE</v>
      </c>
      <c r="P154" s="323" t="str">
        <f t="shared" si="270"/>
        <v>NO DEBT SERVICE</v>
      </c>
      <c r="Q154" s="323" t="str">
        <f t="shared" si="270"/>
        <v>NO DEBT SERVICE</v>
      </c>
      <c r="R154" s="323" t="str">
        <f t="shared" si="270"/>
        <v>NO DEBT SERVICE</v>
      </c>
      <c r="S154" s="323" t="str">
        <f t="shared" si="270"/>
        <v>NO DEBT SERVICE</v>
      </c>
      <c r="T154" s="323" t="str">
        <f t="shared" si="270"/>
        <v>NO DEBT SERVICE</v>
      </c>
      <c r="U154" s="323" t="str">
        <f t="shared" si="270"/>
        <v>NO DEBT SERVICE</v>
      </c>
      <c r="V154" s="323" t="str">
        <f t="shared" si="270"/>
        <v>NO DEBT SERVICE</v>
      </c>
      <c r="W154" s="323" t="str">
        <f t="shared" si="270"/>
        <v>NO DEBT SERVICE</v>
      </c>
      <c r="X154" s="323" t="str">
        <f t="shared" si="270"/>
        <v>NO DEBT SERVICE</v>
      </c>
      <c r="Y154" s="323" t="str">
        <f t="shared" si="270"/>
        <v>NO DEBT SERVICE</v>
      </c>
      <c r="Z154" s="323" t="str">
        <f t="shared" si="270"/>
        <v>NO DEBT SERVICE</v>
      </c>
      <c r="AA154" s="323" t="str">
        <f t="shared" si="270"/>
        <v>NO DEBT SERVICE</v>
      </c>
      <c r="AB154" s="323" t="str">
        <f t="shared" si="270"/>
        <v>NO DEBT SERVICE</v>
      </c>
      <c r="AC154" s="323" t="str">
        <f t="shared" si="270"/>
        <v>NO DEBT SERVICE</v>
      </c>
      <c r="AD154" s="323" t="str">
        <f t="shared" si="270"/>
        <v>NO DEBT SERVICE</v>
      </c>
      <c r="AE154" s="323" t="str">
        <f t="shared" si="270"/>
        <v>NO DEBT SERVICE</v>
      </c>
      <c r="AF154" s="323" t="str">
        <f t="shared" si="270"/>
        <v>NO DEBT SERVICE</v>
      </c>
      <c r="AG154" s="323" t="str">
        <f t="shared" si="270"/>
        <v>NO DEBT SERVICE</v>
      </c>
      <c r="AH154" s="323" t="str">
        <f t="shared" si="270"/>
        <v>NO DEBT SERVICE</v>
      </c>
      <c r="AI154" s="323" t="str">
        <f t="shared" si="270"/>
        <v>NO DEBT SERVICE</v>
      </c>
      <c r="AJ154" s="323" t="str">
        <f t="shared" si="270"/>
        <v>NO DEBT SERVICE</v>
      </c>
      <c r="AK154" s="323" t="str">
        <f t="shared" si="270"/>
        <v>NO DEBT SERVICE</v>
      </c>
      <c r="AL154" s="323" t="str">
        <f t="shared" ref="AL154:BQ154" si="271">IF(AL$123+AL$124=0,"NO DEBT SERVICE",IF($B$48="","COVENANT PENDING",IF(AND(AL$97="OK",AL$112="OK",AL$135="OK",AL$131&gt;=$B$48,OR(AL$123=0,AL$132&gt;=$B$49),OR(AL$133=0,AL$133&gt;=$B$50),AL$134&lt;=$B$38,AL$150&lt;=AK$153+AL$144+AL$106-MAX(0,AL$107-AL$118)-AL$145-AL$146-AL$147-AL$125-AL$127-AL$149+AL$151),"OK","BLOCKED")))</f>
        <v>NO DEBT SERVICE</v>
      </c>
      <c r="AM154" s="323" t="str">
        <f t="shared" si="271"/>
        <v>NO DEBT SERVICE</v>
      </c>
      <c r="AN154" s="323" t="str">
        <f t="shared" si="271"/>
        <v>NO DEBT SERVICE</v>
      </c>
      <c r="AO154" s="323" t="str">
        <f t="shared" si="271"/>
        <v>NO DEBT SERVICE</v>
      </c>
      <c r="AP154" s="323" t="str">
        <f t="shared" si="271"/>
        <v>NO DEBT SERVICE</v>
      </c>
      <c r="AQ154" s="323" t="str">
        <f t="shared" si="271"/>
        <v>NO DEBT SERVICE</v>
      </c>
      <c r="AR154" s="323" t="str">
        <f t="shared" si="271"/>
        <v>NO DEBT SERVICE</v>
      </c>
      <c r="AS154" s="323" t="str">
        <f t="shared" si="271"/>
        <v>NO DEBT SERVICE</v>
      </c>
      <c r="AT154" s="323" t="str">
        <f t="shared" si="271"/>
        <v>NO DEBT SERVICE</v>
      </c>
      <c r="AU154" s="323" t="str">
        <f t="shared" si="271"/>
        <v>NO DEBT SERVICE</v>
      </c>
      <c r="AV154" s="323" t="str">
        <f t="shared" si="271"/>
        <v>NO DEBT SERVICE</v>
      </c>
      <c r="AW154" s="323" t="str">
        <f t="shared" si="271"/>
        <v>NO DEBT SERVICE</v>
      </c>
      <c r="AX154" s="323" t="str">
        <f t="shared" si="271"/>
        <v>NO DEBT SERVICE</v>
      </c>
      <c r="AY154" s="323" t="str">
        <f t="shared" si="271"/>
        <v>NO DEBT SERVICE</v>
      </c>
      <c r="AZ154" s="323" t="str">
        <f t="shared" si="271"/>
        <v>NO DEBT SERVICE</v>
      </c>
      <c r="BA154" s="323" t="str">
        <f t="shared" si="271"/>
        <v>NO DEBT SERVICE</v>
      </c>
      <c r="BB154" s="323" t="str">
        <f t="shared" si="271"/>
        <v>NO DEBT SERVICE</v>
      </c>
      <c r="BC154" s="323" t="str">
        <f t="shared" si="271"/>
        <v>COVENANT PENDING</v>
      </c>
      <c r="BD154" s="323" t="str">
        <f t="shared" si="271"/>
        <v>COVENANT PENDING</v>
      </c>
      <c r="BE154" s="323" t="str">
        <f t="shared" si="271"/>
        <v>COVENANT PENDING</v>
      </c>
      <c r="BF154" s="323" t="str">
        <f t="shared" si="271"/>
        <v>COVENANT PENDING</v>
      </c>
      <c r="BG154" s="323" t="str">
        <f t="shared" si="271"/>
        <v>COVENANT PENDING</v>
      </c>
      <c r="BH154" s="323" t="str">
        <f t="shared" si="271"/>
        <v>COVENANT PENDING</v>
      </c>
      <c r="BI154" s="323" t="str">
        <f t="shared" si="271"/>
        <v>COVENANT PENDING</v>
      </c>
      <c r="BJ154" s="323" t="str">
        <f t="shared" si="271"/>
        <v>COVENANT PENDING</v>
      </c>
      <c r="BK154" s="323" t="str">
        <f t="shared" si="271"/>
        <v>COVENANT PENDING</v>
      </c>
      <c r="BL154" s="323" t="str">
        <f t="shared" si="271"/>
        <v>COVENANT PENDING</v>
      </c>
      <c r="BM154" s="323" t="str">
        <f t="shared" si="271"/>
        <v>COVENANT PENDING</v>
      </c>
      <c r="BN154" s="323" t="str">
        <f t="shared" si="271"/>
        <v>COVENANT PENDING</v>
      </c>
      <c r="BO154" s="323" t="str">
        <f t="shared" si="271"/>
        <v>COVENANT PENDING</v>
      </c>
      <c r="BP154" s="323" t="str">
        <f t="shared" si="271"/>
        <v>NO DEBT SERVICE</v>
      </c>
      <c r="BQ154" s="323" t="str">
        <f t="shared" si="271"/>
        <v>NO DEBT SERVICE</v>
      </c>
      <c r="BR154" s="323" t="str">
        <f t="shared" ref="BR154:CW154" si="272">IF(BR$123+BR$124=0,"NO DEBT SERVICE",IF($B$48="","COVENANT PENDING",IF(AND(BR$97="OK",BR$112="OK",BR$135="OK",BR$131&gt;=$B$48,OR(BR$123=0,BR$132&gt;=$B$49),OR(BR$133=0,BR$133&gt;=$B$50),BR$134&lt;=$B$38,BR$150&lt;=BQ$153+BR$144+BR$106-MAX(0,BR$107-BR$118)-BR$145-BR$146-BR$147-BR$125-BR$127-BR$149+BR$151),"OK","BLOCKED")))</f>
        <v>NO DEBT SERVICE</v>
      </c>
      <c r="BS154" s="323" t="str">
        <f t="shared" si="272"/>
        <v>NO DEBT SERVICE</v>
      </c>
      <c r="BT154" s="323" t="str">
        <f t="shared" si="272"/>
        <v>NO DEBT SERVICE</v>
      </c>
      <c r="BU154" s="323" t="str">
        <f t="shared" si="272"/>
        <v>NO DEBT SERVICE</v>
      </c>
      <c r="BV154" s="323" t="str">
        <f t="shared" si="272"/>
        <v>NO DEBT SERVICE</v>
      </c>
      <c r="BW154" s="323" t="str">
        <f t="shared" si="272"/>
        <v>NO DEBT SERVICE</v>
      </c>
      <c r="BX154" s="323" t="str">
        <f t="shared" si="272"/>
        <v>NO DEBT SERVICE</v>
      </c>
      <c r="BY154" s="323" t="str">
        <f t="shared" si="272"/>
        <v>NO DEBT SERVICE</v>
      </c>
      <c r="BZ154" s="323" t="str">
        <f t="shared" si="272"/>
        <v>NO DEBT SERVICE</v>
      </c>
      <c r="CA154" s="323" t="str">
        <f t="shared" si="272"/>
        <v>NO DEBT SERVICE</v>
      </c>
      <c r="CB154" s="323" t="str">
        <f t="shared" si="272"/>
        <v>NO DEBT SERVICE</v>
      </c>
      <c r="CC154" s="323" t="str">
        <f t="shared" si="272"/>
        <v>NO DEBT SERVICE</v>
      </c>
      <c r="CD154" s="323" t="str">
        <f t="shared" si="272"/>
        <v>NO DEBT SERVICE</v>
      </c>
      <c r="CE154" s="323" t="str">
        <f t="shared" si="272"/>
        <v>NO DEBT SERVICE</v>
      </c>
      <c r="CF154" s="323" t="str">
        <f t="shared" si="272"/>
        <v>NO DEBT SERVICE</v>
      </c>
      <c r="CG154" s="323" t="str">
        <f t="shared" si="272"/>
        <v>NO DEBT SERVICE</v>
      </c>
      <c r="CH154" s="323" t="str">
        <f t="shared" si="272"/>
        <v>NO DEBT SERVICE</v>
      </c>
      <c r="CI154" s="323" t="str">
        <f t="shared" si="272"/>
        <v>NO DEBT SERVICE</v>
      </c>
      <c r="CJ154" s="323" t="str">
        <f t="shared" si="272"/>
        <v>NO DEBT SERVICE</v>
      </c>
      <c r="CK154" s="323" t="str">
        <f t="shared" si="272"/>
        <v>NO DEBT SERVICE</v>
      </c>
      <c r="CL154" s="323" t="str">
        <f t="shared" si="272"/>
        <v>NO DEBT SERVICE</v>
      </c>
      <c r="CM154" s="323" t="str">
        <f t="shared" si="272"/>
        <v>NO DEBT SERVICE</v>
      </c>
      <c r="CN154" s="323" t="str">
        <f t="shared" si="272"/>
        <v>NO DEBT SERVICE</v>
      </c>
      <c r="CO154" s="323" t="str">
        <f t="shared" si="272"/>
        <v>NO DEBT SERVICE</v>
      </c>
      <c r="CP154" s="323" t="str">
        <f t="shared" si="272"/>
        <v>NO DEBT SERVICE</v>
      </c>
      <c r="CQ154" s="323" t="str">
        <f t="shared" si="272"/>
        <v>NO DEBT SERVICE</v>
      </c>
      <c r="CR154" s="323" t="str">
        <f t="shared" si="272"/>
        <v>NO DEBT SERVICE</v>
      </c>
      <c r="CS154" s="323" t="str">
        <f t="shared" si="272"/>
        <v>NO DEBT SERVICE</v>
      </c>
      <c r="CT154" s="323" t="str">
        <f t="shared" si="272"/>
        <v>NO DEBT SERVICE</v>
      </c>
      <c r="CU154" s="323" t="str">
        <f t="shared" si="272"/>
        <v>NO DEBT SERVICE</v>
      </c>
      <c r="CV154" s="323" t="str">
        <f t="shared" si="272"/>
        <v>NO DEBT SERVICE</v>
      </c>
      <c r="CW154" s="323" t="str">
        <f t="shared" si="272"/>
        <v>NO DEBT SERVICE</v>
      </c>
      <c r="CX154" s="323" t="str">
        <f t="shared" ref="CX154:DV154" si="273">IF(CX$123+CX$124=0,"NO DEBT SERVICE",IF($B$48="","COVENANT PENDING",IF(AND(CX$97="OK",CX$112="OK",CX$135="OK",CX$131&gt;=$B$48,OR(CX$123=0,CX$132&gt;=$B$49),OR(CX$133=0,CX$133&gt;=$B$50),CX$134&lt;=$B$38,CX$150&lt;=CW$153+CX$144+CX$106-MAX(0,CX$107-CX$118)-CX$145-CX$146-CX$147-CX$125-CX$127-CX$149+CX$151),"OK","BLOCKED")))</f>
        <v>NO DEBT SERVICE</v>
      </c>
      <c r="CY154" s="323" t="str">
        <f t="shared" si="273"/>
        <v>NO DEBT SERVICE</v>
      </c>
      <c r="CZ154" s="323" t="str">
        <f t="shared" si="273"/>
        <v>NO DEBT SERVICE</v>
      </c>
      <c r="DA154" s="323" t="str">
        <f t="shared" si="273"/>
        <v>NO DEBT SERVICE</v>
      </c>
      <c r="DB154" s="323" t="str">
        <f t="shared" si="273"/>
        <v>NO DEBT SERVICE</v>
      </c>
      <c r="DC154" s="323" t="str">
        <f t="shared" si="273"/>
        <v>NO DEBT SERVICE</v>
      </c>
      <c r="DD154" s="323" t="str">
        <f t="shared" si="273"/>
        <v>NO DEBT SERVICE</v>
      </c>
      <c r="DE154" s="323" t="str">
        <f t="shared" si="273"/>
        <v>NO DEBT SERVICE</v>
      </c>
      <c r="DF154" s="323" t="str">
        <f t="shared" si="273"/>
        <v>NO DEBT SERVICE</v>
      </c>
      <c r="DG154" s="323" t="str">
        <f t="shared" si="273"/>
        <v>NO DEBT SERVICE</v>
      </c>
      <c r="DH154" s="323" t="str">
        <f t="shared" si="273"/>
        <v>NO DEBT SERVICE</v>
      </c>
      <c r="DI154" s="323" t="str">
        <f t="shared" si="273"/>
        <v>NO DEBT SERVICE</v>
      </c>
      <c r="DJ154" s="323" t="str">
        <f t="shared" si="273"/>
        <v>NO DEBT SERVICE</v>
      </c>
      <c r="DK154" s="323" t="str">
        <f t="shared" si="273"/>
        <v>NO DEBT SERVICE</v>
      </c>
      <c r="DL154" s="323" t="str">
        <f t="shared" si="273"/>
        <v>NO DEBT SERVICE</v>
      </c>
      <c r="DM154" s="323" t="str">
        <f t="shared" si="273"/>
        <v>NO DEBT SERVICE</v>
      </c>
      <c r="DN154" s="323" t="str">
        <f t="shared" si="273"/>
        <v>NO DEBT SERVICE</v>
      </c>
      <c r="DO154" s="323" t="str">
        <f t="shared" si="273"/>
        <v>NO DEBT SERVICE</v>
      </c>
      <c r="DP154" s="323" t="str">
        <f t="shared" si="273"/>
        <v>NO DEBT SERVICE</v>
      </c>
      <c r="DQ154" s="323" t="str">
        <f t="shared" si="273"/>
        <v>NO DEBT SERVICE</v>
      </c>
      <c r="DR154" s="323" t="str">
        <f t="shared" si="273"/>
        <v>NO DEBT SERVICE</v>
      </c>
      <c r="DS154" s="323" t="str">
        <f t="shared" si="273"/>
        <v>NO DEBT SERVICE</v>
      </c>
      <c r="DT154" s="323" t="str">
        <f t="shared" si="273"/>
        <v>NO DEBT SERVICE</v>
      </c>
      <c r="DU154" s="323" t="str">
        <f t="shared" si="273"/>
        <v>NO DEBT SERVICE</v>
      </c>
      <c r="DV154" s="323" t="str">
        <f t="shared" si="273"/>
        <v>NO DEBT SERVICE</v>
      </c>
    </row>
    <row r="155" spans="1:126" ht="15" customHeight="1" x14ac:dyDescent="0.35">
      <c r="A155" s="307" t="s">
        <v>1634</v>
      </c>
      <c r="B155" s="308" t="s">
        <v>1370</v>
      </c>
      <c r="C155" s="1146" t="s">
        <v>1542</v>
      </c>
      <c r="D155" s="1147"/>
      <c r="F155" s="309">
        <f t="shared" ref="F155:AK155" si="274">E$153+F$144+F$106-MAX(0,F$107-F$118)-F$145-F$146-F$147-F$125-F$127-F$149+F$151-F$152-F$153</f>
        <v>0</v>
      </c>
      <c r="G155" s="309">
        <f t="shared" si="274"/>
        <v>0</v>
      </c>
      <c r="H155" s="309">
        <f t="shared" si="274"/>
        <v>0</v>
      </c>
      <c r="I155" s="309">
        <f t="shared" si="274"/>
        <v>0</v>
      </c>
      <c r="J155" s="309">
        <f t="shared" si="274"/>
        <v>0</v>
      </c>
      <c r="K155" s="309">
        <f t="shared" si="274"/>
        <v>0</v>
      </c>
      <c r="L155" s="309">
        <f t="shared" si="274"/>
        <v>0</v>
      </c>
      <c r="M155" s="309">
        <f t="shared" si="274"/>
        <v>0</v>
      </c>
      <c r="N155" s="309">
        <f t="shared" si="274"/>
        <v>0</v>
      </c>
      <c r="O155" s="309">
        <f t="shared" si="274"/>
        <v>0</v>
      </c>
      <c r="P155" s="309">
        <f t="shared" si="274"/>
        <v>0</v>
      </c>
      <c r="Q155" s="309">
        <f t="shared" si="274"/>
        <v>0</v>
      </c>
      <c r="R155" s="309">
        <f t="shared" si="274"/>
        <v>0</v>
      </c>
      <c r="S155" s="309">
        <f t="shared" si="274"/>
        <v>0</v>
      </c>
      <c r="T155" s="309">
        <f t="shared" si="274"/>
        <v>0</v>
      </c>
      <c r="U155" s="309">
        <f t="shared" si="274"/>
        <v>0</v>
      </c>
      <c r="V155" s="309">
        <f t="shared" si="274"/>
        <v>0</v>
      </c>
      <c r="W155" s="309">
        <f t="shared" si="274"/>
        <v>0</v>
      </c>
      <c r="X155" s="309">
        <f t="shared" si="274"/>
        <v>0</v>
      </c>
      <c r="Y155" s="309">
        <f t="shared" si="274"/>
        <v>0</v>
      </c>
      <c r="Z155" s="309">
        <f t="shared" si="274"/>
        <v>0</v>
      </c>
      <c r="AA155" s="309">
        <f t="shared" si="274"/>
        <v>0</v>
      </c>
      <c r="AB155" s="309">
        <f t="shared" si="274"/>
        <v>0</v>
      </c>
      <c r="AC155" s="309">
        <f t="shared" si="274"/>
        <v>0</v>
      </c>
      <c r="AD155" s="309">
        <f t="shared" si="274"/>
        <v>0</v>
      </c>
      <c r="AE155" s="309">
        <f t="shared" si="274"/>
        <v>0</v>
      </c>
      <c r="AF155" s="309">
        <f t="shared" si="274"/>
        <v>0</v>
      </c>
      <c r="AG155" s="309">
        <f t="shared" si="274"/>
        <v>0</v>
      </c>
      <c r="AH155" s="309">
        <f t="shared" si="274"/>
        <v>0</v>
      </c>
      <c r="AI155" s="309">
        <f t="shared" si="274"/>
        <v>0</v>
      </c>
      <c r="AJ155" s="309">
        <f t="shared" si="274"/>
        <v>0</v>
      </c>
      <c r="AK155" s="309">
        <f t="shared" si="274"/>
        <v>0</v>
      </c>
      <c r="AL155" s="309">
        <f t="shared" ref="AL155:BQ155" si="275">AK$153+AL$144+AL$106-MAX(0,AL$107-AL$118)-AL$145-AL$146-AL$147-AL$125-AL$127-AL$149+AL$151-AL$152-AL$153</f>
        <v>0</v>
      </c>
      <c r="AM155" s="309">
        <f t="shared" si="275"/>
        <v>0</v>
      </c>
      <c r="AN155" s="309">
        <f t="shared" si="275"/>
        <v>0</v>
      </c>
      <c r="AO155" s="309">
        <f t="shared" si="275"/>
        <v>0</v>
      </c>
      <c r="AP155" s="309">
        <f t="shared" si="275"/>
        <v>0</v>
      </c>
      <c r="AQ155" s="309">
        <f t="shared" si="275"/>
        <v>0</v>
      </c>
      <c r="AR155" s="309">
        <f t="shared" si="275"/>
        <v>0</v>
      </c>
      <c r="AS155" s="309">
        <f t="shared" si="275"/>
        <v>0</v>
      </c>
      <c r="AT155" s="309">
        <f t="shared" si="275"/>
        <v>0</v>
      </c>
      <c r="AU155" s="309">
        <f t="shared" si="275"/>
        <v>0</v>
      </c>
      <c r="AV155" s="309">
        <f t="shared" si="275"/>
        <v>0</v>
      </c>
      <c r="AW155" s="309">
        <f t="shared" si="275"/>
        <v>0</v>
      </c>
      <c r="AX155" s="309">
        <f t="shared" si="275"/>
        <v>0</v>
      </c>
      <c r="AY155" s="309">
        <f t="shared" si="275"/>
        <v>0</v>
      </c>
      <c r="AZ155" s="309">
        <f t="shared" si="275"/>
        <v>0</v>
      </c>
      <c r="BA155" s="309">
        <f t="shared" si="275"/>
        <v>0</v>
      </c>
      <c r="BB155" s="309">
        <f t="shared" si="275"/>
        <v>0</v>
      </c>
      <c r="BC155" s="309">
        <f t="shared" si="275"/>
        <v>0</v>
      </c>
      <c r="BD155" s="309">
        <f t="shared" si="275"/>
        <v>0</v>
      </c>
      <c r="BE155" s="309">
        <f t="shared" si="275"/>
        <v>0</v>
      </c>
      <c r="BF155" s="309">
        <f t="shared" si="275"/>
        <v>0</v>
      </c>
      <c r="BG155" s="309">
        <f t="shared" si="275"/>
        <v>0</v>
      </c>
      <c r="BH155" s="309">
        <f t="shared" si="275"/>
        <v>0</v>
      </c>
      <c r="BI155" s="309">
        <f t="shared" si="275"/>
        <v>0</v>
      </c>
      <c r="BJ155" s="309">
        <f t="shared" si="275"/>
        <v>0</v>
      </c>
      <c r="BK155" s="309">
        <f t="shared" si="275"/>
        <v>0</v>
      </c>
      <c r="BL155" s="309">
        <f t="shared" si="275"/>
        <v>0</v>
      </c>
      <c r="BM155" s="309">
        <f t="shared" si="275"/>
        <v>0</v>
      </c>
      <c r="BN155" s="309">
        <f t="shared" si="275"/>
        <v>0</v>
      </c>
      <c r="BO155" s="309">
        <f t="shared" si="275"/>
        <v>0</v>
      </c>
      <c r="BP155" s="309">
        <f t="shared" si="275"/>
        <v>0</v>
      </c>
      <c r="BQ155" s="309">
        <f t="shared" si="275"/>
        <v>0</v>
      </c>
      <c r="BR155" s="309">
        <f t="shared" ref="BR155:CW155" si="276">BQ$153+BR$144+BR$106-MAX(0,BR$107-BR$118)-BR$145-BR$146-BR$147-BR$125-BR$127-BR$149+BR$151-BR$152-BR$153</f>
        <v>0</v>
      </c>
      <c r="BS155" s="309">
        <f t="shared" si="276"/>
        <v>0</v>
      </c>
      <c r="BT155" s="309">
        <f t="shared" si="276"/>
        <v>0</v>
      </c>
      <c r="BU155" s="309">
        <f t="shared" si="276"/>
        <v>0</v>
      </c>
      <c r="BV155" s="309">
        <f t="shared" si="276"/>
        <v>0</v>
      </c>
      <c r="BW155" s="309">
        <f t="shared" si="276"/>
        <v>0</v>
      </c>
      <c r="BX155" s="309">
        <f t="shared" si="276"/>
        <v>0</v>
      </c>
      <c r="BY155" s="309">
        <f t="shared" si="276"/>
        <v>0</v>
      </c>
      <c r="BZ155" s="309">
        <f t="shared" si="276"/>
        <v>0</v>
      </c>
      <c r="CA155" s="309">
        <f t="shared" si="276"/>
        <v>0</v>
      </c>
      <c r="CB155" s="309">
        <f t="shared" si="276"/>
        <v>0</v>
      </c>
      <c r="CC155" s="309">
        <f t="shared" si="276"/>
        <v>0</v>
      </c>
      <c r="CD155" s="309">
        <f t="shared" si="276"/>
        <v>0</v>
      </c>
      <c r="CE155" s="309">
        <f t="shared" si="276"/>
        <v>0</v>
      </c>
      <c r="CF155" s="309">
        <f t="shared" si="276"/>
        <v>0</v>
      </c>
      <c r="CG155" s="309">
        <f t="shared" si="276"/>
        <v>0</v>
      </c>
      <c r="CH155" s="309">
        <f t="shared" si="276"/>
        <v>0</v>
      </c>
      <c r="CI155" s="309">
        <f t="shared" si="276"/>
        <v>0</v>
      </c>
      <c r="CJ155" s="309">
        <f t="shared" si="276"/>
        <v>0</v>
      </c>
      <c r="CK155" s="309">
        <f t="shared" si="276"/>
        <v>0</v>
      </c>
      <c r="CL155" s="309">
        <f t="shared" si="276"/>
        <v>0</v>
      </c>
      <c r="CM155" s="309">
        <f t="shared" si="276"/>
        <v>0</v>
      </c>
      <c r="CN155" s="309">
        <f t="shared" si="276"/>
        <v>0</v>
      </c>
      <c r="CO155" s="309">
        <f t="shared" si="276"/>
        <v>0</v>
      </c>
      <c r="CP155" s="309">
        <f t="shared" si="276"/>
        <v>0</v>
      </c>
      <c r="CQ155" s="309">
        <f t="shared" si="276"/>
        <v>0</v>
      </c>
      <c r="CR155" s="309">
        <f t="shared" si="276"/>
        <v>0</v>
      </c>
      <c r="CS155" s="309">
        <f t="shared" si="276"/>
        <v>0</v>
      </c>
      <c r="CT155" s="309">
        <f t="shared" si="276"/>
        <v>0</v>
      </c>
      <c r="CU155" s="309">
        <f t="shared" si="276"/>
        <v>0</v>
      </c>
      <c r="CV155" s="309">
        <f t="shared" si="276"/>
        <v>0</v>
      </c>
      <c r="CW155" s="309">
        <f t="shared" si="276"/>
        <v>0</v>
      </c>
      <c r="CX155" s="309">
        <f t="shared" ref="CX155:DV155" si="277">CW$153+CX$144+CX$106-MAX(0,CX$107-CX$118)-CX$145-CX$146-CX$147-CX$125-CX$127-CX$149+CX$151-CX$152-CX$153</f>
        <v>0</v>
      </c>
      <c r="CY155" s="309">
        <f t="shared" si="277"/>
        <v>0</v>
      </c>
      <c r="CZ155" s="309">
        <f t="shared" si="277"/>
        <v>0</v>
      </c>
      <c r="DA155" s="309">
        <f t="shared" si="277"/>
        <v>0</v>
      </c>
      <c r="DB155" s="309">
        <f t="shared" si="277"/>
        <v>0</v>
      </c>
      <c r="DC155" s="309">
        <f t="shared" si="277"/>
        <v>0</v>
      </c>
      <c r="DD155" s="309">
        <f t="shared" si="277"/>
        <v>0</v>
      </c>
      <c r="DE155" s="309">
        <f t="shared" si="277"/>
        <v>0</v>
      </c>
      <c r="DF155" s="309">
        <f t="shared" si="277"/>
        <v>0</v>
      </c>
      <c r="DG155" s="309">
        <f t="shared" si="277"/>
        <v>0</v>
      </c>
      <c r="DH155" s="309">
        <f t="shared" si="277"/>
        <v>0</v>
      </c>
      <c r="DI155" s="309">
        <f t="shared" si="277"/>
        <v>0</v>
      </c>
      <c r="DJ155" s="309">
        <f t="shared" si="277"/>
        <v>0</v>
      </c>
      <c r="DK155" s="309">
        <f t="shared" si="277"/>
        <v>0</v>
      </c>
      <c r="DL155" s="309">
        <f t="shared" si="277"/>
        <v>0</v>
      </c>
      <c r="DM155" s="309">
        <f t="shared" si="277"/>
        <v>0</v>
      </c>
      <c r="DN155" s="309">
        <f t="shared" si="277"/>
        <v>0</v>
      </c>
      <c r="DO155" s="309">
        <f t="shared" si="277"/>
        <v>0</v>
      </c>
      <c r="DP155" s="309">
        <f t="shared" si="277"/>
        <v>0</v>
      </c>
      <c r="DQ155" s="309">
        <f t="shared" si="277"/>
        <v>0</v>
      </c>
      <c r="DR155" s="309">
        <f t="shared" si="277"/>
        <v>0</v>
      </c>
      <c r="DS155" s="309">
        <f t="shared" si="277"/>
        <v>0</v>
      </c>
      <c r="DT155" s="309">
        <f t="shared" si="277"/>
        <v>0</v>
      </c>
      <c r="DU155" s="309">
        <f t="shared" si="277"/>
        <v>0</v>
      </c>
      <c r="DV155" s="309">
        <f t="shared" si="277"/>
        <v>0</v>
      </c>
    </row>
    <row r="156" spans="1:126" x14ac:dyDescent="0.35">
      <c r="A156" t="s">
        <v>1635</v>
      </c>
      <c r="B156" t="s">
        <v>1370</v>
      </c>
      <c r="C156" t="s">
        <v>1636</v>
      </c>
      <c r="F156">
        <f t="shared" ref="F156:AK156" si="278">F$77-F$78-F$81</f>
        <v>0</v>
      </c>
      <c r="G156">
        <f t="shared" si="278"/>
        <v>0</v>
      </c>
      <c r="H156">
        <f t="shared" si="278"/>
        <v>0</v>
      </c>
      <c r="I156">
        <f t="shared" si="278"/>
        <v>0</v>
      </c>
      <c r="J156">
        <f t="shared" si="278"/>
        <v>0</v>
      </c>
      <c r="K156">
        <f t="shared" si="278"/>
        <v>0</v>
      </c>
      <c r="L156">
        <f t="shared" si="278"/>
        <v>0</v>
      </c>
      <c r="M156">
        <f t="shared" si="278"/>
        <v>0</v>
      </c>
      <c r="N156">
        <f t="shared" si="278"/>
        <v>0</v>
      </c>
      <c r="O156">
        <f t="shared" si="278"/>
        <v>0</v>
      </c>
      <c r="P156">
        <f t="shared" si="278"/>
        <v>0</v>
      </c>
      <c r="Q156">
        <f t="shared" si="278"/>
        <v>0</v>
      </c>
      <c r="R156">
        <f t="shared" si="278"/>
        <v>0</v>
      </c>
      <c r="S156">
        <f t="shared" si="278"/>
        <v>0</v>
      </c>
      <c r="T156">
        <f t="shared" si="278"/>
        <v>0</v>
      </c>
      <c r="U156">
        <f t="shared" si="278"/>
        <v>0</v>
      </c>
      <c r="V156">
        <f t="shared" si="278"/>
        <v>0</v>
      </c>
      <c r="W156">
        <f t="shared" si="278"/>
        <v>0</v>
      </c>
      <c r="X156">
        <f t="shared" si="278"/>
        <v>0</v>
      </c>
      <c r="Y156">
        <f t="shared" si="278"/>
        <v>0</v>
      </c>
      <c r="Z156">
        <f t="shared" si="278"/>
        <v>0</v>
      </c>
      <c r="AA156">
        <f t="shared" si="278"/>
        <v>0</v>
      </c>
      <c r="AB156">
        <f t="shared" si="278"/>
        <v>0</v>
      </c>
      <c r="AC156">
        <f t="shared" si="278"/>
        <v>0</v>
      </c>
      <c r="AD156">
        <f t="shared" si="278"/>
        <v>0</v>
      </c>
      <c r="AE156">
        <f t="shared" si="278"/>
        <v>0</v>
      </c>
      <c r="AF156">
        <f t="shared" si="278"/>
        <v>0</v>
      </c>
      <c r="AG156">
        <f t="shared" si="278"/>
        <v>0</v>
      </c>
      <c r="AH156">
        <f t="shared" si="278"/>
        <v>0</v>
      </c>
      <c r="AI156">
        <f t="shared" si="278"/>
        <v>0</v>
      </c>
      <c r="AJ156">
        <f t="shared" si="278"/>
        <v>0</v>
      </c>
      <c r="AK156">
        <f t="shared" si="278"/>
        <v>0</v>
      </c>
      <c r="AL156">
        <f t="shared" ref="AL156:BQ156" si="279">AL$77-AL$78-AL$81</f>
        <v>0</v>
      </c>
      <c r="AM156">
        <f t="shared" si="279"/>
        <v>0</v>
      </c>
      <c r="AN156">
        <f t="shared" si="279"/>
        <v>0</v>
      </c>
      <c r="AO156">
        <f t="shared" si="279"/>
        <v>0</v>
      </c>
      <c r="AP156">
        <f t="shared" si="279"/>
        <v>0</v>
      </c>
      <c r="AQ156">
        <f t="shared" si="279"/>
        <v>0</v>
      </c>
      <c r="AR156">
        <f t="shared" si="279"/>
        <v>0</v>
      </c>
      <c r="AS156">
        <f t="shared" si="279"/>
        <v>0</v>
      </c>
      <c r="AT156">
        <f t="shared" si="279"/>
        <v>0</v>
      </c>
      <c r="AU156">
        <f t="shared" si="279"/>
        <v>0</v>
      </c>
      <c r="AV156">
        <f t="shared" si="279"/>
        <v>0</v>
      </c>
      <c r="AW156">
        <f t="shared" si="279"/>
        <v>0</v>
      </c>
      <c r="AX156">
        <f t="shared" si="279"/>
        <v>0</v>
      </c>
      <c r="AY156">
        <f t="shared" si="279"/>
        <v>0</v>
      </c>
      <c r="AZ156">
        <f t="shared" si="279"/>
        <v>0</v>
      </c>
      <c r="BA156">
        <f t="shared" si="279"/>
        <v>0</v>
      </c>
      <c r="BB156">
        <f t="shared" si="279"/>
        <v>0</v>
      </c>
      <c r="BC156">
        <f t="shared" si="279"/>
        <v>0</v>
      </c>
      <c r="BD156">
        <f t="shared" si="279"/>
        <v>0</v>
      </c>
      <c r="BE156">
        <f t="shared" si="279"/>
        <v>0</v>
      </c>
      <c r="BF156">
        <f t="shared" si="279"/>
        <v>0</v>
      </c>
      <c r="BG156">
        <f t="shared" si="279"/>
        <v>0</v>
      </c>
      <c r="BH156">
        <f t="shared" si="279"/>
        <v>0</v>
      </c>
      <c r="BI156">
        <f t="shared" si="279"/>
        <v>0</v>
      </c>
      <c r="BJ156">
        <f t="shared" si="279"/>
        <v>0</v>
      </c>
      <c r="BK156">
        <f t="shared" si="279"/>
        <v>0</v>
      </c>
      <c r="BL156">
        <f t="shared" si="279"/>
        <v>0</v>
      </c>
      <c r="BM156">
        <f t="shared" si="279"/>
        <v>0</v>
      </c>
      <c r="BN156">
        <f t="shared" si="279"/>
        <v>0</v>
      </c>
      <c r="BO156">
        <f t="shared" si="279"/>
        <v>0</v>
      </c>
      <c r="BP156">
        <f t="shared" si="279"/>
        <v>0</v>
      </c>
      <c r="BQ156">
        <f t="shared" si="279"/>
        <v>0</v>
      </c>
      <c r="BR156">
        <f t="shared" ref="BR156:CW156" si="280">BR$77-BR$78-BR$81</f>
        <v>0</v>
      </c>
      <c r="BS156">
        <f t="shared" si="280"/>
        <v>0</v>
      </c>
      <c r="BT156">
        <f t="shared" si="280"/>
        <v>0</v>
      </c>
      <c r="BU156">
        <f t="shared" si="280"/>
        <v>0</v>
      </c>
      <c r="BV156">
        <f t="shared" si="280"/>
        <v>0</v>
      </c>
      <c r="BW156">
        <f t="shared" si="280"/>
        <v>0</v>
      </c>
      <c r="BX156">
        <f t="shared" si="280"/>
        <v>0</v>
      </c>
      <c r="BY156">
        <f t="shared" si="280"/>
        <v>0</v>
      </c>
      <c r="BZ156">
        <f t="shared" si="280"/>
        <v>0</v>
      </c>
      <c r="CA156">
        <f t="shared" si="280"/>
        <v>0</v>
      </c>
      <c r="CB156">
        <f t="shared" si="280"/>
        <v>0</v>
      </c>
      <c r="CC156">
        <f t="shared" si="280"/>
        <v>0</v>
      </c>
      <c r="CD156">
        <f t="shared" si="280"/>
        <v>0</v>
      </c>
      <c r="CE156">
        <f t="shared" si="280"/>
        <v>0</v>
      </c>
      <c r="CF156">
        <f t="shared" si="280"/>
        <v>0</v>
      </c>
      <c r="CG156">
        <f t="shared" si="280"/>
        <v>0</v>
      </c>
      <c r="CH156">
        <f t="shared" si="280"/>
        <v>0</v>
      </c>
      <c r="CI156">
        <f t="shared" si="280"/>
        <v>0</v>
      </c>
      <c r="CJ156">
        <f t="shared" si="280"/>
        <v>0</v>
      </c>
      <c r="CK156">
        <f t="shared" si="280"/>
        <v>0</v>
      </c>
      <c r="CL156">
        <f t="shared" si="280"/>
        <v>0</v>
      </c>
      <c r="CM156">
        <f t="shared" si="280"/>
        <v>0</v>
      </c>
      <c r="CN156">
        <f t="shared" si="280"/>
        <v>0</v>
      </c>
      <c r="CO156">
        <f t="shared" si="280"/>
        <v>0</v>
      </c>
      <c r="CP156">
        <f t="shared" si="280"/>
        <v>0</v>
      </c>
      <c r="CQ156">
        <f t="shared" si="280"/>
        <v>0</v>
      </c>
      <c r="CR156">
        <f t="shared" si="280"/>
        <v>0</v>
      </c>
      <c r="CS156">
        <f t="shared" si="280"/>
        <v>0</v>
      </c>
      <c r="CT156">
        <f t="shared" si="280"/>
        <v>0</v>
      </c>
      <c r="CU156">
        <f t="shared" si="280"/>
        <v>0</v>
      </c>
      <c r="CV156">
        <f t="shared" si="280"/>
        <v>0</v>
      </c>
      <c r="CW156">
        <f t="shared" si="280"/>
        <v>0</v>
      </c>
      <c r="CX156">
        <f t="shared" ref="CX156:DV156" si="281">CX$77-CX$78-CX$81</f>
        <v>0</v>
      </c>
      <c r="CY156">
        <f t="shared" si="281"/>
        <v>0</v>
      </c>
      <c r="CZ156">
        <f t="shared" si="281"/>
        <v>0</v>
      </c>
      <c r="DA156">
        <f t="shared" si="281"/>
        <v>0</v>
      </c>
      <c r="DB156">
        <f t="shared" si="281"/>
        <v>0</v>
      </c>
      <c r="DC156">
        <f t="shared" si="281"/>
        <v>0</v>
      </c>
      <c r="DD156">
        <f t="shared" si="281"/>
        <v>0</v>
      </c>
      <c r="DE156">
        <f t="shared" si="281"/>
        <v>0</v>
      </c>
      <c r="DF156">
        <f t="shared" si="281"/>
        <v>0</v>
      </c>
      <c r="DG156">
        <f t="shared" si="281"/>
        <v>0</v>
      </c>
      <c r="DH156">
        <f t="shared" si="281"/>
        <v>0</v>
      </c>
      <c r="DI156">
        <f t="shared" si="281"/>
        <v>0</v>
      </c>
      <c r="DJ156">
        <f t="shared" si="281"/>
        <v>0</v>
      </c>
      <c r="DK156">
        <f t="shared" si="281"/>
        <v>0</v>
      </c>
      <c r="DL156">
        <f t="shared" si="281"/>
        <v>0</v>
      </c>
      <c r="DM156">
        <f t="shared" si="281"/>
        <v>0</v>
      </c>
      <c r="DN156">
        <f t="shared" si="281"/>
        <v>0</v>
      </c>
      <c r="DO156">
        <f t="shared" si="281"/>
        <v>0</v>
      </c>
      <c r="DP156">
        <f t="shared" si="281"/>
        <v>0</v>
      </c>
      <c r="DQ156">
        <f t="shared" si="281"/>
        <v>0</v>
      </c>
      <c r="DR156">
        <f t="shared" si="281"/>
        <v>0</v>
      </c>
      <c r="DS156">
        <f t="shared" si="281"/>
        <v>0</v>
      </c>
      <c r="DT156">
        <f t="shared" si="281"/>
        <v>0</v>
      </c>
      <c r="DU156">
        <f t="shared" si="281"/>
        <v>0</v>
      </c>
      <c r="DV156">
        <f t="shared" si="281"/>
        <v>0</v>
      </c>
    </row>
    <row r="157" spans="1:126" x14ac:dyDescent="0.35">
      <c r="A157" t="s">
        <v>1637</v>
      </c>
      <c r="B157" t="s">
        <v>1370</v>
      </c>
      <c r="C157" t="s">
        <v>1638</v>
      </c>
      <c r="F157">
        <f t="shared" ref="F157:AK157" si="282">F$144-(F$139-F$140-F$141-F$142-F$143)</f>
        <v>0</v>
      </c>
      <c r="G157">
        <f t="shared" si="282"/>
        <v>0</v>
      </c>
      <c r="H157">
        <f t="shared" si="282"/>
        <v>0</v>
      </c>
      <c r="I157">
        <f t="shared" si="282"/>
        <v>0</v>
      </c>
      <c r="J157">
        <f t="shared" si="282"/>
        <v>0</v>
      </c>
      <c r="K157">
        <f t="shared" si="282"/>
        <v>0</v>
      </c>
      <c r="L157">
        <f t="shared" si="282"/>
        <v>0</v>
      </c>
      <c r="M157">
        <f t="shared" si="282"/>
        <v>0</v>
      </c>
      <c r="N157">
        <f t="shared" si="282"/>
        <v>0</v>
      </c>
      <c r="O157">
        <f t="shared" si="282"/>
        <v>0</v>
      </c>
      <c r="P157">
        <f t="shared" si="282"/>
        <v>0</v>
      </c>
      <c r="Q157">
        <f t="shared" si="282"/>
        <v>0</v>
      </c>
      <c r="R157">
        <f t="shared" si="282"/>
        <v>0</v>
      </c>
      <c r="S157">
        <f t="shared" si="282"/>
        <v>0</v>
      </c>
      <c r="T157">
        <f t="shared" si="282"/>
        <v>0</v>
      </c>
      <c r="U157">
        <f t="shared" si="282"/>
        <v>0</v>
      </c>
      <c r="V157">
        <f t="shared" si="282"/>
        <v>0</v>
      </c>
      <c r="W157">
        <f t="shared" si="282"/>
        <v>0</v>
      </c>
      <c r="X157">
        <f t="shared" si="282"/>
        <v>0</v>
      </c>
      <c r="Y157">
        <f t="shared" si="282"/>
        <v>0</v>
      </c>
      <c r="Z157">
        <f t="shared" si="282"/>
        <v>0</v>
      </c>
      <c r="AA157">
        <f t="shared" si="282"/>
        <v>0</v>
      </c>
      <c r="AB157">
        <f t="shared" si="282"/>
        <v>0</v>
      </c>
      <c r="AC157">
        <f t="shared" si="282"/>
        <v>0</v>
      </c>
      <c r="AD157">
        <f t="shared" si="282"/>
        <v>0</v>
      </c>
      <c r="AE157">
        <f t="shared" si="282"/>
        <v>0</v>
      </c>
      <c r="AF157">
        <f t="shared" si="282"/>
        <v>0</v>
      </c>
      <c r="AG157">
        <f t="shared" si="282"/>
        <v>0</v>
      </c>
      <c r="AH157">
        <f t="shared" si="282"/>
        <v>0</v>
      </c>
      <c r="AI157">
        <f t="shared" si="282"/>
        <v>0</v>
      </c>
      <c r="AJ157">
        <f t="shared" si="282"/>
        <v>0</v>
      </c>
      <c r="AK157">
        <f t="shared" si="282"/>
        <v>0</v>
      </c>
      <c r="AL157">
        <f t="shared" ref="AL157:BQ157" si="283">AL$144-(AL$139-AL$140-AL$141-AL$142-AL$143)</f>
        <v>0</v>
      </c>
      <c r="AM157">
        <f t="shared" si="283"/>
        <v>0</v>
      </c>
      <c r="AN157">
        <f t="shared" si="283"/>
        <v>0</v>
      </c>
      <c r="AO157">
        <f t="shared" si="283"/>
        <v>0</v>
      </c>
      <c r="AP157">
        <f t="shared" si="283"/>
        <v>0</v>
      </c>
      <c r="AQ157">
        <f t="shared" si="283"/>
        <v>0</v>
      </c>
      <c r="AR157">
        <f t="shared" si="283"/>
        <v>0</v>
      </c>
      <c r="AS157">
        <f t="shared" si="283"/>
        <v>0</v>
      </c>
      <c r="AT157">
        <f t="shared" si="283"/>
        <v>0</v>
      </c>
      <c r="AU157">
        <f t="shared" si="283"/>
        <v>0</v>
      </c>
      <c r="AV157">
        <f t="shared" si="283"/>
        <v>0</v>
      </c>
      <c r="AW157">
        <f t="shared" si="283"/>
        <v>0</v>
      </c>
      <c r="AX157">
        <f t="shared" si="283"/>
        <v>0</v>
      </c>
      <c r="AY157">
        <f t="shared" si="283"/>
        <v>0</v>
      </c>
      <c r="AZ157">
        <f t="shared" si="283"/>
        <v>0</v>
      </c>
      <c r="BA157">
        <f t="shared" si="283"/>
        <v>0</v>
      </c>
      <c r="BB157">
        <f t="shared" si="283"/>
        <v>0</v>
      </c>
      <c r="BC157">
        <f t="shared" si="283"/>
        <v>0</v>
      </c>
      <c r="BD157">
        <f t="shared" si="283"/>
        <v>0</v>
      </c>
      <c r="BE157">
        <f t="shared" si="283"/>
        <v>0</v>
      </c>
      <c r="BF157">
        <f t="shared" si="283"/>
        <v>0</v>
      </c>
      <c r="BG157">
        <f t="shared" si="283"/>
        <v>0</v>
      </c>
      <c r="BH157">
        <f t="shared" si="283"/>
        <v>0</v>
      </c>
      <c r="BI157">
        <f t="shared" si="283"/>
        <v>0</v>
      </c>
      <c r="BJ157">
        <f t="shared" si="283"/>
        <v>0</v>
      </c>
      <c r="BK157">
        <f t="shared" si="283"/>
        <v>0</v>
      </c>
      <c r="BL157">
        <f t="shared" si="283"/>
        <v>0</v>
      </c>
      <c r="BM157">
        <f t="shared" si="283"/>
        <v>0</v>
      </c>
      <c r="BN157">
        <f t="shared" si="283"/>
        <v>0</v>
      </c>
      <c r="BO157">
        <f t="shared" si="283"/>
        <v>0</v>
      </c>
      <c r="BP157">
        <f t="shared" si="283"/>
        <v>0</v>
      </c>
      <c r="BQ157">
        <f t="shared" si="283"/>
        <v>0</v>
      </c>
      <c r="BR157">
        <f t="shared" ref="BR157:CW157" si="284">BR$144-(BR$139-BR$140-BR$141-BR$142-BR$143)</f>
        <v>0</v>
      </c>
      <c r="BS157">
        <f t="shared" si="284"/>
        <v>0</v>
      </c>
      <c r="BT157">
        <f t="shared" si="284"/>
        <v>0</v>
      </c>
      <c r="BU157">
        <f t="shared" si="284"/>
        <v>0</v>
      </c>
      <c r="BV157">
        <f t="shared" si="284"/>
        <v>0</v>
      </c>
      <c r="BW157">
        <f t="shared" si="284"/>
        <v>0</v>
      </c>
      <c r="BX157">
        <f t="shared" si="284"/>
        <v>0</v>
      </c>
      <c r="BY157">
        <f t="shared" si="284"/>
        <v>0</v>
      </c>
      <c r="BZ157">
        <f t="shared" si="284"/>
        <v>0</v>
      </c>
      <c r="CA157">
        <f t="shared" si="284"/>
        <v>0</v>
      </c>
      <c r="CB157">
        <f t="shared" si="284"/>
        <v>0</v>
      </c>
      <c r="CC157">
        <f t="shared" si="284"/>
        <v>0</v>
      </c>
      <c r="CD157">
        <f t="shared" si="284"/>
        <v>0</v>
      </c>
      <c r="CE157">
        <f t="shared" si="284"/>
        <v>0</v>
      </c>
      <c r="CF157">
        <f t="shared" si="284"/>
        <v>0</v>
      </c>
      <c r="CG157">
        <f t="shared" si="284"/>
        <v>0</v>
      </c>
      <c r="CH157">
        <f t="shared" si="284"/>
        <v>0</v>
      </c>
      <c r="CI157">
        <f t="shared" si="284"/>
        <v>0</v>
      </c>
      <c r="CJ157">
        <f t="shared" si="284"/>
        <v>0</v>
      </c>
      <c r="CK157">
        <f t="shared" si="284"/>
        <v>0</v>
      </c>
      <c r="CL157">
        <f t="shared" si="284"/>
        <v>0</v>
      </c>
      <c r="CM157">
        <f t="shared" si="284"/>
        <v>0</v>
      </c>
      <c r="CN157">
        <f t="shared" si="284"/>
        <v>0</v>
      </c>
      <c r="CO157">
        <f t="shared" si="284"/>
        <v>0</v>
      </c>
      <c r="CP157">
        <f t="shared" si="284"/>
        <v>0</v>
      </c>
      <c r="CQ157">
        <f t="shared" si="284"/>
        <v>0</v>
      </c>
      <c r="CR157">
        <f t="shared" si="284"/>
        <v>0</v>
      </c>
      <c r="CS157">
        <f t="shared" si="284"/>
        <v>0</v>
      </c>
      <c r="CT157">
        <f t="shared" si="284"/>
        <v>0</v>
      </c>
      <c r="CU157">
        <f t="shared" si="284"/>
        <v>0</v>
      </c>
      <c r="CV157">
        <f t="shared" si="284"/>
        <v>0</v>
      </c>
      <c r="CW157">
        <f t="shared" si="284"/>
        <v>0</v>
      </c>
      <c r="CX157">
        <f t="shared" ref="CX157:DV157" si="285">CX$144-(CX$139-CX$140-CX$141-CX$142-CX$143)</f>
        <v>0</v>
      </c>
      <c r="CY157">
        <f t="shared" si="285"/>
        <v>0</v>
      </c>
      <c r="CZ157">
        <f t="shared" si="285"/>
        <v>0</v>
      </c>
      <c r="DA157">
        <f t="shared" si="285"/>
        <v>0</v>
      </c>
      <c r="DB157">
        <f t="shared" si="285"/>
        <v>0</v>
      </c>
      <c r="DC157">
        <f t="shared" si="285"/>
        <v>0</v>
      </c>
      <c r="DD157">
        <f t="shared" si="285"/>
        <v>0</v>
      </c>
      <c r="DE157">
        <f t="shared" si="285"/>
        <v>0</v>
      </c>
      <c r="DF157">
        <f t="shared" si="285"/>
        <v>0</v>
      </c>
      <c r="DG157">
        <f t="shared" si="285"/>
        <v>0</v>
      </c>
      <c r="DH157">
        <f t="shared" si="285"/>
        <v>0</v>
      </c>
      <c r="DI157">
        <f t="shared" si="285"/>
        <v>0</v>
      </c>
      <c r="DJ157">
        <f t="shared" si="285"/>
        <v>0</v>
      </c>
      <c r="DK157">
        <f t="shared" si="285"/>
        <v>0</v>
      </c>
      <c r="DL157">
        <f t="shared" si="285"/>
        <v>0</v>
      </c>
      <c r="DM157">
        <f t="shared" si="285"/>
        <v>0</v>
      </c>
      <c r="DN157">
        <f t="shared" si="285"/>
        <v>0</v>
      </c>
      <c r="DO157">
        <f t="shared" si="285"/>
        <v>0</v>
      </c>
      <c r="DP157">
        <f t="shared" si="285"/>
        <v>0</v>
      </c>
      <c r="DQ157">
        <f t="shared" si="285"/>
        <v>0</v>
      </c>
      <c r="DR157">
        <f t="shared" si="285"/>
        <v>0</v>
      </c>
      <c r="DS157">
        <f t="shared" si="285"/>
        <v>0</v>
      </c>
      <c r="DT157">
        <f t="shared" si="285"/>
        <v>0</v>
      </c>
      <c r="DU157">
        <f t="shared" si="285"/>
        <v>0</v>
      </c>
      <c r="DV157">
        <f t="shared" si="285"/>
        <v>0</v>
      </c>
    </row>
    <row r="158" spans="1:126" ht="22" customHeight="1" x14ac:dyDescent="0.35">
      <c r="A158" s="1148" t="s">
        <v>1639</v>
      </c>
      <c r="B158" s="937"/>
      <c r="C158" s="937"/>
      <c r="D158" s="937"/>
      <c r="E158" s="937"/>
      <c r="F158" s="937"/>
      <c r="G158" s="937"/>
      <c r="H158" s="937"/>
      <c r="I158" s="937"/>
      <c r="J158" s="937"/>
      <c r="K158" s="937"/>
      <c r="L158" s="937"/>
      <c r="M158" s="937"/>
      <c r="N158" s="937"/>
      <c r="O158" s="937"/>
      <c r="P158" s="937"/>
      <c r="Q158" s="937"/>
      <c r="R158" s="937"/>
    </row>
    <row r="159" spans="1:126" ht="15" customHeight="1" x14ac:dyDescent="0.35">
      <c r="A159" s="307" t="s">
        <v>1640</v>
      </c>
      <c r="B159" s="940" t="str">
        <f>IF(COUNTIF($F$98:$DV$98,"&gt;0.01")+COUNTIF($F$98:$DV$98,"&lt;-0.01")=0,"OK","EXCEPTION: construction roll-forward")</f>
        <v>OK</v>
      </c>
      <c r="C159" s="937"/>
      <c r="D159" s="937"/>
      <c r="E159" s="1146" t="s">
        <v>1641</v>
      </c>
      <c r="F159" s="1147"/>
      <c r="G159" s="1147"/>
      <c r="H159" s="1147"/>
      <c r="I159" s="1147"/>
      <c r="J159" s="1147"/>
      <c r="K159" s="1147"/>
      <c r="L159" s="1147"/>
      <c r="M159" s="1147"/>
      <c r="N159" s="1147"/>
      <c r="O159" s="1147"/>
      <c r="P159" s="1147"/>
      <c r="Q159" s="1147"/>
      <c r="R159" s="1147"/>
    </row>
    <row r="160" spans="1:126" ht="15" customHeight="1" x14ac:dyDescent="0.35">
      <c r="A160" s="307" t="s">
        <v>1642</v>
      </c>
      <c r="B160" s="1150" t="str">
        <f>IF(SUMPRODUCT(--($F$92:$DV$92&gt;$F$93:$DV$93+0.01))=0,"OK","EXCEPTION: closing construction debt exceeds commitment")</f>
        <v>OK</v>
      </c>
      <c r="C160" s="937"/>
      <c r="D160" s="937"/>
      <c r="E160" s="1146" t="s">
        <v>1643</v>
      </c>
      <c r="F160" s="1147"/>
      <c r="G160" s="1147"/>
      <c r="H160" s="1147"/>
      <c r="I160" s="1147"/>
      <c r="J160" s="1147"/>
      <c r="K160" s="1147"/>
      <c r="L160" s="1147"/>
      <c r="M160" s="1147"/>
      <c r="N160" s="1147"/>
      <c r="O160" s="1147"/>
      <c r="P160" s="1147"/>
      <c r="Q160" s="1147"/>
      <c r="R160" s="1147"/>
    </row>
    <row r="161" spans="1:126" ht="15" customHeight="1" x14ac:dyDescent="0.35">
      <c r="A161" s="307" t="s">
        <v>1412</v>
      </c>
      <c r="B161" s="940" t="str">
        <f>IF(MAX($F$110:$DV$110)&lt;=$B$24+0.01,"OK","EXCEPTION: working-capital limit exceeded")</f>
        <v>OK</v>
      </c>
      <c r="C161" s="937"/>
      <c r="D161" s="937"/>
      <c r="E161" s="1146" t="s">
        <v>1644</v>
      </c>
      <c r="F161" s="1147"/>
      <c r="G161" s="1147"/>
      <c r="H161" s="1147"/>
      <c r="I161" s="1147"/>
      <c r="J161" s="1147"/>
      <c r="K161" s="1147"/>
      <c r="L161" s="1147"/>
      <c r="M161" s="1147"/>
      <c r="N161" s="1147"/>
      <c r="O161" s="1147"/>
      <c r="P161" s="1147"/>
      <c r="Q161" s="1147"/>
      <c r="R161" s="1147"/>
    </row>
    <row r="162" spans="1:126" ht="15" customHeight="1" x14ac:dyDescent="0.35">
      <c r="A162" s="307" t="s">
        <v>1645</v>
      </c>
      <c r="B162" s="940" t="str">
        <f>IF(COUNTIF($F$156:$DV$156,"&gt;0.01")+COUNTIF($F$156:$DV$156,"&lt;-0.01")=0,"OK","EXCEPTION: eligible use double funded")</f>
        <v>OK</v>
      </c>
      <c r="C162" s="937"/>
      <c r="D162" s="937"/>
      <c r="E162" s="1146" t="s">
        <v>1646</v>
      </c>
      <c r="F162" s="1147"/>
      <c r="G162" s="1147"/>
      <c r="H162" s="1147"/>
      <c r="I162" s="1147"/>
      <c r="J162" s="1147"/>
      <c r="K162" s="1147"/>
      <c r="L162" s="1147"/>
      <c r="M162" s="1147"/>
      <c r="N162" s="1147"/>
      <c r="O162" s="1147"/>
      <c r="P162" s="1147"/>
      <c r="Q162" s="1147"/>
      <c r="R162" s="1147"/>
    </row>
    <row r="163" spans="1:126" ht="15" customHeight="1" x14ac:dyDescent="0.35">
      <c r="A163" s="307" t="s">
        <v>1647</v>
      </c>
      <c r="B163" s="940" t="str">
        <f>IF(ABS(SUM($F$77:$DV$77)-SUM($F$78:$DV$78)-SUM($F$81:$DV$81))&lt;0.01,"OK","EXCEPTION: debt-funded uses do not reconcile")</f>
        <v>OK</v>
      </c>
      <c r="C163" s="937"/>
      <c r="D163" s="937"/>
      <c r="E163" s="1146" t="s">
        <v>1648</v>
      </c>
      <c r="F163" s="1147"/>
      <c r="G163" s="1147"/>
      <c r="H163" s="1147"/>
      <c r="I163" s="1147"/>
      <c r="J163" s="1147"/>
      <c r="K163" s="1147"/>
      <c r="L163" s="1147"/>
      <c r="M163" s="1147"/>
      <c r="N163" s="1147"/>
      <c r="O163" s="1147"/>
      <c r="P163" s="1147"/>
      <c r="Q163" s="1147"/>
      <c r="R163" s="1147"/>
    </row>
    <row r="164" spans="1:126" ht="15" customHeight="1" x14ac:dyDescent="0.35">
      <c r="A164" s="307" t="s">
        <v>1649</v>
      </c>
      <c r="B164" s="940" t="str">
        <f>IF(AND(ABS($K$10-SUM($F$82:$DV$82))&lt;0.01,COUNTIF($F$175:$DV$175,"&gt;0.01")+COUNTIF($F$175:$DV$175,"&lt;-0.01")=0),"OK","EXCEPTION: capitalised interest / uses")</f>
        <v>OK</v>
      </c>
      <c r="C164" s="937"/>
      <c r="D164" s="937"/>
      <c r="E164" s="1146" t="s">
        <v>1650</v>
      </c>
      <c r="F164" s="1147"/>
      <c r="G164" s="1147"/>
      <c r="H164" s="1147"/>
      <c r="I164" s="1147"/>
      <c r="J164" s="1147"/>
      <c r="K164" s="1147"/>
      <c r="L164" s="1147"/>
      <c r="M164" s="1147"/>
      <c r="N164" s="1147"/>
      <c r="O164" s="1147"/>
      <c r="P164" s="1147"/>
      <c r="Q164" s="1147"/>
      <c r="R164" s="1147"/>
    </row>
    <row r="165" spans="1:126" ht="15" customHeight="1" x14ac:dyDescent="0.35">
      <c r="A165" s="307" t="s">
        <v>1651</v>
      </c>
      <c r="B165" s="940" t="str">
        <f>IF(ABS(SUM($F$120:$DV$120,$F$121:$DV$121)-SUM($F$90:$DV$90,$F$119:$DV$119)-SUMPRODUCT($F$107:$DV$107,$F$69:$DV$69))&lt;0.01,"OK","EXCEPTION: refinancing proceeds")</f>
        <v>OK</v>
      </c>
      <c r="C165" s="937"/>
      <c r="D165" s="937"/>
      <c r="E165" s="1146" t="s">
        <v>1652</v>
      </c>
      <c r="F165" s="1147"/>
      <c r="G165" s="1147"/>
      <c r="H165" s="1147"/>
      <c r="I165" s="1147"/>
      <c r="J165" s="1147"/>
      <c r="K165" s="1147"/>
      <c r="L165" s="1147"/>
      <c r="M165" s="1147"/>
      <c r="N165" s="1147"/>
      <c r="O165" s="1147"/>
      <c r="P165" s="1147"/>
      <c r="Q165" s="1147"/>
      <c r="R165" s="1147"/>
    </row>
    <row r="166" spans="1:126" ht="15" customHeight="1" x14ac:dyDescent="0.35">
      <c r="A166" s="307" t="s">
        <v>1653</v>
      </c>
      <c r="B166" s="940" t="str">
        <f>IF(SUMPRODUCT(--($F$64:$DV$64&lt;$B$35),$F$120:$DV$120)=0,"OK","EXCEPTION: early term-debt activation")</f>
        <v>OK</v>
      </c>
      <c r="C166" s="937"/>
      <c r="D166" s="937"/>
      <c r="E166" s="1146" t="s">
        <v>1654</v>
      </c>
      <c r="F166" s="1147"/>
      <c r="G166" s="1147"/>
      <c r="H166" s="1147"/>
      <c r="I166" s="1147"/>
      <c r="J166" s="1147"/>
      <c r="K166" s="1147"/>
      <c r="L166" s="1147"/>
      <c r="M166" s="1147"/>
      <c r="N166" s="1147"/>
      <c r="O166" s="1147"/>
      <c r="P166" s="1147"/>
      <c r="Q166" s="1147"/>
      <c r="R166" s="1147"/>
    </row>
    <row r="167" spans="1:126" ht="15" customHeight="1" x14ac:dyDescent="0.35">
      <c r="A167" s="307" t="s">
        <v>1655</v>
      </c>
      <c r="B167" s="940" t="str">
        <f>IF(COUNTIF($F$157:$DV$157,"&gt;0.01")+COUNTIF($F$157:$DV$157,"&lt;-0.01")=0,"OK","EXCEPTION: CFADS linkage")</f>
        <v>OK</v>
      </c>
      <c r="C167" s="937"/>
      <c r="D167" s="937"/>
      <c r="E167" s="1146" t="s">
        <v>1656</v>
      </c>
      <c r="F167" s="1147"/>
      <c r="G167" s="1147"/>
      <c r="H167" s="1147"/>
      <c r="I167" s="1147"/>
      <c r="J167" s="1147"/>
      <c r="K167" s="1147"/>
      <c r="L167" s="1147"/>
      <c r="M167" s="1147"/>
      <c r="N167" s="1147"/>
      <c r="O167" s="1147"/>
      <c r="P167" s="1147"/>
      <c r="Q167" s="1147"/>
      <c r="R167" s="1147"/>
    </row>
    <row r="168" spans="1:126" ht="15" customHeight="1" x14ac:dyDescent="0.35">
      <c r="A168" s="307" t="s">
        <v>1657</v>
      </c>
      <c r="B168" s="940" t="str">
        <f>IF(MIN($F$153:$DV$153)&gt;=$B$27-0.01,"OK","EXCEPTION: minimum cash")</f>
        <v>OK</v>
      </c>
      <c r="C168" s="937"/>
      <c r="D168" s="937"/>
      <c r="E168" s="1146" t="s">
        <v>1658</v>
      </c>
      <c r="F168" s="1147"/>
      <c r="G168" s="1147"/>
      <c r="H168" s="1147"/>
      <c r="I168" s="1147"/>
      <c r="J168" s="1147"/>
      <c r="K168" s="1147"/>
      <c r="L168" s="1147"/>
      <c r="M168" s="1147"/>
      <c r="N168" s="1147"/>
      <c r="O168" s="1147"/>
      <c r="P168" s="1147"/>
      <c r="Q168" s="1147"/>
      <c r="R168" s="1147"/>
    </row>
    <row r="169" spans="1:126" ht="15" customHeight="1" x14ac:dyDescent="0.35">
      <c r="A169" s="307" t="s">
        <v>1659</v>
      </c>
      <c r="B169" s="940" t="str">
        <f>IF(AND(ABS($K$14-IF(SUM($F$77:$DV$77)=0,0,MAX($F$92:$DV$92)/SUM($F$77:$DV$77)))&lt;0.0000001,ABS($K$15-MAX($F$134:$DV$134))&lt;0.0000001),"OK","EXCEPTION: LTC / LTV definition")</f>
        <v>OK</v>
      </c>
      <c r="C169" s="937"/>
      <c r="D169" s="937"/>
      <c r="E169" s="1146" t="s">
        <v>1660</v>
      </c>
      <c r="F169" s="1147"/>
      <c r="G169" s="1147"/>
      <c r="H169" s="1147"/>
      <c r="I169" s="1147"/>
      <c r="J169" s="1147"/>
      <c r="K169" s="1147"/>
      <c r="L169" s="1147"/>
      <c r="M169" s="1147"/>
      <c r="N169" s="1147"/>
      <c r="O169" s="1147"/>
      <c r="P169" s="1147"/>
      <c r="Q169" s="1147"/>
      <c r="R169" s="1147"/>
    </row>
    <row r="170" spans="1:126" ht="15" customHeight="1" x14ac:dyDescent="0.35">
      <c r="A170" s="307" t="s">
        <v>1661</v>
      </c>
      <c r="B170" s="940" t="str">
        <f>IF(SUMPRODUCT(--($F$154:$DV$154="BLOCKED"),$F$152:$DV$152)=0,"OK","EXCEPTION: distribution during breach")</f>
        <v>OK</v>
      </c>
      <c r="C170" s="937"/>
      <c r="D170" s="937"/>
      <c r="E170" s="1146" t="s">
        <v>1662</v>
      </c>
      <c r="F170" s="1147"/>
      <c r="G170" s="1147"/>
      <c r="H170" s="1147"/>
      <c r="I170" s="1147"/>
      <c r="J170" s="1147"/>
      <c r="K170" s="1147"/>
      <c r="L170" s="1147"/>
      <c r="M170" s="1147"/>
      <c r="N170" s="1147"/>
      <c r="O170" s="1147"/>
      <c r="P170" s="1147"/>
      <c r="Q170" s="1147"/>
      <c r="R170" s="1147"/>
    </row>
    <row r="171" spans="1:126" ht="15" customHeight="1" x14ac:dyDescent="0.35">
      <c r="A171" s="307" t="s">
        <v>1120</v>
      </c>
      <c r="B171" s="1150" t="str">
        <f>IF(SUMPRODUCT(--ISERROR($E$61:$DV$157))=0,"OK","EXCEPTION: debt calculation chain")</f>
        <v>OK</v>
      </c>
      <c r="C171" s="937" t="s">
        <v>1663</v>
      </c>
      <c r="D171" s="937"/>
      <c r="E171" s="1146" t="s">
        <v>1664</v>
      </c>
      <c r="F171" s="1147"/>
      <c r="G171" s="1147"/>
      <c r="H171" s="1147"/>
      <c r="I171" s="1147"/>
      <c r="J171" s="1147"/>
      <c r="K171" s="1147"/>
      <c r="L171" s="1147"/>
      <c r="M171" s="1147"/>
      <c r="N171" s="1147"/>
      <c r="O171" s="1147"/>
      <c r="P171" s="1147"/>
      <c r="Q171" s="1147"/>
      <c r="R171" s="1147"/>
    </row>
    <row r="172" spans="1:126" ht="15" customHeight="1" x14ac:dyDescent="0.35">
      <c r="A172" s="307" t="s">
        <v>1122</v>
      </c>
      <c r="B172" s="1150" t="s">
        <v>1137</v>
      </c>
      <c r="C172" s="937" t="s">
        <v>1665</v>
      </c>
      <c r="D172" s="937"/>
      <c r="E172" s="1146" t="s">
        <v>1666</v>
      </c>
      <c r="F172" s="1147"/>
      <c r="G172" s="1147"/>
      <c r="H172" s="1147"/>
      <c r="I172" s="1147"/>
      <c r="J172" s="1147"/>
      <c r="K172" s="1147"/>
      <c r="L172" s="1147"/>
      <c r="M172" s="1147"/>
      <c r="N172" s="1147"/>
      <c r="O172" s="1147"/>
      <c r="P172" s="1147"/>
      <c r="Q172" s="1147"/>
      <c r="R172" s="1147"/>
    </row>
    <row r="173" spans="1:126" ht="15" customHeight="1" x14ac:dyDescent="0.35">
      <c r="A173" s="307" t="s">
        <v>1667</v>
      </c>
      <c r="B173" s="940" t="str">
        <f>IF(SUMPRODUCT(--ISERROR($F$63:$DV$155))=0,"OK","EXCEPTION: formula error in debt schedule")</f>
        <v>OK</v>
      </c>
      <c r="C173" s="937"/>
      <c r="D173" s="937"/>
      <c r="E173" s="1146" t="s">
        <v>1668</v>
      </c>
      <c r="F173" s="1147"/>
      <c r="G173" s="1147"/>
      <c r="H173" s="1147"/>
      <c r="I173" s="1147"/>
      <c r="J173" s="1147"/>
      <c r="K173" s="1147"/>
      <c r="L173" s="1147"/>
      <c r="M173" s="1147"/>
      <c r="N173" s="1147"/>
      <c r="O173" s="1147"/>
      <c r="P173" s="1147"/>
      <c r="Q173" s="1147"/>
      <c r="R173" s="1147"/>
    </row>
    <row r="174" spans="1:126" x14ac:dyDescent="0.35">
      <c r="A174" t="s">
        <v>1669</v>
      </c>
      <c r="B174" t="str">
        <f>IF(MIN($F$133:$DV$133)&lt;0,"BREACH: negative debt yield","OK")</f>
        <v>OK</v>
      </c>
      <c r="C174" t="s">
        <v>1670</v>
      </c>
    </row>
    <row r="175" spans="1:126" x14ac:dyDescent="0.35">
      <c r="A175" t="s">
        <v>1671</v>
      </c>
      <c r="B175" t="s">
        <v>1370</v>
      </c>
      <c r="C175" t="s">
        <v>1672</v>
      </c>
      <c r="F175">
        <f t="shared" ref="F175:AK175" si="286">F77-F75-F76-F87-IF(F188&gt;0,F188,0)</f>
        <v>0</v>
      </c>
      <c r="G175">
        <f t="shared" si="286"/>
        <v>0</v>
      </c>
      <c r="H175">
        <f t="shared" si="286"/>
        <v>0</v>
      </c>
      <c r="I175">
        <f t="shared" si="286"/>
        <v>0</v>
      </c>
      <c r="J175">
        <f t="shared" si="286"/>
        <v>0</v>
      </c>
      <c r="K175">
        <f t="shared" si="286"/>
        <v>1.4551915228366852E-10</v>
      </c>
      <c r="L175">
        <f t="shared" si="286"/>
        <v>0</v>
      </c>
      <c r="M175">
        <f t="shared" si="286"/>
        <v>0</v>
      </c>
      <c r="N175">
        <f t="shared" si="286"/>
        <v>0</v>
      </c>
      <c r="O175">
        <f t="shared" si="286"/>
        <v>-4.0745362639427185E-10</v>
      </c>
      <c r="P175">
        <f t="shared" si="286"/>
        <v>6.9849193096160889E-10</v>
      </c>
      <c r="Q175">
        <f t="shared" si="286"/>
        <v>0</v>
      </c>
      <c r="R175">
        <f t="shared" si="286"/>
        <v>0</v>
      </c>
      <c r="S175">
        <f t="shared" si="286"/>
        <v>-8.149072527885437E-10</v>
      </c>
      <c r="T175">
        <f t="shared" si="286"/>
        <v>-6.9849193096160889E-10</v>
      </c>
      <c r="U175">
        <f t="shared" si="286"/>
        <v>1.1641532182693481E-9</v>
      </c>
      <c r="V175">
        <f t="shared" si="286"/>
        <v>1.1641532182693481E-9</v>
      </c>
      <c r="W175">
        <f t="shared" si="286"/>
        <v>1.3969838619232178E-9</v>
      </c>
      <c r="X175">
        <f t="shared" si="286"/>
        <v>-1.862645149230957E-9</v>
      </c>
      <c r="Y175">
        <f t="shared" si="286"/>
        <v>0</v>
      </c>
      <c r="Z175">
        <f t="shared" si="286"/>
        <v>0</v>
      </c>
      <c r="AA175">
        <f t="shared" si="286"/>
        <v>0</v>
      </c>
      <c r="AB175">
        <f t="shared" si="286"/>
        <v>0</v>
      </c>
      <c r="AC175">
        <f t="shared" si="286"/>
        <v>0</v>
      </c>
      <c r="AD175">
        <f t="shared" si="286"/>
        <v>0</v>
      </c>
      <c r="AE175">
        <f t="shared" si="286"/>
        <v>0</v>
      </c>
      <c r="AF175">
        <f t="shared" si="286"/>
        <v>0</v>
      </c>
      <c r="AG175">
        <f t="shared" si="286"/>
        <v>0</v>
      </c>
      <c r="AH175">
        <f t="shared" si="286"/>
        <v>0</v>
      </c>
      <c r="AI175">
        <f t="shared" si="286"/>
        <v>0</v>
      </c>
      <c r="AJ175">
        <f t="shared" si="286"/>
        <v>0</v>
      </c>
      <c r="AK175">
        <f t="shared" si="286"/>
        <v>0</v>
      </c>
      <c r="AL175">
        <f t="shared" ref="AL175:BQ175" si="287">AL77-AL75-AL76-AL87-IF(AL188&gt;0,AL188,0)</f>
        <v>0</v>
      </c>
      <c r="AM175">
        <f t="shared" si="287"/>
        <v>0</v>
      </c>
      <c r="AN175">
        <f t="shared" si="287"/>
        <v>0</v>
      </c>
      <c r="AO175">
        <f t="shared" si="287"/>
        <v>0</v>
      </c>
      <c r="AP175">
        <f t="shared" si="287"/>
        <v>0</v>
      </c>
      <c r="AQ175">
        <f t="shared" si="287"/>
        <v>0</v>
      </c>
      <c r="AR175">
        <f t="shared" si="287"/>
        <v>0</v>
      </c>
      <c r="AS175">
        <f t="shared" si="287"/>
        <v>0</v>
      </c>
      <c r="AT175">
        <f t="shared" si="287"/>
        <v>0</v>
      </c>
      <c r="AU175">
        <f t="shared" si="287"/>
        <v>0</v>
      </c>
      <c r="AV175">
        <f t="shared" si="287"/>
        <v>0</v>
      </c>
      <c r="AW175">
        <f t="shared" si="287"/>
        <v>0</v>
      </c>
      <c r="AX175">
        <f t="shared" si="287"/>
        <v>0</v>
      </c>
      <c r="AY175">
        <f t="shared" si="287"/>
        <v>0</v>
      </c>
      <c r="AZ175">
        <f t="shared" si="287"/>
        <v>0</v>
      </c>
      <c r="BA175">
        <f t="shared" si="287"/>
        <v>0</v>
      </c>
      <c r="BB175">
        <f t="shared" si="287"/>
        <v>0</v>
      </c>
      <c r="BC175">
        <f t="shared" si="287"/>
        <v>0</v>
      </c>
      <c r="BD175">
        <f t="shared" si="287"/>
        <v>0</v>
      </c>
      <c r="BE175">
        <f t="shared" si="287"/>
        <v>0</v>
      </c>
      <c r="BF175">
        <f t="shared" si="287"/>
        <v>0</v>
      </c>
      <c r="BG175">
        <f t="shared" si="287"/>
        <v>0</v>
      </c>
      <c r="BH175">
        <f t="shared" si="287"/>
        <v>0</v>
      </c>
      <c r="BI175">
        <f t="shared" si="287"/>
        <v>0</v>
      </c>
      <c r="BJ175">
        <f t="shared" si="287"/>
        <v>0</v>
      </c>
      <c r="BK175">
        <f t="shared" si="287"/>
        <v>0</v>
      </c>
      <c r="BL175">
        <f t="shared" si="287"/>
        <v>0</v>
      </c>
      <c r="BM175">
        <f t="shared" si="287"/>
        <v>0</v>
      </c>
      <c r="BN175">
        <f t="shared" si="287"/>
        <v>0</v>
      </c>
      <c r="BO175">
        <f t="shared" si="287"/>
        <v>0</v>
      </c>
      <c r="BP175">
        <f t="shared" si="287"/>
        <v>0</v>
      </c>
      <c r="BQ175">
        <f t="shared" si="287"/>
        <v>0</v>
      </c>
      <c r="BR175">
        <f t="shared" ref="BR175:CW175" si="288">BR77-BR75-BR76-BR87-IF(BR188&gt;0,BR188,0)</f>
        <v>0</v>
      </c>
      <c r="BS175">
        <f t="shared" si="288"/>
        <v>0</v>
      </c>
      <c r="BT175">
        <f t="shared" si="288"/>
        <v>0</v>
      </c>
      <c r="BU175">
        <f t="shared" si="288"/>
        <v>0</v>
      </c>
      <c r="BV175">
        <f t="shared" si="288"/>
        <v>0</v>
      </c>
      <c r="BW175">
        <f t="shared" si="288"/>
        <v>0</v>
      </c>
      <c r="BX175">
        <f t="shared" si="288"/>
        <v>0</v>
      </c>
      <c r="BY175">
        <f t="shared" si="288"/>
        <v>0</v>
      </c>
      <c r="BZ175">
        <f t="shared" si="288"/>
        <v>0</v>
      </c>
      <c r="CA175">
        <f t="shared" si="288"/>
        <v>0</v>
      </c>
      <c r="CB175">
        <f t="shared" si="288"/>
        <v>0</v>
      </c>
      <c r="CC175">
        <f t="shared" si="288"/>
        <v>0</v>
      </c>
      <c r="CD175">
        <f t="shared" si="288"/>
        <v>0</v>
      </c>
      <c r="CE175">
        <f t="shared" si="288"/>
        <v>0</v>
      </c>
      <c r="CF175">
        <f t="shared" si="288"/>
        <v>0</v>
      </c>
      <c r="CG175">
        <f t="shared" si="288"/>
        <v>0</v>
      </c>
      <c r="CH175">
        <f t="shared" si="288"/>
        <v>0</v>
      </c>
      <c r="CI175">
        <f t="shared" si="288"/>
        <v>0</v>
      </c>
      <c r="CJ175">
        <f t="shared" si="288"/>
        <v>0</v>
      </c>
      <c r="CK175">
        <f t="shared" si="288"/>
        <v>0</v>
      </c>
      <c r="CL175">
        <f t="shared" si="288"/>
        <v>0</v>
      </c>
      <c r="CM175">
        <f t="shared" si="288"/>
        <v>0</v>
      </c>
      <c r="CN175">
        <f t="shared" si="288"/>
        <v>0</v>
      </c>
      <c r="CO175">
        <f t="shared" si="288"/>
        <v>0</v>
      </c>
      <c r="CP175">
        <f t="shared" si="288"/>
        <v>0</v>
      </c>
      <c r="CQ175">
        <f t="shared" si="288"/>
        <v>0</v>
      </c>
      <c r="CR175">
        <f t="shared" si="288"/>
        <v>0</v>
      </c>
      <c r="CS175">
        <f t="shared" si="288"/>
        <v>0</v>
      </c>
      <c r="CT175">
        <f t="shared" si="288"/>
        <v>0</v>
      </c>
      <c r="CU175">
        <f t="shared" si="288"/>
        <v>0</v>
      </c>
      <c r="CV175">
        <f t="shared" si="288"/>
        <v>0</v>
      </c>
      <c r="CW175">
        <f t="shared" si="288"/>
        <v>0</v>
      </c>
      <c r="CX175">
        <f t="shared" ref="CX175:DV175" si="289">CX77-CX75-CX76-CX87-IF(CX188&gt;0,CX188,0)</f>
        <v>0</v>
      </c>
      <c r="CY175">
        <f t="shared" si="289"/>
        <v>0</v>
      </c>
      <c r="CZ175">
        <f t="shared" si="289"/>
        <v>0</v>
      </c>
      <c r="DA175">
        <f t="shared" si="289"/>
        <v>0</v>
      </c>
      <c r="DB175">
        <f t="shared" si="289"/>
        <v>0</v>
      </c>
      <c r="DC175">
        <f t="shared" si="289"/>
        <v>0</v>
      </c>
      <c r="DD175">
        <f t="shared" si="289"/>
        <v>0</v>
      </c>
      <c r="DE175">
        <f t="shared" si="289"/>
        <v>0</v>
      </c>
      <c r="DF175">
        <f t="shared" si="289"/>
        <v>0</v>
      </c>
      <c r="DG175">
        <f t="shared" si="289"/>
        <v>0</v>
      </c>
      <c r="DH175">
        <f t="shared" si="289"/>
        <v>0</v>
      </c>
      <c r="DI175">
        <f t="shared" si="289"/>
        <v>0</v>
      </c>
      <c r="DJ175">
        <f t="shared" si="289"/>
        <v>0</v>
      </c>
      <c r="DK175">
        <f t="shared" si="289"/>
        <v>0</v>
      </c>
      <c r="DL175">
        <f t="shared" si="289"/>
        <v>0</v>
      </c>
      <c r="DM175">
        <f t="shared" si="289"/>
        <v>0</v>
      </c>
      <c r="DN175">
        <f t="shared" si="289"/>
        <v>0</v>
      </c>
      <c r="DO175">
        <f t="shared" si="289"/>
        <v>0</v>
      </c>
      <c r="DP175">
        <f t="shared" si="289"/>
        <v>0</v>
      </c>
      <c r="DQ175">
        <f t="shared" si="289"/>
        <v>0</v>
      </c>
      <c r="DR175">
        <f t="shared" si="289"/>
        <v>0</v>
      </c>
      <c r="DS175">
        <f t="shared" si="289"/>
        <v>0</v>
      </c>
      <c r="DT175">
        <f t="shared" si="289"/>
        <v>0</v>
      </c>
      <c r="DU175">
        <f t="shared" si="289"/>
        <v>0</v>
      </c>
      <c r="DV175">
        <f t="shared" si="289"/>
        <v>0</v>
      </c>
    </row>
    <row r="176" spans="1:126" ht="22" customHeight="1" x14ac:dyDescent="0.35">
      <c r="A176" s="1148" t="s">
        <v>1673</v>
      </c>
      <c r="B176" s="937"/>
      <c r="C176" s="937"/>
      <c r="D176" s="937"/>
      <c r="E176" s="937"/>
      <c r="F176" s="937"/>
      <c r="G176" s="937"/>
      <c r="H176" s="937"/>
      <c r="J176" s="1148" t="s">
        <v>1674</v>
      </c>
      <c r="K176" s="937"/>
      <c r="L176" s="937"/>
      <c r="M176" s="937"/>
      <c r="N176" s="937"/>
      <c r="O176" s="937"/>
      <c r="P176" s="937"/>
      <c r="Q176" s="937"/>
      <c r="R176" s="937"/>
    </row>
    <row r="177" spans="1:126" ht="15" customHeight="1" x14ac:dyDescent="0.35">
      <c r="A177" s="306" t="s">
        <v>1675</v>
      </c>
      <c r="B177" s="313">
        <v>-5.0000000000000001E-3</v>
      </c>
      <c r="C177" s="313">
        <v>0</v>
      </c>
      <c r="D177" s="313">
        <v>0.01</v>
      </c>
      <c r="E177" s="313">
        <v>0.02</v>
      </c>
      <c r="F177" s="313">
        <v>0.03</v>
      </c>
      <c r="J177" s="306" t="s">
        <v>1676</v>
      </c>
      <c r="K177" s="313">
        <v>0.75</v>
      </c>
      <c r="L177" s="313">
        <v>0.875</v>
      </c>
      <c r="M177" s="313">
        <v>1</v>
      </c>
      <c r="N177" s="313">
        <v>1.125</v>
      </c>
      <c r="O177" s="313">
        <v>1.25</v>
      </c>
    </row>
    <row r="178" spans="1:126" ht="15" customHeight="1" x14ac:dyDescent="0.35">
      <c r="A178" s="317">
        <v>0</v>
      </c>
      <c r="B178" s="309">
        <f>MIN($B$9,$B$9/2*MAX(0,$B$12+$B$13+B$177)*MAX(0,Underwriting!$E$57+$A178)/12)</f>
        <v>20198548.58226667</v>
      </c>
      <c r="C178" s="309">
        <f>MIN($B$9,$B$9/2*MAX(0,$B$12+$B$13+C$177)*MAX(0,Underwriting!$E$57+$A178)/12)</f>
        <v>21881760.964122225</v>
      </c>
      <c r="D178" s="309">
        <f>MIN($B$9,$B$9/2*MAX(0,$B$12+$B$13+D$177)*MAX(0,Underwriting!$E$57+$A178)/12)</f>
        <v>25248185.727833334</v>
      </c>
      <c r="E178" s="309">
        <f>MIN($B$9,$B$9/2*MAX(0,$B$12+$B$13+E$177)*MAX(0,Underwriting!$E$57+$A178)/12)</f>
        <v>28614610.491544444</v>
      </c>
      <c r="F178" s="309">
        <f>MIN($B$9,$B$9/2*MAX(0,$B$12+$B$13+F$177)*MAX(0,Underwriting!$E$57+$A178)/12)</f>
        <v>31981035.255255554</v>
      </c>
      <c r="J178" s="313">
        <v>0.75</v>
      </c>
      <c r="K178" s="309">
        <f>MAX(0,$K$7+$B$24+($K$7+$B$24)*$B$47-MIN($B$37*K$177,'VALUATION &amp; RETURNS'!$DA$8*1000000*$J178*$B$38))</f>
        <v>57600711.698116332</v>
      </c>
      <c r="L178" s="309">
        <f>MAX(0,$K$7+$B$24+($K$7+$B$24)*$B$47-MIN($B$37*L$177,'VALUATION &amp; RETURNS'!$DA$8*1000000*$J178*$B$38))</f>
        <v>29263802.912669271</v>
      </c>
      <c r="M178" s="309">
        <f>MAX(0,$K$7+$B$24+($K$7+$B$24)*$B$47-MIN($B$37*M$177,'VALUATION &amp; RETURNS'!$DA$8*1000000*$J178*$B$38))</f>
        <v>926894.12722221017</v>
      </c>
      <c r="N178" s="309">
        <f>MAX(0,$K$7+$B$24+($K$7+$B$24)*$B$47-MIN($B$37*N$177,'VALUATION &amp; RETURNS'!$DA$8*1000000*$J178*$B$38))</f>
        <v>0</v>
      </c>
      <c r="O178" s="309">
        <f>MAX(0,$K$7+$B$24+($K$7+$B$24)*$B$47-MIN($B$37*O$177,'VALUATION &amp; RETURNS'!$DA$8*1000000*$J178*$B$38))</f>
        <v>0</v>
      </c>
    </row>
    <row r="179" spans="1:126" ht="15" customHeight="1" x14ac:dyDescent="0.35">
      <c r="A179" s="317">
        <v>3</v>
      </c>
      <c r="B179" s="309">
        <f>MIN($B$9,$B$9/2*MAX(0,$B$12+$B$13+B$177)*MAX(0,Underwriting!$E$57+$A179)/12)</f>
        <v>21881760.964122225</v>
      </c>
      <c r="C179" s="309">
        <f>MIN($B$9,$B$9/2*MAX(0,$B$12+$B$13+C$177)*MAX(0,Underwriting!$E$57+$A179)/12)</f>
        <v>23705241.044465739</v>
      </c>
      <c r="D179" s="309">
        <f>MIN($B$9,$B$9/2*MAX(0,$B$12+$B$13+D$177)*MAX(0,Underwriting!$E$57+$A179)/12)</f>
        <v>27352201.20515278</v>
      </c>
      <c r="E179" s="309">
        <f>MIN($B$9,$B$9/2*MAX(0,$B$12+$B$13+E$177)*MAX(0,Underwriting!$E$57+$A179)/12)</f>
        <v>30999161.36583982</v>
      </c>
      <c r="F179" s="309">
        <f>MIN($B$9,$B$9/2*MAX(0,$B$12+$B$13+F$177)*MAX(0,Underwriting!$E$57+$A179)/12)</f>
        <v>34646121.526526853</v>
      </c>
      <c r="J179" s="313">
        <v>0.875</v>
      </c>
      <c r="K179" s="309">
        <f>MAX(0,$K$7+$B$24+($K$7+$B$24)*$B$47-MIN($B$37*K$177,'VALUATION &amp; RETURNS'!$DA$8*1000000*$J179*$B$38))</f>
        <v>57600711.698116332</v>
      </c>
      <c r="L179" s="309">
        <f>MAX(0,$K$7+$B$24+($K$7+$B$24)*$B$47-MIN($B$37*L$177,'VALUATION &amp; RETURNS'!$DA$8*1000000*$J179*$B$38))</f>
        <v>29263802.912669271</v>
      </c>
      <c r="M179" s="309">
        <f>MAX(0,$K$7+$B$24+($K$7+$B$24)*$B$47-MIN($B$37*M$177,'VALUATION &amp; RETURNS'!$DA$8*1000000*$J179*$B$38))</f>
        <v>926894.12722221017</v>
      </c>
      <c r="N179" s="309">
        <f>MAX(0,$K$7+$B$24+($K$7+$B$24)*$B$47-MIN($B$37*N$177,'VALUATION &amp; RETURNS'!$DA$8*1000000*$J179*$B$38))</f>
        <v>0</v>
      </c>
      <c r="O179" s="309">
        <f>MAX(0,$K$7+$B$24+($K$7+$B$24)*$B$47-MIN($B$37*O$177,'VALUATION &amp; RETURNS'!$DA$8*1000000*$J179*$B$38))</f>
        <v>0</v>
      </c>
    </row>
    <row r="180" spans="1:126" ht="15" customHeight="1" x14ac:dyDescent="0.35">
      <c r="A180" s="317">
        <v>6</v>
      </c>
      <c r="B180" s="309">
        <f>MIN($B$9,$B$9/2*MAX(0,$B$12+$B$13+B$177)*MAX(0,Underwriting!$E$57+$A180)/12)</f>
        <v>23564973.345977783</v>
      </c>
      <c r="C180" s="309">
        <f>MIN($B$9,$B$9/2*MAX(0,$B$12+$B$13+C$177)*MAX(0,Underwriting!$E$57+$A180)/12)</f>
        <v>25528721.124809261</v>
      </c>
      <c r="D180" s="309">
        <f>MIN($B$9,$B$9/2*MAX(0,$B$12+$B$13+D$177)*MAX(0,Underwriting!$E$57+$A180)/12)</f>
        <v>29456216.682472225</v>
      </c>
      <c r="E180" s="309">
        <f>MIN($B$9,$B$9/2*MAX(0,$B$12+$B$13+E$177)*MAX(0,Underwriting!$E$57+$A180)/12)</f>
        <v>33383712.240135189</v>
      </c>
      <c r="F180" s="309">
        <f>MIN($B$9,$B$9/2*MAX(0,$B$12+$B$13+F$177)*MAX(0,Underwriting!$E$57+$A180)/12)</f>
        <v>37311207.797798149</v>
      </c>
      <c r="J180" s="313">
        <v>1</v>
      </c>
      <c r="K180" s="309">
        <f>MAX(0,$K$7+$B$24+($K$7+$B$24)*$B$47-MIN($B$37*K$177,'VALUATION &amp; RETURNS'!$DA$8*1000000*$J180*$B$38))</f>
        <v>57600711.698116332</v>
      </c>
      <c r="L180" s="309">
        <f>MAX(0,$K$7+$B$24+($K$7+$B$24)*$B$47-MIN($B$37*L$177,'VALUATION &amp; RETURNS'!$DA$8*1000000*$J180*$B$38))</f>
        <v>29263802.912669271</v>
      </c>
      <c r="M180" s="309">
        <f>MAX(0,$K$7+$B$24+($K$7+$B$24)*$B$47-MIN($B$37*M$177,'VALUATION &amp; RETURNS'!$DA$8*1000000*$J180*$B$38))</f>
        <v>926894.12722221017</v>
      </c>
      <c r="N180" s="309">
        <f>MAX(0,$K$7+$B$24+($K$7+$B$24)*$B$47-MIN($B$37*N$177,'VALUATION &amp; RETURNS'!$DA$8*1000000*$J180*$B$38))</f>
        <v>0</v>
      </c>
      <c r="O180" s="309">
        <f>MAX(0,$K$7+$B$24+($K$7+$B$24)*$B$47-MIN($B$37*O$177,'VALUATION &amp; RETURNS'!$DA$8*1000000*$J180*$B$38))</f>
        <v>0</v>
      </c>
    </row>
    <row r="181" spans="1:126" ht="15" customHeight="1" x14ac:dyDescent="0.35">
      <c r="A181" s="317">
        <v>9</v>
      </c>
      <c r="B181" s="309">
        <f>MIN($B$9,$B$9/2*MAX(0,$B$12+$B$13+B$177)*MAX(0,Underwriting!$E$57+$A181)/12)</f>
        <v>25248185.727833334</v>
      </c>
      <c r="C181" s="309">
        <f>MIN($B$9,$B$9/2*MAX(0,$B$12+$B$13+C$177)*MAX(0,Underwriting!$E$57+$A181)/12)</f>
        <v>27352201.20515278</v>
      </c>
      <c r="D181" s="309">
        <f>MIN($B$9,$B$9/2*MAX(0,$B$12+$B$13+D$177)*MAX(0,Underwriting!$E$57+$A181)/12)</f>
        <v>31560232.159791667</v>
      </c>
      <c r="E181" s="309">
        <f>MIN($B$9,$B$9/2*MAX(0,$B$12+$B$13+E$177)*MAX(0,Underwriting!$E$57+$A181)/12)</f>
        <v>35768263.114430562</v>
      </c>
      <c r="F181" s="309">
        <f>MIN($B$9,$B$9/2*MAX(0,$B$12+$B$13+F$177)*MAX(0,Underwriting!$E$57+$A181)/12)</f>
        <v>39976294.069069445</v>
      </c>
      <c r="J181" s="313">
        <v>1.125</v>
      </c>
      <c r="K181" s="309">
        <f>MAX(0,$K$7+$B$24+($K$7+$B$24)*$B$47-MIN($B$37*K$177,'VALUATION &amp; RETURNS'!$DA$8*1000000*$J181*$B$38))</f>
        <v>57600711.698116332</v>
      </c>
      <c r="L181" s="309">
        <f>MAX(0,$K$7+$B$24+($K$7+$B$24)*$B$47-MIN($B$37*L$177,'VALUATION &amp; RETURNS'!$DA$8*1000000*$J181*$B$38))</f>
        <v>29263802.912669271</v>
      </c>
      <c r="M181" s="309">
        <f>MAX(0,$K$7+$B$24+($K$7+$B$24)*$B$47-MIN($B$37*M$177,'VALUATION &amp; RETURNS'!$DA$8*1000000*$J181*$B$38))</f>
        <v>926894.12722221017</v>
      </c>
      <c r="N181" s="309">
        <f>MAX(0,$K$7+$B$24+($K$7+$B$24)*$B$47-MIN($B$37*N$177,'VALUATION &amp; RETURNS'!$DA$8*1000000*$J181*$B$38))</f>
        <v>0</v>
      </c>
      <c r="O181" s="309">
        <f>MAX(0,$K$7+$B$24+($K$7+$B$24)*$B$47-MIN($B$37*O$177,'VALUATION &amp; RETURNS'!$DA$8*1000000*$J181*$B$38))</f>
        <v>0</v>
      </c>
    </row>
    <row r="182" spans="1:126" ht="15" customHeight="1" x14ac:dyDescent="0.35">
      <c r="A182" s="317">
        <v>12</v>
      </c>
      <c r="B182" s="309">
        <f>MIN($B$9,$B$9/2*MAX(0,$B$12+$B$13+B$177)*MAX(0,Underwriting!$E$57+$A182)/12)</f>
        <v>26931398.109688893</v>
      </c>
      <c r="C182" s="309">
        <f>MIN($B$9,$B$9/2*MAX(0,$B$12+$B$13+C$177)*MAX(0,Underwriting!$E$57+$A182)/12)</f>
        <v>29175681.285496298</v>
      </c>
      <c r="D182" s="309">
        <f>MIN($B$9,$B$9/2*MAX(0,$B$12+$B$13+D$177)*MAX(0,Underwriting!$E$57+$A182)/12)</f>
        <v>33664247.637111112</v>
      </c>
      <c r="E182" s="309">
        <f>MIN($B$9,$B$9/2*MAX(0,$B$12+$B$13+E$177)*MAX(0,Underwriting!$E$57+$A182)/12)</f>
        <v>38152813.98872593</v>
      </c>
      <c r="F182" s="309">
        <f>MIN($B$9,$B$9/2*MAX(0,$B$12+$B$13+F$177)*MAX(0,Underwriting!$E$57+$A182)/12)</f>
        <v>42641380.340340741</v>
      </c>
      <c r="J182" s="313">
        <v>1.25</v>
      </c>
      <c r="K182" s="309">
        <f>MAX(0,$K$7+$B$24+($K$7+$B$24)*$B$47-MIN($B$37*K$177,'VALUATION &amp; RETURNS'!$DA$8*1000000*$J182*$B$38))</f>
        <v>57600711.698116332</v>
      </c>
      <c r="L182" s="309">
        <f>MAX(0,$K$7+$B$24+($K$7+$B$24)*$B$47-MIN($B$37*L$177,'VALUATION &amp; RETURNS'!$DA$8*1000000*$J182*$B$38))</f>
        <v>29263802.912669271</v>
      </c>
      <c r="M182" s="309">
        <f>MAX(0,$K$7+$B$24+($K$7+$B$24)*$B$47-MIN($B$37*M$177,'VALUATION &amp; RETURNS'!$DA$8*1000000*$J182*$B$38))</f>
        <v>926894.12722221017</v>
      </c>
      <c r="N182" s="309">
        <f>MAX(0,$K$7+$B$24+($K$7+$B$24)*$B$47-MIN($B$37*N$177,'VALUATION &amp; RETURNS'!$DA$8*1000000*$J182*$B$38))</f>
        <v>0</v>
      </c>
      <c r="O182" s="309">
        <f>MAX(0,$K$7+$B$24+($K$7+$B$24)*$B$47-MIN($B$37*O$177,'VALUATION &amp; RETURNS'!$DA$8*1000000*$J182*$B$38))</f>
        <v>0</v>
      </c>
    </row>
    <row r="183" spans="1:126" ht="15" customHeight="1" x14ac:dyDescent="0.35">
      <c r="A183" s="1149" t="s">
        <v>1677</v>
      </c>
      <c r="B183" s="937"/>
      <c r="C183" s="937"/>
      <c r="D183" s="937"/>
      <c r="E183" s="937"/>
      <c r="F183" s="937"/>
      <c r="G183" s="937"/>
      <c r="H183" s="937"/>
      <c r="J183" s="1149" t="s">
        <v>1678</v>
      </c>
      <c r="K183" s="937"/>
      <c r="L183" s="937"/>
      <c r="M183" s="937"/>
      <c r="N183" s="937"/>
      <c r="O183" s="937"/>
      <c r="P183" s="937"/>
      <c r="Q183" s="937"/>
      <c r="R183" s="937"/>
    </row>
    <row r="185" spans="1:126" x14ac:dyDescent="0.35">
      <c r="A185" s="1148" t="s">
        <v>1679</v>
      </c>
      <c r="B185" s="937"/>
      <c r="C185" s="937"/>
      <c r="D185" s="937"/>
      <c r="E185" s="937"/>
      <c r="F185" s="937"/>
      <c r="G185" s="937"/>
      <c r="H185" s="937"/>
      <c r="J185" s="1148"/>
      <c r="K185" s="937"/>
      <c r="L185" s="937"/>
      <c r="M185" s="937"/>
      <c r="N185" s="937"/>
      <c r="O185" s="937"/>
      <c r="P185" s="937"/>
      <c r="Q185" s="937"/>
      <c r="R185" s="937"/>
    </row>
    <row r="186" spans="1:126" ht="15" customHeight="1" x14ac:dyDescent="0.35">
      <c r="A186" s="306" t="s">
        <v>1680</v>
      </c>
      <c r="B186" s="313" t="s">
        <v>1370</v>
      </c>
      <c r="C186" s="313" t="s">
        <v>1681</v>
      </c>
      <c r="D186" s="313"/>
      <c r="E186" s="313"/>
      <c r="F186" s="895">
        <f>F$75*'DATA MAP'!$E$261*'DATA MAP'!$E$262</f>
        <v>7441417.12728287</v>
      </c>
      <c r="G186" s="896">
        <f>G$75*'DATA MAP'!$E$261*'DATA MAP'!$E$262</f>
        <v>70562.268970067453</v>
      </c>
      <c r="H186" s="896">
        <f>H$75*'DATA MAP'!$E$261*'DATA MAP'!$E$262</f>
        <v>92259.100737105473</v>
      </c>
      <c r="I186" s="896">
        <f>I$75*'DATA MAP'!$E$261*'DATA MAP'!$E$262</f>
        <v>123245.74720092642</v>
      </c>
      <c r="J186" s="897">
        <f>J$75*'DATA MAP'!$E$261*'DATA MAP'!$E$262</f>
        <v>166176.69362434684</v>
      </c>
      <c r="K186" s="895">
        <f>K$75*'DATA MAP'!$E$261*'DATA MAP'!$E$262</f>
        <v>223843.37260088461</v>
      </c>
      <c r="L186" s="895">
        <f>L$75*'DATA MAP'!$E$261*'DATA MAP'!$E$262</f>
        <v>298887.90847128414</v>
      </c>
      <c r="M186" s="895">
        <f>M$75*'DATA MAP'!$E$261*'DATA MAP'!$E$262</f>
        <v>393414.50386731449</v>
      </c>
      <c r="N186" s="895">
        <f>N$75*'DATA MAP'!$E$261*'DATA MAP'!$E$262</f>
        <v>508526.83547257958</v>
      </c>
      <c r="O186" s="895">
        <f>O$75*'DATA MAP'!$E$261*'DATA MAP'!$E$262</f>
        <v>643846.78699563793</v>
      </c>
      <c r="P186" s="896">
        <f>P$75*'DATA MAP'!$E$261*'DATA MAP'!$E$262</f>
        <v>797093.85193546931</v>
      </c>
      <c r="Q186" s="896">
        <f>Q$75*'DATA MAP'!$E$261*'DATA MAP'!$E$262</f>
        <v>963818.1433081195</v>
      </c>
      <c r="R186" s="896">
        <f>R$75*'DATA MAP'!$E$261*'DATA MAP'!$E$262</f>
        <v>1137376.1859085569</v>
      </c>
      <c r="S186" s="896">
        <f>S$75*'DATA MAP'!$E$261*'DATA MAP'!$E$262</f>
        <v>1309213.4158869316</v>
      </c>
      <c r="T186" s="896">
        <f>T$75*'DATA MAP'!$E$261*'DATA MAP'!$E$262</f>
        <v>1469471.413433613</v>
      </c>
      <c r="U186" s="896">
        <f>U$75*'DATA MAP'!$E$261*'DATA MAP'!$E$262</f>
        <v>1607878.179509978</v>
      </c>
      <c r="V186" s="896">
        <f>V$75*'DATA MAP'!$E$261*'DATA MAP'!$E$262</f>
        <v>1714818.3403146383</v>
      </c>
      <c r="W186" s="896">
        <f>W$75*'DATA MAP'!$E$261*'DATA MAP'!$E$262</f>
        <v>1782431.7922436574</v>
      </c>
      <c r="X186" s="896">
        <f>X$75*'DATA MAP'!$E$261*'DATA MAP'!$E$262</f>
        <v>1805567.4773905599</v>
      </c>
      <c r="Y186" s="896">
        <f>Y$75*'DATA MAP'!$E$261*'DATA MAP'!$E$262</f>
        <v>1782431.7922436588</v>
      </c>
      <c r="Z186" s="896">
        <f>Z$75*'DATA MAP'!$E$261*'DATA MAP'!$E$262</f>
        <v>1714818.3403146353</v>
      </c>
      <c r="AA186" s="896">
        <f>AA$75*'DATA MAP'!$E$261*'DATA MAP'!$E$262</f>
        <v>1607878.1795099811</v>
      </c>
      <c r="AB186" s="896">
        <f>AB$75*'DATA MAP'!$E$261*'DATA MAP'!$E$262</f>
        <v>1469471.4134336109</v>
      </c>
      <c r="AC186" s="896">
        <f>AC$75*'DATA MAP'!$E$261*'DATA MAP'!$E$262</f>
        <v>1309213.4158869316</v>
      </c>
      <c r="AD186" s="896">
        <f>AD$75*'DATA MAP'!$E$261*'DATA MAP'!$E$262</f>
        <v>1137376.185908559</v>
      </c>
      <c r="AE186" s="896">
        <f>AE$75*'DATA MAP'!$E$261*'DATA MAP'!$E$262</f>
        <v>963818.14330811705</v>
      </c>
      <c r="AF186" s="896">
        <f>AF$75*'DATA MAP'!$E$261*'DATA MAP'!$E$262</f>
        <v>797093.85193546931</v>
      </c>
      <c r="AG186" s="896">
        <f>AG$75*'DATA MAP'!$E$261*'DATA MAP'!$E$262</f>
        <v>643846.78699563991</v>
      </c>
      <c r="AH186" s="896">
        <f>AH$75*'DATA MAP'!$E$261*'DATA MAP'!$E$262</f>
        <v>508526.83547257818</v>
      </c>
      <c r="AI186" s="896">
        <f>AI$75*'DATA MAP'!$E$261*'DATA MAP'!$E$262</f>
        <v>393414.5038673146</v>
      </c>
      <c r="AJ186" s="896">
        <f>AJ$75*'DATA MAP'!$E$261*'DATA MAP'!$E$262</f>
        <v>298887.90847128531</v>
      </c>
      <c r="AK186" s="896">
        <f>AK$75*'DATA MAP'!$E$261*'DATA MAP'!$E$262</f>
        <v>223843.37260088339</v>
      </c>
      <c r="AL186" s="896">
        <f>AL$75*'DATA MAP'!$E$261*'DATA MAP'!$E$262</f>
        <v>166176.6936243473</v>
      </c>
      <c r="AM186" s="896">
        <f>AM$75*'DATA MAP'!$E$261*'DATA MAP'!$E$262</f>
        <v>123245.74720092489</v>
      </c>
      <c r="AN186" s="896">
        <f>AN$75*'DATA MAP'!$E$261*'DATA MAP'!$E$262</f>
        <v>92259.100737107263</v>
      </c>
      <c r="AO186" s="896">
        <f>AO$75*'DATA MAP'!$E$261*'DATA MAP'!$E$262</f>
        <v>70562.268970066187</v>
      </c>
      <c r="AP186" s="896">
        <f>AP$75*'DATA MAP'!$E$261*'DATA MAP'!$E$262</f>
        <v>55817.127282870271</v>
      </c>
      <c r="AQ186" s="896">
        <f>AQ$75*'DATA MAP'!$E$261*'DATA MAP'!$E$262</f>
        <v>0</v>
      </c>
      <c r="AR186" s="896">
        <f>AR$75*'DATA MAP'!$E$261*'DATA MAP'!$E$262</f>
        <v>0</v>
      </c>
      <c r="AS186" s="896">
        <f>AS$75*'DATA MAP'!$E$261*'DATA MAP'!$E$262</f>
        <v>0</v>
      </c>
      <c r="AT186" s="896">
        <f>AT$75*'DATA MAP'!$E$261*'DATA MAP'!$E$262</f>
        <v>0</v>
      </c>
      <c r="AU186" s="896">
        <f>AU$75*'DATA MAP'!$E$261*'DATA MAP'!$E$262</f>
        <v>0</v>
      </c>
      <c r="AV186" s="896">
        <f>AV$75*'DATA MAP'!$E$261*'DATA MAP'!$E$262</f>
        <v>0</v>
      </c>
      <c r="AW186" s="896">
        <f>AW$75*'DATA MAP'!$E$261*'DATA MAP'!$E$262</f>
        <v>0</v>
      </c>
      <c r="AX186" s="896">
        <f>AX$75*'DATA MAP'!$E$261*'DATA MAP'!$E$262</f>
        <v>0</v>
      </c>
      <c r="AY186" s="896">
        <f>AY$75*'DATA MAP'!$E$261*'DATA MAP'!$E$262</f>
        <v>0</v>
      </c>
      <c r="AZ186" s="896">
        <f>AZ$75*'DATA MAP'!$E$261*'DATA MAP'!$E$262</f>
        <v>0</v>
      </c>
      <c r="BA186" s="896">
        <f>BA$75*'DATA MAP'!$E$261*'DATA MAP'!$E$262</f>
        <v>0</v>
      </c>
      <c r="BB186" s="896">
        <f>BB$75*'DATA MAP'!$E$261*'DATA MAP'!$E$262</f>
        <v>0</v>
      </c>
      <c r="BC186" s="896">
        <f>BC$75*'DATA MAP'!$E$261*'DATA MAP'!$E$262</f>
        <v>0</v>
      </c>
      <c r="BD186" s="896">
        <f>BD$75*'DATA MAP'!$E$261*'DATA MAP'!$E$262</f>
        <v>0</v>
      </c>
      <c r="BE186" s="896">
        <f>BE$75*'DATA MAP'!$E$261*'DATA MAP'!$E$262</f>
        <v>0</v>
      </c>
      <c r="BF186" s="896">
        <f>BF$75*'DATA MAP'!$E$261*'DATA MAP'!$E$262</f>
        <v>0</v>
      </c>
      <c r="BG186" s="896">
        <f>BG$75*'DATA MAP'!$E$261*'DATA MAP'!$E$262</f>
        <v>0</v>
      </c>
      <c r="BH186" s="896">
        <f>BH$75*'DATA MAP'!$E$261*'DATA MAP'!$E$262</f>
        <v>0</v>
      </c>
      <c r="BI186" s="896">
        <f>BI$75*'DATA MAP'!$E$261*'DATA MAP'!$E$262</f>
        <v>0</v>
      </c>
      <c r="BJ186" s="896">
        <f>BJ$75*'DATA MAP'!$E$261*'DATA MAP'!$E$262</f>
        <v>0</v>
      </c>
      <c r="BK186" s="896">
        <f>BK$75*'DATA MAP'!$E$261*'DATA MAP'!$E$262</f>
        <v>0</v>
      </c>
      <c r="BL186" s="896">
        <f>BL$75*'DATA MAP'!$E$261*'DATA MAP'!$E$262</f>
        <v>0</v>
      </c>
      <c r="BM186" s="896">
        <f>BM$75*'DATA MAP'!$E$261*'DATA MAP'!$E$262</f>
        <v>0</v>
      </c>
      <c r="BN186" s="896">
        <f>BN$75*'DATA MAP'!$E$261*'DATA MAP'!$E$262</f>
        <v>0</v>
      </c>
      <c r="BO186" s="896">
        <f>BO$75*'DATA MAP'!$E$261*'DATA MAP'!$E$262</f>
        <v>0</v>
      </c>
      <c r="BP186" s="896">
        <f>BP$75*'DATA MAP'!$E$261*'DATA MAP'!$E$262</f>
        <v>0</v>
      </c>
      <c r="BQ186" s="896">
        <f>BQ$75*'DATA MAP'!$E$261*'DATA MAP'!$E$262</f>
        <v>0</v>
      </c>
      <c r="BR186" s="896">
        <f>BR$75*'DATA MAP'!$E$261*'DATA MAP'!$E$262</f>
        <v>0</v>
      </c>
      <c r="BS186" s="896">
        <f>BS$75*'DATA MAP'!$E$261*'DATA MAP'!$E$262</f>
        <v>0</v>
      </c>
      <c r="BT186" s="896">
        <f>BT$75*'DATA MAP'!$E$261*'DATA MAP'!$E$262</f>
        <v>0</v>
      </c>
      <c r="BU186" s="896">
        <f>BU$75*'DATA MAP'!$E$261*'DATA MAP'!$E$262</f>
        <v>0</v>
      </c>
      <c r="BV186" s="896">
        <f>BV$75*'DATA MAP'!$E$261*'DATA MAP'!$E$262</f>
        <v>0</v>
      </c>
      <c r="BW186" s="896">
        <f>BW$75*'DATA MAP'!$E$261*'DATA MAP'!$E$262</f>
        <v>0</v>
      </c>
      <c r="BX186" s="896">
        <f>BX$75*'DATA MAP'!$E$261*'DATA MAP'!$E$262</f>
        <v>0</v>
      </c>
      <c r="BY186" s="896">
        <f>BY$75*'DATA MAP'!$E$261*'DATA MAP'!$E$262</f>
        <v>0</v>
      </c>
      <c r="BZ186" s="896">
        <f>BZ$75*'DATA MAP'!$E$261*'DATA MAP'!$E$262</f>
        <v>0</v>
      </c>
      <c r="CA186" s="896">
        <f>CA$75*'DATA MAP'!$E$261*'DATA MAP'!$E$262</f>
        <v>0</v>
      </c>
      <c r="CB186" s="896">
        <f>CB$75*'DATA MAP'!$E$261*'DATA MAP'!$E$262</f>
        <v>0</v>
      </c>
      <c r="CC186" s="896">
        <f>CC$75*'DATA MAP'!$E$261*'DATA MAP'!$E$262</f>
        <v>0</v>
      </c>
      <c r="CD186" s="896">
        <f>CD$75*'DATA MAP'!$E$261*'DATA MAP'!$E$262</f>
        <v>0</v>
      </c>
      <c r="CE186" s="896">
        <f>CE$75*'DATA MAP'!$E$261*'DATA MAP'!$E$262</f>
        <v>0</v>
      </c>
      <c r="CF186" s="896">
        <f>CF$75*'DATA MAP'!$E$261*'DATA MAP'!$E$262</f>
        <v>0</v>
      </c>
      <c r="CG186" s="896">
        <f>CG$75*'DATA MAP'!$E$261*'DATA MAP'!$E$262</f>
        <v>0</v>
      </c>
      <c r="CH186" s="896">
        <f>CH$75*'DATA MAP'!$E$261*'DATA MAP'!$E$262</f>
        <v>0</v>
      </c>
      <c r="CI186" s="896">
        <f>CI$75*'DATA MAP'!$E$261*'DATA MAP'!$E$262</f>
        <v>0</v>
      </c>
      <c r="CJ186" s="896">
        <f>CJ$75*'DATA MAP'!$E$261*'DATA MAP'!$E$262</f>
        <v>0</v>
      </c>
      <c r="CK186" s="896">
        <f>CK$75*'DATA MAP'!$E$261*'DATA MAP'!$E$262</f>
        <v>0</v>
      </c>
      <c r="CL186" s="896">
        <f>CL$75*'DATA MAP'!$E$261*'DATA MAP'!$E$262</f>
        <v>0</v>
      </c>
      <c r="CM186" s="896">
        <f>CM$75*'DATA MAP'!$E$261*'DATA MAP'!$E$262</f>
        <v>0</v>
      </c>
      <c r="CN186" s="896">
        <f>CN$75*'DATA MAP'!$E$261*'DATA MAP'!$E$262</f>
        <v>0</v>
      </c>
      <c r="CO186" s="896">
        <f>CO$75*'DATA MAP'!$E$261*'DATA MAP'!$E$262</f>
        <v>0</v>
      </c>
      <c r="CP186" s="896">
        <f>CP$75*'DATA MAP'!$E$261*'DATA MAP'!$E$262</f>
        <v>0</v>
      </c>
      <c r="CQ186" s="896">
        <f>CQ$75*'DATA MAP'!$E$261*'DATA MAP'!$E$262</f>
        <v>0</v>
      </c>
      <c r="CR186" s="896">
        <f>CR$75*'DATA MAP'!$E$261*'DATA MAP'!$E$262</f>
        <v>0</v>
      </c>
      <c r="CS186" s="896">
        <f>CS$75*'DATA MAP'!$E$261*'DATA MAP'!$E$262</f>
        <v>0</v>
      </c>
      <c r="CT186" s="896">
        <f>CT$75*'DATA MAP'!$E$261*'DATA MAP'!$E$262</f>
        <v>0</v>
      </c>
      <c r="CU186" s="896">
        <f>CU$75*'DATA MAP'!$E$261*'DATA MAP'!$E$262</f>
        <v>0</v>
      </c>
      <c r="CV186" s="896">
        <f>CV$75*'DATA MAP'!$E$261*'DATA MAP'!$E$262</f>
        <v>0</v>
      </c>
      <c r="CW186" s="896">
        <f>CW$75*'DATA MAP'!$E$261*'DATA MAP'!$E$262</f>
        <v>0</v>
      </c>
      <c r="CX186" s="896">
        <f>CX$75*'DATA MAP'!$E$261*'DATA MAP'!$E$262</f>
        <v>0</v>
      </c>
      <c r="CY186" s="896">
        <f>CY$75*'DATA MAP'!$E$261*'DATA MAP'!$E$262</f>
        <v>0</v>
      </c>
      <c r="CZ186" s="896">
        <f>CZ$75*'DATA MAP'!$E$261*'DATA MAP'!$E$262</f>
        <v>0</v>
      </c>
      <c r="DA186" s="896">
        <f>DA$75*'DATA MAP'!$E$261*'DATA MAP'!$E$262</f>
        <v>0</v>
      </c>
      <c r="DB186" s="896">
        <f>DB$75*'DATA MAP'!$E$261*'DATA MAP'!$E$262</f>
        <v>0</v>
      </c>
      <c r="DC186" s="896">
        <f>DC$75*'DATA MAP'!$E$261*'DATA MAP'!$E$262</f>
        <v>0</v>
      </c>
      <c r="DD186" s="896">
        <f>DD$75*'DATA MAP'!$E$261*'DATA MAP'!$E$262</f>
        <v>0</v>
      </c>
      <c r="DE186" s="896">
        <f>DE$75*'DATA MAP'!$E$261*'DATA MAP'!$E$262</f>
        <v>0</v>
      </c>
      <c r="DF186" s="896">
        <f>DF$75*'DATA MAP'!$E$261*'DATA MAP'!$E$262</f>
        <v>0</v>
      </c>
      <c r="DG186" s="896">
        <f>DG$75*'DATA MAP'!$E$261*'DATA MAP'!$E$262</f>
        <v>0</v>
      </c>
      <c r="DH186" s="896">
        <f>DH$75*'DATA MAP'!$E$261*'DATA MAP'!$E$262</f>
        <v>0</v>
      </c>
      <c r="DI186" s="896">
        <f>DI$75*'DATA MAP'!$E$261*'DATA MAP'!$E$262</f>
        <v>0</v>
      </c>
      <c r="DJ186" s="896">
        <f>DJ$75*'DATA MAP'!$E$261*'DATA MAP'!$E$262</f>
        <v>0</v>
      </c>
      <c r="DK186" s="896">
        <f>DK$75*'DATA MAP'!$E$261*'DATA MAP'!$E$262</f>
        <v>0</v>
      </c>
      <c r="DL186" s="896">
        <f>DL$75*'DATA MAP'!$E$261*'DATA MAP'!$E$262</f>
        <v>0</v>
      </c>
      <c r="DM186" s="896">
        <f>DM$75*'DATA MAP'!$E$261*'DATA MAP'!$E$262</f>
        <v>0</v>
      </c>
      <c r="DN186" s="896">
        <f>DN$75*'DATA MAP'!$E$261*'DATA MAP'!$E$262</f>
        <v>0</v>
      </c>
      <c r="DO186" s="896">
        <f>DO$75*'DATA MAP'!$E$261*'DATA MAP'!$E$262</f>
        <v>0</v>
      </c>
      <c r="DP186" s="896">
        <f>DP$75*'DATA MAP'!$E$261*'DATA MAP'!$E$262</f>
        <v>0</v>
      </c>
      <c r="DQ186" s="896">
        <f>DQ$75*'DATA MAP'!$E$261*'DATA MAP'!$E$262</f>
        <v>0</v>
      </c>
      <c r="DR186" s="896">
        <f>DR$75*'DATA MAP'!$E$261*'DATA MAP'!$E$262</f>
        <v>0</v>
      </c>
      <c r="DS186" s="896">
        <f>DS$75*'DATA MAP'!$E$261*'DATA MAP'!$E$262</f>
        <v>0</v>
      </c>
      <c r="DT186" s="896">
        <f>DT$75*'DATA MAP'!$E$261*'DATA MAP'!$E$262</f>
        <v>0</v>
      </c>
      <c r="DU186" s="896">
        <f>DU$75*'DATA MAP'!$E$261*'DATA MAP'!$E$262</f>
        <v>0</v>
      </c>
      <c r="DV186" s="896">
        <f>DV$75*'DATA MAP'!$E$261*'DATA MAP'!$E$262</f>
        <v>0</v>
      </c>
    </row>
    <row r="187" spans="1:126" ht="15" customHeight="1" x14ac:dyDescent="0.35">
      <c r="A187" s="306" t="s">
        <v>1682</v>
      </c>
      <c r="B187" s="313" t="s">
        <v>1370</v>
      </c>
      <c r="C187" s="313" t="s">
        <v>1683</v>
      </c>
      <c r="D187" s="313"/>
      <c r="E187" s="313"/>
      <c r="F187" s="895">
        <f>IF(F$63&lt;'DATA MAP'!$E$263,0,INDEX($F$186:$DV$186,1,F$63+1-'DATA MAP'!$E$263))</f>
        <v>0</v>
      </c>
      <c r="G187" s="896">
        <f>IF(G$63&lt;'DATA MAP'!$E$263,0,INDEX($F$186:$DV$186,1,G$63+1-'DATA MAP'!$E$263))</f>
        <v>0</v>
      </c>
      <c r="H187" s="896">
        <f>IF(H$63&lt;'DATA MAP'!$E$263,0,INDEX($F$186:$DV$186,1,H$63+1-'DATA MAP'!$E$263))</f>
        <v>7441417.12728287</v>
      </c>
      <c r="I187" s="896">
        <f>IF(I$63&lt;'DATA MAP'!$E$263,0,INDEX($F$186:$DV$186,1,I$63+1-'DATA MAP'!$E$263))</f>
        <v>70562.268970067453</v>
      </c>
      <c r="J187" s="897">
        <f>IF(J$63&lt;'DATA MAP'!$E$263,0,INDEX($F$186:$DV$186,1,J$63+1-'DATA MAP'!$E$263))</f>
        <v>92259.100737105473</v>
      </c>
      <c r="K187" s="895">
        <f>IF(K$63&lt;'DATA MAP'!$E$263,0,INDEX($F$186:$DV$186,1,K$63+1-'DATA MAP'!$E$263))</f>
        <v>123245.74720092642</v>
      </c>
      <c r="L187" s="895">
        <f>IF(L$63&lt;'DATA MAP'!$E$263,0,INDEX($F$186:$DV$186,1,L$63+1-'DATA MAP'!$E$263))</f>
        <v>166176.69362434684</v>
      </c>
      <c r="M187" s="895">
        <f>IF(M$63&lt;'DATA MAP'!$E$263,0,INDEX($F$186:$DV$186,1,M$63+1-'DATA MAP'!$E$263))</f>
        <v>223843.37260088461</v>
      </c>
      <c r="N187" s="895">
        <f>IF(N$63&lt;'DATA MAP'!$E$263,0,INDEX($F$186:$DV$186,1,N$63+1-'DATA MAP'!$E$263))</f>
        <v>298887.90847128414</v>
      </c>
      <c r="O187" s="895">
        <f>IF(O$63&lt;'DATA MAP'!$E$263,0,INDEX($F$186:$DV$186,1,O$63+1-'DATA MAP'!$E$263))</f>
        <v>393414.50386731449</v>
      </c>
      <c r="P187" s="896">
        <f>IF(P$63&lt;'DATA MAP'!$E$263,0,INDEX($F$186:$DV$186,1,P$63+1-'DATA MAP'!$E$263))</f>
        <v>508526.83547257958</v>
      </c>
      <c r="Q187" s="896">
        <f>IF(Q$63&lt;'DATA MAP'!$E$263,0,INDEX($F$186:$DV$186,1,Q$63+1-'DATA MAP'!$E$263))</f>
        <v>643846.78699563793</v>
      </c>
      <c r="R187" s="896">
        <f>IF(R$63&lt;'DATA MAP'!$E$263,0,INDEX($F$186:$DV$186,1,R$63+1-'DATA MAP'!$E$263))</f>
        <v>797093.85193546931</v>
      </c>
      <c r="S187" s="896">
        <f>IF(S$63&lt;'DATA MAP'!$E$263,0,INDEX($F$186:$DV$186,1,S$63+1-'DATA MAP'!$E$263))</f>
        <v>963818.1433081195</v>
      </c>
      <c r="T187" s="896">
        <f>IF(T$63&lt;'DATA MAP'!$E$263,0,INDEX($F$186:$DV$186,1,T$63+1-'DATA MAP'!$E$263))</f>
        <v>1137376.1859085569</v>
      </c>
      <c r="U187" s="896">
        <f>IF(U$63&lt;'DATA MAP'!$E$263,0,INDEX($F$186:$DV$186,1,U$63+1-'DATA MAP'!$E$263))</f>
        <v>1309213.4158869316</v>
      </c>
      <c r="V187" s="896">
        <f>IF(V$63&lt;'DATA MAP'!$E$263,0,INDEX($F$186:$DV$186,1,V$63+1-'DATA MAP'!$E$263))</f>
        <v>1469471.413433613</v>
      </c>
      <c r="W187" s="896">
        <f>IF(W$63&lt;'DATA MAP'!$E$263,0,INDEX($F$186:$DV$186,1,W$63+1-'DATA MAP'!$E$263))</f>
        <v>1607878.179509978</v>
      </c>
      <c r="X187" s="896">
        <f>IF(X$63&lt;'DATA MAP'!$E$263,0,INDEX($F$186:$DV$186,1,X$63+1-'DATA MAP'!$E$263))</f>
        <v>1714818.3403146383</v>
      </c>
      <c r="Y187" s="896">
        <f>IF(Y$63&lt;'DATA MAP'!$E$263,0,INDEX($F$186:$DV$186,1,Y$63+1-'DATA MAP'!$E$263))</f>
        <v>1782431.7922436574</v>
      </c>
      <c r="Z187" s="896">
        <f>IF(Z$63&lt;'DATA MAP'!$E$263,0,INDEX($F$186:$DV$186,1,Z$63+1-'DATA MAP'!$E$263))</f>
        <v>1805567.4773905599</v>
      </c>
      <c r="AA187" s="896">
        <f>IF(AA$63&lt;'DATA MAP'!$E$263,0,INDEX($F$186:$DV$186,1,AA$63+1-'DATA MAP'!$E$263))</f>
        <v>1782431.7922436588</v>
      </c>
      <c r="AB187" s="896">
        <f>IF(AB$63&lt;'DATA MAP'!$E$263,0,INDEX($F$186:$DV$186,1,AB$63+1-'DATA MAP'!$E$263))</f>
        <v>1714818.3403146353</v>
      </c>
      <c r="AC187" s="896">
        <f>IF(AC$63&lt;'DATA MAP'!$E$263,0,INDEX($F$186:$DV$186,1,AC$63+1-'DATA MAP'!$E$263))</f>
        <v>1607878.1795099811</v>
      </c>
      <c r="AD187" s="896">
        <f>IF(AD$63&lt;'DATA MAP'!$E$263,0,INDEX($F$186:$DV$186,1,AD$63+1-'DATA MAP'!$E$263))</f>
        <v>1469471.4134336109</v>
      </c>
      <c r="AE187" s="896">
        <f>IF(AE$63&lt;'DATA MAP'!$E$263,0,INDEX($F$186:$DV$186,1,AE$63+1-'DATA MAP'!$E$263))</f>
        <v>1309213.4158869316</v>
      </c>
      <c r="AF187" s="896">
        <f>IF(AF$63&lt;'DATA MAP'!$E$263,0,INDEX($F$186:$DV$186,1,AF$63+1-'DATA MAP'!$E$263))</f>
        <v>1137376.185908559</v>
      </c>
      <c r="AG187" s="896">
        <f>IF(AG$63&lt;'DATA MAP'!$E$263,0,INDEX($F$186:$DV$186,1,AG$63+1-'DATA MAP'!$E$263))</f>
        <v>963818.14330811705</v>
      </c>
      <c r="AH187" s="896">
        <f>IF(AH$63&lt;'DATA MAP'!$E$263,0,INDEX($F$186:$DV$186,1,AH$63+1-'DATA MAP'!$E$263))</f>
        <v>797093.85193546931</v>
      </c>
      <c r="AI187" s="896">
        <f>IF(AI$63&lt;'DATA MAP'!$E$263,0,INDEX($F$186:$DV$186,1,AI$63+1-'DATA MAP'!$E$263))</f>
        <v>643846.78699563991</v>
      </c>
      <c r="AJ187" s="896">
        <f>IF(AJ$63&lt;'DATA MAP'!$E$263,0,INDEX($F$186:$DV$186,1,AJ$63+1-'DATA MAP'!$E$263))</f>
        <v>508526.83547257818</v>
      </c>
      <c r="AK187" s="896">
        <f>IF(AK$63&lt;'DATA MAP'!$E$263,0,INDEX($F$186:$DV$186,1,AK$63+1-'DATA MAP'!$E$263))</f>
        <v>393414.5038673146</v>
      </c>
      <c r="AL187" s="896">
        <f>IF(AL$63&lt;'DATA MAP'!$E$263,0,INDEX($F$186:$DV$186,1,AL$63+1-'DATA MAP'!$E$263))</f>
        <v>298887.90847128531</v>
      </c>
      <c r="AM187" s="896">
        <f>IF(AM$63&lt;'DATA MAP'!$E$263,0,INDEX($F$186:$DV$186,1,AM$63+1-'DATA MAP'!$E$263))</f>
        <v>223843.37260088339</v>
      </c>
      <c r="AN187" s="896">
        <f>IF(AN$63&lt;'DATA MAP'!$E$263,0,INDEX($F$186:$DV$186,1,AN$63+1-'DATA MAP'!$E$263))</f>
        <v>166176.6936243473</v>
      </c>
      <c r="AO187" s="896">
        <f>IF(AO$63&lt;'DATA MAP'!$E$263,0,INDEX($F$186:$DV$186,1,AO$63+1-'DATA MAP'!$E$263))</f>
        <v>123245.74720092489</v>
      </c>
      <c r="AP187" s="896">
        <f>IF(AP$63&lt;'DATA MAP'!$E$263,0,INDEX($F$186:$DV$186,1,AP$63+1-'DATA MAP'!$E$263))</f>
        <v>92259.100737107263</v>
      </c>
      <c r="AQ187" s="896">
        <f>IF(AQ$63&lt;'DATA MAP'!$E$263,0,INDEX($F$186:$DV$186,1,AQ$63+1-'DATA MAP'!$E$263))</f>
        <v>70562.268970066187</v>
      </c>
      <c r="AR187" s="896">
        <f>IF(AR$63&lt;'DATA MAP'!$E$263,0,INDEX($F$186:$DV$186,1,AR$63+1-'DATA MAP'!$E$263))</f>
        <v>55817.127282870271</v>
      </c>
      <c r="AS187" s="896">
        <f>IF(AS$63&lt;'DATA MAP'!$E$263,0,INDEX($F$186:$DV$186,1,AS$63+1-'DATA MAP'!$E$263))</f>
        <v>0</v>
      </c>
      <c r="AT187" s="896">
        <f>IF(AT$63&lt;'DATA MAP'!$E$263,0,INDEX($F$186:$DV$186,1,AT$63+1-'DATA MAP'!$E$263))</f>
        <v>0</v>
      </c>
      <c r="AU187" s="896">
        <f>IF(AU$63&lt;'DATA MAP'!$E$263,0,INDEX($F$186:$DV$186,1,AU$63+1-'DATA MAP'!$E$263))</f>
        <v>0</v>
      </c>
      <c r="AV187" s="896">
        <f>IF(AV$63&lt;'DATA MAP'!$E$263,0,INDEX($F$186:$DV$186,1,AV$63+1-'DATA MAP'!$E$263))</f>
        <v>0</v>
      </c>
      <c r="AW187" s="896">
        <f>IF(AW$63&lt;'DATA MAP'!$E$263,0,INDEX($F$186:$DV$186,1,AW$63+1-'DATA MAP'!$E$263))</f>
        <v>0</v>
      </c>
      <c r="AX187" s="896">
        <f>IF(AX$63&lt;'DATA MAP'!$E$263,0,INDEX($F$186:$DV$186,1,AX$63+1-'DATA MAP'!$E$263))</f>
        <v>0</v>
      </c>
      <c r="AY187" s="896">
        <f>IF(AY$63&lt;'DATA MAP'!$E$263,0,INDEX($F$186:$DV$186,1,AY$63+1-'DATA MAP'!$E$263))</f>
        <v>0</v>
      </c>
      <c r="AZ187" s="896">
        <f>IF(AZ$63&lt;'DATA MAP'!$E$263,0,INDEX($F$186:$DV$186,1,AZ$63+1-'DATA MAP'!$E$263))</f>
        <v>0</v>
      </c>
      <c r="BA187" s="896">
        <f>IF(BA$63&lt;'DATA MAP'!$E$263,0,INDEX($F$186:$DV$186,1,BA$63+1-'DATA MAP'!$E$263))</f>
        <v>0</v>
      </c>
      <c r="BB187" s="896">
        <f>IF(BB$63&lt;'DATA MAP'!$E$263,0,INDEX($F$186:$DV$186,1,BB$63+1-'DATA MAP'!$E$263))</f>
        <v>0</v>
      </c>
      <c r="BC187" s="896">
        <f>IF(BC$63&lt;'DATA MAP'!$E$263,0,INDEX($F$186:$DV$186,1,BC$63+1-'DATA MAP'!$E$263))</f>
        <v>0</v>
      </c>
      <c r="BD187" s="896">
        <f>IF(BD$63&lt;'DATA MAP'!$E$263,0,INDEX($F$186:$DV$186,1,BD$63+1-'DATA MAP'!$E$263))</f>
        <v>0</v>
      </c>
      <c r="BE187" s="896">
        <f>IF(BE$63&lt;'DATA MAP'!$E$263,0,INDEX($F$186:$DV$186,1,BE$63+1-'DATA MAP'!$E$263))</f>
        <v>0</v>
      </c>
      <c r="BF187" s="896">
        <f>IF(BF$63&lt;'DATA MAP'!$E$263,0,INDEX($F$186:$DV$186,1,BF$63+1-'DATA MAP'!$E$263))</f>
        <v>0</v>
      </c>
      <c r="BG187" s="896">
        <f>IF(BG$63&lt;'DATA MAP'!$E$263,0,INDEX($F$186:$DV$186,1,BG$63+1-'DATA MAP'!$E$263))</f>
        <v>0</v>
      </c>
      <c r="BH187" s="896">
        <f>IF(BH$63&lt;'DATA MAP'!$E$263,0,INDEX($F$186:$DV$186,1,BH$63+1-'DATA MAP'!$E$263))</f>
        <v>0</v>
      </c>
      <c r="BI187" s="896">
        <f>IF(BI$63&lt;'DATA MAP'!$E$263,0,INDEX($F$186:$DV$186,1,BI$63+1-'DATA MAP'!$E$263))</f>
        <v>0</v>
      </c>
      <c r="BJ187" s="896">
        <f>IF(BJ$63&lt;'DATA MAP'!$E$263,0,INDEX($F$186:$DV$186,1,BJ$63+1-'DATA MAP'!$E$263))</f>
        <v>0</v>
      </c>
      <c r="BK187" s="896">
        <f>IF(BK$63&lt;'DATA MAP'!$E$263,0,INDEX($F$186:$DV$186,1,BK$63+1-'DATA MAP'!$E$263))</f>
        <v>0</v>
      </c>
      <c r="BL187" s="896">
        <f>IF(BL$63&lt;'DATA MAP'!$E$263,0,INDEX($F$186:$DV$186,1,BL$63+1-'DATA MAP'!$E$263))</f>
        <v>0</v>
      </c>
      <c r="BM187" s="896">
        <f>IF(BM$63&lt;'DATA MAP'!$E$263,0,INDEX($F$186:$DV$186,1,BM$63+1-'DATA MAP'!$E$263))</f>
        <v>0</v>
      </c>
      <c r="BN187" s="896">
        <f>IF(BN$63&lt;'DATA MAP'!$E$263,0,INDEX($F$186:$DV$186,1,BN$63+1-'DATA MAP'!$E$263))</f>
        <v>0</v>
      </c>
      <c r="BO187" s="896">
        <f>IF(BO$63&lt;'DATA MAP'!$E$263,0,INDEX($F$186:$DV$186,1,BO$63+1-'DATA MAP'!$E$263))</f>
        <v>0</v>
      </c>
      <c r="BP187" s="896">
        <f>IF(BP$63&lt;'DATA MAP'!$E$263,0,INDEX($F$186:$DV$186,1,BP$63+1-'DATA MAP'!$E$263))</f>
        <v>0</v>
      </c>
      <c r="BQ187" s="896">
        <f>IF(BQ$63&lt;'DATA MAP'!$E$263,0,INDEX($F$186:$DV$186,1,BQ$63+1-'DATA MAP'!$E$263))</f>
        <v>0</v>
      </c>
      <c r="BR187" s="896">
        <f>IF(BR$63&lt;'DATA MAP'!$E$263,0,INDEX($F$186:$DV$186,1,BR$63+1-'DATA MAP'!$E$263))</f>
        <v>0</v>
      </c>
      <c r="BS187" s="896">
        <f>IF(BS$63&lt;'DATA MAP'!$E$263,0,INDEX($F$186:$DV$186,1,BS$63+1-'DATA MAP'!$E$263))</f>
        <v>0</v>
      </c>
      <c r="BT187" s="896">
        <f>IF(BT$63&lt;'DATA MAP'!$E$263,0,INDEX($F$186:$DV$186,1,BT$63+1-'DATA MAP'!$E$263))</f>
        <v>0</v>
      </c>
      <c r="BU187" s="896">
        <f>IF(BU$63&lt;'DATA MAP'!$E$263,0,INDEX($F$186:$DV$186,1,BU$63+1-'DATA MAP'!$E$263))</f>
        <v>0</v>
      </c>
      <c r="BV187" s="896">
        <f>IF(BV$63&lt;'DATA MAP'!$E$263,0,INDEX($F$186:$DV$186,1,BV$63+1-'DATA MAP'!$E$263))</f>
        <v>0</v>
      </c>
      <c r="BW187" s="896">
        <f>IF(BW$63&lt;'DATA MAP'!$E$263,0,INDEX($F$186:$DV$186,1,BW$63+1-'DATA MAP'!$E$263))</f>
        <v>0</v>
      </c>
      <c r="BX187" s="896">
        <f>IF(BX$63&lt;'DATA MAP'!$E$263,0,INDEX($F$186:$DV$186,1,BX$63+1-'DATA MAP'!$E$263))</f>
        <v>0</v>
      </c>
      <c r="BY187" s="896">
        <f>IF(BY$63&lt;'DATA MAP'!$E$263,0,INDEX($F$186:$DV$186,1,BY$63+1-'DATA MAP'!$E$263))</f>
        <v>0</v>
      </c>
      <c r="BZ187" s="896">
        <f>IF(BZ$63&lt;'DATA MAP'!$E$263,0,INDEX($F$186:$DV$186,1,BZ$63+1-'DATA MAP'!$E$263))</f>
        <v>0</v>
      </c>
      <c r="CA187" s="896">
        <f>IF(CA$63&lt;'DATA MAP'!$E$263,0,INDEX($F$186:$DV$186,1,CA$63+1-'DATA MAP'!$E$263))</f>
        <v>0</v>
      </c>
      <c r="CB187" s="896">
        <f>IF(CB$63&lt;'DATA MAP'!$E$263,0,INDEX($F$186:$DV$186,1,CB$63+1-'DATA MAP'!$E$263))</f>
        <v>0</v>
      </c>
      <c r="CC187" s="896">
        <f>IF(CC$63&lt;'DATA MAP'!$E$263,0,INDEX($F$186:$DV$186,1,CC$63+1-'DATA MAP'!$E$263))</f>
        <v>0</v>
      </c>
      <c r="CD187" s="896">
        <f>IF(CD$63&lt;'DATA MAP'!$E$263,0,INDEX($F$186:$DV$186,1,CD$63+1-'DATA MAP'!$E$263))</f>
        <v>0</v>
      </c>
      <c r="CE187" s="896">
        <f>IF(CE$63&lt;'DATA MAP'!$E$263,0,INDEX($F$186:$DV$186,1,CE$63+1-'DATA MAP'!$E$263))</f>
        <v>0</v>
      </c>
      <c r="CF187" s="896">
        <f>IF(CF$63&lt;'DATA MAP'!$E$263,0,INDEX($F$186:$DV$186,1,CF$63+1-'DATA MAP'!$E$263))</f>
        <v>0</v>
      </c>
      <c r="CG187" s="896">
        <f>IF(CG$63&lt;'DATA MAP'!$E$263,0,INDEX($F$186:$DV$186,1,CG$63+1-'DATA MAP'!$E$263))</f>
        <v>0</v>
      </c>
      <c r="CH187" s="896">
        <f>IF(CH$63&lt;'DATA MAP'!$E$263,0,INDEX($F$186:$DV$186,1,CH$63+1-'DATA MAP'!$E$263))</f>
        <v>0</v>
      </c>
      <c r="CI187" s="896">
        <f>IF(CI$63&lt;'DATA MAP'!$E$263,0,INDEX($F$186:$DV$186,1,CI$63+1-'DATA MAP'!$E$263))</f>
        <v>0</v>
      </c>
      <c r="CJ187" s="896">
        <f>IF(CJ$63&lt;'DATA MAP'!$E$263,0,INDEX($F$186:$DV$186,1,CJ$63+1-'DATA MAP'!$E$263))</f>
        <v>0</v>
      </c>
      <c r="CK187" s="896">
        <f>IF(CK$63&lt;'DATA MAP'!$E$263,0,INDEX($F$186:$DV$186,1,CK$63+1-'DATA MAP'!$E$263))</f>
        <v>0</v>
      </c>
      <c r="CL187" s="896">
        <f>IF(CL$63&lt;'DATA MAP'!$E$263,0,INDEX($F$186:$DV$186,1,CL$63+1-'DATA MAP'!$E$263))</f>
        <v>0</v>
      </c>
      <c r="CM187" s="896">
        <f>IF(CM$63&lt;'DATA MAP'!$E$263,0,INDEX($F$186:$DV$186,1,CM$63+1-'DATA MAP'!$E$263))</f>
        <v>0</v>
      </c>
      <c r="CN187" s="896">
        <f>IF(CN$63&lt;'DATA MAP'!$E$263,0,INDEX($F$186:$DV$186,1,CN$63+1-'DATA MAP'!$E$263))</f>
        <v>0</v>
      </c>
      <c r="CO187" s="896">
        <f>IF(CO$63&lt;'DATA MAP'!$E$263,0,INDEX($F$186:$DV$186,1,CO$63+1-'DATA MAP'!$E$263))</f>
        <v>0</v>
      </c>
      <c r="CP187" s="896">
        <f>IF(CP$63&lt;'DATA MAP'!$E$263,0,INDEX($F$186:$DV$186,1,CP$63+1-'DATA MAP'!$E$263))</f>
        <v>0</v>
      </c>
      <c r="CQ187" s="896">
        <f>IF(CQ$63&lt;'DATA MAP'!$E$263,0,INDEX($F$186:$DV$186,1,CQ$63+1-'DATA MAP'!$E$263))</f>
        <v>0</v>
      </c>
      <c r="CR187" s="896">
        <f>IF(CR$63&lt;'DATA MAP'!$E$263,0,INDEX($F$186:$DV$186,1,CR$63+1-'DATA MAP'!$E$263))</f>
        <v>0</v>
      </c>
      <c r="CS187" s="896">
        <f>IF(CS$63&lt;'DATA MAP'!$E$263,0,INDEX($F$186:$DV$186,1,CS$63+1-'DATA MAP'!$E$263))</f>
        <v>0</v>
      </c>
      <c r="CT187" s="896">
        <f>IF(CT$63&lt;'DATA MAP'!$E$263,0,INDEX($F$186:$DV$186,1,CT$63+1-'DATA MAP'!$E$263))</f>
        <v>0</v>
      </c>
      <c r="CU187" s="896">
        <f>IF(CU$63&lt;'DATA MAP'!$E$263,0,INDEX($F$186:$DV$186,1,CU$63+1-'DATA MAP'!$E$263))</f>
        <v>0</v>
      </c>
      <c r="CV187" s="896">
        <f>IF(CV$63&lt;'DATA MAP'!$E$263,0,INDEX($F$186:$DV$186,1,CV$63+1-'DATA MAP'!$E$263))</f>
        <v>0</v>
      </c>
      <c r="CW187" s="896">
        <f>IF(CW$63&lt;'DATA MAP'!$E$263,0,INDEX($F$186:$DV$186,1,CW$63+1-'DATA MAP'!$E$263))</f>
        <v>0</v>
      </c>
      <c r="CX187" s="896">
        <f>IF(CX$63&lt;'DATA MAP'!$E$263,0,INDEX($F$186:$DV$186,1,CX$63+1-'DATA MAP'!$E$263))</f>
        <v>0</v>
      </c>
      <c r="CY187" s="896">
        <f>IF(CY$63&lt;'DATA MAP'!$E$263,0,INDEX($F$186:$DV$186,1,CY$63+1-'DATA MAP'!$E$263))</f>
        <v>0</v>
      </c>
      <c r="CZ187" s="896">
        <f>IF(CZ$63&lt;'DATA MAP'!$E$263,0,INDEX($F$186:$DV$186,1,CZ$63+1-'DATA MAP'!$E$263))</f>
        <v>0</v>
      </c>
      <c r="DA187" s="896">
        <f>IF(DA$63&lt;'DATA MAP'!$E$263,0,INDEX($F$186:$DV$186,1,DA$63+1-'DATA MAP'!$E$263))</f>
        <v>0</v>
      </c>
      <c r="DB187" s="896">
        <f>IF(DB$63&lt;'DATA MAP'!$E$263,0,INDEX($F$186:$DV$186,1,DB$63+1-'DATA MAP'!$E$263))</f>
        <v>0</v>
      </c>
      <c r="DC187" s="896">
        <f>IF(DC$63&lt;'DATA MAP'!$E$263,0,INDEX($F$186:$DV$186,1,DC$63+1-'DATA MAP'!$E$263))</f>
        <v>0</v>
      </c>
      <c r="DD187" s="896">
        <f>IF(DD$63&lt;'DATA MAP'!$E$263,0,INDEX($F$186:$DV$186,1,DD$63+1-'DATA MAP'!$E$263))</f>
        <v>0</v>
      </c>
      <c r="DE187" s="896">
        <f>IF(DE$63&lt;'DATA MAP'!$E$263,0,INDEX($F$186:$DV$186,1,DE$63+1-'DATA MAP'!$E$263))</f>
        <v>0</v>
      </c>
      <c r="DF187" s="896">
        <f>IF(DF$63&lt;'DATA MAP'!$E$263,0,INDEX($F$186:$DV$186,1,DF$63+1-'DATA MAP'!$E$263))</f>
        <v>0</v>
      </c>
      <c r="DG187" s="896">
        <f>IF(DG$63&lt;'DATA MAP'!$E$263,0,INDEX($F$186:$DV$186,1,DG$63+1-'DATA MAP'!$E$263))</f>
        <v>0</v>
      </c>
      <c r="DH187" s="896">
        <f>IF(DH$63&lt;'DATA MAP'!$E$263,0,INDEX($F$186:$DV$186,1,DH$63+1-'DATA MAP'!$E$263))</f>
        <v>0</v>
      </c>
      <c r="DI187" s="896">
        <f>IF(DI$63&lt;'DATA MAP'!$E$263,0,INDEX($F$186:$DV$186,1,DI$63+1-'DATA MAP'!$E$263))</f>
        <v>0</v>
      </c>
      <c r="DJ187" s="896">
        <f>IF(DJ$63&lt;'DATA MAP'!$E$263,0,INDEX($F$186:$DV$186,1,DJ$63+1-'DATA MAP'!$E$263))</f>
        <v>0</v>
      </c>
      <c r="DK187" s="896">
        <f>IF(DK$63&lt;'DATA MAP'!$E$263,0,INDEX($F$186:$DV$186,1,DK$63+1-'DATA MAP'!$E$263))</f>
        <v>0</v>
      </c>
      <c r="DL187" s="896">
        <f>IF(DL$63&lt;'DATA MAP'!$E$263,0,INDEX($F$186:$DV$186,1,DL$63+1-'DATA MAP'!$E$263))</f>
        <v>0</v>
      </c>
      <c r="DM187" s="896">
        <f>IF(DM$63&lt;'DATA MAP'!$E$263,0,INDEX($F$186:$DV$186,1,DM$63+1-'DATA MAP'!$E$263))</f>
        <v>0</v>
      </c>
      <c r="DN187" s="896">
        <f>IF(DN$63&lt;'DATA MAP'!$E$263,0,INDEX($F$186:$DV$186,1,DN$63+1-'DATA MAP'!$E$263))</f>
        <v>0</v>
      </c>
      <c r="DO187" s="896">
        <f>IF(DO$63&lt;'DATA MAP'!$E$263,0,INDEX($F$186:$DV$186,1,DO$63+1-'DATA MAP'!$E$263))</f>
        <v>0</v>
      </c>
      <c r="DP187" s="896">
        <f>IF(DP$63&lt;'DATA MAP'!$E$263,0,INDEX($F$186:$DV$186,1,DP$63+1-'DATA MAP'!$E$263))</f>
        <v>0</v>
      </c>
      <c r="DQ187" s="896">
        <f>IF(DQ$63&lt;'DATA MAP'!$E$263,0,INDEX($F$186:$DV$186,1,DQ$63+1-'DATA MAP'!$E$263))</f>
        <v>0</v>
      </c>
      <c r="DR187" s="896">
        <f>IF(DR$63&lt;'DATA MAP'!$E$263,0,INDEX($F$186:$DV$186,1,DR$63+1-'DATA MAP'!$E$263))</f>
        <v>0</v>
      </c>
      <c r="DS187" s="896">
        <f>IF(DS$63&lt;'DATA MAP'!$E$263,0,INDEX($F$186:$DV$186,1,DS$63+1-'DATA MAP'!$E$263))</f>
        <v>0</v>
      </c>
      <c r="DT187" s="896">
        <f>IF(DT$63&lt;'DATA MAP'!$E$263,0,INDEX($F$186:$DV$186,1,DT$63+1-'DATA MAP'!$E$263))</f>
        <v>0</v>
      </c>
      <c r="DU187" s="896">
        <f>IF(DU$63&lt;'DATA MAP'!$E$263,0,INDEX($F$186:$DV$186,1,DU$63+1-'DATA MAP'!$E$263))</f>
        <v>0</v>
      </c>
      <c r="DV187" s="896">
        <f>IF(DV$63&lt;'DATA MAP'!$E$263,0,INDEX($F$186:$DV$186,1,DV$63+1-'DATA MAP'!$E$263))</f>
        <v>0</v>
      </c>
    </row>
    <row r="188" spans="1:126" ht="15" customHeight="1" x14ac:dyDescent="0.35">
      <c r="A188" s="306" t="s">
        <v>1684</v>
      </c>
      <c r="B188" s="313" t="s">
        <v>1370</v>
      </c>
      <c r="C188" s="313" t="s">
        <v>1685</v>
      </c>
      <c r="D188" s="313"/>
      <c r="E188" s="313"/>
      <c r="F188" s="575">
        <f t="shared" ref="F188:AK188" si="290">F$186-F$187</f>
        <v>7441417.12728287</v>
      </c>
      <c r="G188" s="576">
        <f t="shared" si="290"/>
        <v>70562.268970067453</v>
      </c>
      <c r="H188" s="576">
        <f t="shared" si="290"/>
        <v>-7349158.0265457649</v>
      </c>
      <c r="I188" s="576">
        <f t="shared" si="290"/>
        <v>52683.478230858964</v>
      </c>
      <c r="J188" s="577">
        <f t="shared" si="290"/>
        <v>73917.592887241364</v>
      </c>
      <c r="K188" s="575">
        <f t="shared" si="290"/>
        <v>100597.6253999582</v>
      </c>
      <c r="L188" s="575">
        <f t="shared" si="290"/>
        <v>132711.21484693731</v>
      </c>
      <c r="M188" s="575">
        <f t="shared" si="290"/>
        <v>169571.13126642987</v>
      </c>
      <c r="N188" s="575">
        <f t="shared" si="290"/>
        <v>209638.92700129544</v>
      </c>
      <c r="O188" s="575">
        <f t="shared" si="290"/>
        <v>250432.28312832344</v>
      </c>
      <c r="P188" s="576">
        <f t="shared" si="290"/>
        <v>288567.01646288973</v>
      </c>
      <c r="Q188" s="576">
        <f t="shared" si="290"/>
        <v>319971.35631248157</v>
      </c>
      <c r="R188" s="576">
        <f t="shared" si="290"/>
        <v>340282.3339730876</v>
      </c>
      <c r="S188" s="576">
        <f t="shared" si="290"/>
        <v>345395.27257881209</v>
      </c>
      <c r="T188" s="576">
        <f t="shared" si="290"/>
        <v>332095.22752505611</v>
      </c>
      <c r="U188" s="576">
        <f t="shared" si="290"/>
        <v>298664.76362304646</v>
      </c>
      <c r="V188" s="576">
        <f t="shared" si="290"/>
        <v>245346.92688102531</v>
      </c>
      <c r="W188" s="576">
        <f t="shared" si="290"/>
        <v>174553.61273367936</v>
      </c>
      <c r="X188" s="576">
        <f t="shared" si="290"/>
        <v>90749.137075921521</v>
      </c>
      <c r="Y188" s="576">
        <f t="shared" si="290"/>
        <v>0</v>
      </c>
      <c r="Z188" s="576">
        <f t="shared" si="290"/>
        <v>-90749.137075924547</v>
      </c>
      <c r="AA188" s="576">
        <f t="shared" si="290"/>
        <v>-174553.61273367773</v>
      </c>
      <c r="AB188" s="576">
        <f t="shared" si="290"/>
        <v>-245346.92688102438</v>
      </c>
      <c r="AC188" s="576">
        <f t="shared" si="290"/>
        <v>-298664.76362304948</v>
      </c>
      <c r="AD188" s="576">
        <f t="shared" si="290"/>
        <v>-332095.22752505192</v>
      </c>
      <c r="AE188" s="576">
        <f t="shared" si="290"/>
        <v>-345395.27257881453</v>
      </c>
      <c r="AF188" s="576">
        <f t="shared" si="290"/>
        <v>-340282.3339730897</v>
      </c>
      <c r="AG188" s="576">
        <f t="shared" si="290"/>
        <v>-319971.35631247715</v>
      </c>
      <c r="AH188" s="576">
        <f t="shared" si="290"/>
        <v>-288567.01646289113</v>
      </c>
      <c r="AI188" s="576">
        <f t="shared" si="290"/>
        <v>-250432.2831283253</v>
      </c>
      <c r="AJ188" s="576">
        <f t="shared" si="290"/>
        <v>-209638.92700129288</v>
      </c>
      <c r="AK188" s="576">
        <f t="shared" si="290"/>
        <v>-169571.13126643121</v>
      </c>
      <c r="AL188" s="576">
        <f t="shared" ref="AL188:BQ188" si="291">AL$186-AL$187</f>
        <v>-132711.214846938</v>
      </c>
      <c r="AM188" s="576">
        <f t="shared" si="291"/>
        <v>-100597.6253999585</v>
      </c>
      <c r="AN188" s="576">
        <f t="shared" si="291"/>
        <v>-73917.59288724004</v>
      </c>
      <c r="AO188" s="576">
        <f t="shared" si="291"/>
        <v>-52683.478230858702</v>
      </c>
      <c r="AP188" s="576">
        <f t="shared" si="291"/>
        <v>-36441.973454236992</v>
      </c>
      <c r="AQ188" s="576">
        <f t="shared" si="291"/>
        <v>-70562.268970066187</v>
      </c>
      <c r="AR188" s="576">
        <f t="shared" si="291"/>
        <v>-55817.127282870271</v>
      </c>
      <c r="AS188" s="576">
        <f t="shared" si="291"/>
        <v>0</v>
      </c>
      <c r="AT188" s="576">
        <f t="shared" si="291"/>
        <v>0</v>
      </c>
      <c r="AU188" s="576">
        <f t="shared" si="291"/>
        <v>0</v>
      </c>
      <c r="AV188" s="576">
        <f t="shared" si="291"/>
        <v>0</v>
      </c>
      <c r="AW188" s="576">
        <f t="shared" si="291"/>
        <v>0</v>
      </c>
      <c r="AX188" s="576">
        <f t="shared" si="291"/>
        <v>0</v>
      </c>
      <c r="AY188" s="576">
        <f t="shared" si="291"/>
        <v>0</v>
      </c>
      <c r="AZ188" s="576">
        <f t="shared" si="291"/>
        <v>0</v>
      </c>
      <c r="BA188" s="576">
        <f t="shared" si="291"/>
        <v>0</v>
      </c>
      <c r="BB188" s="576">
        <f t="shared" si="291"/>
        <v>0</v>
      </c>
      <c r="BC188" s="576">
        <f t="shared" si="291"/>
        <v>0</v>
      </c>
      <c r="BD188" s="576">
        <f t="shared" si="291"/>
        <v>0</v>
      </c>
      <c r="BE188" s="576">
        <f t="shared" si="291"/>
        <v>0</v>
      </c>
      <c r="BF188" s="576">
        <f t="shared" si="291"/>
        <v>0</v>
      </c>
      <c r="BG188" s="576">
        <f t="shared" si="291"/>
        <v>0</v>
      </c>
      <c r="BH188" s="576">
        <f t="shared" si="291"/>
        <v>0</v>
      </c>
      <c r="BI188" s="576">
        <f t="shared" si="291"/>
        <v>0</v>
      </c>
      <c r="BJ188" s="576">
        <f t="shared" si="291"/>
        <v>0</v>
      </c>
      <c r="BK188" s="576">
        <f t="shared" si="291"/>
        <v>0</v>
      </c>
      <c r="BL188" s="576">
        <f t="shared" si="291"/>
        <v>0</v>
      </c>
      <c r="BM188" s="576">
        <f t="shared" si="291"/>
        <v>0</v>
      </c>
      <c r="BN188" s="576">
        <f t="shared" si="291"/>
        <v>0</v>
      </c>
      <c r="BO188" s="576">
        <f t="shared" si="291"/>
        <v>0</v>
      </c>
      <c r="BP188" s="576">
        <f t="shared" si="291"/>
        <v>0</v>
      </c>
      <c r="BQ188" s="576">
        <f t="shared" si="291"/>
        <v>0</v>
      </c>
      <c r="BR188" s="576">
        <f t="shared" ref="BR188:CW188" si="292">BR$186-BR$187</f>
        <v>0</v>
      </c>
      <c r="BS188" s="576">
        <f t="shared" si="292"/>
        <v>0</v>
      </c>
      <c r="BT188" s="576">
        <f t="shared" si="292"/>
        <v>0</v>
      </c>
      <c r="BU188" s="576">
        <f t="shared" si="292"/>
        <v>0</v>
      </c>
      <c r="BV188" s="576">
        <f t="shared" si="292"/>
        <v>0</v>
      </c>
      <c r="BW188" s="576">
        <f t="shared" si="292"/>
        <v>0</v>
      </c>
      <c r="BX188" s="576">
        <f t="shared" si="292"/>
        <v>0</v>
      </c>
      <c r="BY188" s="576">
        <f t="shared" si="292"/>
        <v>0</v>
      </c>
      <c r="BZ188" s="576">
        <f t="shared" si="292"/>
        <v>0</v>
      </c>
      <c r="CA188" s="576">
        <f t="shared" si="292"/>
        <v>0</v>
      </c>
      <c r="CB188" s="576">
        <f t="shared" si="292"/>
        <v>0</v>
      </c>
      <c r="CC188" s="576">
        <f t="shared" si="292"/>
        <v>0</v>
      </c>
      <c r="CD188" s="576">
        <f t="shared" si="292"/>
        <v>0</v>
      </c>
      <c r="CE188" s="576">
        <f t="shared" si="292"/>
        <v>0</v>
      </c>
      <c r="CF188" s="576">
        <f t="shared" si="292"/>
        <v>0</v>
      </c>
      <c r="CG188" s="576">
        <f t="shared" si="292"/>
        <v>0</v>
      </c>
      <c r="CH188" s="576">
        <f t="shared" si="292"/>
        <v>0</v>
      </c>
      <c r="CI188" s="576">
        <f t="shared" si="292"/>
        <v>0</v>
      </c>
      <c r="CJ188" s="576">
        <f t="shared" si="292"/>
        <v>0</v>
      </c>
      <c r="CK188" s="576">
        <f t="shared" si="292"/>
        <v>0</v>
      </c>
      <c r="CL188" s="576">
        <f t="shared" si="292"/>
        <v>0</v>
      </c>
      <c r="CM188" s="576">
        <f t="shared" si="292"/>
        <v>0</v>
      </c>
      <c r="CN188" s="576">
        <f t="shared" si="292"/>
        <v>0</v>
      </c>
      <c r="CO188" s="576">
        <f t="shared" si="292"/>
        <v>0</v>
      </c>
      <c r="CP188" s="576">
        <f t="shared" si="292"/>
        <v>0</v>
      </c>
      <c r="CQ188" s="576">
        <f t="shared" si="292"/>
        <v>0</v>
      </c>
      <c r="CR188" s="576">
        <f t="shared" si="292"/>
        <v>0</v>
      </c>
      <c r="CS188" s="576">
        <f t="shared" si="292"/>
        <v>0</v>
      </c>
      <c r="CT188" s="576">
        <f t="shared" si="292"/>
        <v>0</v>
      </c>
      <c r="CU188" s="576">
        <f t="shared" si="292"/>
        <v>0</v>
      </c>
      <c r="CV188" s="576">
        <f t="shared" si="292"/>
        <v>0</v>
      </c>
      <c r="CW188" s="576">
        <f t="shared" si="292"/>
        <v>0</v>
      </c>
      <c r="CX188" s="576">
        <f t="shared" ref="CX188:DV188" si="293">CX$186-CX$187</f>
        <v>0</v>
      </c>
      <c r="CY188" s="576">
        <f t="shared" si="293"/>
        <v>0</v>
      </c>
      <c r="CZ188" s="576">
        <f t="shared" si="293"/>
        <v>0</v>
      </c>
      <c r="DA188" s="576">
        <f t="shared" si="293"/>
        <v>0</v>
      </c>
      <c r="DB188" s="576">
        <f t="shared" si="293"/>
        <v>0</v>
      </c>
      <c r="DC188" s="576">
        <f t="shared" si="293"/>
        <v>0</v>
      </c>
      <c r="DD188" s="576">
        <f t="shared" si="293"/>
        <v>0</v>
      </c>
      <c r="DE188" s="576">
        <f t="shared" si="293"/>
        <v>0</v>
      </c>
      <c r="DF188" s="576">
        <f t="shared" si="293"/>
        <v>0</v>
      </c>
      <c r="DG188" s="576">
        <f t="shared" si="293"/>
        <v>0</v>
      </c>
      <c r="DH188" s="576">
        <f t="shared" si="293"/>
        <v>0</v>
      </c>
      <c r="DI188" s="576">
        <f t="shared" si="293"/>
        <v>0</v>
      </c>
      <c r="DJ188" s="576">
        <f t="shared" si="293"/>
        <v>0</v>
      </c>
      <c r="DK188" s="576">
        <f t="shared" si="293"/>
        <v>0</v>
      </c>
      <c r="DL188" s="576">
        <f t="shared" si="293"/>
        <v>0</v>
      </c>
      <c r="DM188" s="576">
        <f t="shared" si="293"/>
        <v>0</v>
      </c>
      <c r="DN188" s="576">
        <f t="shared" si="293"/>
        <v>0</v>
      </c>
      <c r="DO188" s="576">
        <f t="shared" si="293"/>
        <v>0</v>
      </c>
      <c r="DP188" s="576">
        <f t="shared" si="293"/>
        <v>0</v>
      </c>
      <c r="DQ188" s="576">
        <f t="shared" si="293"/>
        <v>0</v>
      </c>
      <c r="DR188" s="576">
        <f t="shared" si="293"/>
        <v>0</v>
      </c>
      <c r="DS188" s="576">
        <f t="shared" si="293"/>
        <v>0</v>
      </c>
      <c r="DT188" s="576">
        <f t="shared" si="293"/>
        <v>0</v>
      </c>
      <c r="DU188" s="576">
        <f t="shared" si="293"/>
        <v>0</v>
      </c>
      <c r="DV188" s="576">
        <f t="shared" si="293"/>
        <v>0</v>
      </c>
    </row>
    <row r="189" spans="1:126" ht="15" customHeight="1" x14ac:dyDescent="0.35">
      <c r="A189" s="306" t="s">
        <v>1686</v>
      </c>
      <c r="B189" s="313" t="s">
        <v>1370</v>
      </c>
      <c r="C189" s="313" t="s">
        <v>1687</v>
      </c>
      <c r="D189" s="313"/>
      <c r="E189" s="313">
        <v>0</v>
      </c>
      <c r="F189" s="575">
        <f>0</f>
        <v>0</v>
      </c>
      <c r="G189" s="576">
        <f t="shared" ref="G189:AL189" si="294">F$192</f>
        <v>933333.33333333337</v>
      </c>
      <c r="H189" s="576">
        <f t="shared" si="294"/>
        <v>1961644.5282166433</v>
      </c>
      <c r="I189" s="576">
        <f t="shared" si="294"/>
        <v>2996292.7189951865</v>
      </c>
      <c r="J189" s="577">
        <f t="shared" si="294"/>
        <v>3996287.8599241041</v>
      </c>
      <c r="K189" s="575">
        <f t="shared" si="294"/>
        <v>5009208.5898338789</v>
      </c>
      <c r="L189" s="575">
        <f t="shared" si="294"/>
        <v>6033476.2783928886</v>
      </c>
      <c r="M189" s="575">
        <f t="shared" si="294"/>
        <v>7079957.135285899</v>
      </c>
      <c r="N189" s="575">
        <f t="shared" si="294"/>
        <v>8151783.8147243103</v>
      </c>
      <c r="O189" s="575">
        <f t="shared" si="294"/>
        <v>9239952.3555087801</v>
      </c>
      <c r="P189" s="576">
        <f t="shared" si="294"/>
        <v>10386595.917039238</v>
      </c>
      <c r="Q189" s="576">
        <f t="shared" si="294"/>
        <v>11576107.706412302</v>
      </c>
      <c r="R189" s="576">
        <f t="shared" si="294"/>
        <v>12836596.004641496</v>
      </c>
      <c r="S189" s="576">
        <f t="shared" si="294"/>
        <v>14158454.350427832</v>
      </c>
      <c r="T189" s="576">
        <f t="shared" si="294"/>
        <v>15573283.37475712</v>
      </c>
      <c r="U189" s="576">
        <f t="shared" si="294"/>
        <v>17053758.832879741</v>
      </c>
      <c r="V189" s="576">
        <f t="shared" si="294"/>
        <v>18568803.98224055</v>
      </c>
      <c r="W189" s="576">
        <f t="shared" si="294"/>
        <v>20161312.540639799</v>
      </c>
      <c r="X189" s="576">
        <f t="shared" si="294"/>
        <v>21791505.517740723</v>
      </c>
      <c r="Y189" s="576">
        <f t="shared" si="294"/>
        <v>23507192.435007036</v>
      </c>
      <c r="Z189" s="576">
        <f t="shared" si="294"/>
        <v>25284903.72974946</v>
      </c>
      <c r="AA189" s="576">
        <f t="shared" si="294"/>
        <v>27064580.092905182</v>
      </c>
      <c r="AB189" s="576">
        <f t="shared" si="294"/>
        <v>28959696.652910948</v>
      </c>
      <c r="AC189" s="576">
        <f t="shared" si="294"/>
        <v>30158274.403389223</v>
      </c>
      <c r="AD189" s="576">
        <f t="shared" si="294"/>
        <v>31437324.185713157</v>
      </c>
      <c r="AE189" s="576">
        <f t="shared" si="294"/>
        <v>32722807.436718822</v>
      </c>
      <c r="AF189" s="576">
        <f t="shared" si="294"/>
        <v>33863408.163410865</v>
      </c>
      <c r="AG189" s="576">
        <f t="shared" si="294"/>
        <v>35034350.925512932</v>
      </c>
      <c r="AH189" s="576">
        <f t="shared" si="294"/>
        <v>36191591.798350766</v>
      </c>
      <c r="AI189" s="576">
        <f t="shared" si="294"/>
        <v>37233177.182376266</v>
      </c>
      <c r="AJ189" s="576">
        <f t="shared" si="294"/>
        <v>38250686.742610693</v>
      </c>
      <c r="AK189" s="576">
        <f t="shared" si="294"/>
        <v>39317499.335421905</v>
      </c>
      <c r="AL189" s="576">
        <f t="shared" si="294"/>
        <v>40228779.351260483</v>
      </c>
      <c r="AM189" s="576">
        <f t="shared" ref="AM189:BR189" si="295">AL$192</f>
        <v>41019793.454167061</v>
      </c>
      <c r="AN189" s="576">
        <f t="shared" si="295"/>
        <v>41930500.131432176</v>
      </c>
      <c r="AO189" s="576">
        <f t="shared" si="295"/>
        <v>42768484.934902616</v>
      </c>
      <c r="AP189" s="576">
        <f t="shared" si="295"/>
        <v>43646162.448353499</v>
      </c>
      <c r="AQ189" s="576">
        <f t="shared" si="295"/>
        <v>44483510.28418418</v>
      </c>
      <c r="AR189" s="576">
        <f t="shared" si="295"/>
        <v>45328803.340951391</v>
      </c>
      <c r="AS189" s="576">
        <f t="shared" si="295"/>
        <v>45965768.209538929</v>
      </c>
      <c r="AT189" s="576">
        <f t="shared" si="295"/>
        <v>46353617.197309785</v>
      </c>
      <c r="AU189" s="576">
        <f t="shared" si="295"/>
        <v>46564491.29352735</v>
      </c>
      <c r="AV189" s="576">
        <f t="shared" si="295"/>
        <v>46527272.700393036</v>
      </c>
      <c r="AW189" s="576">
        <f t="shared" si="295"/>
        <v>46321836.80011899</v>
      </c>
      <c r="AX189" s="576">
        <f t="shared" si="295"/>
        <v>45902704.234932475</v>
      </c>
      <c r="AY189" s="576">
        <f t="shared" si="295"/>
        <v>45155603.598181933</v>
      </c>
      <c r="AZ189" s="576">
        <f t="shared" si="295"/>
        <v>44320161.036503807</v>
      </c>
      <c r="BA189" s="576">
        <f t="shared" si="295"/>
        <v>43210402.035473801</v>
      </c>
      <c r="BB189" s="576">
        <f t="shared" si="295"/>
        <v>41932425.727304071</v>
      </c>
      <c r="BC189" s="576">
        <f t="shared" si="295"/>
        <v>40406356.729782462</v>
      </c>
      <c r="BD189" s="576">
        <f t="shared" si="295"/>
        <v>38028332.134791337</v>
      </c>
      <c r="BE189" s="576">
        <f t="shared" si="295"/>
        <v>36275532.094065808</v>
      </c>
      <c r="BF189" s="576">
        <f t="shared" si="295"/>
        <v>34475219.697543122</v>
      </c>
      <c r="BG189" s="576">
        <f t="shared" si="295"/>
        <v>32701150.394119799</v>
      </c>
      <c r="BH189" s="576">
        <f t="shared" si="295"/>
        <v>30879998.547610614</v>
      </c>
      <c r="BI189" s="576">
        <f t="shared" si="295"/>
        <v>29090857.117026508</v>
      </c>
      <c r="BJ189" s="576">
        <f t="shared" si="295"/>
        <v>27288465.28521049</v>
      </c>
      <c r="BK189" s="576">
        <f t="shared" si="295"/>
        <v>25361878.68479364</v>
      </c>
      <c r="BL189" s="576">
        <f t="shared" si="295"/>
        <v>23544045.139106344</v>
      </c>
      <c r="BM189" s="576">
        <f t="shared" si="295"/>
        <v>21653093.249395408</v>
      </c>
      <c r="BN189" s="576">
        <f t="shared" si="295"/>
        <v>19792746.327503361</v>
      </c>
      <c r="BO189" s="576">
        <f t="shared" si="295"/>
        <v>17886804.944062836</v>
      </c>
      <c r="BP189" s="576">
        <f t="shared" si="295"/>
        <v>15938164.254857987</v>
      </c>
      <c r="BQ189" s="576">
        <f t="shared" si="295"/>
        <v>12828374.832782656</v>
      </c>
      <c r="BR189" s="576">
        <f t="shared" si="295"/>
        <v>9713194.0214611813</v>
      </c>
      <c r="BS189" s="576">
        <f t="shared" ref="BS189:CX189" si="296">BR$192</f>
        <v>6591483.2010772061</v>
      </c>
      <c r="BT189" s="576">
        <f t="shared" si="296"/>
        <v>3469772.3806932308</v>
      </c>
      <c r="BU189" s="576">
        <f t="shared" si="296"/>
        <v>348061.5603092555</v>
      </c>
      <c r="BV189" s="576">
        <f t="shared" si="296"/>
        <v>0</v>
      </c>
      <c r="BW189" s="576">
        <f t="shared" si="296"/>
        <v>0</v>
      </c>
      <c r="BX189" s="576">
        <f t="shared" si="296"/>
        <v>0</v>
      </c>
      <c r="BY189" s="576">
        <f t="shared" si="296"/>
        <v>0</v>
      </c>
      <c r="BZ189" s="576">
        <f t="shared" si="296"/>
        <v>0</v>
      </c>
      <c r="CA189" s="576">
        <f t="shared" si="296"/>
        <v>0</v>
      </c>
      <c r="CB189" s="576">
        <f t="shared" si="296"/>
        <v>0</v>
      </c>
      <c r="CC189" s="576">
        <f t="shared" si="296"/>
        <v>0</v>
      </c>
      <c r="CD189" s="576">
        <f t="shared" si="296"/>
        <v>0</v>
      </c>
      <c r="CE189" s="576">
        <f t="shared" si="296"/>
        <v>0</v>
      </c>
      <c r="CF189" s="576">
        <f t="shared" si="296"/>
        <v>0</v>
      </c>
      <c r="CG189" s="576">
        <f t="shared" si="296"/>
        <v>0</v>
      </c>
      <c r="CH189" s="576">
        <f t="shared" si="296"/>
        <v>0</v>
      </c>
      <c r="CI189" s="576">
        <f t="shared" si="296"/>
        <v>0</v>
      </c>
      <c r="CJ189" s="576">
        <f t="shared" si="296"/>
        <v>0</v>
      </c>
      <c r="CK189" s="576">
        <f t="shared" si="296"/>
        <v>0</v>
      </c>
      <c r="CL189" s="576">
        <f t="shared" si="296"/>
        <v>0</v>
      </c>
      <c r="CM189" s="576">
        <f t="shared" si="296"/>
        <v>0</v>
      </c>
      <c r="CN189" s="576">
        <f t="shared" si="296"/>
        <v>0</v>
      </c>
      <c r="CO189" s="576">
        <f t="shared" si="296"/>
        <v>0</v>
      </c>
      <c r="CP189" s="576">
        <f t="shared" si="296"/>
        <v>0</v>
      </c>
      <c r="CQ189" s="576">
        <f t="shared" si="296"/>
        <v>0</v>
      </c>
      <c r="CR189" s="576">
        <f t="shared" si="296"/>
        <v>0</v>
      </c>
      <c r="CS189" s="576">
        <f t="shared" si="296"/>
        <v>0</v>
      </c>
      <c r="CT189" s="576">
        <f t="shared" si="296"/>
        <v>0</v>
      </c>
      <c r="CU189" s="576">
        <f t="shared" si="296"/>
        <v>0</v>
      </c>
      <c r="CV189" s="576">
        <f t="shared" si="296"/>
        <v>0</v>
      </c>
      <c r="CW189" s="576">
        <f t="shared" si="296"/>
        <v>0</v>
      </c>
      <c r="CX189" s="576">
        <f t="shared" si="296"/>
        <v>0</v>
      </c>
      <c r="CY189" s="576">
        <f t="shared" ref="CY189:DV189" si="297">CX$192</f>
        <v>0</v>
      </c>
      <c r="CZ189" s="576">
        <f t="shared" si="297"/>
        <v>0</v>
      </c>
      <c r="DA189" s="576">
        <f t="shared" si="297"/>
        <v>0</v>
      </c>
      <c r="DB189" s="576">
        <f t="shared" si="297"/>
        <v>0</v>
      </c>
      <c r="DC189" s="576">
        <f t="shared" si="297"/>
        <v>0</v>
      </c>
      <c r="DD189" s="576">
        <f t="shared" si="297"/>
        <v>0</v>
      </c>
      <c r="DE189" s="576">
        <f t="shared" si="297"/>
        <v>0</v>
      </c>
      <c r="DF189" s="576">
        <f t="shared" si="297"/>
        <v>0</v>
      </c>
      <c r="DG189" s="576">
        <f t="shared" si="297"/>
        <v>0</v>
      </c>
      <c r="DH189" s="576">
        <f t="shared" si="297"/>
        <v>0</v>
      </c>
      <c r="DI189" s="576">
        <f t="shared" si="297"/>
        <v>0</v>
      </c>
      <c r="DJ189" s="576">
        <f t="shared" si="297"/>
        <v>0</v>
      </c>
      <c r="DK189" s="576">
        <f t="shared" si="297"/>
        <v>0</v>
      </c>
      <c r="DL189" s="576">
        <f t="shared" si="297"/>
        <v>0</v>
      </c>
      <c r="DM189" s="576">
        <f t="shared" si="297"/>
        <v>0</v>
      </c>
      <c r="DN189" s="576">
        <f t="shared" si="297"/>
        <v>0</v>
      </c>
      <c r="DO189" s="576">
        <f t="shared" si="297"/>
        <v>0</v>
      </c>
      <c r="DP189" s="576">
        <f t="shared" si="297"/>
        <v>0</v>
      </c>
      <c r="DQ189" s="576">
        <f t="shared" si="297"/>
        <v>0</v>
      </c>
      <c r="DR189" s="576">
        <f t="shared" si="297"/>
        <v>0</v>
      </c>
      <c r="DS189" s="576">
        <f t="shared" si="297"/>
        <v>0</v>
      </c>
      <c r="DT189" s="576">
        <f t="shared" si="297"/>
        <v>0</v>
      </c>
      <c r="DU189" s="576">
        <f t="shared" si="297"/>
        <v>0</v>
      </c>
      <c r="DV189" s="576">
        <f t="shared" si="297"/>
        <v>0</v>
      </c>
    </row>
    <row r="190" spans="1:126" ht="15" customHeight="1" x14ac:dyDescent="0.35">
      <c r="A190" s="306" t="s">
        <v>1688</v>
      </c>
      <c r="B190" s="313" t="s">
        <v>1370</v>
      </c>
      <c r="C190" s="313" t="s">
        <v>1689</v>
      </c>
      <c r="D190" s="313"/>
      <c r="E190" s="313">
        <v>0</v>
      </c>
      <c r="F190" s="895">
        <f>F$139-F$140-F$142-F$84-F$108-F$123-IF(F$64&gt;=Underwriting!$D$89,'URWLD COMPANY INPUTS'!$F$778*1000000/12,0)</f>
        <v>-933333.33333333337</v>
      </c>
      <c r="G190" s="896">
        <f>G$139-G$140-G$142-G$84-G$108-G$123-IF(G$64&gt;=Underwriting!$D$89,'URWLD COMPANY INPUTS'!$F$778*1000000/12,0)</f>
        <v>-1028311.1948833099</v>
      </c>
      <c r="H190" s="896">
        <f>H$139-H$140-H$142-H$84-H$108-H$123-IF(H$64&gt;=Underwriting!$D$89,'URWLD COMPANY INPUTS'!$F$778*1000000/12,0)</f>
        <v>-1034648.1907785435</v>
      </c>
      <c r="I190" s="896">
        <f>I$139-I$140-I$142-I$84-I$108-I$123-IF(I$64&gt;=Underwriting!$D$89,'URWLD COMPANY INPUTS'!$F$778*1000000/12,0)</f>
        <v>-999995.1409289178</v>
      </c>
      <c r="J190" s="897">
        <f>J$139-J$140-J$142-J$84-J$108-J$123-IF(J$64&gt;=Underwriting!$D$89,'URWLD COMPANY INPUTS'!$F$778*1000000/12,0)</f>
        <v>-1012920.7299097748</v>
      </c>
      <c r="K190" s="895">
        <f>K$139-K$140-K$142-K$84-K$108-K$123-IF(K$64&gt;=Underwriting!$D$89,'URWLD COMPANY INPUTS'!$F$778*1000000/12,0)</f>
        <v>-1024267.6885590099</v>
      </c>
      <c r="L190" s="895">
        <f>L$139-L$140-L$142-L$84-L$108-L$123-IF(L$64&gt;=Underwriting!$D$89,'URWLD COMPANY INPUTS'!$F$778*1000000/12,0)</f>
        <v>-1046480.8568930104</v>
      </c>
      <c r="M190" s="895">
        <f>M$139-M$140-M$142-M$84-M$108-M$123-IF(M$64&gt;=Underwriting!$D$89,'URWLD COMPANY INPUTS'!$F$778*1000000/12,0)</f>
        <v>-1071826.679438411</v>
      </c>
      <c r="N190" s="895">
        <f>N$139-N$140-N$142-N$84-N$108-N$123-IF(N$64&gt;=Underwriting!$D$89,'URWLD COMPANY INPUTS'!$F$778*1000000/12,0)</f>
        <v>-1088168.5407844693</v>
      </c>
      <c r="O190" s="895">
        <f>O$139-O$140-O$142-O$84-O$108-O$123-IF(O$64&gt;=Underwriting!$D$89,'URWLD COMPANY INPUTS'!$F$778*1000000/12,0)</f>
        <v>-1146643.5615304576</v>
      </c>
      <c r="P190" s="896">
        <f>P$139-P$140-P$142-P$84-P$108-P$123-IF(P$64&gt;=Underwriting!$D$89,'URWLD COMPANY INPUTS'!$F$778*1000000/12,0)</f>
        <v>-1189511.7893730651</v>
      </c>
      <c r="Q190" s="896">
        <f>Q$139-Q$140-Q$142-Q$84-Q$108-Q$123-IF(Q$64&gt;=Underwriting!$D$89,'URWLD COMPANY INPUTS'!$F$778*1000000/12,0)</f>
        <v>-1260488.2982291935</v>
      </c>
      <c r="R190" s="896">
        <f>R$139-R$140-R$142-R$84-R$108-R$123-IF(R$64&gt;=Underwriting!$D$89,'URWLD COMPANY INPUTS'!$F$778*1000000/12,0)</f>
        <v>-1321858.3457863361</v>
      </c>
      <c r="S190" s="896">
        <f>S$139-S$140-S$142-S$84-S$108-S$123-IF(S$64&gt;=Underwriting!$D$89,'URWLD COMPANY INPUTS'!$F$778*1000000/12,0)</f>
        <v>-1414829.0243292882</v>
      </c>
      <c r="T190" s="896">
        <f>T$139-T$140-T$142-T$84-T$108-T$123-IF(T$64&gt;=Underwriting!$D$89,'URWLD COMPANY INPUTS'!$F$778*1000000/12,0)</f>
        <v>-1480475.4581226199</v>
      </c>
      <c r="U190" s="896">
        <f>U$139-U$140-U$142-U$84-U$108-U$123-IF(U$64&gt;=Underwriting!$D$89,'URWLD COMPANY INPUTS'!$F$778*1000000/12,0)</f>
        <v>-1515045.1493608113</v>
      </c>
      <c r="V190" s="896">
        <f>V$139-V$140-V$142-V$84-V$108-V$123-IF(V$64&gt;=Underwriting!$D$89,'URWLD COMPANY INPUTS'!$F$778*1000000/12,0)</f>
        <v>-1592508.5583992489</v>
      </c>
      <c r="W190" s="896">
        <f>W$139-W$140-W$142-W$84-W$108-W$123-IF(W$64&gt;=Underwriting!$D$89,'URWLD COMPANY INPUTS'!$F$778*1000000/12,0)</f>
        <v>-1630192.9771009246</v>
      </c>
      <c r="X190" s="896">
        <f>X$139-X$140-X$142-X$84-X$108-X$123-IF(X$64&gt;=Underwriting!$D$89,'URWLD COMPANY INPUTS'!$F$778*1000000/12,0)</f>
        <v>-1715686.9172663132</v>
      </c>
      <c r="Y190" s="896">
        <f>Y$139-Y$140-Y$142-Y$84-Y$108-Y$123-IF(Y$64&gt;=Underwriting!$D$89,'URWLD COMPANY INPUTS'!$F$778*1000000/12,0)</f>
        <v>-1777711.2947424226</v>
      </c>
      <c r="Z190" s="896">
        <f>Z$139-Z$140-Z$142-Z$84-Z$108-Z$123-IF(Z$64&gt;=Underwriting!$D$89,'URWLD COMPANY INPUTS'!$F$778*1000000/12,0)</f>
        <v>-1779676.3631557235</v>
      </c>
      <c r="AA190" s="896">
        <f>AA$139-AA$140-AA$142-AA$84-AA$108-AA$123-IF(AA$64&gt;=Underwriting!$D$89,'URWLD COMPANY INPUTS'!$F$778*1000000/12,0)</f>
        <v>-1895116.560005764</v>
      </c>
      <c r="AB190" s="896">
        <f>AB$139-AB$140-AB$142-AB$84-AB$108-AB$123-IF(AB$64&gt;=Underwriting!$D$89,'URWLD COMPANY INPUTS'!$F$778*1000000/12,0)</f>
        <v>-1198577.7504782763</v>
      </c>
      <c r="AC190" s="896">
        <f>AC$139-AC$140-AC$142-AC$84-AC$108-AC$123-IF(AC$64&gt;=Underwriting!$D$89,'URWLD COMPANY INPUTS'!$F$778*1000000/12,0)</f>
        <v>-1279049.7823239355</v>
      </c>
      <c r="AD190" s="896">
        <f>AD$139-AD$140-AD$142-AD$84-AD$108-AD$123-IF(AD$64&gt;=Underwriting!$D$89,'URWLD COMPANY INPUTS'!$F$778*1000000/12,0)</f>
        <v>-1285483.2510056631</v>
      </c>
      <c r="AE190" s="896">
        <f>AE$139-AE$140-AE$142-AE$84-AE$108-AE$123-IF(AE$64&gt;=Underwriting!$D$89,'URWLD COMPANY INPUTS'!$F$778*1000000/12,0)</f>
        <v>-1140600.7266920451</v>
      </c>
      <c r="AF190" s="896">
        <f>AF$139-AF$140-AF$142-AF$84-AF$108-AF$123-IF(AF$64&gt;=Underwriting!$D$89,'URWLD COMPANY INPUTS'!$F$778*1000000/12,0)</f>
        <v>-1170942.7621020665</v>
      </c>
      <c r="AG190" s="896">
        <f>AG$139-AG$140-AG$142-AG$84-AG$108-AG$123-IF(AG$64&gt;=Underwriting!$D$89,'URWLD COMPANY INPUTS'!$F$778*1000000/12,0)</f>
        <v>-1157240.8728378317</v>
      </c>
      <c r="AH190" s="896">
        <f>AH$139-AH$140-AH$142-AH$84-AH$108-AH$123-IF(AH$64&gt;=Underwriting!$D$89,'URWLD COMPANY INPUTS'!$F$778*1000000/12,0)</f>
        <v>-1041585.3840255017</v>
      </c>
      <c r="AI190" s="896">
        <f>AI$139-AI$140-AI$142-AI$84-AI$108-AI$123-IF(AI$64&gt;=Underwriting!$D$89,'URWLD COMPANY INPUTS'!$F$778*1000000/12,0)</f>
        <v>-1017509.5602344271</v>
      </c>
      <c r="AJ190" s="896">
        <f>AJ$139-AJ$140-AJ$142-AJ$84-AJ$108-AJ$123-IF(AJ$64&gt;=Underwriting!$D$89,'URWLD COMPANY INPUTS'!$F$778*1000000/12,0)</f>
        <v>-1066812.5928112138</v>
      </c>
      <c r="AK190" s="896">
        <f>AK$139-AK$140-AK$142-AK$84-AK$108-AK$123-IF(AK$64&gt;=Underwriting!$D$89,'URWLD COMPANY INPUTS'!$F$778*1000000/12,0)</f>
        <v>-911280.01583857753</v>
      </c>
      <c r="AL190" s="896">
        <f>AL$139-AL$140-AL$142-AL$84-AL$108-AL$123-IF(AL$64&gt;=Underwriting!$D$89,'URWLD COMPANY INPUTS'!$F$778*1000000/12,0)</f>
        <v>-791014.10290657892</v>
      </c>
      <c r="AM190" s="896">
        <f>AM$139-AM$140-AM$142-AM$84-AM$108-AM$123-IF(AM$64&gt;=Underwriting!$D$89,'URWLD COMPANY INPUTS'!$F$778*1000000/12,0)</f>
        <v>-910706.67726511345</v>
      </c>
      <c r="AN190" s="896">
        <f>AN$139-AN$140-AN$142-AN$84-AN$108-AN$123-IF(AN$64&gt;=Underwriting!$D$89,'URWLD COMPANY INPUTS'!$F$778*1000000/12,0)</f>
        <v>-837984.80347044079</v>
      </c>
      <c r="AO190" s="896">
        <f>AO$139-AO$140-AO$142-AO$84-AO$108-AO$123-IF(AO$64&gt;=Underwriting!$D$89,'URWLD COMPANY INPUTS'!$F$778*1000000/12,0)</f>
        <v>-877677.51345088473</v>
      </c>
      <c r="AP190" s="896">
        <f>AP$139-AP$140-AP$142-AP$84-AP$108-AP$123-IF(AP$64&gt;=Underwriting!$D$89,'URWLD COMPANY INPUTS'!$F$778*1000000/12,0)</f>
        <v>-837347.83583067777</v>
      </c>
      <c r="AQ190" s="896">
        <f>AQ$139-AQ$140-AQ$142-AQ$84-AQ$108-AQ$123-IF(AQ$64&gt;=Underwriting!$D$89,'URWLD COMPANY INPUTS'!$F$778*1000000/12,0)</f>
        <v>-845293.05676721164</v>
      </c>
      <c r="AR190" s="896">
        <f>AR$139-AR$140-AR$142-AR$84-AR$108-AR$123-IF(AR$64&gt;=Underwriting!$D$89,'URWLD COMPANY INPUTS'!$F$778*1000000/12,0)</f>
        <v>-636964.86858753988</v>
      </c>
      <c r="AS190" s="896">
        <f>AS$139-AS$140-AS$142-AS$84-AS$108-AS$123-IF(AS$64&gt;=Underwriting!$D$89,'URWLD COMPANY INPUTS'!$F$778*1000000/12,0)</f>
        <v>-387848.98777085217</v>
      </c>
      <c r="AT190" s="896">
        <f>AT$139-AT$140-AT$142-AT$84-AT$108-AT$123-IF(AT$64&gt;=Underwriting!$D$89,'URWLD COMPANY INPUTS'!$F$778*1000000/12,0)</f>
        <v>-210874.09621756326</v>
      </c>
      <c r="AU190" s="896">
        <f>AU$139-AU$140-AU$142-AU$84-AU$108-AU$123-IF(AU$64&gt;=Underwriting!$D$89,'URWLD COMPANY INPUTS'!$F$778*1000000/12,0)</f>
        <v>37218.593134315335</v>
      </c>
      <c r="AV190" s="896">
        <f>AV$139-AV$140-AV$142-AV$84-AV$108-AV$123-IF(AV$64&gt;=Underwriting!$D$89,'URWLD COMPANY INPUTS'!$F$778*1000000/12,0)</f>
        <v>205435.90027404542</v>
      </c>
      <c r="AW190" s="896">
        <f>AW$139-AW$140-AW$142-AW$84-AW$108-AW$123-IF(AW$64&gt;=Underwriting!$D$89,'URWLD COMPANY INPUTS'!$F$778*1000000/12,0)</f>
        <v>419132.56518651603</v>
      </c>
      <c r="AX190" s="896">
        <f>AX$139-AX$140-AX$142-AX$84-AX$108-AX$123-IF(AX$64&gt;=Underwriting!$D$89,'URWLD COMPANY INPUTS'!$F$778*1000000/12,0)</f>
        <v>747100.63675054361</v>
      </c>
      <c r="AY190" s="896">
        <f>AY$139-AY$140-AY$142-AY$84-AY$108-AY$123-IF(AY$64&gt;=Underwriting!$D$89,'URWLD COMPANY INPUTS'!$F$778*1000000/12,0)</f>
        <v>835442.56167812424</v>
      </c>
      <c r="AZ190" s="896">
        <f>AZ$139-AZ$140-AZ$142-AZ$84-AZ$108-AZ$123-IF(AZ$64&gt;=Underwriting!$D$89,'URWLD COMPANY INPUTS'!$F$778*1000000/12,0)</f>
        <v>1109759.0010300027</v>
      </c>
      <c r="BA190" s="896">
        <f>BA$139-BA$140-BA$142-BA$84-BA$108-BA$123-IF(BA$64&gt;=Underwriting!$D$89,'URWLD COMPANY INPUTS'!$F$778*1000000/12,0)</f>
        <v>1277976.3081697328</v>
      </c>
      <c r="BB190" s="896">
        <f>BB$139-BB$140-BB$142-BB$84-BB$108-BB$123-IF(BB$64&gt;=Underwriting!$D$89,'URWLD COMPANY INPUTS'!$F$778*1000000/12,0)</f>
        <v>1526068.9975216105</v>
      </c>
      <c r="BC190" s="896">
        <f>BC$139-BC$140-BC$142-BC$84-BC$108-BC$123-IF(BC$64&gt;=Underwriting!$D$89,'URWLD COMPANY INPUTS'!$F$778*1000000/12,0)</f>
        <v>2378024.594991127</v>
      </c>
      <c r="BD190" s="896">
        <f>BD$139-BD$140-BD$142-BD$84-BD$108-BD$123-IF(BD$64&gt;=Underwriting!$D$89,'URWLD COMPANY INPUTS'!$F$778*1000000/12,0)</f>
        <v>1752800.0407255315</v>
      </c>
      <c r="BE190" s="896">
        <f>BE$139-BE$140-BE$142-BE$84-BE$108-BE$123-IF(BE$64&gt;=Underwriting!$D$89,'URWLD COMPANY INPUTS'!$F$778*1000000/12,0)</f>
        <v>1800312.3965226864</v>
      </c>
      <c r="BF190" s="896">
        <f>BF$139-BF$140-BF$142-BF$84-BF$108-BF$123-IF(BF$64&gt;=Underwriting!$D$89,'URWLD COMPANY INPUTS'!$F$778*1000000/12,0)</f>
        <v>1774069.3034233232</v>
      </c>
      <c r="BG190" s="896">
        <f>BG$139-BG$140-BG$142-BG$84-BG$108-BG$123-IF(BG$64&gt;=Underwriting!$D$89,'URWLD COMPANY INPUTS'!$F$778*1000000/12,0)</f>
        <v>1821151.8465091861</v>
      </c>
      <c r="BH190" s="896">
        <f>BH$139-BH$140-BH$142-BH$84-BH$108-BH$123-IF(BH$64&gt;=Underwriting!$D$89,'URWLD COMPANY INPUTS'!$F$778*1000000/12,0)</f>
        <v>1789141.4305841075</v>
      </c>
      <c r="BI190" s="896">
        <f>BI$139-BI$140-BI$142-BI$84-BI$108-BI$123-IF(BI$64&gt;=Underwriting!$D$89,'URWLD COMPANY INPUTS'!$F$778*1000000/12,0)</f>
        <v>1802391.8318160167</v>
      </c>
      <c r="BJ190" s="896">
        <f>BJ$139-BJ$140-BJ$142-BJ$84-BJ$108-BJ$123-IF(BJ$64&gt;=Underwriting!$D$89,'URWLD COMPANY INPUTS'!$F$778*1000000/12,0)</f>
        <v>1926586.6004168508</v>
      </c>
      <c r="BK190" s="896">
        <f>BK$139-BK$140-BK$142-BK$84-BK$108-BK$123-IF(BK$64&gt;=Underwriting!$D$89,'URWLD COMPANY INPUTS'!$F$778*1000000/12,0)</f>
        <v>1817833.5456872941</v>
      </c>
      <c r="BL190" s="896">
        <f>BL$139-BL$140-BL$142-BL$84-BL$108-BL$123-IF(BL$64&gt;=Underwriting!$D$89,'URWLD COMPANY INPUTS'!$F$778*1000000/12,0)</f>
        <v>1890951.8897109353</v>
      </c>
      <c r="BM190" s="896">
        <f>BM$139-BM$140-BM$142-BM$84-BM$108-BM$123-IF(BM$64&gt;=Underwriting!$D$89,'URWLD COMPANY INPUTS'!$F$778*1000000/12,0)</f>
        <v>1860346.9218920465</v>
      </c>
      <c r="BN190" s="896">
        <f>BN$139-BN$140-BN$142-BN$84-BN$108-BN$123-IF(BN$64&gt;=Underwriting!$D$89,'URWLD COMPANY INPUTS'!$F$778*1000000/12,0)</f>
        <v>1905941.3834405257</v>
      </c>
      <c r="BO190" s="896">
        <f>BO$139-BO$140-BO$142-BO$84-BO$108-BO$123-IF(BO$64&gt;=Underwriting!$D$89,'URWLD COMPANY INPUTS'!$F$778*1000000/12,0)</f>
        <v>1948640.6892048498</v>
      </c>
      <c r="BP190" s="896">
        <f>BP$139-BP$140-BP$142-BP$84-BP$108-BP$123-IF(BP$64&gt;=Underwriting!$D$89,'URWLD COMPANY INPUTS'!$F$778*1000000/12,0)</f>
        <v>3109789.4220753321</v>
      </c>
      <c r="BQ190" s="896">
        <f>BQ$139-BQ$140-BQ$142-BQ$84-BQ$108-BQ$123-IF(BQ$64&gt;=Underwriting!$D$89,'URWLD COMPANY INPUTS'!$F$778*1000000/12,0)</f>
        <v>3115180.8113214746</v>
      </c>
      <c r="BR190" s="896">
        <f>BR$139-BR$140-BR$142-BR$84-BR$108-BR$123-IF(BR$64&gt;=Underwriting!$D$89,'URWLD COMPANY INPUTS'!$F$778*1000000/12,0)</f>
        <v>3121710.8203839753</v>
      </c>
      <c r="BS190" s="896">
        <f>BS$139-BS$140-BS$142-BS$84-BS$108-BS$123-IF(BS$64&gt;=Underwriting!$D$89,'URWLD COMPANY INPUTS'!$F$778*1000000/12,0)</f>
        <v>3121710.8203839753</v>
      </c>
      <c r="BT190" s="896">
        <f>BT$139-BT$140-BT$142-BT$84-BT$108-BT$123-IF(BT$64&gt;=Underwriting!$D$89,'URWLD COMPANY INPUTS'!$F$778*1000000/12,0)</f>
        <v>3121710.8203839753</v>
      </c>
      <c r="BU190" s="896">
        <f>BU$139-BU$140-BU$142-BU$84-BU$108-BU$123-IF(BU$64&gt;=Underwriting!$D$89,'URWLD COMPANY INPUTS'!$F$778*1000000/12,0)</f>
        <v>3127647.1922589745</v>
      </c>
      <c r="BV190" s="896">
        <f>BV$139-BV$140-BV$142-BV$84-BV$108-BV$123-IF(BV$64&gt;=Underwriting!$D$89,'URWLD COMPANY INPUTS'!$F$778*1000000/12,0)</f>
        <v>3127647.1922589745</v>
      </c>
      <c r="BW190" s="896">
        <f>BW$139-BW$140-BW$142-BW$84-BW$108-BW$123-IF(BW$64&gt;=Underwriting!$D$89,'URWLD COMPANY INPUTS'!$F$778*1000000/12,0)</f>
        <v>3127647.1922589745</v>
      </c>
      <c r="BX190" s="896">
        <f>BX$139-BX$140-BX$142-BX$84-BX$108-BX$123-IF(BX$64&gt;=Underwriting!$D$89,'URWLD COMPANY INPUTS'!$F$778*1000000/12,0)</f>
        <v>3155738.7288527247</v>
      </c>
      <c r="BY190" s="896">
        <f>BY$139-BY$140-BY$142-BY$84-BY$108-BY$123-IF(BY$64&gt;=Underwriting!$D$89,'URWLD COMPANY INPUTS'!$F$778*1000000/12,0)</f>
        <v>3155738.7288527247</v>
      </c>
      <c r="BZ190" s="896">
        <f>BZ$139-BZ$140-BZ$142-BZ$84-BZ$108-BZ$123-IF(BZ$64&gt;=Underwriting!$D$89,'URWLD COMPANY INPUTS'!$F$778*1000000/12,0)</f>
        <v>3155738.7288527247</v>
      </c>
      <c r="CA190" s="896">
        <f>CA$139-CA$140-CA$142-CA$84-CA$108-CA$123-IF(CA$64&gt;=Underwriting!$D$89,'URWLD COMPANY INPUTS'!$F$778*1000000/12,0)</f>
        <v>3230383.8634378458</v>
      </c>
      <c r="CB190" s="896">
        <f>CB$139-CB$140-CB$142-CB$84-CB$108-CB$123-IF(CB$64&gt;=Underwriting!$D$89,'URWLD COMPANY INPUTS'!$F$778*1000000/12,0)</f>
        <v>3230383.8634378458</v>
      </c>
      <c r="CC190" s="896">
        <f>CC$139-CC$140-CC$142-CC$84-CC$108-CC$123-IF(CC$64&gt;=Underwriting!$D$89,'URWLD COMPANY INPUTS'!$F$778*1000000/12,0)</f>
        <v>3230383.8634378458</v>
      </c>
      <c r="CD190" s="896">
        <f>CD$139-CD$140-CD$142-CD$84-CD$108-CD$123-IF(CD$64&gt;=Underwriting!$D$89,'URWLD COMPANY INPUTS'!$F$778*1000000/12,0)</f>
        <v>3237142.4228175324</v>
      </c>
      <c r="CE190" s="896">
        <f>CE$139-CE$140-CE$142-CE$84-CE$108-CE$123-IF(CE$64&gt;=Underwriting!$D$89,'URWLD COMPANY INPUTS'!$F$778*1000000/12,0)</f>
        <v>3237142.4228175324</v>
      </c>
      <c r="CF190" s="896">
        <f>CF$139-CF$140-CF$142-CF$84-CF$108-CF$123-IF(CF$64&gt;=Underwriting!$D$89,'URWLD COMPANY INPUTS'!$F$778*1000000/12,0)</f>
        <v>3237142.4228175324</v>
      </c>
      <c r="CG190" s="896">
        <f>CG$139-CG$140-CG$142-CG$84-CG$108-CG$123-IF(CG$64&gt;=Underwriting!$D$89,'URWLD COMPANY INPUTS'!$F$778*1000000/12,0)</f>
        <v>3243286.5677081575</v>
      </c>
      <c r="CH190" s="896">
        <f>CH$139-CH$140-CH$142-CH$84-CH$108-CH$123-IF(CH$64&gt;=Underwriting!$D$89,'URWLD COMPANY INPUTS'!$F$778*1000000/12,0)</f>
        <v>3243286.5677081575</v>
      </c>
      <c r="CI190" s="896">
        <f>CI$139-CI$140-CI$142-CI$84-CI$108-CI$123-IF(CI$64&gt;=Underwriting!$D$89,'URWLD COMPANY INPUTS'!$F$778*1000000/12,0)</f>
        <v>3243286.5677081575</v>
      </c>
      <c r="CJ190" s="896">
        <f>CJ$139-CJ$140-CJ$142-CJ$84-CJ$108-CJ$123-IF(CJ$64&gt;=Underwriting!$D$89,'URWLD COMPANY INPUTS'!$F$778*1000000/12,0)</f>
        <v>3272361.3080826891</v>
      </c>
      <c r="CK190" s="896">
        <f>CK$139-CK$140-CK$142-CK$84-CK$108-CK$123-IF(CK$64&gt;=Underwriting!$D$89,'URWLD COMPANY INPUTS'!$F$778*1000000/12,0)</f>
        <v>3272361.3080826891</v>
      </c>
      <c r="CL190" s="896">
        <f>CL$139-CL$140-CL$142-CL$84-CL$108-CL$123-IF(CL$64&gt;=Underwriting!$D$89,'URWLD COMPANY INPUTS'!$F$778*1000000/12,0)</f>
        <v>3272361.3080826891</v>
      </c>
      <c r="CM190" s="896">
        <f>CM$139-CM$140-CM$142-CM$84-CM$108-CM$123-IF(CM$64&gt;=Underwriting!$D$89,'URWLD COMPANY INPUTS'!$F$778*1000000/12,0)</f>
        <v>3348956.6488046241</v>
      </c>
      <c r="CN190" s="896">
        <f>CN$139-CN$140-CN$142-CN$84-CN$108-CN$123-IF(CN$64&gt;=Underwriting!$D$89,'URWLD COMPANY INPUTS'!$F$778*1000000/12,0)</f>
        <v>3348956.6488046241</v>
      </c>
      <c r="CO190" s="896">
        <f>CO$139-CO$140-CO$142-CO$84-CO$108-CO$123-IF(CO$64&gt;=Underwriting!$D$89,'URWLD COMPANY INPUTS'!$F$778*1000000/12,0)</f>
        <v>3348956.6488046241</v>
      </c>
      <c r="CP190" s="896">
        <f>CP$139-CP$140-CP$142-CP$84-CP$108-CP$123-IF(CP$64&gt;=Underwriting!$D$89,'URWLD COMPANY INPUTS'!$F$778*1000000/12,0)</f>
        <v>3355951.7577626011</v>
      </c>
      <c r="CQ190" s="896">
        <f>CQ$139-CQ$140-CQ$142-CQ$84-CQ$108-CQ$123-IF(CQ$64&gt;=Underwriting!$D$89,'URWLD COMPANY INPUTS'!$F$778*1000000/12,0)</f>
        <v>3355951.7577626011</v>
      </c>
      <c r="CR190" s="896">
        <f>CR$139-CR$140-CR$142-CR$84-CR$108-CR$123-IF(CR$64&gt;=Underwriting!$D$89,'URWLD COMPANY INPUTS'!$F$778*1000000/12,0)</f>
        <v>3355951.7577626011</v>
      </c>
      <c r="CS190" s="896">
        <f>CS$139-CS$140-CS$142-CS$84-CS$108-CS$123-IF(CS$64&gt;=Underwriting!$D$89,'URWLD COMPANY INPUTS'!$F$778*1000000/12,0)</f>
        <v>3362310.9477243978</v>
      </c>
      <c r="CT190" s="896">
        <f>CT$139-CT$140-CT$142-CT$84-CT$108-CT$123-IF(CT$64&gt;=Underwriting!$D$89,'URWLD COMPANY INPUTS'!$F$778*1000000/12,0)</f>
        <v>3362310.9477243978</v>
      </c>
      <c r="CU190" s="896">
        <f>CU$139-CU$140-CU$142-CU$84-CU$108-CU$123-IF(CU$64&gt;=Underwriting!$D$89,'URWLD COMPANY INPUTS'!$F$778*1000000/12,0)</f>
        <v>3362310.9477243978</v>
      </c>
      <c r="CV190" s="896">
        <f>CV$139-CV$140-CV$142-CV$84-CV$108-CV$123-IF(CV$64&gt;=Underwriting!$D$89,'URWLD COMPANY INPUTS'!$F$778*1000000/12,0)</f>
        <v>3392403.3040120383</v>
      </c>
      <c r="CW190" s="896">
        <f>CW$139-CW$140-CW$142-CW$84-CW$108-CW$123-IF(CW$64&gt;=Underwriting!$D$89,'URWLD COMPANY INPUTS'!$F$778*1000000/12,0)</f>
        <v>3392403.3040120383</v>
      </c>
      <c r="CX190" s="896">
        <f>CX$139-CX$140-CX$142-CX$84-CX$108-CX$123-IF(CX$64&gt;=Underwriting!$D$89,'URWLD COMPANY INPUTS'!$F$778*1000000/12,0)</f>
        <v>3392403.3040120383</v>
      </c>
      <c r="CY190" s="896">
        <f>CY$139-CY$140-CY$142-CY$84-CY$108-CY$123-IF(CY$64&gt;=Underwriting!$D$89,'URWLD COMPANY INPUTS'!$F$778*1000000/12,0)</f>
        <v>3471000.5487462361</v>
      </c>
      <c r="CZ190" s="896">
        <f>CZ$139-CZ$140-CZ$142-CZ$84-CZ$108-CZ$123-IF(CZ$64&gt;=Underwriting!$D$89,'URWLD COMPANY INPUTS'!$F$778*1000000/12,0)</f>
        <v>3471000.5487462361</v>
      </c>
      <c r="DA190" s="896">
        <f>DA$139-DA$140-DA$142-DA$84-DA$108-DA$123-IF(DA$64&gt;=Underwriting!$D$89,'URWLD COMPANY INPUTS'!$F$778*1000000/12,0)</f>
        <v>3471000.5487462361</v>
      </c>
      <c r="DB190" s="896">
        <f>DB$139-DB$140-DB$142-DB$84-DB$108-DB$123-IF(DB$64&gt;=Underwriting!$D$89,'URWLD COMPANY INPUTS'!$F$778*1000000/12,0)</f>
        <v>3478240.4865177409</v>
      </c>
      <c r="DC190" s="896">
        <f>DC$139-DC$140-DC$142-DC$84-DC$108-DC$123-IF(DC$64&gt;=Underwriting!$D$89,'URWLD COMPANY INPUTS'!$F$778*1000000/12,0)</f>
        <v>3478240.4865177409</v>
      </c>
      <c r="DD190" s="896">
        <f>DD$139-DD$140-DD$142-DD$84-DD$108-DD$123-IF(DD$64&gt;=Underwriting!$D$89,'URWLD COMPANY INPUTS'!$F$778*1000000/12,0)</f>
        <v>3478240.4865177409</v>
      </c>
      <c r="DE190" s="896">
        <f>DE$139-DE$140-DE$142-DE$84-DE$108-DE$123-IF(DE$64&gt;=Underwriting!$D$89,'URWLD COMPANY INPUTS'!$F$778*1000000/12,0)</f>
        <v>3484822.2481282013</v>
      </c>
      <c r="DF190" s="896">
        <f>DF$139-DF$140-DF$142-DF$84-DF$108-DF$123-IF(DF$64&gt;=Underwriting!$D$89,'URWLD COMPANY INPUTS'!$F$778*1000000/12,0)</f>
        <v>3484822.2481282013</v>
      </c>
      <c r="DG190" s="896">
        <f>DG$139-DG$140-DG$142-DG$84-DG$108-DG$123-IF(DG$64&gt;=Underwriting!$D$89,'URWLD COMPANY INPUTS'!$F$778*1000000/12,0)</f>
        <v>3484822.2481282013</v>
      </c>
      <c r="DH190" s="896">
        <f>DH$139-DH$140-DH$142-DH$84-DH$108-DH$123-IF(DH$64&gt;=Underwriting!$D$89,'URWLD COMPANY INPUTS'!$F$778*1000000/12,0)</f>
        <v>3515967.8368859082</v>
      </c>
      <c r="DI190" s="896">
        <f>DI$139-DI$140-DI$142-DI$84-DI$108-DI$123-IF(DI$64&gt;=Underwriting!$D$89,'URWLD COMPANY INPUTS'!$F$778*1000000/12,0)</f>
        <v>3515967.8368859082</v>
      </c>
      <c r="DJ190" s="896">
        <f>DJ$139-DJ$140-DJ$142-DJ$84-DJ$108-DJ$123-IF(DJ$64&gt;=Underwriting!$D$89,'URWLD COMPANY INPUTS'!$F$778*1000000/12,0)</f>
        <v>3515967.8368859082</v>
      </c>
      <c r="DK190" s="896">
        <f>DK$139-DK$140-DK$142-DK$84-DK$108-DK$123-IF(DK$64&gt;=Underwriting!$D$89,'URWLD COMPANY INPUTS'!$F$778*1000000/12,0)</f>
        <v>3596620.0789499725</v>
      </c>
      <c r="DL190" s="896">
        <f>DL$139-DL$140-DL$142-DL$84-DL$108-DL$123-IF(DL$64&gt;=Underwriting!$D$89,'URWLD COMPANY INPUTS'!$F$778*1000000/12,0)</f>
        <v>3596620.0789499725</v>
      </c>
      <c r="DM190" s="896">
        <f>DM$139-DM$140-DM$142-DM$84-DM$108-DM$123-IF(DM$64&gt;=Underwriting!$D$89,'URWLD COMPANY INPUTS'!$F$778*1000000/12,0)</f>
        <v>3596620.0789499725</v>
      </c>
      <c r="DN190" s="896">
        <f>DN$139-DN$140-DN$142-DN$84-DN$108-DN$123-IF(DN$64&gt;=Underwriting!$D$89,'URWLD COMPANY INPUTS'!$F$778*1000000/12,0)</f>
        <v>3604113.4145434811</v>
      </c>
      <c r="DO190" s="896">
        <f>DO$139-DO$140-DO$142-DO$84-DO$108-DO$123-IF(DO$64&gt;=Underwriting!$D$89,'URWLD COMPANY INPUTS'!$F$778*1000000/12,0)</f>
        <v>3604113.4145434811</v>
      </c>
      <c r="DP190" s="896">
        <f>DP$139-DP$140-DP$142-DP$84-DP$108-DP$123-IF(DP$64&gt;=Underwriting!$D$89,'URWLD COMPANY INPUTS'!$F$778*1000000/12,0)</f>
        <v>3604113.4145434811</v>
      </c>
      <c r="DQ190" s="896">
        <f>DQ$139-DQ$140-DQ$142-DQ$84-DQ$108-DQ$123-IF(DQ$64&gt;=Underwriting!$D$89,'URWLD COMPANY INPUTS'!$F$778*1000000/12,0)</f>
        <v>3610925.5378103075</v>
      </c>
      <c r="DR190" s="896">
        <f>DR$139-DR$140-DR$142-DR$84-DR$108-DR$123-IF(DR$64&gt;=Underwriting!$D$89,'URWLD COMPANY INPUTS'!$F$778*1000000/12,0)</f>
        <v>3610925.5378103075</v>
      </c>
      <c r="DS190" s="896">
        <f>DS$139-DS$140-DS$142-DS$84-DS$108-DS$123-IF(DS$64&gt;=Underwriting!$D$89,'URWLD COMPANY INPUTS'!$F$778*1000000/12,0)</f>
        <v>3610925.5378103075</v>
      </c>
      <c r="DT190" s="896">
        <f>DT$139-DT$140-DT$142-DT$84-DT$108-DT$123-IF(DT$64&gt;=Underwriting!$D$89,'URWLD COMPANY INPUTS'!$F$778*1000000/12,0)</f>
        <v>3643161.2221745341</v>
      </c>
      <c r="DU190" s="896">
        <f>DU$139-DU$140-DU$142-DU$84-DU$108-DU$123-IF(DU$64&gt;=Underwriting!$D$89,'URWLD COMPANY INPUTS'!$F$778*1000000/12,0)</f>
        <v>3643161.2221745341</v>
      </c>
      <c r="DV190" s="896">
        <f>DV$139-DV$140-DV$142-DV$84-DV$108-DV$123-IF(DV$64&gt;=Underwriting!$D$89,'URWLD COMPANY INPUTS'!$F$778*1000000/12,0)</f>
        <v>3643161.2221745341</v>
      </c>
    </row>
    <row r="191" spans="1:126" ht="15" customHeight="1" x14ac:dyDescent="0.35">
      <c r="A191" s="306" t="s">
        <v>1690</v>
      </c>
      <c r="B191" s="313" t="s">
        <v>1370</v>
      </c>
      <c r="C191" s="313" t="s">
        <v>1691</v>
      </c>
      <c r="D191" s="313"/>
      <c r="E191" s="313">
        <v>0</v>
      </c>
      <c r="F191" s="575">
        <f t="shared" ref="F191:AK191" si="298">MIN(MAX(0,F$190),F$189)</f>
        <v>0</v>
      </c>
      <c r="G191" s="576">
        <f t="shared" si="298"/>
        <v>0</v>
      </c>
      <c r="H191" s="576">
        <f t="shared" si="298"/>
        <v>0</v>
      </c>
      <c r="I191" s="576">
        <f t="shared" si="298"/>
        <v>0</v>
      </c>
      <c r="J191" s="577">
        <f t="shared" si="298"/>
        <v>0</v>
      </c>
      <c r="K191" s="575">
        <f t="shared" si="298"/>
        <v>0</v>
      </c>
      <c r="L191" s="575">
        <f t="shared" si="298"/>
        <v>0</v>
      </c>
      <c r="M191" s="575">
        <f t="shared" si="298"/>
        <v>0</v>
      </c>
      <c r="N191" s="575">
        <f t="shared" si="298"/>
        <v>0</v>
      </c>
      <c r="O191" s="575">
        <f t="shared" si="298"/>
        <v>0</v>
      </c>
      <c r="P191" s="576">
        <f t="shared" si="298"/>
        <v>0</v>
      </c>
      <c r="Q191" s="576">
        <f t="shared" si="298"/>
        <v>0</v>
      </c>
      <c r="R191" s="576">
        <f t="shared" si="298"/>
        <v>0</v>
      </c>
      <c r="S191" s="576">
        <f t="shared" si="298"/>
        <v>0</v>
      </c>
      <c r="T191" s="576">
        <f t="shared" si="298"/>
        <v>0</v>
      </c>
      <c r="U191" s="576">
        <f t="shared" si="298"/>
        <v>0</v>
      </c>
      <c r="V191" s="576">
        <f t="shared" si="298"/>
        <v>0</v>
      </c>
      <c r="W191" s="576">
        <f t="shared" si="298"/>
        <v>0</v>
      </c>
      <c r="X191" s="576">
        <f t="shared" si="298"/>
        <v>0</v>
      </c>
      <c r="Y191" s="576">
        <f t="shared" si="298"/>
        <v>0</v>
      </c>
      <c r="Z191" s="576">
        <f t="shared" si="298"/>
        <v>0</v>
      </c>
      <c r="AA191" s="576">
        <f t="shared" si="298"/>
        <v>0</v>
      </c>
      <c r="AB191" s="576">
        <f t="shared" si="298"/>
        <v>0</v>
      </c>
      <c r="AC191" s="576">
        <f t="shared" si="298"/>
        <v>0</v>
      </c>
      <c r="AD191" s="576">
        <f t="shared" si="298"/>
        <v>0</v>
      </c>
      <c r="AE191" s="576">
        <f t="shared" si="298"/>
        <v>0</v>
      </c>
      <c r="AF191" s="576">
        <f t="shared" si="298"/>
        <v>0</v>
      </c>
      <c r="AG191" s="576">
        <f t="shared" si="298"/>
        <v>0</v>
      </c>
      <c r="AH191" s="576">
        <f t="shared" si="298"/>
        <v>0</v>
      </c>
      <c r="AI191" s="576">
        <f t="shared" si="298"/>
        <v>0</v>
      </c>
      <c r="AJ191" s="576">
        <f t="shared" si="298"/>
        <v>0</v>
      </c>
      <c r="AK191" s="576">
        <f t="shared" si="298"/>
        <v>0</v>
      </c>
      <c r="AL191" s="576">
        <f t="shared" ref="AL191:BQ191" si="299">MIN(MAX(0,AL$190),AL$189)</f>
        <v>0</v>
      </c>
      <c r="AM191" s="576">
        <f t="shared" si="299"/>
        <v>0</v>
      </c>
      <c r="AN191" s="576">
        <f t="shared" si="299"/>
        <v>0</v>
      </c>
      <c r="AO191" s="576">
        <f t="shared" si="299"/>
        <v>0</v>
      </c>
      <c r="AP191" s="576">
        <f t="shared" si="299"/>
        <v>0</v>
      </c>
      <c r="AQ191" s="576">
        <f t="shared" si="299"/>
        <v>0</v>
      </c>
      <c r="AR191" s="576">
        <f t="shared" si="299"/>
        <v>0</v>
      </c>
      <c r="AS191" s="576">
        <f t="shared" si="299"/>
        <v>0</v>
      </c>
      <c r="AT191" s="576">
        <f t="shared" si="299"/>
        <v>0</v>
      </c>
      <c r="AU191" s="576">
        <f t="shared" si="299"/>
        <v>37218.593134315335</v>
      </c>
      <c r="AV191" s="576">
        <f t="shared" si="299"/>
        <v>205435.90027404542</v>
      </c>
      <c r="AW191" s="576">
        <f t="shared" si="299"/>
        <v>419132.56518651603</v>
      </c>
      <c r="AX191" s="576">
        <f t="shared" si="299"/>
        <v>747100.63675054361</v>
      </c>
      <c r="AY191" s="576">
        <f t="shared" si="299"/>
        <v>835442.56167812424</v>
      </c>
      <c r="AZ191" s="576">
        <f t="shared" si="299"/>
        <v>1109759.0010300027</v>
      </c>
      <c r="BA191" s="576">
        <f t="shared" si="299"/>
        <v>1277976.3081697328</v>
      </c>
      <c r="BB191" s="576">
        <f t="shared" si="299"/>
        <v>1526068.9975216105</v>
      </c>
      <c r="BC191" s="576">
        <f t="shared" si="299"/>
        <v>2378024.594991127</v>
      </c>
      <c r="BD191" s="576">
        <f t="shared" si="299"/>
        <v>1752800.0407255315</v>
      </c>
      <c r="BE191" s="576">
        <f t="shared" si="299"/>
        <v>1800312.3965226864</v>
      </c>
      <c r="BF191" s="576">
        <f t="shared" si="299"/>
        <v>1774069.3034233232</v>
      </c>
      <c r="BG191" s="576">
        <f t="shared" si="299"/>
        <v>1821151.8465091861</v>
      </c>
      <c r="BH191" s="576">
        <f t="shared" si="299"/>
        <v>1789141.4305841075</v>
      </c>
      <c r="BI191" s="576">
        <f t="shared" si="299"/>
        <v>1802391.8318160167</v>
      </c>
      <c r="BJ191" s="576">
        <f t="shared" si="299"/>
        <v>1926586.6004168508</v>
      </c>
      <c r="BK191" s="576">
        <f t="shared" si="299"/>
        <v>1817833.5456872941</v>
      </c>
      <c r="BL191" s="576">
        <f t="shared" si="299"/>
        <v>1890951.8897109353</v>
      </c>
      <c r="BM191" s="576">
        <f t="shared" si="299"/>
        <v>1860346.9218920465</v>
      </c>
      <c r="BN191" s="576">
        <f t="shared" si="299"/>
        <v>1905941.3834405257</v>
      </c>
      <c r="BO191" s="576">
        <f t="shared" si="299"/>
        <v>1948640.6892048498</v>
      </c>
      <c r="BP191" s="576">
        <f t="shared" si="299"/>
        <v>3109789.4220753321</v>
      </c>
      <c r="BQ191" s="576">
        <f t="shared" si="299"/>
        <v>3115180.8113214746</v>
      </c>
      <c r="BR191" s="576">
        <f t="shared" ref="BR191:CW191" si="300">MIN(MAX(0,BR$190),BR$189)</f>
        <v>3121710.8203839753</v>
      </c>
      <c r="BS191" s="576">
        <f t="shared" si="300"/>
        <v>3121710.8203839753</v>
      </c>
      <c r="BT191" s="576">
        <f t="shared" si="300"/>
        <v>3121710.8203839753</v>
      </c>
      <c r="BU191" s="576">
        <f t="shared" si="300"/>
        <v>348061.5603092555</v>
      </c>
      <c r="BV191" s="576">
        <f t="shared" si="300"/>
        <v>0</v>
      </c>
      <c r="BW191" s="576">
        <f t="shared" si="300"/>
        <v>0</v>
      </c>
      <c r="BX191" s="576">
        <f t="shared" si="300"/>
        <v>0</v>
      </c>
      <c r="BY191" s="576">
        <f t="shared" si="300"/>
        <v>0</v>
      </c>
      <c r="BZ191" s="576">
        <f t="shared" si="300"/>
        <v>0</v>
      </c>
      <c r="CA191" s="576">
        <f t="shared" si="300"/>
        <v>0</v>
      </c>
      <c r="CB191" s="576">
        <f t="shared" si="300"/>
        <v>0</v>
      </c>
      <c r="CC191" s="576">
        <f t="shared" si="300"/>
        <v>0</v>
      </c>
      <c r="CD191" s="576">
        <f t="shared" si="300"/>
        <v>0</v>
      </c>
      <c r="CE191" s="576">
        <f t="shared" si="300"/>
        <v>0</v>
      </c>
      <c r="CF191" s="576">
        <f t="shared" si="300"/>
        <v>0</v>
      </c>
      <c r="CG191" s="576">
        <f t="shared" si="300"/>
        <v>0</v>
      </c>
      <c r="CH191" s="576">
        <f t="shared" si="300"/>
        <v>0</v>
      </c>
      <c r="CI191" s="576">
        <f t="shared" si="300"/>
        <v>0</v>
      </c>
      <c r="CJ191" s="576">
        <f t="shared" si="300"/>
        <v>0</v>
      </c>
      <c r="CK191" s="576">
        <f t="shared" si="300"/>
        <v>0</v>
      </c>
      <c r="CL191" s="576">
        <f t="shared" si="300"/>
        <v>0</v>
      </c>
      <c r="CM191" s="576">
        <f t="shared" si="300"/>
        <v>0</v>
      </c>
      <c r="CN191" s="576">
        <f t="shared" si="300"/>
        <v>0</v>
      </c>
      <c r="CO191" s="576">
        <f t="shared" si="300"/>
        <v>0</v>
      </c>
      <c r="CP191" s="576">
        <f t="shared" si="300"/>
        <v>0</v>
      </c>
      <c r="CQ191" s="576">
        <f t="shared" si="300"/>
        <v>0</v>
      </c>
      <c r="CR191" s="576">
        <f t="shared" si="300"/>
        <v>0</v>
      </c>
      <c r="CS191" s="576">
        <f t="shared" si="300"/>
        <v>0</v>
      </c>
      <c r="CT191" s="576">
        <f t="shared" si="300"/>
        <v>0</v>
      </c>
      <c r="CU191" s="576">
        <f t="shared" si="300"/>
        <v>0</v>
      </c>
      <c r="CV191" s="576">
        <f t="shared" si="300"/>
        <v>0</v>
      </c>
      <c r="CW191" s="576">
        <f t="shared" si="300"/>
        <v>0</v>
      </c>
      <c r="CX191" s="576">
        <f t="shared" ref="CX191:DV191" si="301">MIN(MAX(0,CX$190),CX$189)</f>
        <v>0</v>
      </c>
      <c r="CY191" s="576">
        <f t="shared" si="301"/>
        <v>0</v>
      </c>
      <c r="CZ191" s="576">
        <f t="shared" si="301"/>
        <v>0</v>
      </c>
      <c r="DA191" s="576">
        <f t="shared" si="301"/>
        <v>0</v>
      </c>
      <c r="DB191" s="576">
        <f t="shared" si="301"/>
        <v>0</v>
      </c>
      <c r="DC191" s="576">
        <f t="shared" si="301"/>
        <v>0</v>
      </c>
      <c r="DD191" s="576">
        <f t="shared" si="301"/>
        <v>0</v>
      </c>
      <c r="DE191" s="576">
        <f t="shared" si="301"/>
        <v>0</v>
      </c>
      <c r="DF191" s="576">
        <f t="shared" si="301"/>
        <v>0</v>
      </c>
      <c r="DG191" s="576">
        <f t="shared" si="301"/>
        <v>0</v>
      </c>
      <c r="DH191" s="576">
        <f t="shared" si="301"/>
        <v>0</v>
      </c>
      <c r="DI191" s="576">
        <f t="shared" si="301"/>
        <v>0</v>
      </c>
      <c r="DJ191" s="576">
        <f t="shared" si="301"/>
        <v>0</v>
      </c>
      <c r="DK191" s="576">
        <f t="shared" si="301"/>
        <v>0</v>
      </c>
      <c r="DL191" s="576">
        <f t="shared" si="301"/>
        <v>0</v>
      </c>
      <c r="DM191" s="576">
        <f t="shared" si="301"/>
        <v>0</v>
      </c>
      <c r="DN191" s="576">
        <f t="shared" si="301"/>
        <v>0</v>
      </c>
      <c r="DO191" s="576">
        <f t="shared" si="301"/>
        <v>0</v>
      </c>
      <c r="DP191" s="576">
        <f t="shared" si="301"/>
        <v>0</v>
      </c>
      <c r="DQ191" s="576">
        <f t="shared" si="301"/>
        <v>0</v>
      </c>
      <c r="DR191" s="576">
        <f t="shared" si="301"/>
        <v>0</v>
      </c>
      <c r="DS191" s="576">
        <f t="shared" si="301"/>
        <v>0</v>
      </c>
      <c r="DT191" s="576">
        <f t="shared" si="301"/>
        <v>0</v>
      </c>
      <c r="DU191" s="576">
        <f t="shared" si="301"/>
        <v>0</v>
      </c>
      <c r="DV191" s="576">
        <f t="shared" si="301"/>
        <v>0</v>
      </c>
    </row>
    <row r="192" spans="1:126" ht="15" customHeight="1" x14ac:dyDescent="0.35">
      <c r="A192" s="306" t="s">
        <v>1692</v>
      </c>
      <c r="B192" s="313" t="s">
        <v>1370</v>
      </c>
      <c r="C192" s="313" t="s">
        <v>1693</v>
      </c>
      <c r="D192" s="313"/>
      <c r="E192" s="313">
        <v>0</v>
      </c>
      <c r="F192" s="575">
        <f t="shared" ref="F192:AK192" si="302">MAX(0,F$189+MAX(0,-F$190)-F$191)</f>
        <v>933333.33333333337</v>
      </c>
      <c r="G192" s="576">
        <f t="shared" si="302"/>
        <v>1961644.5282166433</v>
      </c>
      <c r="H192" s="576">
        <f t="shared" si="302"/>
        <v>2996292.7189951865</v>
      </c>
      <c r="I192" s="576">
        <f t="shared" si="302"/>
        <v>3996287.8599241041</v>
      </c>
      <c r="J192" s="577">
        <f t="shared" si="302"/>
        <v>5009208.5898338789</v>
      </c>
      <c r="K192" s="575">
        <f t="shared" si="302"/>
        <v>6033476.2783928886</v>
      </c>
      <c r="L192" s="575">
        <f t="shared" si="302"/>
        <v>7079957.135285899</v>
      </c>
      <c r="M192" s="575">
        <f t="shared" si="302"/>
        <v>8151783.8147243103</v>
      </c>
      <c r="N192" s="575">
        <f t="shared" si="302"/>
        <v>9239952.3555087801</v>
      </c>
      <c r="O192" s="575">
        <f t="shared" si="302"/>
        <v>10386595.917039238</v>
      </c>
      <c r="P192" s="576">
        <f t="shared" si="302"/>
        <v>11576107.706412302</v>
      </c>
      <c r="Q192" s="576">
        <f t="shared" si="302"/>
        <v>12836596.004641496</v>
      </c>
      <c r="R192" s="576">
        <f t="shared" si="302"/>
        <v>14158454.350427832</v>
      </c>
      <c r="S192" s="576">
        <f t="shared" si="302"/>
        <v>15573283.37475712</v>
      </c>
      <c r="T192" s="576">
        <f t="shared" si="302"/>
        <v>17053758.832879741</v>
      </c>
      <c r="U192" s="576">
        <f t="shared" si="302"/>
        <v>18568803.98224055</v>
      </c>
      <c r="V192" s="576">
        <f t="shared" si="302"/>
        <v>20161312.540639799</v>
      </c>
      <c r="W192" s="576">
        <f t="shared" si="302"/>
        <v>21791505.517740723</v>
      </c>
      <c r="X192" s="576">
        <f t="shared" si="302"/>
        <v>23507192.435007036</v>
      </c>
      <c r="Y192" s="576">
        <f t="shared" si="302"/>
        <v>25284903.72974946</v>
      </c>
      <c r="Z192" s="576">
        <f t="shared" si="302"/>
        <v>27064580.092905182</v>
      </c>
      <c r="AA192" s="576">
        <f t="shared" si="302"/>
        <v>28959696.652910948</v>
      </c>
      <c r="AB192" s="576">
        <f t="shared" si="302"/>
        <v>30158274.403389223</v>
      </c>
      <c r="AC192" s="576">
        <f t="shared" si="302"/>
        <v>31437324.185713157</v>
      </c>
      <c r="AD192" s="576">
        <f t="shared" si="302"/>
        <v>32722807.436718822</v>
      </c>
      <c r="AE192" s="576">
        <f t="shared" si="302"/>
        <v>33863408.163410865</v>
      </c>
      <c r="AF192" s="576">
        <f t="shared" si="302"/>
        <v>35034350.925512932</v>
      </c>
      <c r="AG192" s="576">
        <f t="shared" si="302"/>
        <v>36191591.798350766</v>
      </c>
      <c r="AH192" s="576">
        <f t="shared" si="302"/>
        <v>37233177.182376266</v>
      </c>
      <c r="AI192" s="576">
        <f t="shared" si="302"/>
        <v>38250686.742610693</v>
      </c>
      <c r="AJ192" s="576">
        <f t="shared" si="302"/>
        <v>39317499.335421905</v>
      </c>
      <c r="AK192" s="576">
        <f t="shared" si="302"/>
        <v>40228779.351260483</v>
      </c>
      <c r="AL192" s="576">
        <f t="shared" ref="AL192:BQ192" si="303">MAX(0,AL$189+MAX(0,-AL$190)-AL$191)</f>
        <v>41019793.454167061</v>
      </c>
      <c r="AM192" s="576">
        <f t="shared" si="303"/>
        <v>41930500.131432176</v>
      </c>
      <c r="AN192" s="576">
        <f t="shared" si="303"/>
        <v>42768484.934902616</v>
      </c>
      <c r="AO192" s="576">
        <f t="shared" si="303"/>
        <v>43646162.448353499</v>
      </c>
      <c r="AP192" s="576">
        <f t="shared" si="303"/>
        <v>44483510.28418418</v>
      </c>
      <c r="AQ192" s="576">
        <f t="shared" si="303"/>
        <v>45328803.340951391</v>
      </c>
      <c r="AR192" s="576">
        <f t="shared" si="303"/>
        <v>45965768.209538929</v>
      </c>
      <c r="AS192" s="576">
        <f t="shared" si="303"/>
        <v>46353617.197309785</v>
      </c>
      <c r="AT192" s="576">
        <f t="shared" si="303"/>
        <v>46564491.29352735</v>
      </c>
      <c r="AU192" s="576">
        <f t="shared" si="303"/>
        <v>46527272.700393036</v>
      </c>
      <c r="AV192" s="576">
        <f t="shared" si="303"/>
        <v>46321836.80011899</v>
      </c>
      <c r="AW192" s="576">
        <f t="shared" si="303"/>
        <v>45902704.234932475</v>
      </c>
      <c r="AX192" s="576">
        <f t="shared" si="303"/>
        <v>45155603.598181933</v>
      </c>
      <c r="AY192" s="576">
        <f t="shared" si="303"/>
        <v>44320161.036503807</v>
      </c>
      <c r="AZ192" s="576">
        <f t="shared" si="303"/>
        <v>43210402.035473801</v>
      </c>
      <c r="BA192" s="576">
        <f t="shared" si="303"/>
        <v>41932425.727304071</v>
      </c>
      <c r="BB192" s="576">
        <f t="shared" si="303"/>
        <v>40406356.729782462</v>
      </c>
      <c r="BC192" s="576">
        <f t="shared" si="303"/>
        <v>38028332.134791337</v>
      </c>
      <c r="BD192" s="576">
        <f t="shared" si="303"/>
        <v>36275532.094065808</v>
      </c>
      <c r="BE192" s="576">
        <f t="shared" si="303"/>
        <v>34475219.697543122</v>
      </c>
      <c r="BF192" s="576">
        <f t="shared" si="303"/>
        <v>32701150.394119799</v>
      </c>
      <c r="BG192" s="576">
        <f t="shared" si="303"/>
        <v>30879998.547610614</v>
      </c>
      <c r="BH192" s="576">
        <f t="shared" si="303"/>
        <v>29090857.117026508</v>
      </c>
      <c r="BI192" s="576">
        <f t="shared" si="303"/>
        <v>27288465.28521049</v>
      </c>
      <c r="BJ192" s="576">
        <f t="shared" si="303"/>
        <v>25361878.68479364</v>
      </c>
      <c r="BK192" s="576">
        <f t="shared" si="303"/>
        <v>23544045.139106344</v>
      </c>
      <c r="BL192" s="576">
        <f t="shared" si="303"/>
        <v>21653093.249395408</v>
      </c>
      <c r="BM192" s="576">
        <f t="shared" si="303"/>
        <v>19792746.327503361</v>
      </c>
      <c r="BN192" s="576">
        <f t="shared" si="303"/>
        <v>17886804.944062836</v>
      </c>
      <c r="BO192" s="576">
        <f t="shared" si="303"/>
        <v>15938164.254857987</v>
      </c>
      <c r="BP192" s="576">
        <f t="shared" si="303"/>
        <v>12828374.832782656</v>
      </c>
      <c r="BQ192" s="576">
        <f t="shared" si="303"/>
        <v>9713194.0214611813</v>
      </c>
      <c r="BR192" s="576">
        <f t="shared" ref="BR192:CW192" si="304">MAX(0,BR$189+MAX(0,-BR$190)-BR$191)</f>
        <v>6591483.2010772061</v>
      </c>
      <c r="BS192" s="576">
        <f t="shared" si="304"/>
        <v>3469772.3806932308</v>
      </c>
      <c r="BT192" s="576">
        <f t="shared" si="304"/>
        <v>348061.5603092555</v>
      </c>
      <c r="BU192" s="576">
        <f t="shared" si="304"/>
        <v>0</v>
      </c>
      <c r="BV192" s="576">
        <f t="shared" si="304"/>
        <v>0</v>
      </c>
      <c r="BW192" s="576">
        <f t="shared" si="304"/>
        <v>0</v>
      </c>
      <c r="BX192" s="576">
        <f t="shared" si="304"/>
        <v>0</v>
      </c>
      <c r="BY192" s="576">
        <f t="shared" si="304"/>
        <v>0</v>
      </c>
      <c r="BZ192" s="576">
        <f t="shared" si="304"/>
        <v>0</v>
      </c>
      <c r="CA192" s="576">
        <f t="shared" si="304"/>
        <v>0</v>
      </c>
      <c r="CB192" s="576">
        <f t="shared" si="304"/>
        <v>0</v>
      </c>
      <c r="CC192" s="576">
        <f t="shared" si="304"/>
        <v>0</v>
      </c>
      <c r="CD192" s="576">
        <f t="shared" si="304"/>
        <v>0</v>
      </c>
      <c r="CE192" s="576">
        <f t="shared" si="304"/>
        <v>0</v>
      </c>
      <c r="CF192" s="576">
        <f t="shared" si="304"/>
        <v>0</v>
      </c>
      <c r="CG192" s="576">
        <f t="shared" si="304"/>
        <v>0</v>
      </c>
      <c r="CH192" s="576">
        <f t="shared" si="304"/>
        <v>0</v>
      </c>
      <c r="CI192" s="576">
        <f t="shared" si="304"/>
        <v>0</v>
      </c>
      <c r="CJ192" s="576">
        <f t="shared" si="304"/>
        <v>0</v>
      </c>
      <c r="CK192" s="576">
        <f t="shared" si="304"/>
        <v>0</v>
      </c>
      <c r="CL192" s="576">
        <f t="shared" si="304"/>
        <v>0</v>
      </c>
      <c r="CM192" s="576">
        <f t="shared" si="304"/>
        <v>0</v>
      </c>
      <c r="CN192" s="576">
        <f t="shared" si="304"/>
        <v>0</v>
      </c>
      <c r="CO192" s="576">
        <f t="shared" si="304"/>
        <v>0</v>
      </c>
      <c r="CP192" s="576">
        <f t="shared" si="304"/>
        <v>0</v>
      </c>
      <c r="CQ192" s="576">
        <f t="shared" si="304"/>
        <v>0</v>
      </c>
      <c r="CR192" s="576">
        <f t="shared" si="304"/>
        <v>0</v>
      </c>
      <c r="CS192" s="576">
        <f t="shared" si="304"/>
        <v>0</v>
      </c>
      <c r="CT192" s="576">
        <f t="shared" si="304"/>
        <v>0</v>
      </c>
      <c r="CU192" s="576">
        <f t="shared" si="304"/>
        <v>0</v>
      </c>
      <c r="CV192" s="576">
        <f t="shared" si="304"/>
        <v>0</v>
      </c>
      <c r="CW192" s="576">
        <f t="shared" si="304"/>
        <v>0</v>
      </c>
      <c r="CX192" s="576">
        <f t="shared" ref="CX192:DV192" si="305">MAX(0,CX$189+MAX(0,-CX$190)-CX$191)</f>
        <v>0</v>
      </c>
      <c r="CY192" s="576">
        <f t="shared" si="305"/>
        <v>0</v>
      </c>
      <c r="CZ192" s="576">
        <f t="shared" si="305"/>
        <v>0</v>
      </c>
      <c r="DA192" s="576">
        <f t="shared" si="305"/>
        <v>0</v>
      </c>
      <c r="DB192" s="576">
        <f t="shared" si="305"/>
        <v>0</v>
      </c>
      <c r="DC192" s="576">
        <f t="shared" si="305"/>
        <v>0</v>
      </c>
      <c r="DD192" s="576">
        <f t="shared" si="305"/>
        <v>0</v>
      </c>
      <c r="DE192" s="576">
        <f t="shared" si="305"/>
        <v>0</v>
      </c>
      <c r="DF192" s="576">
        <f t="shared" si="305"/>
        <v>0</v>
      </c>
      <c r="DG192" s="576">
        <f t="shared" si="305"/>
        <v>0</v>
      </c>
      <c r="DH192" s="576">
        <f t="shared" si="305"/>
        <v>0</v>
      </c>
      <c r="DI192" s="576">
        <f t="shared" si="305"/>
        <v>0</v>
      </c>
      <c r="DJ192" s="576">
        <f t="shared" si="305"/>
        <v>0</v>
      </c>
      <c r="DK192" s="576">
        <f t="shared" si="305"/>
        <v>0</v>
      </c>
      <c r="DL192" s="576">
        <f t="shared" si="305"/>
        <v>0</v>
      </c>
      <c r="DM192" s="576">
        <f t="shared" si="305"/>
        <v>0</v>
      </c>
      <c r="DN192" s="576">
        <f t="shared" si="305"/>
        <v>0</v>
      </c>
      <c r="DO192" s="576">
        <f t="shared" si="305"/>
        <v>0</v>
      </c>
      <c r="DP192" s="576">
        <f t="shared" si="305"/>
        <v>0</v>
      </c>
      <c r="DQ192" s="576">
        <f t="shared" si="305"/>
        <v>0</v>
      </c>
      <c r="DR192" s="576">
        <f t="shared" si="305"/>
        <v>0</v>
      </c>
      <c r="DS192" s="576">
        <f t="shared" si="305"/>
        <v>0</v>
      </c>
      <c r="DT192" s="576">
        <f t="shared" si="305"/>
        <v>0</v>
      </c>
      <c r="DU192" s="576">
        <f t="shared" si="305"/>
        <v>0</v>
      </c>
      <c r="DV192" s="576">
        <f t="shared" si="305"/>
        <v>0</v>
      </c>
    </row>
    <row r="193" spans="1:126" ht="15" customHeight="1" x14ac:dyDescent="0.35">
      <c r="A193" s="306" t="s">
        <v>1607</v>
      </c>
      <c r="B193" s="313" t="s">
        <v>1370</v>
      </c>
      <c r="C193" s="313" t="s">
        <v>1694</v>
      </c>
      <c r="D193" s="313"/>
      <c r="E193" s="313">
        <v>0</v>
      </c>
      <c r="F193" s="575">
        <f>MAX(0,F$190-F$191)*'URWLD COMPANY INPUTS'!$F$790</f>
        <v>0</v>
      </c>
      <c r="G193" s="881">
        <f>MAX(0,G$190-G$191)*'URWLD COMPANY INPUTS'!$F$790</f>
        <v>0</v>
      </c>
      <c r="H193" s="881">
        <f>MAX(0,H$190-H$191)*'URWLD COMPANY INPUTS'!$F$790</f>
        <v>0</v>
      </c>
      <c r="I193" s="881">
        <f>MAX(0,I$190-I$191)*'URWLD COMPANY INPUTS'!$F$790</f>
        <v>0</v>
      </c>
      <c r="J193" s="882">
        <f>MAX(0,J$190-J$191)*'URWLD COMPANY INPUTS'!$F$790</f>
        <v>0</v>
      </c>
      <c r="K193" s="575">
        <f>MAX(0,K$190-K$191)*'URWLD COMPANY INPUTS'!$F$790</f>
        <v>0</v>
      </c>
      <c r="L193" s="575">
        <f>MAX(0,L$190-L$191)*'URWLD COMPANY INPUTS'!$F$790</f>
        <v>0</v>
      </c>
      <c r="M193" s="575">
        <f>MAX(0,M$190-M$191)*'URWLD COMPANY INPUTS'!$F$790</f>
        <v>0</v>
      </c>
      <c r="N193" s="575">
        <f>MAX(0,N$190-N$191)*'URWLD COMPANY INPUTS'!$F$790</f>
        <v>0</v>
      </c>
      <c r="O193" s="575">
        <f>MAX(0,O$190-O$191)*'URWLD COMPANY INPUTS'!$F$790</f>
        <v>0</v>
      </c>
      <c r="P193" s="881">
        <f>MAX(0,P$190-P$191)*'URWLD COMPANY INPUTS'!$F$790</f>
        <v>0</v>
      </c>
      <c r="Q193" s="881">
        <f>MAX(0,Q$190-Q$191)*'URWLD COMPANY INPUTS'!$F$790</f>
        <v>0</v>
      </c>
      <c r="R193" s="881">
        <f>MAX(0,R$190-R$191)*'URWLD COMPANY INPUTS'!$F$790</f>
        <v>0</v>
      </c>
      <c r="S193" s="881">
        <f>MAX(0,S$190-S$191)*'URWLD COMPANY INPUTS'!$F$790</f>
        <v>0</v>
      </c>
      <c r="T193" s="881">
        <f>MAX(0,T$190-T$191)*'URWLD COMPANY INPUTS'!$F$790</f>
        <v>0</v>
      </c>
      <c r="U193" s="881">
        <f>MAX(0,U$190-U$191)*'URWLD COMPANY INPUTS'!$F$790</f>
        <v>0</v>
      </c>
      <c r="V193" s="881">
        <f>MAX(0,V$190-V$191)*'URWLD COMPANY INPUTS'!$F$790</f>
        <v>0</v>
      </c>
      <c r="W193" s="881">
        <f>MAX(0,W$190-W$191)*'URWLD COMPANY INPUTS'!$F$790</f>
        <v>0</v>
      </c>
      <c r="X193" s="881">
        <f>MAX(0,X$190-X$191)*'URWLD COMPANY INPUTS'!$F$790</f>
        <v>0</v>
      </c>
      <c r="Y193" s="881">
        <f>MAX(0,Y$190-Y$191)*'URWLD COMPANY INPUTS'!$F$790</f>
        <v>0</v>
      </c>
      <c r="Z193" s="881">
        <f>MAX(0,Z$190-Z$191)*'URWLD COMPANY INPUTS'!$F$790</f>
        <v>0</v>
      </c>
      <c r="AA193" s="881">
        <f>MAX(0,AA$190-AA$191)*'URWLD COMPANY INPUTS'!$F$790</f>
        <v>0</v>
      </c>
      <c r="AB193" s="881">
        <f>MAX(0,AB$190-AB$191)*'URWLD COMPANY INPUTS'!$F$790</f>
        <v>0</v>
      </c>
      <c r="AC193" s="881">
        <f>MAX(0,AC$190-AC$191)*'URWLD COMPANY INPUTS'!$F$790</f>
        <v>0</v>
      </c>
      <c r="AD193" s="881">
        <f>MAX(0,AD$190-AD$191)*'URWLD COMPANY INPUTS'!$F$790</f>
        <v>0</v>
      </c>
      <c r="AE193" s="881">
        <f>MAX(0,AE$190-AE$191)*'URWLD COMPANY INPUTS'!$F$790</f>
        <v>0</v>
      </c>
      <c r="AF193" s="881">
        <f>MAX(0,AF$190-AF$191)*'URWLD COMPANY INPUTS'!$F$790</f>
        <v>0</v>
      </c>
      <c r="AG193" s="881">
        <f>MAX(0,AG$190-AG$191)*'URWLD COMPANY INPUTS'!$F$790</f>
        <v>0</v>
      </c>
      <c r="AH193" s="881">
        <f>MAX(0,AH$190-AH$191)*'URWLD COMPANY INPUTS'!$F$790</f>
        <v>0</v>
      </c>
      <c r="AI193" s="881">
        <f>MAX(0,AI$190-AI$191)*'URWLD COMPANY INPUTS'!$F$790</f>
        <v>0</v>
      </c>
      <c r="AJ193" s="881">
        <f>MAX(0,AJ$190-AJ$191)*'URWLD COMPANY INPUTS'!$F$790</f>
        <v>0</v>
      </c>
      <c r="AK193" s="881">
        <f>MAX(0,AK$190-AK$191)*'URWLD COMPANY INPUTS'!$F$790</f>
        <v>0</v>
      </c>
      <c r="AL193" s="881">
        <f>MAX(0,AL$190-AL$191)*'URWLD COMPANY INPUTS'!$F$790</f>
        <v>0</v>
      </c>
      <c r="AM193" s="881">
        <f>MAX(0,AM$190-AM$191)*'URWLD COMPANY INPUTS'!$F$790</f>
        <v>0</v>
      </c>
      <c r="AN193" s="881">
        <f>MAX(0,AN$190-AN$191)*'URWLD COMPANY INPUTS'!$F$790</f>
        <v>0</v>
      </c>
      <c r="AO193" s="881">
        <f>MAX(0,AO$190-AO$191)*'URWLD COMPANY INPUTS'!$F$790</f>
        <v>0</v>
      </c>
      <c r="AP193" s="881">
        <f>MAX(0,AP$190-AP$191)*'URWLD COMPANY INPUTS'!$F$790</f>
        <v>0</v>
      </c>
      <c r="AQ193" s="881">
        <f>MAX(0,AQ$190-AQ$191)*'URWLD COMPANY INPUTS'!$F$790</f>
        <v>0</v>
      </c>
      <c r="AR193" s="881">
        <f>MAX(0,AR$190-AR$191)*'URWLD COMPANY INPUTS'!$F$790</f>
        <v>0</v>
      </c>
      <c r="AS193" s="881">
        <f>MAX(0,AS$190-AS$191)*'URWLD COMPANY INPUTS'!$F$790</f>
        <v>0</v>
      </c>
      <c r="AT193" s="881">
        <f>MAX(0,AT$190-AT$191)*'URWLD COMPANY INPUTS'!$F$790</f>
        <v>0</v>
      </c>
      <c r="AU193" s="881">
        <f>MAX(0,AU$190-AU$191)*'URWLD COMPANY INPUTS'!$F$790</f>
        <v>0</v>
      </c>
      <c r="AV193" s="881">
        <f>MAX(0,AV$190-AV$191)*'URWLD COMPANY INPUTS'!$F$790</f>
        <v>0</v>
      </c>
      <c r="AW193" s="881">
        <f>MAX(0,AW$190-AW$191)*'URWLD COMPANY INPUTS'!$F$790</f>
        <v>0</v>
      </c>
      <c r="AX193" s="881">
        <f>MAX(0,AX$190-AX$191)*'URWLD COMPANY INPUTS'!$F$790</f>
        <v>0</v>
      </c>
      <c r="AY193" s="881">
        <f>MAX(0,AY$190-AY$191)*'URWLD COMPANY INPUTS'!$F$790</f>
        <v>0</v>
      </c>
      <c r="AZ193" s="881">
        <f>MAX(0,AZ$190-AZ$191)*'URWLD COMPANY INPUTS'!$F$790</f>
        <v>0</v>
      </c>
      <c r="BA193" s="881">
        <f>MAX(0,BA$190-BA$191)*'URWLD COMPANY INPUTS'!$F$790</f>
        <v>0</v>
      </c>
      <c r="BB193" s="881">
        <f>MAX(0,BB$190-BB$191)*'URWLD COMPANY INPUTS'!$F$790</f>
        <v>0</v>
      </c>
      <c r="BC193" s="881">
        <f>MAX(0,BC$190-BC$191)*'URWLD COMPANY INPUTS'!$F$790</f>
        <v>0</v>
      </c>
      <c r="BD193" s="881">
        <f>MAX(0,BD$190-BD$191)*'URWLD COMPANY INPUTS'!$F$790</f>
        <v>0</v>
      </c>
      <c r="BE193" s="881">
        <f>MAX(0,BE$190-BE$191)*'URWLD COMPANY INPUTS'!$F$790</f>
        <v>0</v>
      </c>
      <c r="BF193" s="881">
        <f>MAX(0,BF$190-BF$191)*'URWLD COMPANY INPUTS'!$F$790</f>
        <v>0</v>
      </c>
      <c r="BG193" s="881">
        <f>MAX(0,BG$190-BG$191)*'URWLD COMPANY INPUTS'!$F$790</f>
        <v>0</v>
      </c>
      <c r="BH193" s="881">
        <f>MAX(0,BH$190-BH$191)*'URWLD COMPANY INPUTS'!$F$790</f>
        <v>0</v>
      </c>
      <c r="BI193" s="881">
        <f>MAX(0,BI$190-BI$191)*'URWLD COMPANY INPUTS'!$F$790</f>
        <v>0</v>
      </c>
      <c r="BJ193" s="881">
        <f>MAX(0,BJ$190-BJ$191)*'URWLD COMPANY INPUTS'!$F$790</f>
        <v>0</v>
      </c>
      <c r="BK193" s="881">
        <f>MAX(0,BK$190-BK$191)*'URWLD COMPANY INPUTS'!$F$790</f>
        <v>0</v>
      </c>
      <c r="BL193" s="881">
        <f>MAX(0,BL$190-BL$191)*'URWLD COMPANY INPUTS'!$F$790</f>
        <v>0</v>
      </c>
      <c r="BM193" s="881">
        <f>MAX(0,BM$190-BM$191)*'URWLD COMPANY INPUTS'!$F$790</f>
        <v>0</v>
      </c>
      <c r="BN193" s="881">
        <f>MAX(0,BN$190-BN$191)*'URWLD COMPANY INPUTS'!$F$790</f>
        <v>0</v>
      </c>
      <c r="BO193" s="881">
        <f>MAX(0,BO$190-BO$191)*'URWLD COMPANY INPUTS'!$F$790</f>
        <v>0</v>
      </c>
      <c r="BP193" s="881">
        <f>MAX(0,BP$190-BP$191)*'URWLD COMPANY INPUTS'!$F$790</f>
        <v>0</v>
      </c>
      <c r="BQ193" s="881">
        <f>MAX(0,BQ$190-BQ$191)*'URWLD COMPANY INPUTS'!$F$790</f>
        <v>0</v>
      </c>
      <c r="BR193" s="881">
        <f>MAX(0,BR$190-BR$191)*'URWLD COMPANY INPUTS'!$F$790</f>
        <v>0</v>
      </c>
      <c r="BS193" s="881">
        <f>MAX(0,BS$190-BS$191)*'URWLD COMPANY INPUTS'!$F$790</f>
        <v>0</v>
      </c>
      <c r="BT193" s="881">
        <f>MAX(0,BT$190-BT$191)*'URWLD COMPANY INPUTS'!$F$790</f>
        <v>0</v>
      </c>
      <c r="BU193" s="881">
        <f>MAX(0,BU$190-BU$191)*'URWLD COMPANY INPUTS'!$F$790</f>
        <v>833875.68958491564</v>
      </c>
      <c r="BV193" s="881">
        <f>MAX(0,BV$190-BV$191)*'URWLD COMPANY INPUTS'!$F$790</f>
        <v>938294.15767769236</v>
      </c>
      <c r="BW193" s="881">
        <f>MAX(0,BW$190-BW$191)*'URWLD COMPANY INPUTS'!$F$790</f>
        <v>938294.15767769236</v>
      </c>
      <c r="BX193" s="881">
        <f>MAX(0,BX$190-BX$191)*'URWLD COMPANY INPUTS'!$F$790</f>
        <v>946721.61865581735</v>
      </c>
      <c r="BY193" s="881">
        <f>MAX(0,BY$190-BY$191)*'URWLD COMPANY INPUTS'!$F$790</f>
        <v>946721.61865581735</v>
      </c>
      <c r="BZ193" s="881">
        <f>MAX(0,BZ$190-BZ$191)*'URWLD COMPANY INPUTS'!$F$790</f>
        <v>946721.61865581735</v>
      </c>
      <c r="CA193" s="881">
        <f>MAX(0,CA$190-CA$191)*'URWLD COMPANY INPUTS'!$F$790</f>
        <v>969115.15903135366</v>
      </c>
      <c r="CB193" s="881">
        <f>MAX(0,CB$190-CB$191)*'URWLD COMPANY INPUTS'!$F$790</f>
        <v>969115.15903135366</v>
      </c>
      <c r="CC193" s="881">
        <f>MAX(0,CC$190-CC$191)*'URWLD COMPANY INPUTS'!$F$790</f>
        <v>969115.15903135366</v>
      </c>
      <c r="CD193" s="881">
        <f>MAX(0,CD$190-CD$191)*'URWLD COMPANY INPUTS'!$F$790</f>
        <v>971142.72684525966</v>
      </c>
      <c r="CE193" s="881">
        <f>MAX(0,CE$190-CE$191)*'URWLD COMPANY INPUTS'!$F$790</f>
        <v>971142.72684525966</v>
      </c>
      <c r="CF193" s="881">
        <f>MAX(0,CF$190-CF$191)*'URWLD COMPANY INPUTS'!$F$790</f>
        <v>971142.72684525966</v>
      </c>
      <c r="CG193" s="881">
        <f>MAX(0,CG$190-CG$191)*'URWLD COMPANY INPUTS'!$F$790</f>
        <v>972985.97031244717</v>
      </c>
      <c r="CH193" s="881">
        <f>MAX(0,CH$190-CH$191)*'URWLD COMPANY INPUTS'!$F$790</f>
        <v>972985.97031244717</v>
      </c>
      <c r="CI193" s="881">
        <f>MAX(0,CI$190-CI$191)*'URWLD COMPANY INPUTS'!$F$790</f>
        <v>972985.97031244717</v>
      </c>
      <c r="CJ193" s="881">
        <f>MAX(0,CJ$190-CJ$191)*'URWLD COMPANY INPUTS'!$F$790</f>
        <v>981708.39242480672</v>
      </c>
      <c r="CK193" s="881">
        <f>MAX(0,CK$190-CK$191)*'URWLD COMPANY INPUTS'!$F$790</f>
        <v>981708.39242480672</v>
      </c>
      <c r="CL193" s="881">
        <f>MAX(0,CL$190-CL$191)*'URWLD COMPANY INPUTS'!$F$790</f>
        <v>981708.39242480672</v>
      </c>
      <c r="CM193" s="881">
        <f>MAX(0,CM$190-CM$191)*'URWLD COMPANY INPUTS'!$F$790</f>
        <v>1004686.9946413871</v>
      </c>
      <c r="CN193" s="881">
        <f>MAX(0,CN$190-CN$191)*'URWLD COMPANY INPUTS'!$F$790</f>
        <v>1004686.9946413871</v>
      </c>
      <c r="CO193" s="881">
        <f>MAX(0,CO$190-CO$191)*'URWLD COMPANY INPUTS'!$F$790</f>
        <v>1004686.9946413871</v>
      </c>
      <c r="CP193" s="881">
        <f>MAX(0,CP$190-CP$191)*'URWLD COMPANY INPUTS'!$F$790</f>
        <v>1006785.5273287803</v>
      </c>
      <c r="CQ193" s="881">
        <f>MAX(0,CQ$190-CQ$191)*'URWLD COMPANY INPUTS'!$F$790</f>
        <v>1006785.5273287803</v>
      </c>
      <c r="CR193" s="881">
        <f>MAX(0,CR$190-CR$191)*'URWLD COMPANY INPUTS'!$F$790</f>
        <v>1006785.5273287803</v>
      </c>
      <c r="CS193" s="881">
        <f>MAX(0,CS$190-CS$191)*'URWLD COMPANY INPUTS'!$F$790</f>
        <v>1008693.2843173193</v>
      </c>
      <c r="CT193" s="881">
        <f>MAX(0,CT$190-CT$191)*'URWLD COMPANY INPUTS'!$F$790</f>
        <v>1008693.2843173193</v>
      </c>
      <c r="CU193" s="881">
        <f>MAX(0,CU$190-CU$191)*'URWLD COMPANY INPUTS'!$F$790</f>
        <v>1008693.2843173193</v>
      </c>
      <c r="CV193" s="881">
        <f>MAX(0,CV$190-CV$191)*'URWLD COMPANY INPUTS'!$F$790</f>
        <v>1017720.9912036115</v>
      </c>
      <c r="CW193" s="881">
        <f>MAX(0,CW$190-CW$191)*'URWLD COMPANY INPUTS'!$F$790</f>
        <v>1017720.9912036115</v>
      </c>
      <c r="CX193" s="881">
        <f>MAX(0,CX$190-CX$191)*'URWLD COMPANY INPUTS'!$F$790</f>
        <v>1017720.9912036115</v>
      </c>
      <c r="CY193" s="881">
        <f>MAX(0,CY$190-CY$191)*'URWLD COMPANY INPUTS'!$F$790</f>
        <v>1041300.1646238707</v>
      </c>
      <c r="CZ193" s="881">
        <f>MAX(0,CZ$190-CZ$191)*'URWLD COMPANY INPUTS'!$F$790</f>
        <v>1041300.1646238707</v>
      </c>
      <c r="DA193" s="881">
        <f>MAX(0,DA$190-DA$191)*'URWLD COMPANY INPUTS'!$F$790</f>
        <v>1041300.1646238707</v>
      </c>
      <c r="DB193" s="881">
        <f>MAX(0,DB$190-DB$191)*'URWLD COMPANY INPUTS'!$F$790</f>
        <v>1043472.1459553222</v>
      </c>
      <c r="DC193" s="881">
        <f>MAX(0,DC$190-DC$191)*'URWLD COMPANY INPUTS'!$F$790</f>
        <v>1043472.1459553222</v>
      </c>
      <c r="DD193" s="881">
        <f>MAX(0,DD$190-DD$191)*'URWLD COMPANY INPUTS'!$F$790</f>
        <v>1043472.1459553222</v>
      </c>
      <c r="DE193" s="881">
        <f>MAX(0,DE$190-DE$191)*'URWLD COMPANY INPUTS'!$F$790</f>
        <v>1045446.6744384604</v>
      </c>
      <c r="DF193" s="881">
        <f>MAX(0,DF$190-DF$191)*'URWLD COMPANY INPUTS'!$F$790</f>
        <v>1045446.6744384604</v>
      </c>
      <c r="DG193" s="881">
        <f>MAX(0,DG$190-DG$191)*'URWLD COMPANY INPUTS'!$F$790</f>
        <v>1045446.6744384604</v>
      </c>
      <c r="DH193" s="881">
        <f>MAX(0,DH$190-DH$191)*'URWLD COMPANY INPUTS'!$F$790</f>
        <v>1054790.3510657724</v>
      </c>
      <c r="DI193" s="881">
        <f>MAX(0,DI$190-DI$191)*'URWLD COMPANY INPUTS'!$F$790</f>
        <v>1054790.3510657724</v>
      </c>
      <c r="DJ193" s="881">
        <f>MAX(0,DJ$190-DJ$191)*'URWLD COMPANY INPUTS'!$F$790</f>
        <v>1054790.3510657724</v>
      </c>
      <c r="DK193" s="881">
        <f>MAX(0,DK$190-DK$191)*'URWLD COMPANY INPUTS'!$F$790</f>
        <v>1078986.0236849918</v>
      </c>
      <c r="DL193" s="881">
        <f>MAX(0,DL$190-DL$191)*'URWLD COMPANY INPUTS'!$F$790</f>
        <v>1078986.0236849918</v>
      </c>
      <c r="DM193" s="881">
        <f>MAX(0,DM$190-DM$191)*'URWLD COMPANY INPUTS'!$F$790</f>
        <v>1078986.0236849918</v>
      </c>
      <c r="DN193" s="881">
        <f>MAX(0,DN$190-DN$191)*'URWLD COMPANY INPUTS'!$F$790</f>
        <v>1081234.0243630442</v>
      </c>
      <c r="DO193" s="881">
        <f>MAX(0,DO$190-DO$191)*'URWLD COMPANY INPUTS'!$F$790</f>
        <v>1081234.0243630442</v>
      </c>
      <c r="DP193" s="881">
        <f>MAX(0,DP$190-DP$191)*'URWLD COMPANY INPUTS'!$F$790</f>
        <v>1081234.0243630442</v>
      </c>
      <c r="DQ193" s="881">
        <f>MAX(0,DQ$190-DQ$191)*'URWLD COMPANY INPUTS'!$F$790</f>
        <v>1083277.6613430921</v>
      </c>
      <c r="DR193" s="881">
        <f>MAX(0,DR$190-DR$191)*'URWLD COMPANY INPUTS'!$F$790</f>
        <v>1083277.6613430921</v>
      </c>
      <c r="DS193" s="881">
        <f>MAX(0,DS$190-DS$191)*'URWLD COMPANY INPUTS'!$F$790</f>
        <v>1083277.6613430921</v>
      </c>
      <c r="DT193" s="881">
        <f>MAX(0,DT$190-DT$191)*'URWLD COMPANY INPUTS'!$F$790</f>
        <v>1092948.3666523602</v>
      </c>
      <c r="DU193" s="881">
        <f>MAX(0,DU$190-DU$191)*'URWLD COMPANY INPUTS'!$F$790</f>
        <v>1092948.3666523602</v>
      </c>
      <c r="DV193" s="881">
        <f>MAX(0,DV$190-DV$191)*'URWLD COMPANY INPUTS'!$F$790</f>
        <v>1092948.3666523602</v>
      </c>
    </row>
    <row r="194" spans="1:126" ht="15" customHeight="1" x14ac:dyDescent="0.35">
      <c r="A194" s="306" t="s">
        <v>1695</v>
      </c>
      <c r="B194" s="313" t="s">
        <v>1370</v>
      </c>
      <c r="C194" s="313" t="s">
        <v>1696</v>
      </c>
      <c r="D194" s="313"/>
      <c r="E194" s="313">
        <v>0</v>
      </c>
      <c r="F194" s="895">
        <f>MAX(0,F$139*12*'DATA MAP'!$E$264)</f>
        <v>0</v>
      </c>
      <c r="G194" s="896">
        <f>MAX(0,G$139*12*'DATA MAP'!$E$264)</f>
        <v>0</v>
      </c>
      <c r="H194" s="896">
        <f>MAX(0,H$139*12*'DATA MAP'!$E$264)</f>
        <v>0</v>
      </c>
      <c r="I194" s="896">
        <f>MAX(0,I$139*12*'DATA MAP'!$E$264)</f>
        <v>0</v>
      </c>
      <c r="J194" s="897">
        <f>MAX(0,J$139*12*'DATA MAP'!$E$264)</f>
        <v>0</v>
      </c>
      <c r="K194" s="895">
        <f>MAX(0,K$139*12*'DATA MAP'!$E$264)</f>
        <v>0</v>
      </c>
      <c r="L194" s="895">
        <f>MAX(0,L$139*12*'DATA MAP'!$E$264)</f>
        <v>0</v>
      </c>
      <c r="M194" s="895">
        <f>MAX(0,M$139*12*'DATA MAP'!$E$264)</f>
        <v>0</v>
      </c>
      <c r="N194" s="895">
        <f>MAX(0,N$139*12*'DATA MAP'!$E$264)</f>
        <v>0</v>
      </c>
      <c r="O194" s="895">
        <f>MAX(0,O$139*12*'DATA MAP'!$E$264)</f>
        <v>0</v>
      </c>
      <c r="P194" s="896">
        <f>MAX(0,P$139*12*'DATA MAP'!$E$264)</f>
        <v>0</v>
      </c>
      <c r="Q194" s="896">
        <f>MAX(0,Q$139*12*'DATA MAP'!$E$264)</f>
        <v>0</v>
      </c>
      <c r="R194" s="896">
        <f>MAX(0,R$139*12*'DATA MAP'!$E$264)</f>
        <v>0</v>
      </c>
      <c r="S194" s="896">
        <f>MAX(0,S$139*12*'DATA MAP'!$E$264)</f>
        <v>0</v>
      </c>
      <c r="T194" s="896">
        <f>MAX(0,T$139*12*'DATA MAP'!$E$264)</f>
        <v>0</v>
      </c>
      <c r="U194" s="896">
        <f>MAX(0,U$139*12*'DATA MAP'!$E$264)</f>
        <v>0</v>
      </c>
      <c r="V194" s="896">
        <f>MAX(0,V$139*12*'DATA MAP'!$E$264)</f>
        <v>0</v>
      </c>
      <c r="W194" s="896">
        <f>MAX(0,W$139*12*'DATA MAP'!$E$264)</f>
        <v>0</v>
      </c>
      <c r="X194" s="896">
        <f>MAX(0,X$139*12*'DATA MAP'!$E$264)</f>
        <v>0</v>
      </c>
      <c r="Y194" s="896">
        <f>MAX(0,Y$139*12*'DATA MAP'!$E$264)</f>
        <v>0</v>
      </c>
      <c r="Z194" s="896">
        <f>MAX(0,Z$139*12*'DATA MAP'!$E$264)</f>
        <v>0</v>
      </c>
      <c r="AA194" s="896">
        <f>MAX(0,AA$139*12*'DATA MAP'!$E$264)</f>
        <v>0</v>
      </c>
      <c r="AB194" s="896">
        <f>MAX(0,AB$139*12*'DATA MAP'!$E$264)</f>
        <v>172000</v>
      </c>
      <c r="AC194" s="896">
        <f>MAX(0,AC$139*12*'DATA MAP'!$E$264)</f>
        <v>172000</v>
      </c>
      <c r="AD194" s="896">
        <f>MAX(0,AD$139*12*'DATA MAP'!$E$264)</f>
        <v>172000</v>
      </c>
      <c r="AE194" s="896">
        <f>MAX(0,AE$139*12*'DATA MAP'!$E$264)</f>
        <v>224000</v>
      </c>
      <c r="AF194" s="896">
        <f>MAX(0,AF$139*12*'DATA MAP'!$E$264)</f>
        <v>224000</v>
      </c>
      <c r="AG194" s="896">
        <f>MAX(0,AG$139*12*'DATA MAP'!$E$264)</f>
        <v>224000</v>
      </c>
      <c r="AH194" s="896">
        <f>MAX(0,AH$139*12*'DATA MAP'!$E$264)</f>
        <v>265800</v>
      </c>
      <c r="AI194" s="896">
        <f>MAX(0,AI$139*12*'DATA MAP'!$E$264)</f>
        <v>265800</v>
      </c>
      <c r="AJ194" s="896">
        <f>MAX(0,AJ$139*12*'DATA MAP'!$E$264)</f>
        <v>265800</v>
      </c>
      <c r="AK194" s="896">
        <f>MAX(0,AK$139*12*'DATA MAP'!$E$264)</f>
        <v>303800</v>
      </c>
      <c r="AL194" s="896">
        <f>MAX(0,AL$139*12*'DATA MAP'!$E$264)</f>
        <v>303800</v>
      </c>
      <c r="AM194" s="896">
        <f>MAX(0,AM$139*12*'DATA MAP'!$E$264)</f>
        <v>303800</v>
      </c>
      <c r="AN194" s="896">
        <f>MAX(0,AN$139*12*'DATA MAP'!$E$264)</f>
        <v>311619.99999999994</v>
      </c>
      <c r="AO194" s="896">
        <f>MAX(0,AO$139*12*'DATA MAP'!$E$264)</f>
        <v>311619.99999999994</v>
      </c>
      <c r="AP194" s="896">
        <f>MAX(0,AP$139*12*'DATA MAP'!$E$264)</f>
        <v>311619.99999999994</v>
      </c>
      <c r="AQ194" s="896">
        <f>MAX(0,AQ$139*12*'DATA MAP'!$E$264)</f>
        <v>319192.03999999992</v>
      </c>
      <c r="AR194" s="896">
        <f>MAX(0,AR$139*12*'DATA MAP'!$E$264)</f>
        <v>374471.16445599095</v>
      </c>
      <c r="AS194" s="896">
        <f>MAX(0,AS$139*12*'DATA MAP'!$E$264)</f>
        <v>429750.28891198203</v>
      </c>
      <c r="AT194" s="896">
        <f>MAX(0,AT$139*12*'DATA MAP'!$E$264)</f>
        <v>486968.03184142895</v>
      </c>
      <c r="AU194" s="896">
        <f>MAX(0,AU$139*12*'DATA MAP'!$E$264)</f>
        <v>542405.69578857196</v>
      </c>
      <c r="AV194" s="896">
        <f>MAX(0,AV$139*12*'DATA MAP'!$E$264)</f>
        <v>597843.35973571509</v>
      </c>
      <c r="AW194" s="896">
        <f>MAX(0,AW$139*12*'DATA MAP'!$E$264)</f>
        <v>654611.0236828581</v>
      </c>
      <c r="AX194" s="896">
        <f>MAX(0,AX$139*12*'DATA MAP'!$E$264)</f>
        <v>710048.68763000099</v>
      </c>
      <c r="AY194" s="896">
        <f>MAX(0,AY$139*12*'DATA MAP'!$E$264)</f>
        <v>765486.351577144</v>
      </c>
      <c r="AZ194" s="896">
        <f>MAX(0,AZ$139*12*'DATA MAP'!$E$264)</f>
        <v>827217.71552428696</v>
      </c>
      <c r="BA194" s="896">
        <f>MAX(0,BA$139*12*'DATA MAP'!$E$264)</f>
        <v>882655.37947143009</v>
      </c>
      <c r="BB194" s="896">
        <f>MAX(0,BB$139*12*'DATA MAP'!$E$264)</f>
        <v>938093.04341857287</v>
      </c>
      <c r="BC194" s="896">
        <f>MAX(0,BC$139*12*'DATA MAP'!$E$264)</f>
        <v>1012189.5075498588</v>
      </c>
      <c r="BD194" s="896">
        <f>MAX(0,BD$139*12*'DATA MAP'!$E$264)</f>
        <v>1012189.5075498588</v>
      </c>
      <c r="BE194" s="896">
        <f>MAX(0,BE$139*12*'DATA MAP'!$E$264)</f>
        <v>1012189.5075498588</v>
      </c>
      <c r="BF194" s="896">
        <f>MAX(0,BF$139*12*'DATA MAP'!$E$264)</f>
        <v>1013703.7125498587</v>
      </c>
      <c r="BG194" s="896">
        <f>MAX(0,BG$139*12*'DATA MAP'!$E$264)</f>
        <v>1013703.7125498587</v>
      </c>
      <c r="BH194" s="896">
        <f>MAX(0,BH$139*12*'DATA MAP'!$E$264)</f>
        <v>1013703.7125498587</v>
      </c>
      <c r="BI194" s="896">
        <f>MAX(0,BI$139*12*'DATA MAP'!$E$264)</f>
        <v>1015080.2625498587</v>
      </c>
      <c r="BJ194" s="896">
        <f>MAX(0,BJ$139*12*'DATA MAP'!$E$264)</f>
        <v>1015080.2625498587</v>
      </c>
      <c r="BK194" s="896">
        <f>MAX(0,BK$139*12*'DATA MAP'!$E$264)</f>
        <v>1015080.2625498587</v>
      </c>
      <c r="BL194" s="896">
        <f>MAX(0,BL$139*12*'DATA MAP'!$E$264)</f>
        <v>1021594.2420498589</v>
      </c>
      <c r="BM194" s="896">
        <f>MAX(0,BM$139*12*'DATA MAP'!$E$264)</f>
        <v>1021594.2420498589</v>
      </c>
      <c r="BN194" s="896">
        <f>MAX(0,BN$139*12*'DATA MAP'!$E$264)</f>
        <v>1021594.2420498589</v>
      </c>
      <c r="BO194" s="896">
        <f>MAX(0,BO$139*12*'DATA MAP'!$E$264)</f>
        <v>1040738.3492386052</v>
      </c>
      <c r="BP194" s="896">
        <f>MAX(0,BP$139*12*'DATA MAP'!$E$264)</f>
        <v>1040738.3492386052</v>
      </c>
      <c r="BQ194" s="896">
        <f>MAX(0,BQ$139*12*'DATA MAP'!$E$264)</f>
        <v>1040738.3492386052</v>
      </c>
      <c r="BR194" s="896">
        <f>MAX(0,BR$139*12*'DATA MAP'!$E$264)</f>
        <v>1042305.5514136053</v>
      </c>
      <c r="BS194" s="896">
        <f>MAX(0,BS$139*12*'DATA MAP'!$E$264)</f>
        <v>1042305.5514136053</v>
      </c>
      <c r="BT194" s="896">
        <f>MAX(0,BT$139*12*'DATA MAP'!$E$264)</f>
        <v>1042305.5514136053</v>
      </c>
      <c r="BU194" s="896">
        <f>MAX(0,BU$139*12*'DATA MAP'!$E$264)</f>
        <v>1043730.2806636052</v>
      </c>
      <c r="BV194" s="896">
        <f>MAX(0,BV$139*12*'DATA MAP'!$E$264)</f>
        <v>1043730.2806636052</v>
      </c>
      <c r="BW194" s="896">
        <f>MAX(0,BW$139*12*'DATA MAP'!$E$264)</f>
        <v>1043730.2806636052</v>
      </c>
      <c r="BX194" s="896">
        <f>MAX(0,BX$139*12*'DATA MAP'!$E$264)</f>
        <v>1050472.2494461052</v>
      </c>
      <c r="BY194" s="896">
        <f>MAX(0,BY$139*12*'DATA MAP'!$E$264)</f>
        <v>1050472.2494461052</v>
      </c>
      <c r="BZ194" s="896">
        <f>MAX(0,BZ$139*12*'DATA MAP'!$E$264)</f>
        <v>1050472.2494461052</v>
      </c>
      <c r="CA194" s="896">
        <f>MAX(0,CA$139*12*'DATA MAP'!$E$264)</f>
        <v>1070114.4556095705</v>
      </c>
      <c r="CB194" s="896">
        <f>MAX(0,CB$139*12*'DATA MAP'!$E$264)</f>
        <v>1070114.4556095705</v>
      </c>
      <c r="CC194" s="896">
        <f>MAX(0,CC$139*12*'DATA MAP'!$E$264)</f>
        <v>1070114.4556095705</v>
      </c>
      <c r="CD194" s="896">
        <f>MAX(0,CD$139*12*'DATA MAP'!$E$264)</f>
        <v>1071736.5098606953</v>
      </c>
      <c r="CE194" s="896">
        <f>MAX(0,CE$139*12*'DATA MAP'!$E$264)</f>
        <v>1071736.5098606953</v>
      </c>
      <c r="CF194" s="896">
        <f>MAX(0,CF$139*12*'DATA MAP'!$E$264)</f>
        <v>1071736.5098606953</v>
      </c>
      <c r="CG194" s="896">
        <f>MAX(0,CG$139*12*'DATA MAP'!$E$264)</f>
        <v>1073211.1046344454</v>
      </c>
      <c r="CH194" s="896">
        <f>MAX(0,CH$139*12*'DATA MAP'!$E$264)</f>
        <v>1073211.1046344454</v>
      </c>
      <c r="CI194" s="896">
        <f>MAX(0,CI$139*12*'DATA MAP'!$E$264)</f>
        <v>1073211.1046344454</v>
      </c>
      <c r="CJ194" s="896">
        <f>MAX(0,CJ$139*12*'DATA MAP'!$E$264)</f>
        <v>1080189.042324333</v>
      </c>
      <c r="CK194" s="896">
        <f>MAX(0,CK$139*12*'DATA MAP'!$E$264)</f>
        <v>1080189.042324333</v>
      </c>
      <c r="CL194" s="896">
        <f>MAX(0,CL$139*12*'DATA MAP'!$E$264)</f>
        <v>1080189.042324333</v>
      </c>
      <c r="CM194" s="896">
        <f>MAX(0,CM$139*12*'DATA MAP'!$E$264)</f>
        <v>1100342.4823072096</v>
      </c>
      <c r="CN194" s="896">
        <f>MAX(0,CN$139*12*'DATA MAP'!$E$264)</f>
        <v>1100342.4823072096</v>
      </c>
      <c r="CO194" s="896">
        <f>MAX(0,CO$139*12*'DATA MAP'!$E$264)</f>
        <v>1100342.4823072096</v>
      </c>
      <c r="CP194" s="896">
        <f>MAX(0,CP$139*12*'DATA MAP'!$E$264)</f>
        <v>1102021.308457124</v>
      </c>
      <c r="CQ194" s="896">
        <f>MAX(0,CQ$139*12*'DATA MAP'!$E$264)</f>
        <v>1102021.308457124</v>
      </c>
      <c r="CR194" s="896">
        <f>MAX(0,CR$139*12*'DATA MAP'!$E$264)</f>
        <v>1102021.308457124</v>
      </c>
      <c r="CS194" s="896">
        <f>MAX(0,CS$139*12*'DATA MAP'!$E$264)</f>
        <v>1103547.5140479554</v>
      </c>
      <c r="CT194" s="896">
        <f>MAX(0,CT$139*12*'DATA MAP'!$E$264)</f>
        <v>1103547.5140479554</v>
      </c>
      <c r="CU194" s="896">
        <f>MAX(0,CU$139*12*'DATA MAP'!$E$264)</f>
        <v>1103547.5140479554</v>
      </c>
      <c r="CV194" s="896">
        <f>MAX(0,CV$139*12*'DATA MAP'!$E$264)</f>
        <v>1110769.6795569889</v>
      </c>
      <c r="CW194" s="896">
        <f>MAX(0,CW$139*12*'DATA MAP'!$E$264)</f>
        <v>1110769.6795569889</v>
      </c>
      <c r="CX194" s="896">
        <f>MAX(0,CX$139*12*'DATA MAP'!$E$264)</f>
        <v>1110769.6795569889</v>
      </c>
      <c r="CY194" s="896">
        <f>MAX(0,CY$139*12*'DATA MAP'!$E$264)</f>
        <v>1131447.840458049</v>
      </c>
      <c r="CZ194" s="896">
        <f>MAX(0,CZ$139*12*'DATA MAP'!$E$264)</f>
        <v>1131447.840458049</v>
      </c>
      <c r="DA194" s="896">
        <f>MAX(0,DA$139*12*'DATA MAP'!$E$264)</f>
        <v>1131447.840458049</v>
      </c>
      <c r="DB194" s="896">
        <f>MAX(0,DB$139*12*'DATA MAP'!$E$264)</f>
        <v>1133185.4255232101</v>
      </c>
      <c r="DC194" s="896">
        <f>MAX(0,DC$139*12*'DATA MAP'!$E$264)</f>
        <v>1133185.4255232101</v>
      </c>
      <c r="DD194" s="896">
        <f>MAX(0,DD$139*12*'DATA MAP'!$E$264)</f>
        <v>1133185.4255232101</v>
      </c>
      <c r="DE194" s="896">
        <f>MAX(0,DE$139*12*'DATA MAP'!$E$264)</f>
        <v>1134765.0483097206</v>
      </c>
      <c r="DF194" s="896">
        <f>MAX(0,DF$139*12*'DATA MAP'!$E$264)</f>
        <v>1134765.0483097206</v>
      </c>
      <c r="DG194" s="896">
        <f>MAX(0,DG$139*12*'DATA MAP'!$E$264)</f>
        <v>1134765.0483097206</v>
      </c>
      <c r="DH194" s="896">
        <f>MAX(0,DH$139*12*'DATA MAP'!$E$264)</f>
        <v>1142239.9896115703</v>
      </c>
      <c r="DI194" s="896">
        <f>MAX(0,DI$139*12*'DATA MAP'!$E$264)</f>
        <v>1142239.9896115703</v>
      </c>
      <c r="DJ194" s="896">
        <f>MAX(0,DJ$139*12*'DATA MAP'!$E$264)</f>
        <v>1142239.9896115703</v>
      </c>
      <c r="DK194" s="896">
        <f>MAX(0,DK$139*12*'DATA MAP'!$E$264)</f>
        <v>1163456.7204259194</v>
      </c>
      <c r="DL194" s="896">
        <f>MAX(0,DL$139*12*'DATA MAP'!$E$264)</f>
        <v>1163456.7204259194</v>
      </c>
      <c r="DM194" s="896">
        <f>MAX(0,DM$139*12*'DATA MAP'!$E$264)</f>
        <v>1163456.7204259194</v>
      </c>
      <c r="DN194" s="896">
        <f>MAX(0,DN$139*12*'DATA MAP'!$E$264)</f>
        <v>1165255.1209683614</v>
      </c>
      <c r="DO194" s="896">
        <f>MAX(0,DO$139*12*'DATA MAP'!$E$264)</f>
        <v>1165255.1209683614</v>
      </c>
      <c r="DP194" s="896">
        <f>MAX(0,DP$139*12*'DATA MAP'!$E$264)</f>
        <v>1165255.1209683614</v>
      </c>
      <c r="DQ194" s="896">
        <f>MAX(0,DQ$139*12*'DATA MAP'!$E$264)</f>
        <v>1166890.0305523998</v>
      </c>
      <c r="DR194" s="896">
        <f>MAX(0,DR$139*12*'DATA MAP'!$E$264)</f>
        <v>1166890.0305523998</v>
      </c>
      <c r="DS194" s="896">
        <f>MAX(0,DS$139*12*'DATA MAP'!$E$264)</f>
        <v>1166890.0305523998</v>
      </c>
      <c r="DT194" s="896">
        <f>MAX(0,DT$139*12*'DATA MAP'!$E$264)</f>
        <v>1174626.594799814</v>
      </c>
      <c r="DU194" s="896">
        <f>MAX(0,DU$139*12*'DATA MAP'!$E$264)</f>
        <v>1174626.594799814</v>
      </c>
      <c r="DV194" s="896">
        <f>MAX(0,DV$139*12*'DATA MAP'!$E$264)</f>
        <v>1174626.594799814</v>
      </c>
    </row>
    <row r="195" spans="1:126" x14ac:dyDescent="0.35">
      <c r="A195" t="s">
        <v>1697</v>
      </c>
      <c r="B195" t="s">
        <v>1370</v>
      </c>
      <c r="C195" t="s">
        <v>1698</v>
      </c>
      <c r="F195">
        <f t="shared" ref="F195:AK195" si="306">F$194-E$194</f>
        <v>0</v>
      </c>
      <c r="G195">
        <f t="shared" si="306"/>
        <v>0</v>
      </c>
      <c r="H195">
        <f t="shared" si="306"/>
        <v>0</v>
      </c>
      <c r="I195">
        <f t="shared" si="306"/>
        <v>0</v>
      </c>
      <c r="J195">
        <f t="shared" si="306"/>
        <v>0</v>
      </c>
      <c r="K195">
        <f t="shared" si="306"/>
        <v>0</v>
      </c>
      <c r="L195">
        <f t="shared" si="306"/>
        <v>0</v>
      </c>
      <c r="M195">
        <f t="shared" si="306"/>
        <v>0</v>
      </c>
      <c r="N195">
        <f t="shared" si="306"/>
        <v>0</v>
      </c>
      <c r="O195">
        <f t="shared" si="306"/>
        <v>0</v>
      </c>
      <c r="P195">
        <f t="shared" si="306"/>
        <v>0</v>
      </c>
      <c r="Q195">
        <f t="shared" si="306"/>
        <v>0</v>
      </c>
      <c r="R195">
        <f t="shared" si="306"/>
        <v>0</v>
      </c>
      <c r="S195">
        <f t="shared" si="306"/>
        <v>0</v>
      </c>
      <c r="T195">
        <f t="shared" si="306"/>
        <v>0</v>
      </c>
      <c r="U195">
        <f t="shared" si="306"/>
        <v>0</v>
      </c>
      <c r="V195">
        <f t="shared" si="306"/>
        <v>0</v>
      </c>
      <c r="W195">
        <f t="shared" si="306"/>
        <v>0</v>
      </c>
      <c r="X195">
        <f t="shared" si="306"/>
        <v>0</v>
      </c>
      <c r="Y195">
        <f t="shared" si="306"/>
        <v>0</v>
      </c>
      <c r="Z195">
        <f t="shared" si="306"/>
        <v>0</v>
      </c>
      <c r="AA195">
        <f t="shared" si="306"/>
        <v>0</v>
      </c>
      <c r="AB195">
        <f t="shared" si="306"/>
        <v>172000</v>
      </c>
      <c r="AC195">
        <f t="shared" si="306"/>
        <v>0</v>
      </c>
      <c r="AD195">
        <f t="shared" si="306"/>
        <v>0</v>
      </c>
      <c r="AE195">
        <f t="shared" si="306"/>
        <v>52000</v>
      </c>
      <c r="AF195">
        <f t="shared" si="306"/>
        <v>0</v>
      </c>
      <c r="AG195">
        <f t="shared" si="306"/>
        <v>0</v>
      </c>
      <c r="AH195">
        <f t="shared" si="306"/>
        <v>41800</v>
      </c>
      <c r="AI195">
        <f t="shared" si="306"/>
        <v>0</v>
      </c>
      <c r="AJ195">
        <f t="shared" si="306"/>
        <v>0</v>
      </c>
      <c r="AK195">
        <f t="shared" si="306"/>
        <v>38000</v>
      </c>
      <c r="AL195">
        <f t="shared" ref="AL195:BQ195" si="307">AL$194-AK$194</f>
        <v>0</v>
      </c>
      <c r="AM195">
        <f t="shared" si="307"/>
        <v>0</v>
      </c>
      <c r="AN195">
        <f t="shared" si="307"/>
        <v>7819.9999999999418</v>
      </c>
      <c r="AO195">
        <f t="shared" si="307"/>
        <v>0</v>
      </c>
      <c r="AP195">
        <f t="shared" si="307"/>
        <v>0</v>
      </c>
      <c r="AQ195">
        <f t="shared" si="307"/>
        <v>7572.039999999979</v>
      </c>
      <c r="AR195">
        <f t="shared" si="307"/>
        <v>55279.124455991026</v>
      </c>
      <c r="AS195">
        <f t="shared" si="307"/>
        <v>55279.124455991085</v>
      </c>
      <c r="AT195">
        <f t="shared" si="307"/>
        <v>57217.742929446918</v>
      </c>
      <c r="AU195">
        <f t="shared" si="307"/>
        <v>55437.66394714301</v>
      </c>
      <c r="AV195">
        <f t="shared" si="307"/>
        <v>55437.663947143126</v>
      </c>
      <c r="AW195">
        <f t="shared" si="307"/>
        <v>56767.66394714301</v>
      </c>
      <c r="AX195">
        <f t="shared" si="307"/>
        <v>55437.663947142893</v>
      </c>
      <c r="AY195">
        <f t="shared" si="307"/>
        <v>55437.66394714301</v>
      </c>
      <c r="AZ195">
        <f t="shared" si="307"/>
        <v>61731.363947142963</v>
      </c>
      <c r="BA195">
        <f t="shared" si="307"/>
        <v>55437.663947143126</v>
      </c>
      <c r="BB195">
        <f t="shared" si="307"/>
        <v>55437.663947142777</v>
      </c>
      <c r="BC195">
        <f t="shared" si="307"/>
        <v>74096.464131285902</v>
      </c>
      <c r="BD195">
        <f t="shared" si="307"/>
        <v>0</v>
      </c>
      <c r="BE195">
        <f t="shared" si="307"/>
        <v>0</v>
      </c>
      <c r="BF195">
        <f t="shared" si="307"/>
        <v>1514.2049999999581</v>
      </c>
      <c r="BG195">
        <f t="shared" si="307"/>
        <v>0</v>
      </c>
      <c r="BH195">
        <f t="shared" si="307"/>
        <v>0</v>
      </c>
      <c r="BI195">
        <f t="shared" si="307"/>
        <v>1376.5499999999302</v>
      </c>
      <c r="BJ195">
        <f t="shared" si="307"/>
        <v>0</v>
      </c>
      <c r="BK195">
        <f t="shared" si="307"/>
        <v>0</v>
      </c>
      <c r="BL195">
        <f t="shared" si="307"/>
        <v>6513.9795000002487</v>
      </c>
      <c r="BM195">
        <f t="shared" si="307"/>
        <v>0</v>
      </c>
      <c r="BN195">
        <f t="shared" si="307"/>
        <v>0</v>
      </c>
      <c r="BO195">
        <f t="shared" si="307"/>
        <v>19144.107188746333</v>
      </c>
      <c r="BP195">
        <f t="shared" si="307"/>
        <v>0</v>
      </c>
      <c r="BQ195">
        <f t="shared" si="307"/>
        <v>0</v>
      </c>
      <c r="BR195">
        <f t="shared" ref="BR195:CW195" si="308">BR$194-BQ$194</f>
        <v>1567.2021750001004</v>
      </c>
      <c r="BS195">
        <f t="shared" si="308"/>
        <v>0</v>
      </c>
      <c r="BT195">
        <f t="shared" si="308"/>
        <v>0</v>
      </c>
      <c r="BU195">
        <f t="shared" si="308"/>
        <v>1424.7292499998584</v>
      </c>
      <c r="BV195">
        <f t="shared" si="308"/>
        <v>0</v>
      </c>
      <c r="BW195">
        <f t="shared" si="308"/>
        <v>0</v>
      </c>
      <c r="BX195">
        <f t="shared" si="308"/>
        <v>6741.9687825000146</v>
      </c>
      <c r="BY195">
        <f t="shared" si="308"/>
        <v>0</v>
      </c>
      <c r="BZ195">
        <f t="shared" si="308"/>
        <v>0</v>
      </c>
      <c r="CA195">
        <f t="shared" si="308"/>
        <v>19642.206163465278</v>
      </c>
      <c r="CB195">
        <f t="shared" si="308"/>
        <v>0</v>
      </c>
      <c r="CC195">
        <f t="shared" si="308"/>
        <v>0</v>
      </c>
      <c r="CD195">
        <f t="shared" si="308"/>
        <v>1622.0542511248495</v>
      </c>
      <c r="CE195">
        <f t="shared" si="308"/>
        <v>0</v>
      </c>
      <c r="CF195">
        <f t="shared" si="308"/>
        <v>0</v>
      </c>
      <c r="CG195">
        <f t="shared" si="308"/>
        <v>1474.5947737500537</v>
      </c>
      <c r="CH195">
        <f t="shared" si="308"/>
        <v>0</v>
      </c>
      <c r="CI195">
        <f t="shared" si="308"/>
        <v>0</v>
      </c>
      <c r="CJ195">
        <f t="shared" si="308"/>
        <v>6977.9376898875926</v>
      </c>
      <c r="CK195">
        <f t="shared" si="308"/>
        <v>0</v>
      </c>
      <c r="CL195">
        <f t="shared" si="308"/>
        <v>0</v>
      </c>
      <c r="CM195">
        <f t="shared" si="308"/>
        <v>20153.439982876647</v>
      </c>
      <c r="CN195">
        <f t="shared" si="308"/>
        <v>0</v>
      </c>
      <c r="CO195">
        <f t="shared" si="308"/>
        <v>0</v>
      </c>
      <c r="CP195">
        <f t="shared" si="308"/>
        <v>1678.8261499144137</v>
      </c>
      <c r="CQ195">
        <f t="shared" si="308"/>
        <v>0</v>
      </c>
      <c r="CR195">
        <f t="shared" si="308"/>
        <v>0</v>
      </c>
      <c r="CS195">
        <f t="shared" si="308"/>
        <v>1526.2055908313487</v>
      </c>
      <c r="CT195">
        <f t="shared" si="308"/>
        <v>0</v>
      </c>
      <c r="CU195">
        <f t="shared" si="308"/>
        <v>0</v>
      </c>
      <c r="CV195">
        <f t="shared" si="308"/>
        <v>7222.1655090334825</v>
      </c>
      <c r="CW195">
        <f t="shared" si="308"/>
        <v>0</v>
      </c>
      <c r="CX195">
        <f t="shared" ref="CX195:DV195" si="309">CX$194-CW$194</f>
        <v>0</v>
      </c>
      <c r="CY195">
        <f t="shared" si="309"/>
        <v>20678.160901060095</v>
      </c>
      <c r="CZ195">
        <f t="shared" si="309"/>
        <v>0</v>
      </c>
      <c r="DA195">
        <f t="shared" si="309"/>
        <v>0</v>
      </c>
      <c r="DB195">
        <f t="shared" si="309"/>
        <v>1737.5850651611108</v>
      </c>
      <c r="DC195">
        <f t="shared" si="309"/>
        <v>0</v>
      </c>
      <c r="DD195">
        <f t="shared" si="309"/>
        <v>0</v>
      </c>
      <c r="DE195">
        <f t="shared" si="309"/>
        <v>1579.6227865105029</v>
      </c>
      <c r="DF195">
        <f t="shared" si="309"/>
        <v>0</v>
      </c>
      <c r="DG195">
        <f t="shared" si="309"/>
        <v>0</v>
      </c>
      <c r="DH195">
        <f t="shared" si="309"/>
        <v>7474.9413018496707</v>
      </c>
      <c r="DI195">
        <f t="shared" si="309"/>
        <v>0</v>
      </c>
      <c r="DJ195">
        <f t="shared" si="309"/>
        <v>0</v>
      </c>
      <c r="DK195">
        <f t="shared" si="309"/>
        <v>21216.730814349139</v>
      </c>
      <c r="DL195">
        <f t="shared" si="309"/>
        <v>0</v>
      </c>
      <c r="DM195">
        <f t="shared" si="309"/>
        <v>0</v>
      </c>
      <c r="DN195">
        <f t="shared" si="309"/>
        <v>1798.4005424419884</v>
      </c>
      <c r="DO195">
        <f t="shared" si="309"/>
        <v>0</v>
      </c>
      <c r="DP195">
        <f t="shared" si="309"/>
        <v>0</v>
      </c>
      <c r="DQ195">
        <f t="shared" si="309"/>
        <v>1634.9095840384252</v>
      </c>
      <c r="DR195">
        <f t="shared" si="309"/>
        <v>0</v>
      </c>
      <c r="DS195">
        <f t="shared" si="309"/>
        <v>0</v>
      </c>
      <c r="DT195">
        <f t="shared" si="309"/>
        <v>7736.5642474142369</v>
      </c>
      <c r="DU195">
        <f t="shared" si="309"/>
        <v>0</v>
      </c>
      <c r="DV195">
        <f t="shared" si="309"/>
        <v>0</v>
      </c>
    </row>
    <row r="196" spans="1:126" x14ac:dyDescent="0.35">
      <c r="A196" s="752" t="s">
        <v>1699</v>
      </c>
      <c r="B196" s="748" t="s">
        <v>795</v>
      </c>
      <c r="C196" s="748" t="s">
        <v>1700</v>
      </c>
      <c r="F196" s="753" t="str">
        <f t="shared" ref="F196:AK196" si="310">IF(OR(F$123+F$124=0,$B$48=""),"",F$131-$B$48)</f>
        <v/>
      </c>
      <c r="G196" s="753" t="str">
        <f t="shared" si="310"/>
        <v/>
      </c>
      <c r="H196" s="753" t="str">
        <f t="shared" si="310"/>
        <v/>
      </c>
      <c r="I196" s="753" t="str">
        <f t="shared" si="310"/>
        <v/>
      </c>
      <c r="J196" s="753" t="str">
        <f t="shared" si="310"/>
        <v/>
      </c>
      <c r="K196" s="753" t="str">
        <f t="shared" si="310"/>
        <v/>
      </c>
      <c r="L196" s="753" t="str">
        <f t="shared" si="310"/>
        <v/>
      </c>
      <c r="M196" s="753" t="str">
        <f t="shared" si="310"/>
        <v/>
      </c>
      <c r="N196" s="753" t="str">
        <f t="shared" si="310"/>
        <v/>
      </c>
      <c r="O196" s="753" t="str">
        <f t="shared" si="310"/>
        <v/>
      </c>
      <c r="P196" s="753" t="str">
        <f t="shared" si="310"/>
        <v/>
      </c>
      <c r="Q196" s="753" t="str">
        <f t="shared" si="310"/>
        <v/>
      </c>
      <c r="R196" s="753" t="str">
        <f t="shared" si="310"/>
        <v/>
      </c>
      <c r="S196" s="753" t="str">
        <f t="shared" si="310"/>
        <v/>
      </c>
      <c r="T196" s="753" t="str">
        <f t="shared" si="310"/>
        <v/>
      </c>
      <c r="U196" s="753" t="str">
        <f t="shared" si="310"/>
        <v/>
      </c>
      <c r="V196" s="753" t="str">
        <f t="shared" si="310"/>
        <v/>
      </c>
      <c r="W196" s="753" t="str">
        <f t="shared" si="310"/>
        <v/>
      </c>
      <c r="X196" s="753" t="str">
        <f t="shared" si="310"/>
        <v/>
      </c>
      <c r="Y196" s="753" t="str">
        <f t="shared" si="310"/>
        <v/>
      </c>
      <c r="Z196" s="753" t="str">
        <f t="shared" si="310"/>
        <v/>
      </c>
      <c r="AA196" s="753" t="str">
        <f t="shared" si="310"/>
        <v/>
      </c>
      <c r="AB196" s="753" t="str">
        <f t="shared" si="310"/>
        <v/>
      </c>
      <c r="AC196" s="753" t="str">
        <f t="shared" si="310"/>
        <v/>
      </c>
      <c r="AD196" s="753" t="str">
        <f t="shared" si="310"/>
        <v/>
      </c>
      <c r="AE196" s="753" t="str">
        <f t="shared" si="310"/>
        <v/>
      </c>
      <c r="AF196" s="753" t="str">
        <f t="shared" si="310"/>
        <v/>
      </c>
      <c r="AG196" s="753" t="str">
        <f t="shared" si="310"/>
        <v/>
      </c>
      <c r="AH196" s="753" t="str">
        <f t="shared" si="310"/>
        <v/>
      </c>
      <c r="AI196" s="753" t="str">
        <f t="shared" si="310"/>
        <v/>
      </c>
      <c r="AJ196" s="753" t="str">
        <f t="shared" si="310"/>
        <v/>
      </c>
      <c r="AK196" s="753" t="str">
        <f t="shared" si="310"/>
        <v/>
      </c>
      <c r="AL196" s="753" t="str">
        <f t="shared" ref="AL196:BQ196" si="311">IF(OR(AL$123+AL$124=0,$B$48=""),"",AL$131-$B$48)</f>
        <v/>
      </c>
      <c r="AM196" s="753" t="str">
        <f t="shared" si="311"/>
        <v/>
      </c>
      <c r="AN196" s="753" t="str">
        <f t="shared" si="311"/>
        <v/>
      </c>
      <c r="AO196" s="753" t="str">
        <f t="shared" si="311"/>
        <v/>
      </c>
      <c r="AP196" s="753" t="str">
        <f t="shared" si="311"/>
        <v/>
      </c>
      <c r="AQ196" s="753" t="str">
        <f t="shared" si="311"/>
        <v/>
      </c>
      <c r="AR196" s="753" t="str">
        <f t="shared" si="311"/>
        <v/>
      </c>
      <c r="AS196" s="753" t="str">
        <f t="shared" si="311"/>
        <v/>
      </c>
      <c r="AT196" s="753" t="str">
        <f t="shared" si="311"/>
        <v/>
      </c>
      <c r="AU196" s="753" t="str">
        <f t="shared" si="311"/>
        <v/>
      </c>
      <c r="AV196" s="753" t="str">
        <f t="shared" si="311"/>
        <v/>
      </c>
      <c r="AW196" s="753" t="str">
        <f t="shared" si="311"/>
        <v/>
      </c>
      <c r="AX196" s="753" t="str">
        <f t="shared" si="311"/>
        <v/>
      </c>
      <c r="AY196" s="753" t="str">
        <f t="shared" si="311"/>
        <v/>
      </c>
      <c r="AZ196" s="753" t="str">
        <f t="shared" si="311"/>
        <v/>
      </c>
      <c r="BA196" s="753" t="str">
        <f t="shared" si="311"/>
        <v/>
      </c>
      <c r="BB196" s="753" t="str">
        <f t="shared" si="311"/>
        <v/>
      </c>
      <c r="BC196" s="753" t="str">
        <f t="shared" si="311"/>
        <v/>
      </c>
      <c r="BD196" s="753" t="str">
        <f t="shared" si="311"/>
        <v/>
      </c>
      <c r="BE196" s="753" t="str">
        <f t="shared" si="311"/>
        <v/>
      </c>
      <c r="BF196" s="753" t="str">
        <f t="shared" si="311"/>
        <v/>
      </c>
      <c r="BG196" s="753" t="str">
        <f t="shared" si="311"/>
        <v/>
      </c>
      <c r="BH196" s="753" t="str">
        <f t="shared" si="311"/>
        <v/>
      </c>
      <c r="BI196" s="753" t="str">
        <f t="shared" si="311"/>
        <v/>
      </c>
      <c r="BJ196" s="753" t="str">
        <f t="shared" si="311"/>
        <v/>
      </c>
      <c r="BK196" s="753" t="str">
        <f t="shared" si="311"/>
        <v/>
      </c>
      <c r="BL196" s="753" t="str">
        <f t="shared" si="311"/>
        <v/>
      </c>
      <c r="BM196" s="753" t="str">
        <f t="shared" si="311"/>
        <v/>
      </c>
      <c r="BN196" s="753" t="str">
        <f t="shared" si="311"/>
        <v/>
      </c>
      <c r="BO196" s="753" t="str">
        <f t="shared" si="311"/>
        <v/>
      </c>
      <c r="BP196" s="753" t="str">
        <f t="shared" si="311"/>
        <v/>
      </c>
      <c r="BQ196" s="753" t="str">
        <f t="shared" si="311"/>
        <v/>
      </c>
      <c r="BR196" s="753" t="str">
        <f t="shared" ref="BR196:CW196" si="312">IF(OR(BR$123+BR$124=0,$B$48=""),"",BR$131-$B$48)</f>
        <v/>
      </c>
      <c r="BS196" s="753" t="str">
        <f t="shared" si="312"/>
        <v/>
      </c>
      <c r="BT196" s="753" t="str">
        <f t="shared" si="312"/>
        <v/>
      </c>
      <c r="BU196" s="753" t="str">
        <f t="shared" si="312"/>
        <v/>
      </c>
      <c r="BV196" s="753" t="str">
        <f t="shared" si="312"/>
        <v/>
      </c>
      <c r="BW196" s="753" t="str">
        <f t="shared" si="312"/>
        <v/>
      </c>
      <c r="BX196" s="753" t="str">
        <f t="shared" si="312"/>
        <v/>
      </c>
      <c r="BY196" s="753" t="str">
        <f t="shared" si="312"/>
        <v/>
      </c>
      <c r="BZ196" s="753" t="str">
        <f t="shared" si="312"/>
        <v/>
      </c>
      <c r="CA196" s="753" t="str">
        <f t="shared" si="312"/>
        <v/>
      </c>
      <c r="CB196" s="753" t="str">
        <f t="shared" si="312"/>
        <v/>
      </c>
      <c r="CC196" s="753" t="str">
        <f t="shared" si="312"/>
        <v/>
      </c>
      <c r="CD196" s="753" t="str">
        <f t="shared" si="312"/>
        <v/>
      </c>
      <c r="CE196" s="753" t="str">
        <f t="shared" si="312"/>
        <v/>
      </c>
      <c r="CF196" s="753" t="str">
        <f t="shared" si="312"/>
        <v/>
      </c>
      <c r="CG196" s="753" t="str">
        <f t="shared" si="312"/>
        <v/>
      </c>
      <c r="CH196" s="753" t="str">
        <f t="shared" si="312"/>
        <v/>
      </c>
      <c r="CI196" s="753" t="str">
        <f t="shared" si="312"/>
        <v/>
      </c>
      <c r="CJ196" s="753" t="str">
        <f t="shared" si="312"/>
        <v/>
      </c>
      <c r="CK196" s="753" t="str">
        <f t="shared" si="312"/>
        <v/>
      </c>
      <c r="CL196" s="753" t="str">
        <f t="shared" si="312"/>
        <v/>
      </c>
      <c r="CM196" s="753" t="str">
        <f t="shared" si="312"/>
        <v/>
      </c>
      <c r="CN196" s="753" t="str">
        <f t="shared" si="312"/>
        <v/>
      </c>
      <c r="CO196" s="753" t="str">
        <f t="shared" si="312"/>
        <v/>
      </c>
      <c r="CP196" s="753" t="str">
        <f t="shared" si="312"/>
        <v/>
      </c>
      <c r="CQ196" s="753" t="str">
        <f t="shared" si="312"/>
        <v/>
      </c>
      <c r="CR196" s="753" t="str">
        <f t="shared" si="312"/>
        <v/>
      </c>
      <c r="CS196" s="753" t="str">
        <f t="shared" si="312"/>
        <v/>
      </c>
      <c r="CT196" s="753" t="str">
        <f t="shared" si="312"/>
        <v/>
      </c>
      <c r="CU196" s="753" t="str">
        <f t="shared" si="312"/>
        <v/>
      </c>
      <c r="CV196" s="753" t="str">
        <f t="shared" si="312"/>
        <v/>
      </c>
      <c r="CW196" s="753" t="str">
        <f t="shared" si="312"/>
        <v/>
      </c>
      <c r="CX196" s="753" t="str">
        <f t="shared" ref="CX196:DV196" si="313">IF(OR(CX$123+CX$124=0,$B$48=""),"",CX$131-$B$48)</f>
        <v/>
      </c>
      <c r="CY196" s="753" t="str">
        <f t="shared" si="313"/>
        <v/>
      </c>
      <c r="CZ196" s="753" t="str">
        <f t="shared" si="313"/>
        <v/>
      </c>
      <c r="DA196" s="753" t="str">
        <f t="shared" si="313"/>
        <v/>
      </c>
      <c r="DB196" s="753" t="str">
        <f t="shared" si="313"/>
        <v/>
      </c>
      <c r="DC196" s="753" t="str">
        <f t="shared" si="313"/>
        <v/>
      </c>
      <c r="DD196" s="753" t="str">
        <f t="shared" si="313"/>
        <v/>
      </c>
      <c r="DE196" s="753" t="str">
        <f t="shared" si="313"/>
        <v/>
      </c>
      <c r="DF196" s="753" t="str">
        <f t="shared" si="313"/>
        <v/>
      </c>
      <c r="DG196" s="753" t="str">
        <f t="shared" si="313"/>
        <v/>
      </c>
      <c r="DH196" s="753" t="str">
        <f t="shared" si="313"/>
        <v/>
      </c>
      <c r="DI196" s="753" t="str">
        <f t="shared" si="313"/>
        <v/>
      </c>
      <c r="DJ196" s="753" t="str">
        <f t="shared" si="313"/>
        <v/>
      </c>
      <c r="DK196" s="753" t="str">
        <f t="shared" si="313"/>
        <v/>
      </c>
      <c r="DL196" s="753" t="str">
        <f t="shared" si="313"/>
        <v/>
      </c>
      <c r="DM196" s="753" t="str">
        <f t="shared" si="313"/>
        <v/>
      </c>
      <c r="DN196" s="753" t="str">
        <f t="shared" si="313"/>
        <v/>
      </c>
      <c r="DO196" s="753" t="str">
        <f t="shared" si="313"/>
        <v/>
      </c>
      <c r="DP196" s="753" t="str">
        <f t="shared" si="313"/>
        <v/>
      </c>
      <c r="DQ196" s="753" t="str">
        <f t="shared" si="313"/>
        <v/>
      </c>
      <c r="DR196" s="753" t="str">
        <f t="shared" si="313"/>
        <v/>
      </c>
      <c r="DS196" s="753" t="str">
        <f t="shared" si="313"/>
        <v/>
      </c>
      <c r="DT196" s="753" t="str">
        <f t="shared" si="313"/>
        <v/>
      </c>
      <c r="DU196" s="753" t="str">
        <f t="shared" si="313"/>
        <v/>
      </c>
      <c r="DV196" s="753" t="str">
        <f t="shared" si="313"/>
        <v/>
      </c>
    </row>
    <row r="197" spans="1:126" x14ac:dyDescent="0.35">
      <c r="A197" s="752" t="s">
        <v>1701</v>
      </c>
      <c r="B197" s="748" t="s">
        <v>795</v>
      </c>
      <c r="C197" s="748" t="s">
        <v>1702</v>
      </c>
      <c r="F197" s="753" t="str">
        <f t="shared" ref="F197:AK197" si="314">IF(OR(F$123=0,$B$49=""),"",F$132-$B$49)</f>
        <v/>
      </c>
      <c r="G197" s="753" t="str">
        <f t="shared" si="314"/>
        <v/>
      </c>
      <c r="H197" s="753" t="str">
        <f t="shared" si="314"/>
        <v/>
      </c>
      <c r="I197" s="753" t="str">
        <f t="shared" si="314"/>
        <v/>
      </c>
      <c r="J197" s="753" t="str">
        <f t="shared" si="314"/>
        <v/>
      </c>
      <c r="K197" s="753" t="str">
        <f t="shared" si="314"/>
        <v/>
      </c>
      <c r="L197" s="753" t="str">
        <f t="shared" si="314"/>
        <v/>
      </c>
      <c r="M197" s="753" t="str">
        <f t="shared" si="314"/>
        <v/>
      </c>
      <c r="N197" s="753" t="str">
        <f t="shared" si="314"/>
        <v/>
      </c>
      <c r="O197" s="753" t="str">
        <f t="shared" si="314"/>
        <v/>
      </c>
      <c r="P197" s="753" t="str">
        <f t="shared" si="314"/>
        <v/>
      </c>
      <c r="Q197" s="753" t="str">
        <f t="shared" si="314"/>
        <v/>
      </c>
      <c r="R197" s="753" t="str">
        <f t="shared" si="314"/>
        <v/>
      </c>
      <c r="S197" s="753" t="str">
        <f t="shared" si="314"/>
        <v/>
      </c>
      <c r="T197" s="753" t="str">
        <f t="shared" si="314"/>
        <v/>
      </c>
      <c r="U197" s="753" t="str">
        <f t="shared" si="314"/>
        <v/>
      </c>
      <c r="V197" s="753" t="str">
        <f t="shared" si="314"/>
        <v/>
      </c>
      <c r="W197" s="753" t="str">
        <f t="shared" si="314"/>
        <v/>
      </c>
      <c r="X197" s="753" t="str">
        <f t="shared" si="314"/>
        <v/>
      </c>
      <c r="Y197" s="753" t="str">
        <f t="shared" si="314"/>
        <v/>
      </c>
      <c r="Z197" s="753" t="str">
        <f t="shared" si="314"/>
        <v/>
      </c>
      <c r="AA197" s="753" t="str">
        <f t="shared" si="314"/>
        <v/>
      </c>
      <c r="AB197" s="753" t="str">
        <f t="shared" si="314"/>
        <v/>
      </c>
      <c r="AC197" s="753" t="str">
        <f t="shared" si="314"/>
        <v/>
      </c>
      <c r="AD197" s="753" t="str">
        <f t="shared" si="314"/>
        <v/>
      </c>
      <c r="AE197" s="753" t="str">
        <f t="shared" si="314"/>
        <v/>
      </c>
      <c r="AF197" s="753" t="str">
        <f t="shared" si="314"/>
        <v/>
      </c>
      <c r="AG197" s="753" t="str">
        <f t="shared" si="314"/>
        <v/>
      </c>
      <c r="AH197" s="753" t="str">
        <f t="shared" si="314"/>
        <v/>
      </c>
      <c r="AI197" s="753" t="str">
        <f t="shared" si="314"/>
        <v/>
      </c>
      <c r="AJ197" s="753" t="str">
        <f t="shared" si="314"/>
        <v/>
      </c>
      <c r="AK197" s="753" t="str">
        <f t="shared" si="314"/>
        <v/>
      </c>
      <c r="AL197" s="753" t="str">
        <f t="shared" ref="AL197:BQ197" si="315">IF(OR(AL$123=0,$B$49=""),"",AL$132-$B$49)</f>
        <v/>
      </c>
      <c r="AM197" s="753" t="str">
        <f t="shared" si="315"/>
        <v/>
      </c>
      <c r="AN197" s="753" t="str">
        <f t="shared" si="315"/>
        <v/>
      </c>
      <c r="AO197" s="753" t="str">
        <f t="shared" si="315"/>
        <v/>
      </c>
      <c r="AP197" s="753" t="str">
        <f t="shared" si="315"/>
        <v/>
      </c>
      <c r="AQ197" s="753" t="str">
        <f t="shared" si="315"/>
        <v/>
      </c>
      <c r="AR197" s="753" t="str">
        <f t="shared" si="315"/>
        <v/>
      </c>
      <c r="AS197" s="753" t="str">
        <f t="shared" si="315"/>
        <v/>
      </c>
      <c r="AT197" s="753" t="str">
        <f t="shared" si="315"/>
        <v/>
      </c>
      <c r="AU197" s="753" t="str">
        <f t="shared" si="315"/>
        <v/>
      </c>
      <c r="AV197" s="753" t="str">
        <f t="shared" si="315"/>
        <v/>
      </c>
      <c r="AW197" s="753" t="str">
        <f t="shared" si="315"/>
        <v/>
      </c>
      <c r="AX197" s="753" t="str">
        <f t="shared" si="315"/>
        <v/>
      </c>
      <c r="AY197" s="753" t="str">
        <f t="shared" si="315"/>
        <v/>
      </c>
      <c r="AZ197" s="753" t="str">
        <f t="shared" si="315"/>
        <v/>
      </c>
      <c r="BA197" s="753" t="str">
        <f t="shared" si="315"/>
        <v/>
      </c>
      <c r="BB197" s="753" t="str">
        <f t="shared" si="315"/>
        <v/>
      </c>
      <c r="BC197" s="753">
        <f t="shared" si="315"/>
        <v>1.9566100780501867</v>
      </c>
      <c r="BD197" s="753">
        <f t="shared" si="315"/>
        <v>1.8368750989864364</v>
      </c>
      <c r="BE197" s="753">
        <f t="shared" si="315"/>
        <v>2.1668873220954192</v>
      </c>
      <c r="BF197" s="753">
        <f t="shared" si="315"/>
        <v>2.550840586479219</v>
      </c>
      <c r="BG197" s="753">
        <f t="shared" si="315"/>
        <v>3.0361048166307114</v>
      </c>
      <c r="BH197" s="753">
        <f t="shared" si="315"/>
        <v>3.6242657798405302</v>
      </c>
      <c r="BI197" s="753">
        <f t="shared" si="315"/>
        <v>4.40673213057004</v>
      </c>
      <c r="BJ197" s="753">
        <f t="shared" si="315"/>
        <v>5.3373875345235628</v>
      </c>
      <c r="BK197" s="753">
        <f t="shared" si="315"/>
        <v>6.4717545628027278</v>
      </c>
      <c r="BL197" s="753">
        <f t="shared" si="315"/>
        <v>8.352423000572637</v>
      </c>
      <c r="BM197" s="753">
        <f t="shared" si="315"/>
        <v>11.368459422124703</v>
      </c>
      <c r="BN197" s="753">
        <f t="shared" si="315"/>
        <v>17.611632237969019</v>
      </c>
      <c r="BO197" s="753">
        <f t="shared" si="315"/>
        <v>35.516580031381373</v>
      </c>
      <c r="BP197" s="753" t="str">
        <f t="shared" si="315"/>
        <v/>
      </c>
      <c r="BQ197" s="753" t="str">
        <f t="shared" si="315"/>
        <v/>
      </c>
      <c r="BR197" s="753" t="str">
        <f t="shared" ref="BR197:CW197" si="316">IF(OR(BR$123=0,$B$49=""),"",BR$132-$B$49)</f>
        <v/>
      </c>
      <c r="BS197" s="753" t="str">
        <f t="shared" si="316"/>
        <v/>
      </c>
      <c r="BT197" s="753" t="str">
        <f t="shared" si="316"/>
        <v/>
      </c>
      <c r="BU197" s="753" t="str">
        <f t="shared" si="316"/>
        <v/>
      </c>
      <c r="BV197" s="753" t="str">
        <f t="shared" si="316"/>
        <v/>
      </c>
      <c r="BW197" s="753" t="str">
        <f t="shared" si="316"/>
        <v/>
      </c>
      <c r="BX197" s="753" t="str">
        <f t="shared" si="316"/>
        <v/>
      </c>
      <c r="BY197" s="753" t="str">
        <f t="shared" si="316"/>
        <v/>
      </c>
      <c r="BZ197" s="753" t="str">
        <f t="shared" si="316"/>
        <v/>
      </c>
      <c r="CA197" s="753" t="str">
        <f t="shared" si="316"/>
        <v/>
      </c>
      <c r="CB197" s="753" t="str">
        <f t="shared" si="316"/>
        <v/>
      </c>
      <c r="CC197" s="753" t="str">
        <f t="shared" si="316"/>
        <v/>
      </c>
      <c r="CD197" s="753" t="str">
        <f t="shared" si="316"/>
        <v/>
      </c>
      <c r="CE197" s="753" t="str">
        <f t="shared" si="316"/>
        <v/>
      </c>
      <c r="CF197" s="753" t="str">
        <f t="shared" si="316"/>
        <v/>
      </c>
      <c r="CG197" s="753" t="str">
        <f t="shared" si="316"/>
        <v/>
      </c>
      <c r="CH197" s="753" t="str">
        <f t="shared" si="316"/>
        <v/>
      </c>
      <c r="CI197" s="753" t="str">
        <f t="shared" si="316"/>
        <v/>
      </c>
      <c r="CJ197" s="753" t="str">
        <f t="shared" si="316"/>
        <v/>
      </c>
      <c r="CK197" s="753" t="str">
        <f t="shared" si="316"/>
        <v/>
      </c>
      <c r="CL197" s="753" t="str">
        <f t="shared" si="316"/>
        <v/>
      </c>
      <c r="CM197" s="753" t="str">
        <f t="shared" si="316"/>
        <v/>
      </c>
      <c r="CN197" s="753" t="str">
        <f t="shared" si="316"/>
        <v/>
      </c>
      <c r="CO197" s="753" t="str">
        <f t="shared" si="316"/>
        <v/>
      </c>
      <c r="CP197" s="753" t="str">
        <f t="shared" si="316"/>
        <v/>
      </c>
      <c r="CQ197" s="753" t="str">
        <f t="shared" si="316"/>
        <v/>
      </c>
      <c r="CR197" s="753" t="str">
        <f t="shared" si="316"/>
        <v/>
      </c>
      <c r="CS197" s="753" t="str">
        <f t="shared" si="316"/>
        <v/>
      </c>
      <c r="CT197" s="753" t="str">
        <f t="shared" si="316"/>
        <v/>
      </c>
      <c r="CU197" s="753" t="str">
        <f t="shared" si="316"/>
        <v/>
      </c>
      <c r="CV197" s="753" t="str">
        <f t="shared" si="316"/>
        <v/>
      </c>
      <c r="CW197" s="753" t="str">
        <f t="shared" si="316"/>
        <v/>
      </c>
      <c r="CX197" s="753" t="str">
        <f t="shared" ref="CX197:DV197" si="317">IF(OR(CX$123=0,$B$49=""),"",CX$132-$B$49)</f>
        <v/>
      </c>
      <c r="CY197" s="753" t="str">
        <f t="shared" si="317"/>
        <v/>
      </c>
      <c r="CZ197" s="753" t="str">
        <f t="shared" si="317"/>
        <v/>
      </c>
      <c r="DA197" s="753" t="str">
        <f t="shared" si="317"/>
        <v/>
      </c>
      <c r="DB197" s="753" t="str">
        <f t="shared" si="317"/>
        <v/>
      </c>
      <c r="DC197" s="753" t="str">
        <f t="shared" si="317"/>
        <v/>
      </c>
      <c r="DD197" s="753" t="str">
        <f t="shared" si="317"/>
        <v/>
      </c>
      <c r="DE197" s="753" t="str">
        <f t="shared" si="317"/>
        <v/>
      </c>
      <c r="DF197" s="753" t="str">
        <f t="shared" si="317"/>
        <v/>
      </c>
      <c r="DG197" s="753" t="str">
        <f t="shared" si="317"/>
        <v/>
      </c>
      <c r="DH197" s="753" t="str">
        <f t="shared" si="317"/>
        <v/>
      </c>
      <c r="DI197" s="753" t="str">
        <f t="shared" si="317"/>
        <v/>
      </c>
      <c r="DJ197" s="753" t="str">
        <f t="shared" si="317"/>
        <v/>
      </c>
      <c r="DK197" s="753" t="str">
        <f t="shared" si="317"/>
        <v/>
      </c>
      <c r="DL197" s="753" t="str">
        <f t="shared" si="317"/>
        <v/>
      </c>
      <c r="DM197" s="753" t="str">
        <f t="shared" si="317"/>
        <v/>
      </c>
      <c r="DN197" s="753" t="str">
        <f t="shared" si="317"/>
        <v/>
      </c>
      <c r="DO197" s="753" t="str">
        <f t="shared" si="317"/>
        <v/>
      </c>
      <c r="DP197" s="753" t="str">
        <f t="shared" si="317"/>
        <v/>
      </c>
      <c r="DQ197" s="753" t="str">
        <f t="shared" si="317"/>
        <v/>
      </c>
      <c r="DR197" s="753" t="str">
        <f t="shared" si="317"/>
        <v/>
      </c>
      <c r="DS197" s="753" t="str">
        <f t="shared" si="317"/>
        <v/>
      </c>
      <c r="DT197" s="753" t="str">
        <f t="shared" si="317"/>
        <v/>
      </c>
      <c r="DU197" s="753" t="str">
        <f t="shared" si="317"/>
        <v/>
      </c>
      <c r="DV197" s="753" t="str">
        <f t="shared" si="317"/>
        <v/>
      </c>
    </row>
    <row r="198" spans="1:126" x14ac:dyDescent="0.35">
      <c r="A198" s="752" t="s">
        <v>1703</v>
      </c>
      <c r="B198" s="748" t="s">
        <v>83</v>
      </c>
      <c r="C198" s="748" t="s">
        <v>1704</v>
      </c>
      <c r="F198" s="754">
        <f t="shared" ref="F198:AK198" si="318">IF(OR(F$92+F$110+F$128=0,$B$50=""),"",F$133-$B$50)</f>
        <v>-0.08</v>
      </c>
      <c r="G198" s="754">
        <f t="shared" si="318"/>
        <v>-0.08</v>
      </c>
      <c r="H198" s="754">
        <f t="shared" si="318"/>
        <v>-0.08</v>
      </c>
      <c r="I198" s="754">
        <f t="shared" si="318"/>
        <v>-0.08</v>
      </c>
      <c r="J198" s="754">
        <f t="shared" si="318"/>
        <v>-0.08</v>
      </c>
      <c r="K198" s="754">
        <f t="shared" si="318"/>
        <v>-0.08</v>
      </c>
      <c r="L198" s="754">
        <f t="shared" si="318"/>
        <v>-0.08</v>
      </c>
      <c r="M198" s="754">
        <f t="shared" si="318"/>
        <v>-0.08</v>
      </c>
      <c r="N198" s="754">
        <f t="shared" si="318"/>
        <v>-0.08</v>
      </c>
      <c r="O198" s="754">
        <f t="shared" si="318"/>
        <v>-0.08</v>
      </c>
      <c r="P198" s="754">
        <f t="shared" si="318"/>
        <v>-0.08</v>
      </c>
      <c r="Q198" s="754">
        <f t="shared" si="318"/>
        <v>-0.08</v>
      </c>
      <c r="R198" s="754">
        <f t="shared" si="318"/>
        <v>-0.08</v>
      </c>
      <c r="S198" s="754">
        <f t="shared" si="318"/>
        <v>-0.08</v>
      </c>
      <c r="T198" s="754">
        <f t="shared" si="318"/>
        <v>-0.08</v>
      </c>
      <c r="U198" s="754">
        <f t="shared" si="318"/>
        <v>-0.08</v>
      </c>
      <c r="V198" s="754">
        <f t="shared" si="318"/>
        <v>-0.08</v>
      </c>
      <c r="W198" s="754">
        <f t="shared" si="318"/>
        <v>-0.08</v>
      </c>
      <c r="X198" s="754">
        <f t="shared" si="318"/>
        <v>-0.08</v>
      </c>
      <c r="Y198" s="754">
        <f t="shared" si="318"/>
        <v>-0.08</v>
      </c>
      <c r="Z198" s="754">
        <f t="shared" si="318"/>
        <v>-0.08</v>
      </c>
      <c r="AA198" s="754">
        <f t="shared" si="318"/>
        <v>-0.08</v>
      </c>
      <c r="AB198" s="754">
        <f t="shared" si="318"/>
        <v>-3.4310642440529206E-2</v>
      </c>
      <c r="AC198" s="754">
        <f t="shared" si="318"/>
        <v>-3.6202202798005532E-2</v>
      </c>
      <c r="AD198" s="754">
        <f t="shared" si="318"/>
        <v>-3.7725447777999778E-2</v>
      </c>
      <c r="AE198" s="754">
        <f t="shared" si="318"/>
        <v>-2.6524738543441839E-2</v>
      </c>
      <c r="AF198" s="754">
        <f t="shared" si="318"/>
        <v>-2.7768402853778615E-2</v>
      </c>
      <c r="AG198" s="754">
        <f t="shared" si="318"/>
        <v>-2.8735305511884836E-2</v>
      </c>
      <c r="AH198" s="754">
        <f t="shared" si="318"/>
        <v>-2.004970358701795E-2</v>
      </c>
      <c r="AI198" s="754">
        <f t="shared" si="318"/>
        <v>-2.0717443807369874E-2</v>
      </c>
      <c r="AJ198" s="754">
        <f t="shared" si="318"/>
        <v>-2.098455419246046E-2</v>
      </c>
      <c r="AK198" s="754">
        <f t="shared" si="318"/>
        <v>-1.2559431860094561E-2</v>
      </c>
      <c r="AL198" s="754">
        <f t="shared" ref="AL198:BQ198" si="319">IF(OR(AL$92+AL$110+AL$128=0,$B$50=""),"",AL$133-$B$50)</f>
        <v>-1.2527840159782408E-2</v>
      </c>
      <c r="AM198" s="754">
        <f t="shared" si="319"/>
        <v>-1.25306833047302E-2</v>
      </c>
      <c r="AN198" s="754">
        <f t="shared" si="319"/>
        <v>-1.077527194995806E-2</v>
      </c>
      <c r="AO198" s="754">
        <f t="shared" si="319"/>
        <v>-1.0764683655930696E-2</v>
      </c>
      <c r="AP198" s="754">
        <f t="shared" si="319"/>
        <v>-1.0740141544159393E-2</v>
      </c>
      <c r="AQ198" s="754">
        <f t="shared" si="319"/>
        <v>-9.0095397795997706E-3</v>
      </c>
      <c r="AR198" s="754">
        <f t="shared" si="319"/>
        <v>2.1745440121782589E-3</v>
      </c>
      <c r="AS198" s="754">
        <f t="shared" si="319"/>
        <v>1.3369102080152725E-2</v>
      </c>
      <c r="AT198" s="754">
        <f t="shared" si="319"/>
        <v>2.4903930093244001E-2</v>
      </c>
      <c r="AU198" s="754">
        <f t="shared" si="319"/>
        <v>3.6041889436749824E-2</v>
      </c>
      <c r="AV198" s="754">
        <f t="shared" si="319"/>
        <v>4.7179848780255648E-2</v>
      </c>
      <c r="AW198" s="754">
        <f t="shared" si="319"/>
        <v>5.8614331668950179E-2</v>
      </c>
      <c r="AX198" s="754">
        <f t="shared" si="319"/>
        <v>6.9752291012455961E-2</v>
      </c>
      <c r="AY198" s="754">
        <f t="shared" si="319"/>
        <v>8.0890250355961799E-2</v>
      </c>
      <c r="AZ198" s="754">
        <f t="shared" si="319"/>
        <v>9.3431390328305317E-2</v>
      </c>
      <c r="BA198" s="754">
        <f t="shared" si="319"/>
        <v>0.10456934967181115</v>
      </c>
      <c r="BB198" s="754">
        <f t="shared" si="319"/>
        <v>0.11570730901531694</v>
      </c>
      <c r="BC198" s="754">
        <f t="shared" si="319"/>
        <v>0.12855315601852652</v>
      </c>
      <c r="BD198" s="754">
        <f t="shared" si="319"/>
        <v>0.12979713572773677</v>
      </c>
      <c r="BE198" s="754">
        <f t="shared" si="319"/>
        <v>0.13107844828142606</v>
      </c>
      <c r="BF198" s="754">
        <f t="shared" si="319"/>
        <v>0.1327026120081034</v>
      </c>
      <c r="BG198" s="754">
        <f t="shared" si="319"/>
        <v>0.13402773820052039</v>
      </c>
      <c r="BH198" s="754">
        <f t="shared" si="319"/>
        <v>0.13535378959435967</v>
      </c>
      <c r="BI198" s="754">
        <f t="shared" si="319"/>
        <v>0.13701749861988322</v>
      </c>
      <c r="BJ198" s="754">
        <f t="shared" si="319"/>
        <v>0.13844816921976116</v>
      </c>
      <c r="BK198" s="754">
        <f t="shared" si="319"/>
        <v>0.13984235072736267</v>
      </c>
      <c r="BL198" s="754">
        <f t="shared" si="319"/>
        <v>0.1428099211058565</v>
      </c>
      <c r="BM198" s="754">
        <f t="shared" si="319"/>
        <v>0.14427295964444786</v>
      </c>
      <c r="BN198" s="754">
        <f t="shared" si="319"/>
        <v>0.14577969451475109</v>
      </c>
      <c r="BO198" s="754">
        <f t="shared" si="319"/>
        <v>49.666027427127659</v>
      </c>
      <c r="BP198" s="754" t="str">
        <f t="shared" si="319"/>
        <v/>
      </c>
      <c r="BQ198" s="754" t="str">
        <f t="shared" si="319"/>
        <v/>
      </c>
      <c r="BR198" s="754" t="str">
        <f t="shared" ref="BR198:CW198" si="320">IF(OR(BR$92+BR$110+BR$128=0,$B$50=""),"",BR$133-$B$50)</f>
        <v/>
      </c>
      <c r="BS198" s="754" t="str">
        <f t="shared" si="320"/>
        <v/>
      </c>
      <c r="BT198" s="754" t="str">
        <f t="shared" si="320"/>
        <v/>
      </c>
      <c r="BU198" s="754" t="str">
        <f t="shared" si="320"/>
        <v/>
      </c>
      <c r="BV198" s="754" t="str">
        <f t="shared" si="320"/>
        <v/>
      </c>
      <c r="BW198" s="754" t="str">
        <f t="shared" si="320"/>
        <v/>
      </c>
      <c r="BX198" s="754" t="str">
        <f t="shared" si="320"/>
        <v/>
      </c>
      <c r="BY198" s="754" t="str">
        <f t="shared" si="320"/>
        <v/>
      </c>
      <c r="BZ198" s="754" t="str">
        <f t="shared" si="320"/>
        <v/>
      </c>
      <c r="CA198" s="754" t="str">
        <f t="shared" si="320"/>
        <v/>
      </c>
      <c r="CB198" s="754" t="str">
        <f t="shared" si="320"/>
        <v/>
      </c>
      <c r="CC198" s="754" t="str">
        <f t="shared" si="320"/>
        <v/>
      </c>
      <c r="CD198" s="754" t="str">
        <f t="shared" si="320"/>
        <v/>
      </c>
      <c r="CE198" s="754" t="str">
        <f t="shared" si="320"/>
        <v/>
      </c>
      <c r="CF198" s="754" t="str">
        <f t="shared" si="320"/>
        <v/>
      </c>
      <c r="CG198" s="754" t="str">
        <f t="shared" si="320"/>
        <v/>
      </c>
      <c r="CH198" s="754" t="str">
        <f t="shared" si="320"/>
        <v/>
      </c>
      <c r="CI198" s="754" t="str">
        <f t="shared" si="320"/>
        <v/>
      </c>
      <c r="CJ198" s="754" t="str">
        <f t="shared" si="320"/>
        <v/>
      </c>
      <c r="CK198" s="754" t="str">
        <f t="shared" si="320"/>
        <v/>
      </c>
      <c r="CL198" s="754" t="str">
        <f t="shared" si="320"/>
        <v/>
      </c>
      <c r="CM198" s="754" t="str">
        <f t="shared" si="320"/>
        <v/>
      </c>
      <c r="CN198" s="754" t="str">
        <f t="shared" si="320"/>
        <v/>
      </c>
      <c r="CO198" s="754" t="str">
        <f t="shared" si="320"/>
        <v/>
      </c>
      <c r="CP198" s="754" t="str">
        <f t="shared" si="320"/>
        <v/>
      </c>
      <c r="CQ198" s="754" t="str">
        <f t="shared" si="320"/>
        <v/>
      </c>
      <c r="CR198" s="754" t="str">
        <f t="shared" si="320"/>
        <v/>
      </c>
      <c r="CS198" s="754" t="str">
        <f t="shared" si="320"/>
        <v/>
      </c>
      <c r="CT198" s="754" t="str">
        <f t="shared" si="320"/>
        <v/>
      </c>
      <c r="CU198" s="754" t="str">
        <f t="shared" si="320"/>
        <v/>
      </c>
      <c r="CV198" s="754" t="str">
        <f t="shared" si="320"/>
        <v/>
      </c>
      <c r="CW198" s="754" t="str">
        <f t="shared" si="320"/>
        <v/>
      </c>
      <c r="CX198" s="754" t="str">
        <f t="shared" ref="CX198:DV198" si="321">IF(OR(CX$92+CX$110+CX$128=0,$B$50=""),"",CX$133-$B$50)</f>
        <v/>
      </c>
      <c r="CY198" s="754" t="str">
        <f t="shared" si="321"/>
        <v/>
      </c>
      <c r="CZ198" s="754" t="str">
        <f t="shared" si="321"/>
        <v/>
      </c>
      <c r="DA198" s="754" t="str">
        <f t="shared" si="321"/>
        <v/>
      </c>
      <c r="DB198" s="754" t="str">
        <f t="shared" si="321"/>
        <v/>
      </c>
      <c r="DC198" s="754" t="str">
        <f t="shared" si="321"/>
        <v/>
      </c>
      <c r="DD198" s="754" t="str">
        <f t="shared" si="321"/>
        <v/>
      </c>
      <c r="DE198" s="754" t="str">
        <f t="shared" si="321"/>
        <v/>
      </c>
      <c r="DF198" s="754" t="str">
        <f t="shared" si="321"/>
        <v/>
      </c>
      <c r="DG198" s="754" t="str">
        <f t="shared" si="321"/>
        <v/>
      </c>
      <c r="DH198" s="754" t="str">
        <f t="shared" si="321"/>
        <v/>
      </c>
      <c r="DI198" s="754" t="str">
        <f t="shared" si="321"/>
        <v/>
      </c>
      <c r="DJ198" s="754" t="str">
        <f t="shared" si="321"/>
        <v/>
      </c>
      <c r="DK198" s="754" t="str">
        <f t="shared" si="321"/>
        <v/>
      </c>
      <c r="DL198" s="754" t="str">
        <f t="shared" si="321"/>
        <v/>
      </c>
      <c r="DM198" s="754" t="str">
        <f t="shared" si="321"/>
        <v/>
      </c>
      <c r="DN198" s="754" t="str">
        <f t="shared" si="321"/>
        <v/>
      </c>
      <c r="DO198" s="754" t="str">
        <f t="shared" si="321"/>
        <v/>
      </c>
      <c r="DP198" s="754" t="str">
        <f t="shared" si="321"/>
        <v/>
      </c>
      <c r="DQ198" s="754" t="str">
        <f t="shared" si="321"/>
        <v/>
      </c>
      <c r="DR198" s="754" t="str">
        <f t="shared" si="321"/>
        <v/>
      </c>
      <c r="DS198" s="754" t="str">
        <f t="shared" si="321"/>
        <v/>
      </c>
      <c r="DT198" s="754" t="str">
        <f t="shared" si="321"/>
        <v/>
      </c>
      <c r="DU198" s="754" t="str">
        <f t="shared" si="321"/>
        <v/>
      </c>
      <c r="DV198" s="754" t="str">
        <f t="shared" si="321"/>
        <v/>
      </c>
    </row>
    <row r="199" spans="1:126" x14ac:dyDescent="0.35">
      <c r="A199" s="752" t="s">
        <v>1705</v>
      </c>
      <c r="B199" s="748" t="s">
        <v>83</v>
      </c>
      <c r="C199" s="748" t="s">
        <v>1706</v>
      </c>
      <c r="F199" s="754">
        <f t="shared" ref="F199:AK199" si="322">IF(OR(F$92+F$110+F$128=0,$B$38=""),"",$B$38-F$134)</f>
        <v>0.62538703101563531</v>
      </c>
      <c r="G199" s="754">
        <f t="shared" si="322"/>
        <v>0.62384568904013393</v>
      </c>
      <c r="H199" s="754">
        <f t="shared" si="322"/>
        <v>0.63281299730396701</v>
      </c>
      <c r="I199" s="754">
        <f t="shared" si="322"/>
        <v>0.63037067495476595</v>
      </c>
      <c r="J199" s="754">
        <f t="shared" si="322"/>
        <v>0.62708850999537447</v>
      </c>
      <c r="K199" s="754">
        <f t="shared" si="322"/>
        <v>0.62268979416883685</v>
      </c>
      <c r="L199" s="754">
        <f t="shared" si="322"/>
        <v>0.61683093297947844</v>
      </c>
      <c r="M199" s="754">
        <f t="shared" si="322"/>
        <v>0.60914202158709607</v>
      </c>
      <c r="N199" s="754">
        <f t="shared" si="322"/>
        <v>0.59925297727168736</v>
      </c>
      <c r="O199" s="754">
        <f t="shared" si="322"/>
        <v>0.5869890101974321</v>
      </c>
      <c r="P199" s="754">
        <f t="shared" si="322"/>
        <v>0.57190435633357295</v>
      </c>
      <c r="Q199" s="754">
        <f t="shared" si="322"/>
        <v>0.55370711917996385</v>
      </c>
      <c r="R199" s="754">
        <f t="shared" si="322"/>
        <v>0.53228793530955265</v>
      </c>
      <c r="S199" s="754">
        <f t="shared" si="322"/>
        <v>0.51105289057061376</v>
      </c>
      <c r="T199" s="754">
        <f t="shared" si="322"/>
        <v>0.4972953906276722</v>
      </c>
      <c r="U199" s="754">
        <f t="shared" si="322"/>
        <v>0.48228970299143303</v>
      </c>
      <c r="V199" s="754">
        <f t="shared" si="322"/>
        <v>0.46633982364934712</v>
      </c>
      <c r="W199" s="754">
        <f t="shared" si="322"/>
        <v>0.44982025533404213</v>
      </c>
      <c r="X199" s="754">
        <f t="shared" si="322"/>
        <v>0.43314958535843157</v>
      </c>
      <c r="Y199" s="754">
        <f t="shared" si="322"/>
        <v>0.41675843194495432</v>
      </c>
      <c r="Z199" s="754">
        <f t="shared" si="322"/>
        <v>0.40112257236864601</v>
      </c>
      <c r="AA199" s="754">
        <f t="shared" si="322"/>
        <v>0.38645991110917982</v>
      </c>
      <c r="AB199" s="754">
        <f t="shared" si="322"/>
        <v>0.37305088753438687</v>
      </c>
      <c r="AC199" s="754">
        <f t="shared" si="322"/>
        <v>0.36108987589350117</v>
      </c>
      <c r="AD199" s="754">
        <f t="shared" si="322"/>
        <v>0.35067980948040939</v>
      </c>
      <c r="AE199" s="754">
        <f t="shared" si="322"/>
        <v>0.34183615519549965</v>
      </c>
      <c r="AF199" s="754">
        <f t="shared" si="322"/>
        <v>0.3344985971567016</v>
      </c>
      <c r="AG199" s="754">
        <f t="shared" si="322"/>
        <v>0.32854792978042086</v>
      </c>
      <c r="AH199" s="754">
        <f t="shared" si="322"/>
        <v>0.32382533565474209</v>
      </c>
      <c r="AI199" s="754">
        <f t="shared" si="322"/>
        <v>0.32015140598248898</v>
      </c>
      <c r="AJ199" s="754">
        <f t="shared" si="322"/>
        <v>0.31865847504273231</v>
      </c>
      <c r="AK199" s="754">
        <f t="shared" si="322"/>
        <v>0.31859952121215657</v>
      </c>
      <c r="AL199" s="754">
        <f t="shared" ref="AL199:BQ199" si="323">IF(OR(AL$92+AL$110+AL$128=0,$B$38=""),"",$B$38-AL$134)</f>
        <v>0.31875468898259646</v>
      </c>
      <c r="AM199" s="754">
        <f t="shared" si="323"/>
        <v>0.31874073036438855</v>
      </c>
      <c r="AN199" s="754">
        <f t="shared" si="323"/>
        <v>0.31883025992142511</v>
      </c>
      <c r="AO199" s="754">
        <f t="shared" si="323"/>
        <v>0.31888090636555333</v>
      </c>
      <c r="AP199" s="754">
        <f t="shared" si="323"/>
        <v>0.31899823784711806</v>
      </c>
      <c r="AQ199" s="754">
        <f t="shared" si="323"/>
        <v>0.31922045688043033</v>
      </c>
      <c r="AR199" s="754">
        <f t="shared" si="323"/>
        <v>0.31965731079927218</v>
      </c>
      <c r="AS199" s="754">
        <f t="shared" si="323"/>
        <v>0.32002651817672167</v>
      </c>
      <c r="AT199" s="754">
        <f t="shared" si="323"/>
        <v>0.32002651817672167</v>
      </c>
      <c r="AU199" s="754">
        <f t="shared" si="323"/>
        <v>0.32002651817672167</v>
      </c>
      <c r="AV199" s="754">
        <f t="shared" si="323"/>
        <v>0.32002651817672167</v>
      </c>
      <c r="AW199" s="754">
        <f t="shared" si="323"/>
        <v>0.32002651817672167</v>
      </c>
      <c r="AX199" s="754">
        <f t="shared" si="323"/>
        <v>0.32002651817672167</v>
      </c>
      <c r="AY199" s="754">
        <f t="shared" si="323"/>
        <v>0.32002651817672167</v>
      </c>
      <c r="AZ199" s="754">
        <f t="shared" si="323"/>
        <v>0.32002651817672167</v>
      </c>
      <c r="BA199" s="754">
        <f t="shared" si="323"/>
        <v>0.32002651817672167</v>
      </c>
      <c r="BB199" s="754">
        <f t="shared" si="323"/>
        <v>0.32002651817672167</v>
      </c>
      <c r="BC199" s="754">
        <f t="shared" si="323"/>
        <v>0.31672678335848892</v>
      </c>
      <c r="BD199" s="754">
        <f t="shared" si="323"/>
        <v>0.31870290718728744</v>
      </c>
      <c r="BE199" s="754">
        <f t="shared" si="323"/>
        <v>0.32071398471546664</v>
      </c>
      <c r="BF199" s="754">
        <f t="shared" si="323"/>
        <v>0.32270464186589132</v>
      </c>
      <c r="BG199" s="754">
        <f t="shared" si="323"/>
        <v>0.32473105047706702</v>
      </c>
      <c r="BH199" s="754">
        <f t="shared" si="323"/>
        <v>0.32673390979382194</v>
      </c>
      <c r="BI199" s="754">
        <f t="shared" si="323"/>
        <v>0.32874550441783501</v>
      </c>
      <c r="BJ199" s="754">
        <f t="shared" si="323"/>
        <v>0.33084947884595511</v>
      </c>
      <c r="BK199" s="754">
        <f t="shared" si="323"/>
        <v>0.33287344626288912</v>
      </c>
      <c r="BL199" s="754">
        <f t="shared" si="323"/>
        <v>0.33494641291162153</v>
      </c>
      <c r="BM199" s="754">
        <f t="shared" si="323"/>
        <v>0.3370016563986763</v>
      </c>
      <c r="BN199" s="754">
        <f t="shared" si="323"/>
        <v>0.3390904426363619</v>
      </c>
      <c r="BO199" s="754">
        <f t="shared" si="323"/>
        <v>0.64856307176040229</v>
      </c>
      <c r="BP199" s="754" t="str">
        <f t="shared" si="323"/>
        <v/>
      </c>
      <c r="BQ199" s="754" t="str">
        <f t="shared" si="323"/>
        <v/>
      </c>
      <c r="BR199" s="754" t="str">
        <f t="shared" ref="BR199:CW199" si="324">IF(OR(BR$92+BR$110+BR$128=0,$B$38=""),"",$B$38-BR$134)</f>
        <v/>
      </c>
      <c r="BS199" s="754" t="str">
        <f t="shared" si="324"/>
        <v/>
      </c>
      <c r="BT199" s="754" t="str">
        <f t="shared" si="324"/>
        <v/>
      </c>
      <c r="BU199" s="754" t="str">
        <f t="shared" si="324"/>
        <v/>
      </c>
      <c r="BV199" s="754" t="str">
        <f t="shared" si="324"/>
        <v/>
      </c>
      <c r="BW199" s="754" t="str">
        <f t="shared" si="324"/>
        <v/>
      </c>
      <c r="BX199" s="754" t="str">
        <f t="shared" si="324"/>
        <v/>
      </c>
      <c r="BY199" s="754" t="str">
        <f t="shared" si="324"/>
        <v/>
      </c>
      <c r="BZ199" s="754" t="str">
        <f t="shared" si="324"/>
        <v/>
      </c>
      <c r="CA199" s="754" t="str">
        <f t="shared" si="324"/>
        <v/>
      </c>
      <c r="CB199" s="754" t="str">
        <f t="shared" si="324"/>
        <v/>
      </c>
      <c r="CC199" s="754" t="str">
        <f t="shared" si="324"/>
        <v/>
      </c>
      <c r="CD199" s="754" t="str">
        <f t="shared" si="324"/>
        <v/>
      </c>
      <c r="CE199" s="754" t="str">
        <f t="shared" si="324"/>
        <v/>
      </c>
      <c r="CF199" s="754" t="str">
        <f t="shared" si="324"/>
        <v/>
      </c>
      <c r="CG199" s="754" t="str">
        <f t="shared" si="324"/>
        <v/>
      </c>
      <c r="CH199" s="754" t="str">
        <f t="shared" si="324"/>
        <v/>
      </c>
      <c r="CI199" s="754" t="str">
        <f t="shared" si="324"/>
        <v/>
      </c>
      <c r="CJ199" s="754" t="str">
        <f t="shared" si="324"/>
        <v/>
      </c>
      <c r="CK199" s="754" t="str">
        <f t="shared" si="324"/>
        <v/>
      </c>
      <c r="CL199" s="754" t="str">
        <f t="shared" si="324"/>
        <v/>
      </c>
      <c r="CM199" s="754" t="str">
        <f t="shared" si="324"/>
        <v/>
      </c>
      <c r="CN199" s="754" t="str">
        <f t="shared" si="324"/>
        <v/>
      </c>
      <c r="CO199" s="754" t="str">
        <f t="shared" si="324"/>
        <v/>
      </c>
      <c r="CP199" s="754" t="str">
        <f t="shared" si="324"/>
        <v/>
      </c>
      <c r="CQ199" s="754" t="str">
        <f t="shared" si="324"/>
        <v/>
      </c>
      <c r="CR199" s="754" t="str">
        <f t="shared" si="324"/>
        <v/>
      </c>
      <c r="CS199" s="754" t="str">
        <f t="shared" si="324"/>
        <v/>
      </c>
      <c r="CT199" s="754" t="str">
        <f t="shared" si="324"/>
        <v/>
      </c>
      <c r="CU199" s="754" t="str">
        <f t="shared" si="324"/>
        <v/>
      </c>
      <c r="CV199" s="754" t="str">
        <f t="shared" si="324"/>
        <v/>
      </c>
      <c r="CW199" s="754" t="str">
        <f t="shared" si="324"/>
        <v/>
      </c>
      <c r="CX199" s="754" t="str">
        <f t="shared" ref="CX199:DV199" si="325">IF(OR(CX$92+CX$110+CX$128=0,$B$38=""),"",$B$38-CX$134)</f>
        <v/>
      </c>
      <c r="CY199" s="754" t="str">
        <f t="shared" si="325"/>
        <v/>
      </c>
      <c r="CZ199" s="754" t="str">
        <f t="shared" si="325"/>
        <v/>
      </c>
      <c r="DA199" s="754" t="str">
        <f t="shared" si="325"/>
        <v/>
      </c>
      <c r="DB199" s="754" t="str">
        <f t="shared" si="325"/>
        <v/>
      </c>
      <c r="DC199" s="754" t="str">
        <f t="shared" si="325"/>
        <v/>
      </c>
      <c r="DD199" s="754" t="str">
        <f t="shared" si="325"/>
        <v/>
      </c>
      <c r="DE199" s="754" t="str">
        <f t="shared" si="325"/>
        <v/>
      </c>
      <c r="DF199" s="754" t="str">
        <f t="shared" si="325"/>
        <v/>
      </c>
      <c r="DG199" s="754" t="str">
        <f t="shared" si="325"/>
        <v/>
      </c>
      <c r="DH199" s="754" t="str">
        <f t="shared" si="325"/>
        <v/>
      </c>
      <c r="DI199" s="754" t="str">
        <f t="shared" si="325"/>
        <v/>
      </c>
      <c r="DJ199" s="754" t="str">
        <f t="shared" si="325"/>
        <v/>
      </c>
      <c r="DK199" s="754" t="str">
        <f t="shared" si="325"/>
        <v/>
      </c>
      <c r="DL199" s="754" t="str">
        <f t="shared" si="325"/>
        <v/>
      </c>
      <c r="DM199" s="754" t="str">
        <f t="shared" si="325"/>
        <v/>
      </c>
      <c r="DN199" s="754" t="str">
        <f t="shared" si="325"/>
        <v/>
      </c>
      <c r="DO199" s="754" t="str">
        <f t="shared" si="325"/>
        <v/>
      </c>
      <c r="DP199" s="754" t="str">
        <f t="shared" si="325"/>
        <v/>
      </c>
      <c r="DQ199" s="754" t="str">
        <f t="shared" si="325"/>
        <v/>
      </c>
      <c r="DR199" s="754" t="str">
        <f t="shared" si="325"/>
        <v/>
      </c>
      <c r="DS199" s="754" t="str">
        <f t="shared" si="325"/>
        <v/>
      </c>
      <c r="DT199" s="754" t="str">
        <f t="shared" si="325"/>
        <v/>
      </c>
      <c r="DU199" s="754" t="str">
        <f t="shared" si="325"/>
        <v/>
      </c>
      <c r="DV199" s="754" t="str">
        <f t="shared" si="325"/>
        <v/>
      </c>
    </row>
    <row r="200" spans="1:126" x14ac:dyDescent="0.35">
      <c r="A200" s="752" t="s">
        <v>1707</v>
      </c>
      <c r="B200" s="748" t="s">
        <v>1370</v>
      </c>
      <c r="C200" s="748" t="s">
        <v>1708</v>
      </c>
      <c r="F200" s="753">
        <f t="shared" ref="F200:AK200" si="326">MAX(0,(E$153+F$144+F$106-MAX(0,F$107-F$118)-F$145-F$146-F$147-F$125-F$127-F$149)+F$151-F$150)</f>
        <v>0</v>
      </c>
      <c r="G200" s="753">
        <f t="shared" si="326"/>
        <v>0</v>
      </c>
      <c r="H200" s="753">
        <f t="shared" si="326"/>
        <v>0</v>
      </c>
      <c r="I200" s="753">
        <f t="shared" si="326"/>
        <v>0</v>
      </c>
      <c r="J200" s="753">
        <f t="shared" si="326"/>
        <v>0</v>
      </c>
      <c r="K200" s="753">
        <f t="shared" si="326"/>
        <v>1.4551915228366852E-11</v>
      </c>
      <c r="L200" s="753">
        <f t="shared" si="326"/>
        <v>2.9103830456733704E-11</v>
      </c>
      <c r="M200" s="753">
        <f t="shared" si="326"/>
        <v>0</v>
      </c>
      <c r="N200" s="753">
        <f t="shared" si="326"/>
        <v>0</v>
      </c>
      <c r="O200" s="753">
        <f t="shared" si="326"/>
        <v>0</v>
      </c>
      <c r="P200" s="753">
        <f t="shared" si="326"/>
        <v>0</v>
      </c>
      <c r="Q200" s="753">
        <f t="shared" si="326"/>
        <v>0</v>
      </c>
      <c r="R200" s="753">
        <f t="shared" si="326"/>
        <v>0</v>
      </c>
      <c r="S200" s="753">
        <f t="shared" si="326"/>
        <v>0</v>
      </c>
      <c r="T200" s="753">
        <f t="shared" si="326"/>
        <v>0</v>
      </c>
      <c r="U200" s="753">
        <f t="shared" si="326"/>
        <v>0</v>
      </c>
      <c r="V200" s="753">
        <f t="shared" si="326"/>
        <v>0</v>
      </c>
      <c r="W200" s="753">
        <f t="shared" si="326"/>
        <v>0</v>
      </c>
      <c r="X200" s="753">
        <f t="shared" si="326"/>
        <v>0</v>
      </c>
      <c r="Y200" s="753">
        <f t="shared" si="326"/>
        <v>0</v>
      </c>
      <c r="Z200" s="753">
        <f t="shared" si="326"/>
        <v>0</v>
      </c>
      <c r="AA200" s="753">
        <f t="shared" si="326"/>
        <v>0</v>
      </c>
      <c r="AB200" s="753">
        <f t="shared" si="326"/>
        <v>0</v>
      </c>
      <c r="AC200" s="753">
        <f t="shared" si="326"/>
        <v>0</v>
      </c>
      <c r="AD200" s="753">
        <f t="shared" si="326"/>
        <v>0</v>
      </c>
      <c r="AE200" s="753">
        <f t="shared" si="326"/>
        <v>0</v>
      </c>
      <c r="AF200" s="753">
        <f t="shared" si="326"/>
        <v>0</v>
      </c>
      <c r="AG200" s="753">
        <f t="shared" si="326"/>
        <v>0</v>
      </c>
      <c r="AH200" s="753">
        <f t="shared" si="326"/>
        <v>0</v>
      </c>
      <c r="AI200" s="753">
        <f t="shared" si="326"/>
        <v>0</v>
      </c>
      <c r="AJ200" s="753">
        <f t="shared" si="326"/>
        <v>0</v>
      </c>
      <c r="AK200" s="753">
        <f t="shared" si="326"/>
        <v>0</v>
      </c>
      <c r="AL200" s="753">
        <f t="shared" ref="AL200:BQ200" si="327">MAX(0,(AK$153+AL$144+AL$106-MAX(0,AL$107-AL$118)-AL$145-AL$146-AL$147-AL$125-AL$127-AL$149)+AL$151-AL$150)</f>
        <v>0</v>
      </c>
      <c r="AM200" s="753">
        <f t="shared" si="327"/>
        <v>0</v>
      </c>
      <c r="AN200" s="753">
        <f t="shared" si="327"/>
        <v>0</v>
      </c>
      <c r="AO200" s="753">
        <f t="shared" si="327"/>
        <v>0</v>
      </c>
      <c r="AP200" s="753">
        <f t="shared" si="327"/>
        <v>0</v>
      </c>
      <c r="AQ200" s="753">
        <f t="shared" si="327"/>
        <v>0</v>
      </c>
      <c r="AR200" s="753">
        <f t="shared" si="327"/>
        <v>0</v>
      </c>
      <c r="AS200" s="753">
        <f t="shared" si="327"/>
        <v>239274.52433966938</v>
      </c>
      <c r="AT200" s="753">
        <f t="shared" si="327"/>
        <v>904516.01852599252</v>
      </c>
      <c r="AU200" s="753">
        <f t="shared" si="327"/>
        <v>1819630.2810464981</v>
      </c>
      <c r="AV200" s="753">
        <f t="shared" si="327"/>
        <v>2902961.8507067333</v>
      </c>
      <c r="AW200" s="753">
        <f t="shared" si="327"/>
        <v>4198660.0852794405</v>
      </c>
      <c r="AX200" s="753">
        <f t="shared" si="327"/>
        <v>5823656.3914161753</v>
      </c>
      <c r="AY200" s="753">
        <f t="shared" si="327"/>
        <v>7536994.6224804912</v>
      </c>
      <c r="AZ200" s="753">
        <f t="shared" si="327"/>
        <v>9518355.5928966831</v>
      </c>
      <c r="BA200" s="753">
        <f t="shared" si="327"/>
        <v>11674227.570452606</v>
      </c>
      <c r="BB200" s="753">
        <f t="shared" si="327"/>
        <v>14078192.237360407</v>
      </c>
      <c r="BC200" s="753">
        <f t="shared" si="327"/>
        <v>17315453.701553583</v>
      </c>
      <c r="BD200" s="753">
        <f t="shared" si="327"/>
        <v>18658520.388583016</v>
      </c>
      <c r="BE200" s="753">
        <f t="shared" si="327"/>
        <v>20025343.253511027</v>
      </c>
      <c r="BF200" s="753">
        <f t="shared" si="327"/>
        <v>21378287.469389357</v>
      </c>
      <c r="BG200" s="753">
        <f t="shared" si="327"/>
        <v>22755530.059310619</v>
      </c>
      <c r="BH200" s="753">
        <f t="shared" si="327"/>
        <v>24116767.441269342</v>
      </c>
      <c r="BI200" s="753">
        <f t="shared" si="327"/>
        <v>25483941.748844016</v>
      </c>
      <c r="BJ200" s="753">
        <f t="shared" si="327"/>
        <v>26913901.715719111</v>
      </c>
      <c r="BK200" s="753">
        <f t="shared" si="327"/>
        <v>28289485.155229427</v>
      </c>
      <c r="BL200" s="753">
        <f t="shared" si="327"/>
        <v>29698370.777001563</v>
      </c>
      <c r="BM200" s="753">
        <f t="shared" si="327"/>
        <v>31095210.904614251</v>
      </c>
      <c r="BN200" s="753">
        <f t="shared" si="327"/>
        <v>32514848.263001177</v>
      </c>
      <c r="BO200" s="753">
        <f t="shared" si="327"/>
        <v>0</v>
      </c>
      <c r="BP200" s="753">
        <f t="shared" si="327"/>
        <v>3066518.7480429495</v>
      </c>
      <c r="BQ200" s="753">
        <f t="shared" si="327"/>
        <v>7115032.8926977571</v>
      </c>
      <c r="BR200" s="753">
        <f t="shared" ref="BR200:CW200" si="328">MAX(0,(BQ$153+BR$144+BR$106-MAX(0,BR$107-BR$118)-BR$145-BR$146-BR$147-BR$125-BR$127-BR$149)+BR$151-BR$150)</f>
        <v>11168509.844240066</v>
      </c>
      <c r="BS200" s="753">
        <f t="shared" si="328"/>
        <v>15223553.997957375</v>
      </c>
      <c r="BT200" s="753">
        <f t="shared" si="328"/>
        <v>19278598.151674684</v>
      </c>
      <c r="BU200" s="753">
        <f t="shared" si="328"/>
        <v>22504278.258432075</v>
      </c>
      <c r="BV200" s="753">
        <f t="shared" si="328"/>
        <v>25626964.626346692</v>
      </c>
      <c r="BW200" s="753">
        <f t="shared" si="328"/>
        <v>28749650.99426131</v>
      </c>
      <c r="BX200" s="753">
        <f t="shared" si="328"/>
        <v>31885259.469009049</v>
      </c>
      <c r="BY200" s="753">
        <f t="shared" si="328"/>
        <v>35027609.912539288</v>
      </c>
      <c r="BZ200" s="753">
        <f t="shared" si="328"/>
        <v>38169960.356069528</v>
      </c>
      <c r="CA200" s="753">
        <f t="shared" si="328"/>
        <v>41344920.18764589</v>
      </c>
      <c r="CB200" s="753">
        <f t="shared" si="328"/>
        <v>44539522.225385718</v>
      </c>
      <c r="CC200" s="753">
        <f t="shared" si="328"/>
        <v>47734124.263125546</v>
      </c>
      <c r="CD200" s="753">
        <f t="shared" si="328"/>
        <v>50931835.238180026</v>
      </c>
      <c r="CE200" s="753">
        <f t="shared" si="328"/>
        <v>54131168.267485633</v>
      </c>
      <c r="CF200" s="753">
        <f t="shared" si="328"/>
        <v>57330501.296791241</v>
      </c>
      <c r="CG200" s="753">
        <f t="shared" si="328"/>
        <v>60532660.632746533</v>
      </c>
      <c r="CH200" s="753">
        <f t="shared" si="328"/>
        <v>63736294.563475579</v>
      </c>
      <c r="CI200" s="753">
        <f t="shared" si="328"/>
        <v>66939928.494204625</v>
      </c>
      <c r="CJ200" s="753">
        <f t="shared" si="328"/>
        <v>70156936.805505961</v>
      </c>
      <c r="CK200" s="753">
        <f t="shared" si="328"/>
        <v>73380923.054497182</v>
      </c>
      <c r="CL200" s="753">
        <f t="shared" si="328"/>
        <v>76604909.303488404</v>
      </c>
      <c r="CM200" s="753">
        <f t="shared" si="328"/>
        <v>79862358.851002097</v>
      </c>
      <c r="CN200" s="753">
        <f t="shared" si="328"/>
        <v>83139961.838498667</v>
      </c>
      <c r="CO200" s="753">
        <f t="shared" si="328"/>
        <v>86417564.825995237</v>
      </c>
      <c r="CP200" s="753">
        <f t="shared" si="328"/>
        <v>89698385.563612476</v>
      </c>
      <c r="CQ200" s="753">
        <f t="shared" si="328"/>
        <v>92980885.127379626</v>
      </c>
      <c r="CR200" s="753">
        <f t="shared" si="328"/>
        <v>96263384.691146776</v>
      </c>
      <c r="CS200" s="753">
        <f t="shared" si="328"/>
        <v>99548809.482296363</v>
      </c>
      <c r="CT200" s="753">
        <f t="shared" si="328"/>
        <v>102835760.47903678</v>
      </c>
      <c r="CU200" s="753">
        <f t="shared" si="328"/>
        <v>106122711.47577719</v>
      </c>
      <c r="CV200" s="753">
        <f t="shared" si="328"/>
        <v>109423504.95640992</v>
      </c>
      <c r="CW200" s="753">
        <f t="shared" si="328"/>
        <v>112731520.60255167</v>
      </c>
      <c r="CX200" s="753">
        <f t="shared" ref="CX200:DV200" si="329">MAX(0,(CW$153+CX$144+CX$106-MAX(0,CX$107-CX$118)-CX$145-CX$146-CX$147-CX$125-CX$127-CX$149)+CX$151-CX$150)</f>
        <v>116039536.24869344</v>
      </c>
      <c r="CY200" s="753">
        <f t="shared" si="329"/>
        <v>119381891.80524808</v>
      </c>
      <c r="CZ200" s="753">
        <f t="shared" si="329"/>
        <v>122744925.52270378</v>
      </c>
      <c r="DA200" s="753">
        <f t="shared" si="329"/>
        <v>126107959.24015948</v>
      </c>
      <c r="DB200" s="753">
        <f t="shared" si="329"/>
        <v>129474323.32899007</v>
      </c>
      <c r="DC200" s="753">
        <f t="shared" si="329"/>
        <v>132842425.00288582</v>
      </c>
      <c r="DD200" s="753">
        <f t="shared" si="329"/>
        <v>136210526.67678156</v>
      </c>
      <c r="DE200" s="753">
        <f t="shared" si="329"/>
        <v>139581655.96101812</v>
      </c>
      <c r="DF200" s="753">
        <f t="shared" si="329"/>
        <v>142954364.86804119</v>
      </c>
      <c r="DG200" s="753">
        <f t="shared" si="329"/>
        <v>146327073.77506426</v>
      </c>
      <c r="DH200" s="753">
        <f t="shared" si="329"/>
        <v>149714109.65291587</v>
      </c>
      <c r="DI200" s="753">
        <f t="shared" si="329"/>
        <v>153108620.47206932</v>
      </c>
      <c r="DJ200" s="753">
        <f t="shared" si="329"/>
        <v>156503131.29122278</v>
      </c>
      <c r="DK200" s="753">
        <f t="shared" si="329"/>
        <v>159932881.94900674</v>
      </c>
      <c r="DL200" s="753">
        <f t="shared" si="329"/>
        <v>163383849.33760506</v>
      </c>
      <c r="DM200" s="753">
        <f t="shared" si="329"/>
        <v>166834816.72620338</v>
      </c>
      <c r="DN200" s="753">
        <f t="shared" si="329"/>
        <v>170289231.0491747</v>
      </c>
      <c r="DO200" s="753">
        <f t="shared" si="329"/>
        <v>173745443.77268848</v>
      </c>
      <c r="DP200" s="753">
        <f t="shared" si="329"/>
        <v>177201656.49620226</v>
      </c>
      <c r="DQ200" s="753">
        <f t="shared" si="329"/>
        <v>180661002.79641876</v>
      </c>
      <c r="DR200" s="753">
        <f t="shared" si="329"/>
        <v>184121984.0062193</v>
      </c>
      <c r="DS200" s="753">
        <f t="shared" si="329"/>
        <v>187582965.21601984</v>
      </c>
      <c r="DT200" s="753">
        <f t="shared" si="329"/>
        <v>191058774.84062794</v>
      </c>
      <c r="DU200" s="753">
        <f t="shared" si="329"/>
        <v>194542321.02948344</v>
      </c>
      <c r="DV200" s="753">
        <f t="shared" si="329"/>
        <v>198025867.21833894</v>
      </c>
    </row>
    <row r="201" spans="1:126" x14ac:dyDescent="0.35">
      <c r="A201" s="752" t="s">
        <v>1709</v>
      </c>
      <c r="B201" s="748" t="s">
        <v>1370</v>
      </c>
      <c r="C201" s="748" t="s">
        <v>1710</v>
      </c>
      <c r="F201" s="753">
        <f t="shared" ref="F201:AK201" si="330">MAX(0,F$200-F$152)</f>
        <v>0</v>
      </c>
      <c r="G201" s="753">
        <f t="shared" si="330"/>
        <v>0</v>
      </c>
      <c r="H201" s="753">
        <f t="shared" si="330"/>
        <v>0</v>
      </c>
      <c r="I201" s="753">
        <f t="shared" si="330"/>
        <v>0</v>
      </c>
      <c r="J201" s="753">
        <f t="shared" si="330"/>
        <v>0</v>
      </c>
      <c r="K201" s="753">
        <f t="shared" si="330"/>
        <v>1.4551915228366852E-11</v>
      </c>
      <c r="L201" s="753">
        <f t="shared" si="330"/>
        <v>2.9103830456733704E-11</v>
      </c>
      <c r="M201" s="753">
        <f t="shared" si="330"/>
        <v>0</v>
      </c>
      <c r="N201" s="753">
        <f t="shared" si="330"/>
        <v>0</v>
      </c>
      <c r="O201" s="753">
        <f t="shared" si="330"/>
        <v>0</v>
      </c>
      <c r="P201" s="753">
        <f t="shared" si="330"/>
        <v>0</v>
      </c>
      <c r="Q201" s="753">
        <f t="shared" si="330"/>
        <v>0</v>
      </c>
      <c r="R201" s="753">
        <f t="shared" si="330"/>
        <v>0</v>
      </c>
      <c r="S201" s="753">
        <f t="shared" si="330"/>
        <v>0</v>
      </c>
      <c r="T201" s="753">
        <f t="shared" si="330"/>
        <v>0</v>
      </c>
      <c r="U201" s="753">
        <f t="shared" si="330"/>
        <v>0</v>
      </c>
      <c r="V201" s="753">
        <f t="shared" si="330"/>
        <v>0</v>
      </c>
      <c r="W201" s="753">
        <f t="shared" si="330"/>
        <v>0</v>
      </c>
      <c r="X201" s="753">
        <f t="shared" si="330"/>
        <v>0</v>
      </c>
      <c r="Y201" s="753">
        <f t="shared" si="330"/>
        <v>0</v>
      </c>
      <c r="Z201" s="753">
        <f t="shared" si="330"/>
        <v>0</v>
      </c>
      <c r="AA201" s="753">
        <f t="shared" si="330"/>
        <v>0</v>
      </c>
      <c r="AB201" s="753">
        <f t="shared" si="330"/>
        <v>0</v>
      </c>
      <c r="AC201" s="753">
        <f t="shared" si="330"/>
        <v>0</v>
      </c>
      <c r="AD201" s="753">
        <f t="shared" si="330"/>
        <v>0</v>
      </c>
      <c r="AE201" s="753">
        <f t="shared" si="330"/>
        <v>0</v>
      </c>
      <c r="AF201" s="753">
        <f t="shared" si="330"/>
        <v>0</v>
      </c>
      <c r="AG201" s="753">
        <f t="shared" si="330"/>
        <v>0</v>
      </c>
      <c r="AH201" s="753">
        <f t="shared" si="330"/>
        <v>0</v>
      </c>
      <c r="AI201" s="753">
        <f t="shared" si="330"/>
        <v>0</v>
      </c>
      <c r="AJ201" s="753">
        <f t="shared" si="330"/>
        <v>0</v>
      </c>
      <c r="AK201" s="753">
        <f t="shared" si="330"/>
        <v>0</v>
      </c>
      <c r="AL201" s="753">
        <f t="shared" ref="AL201:BQ201" si="331">MAX(0,AL$200-AL$152)</f>
        <v>0</v>
      </c>
      <c r="AM201" s="753">
        <f t="shared" si="331"/>
        <v>0</v>
      </c>
      <c r="AN201" s="753">
        <f t="shared" si="331"/>
        <v>0</v>
      </c>
      <c r="AO201" s="753">
        <f t="shared" si="331"/>
        <v>0</v>
      </c>
      <c r="AP201" s="753">
        <f t="shared" si="331"/>
        <v>0</v>
      </c>
      <c r="AQ201" s="753">
        <f t="shared" si="331"/>
        <v>0</v>
      </c>
      <c r="AR201" s="753">
        <f t="shared" si="331"/>
        <v>0</v>
      </c>
      <c r="AS201" s="753">
        <f t="shared" si="331"/>
        <v>239274.52433966938</v>
      </c>
      <c r="AT201" s="753">
        <f t="shared" si="331"/>
        <v>904516.01852599252</v>
      </c>
      <c r="AU201" s="753">
        <f t="shared" si="331"/>
        <v>1819630.2810464981</v>
      </c>
      <c r="AV201" s="753">
        <f t="shared" si="331"/>
        <v>2902961.8507067333</v>
      </c>
      <c r="AW201" s="753">
        <f t="shared" si="331"/>
        <v>4198660.0852794405</v>
      </c>
      <c r="AX201" s="753">
        <f t="shared" si="331"/>
        <v>5823656.3914161753</v>
      </c>
      <c r="AY201" s="753">
        <f t="shared" si="331"/>
        <v>7536994.6224804912</v>
      </c>
      <c r="AZ201" s="753">
        <f t="shared" si="331"/>
        <v>9518355.5928966831</v>
      </c>
      <c r="BA201" s="753">
        <f t="shared" si="331"/>
        <v>11674227.570452606</v>
      </c>
      <c r="BB201" s="753">
        <f t="shared" si="331"/>
        <v>14078192.237360407</v>
      </c>
      <c r="BC201" s="753">
        <f t="shared" si="331"/>
        <v>17315453.701553583</v>
      </c>
      <c r="BD201" s="753">
        <f t="shared" si="331"/>
        <v>18658520.388583016</v>
      </c>
      <c r="BE201" s="753">
        <f t="shared" si="331"/>
        <v>20025343.253511027</v>
      </c>
      <c r="BF201" s="753">
        <f t="shared" si="331"/>
        <v>21378287.469389357</v>
      </c>
      <c r="BG201" s="753">
        <f t="shared" si="331"/>
        <v>22755530.059310619</v>
      </c>
      <c r="BH201" s="753">
        <f t="shared" si="331"/>
        <v>24116767.441269342</v>
      </c>
      <c r="BI201" s="753">
        <f t="shared" si="331"/>
        <v>25483941.748844016</v>
      </c>
      <c r="BJ201" s="753">
        <f t="shared" si="331"/>
        <v>26913901.715719111</v>
      </c>
      <c r="BK201" s="753">
        <f t="shared" si="331"/>
        <v>28289485.155229427</v>
      </c>
      <c r="BL201" s="753">
        <f t="shared" si="331"/>
        <v>29698370.777001563</v>
      </c>
      <c r="BM201" s="753">
        <f t="shared" si="331"/>
        <v>31095210.904614251</v>
      </c>
      <c r="BN201" s="753">
        <f t="shared" si="331"/>
        <v>32514848.263001177</v>
      </c>
      <c r="BO201" s="753">
        <f t="shared" si="331"/>
        <v>0</v>
      </c>
      <c r="BP201" s="753">
        <f t="shared" si="331"/>
        <v>3066518.7480429495</v>
      </c>
      <c r="BQ201" s="753">
        <f t="shared" si="331"/>
        <v>7115032.8926977571</v>
      </c>
      <c r="BR201" s="753">
        <f t="shared" ref="BR201:CW201" si="332">MAX(0,BR$200-BR$152)</f>
        <v>11168509.844240066</v>
      </c>
      <c r="BS201" s="753">
        <f t="shared" si="332"/>
        <v>15223553.997957375</v>
      </c>
      <c r="BT201" s="753">
        <f t="shared" si="332"/>
        <v>19278598.151674684</v>
      </c>
      <c r="BU201" s="753">
        <f t="shared" si="332"/>
        <v>22504278.258432075</v>
      </c>
      <c r="BV201" s="753">
        <f t="shared" si="332"/>
        <v>25626964.626346692</v>
      </c>
      <c r="BW201" s="753">
        <f t="shared" si="332"/>
        <v>28749650.99426131</v>
      </c>
      <c r="BX201" s="753">
        <f t="shared" si="332"/>
        <v>31885259.469009049</v>
      </c>
      <c r="BY201" s="753">
        <f t="shared" si="332"/>
        <v>35027609.912539288</v>
      </c>
      <c r="BZ201" s="753">
        <f t="shared" si="332"/>
        <v>38169960.356069528</v>
      </c>
      <c r="CA201" s="753">
        <f t="shared" si="332"/>
        <v>41344920.18764589</v>
      </c>
      <c r="CB201" s="753">
        <f t="shared" si="332"/>
        <v>44539522.225385718</v>
      </c>
      <c r="CC201" s="753">
        <f t="shared" si="332"/>
        <v>47734124.263125546</v>
      </c>
      <c r="CD201" s="753">
        <f t="shared" si="332"/>
        <v>50931835.238180026</v>
      </c>
      <c r="CE201" s="753">
        <f t="shared" si="332"/>
        <v>54131168.267485633</v>
      </c>
      <c r="CF201" s="753">
        <f t="shared" si="332"/>
        <v>57330501.296791241</v>
      </c>
      <c r="CG201" s="753">
        <f t="shared" si="332"/>
        <v>60532660.632746533</v>
      </c>
      <c r="CH201" s="753">
        <f t="shared" si="332"/>
        <v>63736294.563475579</v>
      </c>
      <c r="CI201" s="753">
        <f t="shared" si="332"/>
        <v>66939928.494204625</v>
      </c>
      <c r="CJ201" s="753">
        <f t="shared" si="332"/>
        <v>70156936.805505961</v>
      </c>
      <c r="CK201" s="753">
        <f t="shared" si="332"/>
        <v>73380923.054497182</v>
      </c>
      <c r="CL201" s="753">
        <f t="shared" si="332"/>
        <v>76604909.303488404</v>
      </c>
      <c r="CM201" s="753">
        <f t="shared" si="332"/>
        <v>79862358.851002097</v>
      </c>
      <c r="CN201" s="753">
        <f t="shared" si="332"/>
        <v>83139961.838498667</v>
      </c>
      <c r="CO201" s="753">
        <f t="shared" si="332"/>
        <v>86417564.825995237</v>
      </c>
      <c r="CP201" s="753">
        <f t="shared" si="332"/>
        <v>89698385.563612476</v>
      </c>
      <c r="CQ201" s="753">
        <f t="shared" si="332"/>
        <v>92980885.127379626</v>
      </c>
      <c r="CR201" s="753">
        <f t="shared" si="332"/>
        <v>96263384.691146776</v>
      </c>
      <c r="CS201" s="753">
        <f t="shared" si="332"/>
        <v>99548809.482296363</v>
      </c>
      <c r="CT201" s="753">
        <f t="shared" si="332"/>
        <v>102835760.47903678</v>
      </c>
      <c r="CU201" s="753">
        <f t="shared" si="332"/>
        <v>106122711.47577719</v>
      </c>
      <c r="CV201" s="753">
        <f t="shared" si="332"/>
        <v>109423504.95640992</v>
      </c>
      <c r="CW201" s="753">
        <f t="shared" si="332"/>
        <v>112731520.60255167</v>
      </c>
      <c r="CX201" s="753">
        <f t="shared" ref="CX201:DV201" si="333">MAX(0,CX$200-CX$152)</f>
        <v>116039536.24869344</v>
      </c>
      <c r="CY201" s="753">
        <f t="shared" si="333"/>
        <v>119381891.80524808</v>
      </c>
      <c r="CZ201" s="753">
        <f t="shared" si="333"/>
        <v>122744925.52270378</v>
      </c>
      <c r="DA201" s="753">
        <f t="shared" si="333"/>
        <v>126107959.24015948</v>
      </c>
      <c r="DB201" s="753">
        <f t="shared" si="333"/>
        <v>129474323.32899007</v>
      </c>
      <c r="DC201" s="753">
        <f t="shared" si="333"/>
        <v>132842425.00288582</v>
      </c>
      <c r="DD201" s="753">
        <f t="shared" si="333"/>
        <v>136210526.67678156</v>
      </c>
      <c r="DE201" s="753">
        <f t="shared" si="333"/>
        <v>139581655.96101812</v>
      </c>
      <c r="DF201" s="753">
        <f t="shared" si="333"/>
        <v>142954364.86804119</v>
      </c>
      <c r="DG201" s="753">
        <f t="shared" si="333"/>
        <v>146327073.77506426</v>
      </c>
      <c r="DH201" s="753">
        <f t="shared" si="333"/>
        <v>149714109.65291587</v>
      </c>
      <c r="DI201" s="753">
        <f t="shared" si="333"/>
        <v>153108620.47206932</v>
      </c>
      <c r="DJ201" s="753">
        <f t="shared" si="333"/>
        <v>156503131.29122278</v>
      </c>
      <c r="DK201" s="753">
        <f t="shared" si="333"/>
        <v>159932881.94900674</v>
      </c>
      <c r="DL201" s="753">
        <f t="shared" si="333"/>
        <v>163383849.33760506</v>
      </c>
      <c r="DM201" s="753">
        <f t="shared" si="333"/>
        <v>166834816.72620338</v>
      </c>
      <c r="DN201" s="753">
        <f t="shared" si="333"/>
        <v>170289231.0491747</v>
      </c>
      <c r="DO201" s="753">
        <f t="shared" si="333"/>
        <v>173745443.77268848</v>
      </c>
      <c r="DP201" s="753">
        <f t="shared" si="333"/>
        <v>177201656.49620226</v>
      </c>
      <c r="DQ201" s="753">
        <f t="shared" si="333"/>
        <v>180661002.79641876</v>
      </c>
      <c r="DR201" s="753">
        <f t="shared" si="333"/>
        <v>184121984.0062193</v>
      </c>
      <c r="DS201" s="753">
        <f t="shared" si="333"/>
        <v>187582965.21601984</v>
      </c>
      <c r="DT201" s="753">
        <f t="shared" si="333"/>
        <v>191058774.84062794</v>
      </c>
      <c r="DU201" s="753">
        <f t="shared" si="333"/>
        <v>194542321.02948344</v>
      </c>
      <c r="DV201" s="753">
        <f t="shared" si="333"/>
        <v>198025867.21833894</v>
      </c>
    </row>
    <row r="202" spans="1:126" ht="24" x14ac:dyDescent="0.35">
      <c r="A202" s="749" t="s">
        <v>1711</v>
      </c>
      <c r="B202" s="749" t="s">
        <v>1370</v>
      </c>
      <c r="C202" s="749" t="s">
        <v>1712</v>
      </c>
      <c r="F202" s="770">
        <f t="shared" ref="F202:AK202" si="334">SUM(F$92,F$110,F$128)</f>
        <v>16728131.21831876</v>
      </c>
      <c r="G202" s="770">
        <f t="shared" si="334"/>
        <v>17775699.71096465</v>
      </c>
      <c r="H202" s="770">
        <f t="shared" si="334"/>
        <v>11681095.301077912</v>
      </c>
      <c r="I202" s="770">
        <f t="shared" si="334"/>
        <v>13341012.426915936</v>
      </c>
      <c r="J202" s="770">
        <f t="shared" si="334"/>
        <v>15571726.086683953</v>
      </c>
      <c r="K202" s="770">
        <f t="shared" si="334"/>
        <v>18561300.224820644</v>
      </c>
      <c r="L202" s="770">
        <f t="shared" si="334"/>
        <v>22543257.81911831</v>
      </c>
      <c r="M202" s="770">
        <f t="shared" si="334"/>
        <v>27769003.594831247</v>
      </c>
      <c r="N202" s="770">
        <f t="shared" si="334"/>
        <v>34490063.172690921</v>
      </c>
      <c r="O202" s="770">
        <f t="shared" si="334"/>
        <v>42825231.945121661</v>
      </c>
      <c r="P202" s="770">
        <f t="shared" si="334"/>
        <v>53077472.110777915</v>
      </c>
      <c r="Q202" s="770">
        <f t="shared" si="334"/>
        <v>65445170.258441888</v>
      </c>
      <c r="R202" s="770">
        <f t="shared" si="334"/>
        <v>80002654.91627194</v>
      </c>
      <c r="S202" s="770">
        <f t="shared" si="334"/>
        <v>94434989.96067445</v>
      </c>
      <c r="T202" s="770">
        <f t="shared" si="334"/>
        <v>103785233.90839706</v>
      </c>
      <c r="U202" s="770">
        <f t="shared" si="334"/>
        <v>113983804.91214596</v>
      </c>
      <c r="V202" s="770">
        <f t="shared" si="334"/>
        <v>124824093.00255296</v>
      </c>
      <c r="W202" s="770">
        <f t="shared" si="334"/>
        <v>136051568.51044264</v>
      </c>
      <c r="X202" s="770">
        <f t="shared" si="334"/>
        <v>147381739.8126716</v>
      </c>
      <c r="Y202" s="770">
        <f t="shared" si="334"/>
        <v>158521938.51419446</v>
      </c>
      <c r="Z202" s="770">
        <f t="shared" si="334"/>
        <v>169148804.004085</v>
      </c>
      <c r="AA202" s="770">
        <f t="shared" si="334"/>
        <v>179114238.15036464</v>
      </c>
      <c r="AB202" s="770">
        <f t="shared" si="334"/>
        <v>188227641.17017737</v>
      </c>
      <c r="AC202" s="770">
        <f t="shared" si="334"/>
        <v>196356907.18272865</v>
      </c>
      <c r="AD202" s="770">
        <f t="shared" si="334"/>
        <v>203432077.88075516</v>
      </c>
      <c r="AE202" s="770">
        <f t="shared" si="334"/>
        <v>209442641.23137712</v>
      </c>
      <c r="AF202" s="770">
        <f t="shared" si="334"/>
        <v>214429590.74457952</v>
      </c>
      <c r="AG202" s="770">
        <f t="shared" si="334"/>
        <v>218473944.14096287</v>
      </c>
      <c r="AH202" s="770">
        <f t="shared" si="334"/>
        <v>221683641.20251608</v>
      </c>
      <c r="AI202" s="770">
        <f t="shared" si="334"/>
        <v>224180616.58502138</v>
      </c>
      <c r="AJ202" s="770">
        <f t="shared" si="334"/>
        <v>225195282.66110516</v>
      </c>
      <c r="AK202" s="770">
        <f t="shared" si="334"/>
        <v>225235350.45684001</v>
      </c>
      <c r="AL202" s="770">
        <f t="shared" ref="AL202:BQ202" si="335">SUM(AL$92,AL$110,AL$128)</f>
        <v>225129891.14283279</v>
      </c>
      <c r="AM202" s="770">
        <f t="shared" si="335"/>
        <v>225139378.07621154</v>
      </c>
      <c r="AN202" s="770">
        <f t="shared" si="335"/>
        <v>225078529.57886136</v>
      </c>
      <c r="AO202" s="770">
        <f t="shared" si="335"/>
        <v>225044107.87363529</v>
      </c>
      <c r="AP202" s="770">
        <f t="shared" si="335"/>
        <v>224964363.88090926</v>
      </c>
      <c r="AQ202" s="770">
        <f t="shared" si="335"/>
        <v>224813333.37537307</v>
      </c>
      <c r="AR202" s="770">
        <f t="shared" si="335"/>
        <v>224516426.90780041</v>
      </c>
      <c r="AS202" s="770">
        <f t="shared" si="335"/>
        <v>224265496.21103358</v>
      </c>
      <c r="AT202" s="770">
        <f t="shared" si="335"/>
        <v>224265496.21103358</v>
      </c>
      <c r="AU202" s="770">
        <f t="shared" si="335"/>
        <v>224265496.21103358</v>
      </c>
      <c r="AV202" s="770">
        <f t="shared" si="335"/>
        <v>224265496.21103358</v>
      </c>
      <c r="AW202" s="770">
        <f t="shared" si="335"/>
        <v>224265496.21103358</v>
      </c>
      <c r="AX202" s="770">
        <f t="shared" si="335"/>
        <v>224265496.21103358</v>
      </c>
      <c r="AY202" s="770">
        <f t="shared" si="335"/>
        <v>224265496.21103358</v>
      </c>
      <c r="AZ202" s="770">
        <f t="shared" si="335"/>
        <v>224265496.21103358</v>
      </c>
      <c r="BA202" s="770">
        <f t="shared" si="335"/>
        <v>224265496.21103358</v>
      </c>
      <c r="BB202" s="770">
        <f t="shared" si="335"/>
        <v>224265496.21103358</v>
      </c>
      <c r="BC202" s="770">
        <f t="shared" si="335"/>
        <v>226508151.17314392</v>
      </c>
      <c r="BD202" s="770">
        <f t="shared" si="335"/>
        <v>225165084.4861145</v>
      </c>
      <c r="BE202" s="770">
        <f t="shared" si="335"/>
        <v>223798261.62118649</v>
      </c>
      <c r="BF202" s="770">
        <f t="shared" si="335"/>
        <v>222445317.40530816</v>
      </c>
      <c r="BG202" s="770">
        <f t="shared" si="335"/>
        <v>221068074.81538689</v>
      </c>
      <c r="BH202" s="770">
        <f t="shared" si="335"/>
        <v>219706837.43342817</v>
      </c>
      <c r="BI202" s="770">
        <f t="shared" si="335"/>
        <v>218339663.12585348</v>
      </c>
      <c r="BJ202" s="770">
        <f t="shared" si="335"/>
        <v>216909703.15897837</v>
      </c>
      <c r="BK202" s="770">
        <f t="shared" si="335"/>
        <v>215534119.71946806</v>
      </c>
      <c r="BL202" s="770">
        <f t="shared" si="335"/>
        <v>214125234.09769592</v>
      </c>
      <c r="BM202" s="770">
        <f t="shared" si="335"/>
        <v>212728393.97008324</v>
      </c>
      <c r="BN202" s="770">
        <f t="shared" si="335"/>
        <v>211308756.6116963</v>
      </c>
      <c r="BO202" s="770">
        <f t="shared" si="335"/>
        <v>976604.00736571616</v>
      </c>
      <c r="BP202" s="770">
        <f t="shared" si="335"/>
        <v>0</v>
      </c>
      <c r="BQ202" s="770">
        <f t="shared" si="335"/>
        <v>0</v>
      </c>
      <c r="BR202" s="770">
        <f t="shared" ref="BR202:CW202" si="336">SUM(BR$92,BR$110,BR$128)</f>
        <v>0</v>
      </c>
      <c r="BS202" s="770">
        <f t="shared" si="336"/>
        <v>0</v>
      </c>
      <c r="BT202" s="770">
        <f t="shared" si="336"/>
        <v>0</v>
      </c>
      <c r="BU202" s="770">
        <f t="shared" si="336"/>
        <v>0</v>
      </c>
      <c r="BV202" s="770">
        <f t="shared" si="336"/>
        <v>0</v>
      </c>
      <c r="BW202" s="770">
        <f t="shared" si="336"/>
        <v>0</v>
      </c>
      <c r="BX202" s="770">
        <f t="shared" si="336"/>
        <v>0</v>
      </c>
      <c r="BY202" s="770">
        <f t="shared" si="336"/>
        <v>0</v>
      </c>
      <c r="BZ202" s="770">
        <f t="shared" si="336"/>
        <v>0</v>
      </c>
      <c r="CA202" s="770">
        <f t="shared" si="336"/>
        <v>0</v>
      </c>
      <c r="CB202" s="770">
        <f t="shared" si="336"/>
        <v>0</v>
      </c>
      <c r="CC202" s="770">
        <f t="shared" si="336"/>
        <v>0</v>
      </c>
      <c r="CD202" s="770">
        <f t="shared" si="336"/>
        <v>0</v>
      </c>
      <c r="CE202" s="770">
        <f t="shared" si="336"/>
        <v>0</v>
      </c>
      <c r="CF202" s="770">
        <f t="shared" si="336"/>
        <v>0</v>
      </c>
      <c r="CG202" s="770">
        <f t="shared" si="336"/>
        <v>0</v>
      </c>
      <c r="CH202" s="770">
        <f t="shared" si="336"/>
        <v>0</v>
      </c>
      <c r="CI202" s="770">
        <f t="shared" si="336"/>
        <v>0</v>
      </c>
      <c r="CJ202" s="770">
        <f t="shared" si="336"/>
        <v>0</v>
      </c>
      <c r="CK202" s="770">
        <f t="shared" si="336"/>
        <v>0</v>
      </c>
      <c r="CL202" s="770">
        <f t="shared" si="336"/>
        <v>0</v>
      </c>
      <c r="CM202" s="770">
        <f t="shared" si="336"/>
        <v>0</v>
      </c>
      <c r="CN202" s="770">
        <f t="shared" si="336"/>
        <v>0</v>
      </c>
      <c r="CO202" s="770">
        <f t="shared" si="336"/>
        <v>0</v>
      </c>
      <c r="CP202" s="770">
        <f t="shared" si="336"/>
        <v>0</v>
      </c>
      <c r="CQ202" s="770">
        <f t="shared" si="336"/>
        <v>0</v>
      </c>
      <c r="CR202" s="770">
        <f t="shared" si="336"/>
        <v>0</v>
      </c>
      <c r="CS202" s="770">
        <f t="shared" si="336"/>
        <v>0</v>
      </c>
      <c r="CT202" s="770">
        <f t="shared" si="336"/>
        <v>0</v>
      </c>
      <c r="CU202" s="770">
        <f t="shared" si="336"/>
        <v>0</v>
      </c>
      <c r="CV202" s="770">
        <f t="shared" si="336"/>
        <v>0</v>
      </c>
      <c r="CW202" s="770">
        <f t="shared" si="336"/>
        <v>0</v>
      </c>
      <c r="CX202" s="770">
        <f t="shared" ref="CX202:DV202" si="337">SUM(CX$92,CX$110,CX$128)</f>
        <v>0</v>
      </c>
      <c r="CY202" s="770">
        <f t="shared" si="337"/>
        <v>0</v>
      </c>
      <c r="CZ202" s="770">
        <f t="shared" si="337"/>
        <v>0</v>
      </c>
      <c r="DA202" s="770">
        <f t="shared" si="337"/>
        <v>0</v>
      </c>
      <c r="DB202" s="770">
        <f t="shared" si="337"/>
        <v>0</v>
      </c>
      <c r="DC202" s="770">
        <f t="shared" si="337"/>
        <v>0</v>
      </c>
      <c r="DD202" s="770">
        <f t="shared" si="337"/>
        <v>0</v>
      </c>
      <c r="DE202" s="770">
        <f t="shared" si="337"/>
        <v>0</v>
      </c>
      <c r="DF202" s="770">
        <f t="shared" si="337"/>
        <v>0</v>
      </c>
      <c r="DG202" s="770">
        <f t="shared" si="337"/>
        <v>0</v>
      </c>
      <c r="DH202" s="770">
        <f t="shared" si="337"/>
        <v>0</v>
      </c>
      <c r="DI202" s="770">
        <f t="shared" si="337"/>
        <v>0</v>
      </c>
      <c r="DJ202" s="770">
        <f t="shared" si="337"/>
        <v>0</v>
      </c>
      <c r="DK202" s="770">
        <f t="shared" si="337"/>
        <v>0</v>
      </c>
      <c r="DL202" s="770">
        <f t="shared" si="337"/>
        <v>0</v>
      </c>
      <c r="DM202" s="770">
        <f t="shared" si="337"/>
        <v>0</v>
      </c>
      <c r="DN202" s="770">
        <f t="shared" si="337"/>
        <v>0</v>
      </c>
      <c r="DO202" s="770">
        <f t="shared" si="337"/>
        <v>0</v>
      </c>
      <c r="DP202" s="770">
        <f t="shared" si="337"/>
        <v>0</v>
      </c>
      <c r="DQ202" s="770">
        <f t="shared" si="337"/>
        <v>0</v>
      </c>
      <c r="DR202" s="770">
        <f t="shared" si="337"/>
        <v>0</v>
      </c>
      <c r="DS202" s="770">
        <f t="shared" si="337"/>
        <v>0</v>
      </c>
      <c r="DT202" s="770">
        <f t="shared" si="337"/>
        <v>0</v>
      </c>
      <c r="DU202" s="770">
        <f t="shared" si="337"/>
        <v>0</v>
      </c>
      <c r="DV202" s="770">
        <f t="shared" si="337"/>
        <v>0</v>
      </c>
    </row>
    <row r="203" spans="1:126" ht="24" x14ac:dyDescent="0.35">
      <c r="A203" s="749" t="s">
        <v>1713</v>
      </c>
      <c r="B203" s="749" t="s">
        <v>1370</v>
      </c>
      <c r="C203" s="749" t="s">
        <v>1714</v>
      </c>
      <c r="F203" s="770">
        <f t="shared" ref="F203:AK203" si="338">SUM(F$123:Q$124)</f>
        <v>0</v>
      </c>
      <c r="G203" s="770">
        <f t="shared" si="338"/>
        <v>0</v>
      </c>
      <c r="H203" s="770">
        <f t="shared" si="338"/>
        <v>0</v>
      </c>
      <c r="I203" s="770">
        <f t="shared" si="338"/>
        <v>0</v>
      </c>
      <c r="J203" s="770">
        <f t="shared" si="338"/>
        <v>0</v>
      </c>
      <c r="K203" s="770">
        <f t="shared" si="338"/>
        <v>0</v>
      </c>
      <c r="L203" s="770">
        <f t="shared" si="338"/>
        <v>0</v>
      </c>
      <c r="M203" s="770">
        <f t="shared" si="338"/>
        <v>0</v>
      </c>
      <c r="N203" s="770">
        <f t="shared" si="338"/>
        <v>0</v>
      </c>
      <c r="O203" s="770">
        <f t="shared" si="338"/>
        <v>0</v>
      </c>
      <c r="P203" s="770">
        <f t="shared" si="338"/>
        <v>0</v>
      </c>
      <c r="Q203" s="770">
        <f t="shared" si="338"/>
        <v>0</v>
      </c>
      <c r="R203" s="770">
        <f t="shared" si="338"/>
        <v>0</v>
      </c>
      <c r="S203" s="770">
        <f t="shared" si="338"/>
        <v>0</v>
      </c>
      <c r="T203" s="770">
        <f t="shared" si="338"/>
        <v>0</v>
      </c>
      <c r="U203" s="770">
        <f t="shared" si="338"/>
        <v>0</v>
      </c>
      <c r="V203" s="770">
        <f t="shared" si="338"/>
        <v>0</v>
      </c>
      <c r="W203" s="770">
        <f t="shared" si="338"/>
        <v>0</v>
      </c>
      <c r="X203" s="770">
        <f t="shared" si="338"/>
        <v>0</v>
      </c>
      <c r="Y203" s="770">
        <f t="shared" si="338"/>
        <v>0</v>
      </c>
      <c r="Z203" s="770">
        <f t="shared" si="338"/>
        <v>0</v>
      </c>
      <c r="AA203" s="770">
        <f t="shared" si="338"/>
        <v>0</v>
      </c>
      <c r="AB203" s="770">
        <f t="shared" si="338"/>
        <v>0</v>
      </c>
      <c r="AC203" s="770">
        <f t="shared" si="338"/>
        <v>0</v>
      </c>
      <c r="AD203" s="770">
        <f t="shared" si="338"/>
        <v>0</v>
      </c>
      <c r="AE203" s="770">
        <f t="shared" si="338"/>
        <v>0</v>
      </c>
      <c r="AF203" s="770">
        <f t="shared" si="338"/>
        <v>0</v>
      </c>
      <c r="AG203" s="770">
        <f t="shared" si="338"/>
        <v>0</v>
      </c>
      <c r="AH203" s="770">
        <f t="shared" si="338"/>
        <v>0</v>
      </c>
      <c r="AI203" s="770">
        <f t="shared" si="338"/>
        <v>0</v>
      </c>
      <c r="AJ203" s="770">
        <f t="shared" si="338"/>
        <v>0</v>
      </c>
      <c r="AK203" s="770">
        <f t="shared" si="338"/>
        <v>0</v>
      </c>
      <c r="AL203" s="770">
        <f t="shared" ref="AL203:BQ203" si="339">SUM(AL$123:AW$124)</f>
        <v>0</v>
      </c>
      <c r="AM203" s="770">
        <f t="shared" si="339"/>
        <v>0</v>
      </c>
      <c r="AN203" s="770">
        <f t="shared" si="339"/>
        <v>0</v>
      </c>
      <c r="AO203" s="770">
        <f t="shared" si="339"/>
        <v>0</v>
      </c>
      <c r="AP203" s="770">
        <f t="shared" si="339"/>
        <v>0</v>
      </c>
      <c r="AQ203" s="770">
        <f t="shared" si="339"/>
        <v>0</v>
      </c>
      <c r="AR203" s="770">
        <f t="shared" si="339"/>
        <v>625224.55426559586</v>
      </c>
      <c r="AS203" s="770">
        <f t="shared" si="339"/>
        <v>1875673.6627967875</v>
      </c>
      <c r="AT203" s="770">
        <f t="shared" si="339"/>
        <v>3078610.4155308241</v>
      </c>
      <c r="AU203" s="770">
        <f t="shared" si="339"/>
        <v>4314099.4488642234</v>
      </c>
      <c r="AV203" s="770">
        <f t="shared" si="339"/>
        <v>5502505.9391117599</v>
      </c>
      <c r="AW203" s="770">
        <f t="shared" si="339"/>
        <v>6722922.8452843754</v>
      </c>
      <c r="AX203" s="770">
        <f t="shared" si="339"/>
        <v>7935824.9752250817</v>
      </c>
      <c r="AY203" s="770">
        <f t="shared" si="339"/>
        <v>9024532.3365649544</v>
      </c>
      <c r="AZ203" s="770">
        <f t="shared" si="339"/>
        <v>10221992.752634384</v>
      </c>
      <c r="BA203" s="770">
        <f t="shared" si="339"/>
        <v>11373476.405930173</v>
      </c>
      <c r="BB203" s="770">
        <f t="shared" si="339"/>
        <v>12555565.027044849</v>
      </c>
      <c r="BC203" s="770">
        <f t="shared" si="339"/>
        <v>13692059.186611047</v>
      </c>
      <c r="BD203" s="770">
        <f t="shared" si="339"/>
        <v>14840583.825185342</v>
      </c>
      <c r="BE203" s="770">
        <f t="shared" si="339"/>
        <v>13590134.716654148</v>
      </c>
      <c r="BF203" s="770">
        <f t="shared" si="339"/>
        <v>12387197.963920113</v>
      </c>
      <c r="BG203" s="770">
        <f t="shared" si="339"/>
        <v>11151708.930586714</v>
      </c>
      <c r="BH203" s="770">
        <f t="shared" si="339"/>
        <v>9963302.4403391778</v>
      </c>
      <c r="BI203" s="770">
        <f t="shared" si="339"/>
        <v>8742885.5341665614</v>
      </c>
      <c r="BJ203" s="770">
        <f t="shared" si="339"/>
        <v>7529983.4042258561</v>
      </c>
      <c r="BK203" s="770">
        <f t="shared" si="339"/>
        <v>6441276.0428859834</v>
      </c>
      <c r="BL203" s="770">
        <f t="shared" si="339"/>
        <v>5243815.626816554</v>
      </c>
      <c r="BM203" s="770">
        <f t="shared" si="339"/>
        <v>4092331.973520766</v>
      </c>
      <c r="BN203" s="770">
        <f t="shared" si="339"/>
        <v>2910243.3524060883</v>
      </c>
      <c r="BO203" s="770">
        <f t="shared" si="339"/>
        <v>1773749.1928398903</v>
      </c>
      <c r="BP203" s="770">
        <f t="shared" si="339"/>
        <v>0</v>
      </c>
      <c r="BQ203" s="770">
        <f t="shared" si="339"/>
        <v>0</v>
      </c>
      <c r="BR203" s="770">
        <f t="shared" ref="BR203:CW203" si="340">SUM(BR$123:CC$124)</f>
        <v>0</v>
      </c>
      <c r="BS203" s="770">
        <f t="shared" si="340"/>
        <v>0</v>
      </c>
      <c r="BT203" s="770">
        <f t="shared" si="340"/>
        <v>0</v>
      </c>
      <c r="BU203" s="770">
        <f t="shared" si="340"/>
        <v>0</v>
      </c>
      <c r="BV203" s="770">
        <f t="shared" si="340"/>
        <v>0</v>
      </c>
      <c r="BW203" s="770">
        <f t="shared" si="340"/>
        <v>0</v>
      </c>
      <c r="BX203" s="770">
        <f t="shared" si="340"/>
        <v>0</v>
      </c>
      <c r="BY203" s="770">
        <f t="shared" si="340"/>
        <v>0</v>
      </c>
      <c r="BZ203" s="770">
        <f t="shared" si="340"/>
        <v>0</v>
      </c>
      <c r="CA203" s="770">
        <f t="shared" si="340"/>
        <v>0</v>
      </c>
      <c r="CB203" s="770">
        <f t="shared" si="340"/>
        <v>0</v>
      </c>
      <c r="CC203" s="770">
        <f t="shared" si="340"/>
        <v>0</v>
      </c>
      <c r="CD203" s="770">
        <f t="shared" si="340"/>
        <v>0</v>
      </c>
      <c r="CE203" s="770">
        <f t="shared" si="340"/>
        <v>0</v>
      </c>
      <c r="CF203" s="770">
        <f t="shared" si="340"/>
        <v>0</v>
      </c>
      <c r="CG203" s="770">
        <f t="shared" si="340"/>
        <v>0</v>
      </c>
      <c r="CH203" s="770">
        <f t="shared" si="340"/>
        <v>0</v>
      </c>
      <c r="CI203" s="770">
        <f t="shared" si="340"/>
        <v>0</v>
      </c>
      <c r="CJ203" s="770">
        <f t="shared" si="340"/>
        <v>0</v>
      </c>
      <c r="CK203" s="770">
        <f t="shared" si="340"/>
        <v>0</v>
      </c>
      <c r="CL203" s="770">
        <f t="shared" si="340"/>
        <v>0</v>
      </c>
      <c r="CM203" s="770">
        <f t="shared" si="340"/>
        <v>0</v>
      </c>
      <c r="CN203" s="770">
        <f t="shared" si="340"/>
        <v>0</v>
      </c>
      <c r="CO203" s="770">
        <f t="shared" si="340"/>
        <v>0</v>
      </c>
      <c r="CP203" s="770">
        <f t="shared" si="340"/>
        <v>0</v>
      </c>
      <c r="CQ203" s="770">
        <f t="shared" si="340"/>
        <v>0</v>
      </c>
      <c r="CR203" s="770">
        <f t="shared" si="340"/>
        <v>0</v>
      </c>
      <c r="CS203" s="770">
        <f t="shared" si="340"/>
        <v>0</v>
      </c>
      <c r="CT203" s="770">
        <f t="shared" si="340"/>
        <v>0</v>
      </c>
      <c r="CU203" s="770">
        <f t="shared" si="340"/>
        <v>0</v>
      </c>
      <c r="CV203" s="770">
        <f t="shared" si="340"/>
        <v>0</v>
      </c>
      <c r="CW203" s="770">
        <f t="shared" si="340"/>
        <v>0</v>
      </c>
      <c r="CX203" s="770">
        <f t="shared" ref="CX203:DV203" si="341">SUM(CX$123:DI$124)</f>
        <v>0</v>
      </c>
      <c r="CY203" s="770">
        <f t="shared" si="341"/>
        <v>0</v>
      </c>
      <c r="CZ203" s="770">
        <f t="shared" si="341"/>
        <v>0</v>
      </c>
      <c r="DA203" s="770">
        <f t="shared" si="341"/>
        <v>0</v>
      </c>
      <c r="DB203" s="770">
        <f t="shared" si="341"/>
        <v>0</v>
      </c>
      <c r="DC203" s="770">
        <f t="shared" si="341"/>
        <v>0</v>
      </c>
      <c r="DD203" s="770">
        <f t="shared" si="341"/>
        <v>0</v>
      </c>
      <c r="DE203" s="770">
        <f t="shared" si="341"/>
        <v>0</v>
      </c>
      <c r="DF203" s="770">
        <f t="shared" si="341"/>
        <v>0</v>
      </c>
      <c r="DG203" s="770">
        <f t="shared" si="341"/>
        <v>0</v>
      </c>
      <c r="DH203" s="770">
        <f t="shared" si="341"/>
        <v>0</v>
      </c>
      <c r="DI203" s="770">
        <f t="shared" si="341"/>
        <v>0</v>
      </c>
      <c r="DJ203" s="770">
        <f t="shared" si="341"/>
        <v>0</v>
      </c>
      <c r="DK203" s="770">
        <f t="shared" si="341"/>
        <v>0</v>
      </c>
      <c r="DL203" s="770">
        <f t="shared" si="341"/>
        <v>0</v>
      </c>
      <c r="DM203" s="770">
        <f t="shared" si="341"/>
        <v>0</v>
      </c>
      <c r="DN203" s="770">
        <f t="shared" si="341"/>
        <v>0</v>
      </c>
      <c r="DO203" s="770">
        <f t="shared" si="341"/>
        <v>0</v>
      </c>
      <c r="DP203" s="770">
        <f t="shared" si="341"/>
        <v>0</v>
      </c>
      <c r="DQ203" s="770">
        <f t="shared" si="341"/>
        <v>0</v>
      </c>
      <c r="DR203" s="770">
        <f t="shared" si="341"/>
        <v>0</v>
      </c>
      <c r="DS203" s="770">
        <f t="shared" si="341"/>
        <v>0</v>
      </c>
      <c r="DT203" s="770">
        <f t="shared" si="341"/>
        <v>0</v>
      </c>
      <c r="DU203" s="770">
        <f t="shared" si="341"/>
        <v>0</v>
      </c>
      <c r="DV203" s="770">
        <f t="shared" si="341"/>
        <v>0</v>
      </c>
    </row>
    <row r="204" spans="1:126" ht="24" x14ac:dyDescent="0.35">
      <c r="A204" s="749" t="s">
        <v>1715</v>
      </c>
      <c r="B204" s="749" t="s">
        <v>1370</v>
      </c>
      <c r="C204" s="749" t="s">
        <v>1716</v>
      </c>
      <c r="F204" s="770">
        <f t="shared" ref="F204:AK204" si="342">SUM(F$145:F$146)</f>
        <v>0</v>
      </c>
      <c r="G204" s="770">
        <f t="shared" si="342"/>
        <v>94977.861549976529</v>
      </c>
      <c r="H204" s="770">
        <f t="shared" si="342"/>
        <v>101314.85744521015</v>
      </c>
      <c r="I204" s="770">
        <f t="shared" si="342"/>
        <v>66661.807595584396</v>
      </c>
      <c r="J204" s="770">
        <f t="shared" si="342"/>
        <v>79587.396576441432</v>
      </c>
      <c r="K204" s="770">
        <f t="shared" si="342"/>
        <v>90934.355225676583</v>
      </c>
      <c r="L204" s="770">
        <f t="shared" si="342"/>
        <v>113147.52355967705</v>
      </c>
      <c r="M204" s="770">
        <f t="shared" si="342"/>
        <v>138493.34610507757</v>
      </c>
      <c r="N204" s="770">
        <f t="shared" si="342"/>
        <v>154835.20745113603</v>
      </c>
      <c r="O204" s="770">
        <f t="shared" si="342"/>
        <v>213310.22819712412</v>
      </c>
      <c r="P204" s="770">
        <f t="shared" si="342"/>
        <v>256178.45603973174</v>
      </c>
      <c r="Q204" s="770">
        <f t="shared" si="342"/>
        <v>327154.96489586018</v>
      </c>
      <c r="R204" s="770">
        <f t="shared" si="342"/>
        <v>388525.01245300268</v>
      </c>
      <c r="S204" s="770">
        <f t="shared" si="342"/>
        <v>481495.69099595479</v>
      </c>
      <c r="T204" s="770">
        <f t="shared" si="342"/>
        <v>547142.1247892864</v>
      </c>
      <c r="U204" s="770">
        <f t="shared" si="342"/>
        <v>581711.81602747797</v>
      </c>
      <c r="V204" s="770">
        <f t="shared" si="342"/>
        <v>659175.2250659155</v>
      </c>
      <c r="W204" s="770">
        <f t="shared" si="342"/>
        <v>696859.6437675911</v>
      </c>
      <c r="X204" s="770">
        <f t="shared" si="342"/>
        <v>782353.58393297985</v>
      </c>
      <c r="Y204" s="770">
        <f t="shared" si="342"/>
        <v>844377.96140908916</v>
      </c>
      <c r="Z204" s="770">
        <f t="shared" si="342"/>
        <v>846343.02982239029</v>
      </c>
      <c r="AA204" s="770">
        <f t="shared" si="342"/>
        <v>961783.22667243076</v>
      </c>
      <c r="AB204" s="770">
        <f t="shared" si="342"/>
        <v>981911.08381160966</v>
      </c>
      <c r="AC204" s="770">
        <f t="shared" si="342"/>
        <v>1062383.1156572688</v>
      </c>
      <c r="AD204" s="770">
        <f t="shared" si="342"/>
        <v>1068816.5843389963</v>
      </c>
      <c r="AE204" s="770">
        <f t="shared" si="342"/>
        <v>1140600.7266920451</v>
      </c>
      <c r="AF204" s="770">
        <f t="shared" si="342"/>
        <v>1170942.7621020663</v>
      </c>
      <c r="AG204" s="770">
        <f t="shared" si="342"/>
        <v>1157240.8728378317</v>
      </c>
      <c r="AH204" s="770">
        <f t="shared" si="342"/>
        <v>1215752.0506921683</v>
      </c>
      <c r="AI204" s="770">
        <f t="shared" si="342"/>
        <v>1191676.2269010937</v>
      </c>
      <c r="AJ204" s="770">
        <f t="shared" si="342"/>
        <v>1240979.2594778803</v>
      </c>
      <c r="AK204" s="770">
        <f t="shared" si="342"/>
        <v>1243780.0158385774</v>
      </c>
      <c r="AL204" s="770">
        <f t="shared" ref="AL204:BQ204" si="343">SUM(AL$145:AL$146)</f>
        <v>1123514.1029065789</v>
      </c>
      <c r="AM204" s="770">
        <f t="shared" si="343"/>
        <v>1243206.6772651132</v>
      </c>
      <c r="AN204" s="770">
        <f t="shared" si="343"/>
        <v>1203068.1368037739</v>
      </c>
      <c r="AO204" s="770">
        <f t="shared" si="343"/>
        <v>1242760.8467842177</v>
      </c>
      <c r="AP204" s="770">
        <f t="shared" si="343"/>
        <v>1202431.169164011</v>
      </c>
      <c r="AQ204" s="770">
        <f t="shared" si="343"/>
        <v>1241926.5567672113</v>
      </c>
      <c r="AR204" s="770">
        <f t="shared" si="343"/>
        <v>1241092.7856202105</v>
      </c>
      <c r="AS204" s="770">
        <f t="shared" si="343"/>
        <v>1199471.321836194</v>
      </c>
      <c r="AT204" s="770">
        <f t="shared" si="343"/>
        <v>1238068.4242883087</v>
      </c>
      <c r="AU204" s="770">
        <f t="shared" si="343"/>
        <v>1198130.7331822342</v>
      </c>
      <c r="AV204" s="770">
        <f t="shared" si="343"/>
        <v>1238068.4242883087</v>
      </c>
      <c r="AW204" s="770">
        <f t="shared" si="343"/>
        <v>1238068.4242883087</v>
      </c>
      <c r="AX204" s="770">
        <f t="shared" si="343"/>
        <v>1118255.3509700852</v>
      </c>
      <c r="AY204" s="770">
        <f t="shared" si="343"/>
        <v>1238068.4242883087</v>
      </c>
      <c r="AZ204" s="770">
        <f t="shared" si="343"/>
        <v>1198130.7331822342</v>
      </c>
      <c r="BA204" s="770">
        <f t="shared" si="343"/>
        <v>1238068.4242883087</v>
      </c>
      <c r="BB204" s="770">
        <f t="shared" si="343"/>
        <v>1198130.7331822342</v>
      </c>
      <c r="BC204" s="770">
        <f t="shared" si="343"/>
        <v>625224.55426559586</v>
      </c>
      <c r="BD204" s="770">
        <f t="shared" si="343"/>
        <v>1250449.1085311917</v>
      </c>
      <c r="BE204" s="770">
        <f t="shared" si="343"/>
        <v>1202936.7527340364</v>
      </c>
      <c r="BF204" s="770">
        <f t="shared" si="343"/>
        <v>1235489.0333333996</v>
      </c>
      <c r="BG204" s="770">
        <f t="shared" si="343"/>
        <v>1188406.4902475367</v>
      </c>
      <c r="BH204" s="770">
        <f t="shared" si="343"/>
        <v>1220416.9061726155</v>
      </c>
      <c r="BI204" s="770">
        <f t="shared" si="343"/>
        <v>1212902.1299407063</v>
      </c>
      <c r="BJ204" s="770">
        <f t="shared" si="343"/>
        <v>1088707.3613398722</v>
      </c>
      <c r="BK204" s="770">
        <f t="shared" si="343"/>
        <v>1197460.4160694287</v>
      </c>
      <c r="BL204" s="770">
        <f t="shared" si="343"/>
        <v>1151483.6532957882</v>
      </c>
      <c r="BM204" s="770">
        <f t="shared" si="343"/>
        <v>1182088.6211146775</v>
      </c>
      <c r="BN204" s="770">
        <f t="shared" si="343"/>
        <v>1136494.1595661982</v>
      </c>
      <c r="BO204" s="770">
        <f t="shared" si="343"/>
        <v>1166540.1221166248</v>
      </c>
      <c r="BP204" s="770">
        <f t="shared" si="343"/>
        <v>5391.389246142242</v>
      </c>
      <c r="BQ204" s="770">
        <f t="shared" si="343"/>
        <v>0</v>
      </c>
      <c r="BR204" s="770">
        <f t="shared" ref="BR204:CW204" si="344">SUM(BR$145:BR$146)</f>
        <v>0</v>
      </c>
      <c r="BS204" s="770">
        <f t="shared" si="344"/>
        <v>0</v>
      </c>
      <c r="BT204" s="770">
        <f t="shared" si="344"/>
        <v>0</v>
      </c>
      <c r="BU204" s="770">
        <f t="shared" si="344"/>
        <v>0</v>
      </c>
      <c r="BV204" s="770">
        <f t="shared" si="344"/>
        <v>0</v>
      </c>
      <c r="BW204" s="770">
        <f t="shared" si="344"/>
        <v>0</v>
      </c>
      <c r="BX204" s="770">
        <f t="shared" si="344"/>
        <v>0</v>
      </c>
      <c r="BY204" s="770">
        <f t="shared" si="344"/>
        <v>0</v>
      </c>
      <c r="BZ204" s="770">
        <f t="shared" si="344"/>
        <v>0</v>
      </c>
      <c r="CA204" s="770">
        <f t="shared" si="344"/>
        <v>0</v>
      </c>
      <c r="CB204" s="770">
        <f t="shared" si="344"/>
        <v>0</v>
      </c>
      <c r="CC204" s="770">
        <f t="shared" si="344"/>
        <v>0</v>
      </c>
      <c r="CD204" s="770">
        <f t="shared" si="344"/>
        <v>0</v>
      </c>
      <c r="CE204" s="770">
        <f t="shared" si="344"/>
        <v>0</v>
      </c>
      <c r="CF204" s="770">
        <f t="shared" si="344"/>
        <v>0</v>
      </c>
      <c r="CG204" s="770">
        <f t="shared" si="344"/>
        <v>0</v>
      </c>
      <c r="CH204" s="770">
        <f t="shared" si="344"/>
        <v>0</v>
      </c>
      <c r="CI204" s="770">
        <f t="shared" si="344"/>
        <v>0</v>
      </c>
      <c r="CJ204" s="770">
        <f t="shared" si="344"/>
        <v>0</v>
      </c>
      <c r="CK204" s="770">
        <f t="shared" si="344"/>
        <v>0</v>
      </c>
      <c r="CL204" s="770">
        <f t="shared" si="344"/>
        <v>0</v>
      </c>
      <c r="CM204" s="770">
        <f t="shared" si="344"/>
        <v>0</v>
      </c>
      <c r="CN204" s="770">
        <f t="shared" si="344"/>
        <v>0</v>
      </c>
      <c r="CO204" s="770">
        <f t="shared" si="344"/>
        <v>0</v>
      </c>
      <c r="CP204" s="770">
        <f t="shared" si="344"/>
        <v>0</v>
      </c>
      <c r="CQ204" s="770">
        <f t="shared" si="344"/>
        <v>0</v>
      </c>
      <c r="CR204" s="770">
        <f t="shared" si="344"/>
        <v>0</v>
      </c>
      <c r="CS204" s="770">
        <f t="shared" si="344"/>
        <v>0</v>
      </c>
      <c r="CT204" s="770">
        <f t="shared" si="344"/>
        <v>0</v>
      </c>
      <c r="CU204" s="770">
        <f t="shared" si="344"/>
        <v>0</v>
      </c>
      <c r="CV204" s="770">
        <f t="shared" si="344"/>
        <v>0</v>
      </c>
      <c r="CW204" s="770">
        <f t="shared" si="344"/>
        <v>0</v>
      </c>
      <c r="CX204" s="770">
        <f t="shared" ref="CX204:DV204" si="345">SUM(CX$145:CX$146)</f>
        <v>0</v>
      </c>
      <c r="CY204" s="770">
        <f t="shared" si="345"/>
        <v>0</v>
      </c>
      <c r="CZ204" s="770">
        <f t="shared" si="345"/>
        <v>0</v>
      </c>
      <c r="DA204" s="770">
        <f t="shared" si="345"/>
        <v>0</v>
      </c>
      <c r="DB204" s="770">
        <f t="shared" si="345"/>
        <v>0</v>
      </c>
      <c r="DC204" s="770">
        <f t="shared" si="345"/>
        <v>0</v>
      </c>
      <c r="DD204" s="770">
        <f t="shared" si="345"/>
        <v>0</v>
      </c>
      <c r="DE204" s="770">
        <f t="shared" si="345"/>
        <v>0</v>
      </c>
      <c r="DF204" s="770">
        <f t="shared" si="345"/>
        <v>0</v>
      </c>
      <c r="DG204" s="770">
        <f t="shared" si="345"/>
        <v>0</v>
      </c>
      <c r="DH204" s="770">
        <f t="shared" si="345"/>
        <v>0</v>
      </c>
      <c r="DI204" s="770">
        <f t="shared" si="345"/>
        <v>0</v>
      </c>
      <c r="DJ204" s="770">
        <f t="shared" si="345"/>
        <v>0</v>
      </c>
      <c r="DK204" s="770">
        <f t="shared" si="345"/>
        <v>0</v>
      </c>
      <c r="DL204" s="770">
        <f t="shared" si="345"/>
        <v>0</v>
      </c>
      <c r="DM204" s="770">
        <f t="shared" si="345"/>
        <v>0</v>
      </c>
      <c r="DN204" s="770">
        <f t="shared" si="345"/>
        <v>0</v>
      </c>
      <c r="DO204" s="770">
        <f t="shared" si="345"/>
        <v>0</v>
      </c>
      <c r="DP204" s="770">
        <f t="shared" si="345"/>
        <v>0</v>
      </c>
      <c r="DQ204" s="770">
        <f t="shared" si="345"/>
        <v>0</v>
      </c>
      <c r="DR204" s="770">
        <f t="shared" si="345"/>
        <v>0</v>
      </c>
      <c r="DS204" s="770">
        <f t="shared" si="345"/>
        <v>0</v>
      </c>
      <c r="DT204" s="770">
        <f t="shared" si="345"/>
        <v>0</v>
      </c>
      <c r="DU204" s="770">
        <f t="shared" si="345"/>
        <v>0</v>
      </c>
      <c r="DV204" s="770">
        <f t="shared" si="345"/>
        <v>0</v>
      </c>
    </row>
    <row r="205" spans="1:126" ht="24" x14ac:dyDescent="0.35">
      <c r="A205" s="749" t="s">
        <v>1717</v>
      </c>
      <c r="B205" s="749" t="s">
        <v>1370</v>
      </c>
      <c r="C205" s="749" t="s">
        <v>1718</v>
      </c>
      <c r="F205" s="770">
        <f t="shared" ref="F205:AK205" si="346">SUM(F$147:F$149)</f>
        <v>0</v>
      </c>
      <c r="G205" s="770">
        <f t="shared" si="346"/>
        <v>0</v>
      </c>
      <c r="H205" s="770">
        <f t="shared" si="346"/>
        <v>7349158.0265457649</v>
      </c>
      <c r="I205" s="770">
        <f t="shared" si="346"/>
        <v>0</v>
      </c>
      <c r="J205" s="770">
        <f t="shared" si="346"/>
        <v>0</v>
      </c>
      <c r="K205" s="770">
        <f t="shared" si="346"/>
        <v>0</v>
      </c>
      <c r="L205" s="770">
        <f t="shared" si="346"/>
        <v>0</v>
      </c>
      <c r="M205" s="770">
        <f t="shared" si="346"/>
        <v>0</v>
      </c>
      <c r="N205" s="770">
        <f t="shared" si="346"/>
        <v>0</v>
      </c>
      <c r="O205" s="770">
        <f t="shared" si="346"/>
        <v>0</v>
      </c>
      <c r="P205" s="770">
        <f t="shared" si="346"/>
        <v>0</v>
      </c>
      <c r="Q205" s="770">
        <f t="shared" si="346"/>
        <v>0</v>
      </c>
      <c r="R205" s="770">
        <f t="shared" si="346"/>
        <v>0</v>
      </c>
      <c r="S205" s="770">
        <f t="shared" si="346"/>
        <v>0</v>
      </c>
      <c r="T205" s="770">
        <f t="shared" si="346"/>
        <v>0</v>
      </c>
      <c r="U205" s="770">
        <f t="shared" si="346"/>
        <v>0</v>
      </c>
      <c r="V205" s="770">
        <f t="shared" si="346"/>
        <v>0</v>
      </c>
      <c r="W205" s="770">
        <f t="shared" si="346"/>
        <v>0</v>
      </c>
      <c r="X205" s="770">
        <f t="shared" si="346"/>
        <v>0</v>
      </c>
      <c r="Y205" s="770">
        <f t="shared" si="346"/>
        <v>0</v>
      </c>
      <c r="Z205" s="770">
        <f t="shared" si="346"/>
        <v>90749.137075924547</v>
      </c>
      <c r="AA205" s="770">
        <f t="shared" si="346"/>
        <v>174553.61273367773</v>
      </c>
      <c r="AB205" s="770">
        <f t="shared" si="346"/>
        <v>245346.92688102438</v>
      </c>
      <c r="AC205" s="770">
        <f t="shared" si="346"/>
        <v>298664.76362304948</v>
      </c>
      <c r="AD205" s="770">
        <f t="shared" si="346"/>
        <v>332095.22752505192</v>
      </c>
      <c r="AE205" s="770">
        <f t="shared" si="346"/>
        <v>345395.27257881453</v>
      </c>
      <c r="AF205" s="770">
        <f t="shared" si="346"/>
        <v>340282.3339730897</v>
      </c>
      <c r="AG205" s="770">
        <f t="shared" si="346"/>
        <v>319971.35631247715</v>
      </c>
      <c r="AH205" s="770">
        <f t="shared" si="346"/>
        <v>288567.01646289113</v>
      </c>
      <c r="AI205" s="770">
        <f t="shared" si="346"/>
        <v>250432.2831283253</v>
      </c>
      <c r="AJ205" s="770">
        <f t="shared" si="346"/>
        <v>209638.92700129288</v>
      </c>
      <c r="AK205" s="770">
        <f t="shared" si="346"/>
        <v>169571.13126643121</v>
      </c>
      <c r="AL205" s="770">
        <f t="shared" ref="AL205:BQ205" si="347">SUM(AL$147:AL$149)</f>
        <v>275030.44527369237</v>
      </c>
      <c r="AM205" s="770">
        <f t="shared" si="347"/>
        <v>123224.28146817854</v>
      </c>
      <c r="AN205" s="770">
        <f t="shared" si="347"/>
        <v>161446.12275013264</v>
      </c>
      <c r="AO205" s="770">
        <f t="shared" si="347"/>
        <v>108339.29811330746</v>
      </c>
      <c r="AP205" s="770">
        <f t="shared" si="347"/>
        <v>132427.47095689247</v>
      </c>
      <c r="AQ205" s="770">
        <f t="shared" si="347"/>
        <v>151030.50553618788</v>
      </c>
      <c r="AR205" s="770">
        <f t="shared" si="347"/>
        <v>296906.46757267282</v>
      </c>
      <c r="AS205" s="770">
        <f t="shared" si="347"/>
        <v>250930.69676682074</v>
      </c>
      <c r="AT205" s="770">
        <f t="shared" si="347"/>
        <v>0</v>
      </c>
      <c r="AU205" s="770">
        <f t="shared" si="347"/>
        <v>0</v>
      </c>
      <c r="AV205" s="770">
        <f t="shared" si="347"/>
        <v>0</v>
      </c>
      <c r="AW205" s="770">
        <f t="shared" si="347"/>
        <v>0</v>
      </c>
      <c r="AX205" s="770">
        <f t="shared" si="347"/>
        <v>0</v>
      </c>
      <c r="AY205" s="770">
        <f t="shared" si="347"/>
        <v>0</v>
      </c>
      <c r="AZ205" s="770">
        <f t="shared" si="347"/>
        <v>0</v>
      </c>
      <c r="BA205" s="770">
        <f t="shared" si="347"/>
        <v>0</v>
      </c>
      <c r="BB205" s="770">
        <f t="shared" si="347"/>
        <v>0</v>
      </c>
      <c r="BC205" s="770">
        <f t="shared" si="347"/>
        <v>0</v>
      </c>
      <c r="BD205" s="770">
        <f t="shared" si="347"/>
        <v>1343066.6870294325</v>
      </c>
      <c r="BE205" s="770">
        <f t="shared" si="347"/>
        <v>1366822.8649280099</v>
      </c>
      <c r="BF205" s="770">
        <f t="shared" si="347"/>
        <v>1352944.2158783283</v>
      </c>
      <c r="BG205" s="770">
        <f t="shared" si="347"/>
        <v>1377242.5899212598</v>
      </c>
      <c r="BH205" s="770">
        <f t="shared" si="347"/>
        <v>1361237.3819587205</v>
      </c>
      <c r="BI205" s="770">
        <f t="shared" si="347"/>
        <v>1367174.3075746752</v>
      </c>
      <c r="BJ205" s="770">
        <f t="shared" si="347"/>
        <v>1429959.9668750921</v>
      </c>
      <c r="BK205" s="770">
        <f t="shared" si="347"/>
        <v>1375583.4395103138</v>
      </c>
      <c r="BL205" s="770">
        <f t="shared" si="347"/>
        <v>1408885.6217721342</v>
      </c>
      <c r="BM205" s="770">
        <f t="shared" si="347"/>
        <v>1396840.12761269</v>
      </c>
      <c r="BN205" s="770">
        <f t="shared" si="347"/>
        <v>1419637.3583869296</v>
      </c>
      <c r="BO205" s="770">
        <f t="shared" si="347"/>
        <v>211308756.6116963</v>
      </c>
      <c r="BP205" s="770">
        <f t="shared" si="347"/>
        <v>976604.00736571616</v>
      </c>
      <c r="BQ205" s="770">
        <f t="shared" si="347"/>
        <v>0</v>
      </c>
      <c r="BR205" s="770">
        <f t="shared" ref="BR205:CW205" si="348">SUM(BR$147:BR$149)</f>
        <v>0</v>
      </c>
      <c r="BS205" s="770">
        <f t="shared" si="348"/>
        <v>0</v>
      </c>
      <c r="BT205" s="770">
        <f t="shared" si="348"/>
        <v>0</v>
      </c>
      <c r="BU205" s="770">
        <f t="shared" si="348"/>
        <v>0</v>
      </c>
      <c r="BV205" s="770">
        <f t="shared" si="348"/>
        <v>0</v>
      </c>
      <c r="BW205" s="770">
        <f t="shared" si="348"/>
        <v>0</v>
      </c>
      <c r="BX205" s="770">
        <f t="shared" si="348"/>
        <v>0</v>
      </c>
      <c r="BY205" s="770">
        <f t="shared" si="348"/>
        <v>0</v>
      </c>
      <c r="BZ205" s="770">
        <f t="shared" si="348"/>
        <v>0</v>
      </c>
      <c r="CA205" s="770">
        <f t="shared" si="348"/>
        <v>0</v>
      </c>
      <c r="CB205" s="770">
        <f t="shared" si="348"/>
        <v>0</v>
      </c>
      <c r="CC205" s="770">
        <f t="shared" si="348"/>
        <v>0</v>
      </c>
      <c r="CD205" s="770">
        <f t="shared" si="348"/>
        <v>0</v>
      </c>
      <c r="CE205" s="770">
        <f t="shared" si="348"/>
        <v>0</v>
      </c>
      <c r="CF205" s="770">
        <f t="shared" si="348"/>
        <v>0</v>
      </c>
      <c r="CG205" s="770">
        <f t="shared" si="348"/>
        <v>0</v>
      </c>
      <c r="CH205" s="770">
        <f t="shared" si="348"/>
        <v>0</v>
      </c>
      <c r="CI205" s="770">
        <f t="shared" si="348"/>
        <v>0</v>
      </c>
      <c r="CJ205" s="770">
        <f t="shared" si="348"/>
        <v>0</v>
      </c>
      <c r="CK205" s="770">
        <f t="shared" si="348"/>
        <v>0</v>
      </c>
      <c r="CL205" s="770">
        <f t="shared" si="348"/>
        <v>0</v>
      </c>
      <c r="CM205" s="770">
        <f t="shared" si="348"/>
        <v>0</v>
      </c>
      <c r="CN205" s="770">
        <f t="shared" si="348"/>
        <v>0</v>
      </c>
      <c r="CO205" s="770">
        <f t="shared" si="348"/>
        <v>0</v>
      </c>
      <c r="CP205" s="770">
        <f t="shared" si="348"/>
        <v>0</v>
      </c>
      <c r="CQ205" s="770">
        <f t="shared" si="348"/>
        <v>0</v>
      </c>
      <c r="CR205" s="770">
        <f t="shared" si="348"/>
        <v>0</v>
      </c>
      <c r="CS205" s="770">
        <f t="shared" si="348"/>
        <v>0</v>
      </c>
      <c r="CT205" s="770">
        <f t="shared" si="348"/>
        <v>0</v>
      </c>
      <c r="CU205" s="770">
        <f t="shared" si="348"/>
        <v>0</v>
      </c>
      <c r="CV205" s="770">
        <f t="shared" si="348"/>
        <v>0</v>
      </c>
      <c r="CW205" s="770">
        <f t="shared" si="348"/>
        <v>0</v>
      </c>
      <c r="CX205" s="770">
        <f t="shared" ref="CX205:DV205" si="349">SUM(CX$147:CX$149)</f>
        <v>0</v>
      </c>
      <c r="CY205" s="770">
        <f t="shared" si="349"/>
        <v>0</v>
      </c>
      <c r="CZ205" s="770">
        <f t="shared" si="349"/>
        <v>0</v>
      </c>
      <c r="DA205" s="770">
        <f t="shared" si="349"/>
        <v>0</v>
      </c>
      <c r="DB205" s="770">
        <f t="shared" si="349"/>
        <v>0</v>
      </c>
      <c r="DC205" s="770">
        <f t="shared" si="349"/>
        <v>0</v>
      </c>
      <c r="DD205" s="770">
        <f t="shared" si="349"/>
        <v>0</v>
      </c>
      <c r="DE205" s="770">
        <f t="shared" si="349"/>
        <v>0</v>
      </c>
      <c r="DF205" s="770">
        <f t="shared" si="349"/>
        <v>0</v>
      </c>
      <c r="DG205" s="770">
        <f t="shared" si="349"/>
        <v>0</v>
      </c>
      <c r="DH205" s="770">
        <f t="shared" si="349"/>
        <v>0</v>
      </c>
      <c r="DI205" s="770">
        <f t="shared" si="349"/>
        <v>0</v>
      </c>
      <c r="DJ205" s="770">
        <f t="shared" si="349"/>
        <v>0</v>
      </c>
      <c r="DK205" s="770">
        <f t="shared" si="349"/>
        <v>0</v>
      </c>
      <c r="DL205" s="770">
        <f t="shared" si="349"/>
        <v>0</v>
      </c>
      <c r="DM205" s="770">
        <f t="shared" si="349"/>
        <v>0</v>
      </c>
      <c r="DN205" s="770">
        <f t="shared" si="349"/>
        <v>0</v>
      </c>
      <c r="DO205" s="770">
        <f t="shared" si="349"/>
        <v>0</v>
      </c>
      <c r="DP205" s="770">
        <f t="shared" si="349"/>
        <v>0</v>
      </c>
      <c r="DQ205" s="770">
        <f t="shared" si="349"/>
        <v>0</v>
      </c>
      <c r="DR205" s="770">
        <f t="shared" si="349"/>
        <v>0</v>
      </c>
      <c r="DS205" s="770">
        <f t="shared" si="349"/>
        <v>0</v>
      </c>
      <c r="DT205" s="770">
        <f t="shared" si="349"/>
        <v>0</v>
      </c>
      <c r="DU205" s="770">
        <f t="shared" si="349"/>
        <v>0</v>
      </c>
      <c r="DV205" s="770">
        <f t="shared" si="349"/>
        <v>0</v>
      </c>
    </row>
  </sheetData>
  <mergeCells count="204">
    <mergeCell ref="A185:H185"/>
    <mergeCell ref="J185:R185"/>
    <mergeCell ref="C13:G13"/>
    <mergeCell ref="C14:G14"/>
    <mergeCell ref="C43:G43"/>
    <mergeCell ref="C44:G44"/>
    <mergeCell ref="C45:G45"/>
    <mergeCell ref="C40:G40"/>
    <mergeCell ref="C20:G20"/>
    <mergeCell ref="C21:G21"/>
    <mergeCell ref="A23:G23"/>
    <mergeCell ref="C24:G24"/>
    <mergeCell ref="C25:G25"/>
    <mergeCell ref="C26:G26"/>
    <mergeCell ref="C15:G15"/>
    <mergeCell ref="C16:G16"/>
    <mergeCell ref="C42:G42"/>
    <mergeCell ref="C17:G17"/>
    <mergeCell ref="C36:G36"/>
    <mergeCell ref="C37:G37"/>
    <mergeCell ref="C38:G38"/>
    <mergeCell ref="C39:G39"/>
    <mergeCell ref="C41:G41"/>
    <mergeCell ref="C30:G30"/>
    <mergeCell ref="A2:K2"/>
    <mergeCell ref="L2:R2"/>
    <mergeCell ref="A4:R4"/>
    <mergeCell ref="A5:G5"/>
    <mergeCell ref="C6:G6"/>
    <mergeCell ref="M11:R11"/>
    <mergeCell ref="M12:R12"/>
    <mergeCell ref="M13:R13"/>
    <mergeCell ref="J5:R5"/>
    <mergeCell ref="M6:R6"/>
    <mergeCell ref="C7:G7"/>
    <mergeCell ref="C8:G8"/>
    <mergeCell ref="C9:G9"/>
    <mergeCell ref="C10:G10"/>
    <mergeCell ref="M7:R7"/>
    <mergeCell ref="M8:R8"/>
    <mergeCell ref="M9:R9"/>
    <mergeCell ref="M10:R10"/>
    <mergeCell ref="C33:G33"/>
    <mergeCell ref="C34:G34"/>
    <mergeCell ref="C35:G35"/>
    <mergeCell ref="C18:G18"/>
    <mergeCell ref="C19:G19"/>
    <mergeCell ref="C11:G11"/>
    <mergeCell ref="C12:G12"/>
    <mergeCell ref="M23:R23"/>
    <mergeCell ref="M20:R20"/>
    <mergeCell ref="M21:R21"/>
    <mergeCell ref="M22:R22"/>
    <mergeCell ref="M24:R24"/>
    <mergeCell ref="M25:R25"/>
    <mergeCell ref="M14:R14"/>
    <mergeCell ref="M15:R15"/>
    <mergeCell ref="M16:R16"/>
    <mergeCell ref="M17:R17"/>
    <mergeCell ref="M18:R18"/>
    <mergeCell ref="M19:R19"/>
    <mergeCell ref="C65:D65"/>
    <mergeCell ref="C66:D66"/>
    <mergeCell ref="C67:D67"/>
    <mergeCell ref="A60:DV60"/>
    <mergeCell ref="C61:D61"/>
    <mergeCell ref="C63:D63"/>
    <mergeCell ref="A62:DV62"/>
    <mergeCell ref="M26:R26"/>
    <mergeCell ref="M27:R27"/>
    <mergeCell ref="J29:R29"/>
    <mergeCell ref="C48:G48"/>
    <mergeCell ref="C64:D64"/>
    <mergeCell ref="C49:G49"/>
    <mergeCell ref="C50:G50"/>
    <mergeCell ref="C51:G51"/>
    <mergeCell ref="C52:G52"/>
    <mergeCell ref="C53:G53"/>
    <mergeCell ref="C27:G27"/>
    <mergeCell ref="C28:G28"/>
    <mergeCell ref="C29:G29"/>
    <mergeCell ref="J35:R35"/>
    <mergeCell ref="C47:G47"/>
    <mergeCell ref="C46:G46"/>
    <mergeCell ref="A32:G32"/>
    <mergeCell ref="C75:D75"/>
    <mergeCell ref="C76:D76"/>
    <mergeCell ref="C77:D77"/>
    <mergeCell ref="C78:D78"/>
    <mergeCell ref="C79:D79"/>
    <mergeCell ref="C68:D68"/>
    <mergeCell ref="C69:D69"/>
    <mergeCell ref="C70:D70"/>
    <mergeCell ref="C73:D73"/>
    <mergeCell ref="C74:D74"/>
    <mergeCell ref="A72:DV72"/>
    <mergeCell ref="C85:D85"/>
    <mergeCell ref="C86:D86"/>
    <mergeCell ref="C87:D87"/>
    <mergeCell ref="C88:D88"/>
    <mergeCell ref="C89:D89"/>
    <mergeCell ref="C80:D80"/>
    <mergeCell ref="C81:D81"/>
    <mergeCell ref="C82:D82"/>
    <mergeCell ref="C83:D83"/>
    <mergeCell ref="C84:D84"/>
    <mergeCell ref="C95:D95"/>
    <mergeCell ref="C96:D96"/>
    <mergeCell ref="C97:D97"/>
    <mergeCell ref="C98:D98"/>
    <mergeCell ref="C101:D101"/>
    <mergeCell ref="A100:DV100"/>
    <mergeCell ref="C90:D90"/>
    <mergeCell ref="C91:D91"/>
    <mergeCell ref="C92:D92"/>
    <mergeCell ref="C93:D93"/>
    <mergeCell ref="C94:D94"/>
    <mergeCell ref="C107:D107"/>
    <mergeCell ref="C108:D108"/>
    <mergeCell ref="C109:D109"/>
    <mergeCell ref="C110:D110"/>
    <mergeCell ref="C111:D111"/>
    <mergeCell ref="C102:D102"/>
    <mergeCell ref="C103:D103"/>
    <mergeCell ref="C104:D104"/>
    <mergeCell ref="C105:D105"/>
    <mergeCell ref="C106:D106"/>
    <mergeCell ref="C131:D131"/>
    <mergeCell ref="C132:D132"/>
    <mergeCell ref="C142:D142"/>
    <mergeCell ref="C112:D112"/>
    <mergeCell ref="C113:D113"/>
    <mergeCell ref="C116:D116"/>
    <mergeCell ref="C117:D117"/>
    <mergeCell ref="C118:D118"/>
    <mergeCell ref="A115:DV115"/>
    <mergeCell ref="C119:D119"/>
    <mergeCell ref="C120:D120"/>
    <mergeCell ref="C121:D121"/>
    <mergeCell ref="C122:D122"/>
    <mergeCell ref="C123:D123"/>
    <mergeCell ref="C124:D124"/>
    <mergeCell ref="C125:D125"/>
    <mergeCell ref="C126:D126"/>
    <mergeCell ref="C127:D127"/>
    <mergeCell ref="C128:D128"/>
    <mergeCell ref="C129:D129"/>
    <mergeCell ref="C130:D130"/>
    <mergeCell ref="A138:DV138"/>
    <mergeCell ref="C140:D140"/>
    <mergeCell ref="C141:D141"/>
    <mergeCell ref="C136:D136"/>
    <mergeCell ref="C139:D139"/>
    <mergeCell ref="C133:D133"/>
    <mergeCell ref="C134:D134"/>
    <mergeCell ref="C135:D135"/>
    <mergeCell ref="B159:D159"/>
    <mergeCell ref="E159:R159"/>
    <mergeCell ref="B160:D160"/>
    <mergeCell ref="E160:R160"/>
    <mergeCell ref="C143:D143"/>
    <mergeCell ref="B161:D161"/>
    <mergeCell ref="E161:R161"/>
    <mergeCell ref="A158:R158"/>
    <mergeCell ref="C144:D144"/>
    <mergeCell ref="C145:D145"/>
    <mergeCell ref="C146:D146"/>
    <mergeCell ref="C147:D147"/>
    <mergeCell ref="C148:D148"/>
    <mergeCell ref="C149:D149"/>
    <mergeCell ref="C150:D150"/>
    <mergeCell ref="C151:D151"/>
    <mergeCell ref="C152:D152"/>
    <mergeCell ref="C153:D153"/>
    <mergeCell ref="C154:D154"/>
    <mergeCell ref="C155:D155"/>
    <mergeCell ref="B165:D165"/>
    <mergeCell ref="E165:R165"/>
    <mergeCell ref="B166:D166"/>
    <mergeCell ref="E166:R166"/>
    <mergeCell ref="B167:D167"/>
    <mergeCell ref="E167:R167"/>
    <mergeCell ref="B162:D162"/>
    <mergeCell ref="E162:R162"/>
    <mergeCell ref="B163:D163"/>
    <mergeCell ref="E163:R163"/>
    <mergeCell ref="B164:D164"/>
    <mergeCell ref="E164:R164"/>
    <mergeCell ref="B168:D168"/>
    <mergeCell ref="E168:R168"/>
    <mergeCell ref="A176:H176"/>
    <mergeCell ref="A183:H183"/>
    <mergeCell ref="J176:R176"/>
    <mergeCell ref="J183:R183"/>
    <mergeCell ref="B169:D169"/>
    <mergeCell ref="E169:R169"/>
    <mergeCell ref="B170:D170"/>
    <mergeCell ref="E170:R170"/>
    <mergeCell ref="B171:D171"/>
    <mergeCell ref="E171:R171"/>
    <mergeCell ref="B172:D172"/>
    <mergeCell ref="E172:R172"/>
    <mergeCell ref="B173:D173"/>
    <mergeCell ref="E173:R173"/>
  </mergeCells>
  <conditionalFormatting sqref="F154:DV154">
    <cfRule type="expression" dxfId="15" priority="1">
      <formula>F154="OK"</formula>
    </cfRule>
    <cfRule type="expression" dxfId="14" priority="2">
      <formula>OR(F154="BLOCKED",F154="COVENANT PENDING")</formula>
    </cfRule>
  </conditionalFormatting>
  <conditionalFormatting sqref="F196:DV199">
    <cfRule type="expression" dxfId="13" priority="3">
      <formula>AND(ISNUMBER(F196),F196&lt;0)</formula>
    </cfRule>
  </conditionalFormatting>
  <dataValidations count="6">
    <dataValidation type="list" showInputMessage="1" showErrorMessage="1" errorTitle="Invalid selection" error="Select an item from the list." promptTitle="Funding selection" prompt="Use the drop-down selection." sqref="B7" xr:uid="{00000000-0002-0000-0800-000000000000}">
      <formula1>"Equity First,Pro Rata,Debt Last"</formula1>
    </dataValidation>
    <dataValidation type="list" showInputMessage="1" showErrorMessage="1" errorTitle="Invalid selection" error="Select an item from the list." promptTitle="Construction drawstop" prompt="Use the drop-down selection." sqref="B21" xr:uid="{00000000-0002-0000-0800-000001000000}">
      <formula1>"Yes,No"</formula1>
    </dataValidation>
    <dataValidation type="list" showInputMessage="1" showErrorMessage="1" errorTitle="Invalid selection" error="Select an item from the list." promptTitle="Term-debt trigger" prompt="Use the drop-down selection." sqref="B33" xr:uid="{00000000-0002-0000-0800-000002000000}">
      <formula1>"Practical Completion,Stabilisation,Manual Date"</formula1>
    </dataValidation>
    <dataValidation type="list" showInputMessage="1" showErrorMessage="1" errorTitle="Invalid selection" error="Select an item from the list." promptTitle="Working-capital refinancing" prompt="Use the drop-down selection." sqref="B36" xr:uid="{00000000-0002-0000-0800-000003000000}">
      <formula1>"Yes,No"</formula1>
    </dataValidation>
    <dataValidation type="list" showInputMessage="1" showErrorMessage="1" errorTitle="Invalid selection" error="Select an item from the list." promptTitle="Repayment profile" prompt="Use the drop-down selection." sqref="B44" xr:uid="{00000000-0002-0000-0800-000004000000}">
      <formula1>"Full amortisation,Partial amortisation with bullet,Interest-only followed by amortisation,Sculpted to CFADS"</formula1>
    </dataValidation>
    <dataValidation type="list" showInputMessage="1" showErrorMessage="1" errorTitle="Invalid selection" error="Select an item from the list." promptTitle="Scenario" prompt="Use the drop-down selection." sqref="B6" xr:uid="{00000000-0002-0000-0800-000005000000}">
      <formula1>"Downside,Base,Upside"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6E0C4"/>
  </sheetPr>
  <dimension ref="A2:M497"/>
  <sheetViews>
    <sheetView showGridLines="0" tabSelected="1" workbookViewId="0"/>
  </sheetViews>
  <sheetFormatPr defaultRowHeight="14.5" x14ac:dyDescent="0.35"/>
  <cols>
    <col min="1" max="1" width="15" customWidth="1"/>
    <col min="2" max="2" width="38" customWidth="1"/>
    <col min="3" max="3" width="27" customWidth="1"/>
    <col min="4" max="4" width="20" customWidth="1"/>
    <col min="5" max="5" width="22" customWidth="1"/>
    <col min="6" max="7" width="24" customWidth="1"/>
    <col min="8" max="8" width="28" customWidth="1"/>
    <col min="9" max="9" width="20" customWidth="1"/>
    <col min="10" max="10" width="12" customWidth="1"/>
    <col min="11" max="11" width="133.5" customWidth="1"/>
    <col min="12" max="12" width="27" customWidth="1"/>
    <col min="13" max="13" width="48" customWidth="1"/>
  </cols>
  <sheetData>
    <row r="2" spans="1:13" ht="26" customHeight="1" x14ac:dyDescent="0.35">
      <c r="A2" s="936" t="s">
        <v>670</v>
      </c>
      <c r="B2" s="937"/>
      <c r="C2" s="937"/>
      <c r="D2" s="937"/>
      <c r="E2" s="937"/>
      <c r="F2" s="937"/>
      <c r="G2" s="937"/>
      <c r="H2" s="937"/>
      <c r="I2" s="937"/>
      <c r="J2" s="937"/>
      <c r="K2" s="937"/>
    </row>
    <row r="4" spans="1:13" ht="26" customHeight="1" x14ac:dyDescent="0.35">
      <c r="A4" s="938" t="s">
        <v>1719</v>
      </c>
      <c r="B4" s="937"/>
      <c r="C4" s="937"/>
      <c r="D4" s="937"/>
      <c r="E4" s="937"/>
      <c r="F4" s="937"/>
      <c r="G4" s="937"/>
      <c r="H4" s="937"/>
      <c r="I4" s="937"/>
      <c r="J4" s="937"/>
      <c r="K4" s="937"/>
    </row>
    <row r="5" spans="1:13" ht="24" customHeight="1" x14ac:dyDescent="0.35">
      <c r="A5" s="934" t="s">
        <v>1720</v>
      </c>
      <c r="B5" s="937"/>
      <c r="C5" s="937"/>
      <c r="D5" s="937"/>
      <c r="E5" s="937"/>
      <c r="F5" s="937"/>
      <c r="G5" s="937"/>
      <c r="H5" s="937"/>
      <c r="I5" s="937"/>
      <c r="J5" s="937"/>
      <c r="K5" s="937"/>
    </row>
    <row r="6" spans="1:13" x14ac:dyDescent="0.35">
      <c r="A6" t="s">
        <v>1721</v>
      </c>
    </row>
    <row r="7" spans="1:13" ht="22" customHeight="1" x14ac:dyDescent="0.35">
      <c r="A7" s="306" t="s">
        <v>1722</v>
      </c>
      <c r="B7" s="306" t="s">
        <v>1723</v>
      </c>
      <c r="C7" s="306" t="s">
        <v>1724</v>
      </c>
      <c r="D7" s="306" t="s">
        <v>1725</v>
      </c>
      <c r="E7" s="306" t="s">
        <v>1726</v>
      </c>
      <c r="F7" s="306" t="s">
        <v>1727</v>
      </c>
      <c r="G7" s="306" t="s">
        <v>1728</v>
      </c>
      <c r="H7" s="306" t="s">
        <v>1729</v>
      </c>
      <c r="I7" s="306" t="s">
        <v>622</v>
      </c>
      <c r="J7" s="306" t="s">
        <v>1730</v>
      </c>
      <c r="K7" s="306" t="s">
        <v>1731</v>
      </c>
      <c r="L7" s="626" t="s">
        <v>1732</v>
      </c>
      <c r="M7" s="626" t="s">
        <v>1733</v>
      </c>
    </row>
    <row r="8" spans="1:13" ht="28" customHeight="1" x14ac:dyDescent="0.35">
      <c r="A8" s="307" t="s">
        <v>1734</v>
      </c>
      <c r="B8" s="308" t="s">
        <v>1735</v>
      </c>
      <c r="C8" s="308" t="s">
        <v>1736</v>
      </c>
      <c r="D8" s="308" t="s">
        <v>1737</v>
      </c>
      <c r="E8" s="308" t="s">
        <v>1738</v>
      </c>
      <c r="F8" s="308" t="s">
        <v>1739</v>
      </c>
      <c r="G8" s="308" t="s">
        <v>1740</v>
      </c>
      <c r="H8" s="308" t="s">
        <v>1741</v>
      </c>
      <c r="I8" s="308" t="s">
        <v>1742</v>
      </c>
      <c r="J8" s="308" t="s">
        <v>331</v>
      </c>
      <c r="K8" s="308" t="s">
        <v>1743</v>
      </c>
      <c r="L8" s="325" t="s">
        <v>1744</v>
      </c>
      <c r="M8" s="325" t="s">
        <v>1745</v>
      </c>
    </row>
    <row r="9" spans="1:13" ht="28" customHeight="1" x14ac:dyDescent="0.35">
      <c r="A9" s="307" t="s">
        <v>1746</v>
      </c>
      <c r="B9" s="308" t="s">
        <v>1747</v>
      </c>
      <c r="C9" s="308" t="s">
        <v>1748</v>
      </c>
      <c r="D9" s="308" t="s">
        <v>1749</v>
      </c>
      <c r="E9" s="308" t="s">
        <v>1750</v>
      </c>
      <c r="F9" s="308" t="s">
        <v>1739</v>
      </c>
      <c r="G9" s="308" t="s">
        <v>1749</v>
      </c>
      <c r="H9" s="308" t="s">
        <v>1751</v>
      </c>
      <c r="I9" s="308" t="s">
        <v>1752</v>
      </c>
      <c r="J9" s="308" t="s">
        <v>331</v>
      </c>
      <c r="K9" s="308" t="s">
        <v>1753</v>
      </c>
      <c r="L9" s="325" t="s">
        <v>1754</v>
      </c>
      <c r="M9" s="325" t="s">
        <v>1745</v>
      </c>
    </row>
    <row r="10" spans="1:13" ht="28" customHeight="1" x14ac:dyDescent="0.35">
      <c r="A10" s="307" t="s">
        <v>1755</v>
      </c>
      <c r="B10" s="308" t="s">
        <v>1756</v>
      </c>
      <c r="C10" s="308" t="s">
        <v>1736</v>
      </c>
      <c r="D10" s="308" t="s">
        <v>1757</v>
      </c>
      <c r="E10" s="308" t="s">
        <v>1758</v>
      </c>
      <c r="F10" s="308" t="s">
        <v>1739</v>
      </c>
      <c r="G10" s="308" t="s">
        <v>1759</v>
      </c>
      <c r="H10" s="308" t="s">
        <v>1741</v>
      </c>
      <c r="I10" s="308" t="s">
        <v>1742</v>
      </c>
      <c r="J10" s="308" t="s">
        <v>331</v>
      </c>
      <c r="K10" s="308" t="s">
        <v>1760</v>
      </c>
      <c r="L10" s="325" t="s">
        <v>1744</v>
      </c>
      <c r="M10" s="325" t="s">
        <v>1745</v>
      </c>
    </row>
    <row r="11" spans="1:13" ht="28" customHeight="1" x14ac:dyDescent="0.35">
      <c r="A11" s="307" t="s">
        <v>1761</v>
      </c>
      <c r="B11" s="308" t="s">
        <v>1762</v>
      </c>
      <c r="C11" s="308" t="s">
        <v>1736</v>
      </c>
      <c r="D11" s="308" t="s">
        <v>1757</v>
      </c>
      <c r="E11" s="308" t="s">
        <v>1763</v>
      </c>
      <c r="F11" s="308" t="s">
        <v>1739</v>
      </c>
      <c r="G11" s="308" t="s">
        <v>1764</v>
      </c>
      <c r="H11" s="308" t="s">
        <v>1751</v>
      </c>
      <c r="I11" s="308" t="s">
        <v>1752</v>
      </c>
      <c r="J11" s="308" t="s">
        <v>331</v>
      </c>
      <c r="K11" s="308" t="s">
        <v>1765</v>
      </c>
      <c r="L11" s="325" t="s">
        <v>1744</v>
      </c>
      <c r="M11" s="325" t="s">
        <v>1745</v>
      </c>
    </row>
    <row r="12" spans="1:13" ht="28" customHeight="1" x14ac:dyDescent="0.35">
      <c r="A12" s="307" t="s">
        <v>1766</v>
      </c>
      <c r="B12" s="308" t="s">
        <v>1767</v>
      </c>
      <c r="C12" s="308" t="s">
        <v>1748</v>
      </c>
      <c r="D12" s="308" t="s">
        <v>1768</v>
      </c>
      <c r="E12" s="308" t="s">
        <v>1769</v>
      </c>
      <c r="F12" s="308" t="s">
        <v>1739</v>
      </c>
      <c r="G12" s="308" t="s">
        <v>1768</v>
      </c>
      <c r="H12" s="308" t="s">
        <v>1751</v>
      </c>
      <c r="I12" s="308" t="s">
        <v>1752</v>
      </c>
      <c r="J12" s="308" t="s">
        <v>331</v>
      </c>
      <c r="K12" s="308" t="s">
        <v>1770</v>
      </c>
      <c r="L12" s="325" t="s">
        <v>1754</v>
      </c>
      <c r="M12" s="325" t="s">
        <v>1745</v>
      </c>
    </row>
    <row r="13" spans="1:13" ht="28" customHeight="1" x14ac:dyDescent="0.35">
      <c r="A13" s="307" t="s">
        <v>1771</v>
      </c>
      <c r="B13" s="308" t="s">
        <v>1772</v>
      </c>
      <c r="C13" s="308" t="s">
        <v>1736</v>
      </c>
      <c r="D13" s="308" t="s">
        <v>1773</v>
      </c>
      <c r="E13" s="308" t="s">
        <v>1774</v>
      </c>
      <c r="F13" s="308" t="s">
        <v>1739</v>
      </c>
      <c r="G13" s="308" t="s">
        <v>1775</v>
      </c>
      <c r="H13" s="308" t="s">
        <v>1741</v>
      </c>
      <c r="I13" s="308" t="s">
        <v>1742</v>
      </c>
      <c r="J13" s="308" t="s">
        <v>331</v>
      </c>
      <c r="K13" s="308" t="s">
        <v>1776</v>
      </c>
      <c r="L13" s="325" t="s">
        <v>1744</v>
      </c>
      <c r="M13" s="325" t="s">
        <v>1745</v>
      </c>
    </row>
    <row r="14" spans="1:13" ht="28" customHeight="1" x14ac:dyDescent="0.35">
      <c r="A14" s="307" t="s">
        <v>1777</v>
      </c>
      <c r="B14" s="308" t="s">
        <v>1778</v>
      </c>
      <c r="C14" s="308" t="s">
        <v>1736</v>
      </c>
      <c r="D14" s="308" t="s">
        <v>1779</v>
      </c>
      <c r="E14" s="308" t="s">
        <v>1780</v>
      </c>
      <c r="F14" s="308" t="s">
        <v>1739</v>
      </c>
      <c r="G14" s="308" t="s">
        <v>1781</v>
      </c>
      <c r="H14" s="308" t="s">
        <v>1741</v>
      </c>
      <c r="I14" s="308" t="s">
        <v>1742</v>
      </c>
      <c r="J14" s="308" t="s">
        <v>1782</v>
      </c>
      <c r="K14" s="308" t="s">
        <v>1783</v>
      </c>
      <c r="L14" s="325" t="s">
        <v>1744</v>
      </c>
      <c r="M14" s="325" t="s">
        <v>1784</v>
      </c>
    </row>
    <row r="15" spans="1:13" ht="28" customHeight="1" x14ac:dyDescent="0.35">
      <c r="A15" s="307" t="s">
        <v>1785</v>
      </c>
      <c r="B15" s="308" t="s">
        <v>1786</v>
      </c>
      <c r="C15" s="308" t="s">
        <v>1736</v>
      </c>
      <c r="D15" s="308" t="s">
        <v>1787</v>
      </c>
      <c r="E15" s="308" t="s">
        <v>1788</v>
      </c>
      <c r="F15" s="308" t="s">
        <v>1739</v>
      </c>
      <c r="G15" s="308" t="s">
        <v>1789</v>
      </c>
      <c r="H15" s="308" t="s">
        <v>1741</v>
      </c>
      <c r="I15" s="308" t="s">
        <v>1742</v>
      </c>
      <c r="J15" s="308" t="s">
        <v>1782</v>
      </c>
      <c r="K15" s="308" t="s">
        <v>1790</v>
      </c>
      <c r="L15" s="325" t="s">
        <v>1744</v>
      </c>
      <c r="M15" s="325" t="s">
        <v>1745</v>
      </c>
    </row>
    <row r="16" spans="1:13" ht="28" customHeight="1" x14ac:dyDescent="0.35">
      <c r="A16" s="307" t="s">
        <v>1791</v>
      </c>
      <c r="B16" s="308" t="s">
        <v>1792</v>
      </c>
      <c r="C16" s="308" t="s">
        <v>1748</v>
      </c>
      <c r="D16" s="308" t="s">
        <v>1793</v>
      </c>
      <c r="E16" s="311">
        <v>31</v>
      </c>
      <c r="F16" s="308" t="s">
        <v>1739</v>
      </c>
      <c r="G16" s="308" t="s">
        <v>1793</v>
      </c>
      <c r="H16" s="308" t="s">
        <v>1794</v>
      </c>
      <c r="I16" s="308" t="s">
        <v>1795</v>
      </c>
      <c r="J16" s="308" t="s">
        <v>331</v>
      </c>
      <c r="K16" s="308" t="s">
        <v>1796</v>
      </c>
      <c r="L16" s="325" t="s">
        <v>1754</v>
      </c>
      <c r="M16" s="325" t="s">
        <v>1745</v>
      </c>
    </row>
    <row r="17" spans="1:13" ht="28" customHeight="1" x14ac:dyDescent="0.35">
      <c r="A17" s="307" t="s">
        <v>1797</v>
      </c>
      <c r="B17" s="308" t="s">
        <v>1798</v>
      </c>
      <c r="C17" s="308" t="s">
        <v>1748</v>
      </c>
      <c r="D17" s="308" t="s">
        <v>1799</v>
      </c>
      <c r="E17" s="308" t="s">
        <v>1800</v>
      </c>
      <c r="F17" s="308" t="s">
        <v>1739</v>
      </c>
      <c r="G17" s="308" t="s">
        <v>1799</v>
      </c>
      <c r="H17" s="308" t="s">
        <v>1801</v>
      </c>
      <c r="I17" s="308" t="s">
        <v>1795</v>
      </c>
      <c r="J17" s="308" t="s">
        <v>331</v>
      </c>
      <c r="K17" s="308" t="s">
        <v>1802</v>
      </c>
      <c r="L17" s="325" t="s">
        <v>1754</v>
      </c>
      <c r="M17" s="325" t="s">
        <v>1745</v>
      </c>
    </row>
    <row r="18" spans="1:13" ht="28" customHeight="1" x14ac:dyDescent="0.35">
      <c r="A18" s="307" t="s">
        <v>1803</v>
      </c>
      <c r="B18" s="308" t="s">
        <v>1804</v>
      </c>
      <c r="C18" s="308" t="s">
        <v>1736</v>
      </c>
      <c r="D18" s="308" t="s">
        <v>1805</v>
      </c>
      <c r="E18" s="308" t="s">
        <v>1806</v>
      </c>
      <c r="F18" s="308" t="s">
        <v>1807</v>
      </c>
      <c r="G18" s="308" t="s">
        <v>1808</v>
      </c>
      <c r="H18" s="308" t="s">
        <v>1809</v>
      </c>
      <c r="I18" s="308" t="s">
        <v>1752</v>
      </c>
      <c r="J18" s="308" t="s">
        <v>331</v>
      </c>
      <c r="K18" s="308" t="s">
        <v>1810</v>
      </c>
      <c r="L18" s="325" t="s">
        <v>1744</v>
      </c>
      <c r="M18" s="325" t="s">
        <v>1745</v>
      </c>
    </row>
    <row r="19" spans="1:13" ht="28" customHeight="1" x14ac:dyDescent="0.35">
      <c r="A19" s="307" t="s">
        <v>1811</v>
      </c>
      <c r="B19" s="308" t="s">
        <v>1812</v>
      </c>
      <c r="C19" s="308" t="s">
        <v>307</v>
      </c>
      <c r="D19" s="308" t="s">
        <v>1813</v>
      </c>
      <c r="E19" s="311">
        <v>34400</v>
      </c>
      <c r="F19" s="308" t="s">
        <v>1739</v>
      </c>
      <c r="G19" s="308" t="s">
        <v>1814</v>
      </c>
      <c r="H19" s="308" t="s">
        <v>1741</v>
      </c>
      <c r="I19" s="308" t="s">
        <v>1742</v>
      </c>
      <c r="J19" s="308" t="s">
        <v>331</v>
      </c>
      <c r="K19" s="308" t="s">
        <v>1815</v>
      </c>
      <c r="L19" s="325" t="s">
        <v>1744</v>
      </c>
      <c r="M19" s="325" t="s">
        <v>1745</v>
      </c>
    </row>
    <row r="20" spans="1:13" ht="28" customHeight="1" x14ac:dyDescent="0.35">
      <c r="A20" s="307" t="s">
        <v>1816</v>
      </c>
      <c r="B20" s="308" t="s">
        <v>1817</v>
      </c>
      <c r="C20" s="308" t="s">
        <v>1818</v>
      </c>
      <c r="D20" s="308" t="s">
        <v>1819</v>
      </c>
      <c r="E20" s="311">
        <v>21500</v>
      </c>
      <c r="F20" s="308" t="s">
        <v>1739</v>
      </c>
      <c r="G20" s="308" t="s">
        <v>1820</v>
      </c>
      <c r="H20" s="308" t="s">
        <v>1741</v>
      </c>
      <c r="I20" s="308" t="s">
        <v>1742</v>
      </c>
      <c r="J20" s="308" t="s">
        <v>331</v>
      </c>
      <c r="K20" s="308" t="s">
        <v>1821</v>
      </c>
      <c r="L20" s="325" t="s">
        <v>1744</v>
      </c>
      <c r="M20" s="325" t="s">
        <v>1745</v>
      </c>
    </row>
    <row r="21" spans="1:13" ht="28" customHeight="1" x14ac:dyDescent="0.35">
      <c r="A21" s="307" t="s">
        <v>1822</v>
      </c>
      <c r="B21" s="308" t="s">
        <v>1823</v>
      </c>
      <c r="C21" s="308" t="s">
        <v>1818</v>
      </c>
      <c r="D21" s="308" t="s">
        <v>1824</v>
      </c>
      <c r="E21" s="311">
        <v>20000</v>
      </c>
      <c r="F21" s="308" t="s">
        <v>1739</v>
      </c>
      <c r="G21" s="308" t="s">
        <v>1825</v>
      </c>
      <c r="H21" s="308" t="s">
        <v>1741</v>
      </c>
      <c r="I21" s="308" t="s">
        <v>1742</v>
      </c>
      <c r="J21" s="308" t="s">
        <v>331</v>
      </c>
      <c r="K21" s="308" t="s">
        <v>1826</v>
      </c>
      <c r="L21" s="325" t="s">
        <v>1744</v>
      </c>
      <c r="M21" s="325" t="s">
        <v>1745</v>
      </c>
    </row>
    <row r="22" spans="1:13" ht="28" customHeight="1" x14ac:dyDescent="0.35">
      <c r="A22" s="307" t="s">
        <v>1827</v>
      </c>
      <c r="B22" s="308" t="s">
        <v>1828</v>
      </c>
      <c r="C22" s="308" t="s">
        <v>1818</v>
      </c>
      <c r="D22" s="308" t="s">
        <v>1829</v>
      </c>
      <c r="E22" s="311">
        <v>6500</v>
      </c>
      <c r="F22" s="308" t="s">
        <v>1739</v>
      </c>
      <c r="G22" s="308" t="s">
        <v>1830</v>
      </c>
      <c r="H22" s="308" t="s">
        <v>1741</v>
      </c>
      <c r="I22" s="308" t="s">
        <v>1742</v>
      </c>
      <c r="J22" s="308" t="s">
        <v>331</v>
      </c>
      <c r="K22" s="308" t="s">
        <v>1831</v>
      </c>
      <c r="L22" s="325" t="s">
        <v>1744</v>
      </c>
      <c r="M22" s="325" t="s">
        <v>1745</v>
      </c>
    </row>
    <row r="23" spans="1:13" ht="28" customHeight="1" x14ac:dyDescent="0.35">
      <c r="A23" s="307" t="s">
        <v>1832</v>
      </c>
      <c r="B23" s="308" t="s">
        <v>1833</v>
      </c>
      <c r="C23" s="308" t="s">
        <v>1818</v>
      </c>
      <c r="D23" s="308" t="s">
        <v>1834</v>
      </c>
      <c r="E23" s="311">
        <v>150</v>
      </c>
      <c r="F23" s="308" t="s">
        <v>1739</v>
      </c>
      <c r="G23" s="308" t="s">
        <v>1835</v>
      </c>
      <c r="H23" s="308" t="s">
        <v>1741</v>
      </c>
      <c r="I23" s="308" t="s">
        <v>1742</v>
      </c>
      <c r="J23" s="308" t="s">
        <v>331</v>
      </c>
      <c r="K23" s="308" t="s">
        <v>1836</v>
      </c>
      <c r="L23" s="325" t="s">
        <v>1744</v>
      </c>
      <c r="M23" s="325" t="s">
        <v>1745</v>
      </c>
    </row>
    <row r="24" spans="1:13" ht="28" customHeight="1" x14ac:dyDescent="0.35">
      <c r="A24" s="307" t="s">
        <v>1837</v>
      </c>
      <c r="B24" s="308" t="s">
        <v>1838</v>
      </c>
      <c r="C24" s="308" t="s">
        <v>1818</v>
      </c>
      <c r="D24" s="308" t="s">
        <v>1839</v>
      </c>
      <c r="E24" s="311">
        <v>4000</v>
      </c>
      <c r="F24" s="308" t="s">
        <v>1739</v>
      </c>
      <c r="G24" s="308" t="s">
        <v>1840</v>
      </c>
      <c r="H24" s="308" t="s">
        <v>1741</v>
      </c>
      <c r="I24" s="308" t="s">
        <v>1742</v>
      </c>
      <c r="J24" s="308" t="s">
        <v>331</v>
      </c>
      <c r="K24" s="308" t="s">
        <v>1841</v>
      </c>
      <c r="L24" s="325" t="s">
        <v>1744</v>
      </c>
      <c r="M24" s="325" t="s">
        <v>1745</v>
      </c>
    </row>
    <row r="25" spans="1:13" ht="28" customHeight="1" x14ac:dyDescent="0.35">
      <c r="A25" s="307" t="s">
        <v>1842</v>
      </c>
      <c r="B25" s="308" t="s">
        <v>1843</v>
      </c>
      <c r="C25" s="308" t="s">
        <v>1818</v>
      </c>
      <c r="D25" s="308" t="s">
        <v>1844</v>
      </c>
      <c r="E25" s="311">
        <v>19500.38</v>
      </c>
      <c r="F25" s="308" t="s">
        <v>1739</v>
      </c>
      <c r="G25" s="308" t="s">
        <v>1845</v>
      </c>
      <c r="H25" s="308" t="s">
        <v>1741</v>
      </c>
      <c r="I25" s="308" t="s">
        <v>1742</v>
      </c>
      <c r="J25" s="308" t="s">
        <v>331</v>
      </c>
      <c r="K25" s="308" t="s">
        <v>1846</v>
      </c>
      <c r="L25" s="325" t="s">
        <v>1744</v>
      </c>
      <c r="M25" s="325" t="s">
        <v>1745</v>
      </c>
    </row>
    <row r="26" spans="1:13" ht="28" customHeight="1" x14ac:dyDescent="0.35">
      <c r="A26" s="307" t="s">
        <v>1847</v>
      </c>
      <c r="B26" s="308" t="s">
        <v>1848</v>
      </c>
      <c r="C26" s="308" t="s">
        <v>1818</v>
      </c>
      <c r="D26" s="308" t="s">
        <v>1849</v>
      </c>
      <c r="E26" s="311">
        <v>3800</v>
      </c>
      <c r="F26" s="308" t="s">
        <v>1739</v>
      </c>
      <c r="G26" s="308" t="s">
        <v>1850</v>
      </c>
      <c r="H26" s="308" t="s">
        <v>1741</v>
      </c>
      <c r="I26" s="308" t="s">
        <v>1742</v>
      </c>
      <c r="J26" s="308" t="s">
        <v>331</v>
      </c>
      <c r="K26" s="308" t="s">
        <v>1851</v>
      </c>
      <c r="L26" s="325" t="s">
        <v>1744</v>
      </c>
      <c r="M26" s="325" t="s">
        <v>1745</v>
      </c>
    </row>
    <row r="27" spans="1:13" ht="28" customHeight="1" x14ac:dyDescent="0.35">
      <c r="A27" s="307" t="s">
        <v>1852</v>
      </c>
      <c r="B27" s="308" t="s">
        <v>1853</v>
      </c>
      <c r="C27" s="308" t="s">
        <v>1748</v>
      </c>
      <c r="D27" s="308" t="s">
        <v>1854</v>
      </c>
      <c r="E27" s="311">
        <v>2000</v>
      </c>
      <c r="F27" s="308" t="s">
        <v>1739</v>
      </c>
      <c r="G27" s="308" t="s">
        <v>1854</v>
      </c>
      <c r="H27" s="308" t="s">
        <v>1741</v>
      </c>
      <c r="I27" s="308" t="s">
        <v>1742</v>
      </c>
      <c r="J27" s="308" t="s">
        <v>331</v>
      </c>
      <c r="K27" s="308" t="s">
        <v>1855</v>
      </c>
      <c r="L27" s="325" t="s">
        <v>1754</v>
      </c>
      <c r="M27" s="325" t="s">
        <v>1745</v>
      </c>
    </row>
    <row r="28" spans="1:13" ht="28" customHeight="1" x14ac:dyDescent="0.35">
      <c r="A28" s="307" t="s">
        <v>1856</v>
      </c>
      <c r="B28" s="308" t="s">
        <v>1857</v>
      </c>
      <c r="C28" s="308" t="s">
        <v>1818</v>
      </c>
      <c r="D28" s="308" t="s">
        <v>1858</v>
      </c>
      <c r="E28" s="311">
        <v>150</v>
      </c>
      <c r="F28" s="308" t="s">
        <v>1739</v>
      </c>
      <c r="G28" s="308" t="s">
        <v>1859</v>
      </c>
      <c r="H28" s="308" t="s">
        <v>1741</v>
      </c>
      <c r="I28" s="308" t="s">
        <v>1742</v>
      </c>
      <c r="J28" s="308" t="s">
        <v>331</v>
      </c>
      <c r="K28" s="308" t="s">
        <v>1860</v>
      </c>
      <c r="L28" s="325" t="s">
        <v>1744</v>
      </c>
      <c r="M28" s="325" t="s">
        <v>1745</v>
      </c>
    </row>
    <row r="29" spans="1:13" ht="28" customHeight="1" x14ac:dyDescent="0.35">
      <c r="A29" s="307" t="s">
        <v>1861</v>
      </c>
      <c r="B29" s="308" t="s">
        <v>1862</v>
      </c>
      <c r="C29" s="308" t="s">
        <v>1818</v>
      </c>
      <c r="D29" s="308" t="s">
        <v>1863</v>
      </c>
      <c r="E29" s="311">
        <v>600</v>
      </c>
      <c r="F29" s="308" t="s">
        <v>1739</v>
      </c>
      <c r="G29" s="308" t="s">
        <v>1864</v>
      </c>
      <c r="H29" s="308" t="s">
        <v>1741</v>
      </c>
      <c r="I29" s="308" t="s">
        <v>1742</v>
      </c>
      <c r="J29" s="308" t="s">
        <v>331</v>
      </c>
      <c r="K29" s="308" t="s">
        <v>1865</v>
      </c>
      <c r="L29" s="325" t="s">
        <v>1744</v>
      </c>
      <c r="M29" s="325" t="s">
        <v>1745</v>
      </c>
    </row>
    <row r="30" spans="1:13" ht="28" customHeight="1" x14ac:dyDescent="0.35">
      <c r="A30" s="307" t="s">
        <v>1866</v>
      </c>
      <c r="B30" s="308" t="s">
        <v>1867</v>
      </c>
      <c r="C30" s="308" t="s">
        <v>1818</v>
      </c>
      <c r="D30" s="308" t="s">
        <v>1868</v>
      </c>
      <c r="E30" s="311">
        <v>2120</v>
      </c>
      <c r="F30" s="308" t="s">
        <v>1739</v>
      </c>
      <c r="G30" s="308" t="s">
        <v>1869</v>
      </c>
      <c r="H30" s="308" t="s">
        <v>1741</v>
      </c>
      <c r="I30" s="308" t="s">
        <v>1742</v>
      </c>
      <c r="J30" s="308" t="s">
        <v>1782</v>
      </c>
      <c r="K30" s="308" t="s">
        <v>1870</v>
      </c>
      <c r="L30" s="325" t="s">
        <v>1744</v>
      </c>
      <c r="M30" s="325" t="s">
        <v>1745</v>
      </c>
    </row>
    <row r="31" spans="1:13" ht="28" customHeight="1" x14ac:dyDescent="0.35">
      <c r="A31" s="307" t="s">
        <v>1871</v>
      </c>
      <c r="B31" s="308" t="s">
        <v>1872</v>
      </c>
      <c r="C31" s="308" t="s">
        <v>1818</v>
      </c>
      <c r="D31" s="308" t="s">
        <v>1873</v>
      </c>
      <c r="E31" s="311">
        <v>150</v>
      </c>
      <c r="F31" s="308" t="s">
        <v>1739</v>
      </c>
      <c r="G31" s="308" t="s">
        <v>1874</v>
      </c>
      <c r="H31" s="308" t="s">
        <v>1741</v>
      </c>
      <c r="I31" s="308" t="s">
        <v>1742</v>
      </c>
      <c r="J31" s="308" t="s">
        <v>1782</v>
      </c>
      <c r="K31" s="308" t="s">
        <v>1875</v>
      </c>
      <c r="L31" s="325" t="s">
        <v>1744</v>
      </c>
      <c r="M31" s="325" t="s">
        <v>1745</v>
      </c>
    </row>
    <row r="32" spans="1:13" ht="28" customHeight="1" x14ac:dyDescent="0.35">
      <c r="A32" s="307" t="s">
        <v>1876</v>
      </c>
      <c r="B32" s="308" t="s">
        <v>1877</v>
      </c>
      <c r="C32" s="308" t="s">
        <v>1736</v>
      </c>
      <c r="D32" s="308" t="s">
        <v>1878</v>
      </c>
      <c r="E32" s="311">
        <v>580</v>
      </c>
      <c r="F32" s="308" t="s">
        <v>9566</v>
      </c>
      <c r="G32" s="308" t="s">
        <v>9567</v>
      </c>
      <c r="H32" s="308" t="s">
        <v>1891</v>
      </c>
      <c r="I32" s="308" t="s">
        <v>9568</v>
      </c>
      <c r="J32" s="308" t="s">
        <v>331</v>
      </c>
      <c r="K32" s="308" t="s">
        <v>1882</v>
      </c>
      <c r="L32" s="325" t="s">
        <v>1744</v>
      </c>
      <c r="M32" s="325" t="s">
        <v>9570</v>
      </c>
    </row>
    <row r="33" spans="1:13" ht="28" customHeight="1" x14ac:dyDescent="0.35">
      <c r="A33" s="307" t="s">
        <v>1883</v>
      </c>
      <c r="B33" s="308" t="s">
        <v>1884</v>
      </c>
      <c r="C33" s="308" t="s">
        <v>1736</v>
      </c>
      <c r="D33" s="308" t="s">
        <v>1885</v>
      </c>
      <c r="E33" s="311">
        <v>800</v>
      </c>
      <c r="F33" s="308" t="s">
        <v>9566</v>
      </c>
      <c r="G33" s="308" t="s">
        <v>9567</v>
      </c>
      <c r="H33" s="308" t="s">
        <v>1891</v>
      </c>
      <c r="I33" s="308" t="s">
        <v>9569</v>
      </c>
      <c r="J33" s="308" t="s">
        <v>331</v>
      </c>
      <c r="K33" s="308" t="s">
        <v>1886</v>
      </c>
      <c r="L33" s="325" t="s">
        <v>1744</v>
      </c>
      <c r="M33" s="325" t="s">
        <v>9571</v>
      </c>
    </row>
    <row r="34" spans="1:13" ht="28" customHeight="1" x14ac:dyDescent="0.35">
      <c r="A34" s="307" t="s">
        <v>1887</v>
      </c>
      <c r="B34" s="308" t="s">
        <v>1888</v>
      </c>
      <c r="C34" s="308" t="s">
        <v>1818</v>
      </c>
      <c r="D34" s="308" t="s">
        <v>1889</v>
      </c>
      <c r="E34" s="311">
        <v>90.781481481481507</v>
      </c>
      <c r="F34" s="308" t="s">
        <v>1739</v>
      </c>
      <c r="G34" s="308" t="s">
        <v>1890</v>
      </c>
      <c r="H34" s="308" t="s">
        <v>1891</v>
      </c>
      <c r="I34" s="308" t="s">
        <v>1881</v>
      </c>
      <c r="J34" s="308" t="s">
        <v>1782</v>
      </c>
      <c r="K34" s="308" t="s">
        <v>1892</v>
      </c>
      <c r="L34" s="325" t="s">
        <v>1744</v>
      </c>
      <c r="M34" s="325" t="s">
        <v>1745</v>
      </c>
    </row>
    <row r="35" spans="1:13" ht="28" customHeight="1" x14ac:dyDescent="0.35">
      <c r="A35" s="307" t="s">
        <v>1893</v>
      </c>
      <c r="B35" s="308" t="s">
        <v>1894</v>
      </c>
      <c r="C35" s="308" t="s">
        <v>1818</v>
      </c>
      <c r="D35" s="308" t="s">
        <v>1895</v>
      </c>
      <c r="E35" s="311">
        <v>114.2</v>
      </c>
      <c r="F35" s="308" t="s">
        <v>1739</v>
      </c>
      <c r="G35" s="308" t="s">
        <v>1890</v>
      </c>
      <c r="H35" s="308" t="s">
        <v>1891</v>
      </c>
      <c r="I35" s="308" t="s">
        <v>1881</v>
      </c>
      <c r="J35" s="308" t="s">
        <v>1782</v>
      </c>
      <c r="K35" s="308" t="s">
        <v>1892</v>
      </c>
      <c r="L35" s="325" t="s">
        <v>1744</v>
      </c>
      <c r="M35" s="325" t="s">
        <v>1745</v>
      </c>
    </row>
    <row r="36" spans="1:13" ht="28" customHeight="1" x14ac:dyDescent="0.35">
      <c r="A36" s="307" t="s">
        <v>1896</v>
      </c>
      <c r="B36" s="308" t="s">
        <v>1897</v>
      </c>
      <c r="C36" s="308" t="s">
        <v>1818</v>
      </c>
      <c r="D36" s="308" t="s">
        <v>1898</v>
      </c>
      <c r="E36" s="311">
        <v>19.761524999999999</v>
      </c>
      <c r="F36" s="308" t="s">
        <v>1739</v>
      </c>
      <c r="G36" s="308" t="s">
        <v>1890</v>
      </c>
      <c r="H36" s="308" t="s">
        <v>1891</v>
      </c>
      <c r="I36" s="308" t="s">
        <v>1881</v>
      </c>
      <c r="J36" s="308" t="s">
        <v>1782</v>
      </c>
      <c r="K36" s="308" t="s">
        <v>1892</v>
      </c>
      <c r="L36" s="325" t="s">
        <v>1744</v>
      </c>
      <c r="M36" s="325" t="s">
        <v>1745</v>
      </c>
    </row>
    <row r="37" spans="1:13" ht="28" customHeight="1" x14ac:dyDescent="0.35">
      <c r="A37" s="307" t="s">
        <v>1899</v>
      </c>
      <c r="B37" s="308" t="s">
        <v>1900</v>
      </c>
      <c r="C37" s="308" t="s">
        <v>1818</v>
      </c>
      <c r="D37" s="308" t="s">
        <v>1901</v>
      </c>
      <c r="E37" s="311">
        <v>1.35</v>
      </c>
      <c r="F37" s="308" t="s">
        <v>1739</v>
      </c>
      <c r="G37" s="308" t="s">
        <v>1890</v>
      </c>
      <c r="H37" s="308" t="s">
        <v>1891</v>
      </c>
      <c r="I37" s="308" t="s">
        <v>1881</v>
      </c>
      <c r="J37" s="308" t="s">
        <v>1782</v>
      </c>
      <c r="K37" s="308" t="s">
        <v>1892</v>
      </c>
      <c r="L37" s="325" t="s">
        <v>1744</v>
      </c>
      <c r="M37" s="325" t="s">
        <v>1745</v>
      </c>
    </row>
    <row r="38" spans="1:13" ht="28" customHeight="1" x14ac:dyDescent="0.35">
      <c r="A38" s="307" t="s">
        <v>1902</v>
      </c>
      <c r="B38" s="308" t="s">
        <v>1903</v>
      </c>
      <c r="C38" s="308" t="s">
        <v>1818</v>
      </c>
      <c r="D38" s="308" t="s">
        <v>1904</v>
      </c>
      <c r="E38" s="311">
        <v>14.5</v>
      </c>
      <c r="F38" s="308" t="s">
        <v>1739</v>
      </c>
      <c r="G38" s="308" t="s">
        <v>1890</v>
      </c>
      <c r="H38" s="308" t="s">
        <v>1891</v>
      </c>
      <c r="I38" s="308" t="s">
        <v>1881</v>
      </c>
      <c r="J38" s="308" t="s">
        <v>1782</v>
      </c>
      <c r="K38" s="308" t="s">
        <v>1892</v>
      </c>
      <c r="L38" s="325" t="s">
        <v>1744</v>
      </c>
      <c r="M38" s="325" t="s">
        <v>1745</v>
      </c>
    </row>
    <row r="39" spans="1:13" ht="28" customHeight="1" x14ac:dyDescent="0.35">
      <c r="A39" s="307" t="s">
        <v>1905</v>
      </c>
      <c r="B39" s="308" t="s">
        <v>1906</v>
      </c>
      <c r="C39" s="308" t="s">
        <v>1818</v>
      </c>
      <c r="D39" s="308" t="s">
        <v>1907</v>
      </c>
      <c r="E39" s="311">
        <v>30.22</v>
      </c>
      <c r="F39" s="308" t="s">
        <v>1739</v>
      </c>
      <c r="G39" s="308" t="s">
        <v>1890</v>
      </c>
      <c r="H39" s="308" t="s">
        <v>1891</v>
      </c>
      <c r="I39" s="308" t="s">
        <v>1881</v>
      </c>
      <c r="J39" s="308" t="s">
        <v>1782</v>
      </c>
      <c r="K39" s="308" t="s">
        <v>1892</v>
      </c>
      <c r="L39" s="325" t="s">
        <v>1744</v>
      </c>
      <c r="M39" s="325" t="s">
        <v>1745</v>
      </c>
    </row>
    <row r="40" spans="1:13" ht="28" customHeight="1" x14ac:dyDescent="0.35">
      <c r="A40" s="307" t="s">
        <v>1908</v>
      </c>
      <c r="B40" s="308" t="s">
        <v>1909</v>
      </c>
      <c r="C40" s="308" t="s">
        <v>1818</v>
      </c>
      <c r="D40" s="308" t="s">
        <v>1910</v>
      </c>
      <c r="E40" s="311">
        <v>13</v>
      </c>
      <c r="F40" s="308" t="s">
        <v>1739</v>
      </c>
      <c r="G40" s="308" t="s">
        <v>1890</v>
      </c>
      <c r="H40" s="308" t="s">
        <v>1891</v>
      </c>
      <c r="I40" s="308" t="s">
        <v>1881</v>
      </c>
      <c r="J40" s="308" t="s">
        <v>1782</v>
      </c>
      <c r="K40" s="308" t="s">
        <v>1892</v>
      </c>
      <c r="L40" s="325" t="s">
        <v>1744</v>
      </c>
      <c r="M40" s="325" t="s">
        <v>1745</v>
      </c>
    </row>
    <row r="41" spans="1:13" ht="28" customHeight="1" x14ac:dyDescent="0.35">
      <c r="A41" s="307" t="s">
        <v>1911</v>
      </c>
      <c r="B41" s="308" t="s">
        <v>1912</v>
      </c>
      <c r="C41" s="308" t="s">
        <v>1818</v>
      </c>
      <c r="D41" s="308" t="s">
        <v>1913</v>
      </c>
      <c r="E41" s="311">
        <v>0.5</v>
      </c>
      <c r="F41" s="308" t="s">
        <v>1739</v>
      </c>
      <c r="G41" s="308" t="s">
        <v>1890</v>
      </c>
      <c r="H41" s="308" t="s">
        <v>1891</v>
      </c>
      <c r="I41" s="308" t="s">
        <v>1881</v>
      </c>
      <c r="J41" s="308" t="s">
        <v>1782</v>
      </c>
      <c r="K41" s="308" t="s">
        <v>1892</v>
      </c>
      <c r="L41" s="325" t="s">
        <v>1744</v>
      </c>
      <c r="M41" s="325" t="s">
        <v>1745</v>
      </c>
    </row>
    <row r="42" spans="1:13" ht="28" customHeight="1" x14ac:dyDescent="0.35">
      <c r="A42" s="307" t="s">
        <v>1914</v>
      </c>
      <c r="B42" s="308" t="s">
        <v>1915</v>
      </c>
      <c r="C42" s="308" t="s">
        <v>1818</v>
      </c>
      <c r="D42" s="308" t="s">
        <v>1916</v>
      </c>
      <c r="E42" s="311">
        <v>0.223</v>
      </c>
      <c r="F42" s="308" t="s">
        <v>1739</v>
      </c>
      <c r="G42" s="308" t="s">
        <v>1890</v>
      </c>
      <c r="H42" s="308" t="s">
        <v>1891</v>
      </c>
      <c r="I42" s="308" t="s">
        <v>1881</v>
      </c>
      <c r="J42" s="308" t="s">
        <v>1782</v>
      </c>
      <c r="K42" s="308" t="s">
        <v>1892</v>
      </c>
      <c r="L42" s="325" t="s">
        <v>1744</v>
      </c>
      <c r="M42" s="325" t="s">
        <v>1745</v>
      </c>
    </row>
    <row r="43" spans="1:13" ht="28" customHeight="1" x14ac:dyDescent="0.35">
      <c r="A43" s="307" t="s">
        <v>1917</v>
      </c>
      <c r="B43" s="308" t="s">
        <v>1918</v>
      </c>
      <c r="C43" s="308" t="s">
        <v>1818</v>
      </c>
      <c r="D43" s="308" t="s">
        <v>1919</v>
      </c>
      <c r="E43" s="311">
        <v>1.5</v>
      </c>
      <c r="F43" s="308" t="s">
        <v>1739</v>
      </c>
      <c r="G43" s="308" t="s">
        <v>1890</v>
      </c>
      <c r="H43" s="308" t="s">
        <v>1891</v>
      </c>
      <c r="I43" s="308" t="s">
        <v>1881</v>
      </c>
      <c r="J43" s="308" t="s">
        <v>1782</v>
      </c>
      <c r="K43" s="308" t="s">
        <v>1892</v>
      </c>
      <c r="L43" s="325" t="s">
        <v>1744</v>
      </c>
      <c r="M43" s="325" t="s">
        <v>1745</v>
      </c>
    </row>
    <row r="44" spans="1:13" ht="28" customHeight="1" x14ac:dyDescent="0.35">
      <c r="A44" s="307" t="s">
        <v>1920</v>
      </c>
      <c r="B44" s="308" t="s">
        <v>1921</v>
      </c>
      <c r="C44" s="308" t="s">
        <v>1818</v>
      </c>
      <c r="D44" s="308" t="s">
        <v>1922</v>
      </c>
      <c r="E44" s="311">
        <v>0.41699999999999998</v>
      </c>
      <c r="F44" s="308" t="s">
        <v>1739</v>
      </c>
      <c r="G44" s="308" t="s">
        <v>1890</v>
      </c>
      <c r="H44" s="308" t="s">
        <v>1891</v>
      </c>
      <c r="I44" s="308" t="s">
        <v>1881</v>
      </c>
      <c r="J44" s="308" t="s">
        <v>1782</v>
      </c>
      <c r="K44" s="308" t="s">
        <v>1892</v>
      </c>
      <c r="L44" s="325" t="s">
        <v>1744</v>
      </c>
      <c r="M44" s="325" t="s">
        <v>1745</v>
      </c>
    </row>
    <row r="45" spans="1:13" ht="28" customHeight="1" x14ac:dyDescent="0.35">
      <c r="A45" s="307" t="s">
        <v>1923</v>
      </c>
      <c r="B45" s="308" t="s">
        <v>1924</v>
      </c>
      <c r="C45" s="308" t="s">
        <v>1818</v>
      </c>
      <c r="D45" s="308" t="s">
        <v>1925</v>
      </c>
      <c r="E45" s="311">
        <v>0.8</v>
      </c>
      <c r="F45" s="308" t="s">
        <v>1739</v>
      </c>
      <c r="G45" s="308" t="s">
        <v>1890</v>
      </c>
      <c r="H45" s="308" t="s">
        <v>1891</v>
      </c>
      <c r="I45" s="308" t="s">
        <v>1881</v>
      </c>
      <c r="J45" s="308" t="s">
        <v>1782</v>
      </c>
      <c r="K45" s="308" t="s">
        <v>1892</v>
      </c>
      <c r="L45" s="325" t="s">
        <v>1744</v>
      </c>
      <c r="M45" s="325" t="s">
        <v>1745</v>
      </c>
    </row>
    <row r="46" spans="1:13" ht="28" customHeight="1" x14ac:dyDescent="0.35">
      <c r="A46" s="307" t="s">
        <v>1926</v>
      </c>
      <c r="B46" s="308" t="s">
        <v>1927</v>
      </c>
      <c r="C46" s="308" t="s">
        <v>1818</v>
      </c>
      <c r="D46" s="308" t="s">
        <v>1928</v>
      </c>
      <c r="E46" s="311">
        <v>6</v>
      </c>
      <c r="F46" s="308" t="s">
        <v>1739</v>
      </c>
      <c r="G46" s="308" t="s">
        <v>1890</v>
      </c>
      <c r="H46" s="308" t="s">
        <v>1891</v>
      </c>
      <c r="I46" s="308" t="s">
        <v>1881</v>
      </c>
      <c r="J46" s="308" t="s">
        <v>1782</v>
      </c>
      <c r="K46" s="308" t="s">
        <v>1892</v>
      </c>
      <c r="L46" s="325" t="s">
        <v>1744</v>
      </c>
      <c r="M46" s="325" t="s">
        <v>1745</v>
      </c>
    </row>
    <row r="47" spans="1:13" ht="28" customHeight="1" x14ac:dyDescent="0.35">
      <c r="A47" s="307" t="s">
        <v>1929</v>
      </c>
      <c r="B47" s="308" t="s">
        <v>1930</v>
      </c>
      <c r="C47" s="308" t="s">
        <v>1818</v>
      </c>
      <c r="D47" s="308" t="s">
        <v>1931</v>
      </c>
      <c r="E47" s="311">
        <v>2</v>
      </c>
      <c r="F47" s="308" t="s">
        <v>1739</v>
      </c>
      <c r="G47" s="308" t="s">
        <v>1890</v>
      </c>
      <c r="H47" s="308" t="s">
        <v>1891</v>
      </c>
      <c r="I47" s="308" t="s">
        <v>1881</v>
      </c>
      <c r="J47" s="308" t="s">
        <v>1782</v>
      </c>
      <c r="K47" s="308" t="s">
        <v>1892</v>
      </c>
      <c r="L47" s="325" t="s">
        <v>1744</v>
      </c>
      <c r="M47" s="325" t="s">
        <v>1745</v>
      </c>
    </row>
    <row r="48" spans="1:13" ht="28" customHeight="1" x14ac:dyDescent="0.35">
      <c r="A48" s="307" t="s">
        <v>1932</v>
      </c>
      <c r="B48" s="308" t="s">
        <v>1933</v>
      </c>
      <c r="C48" s="308" t="s">
        <v>1818</v>
      </c>
      <c r="D48" s="308" t="s">
        <v>1934</v>
      </c>
      <c r="E48" s="311">
        <v>2.1</v>
      </c>
      <c r="F48" s="308" t="s">
        <v>1739</v>
      </c>
      <c r="G48" s="308" t="s">
        <v>1890</v>
      </c>
      <c r="H48" s="308" t="s">
        <v>1891</v>
      </c>
      <c r="I48" s="308" t="s">
        <v>1881</v>
      </c>
      <c r="J48" s="308" t="s">
        <v>1782</v>
      </c>
      <c r="K48" s="308" t="s">
        <v>1892</v>
      </c>
      <c r="L48" s="325" t="s">
        <v>1744</v>
      </c>
      <c r="M48" s="325" t="s">
        <v>1745</v>
      </c>
    </row>
    <row r="49" spans="1:13" ht="28" customHeight="1" x14ac:dyDescent="0.35">
      <c r="A49" s="307" t="s">
        <v>1935</v>
      </c>
      <c r="B49" s="308" t="s">
        <v>1936</v>
      </c>
      <c r="C49" s="308" t="s">
        <v>1818</v>
      </c>
      <c r="D49" s="308" t="s">
        <v>1937</v>
      </c>
      <c r="E49" s="311">
        <v>12</v>
      </c>
      <c r="F49" s="308" t="s">
        <v>1739</v>
      </c>
      <c r="G49" s="308" t="s">
        <v>1890</v>
      </c>
      <c r="H49" s="308" t="s">
        <v>1891</v>
      </c>
      <c r="I49" s="308" t="s">
        <v>1881</v>
      </c>
      <c r="J49" s="308" t="s">
        <v>1782</v>
      </c>
      <c r="K49" s="308" t="s">
        <v>1892</v>
      </c>
      <c r="L49" s="325" t="s">
        <v>1744</v>
      </c>
      <c r="M49" s="325" t="s">
        <v>1745</v>
      </c>
    </row>
    <row r="50" spans="1:13" ht="28" customHeight="1" x14ac:dyDescent="0.35">
      <c r="A50" s="307" t="s">
        <v>1938</v>
      </c>
      <c r="B50" s="308" t="s">
        <v>1939</v>
      </c>
      <c r="C50" s="308" t="s">
        <v>1818</v>
      </c>
      <c r="D50" s="308" t="s">
        <v>1940</v>
      </c>
      <c r="E50" s="311">
        <v>15.07</v>
      </c>
      <c r="F50" s="308" t="s">
        <v>1739</v>
      </c>
      <c r="G50" s="308" t="s">
        <v>1890</v>
      </c>
      <c r="H50" s="308" t="s">
        <v>1891</v>
      </c>
      <c r="I50" s="308" t="s">
        <v>1881</v>
      </c>
      <c r="J50" s="308" t="s">
        <v>1782</v>
      </c>
      <c r="K50" s="308" t="s">
        <v>1892</v>
      </c>
      <c r="L50" s="325" t="s">
        <v>1744</v>
      </c>
      <c r="M50" s="325" t="s">
        <v>1745</v>
      </c>
    </row>
    <row r="51" spans="1:13" ht="28" customHeight="1" x14ac:dyDescent="0.35">
      <c r="A51" s="307" t="s">
        <v>1941</v>
      </c>
      <c r="B51" s="308" t="s">
        <v>1942</v>
      </c>
      <c r="C51" s="308" t="s">
        <v>1818</v>
      </c>
      <c r="D51" s="308" t="s">
        <v>1943</v>
      </c>
      <c r="E51" s="311">
        <v>18</v>
      </c>
      <c r="F51" s="308" t="s">
        <v>1739</v>
      </c>
      <c r="G51" s="308" t="s">
        <v>1890</v>
      </c>
      <c r="H51" s="308" t="s">
        <v>1891</v>
      </c>
      <c r="I51" s="308" t="s">
        <v>1881</v>
      </c>
      <c r="J51" s="308" t="s">
        <v>1782</v>
      </c>
      <c r="K51" s="308" t="s">
        <v>1892</v>
      </c>
      <c r="L51" s="325" t="s">
        <v>1744</v>
      </c>
      <c r="M51" s="325" t="s">
        <v>1745</v>
      </c>
    </row>
    <row r="52" spans="1:13" ht="28" customHeight="1" x14ac:dyDescent="0.35">
      <c r="A52" s="307" t="s">
        <v>1944</v>
      </c>
      <c r="B52" s="308" t="s">
        <v>1945</v>
      </c>
      <c r="C52" s="308" t="s">
        <v>1818</v>
      </c>
      <c r="D52" s="308" t="s">
        <v>1946</v>
      </c>
      <c r="E52" s="311">
        <v>342.42300648148102</v>
      </c>
      <c r="F52" s="308" t="s">
        <v>1739</v>
      </c>
      <c r="G52" s="308" t="s">
        <v>2720</v>
      </c>
      <c r="H52" s="308" t="s">
        <v>1947</v>
      </c>
      <c r="I52" s="308" t="s">
        <v>1948</v>
      </c>
      <c r="J52" s="308" t="s">
        <v>331</v>
      </c>
      <c r="K52" s="308" t="s">
        <v>1949</v>
      </c>
      <c r="L52" s="325" t="s">
        <v>1744</v>
      </c>
      <c r="M52" s="325" t="s">
        <v>1745</v>
      </c>
    </row>
    <row r="53" spans="1:13" ht="28" customHeight="1" x14ac:dyDescent="0.35">
      <c r="A53" s="307" t="s">
        <v>1950</v>
      </c>
      <c r="B53" s="308" t="s">
        <v>1951</v>
      </c>
      <c r="C53" s="308" t="s">
        <v>1818</v>
      </c>
      <c r="D53" s="308" t="s">
        <v>1952</v>
      </c>
      <c r="E53" s="311">
        <v>91.57</v>
      </c>
      <c r="F53" s="308" t="s">
        <v>1739</v>
      </c>
      <c r="G53" s="308" t="s">
        <v>1953</v>
      </c>
      <c r="H53" s="308" t="s">
        <v>1741</v>
      </c>
      <c r="I53" s="308" t="s">
        <v>1742</v>
      </c>
      <c r="J53" s="308" t="s">
        <v>1782</v>
      </c>
      <c r="K53" s="308" t="s">
        <v>1954</v>
      </c>
      <c r="L53" s="325" t="s">
        <v>1744</v>
      </c>
      <c r="M53" s="325" t="s">
        <v>1745</v>
      </c>
    </row>
    <row r="54" spans="1:13" ht="28" customHeight="1" x14ac:dyDescent="0.35">
      <c r="A54" s="307" t="s">
        <v>1955</v>
      </c>
      <c r="B54" s="308" t="s">
        <v>1956</v>
      </c>
      <c r="C54" s="308" t="s">
        <v>1818</v>
      </c>
      <c r="D54" s="308" t="s">
        <v>1957</v>
      </c>
      <c r="E54" s="311">
        <v>22.113628680000001</v>
      </c>
      <c r="F54" s="308" t="s">
        <v>1739</v>
      </c>
      <c r="G54" s="308" t="s">
        <v>9572</v>
      </c>
      <c r="H54" s="308" t="s">
        <v>1741</v>
      </c>
      <c r="I54" s="308" t="s">
        <v>1742</v>
      </c>
      <c r="J54" s="308" t="s">
        <v>331</v>
      </c>
      <c r="K54" s="308" t="s">
        <v>9574</v>
      </c>
      <c r="L54" s="325" t="s">
        <v>1744</v>
      </c>
      <c r="M54" s="325" t="s">
        <v>1745</v>
      </c>
    </row>
    <row r="55" spans="1:13" ht="28" customHeight="1" x14ac:dyDescent="0.35">
      <c r="A55" s="307" t="s">
        <v>1958</v>
      </c>
      <c r="B55" s="308" t="s">
        <v>1959</v>
      </c>
      <c r="C55" s="308" t="s">
        <v>1818</v>
      </c>
      <c r="D55" s="308" t="s">
        <v>1960</v>
      </c>
      <c r="E55" s="311">
        <v>-8</v>
      </c>
      <c r="F55" s="308" t="s">
        <v>1739</v>
      </c>
      <c r="G55" s="308" t="s">
        <v>9572</v>
      </c>
      <c r="H55" s="308" t="s">
        <v>1741</v>
      </c>
      <c r="I55" s="308" t="s">
        <v>1742</v>
      </c>
      <c r="J55" s="308" t="s">
        <v>331</v>
      </c>
      <c r="K55" s="308" t="s">
        <v>9575</v>
      </c>
      <c r="L55" s="325" t="s">
        <v>1744</v>
      </c>
      <c r="M55" s="325" t="s">
        <v>1745</v>
      </c>
    </row>
    <row r="56" spans="1:13" ht="28" customHeight="1" x14ac:dyDescent="0.35">
      <c r="A56" s="307" t="s">
        <v>1961</v>
      </c>
      <c r="B56" s="308" t="s">
        <v>1962</v>
      </c>
      <c r="C56" s="308" t="s">
        <v>1818</v>
      </c>
      <c r="D56" s="308" t="s">
        <v>1963</v>
      </c>
      <c r="E56" s="311">
        <v>-5</v>
      </c>
      <c r="F56" s="308" t="s">
        <v>1739</v>
      </c>
      <c r="G56" s="308" t="s">
        <v>9573</v>
      </c>
      <c r="H56" s="308" t="s">
        <v>1741</v>
      </c>
      <c r="I56" s="308" t="s">
        <v>1742</v>
      </c>
      <c r="J56" s="308" t="s">
        <v>331</v>
      </c>
      <c r="K56" s="308" t="s">
        <v>9576</v>
      </c>
      <c r="L56" s="325" t="s">
        <v>1744</v>
      </c>
      <c r="M56" s="325" t="s">
        <v>1745</v>
      </c>
    </row>
    <row r="57" spans="1:13" ht="28" customHeight="1" x14ac:dyDescent="0.35">
      <c r="A57" s="307" t="s">
        <v>1964</v>
      </c>
      <c r="B57" s="308" t="s">
        <v>1965</v>
      </c>
      <c r="C57" s="308" t="s">
        <v>1818</v>
      </c>
      <c r="D57" s="308" t="s">
        <v>1966</v>
      </c>
      <c r="E57" s="311">
        <v>439.18030927207798</v>
      </c>
      <c r="F57" s="308" t="s">
        <v>1739</v>
      </c>
      <c r="G57" s="308" t="s">
        <v>1967</v>
      </c>
      <c r="H57" s="308" t="s">
        <v>1891</v>
      </c>
      <c r="I57" s="308" t="s">
        <v>1881</v>
      </c>
      <c r="J57" s="308" t="s">
        <v>1782</v>
      </c>
      <c r="K57" s="308" t="s">
        <v>1968</v>
      </c>
      <c r="L57" s="325" t="s">
        <v>1744</v>
      </c>
      <c r="M57" s="325" t="s">
        <v>1745</v>
      </c>
    </row>
    <row r="58" spans="1:13" ht="28" customHeight="1" x14ac:dyDescent="0.35">
      <c r="A58" s="307" t="s">
        <v>1969</v>
      </c>
      <c r="B58" s="308" t="s">
        <v>1970</v>
      </c>
      <c r="C58" s="308" t="s">
        <v>1736</v>
      </c>
      <c r="D58" s="308" t="s">
        <v>1971</v>
      </c>
      <c r="E58" s="311">
        <v>462.75</v>
      </c>
      <c r="F58" s="308" t="s">
        <v>1879</v>
      </c>
      <c r="G58" s="308" t="s">
        <v>1879</v>
      </c>
      <c r="H58" s="308" t="s">
        <v>1880</v>
      </c>
      <c r="I58" s="308" t="s">
        <v>1972</v>
      </c>
      <c r="J58" s="308" t="s">
        <v>1782</v>
      </c>
      <c r="K58" s="308" t="s">
        <v>1973</v>
      </c>
      <c r="L58" s="325" t="s">
        <v>1744</v>
      </c>
      <c r="M58" s="325" t="s">
        <v>1974</v>
      </c>
    </row>
    <row r="59" spans="1:13" ht="28" customHeight="1" x14ac:dyDescent="0.35">
      <c r="A59" s="307" t="s">
        <v>1975</v>
      </c>
      <c r="B59" s="308" t="s">
        <v>1976</v>
      </c>
      <c r="C59" s="308" t="s">
        <v>1748</v>
      </c>
      <c r="D59" s="308" t="s">
        <v>1967</v>
      </c>
      <c r="E59" s="311">
        <v>17.934665307141099</v>
      </c>
      <c r="F59" s="308" t="s">
        <v>1739</v>
      </c>
      <c r="G59" s="308" t="s">
        <v>1967</v>
      </c>
      <c r="H59" s="308" t="s">
        <v>1794</v>
      </c>
      <c r="I59" s="308" t="s">
        <v>1881</v>
      </c>
      <c r="J59" s="308" t="s">
        <v>331</v>
      </c>
      <c r="K59" s="308" t="s">
        <v>1977</v>
      </c>
      <c r="L59" s="325" t="s">
        <v>1754</v>
      </c>
      <c r="M59" s="325" t="s">
        <v>1745</v>
      </c>
    </row>
    <row r="60" spans="1:13" ht="28" customHeight="1" x14ac:dyDescent="0.35">
      <c r="A60" s="307" t="s">
        <v>1978</v>
      </c>
      <c r="B60" s="308" t="s">
        <v>1979</v>
      </c>
      <c r="C60" s="308" t="s">
        <v>1748</v>
      </c>
      <c r="D60" s="308" t="s">
        <v>1953</v>
      </c>
      <c r="E60" s="311">
        <v>3000000</v>
      </c>
      <c r="F60" s="308" t="s">
        <v>1739</v>
      </c>
      <c r="G60" s="308" t="s">
        <v>1953</v>
      </c>
      <c r="H60" s="308" t="s">
        <v>1751</v>
      </c>
      <c r="I60" s="308" t="s">
        <v>1881</v>
      </c>
      <c r="J60" s="308" t="s">
        <v>1782</v>
      </c>
      <c r="K60" s="308" t="s">
        <v>1980</v>
      </c>
      <c r="L60" s="325" t="s">
        <v>1754</v>
      </c>
      <c r="M60" s="325" t="s">
        <v>1745</v>
      </c>
    </row>
    <row r="61" spans="1:13" ht="28" customHeight="1" x14ac:dyDescent="0.35">
      <c r="A61" s="307" t="s">
        <v>1981</v>
      </c>
      <c r="B61" s="308" t="s">
        <v>1982</v>
      </c>
      <c r="C61" s="308" t="s">
        <v>1736</v>
      </c>
      <c r="D61" s="308" t="s">
        <v>1983</v>
      </c>
      <c r="E61" s="311">
        <f>'URWLD COMPANY INPUTS'!$F$63</f>
        <v>0.03</v>
      </c>
      <c r="F61" s="308" t="s">
        <v>1879</v>
      </c>
      <c r="G61" s="308" t="s">
        <v>1879</v>
      </c>
      <c r="H61" s="308" t="s">
        <v>1880</v>
      </c>
      <c r="I61" s="308" t="s">
        <v>1881</v>
      </c>
      <c r="J61" s="308" t="s">
        <v>331</v>
      </c>
      <c r="K61" s="308" t="s">
        <v>1984</v>
      </c>
      <c r="L61" s="325" t="s">
        <v>1744</v>
      </c>
      <c r="M61" s="325" t="s">
        <v>1985</v>
      </c>
    </row>
    <row r="62" spans="1:13" ht="28" customHeight="1" x14ac:dyDescent="0.35">
      <c r="A62" s="307" t="s">
        <v>1986</v>
      </c>
      <c r="B62" s="308" t="s">
        <v>1987</v>
      </c>
      <c r="C62" s="308" t="s">
        <v>307</v>
      </c>
      <c r="D62" s="308" t="s">
        <v>1988</v>
      </c>
      <c r="E62" s="922" t="str">
        <f>TEXT('URWLD COMPANY INPUTS'!$F$80,"0.0%")&amp;" / "&amp;TEXT('URWLD COMPANY INPUTS'!$F$79,"0.0%")&amp;" / "&amp;TEXT('URWLD COMPANY INPUTS'!$F$81,"0.0%")</f>
        <v>2.5% / 3.0% / 2.0%</v>
      </c>
      <c r="F62" s="308" t="s">
        <v>1879</v>
      </c>
      <c r="G62" s="308" t="s">
        <v>1879</v>
      </c>
      <c r="H62" s="308" t="s">
        <v>1880</v>
      </c>
      <c r="I62" s="308" t="s">
        <v>1881</v>
      </c>
      <c r="J62" s="308" t="s">
        <v>331</v>
      </c>
      <c r="K62" s="308" t="s">
        <v>1989</v>
      </c>
      <c r="L62" s="325" t="s">
        <v>1744</v>
      </c>
      <c r="M62" s="325" t="s">
        <v>1985</v>
      </c>
    </row>
    <row r="63" spans="1:13" ht="28" customHeight="1" x14ac:dyDescent="0.35">
      <c r="A63" s="307" t="s">
        <v>1990</v>
      </c>
      <c r="B63" s="308" t="s">
        <v>1991</v>
      </c>
      <c r="C63" s="308" t="s">
        <v>1736</v>
      </c>
      <c r="D63" s="308" t="s">
        <v>1992</v>
      </c>
      <c r="E63" s="922" t="str">
        <f>TEXT('URWLD COMPANY INPUTS'!$F$76,"0%")&amp;" / "&amp;TEXT('URWLD COMPANY INPUTS'!$F$77,"0%")&amp;" / "&amp;TEXT('URWLD COMPANY INPUTS'!$F$78,"0%")</f>
        <v>95% / 85% / 98%</v>
      </c>
      <c r="F63" s="308" t="s">
        <v>1879</v>
      </c>
      <c r="G63" s="308" t="s">
        <v>1879</v>
      </c>
      <c r="H63" s="308" t="s">
        <v>1880</v>
      </c>
      <c r="I63" s="308" t="s">
        <v>1881</v>
      </c>
      <c r="J63" s="308" t="s">
        <v>331</v>
      </c>
      <c r="K63" s="308" t="s">
        <v>1989</v>
      </c>
      <c r="L63" s="325" t="s">
        <v>1744</v>
      </c>
      <c r="M63" s="325" t="s">
        <v>1985</v>
      </c>
    </row>
    <row r="64" spans="1:13" ht="28" customHeight="1" x14ac:dyDescent="0.35">
      <c r="A64" s="307" t="s">
        <v>1993</v>
      </c>
      <c r="B64" s="308" t="s">
        <v>1994</v>
      </c>
      <c r="C64" s="308" t="s">
        <v>1736</v>
      </c>
      <c r="D64" s="308" t="s">
        <v>1995</v>
      </c>
      <c r="E64" s="311">
        <f>'URWLD COMPANY INPUTS'!$F$790</f>
        <v>0.3</v>
      </c>
      <c r="F64" s="308" t="s">
        <v>1996</v>
      </c>
      <c r="G64" s="308" t="s">
        <v>1997</v>
      </c>
      <c r="H64" s="308" t="s">
        <v>9577</v>
      </c>
      <c r="I64" s="308" t="s">
        <v>9578</v>
      </c>
      <c r="J64" s="308" t="s">
        <v>331</v>
      </c>
      <c r="K64" s="308" t="s">
        <v>1998</v>
      </c>
      <c r="L64" s="325" t="s">
        <v>1744</v>
      </c>
      <c r="M64" s="325" t="s">
        <v>1985</v>
      </c>
    </row>
    <row r="65" spans="1:13" ht="28" customHeight="1" x14ac:dyDescent="0.35">
      <c r="A65" s="307" t="s">
        <v>1999</v>
      </c>
      <c r="B65" s="308" t="s">
        <v>2000</v>
      </c>
      <c r="C65" s="308" t="s">
        <v>1818</v>
      </c>
      <c r="D65" s="308" t="s">
        <v>2001</v>
      </c>
      <c r="E65" s="311">
        <v>48.830200368285801</v>
      </c>
      <c r="F65" s="308" t="s">
        <v>1739</v>
      </c>
      <c r="G65" s="308" t="s">
        <v>2002</v>
      </c>
      <c r="H65" s="308" t="s">
        <v>2003</v>
      </c>
      <c r="I65" s="308" t="s">
        <v>1881</v>
      </c>
      <c r="J65" s="308" t="s">
        <v>1782</v>
      </c>
      <c r="K65" s="308" t="s">
        <v>2004</v>
      </c>
      <c r="L65" s="325" t="s">
        <v>1744</v>
      </c>
      <c r="M65" s="325" t="s">
        <v>1985</v>
      </c>
    </row>
    <row r="66" spans="1:13" ht="28" customHeight="1" x14ac:dyDescent="0.35">
      <c r="A66" s="307" t="s">
        <v>2005</v>
      </c>
      <c r="B66" s="308" t="s">
        <v>2006</v>
      </c>
      <c r="C66" s="308" t="s">
        <v>1748</v>
      </c>
      <c r="D66" s="308" t="s">
        <v>2007</v>
      </c>
      <c r="E66" s="311">
        <v>17.326543745620199</v>
      </c>
      <c r="F66" s="308" t="s">
        <v>1739</v>
      </c>
      <c r="G66" s="308" t="s">
        <v>2007</v>
      </c>
      <c r="H66" s="308" t="s">
        <v>1794</v>
      </c>
      <c r="I66" s="308" t="s">
        <v>1881</v>
      </c>
      <c r="J66" s="308" t="s">
        <v>331</v>
      </c>
      <c r="K66" s="308" t="s">
        <v>1989</v>
      </c>
      <c r="L66" s="325" t="s">
        <v>1754</v>
      </c>
      <c r="M66" s="325" t="s">
        <v>1985</v>
      </c>
    </row>
    <row r="67" spans="1:13" ht="28" customHeight="1" x14ac:dyDescent="0.35">
      <c r="A67" s="307" t="s">
        <v>2008</v>
      </c>
      <c r="B67" s="308" t="s">
        <v>2009</v>
      </c>
      <c r="C67" s="308" t="s">
        <v>1748</v>
      </c>
      <c r="D67" s="308" t="s">
        <v>2010</v>
      </c>
      <c r="E67" s="311">
        <v>16.37</v>
      </c>
      <c r="F67" s="308" t="s">
        <v>1739</v>
      </c>
      <c r="G67" s="308" t="s">
        <v>2010</v>
      </c>
      <c r="H67" s="308" t="s">
        <v>1794</v>
      </c>
      <c r="I67" s="308" t="s">
        <v>1881</v>
      </c>
      <c r="J67" s="308" t="s">
        <v>331</v>
      </c>
      <c r="K67" s="308" t="s">
        <v>1989</v>
      </c>
      <c r="L67" s="325" t="s">
        <v>1754</v>
      </c>
      <c r="M67" s="325" t="s">
        <v>1985</v>
      </c>
    </row>
    <row r="68" spans="1:13" ht="28" customHeight="1" x14ac:dyDescent="0.35">
      <c r="A68" s="307" t="s">
        <v>2011</v>
      </c>
      <c r="B68" s="308" t="s">
        <v>2012</v>
      </c>
      <c r="C68" s="308" t="s">
        <v>1736</v>
      </c>
      <c r="D68" s="308" t="s">
        <v>2013</v>
      </c>
      <c r="E68" s="311">
        <f>'URWLD COMPANY INPUTS'!$F$113</f>
        <v>3.5000000000000003E-2</v>
      </c>
      <c r="F68" s="308" t="s">
        <v>1739</v>
      </c>
      <c r="G68" s="308" t="s">
        <v>2014</v>
      </c>
      <c r="H68" s="308" t="s">
        <v>1741</v>
      </c>
      <c r="I68" s="308" t="s">
        <v>1742</v>
      </c>
      <c r="J68" s="308" t="s">
        <v>331</v>
      </c>
      <c r="K68" s="308" t="s">
        <v>2015</v>
      </c>
      <c r="L68" s="325" t="s">
        <v>1744</v>
      </c>
      <c r="M68" s="325" t="s">
        <v>1745</v>
      </c>
    </row>
    <row r="69" spans="1:13" ht="28" customHeight="1" x14ac:dyDescent="0.35">
      <c r="A69" s="307" t="s">
        <v>2016</v>
      </c>
      <c r="B69" s="308" t="s">
        <v>2017</v>
      </c>
      <c r="C69" s="308" t="s">
        <v>1748</v>
      </c>
      <c r="D69" s="308" t="s">
        <v>2018</v>
      </c>
      <c r="E69" s="311">
        <f>'INPUT REGISTER'!$F$672</f>
        <v>400</v>
      </c>
      <c r="F69" s="308" t="s">
        <v>1739</v>
      </c>
      <c r="G69" s="308" t="s">
        <v>2018</v>
      </c>
      <c r="H69" s="308" t="s">
        <v>1741</v>
      </c>
      <c r="I69" s="308" t="s">
        <v>1742</v>
      </c>
      <c r="J69" s="308" t="s">
        <v>331</v>
      </c>
      <c r="K69" s="308" t="s">
        <v>9508</v>
      </c>
      <c r="L69" s="325" t="s">
        <v>1754</v>
      </c>
      <c r="M69" s="325" t="s">
        <v>1745</v>
      </c>
    </row>
    <row r="70" spans="1:13" ht="28" customHeight="1" x14ac:dyDescent="0.35">
      <c r="A70" s="307" t="s">
        <v>2019</v>
      </c>
      <c r="B70" s="308" t="s">
        <v>2020</v>
      </c>
      <c r="C70" s="308" t="s">
        <v>1748</v>
      </c>
      <c r="D70" s="308" t="s">
        <v>2021</v>
      </c>
      <c r="E70" s="311">
        <f>'INPUT REGISTER'!$F$673</f>
        <v>0</v>
      </c>
      <c r="F70" s="308" t="s">
        <v>1739</v>
      </c>
      <c r="G70" s="308" t="s">
        <v>2021</v>
      </c>
      <c r="H70" s="308" t="s">
        <v>1741</v>
      </c>
      <c r="I70" s="308" t="s">
        <v>1742</v>
      </c>
      <c r="J70" s="308" t="s">
        <v>331</v>
      </c>
      <c r="K70" s="308" t="s">
        <v>9509</v>
      </c>
      <c r="L70" s="325" t="s">
        <v>1754</v>
      </c>
      <c r="M70" s="325" t="s">
        <v>1745</v>
      </c>
    </row>
    <row r="71" spans="1:13" ht="28" customHeight="1" x14ac:dyDescent="0.35">
      <c r="A71" s="307" t="s">
        <v>2022</v>
      </c>
      <c r="B71" s="308" t="s">
        <v>2023</v>
      </c>
      <c r="C71" s="308" t="s">
        <v>1748</v>
      </c>
      <c r="D71" s="308" t="s">
        <v>2024</v>
      </c>
      <c r="E71" s="311">
        <f>'INPUT REGISTER'!$F$674</f>
        <v>400</v>
      </c>
      <c r="F71" s="308" t="s">
        <v>1739</v>
      </c>
      <c r="G71" s="308" t="s">
        <v>2024</v>
      </c>
      <c r="H71" s="308" t="s">
        <v>1741</v>
      </c>
      <c r="I71" s="308" t="s">
        <v>1742</v>
      </c>
      <c r="J71" s="308" t="s">
        <v>331</v>
      </c>
      <c r="K71" s="308" t="s">
        <v>9510</v>
      </c>
      <c r="L71" s="325" t="s">
        <v>1754</v>
      </c>
      <c r="M71" s="325" t="s">
        <v>1745</v>
      </c>
    </row>
    <row r="72" spans="1:13" ht="28" customHeight="1" x14ac:dyDescent="0.35">
      <c r="A72" s="307" t="s">
        <v>2025</v>
      </c>
      <c r="B72" s="308" t="s">
        <v>2026</v>
      </c>
      <c r="C72" s="308" t="s">
        <v>1748</v>
      </c>
      <c r="D72" s="308" t="s">
        <v>2027</v>
      </c>
      <c r="E72" s="311">
        <f>'INPUT REGISTER'!$F$675</f>
        <v>600</v>
      </c>
      <c r="F72" s="308" t="s">
        <v>1739</v>
      </c>
      <c r="G72" s="308" t="s">
        <v>2027</v>
      </c>
      <c r="H72" s="308" t="s">
        <v>1741</v>
      </c>
      <c r="I72" s="308" t="s">
        <v>1742</v>
      </c>
      <c r="J72" s="308" t="s">
        <v>331</v>
      </c>
      <c r="K72" s="308" t="s">
        <v>9511</v>
      </c>
      <c r="L72" s="325" t="s">
        <v>1754</v>
      </c>
      <c r="M72" s="325" t="s">
        <v>1745</v>
      </c>
    </row>
    <row r="73" spans="1:13" ht="28" customHeight="1" x14ac:dyDescent="0.35">
      <c r="A73" s="307" t="s">
        <v>2028</v>
      </c>
      <c r="B73" s="308" t="s">
        <v>2029</v>
      </c>
      <c r="C73" s="308" t="s">
        <v>1748</v>
      </c>
      <c r="D73" s="308" t="s">
        <v>2030</v>
      </c>
      <c r="E73" s="311">
        <f>'INPUT REGISTER'!$F$676</f>
        <v>500</v>
      </c>
      <c r="F73" s="308" t="s">
        <v>1739</v>
      </c>
      <c r="G73" s="308" t="s">
        <v>2030</v>
      </c>
      <c r="H73" s="308" t="s">
        <v>1741</v>
      </c>
      <c r="I73" s="308" t="s">
        <v>1742</v>
      </c>
      <c r="J73" s="308" t="s">
        <v>331</v>
      </c>
      <c r="K73" s="308" t="s">
        <v>9512</v>
      </c>
      <c r="L73" s="325" t="s">
        <v>1754</v>
      </c>
      <c r="M73" s="325" t="s">
        <v>1745</v>
      </c>
    </row>
    <row r="74" spans="1:13" ht="28" customHeight="1" x14ac:dyDescent="0.35">
      <c r="A74" s="307" t="s">
        <v>2031</v>
      </c>
      <c r="B74" s="308" t="s">
        <v>2032</v>
      </c>
      <c r="C74" s="308" t="s">
        <v>1748</v>
      </c>
      <c r="D74" s="308" t="s">
        <v>2033</v>
      </c>
      <c r="E74" s="311">
        <f>'INPUT REGISTER'!$F$677</f>
        <v>0</v>
      </c>
      <c r="F74" s="308" t="s">
        <v>1739</v>
      </c>
      <c r="G74" s="308" t="s">
        <v>2033</v>
      </c>
      <c r="H74" s="308" t="s">
        <v>1741</v>
      </c>
      <c r="I74" s="308" t="s">
        <v>1742</v>
      </c>
      <c r="J74" s="308" t="s">
        <v>331</v>
      </c>
      <c r="K74" s="308" t="s">
        <v>9513</v>
      </c>
      <c r="L74" s="325" t="s">
        <v>1754</v>
      </c>
      <c r="M74" s="325" t="s">
        <v>1745</v>
      </c>
    </row>
    <row r="75" spans="1:13" ht="28" customHeight="1" x14ac:dyDescent="0.35">
      <c r="A75" s="307" t="s">
        <v>2034</v>
      </c>
      <c r="B75" s="308" t="s">
        <v>2035</v>
      </c>
      <c r="C75" s="308" t="s">
        <v>1748</v>
      </c>
      <c r="D75" s="308" t="s">
        <v>2036</v>
      </c>
      <c r="E75" s="311">
        <f>'INPUT REGISTER'!$F$678</f>
        <v>500</v>
      </c>
      <c r="F75" s="308" t="s">
        <v>1739</v>
      </c>
      <c r="G75" s="308" t="s">
        <v>2036</v>
      </c>
      <c r="H75" s="308" t="s">
        <v>1741</v>
      </c>
      <c r="I75" s="308" t="s">
        <v>1742</v>
      </c>
      <c r="J75" s="308" t="s">
        <v>331</v>
      </c>
      <c r="K75" s="308" t="s">
        <v>9514</v>
      </c>
      <c r="L75" s="325" t="s">
        <v>1754</v>
      </c>
      <c r="M75" s="325" t="s">
        <v>1745</v>
      </c>
    </row>
    <row r="76" spans="1:13" ht="28" customHeight="1" x14ac:dyDescent="0.35">
      <c r="A76" s="307" t="s">
        <v>2037</v>
      </c>
      <c r="B76" s="308" t="s">
        <v>2038</v>
      </c>
      <c r="C76" s="308" t="s">
        <v>1748</v>
      </c>
      <c r="D76" s="308" t="s">
        <v>2039</v>
      </c>
      <c r="E76" s="311">
        <f>'INPUT REGISTER'!$F$679</f>
        <v>500</v>
      </c>
      <c r="F76" s="308" t="s">
        <v>1739</v>
      </c>
      <c r="G76" s="308" t="s">
        <v>2039</v>
      </c>
      <c r="H76" s="308" t="s">
        <v>1741</v>
      </c>
      <c r="I76" s="308" t="s">
        <v>1742</v>
      </c>
      <c r="J76" s="308" t="s">
        <v>331</v>
      </c>
      <c r="K76" s="308" t="s">
        <v>9515</v>
      </c>
      <c r="L76" s="325" t="s">
        <v>1754</v>
      </c>
      <c r="M76" s="325" t="s">
        <v>1745</v>
      </c>
    </row>
    <row r="77" spans="1:13" ht="28" customHeight="1" x14ac:dyDescent="0.35">
      <c r="A77" s="307" t="s">
        <v>2040</v>
      </c>
      <c r="B77" s="308" t="s">
        <v>2041</v>
      </c>
      <c r="C77" s="308" t="s">
        <v>1748</v>
      </c>
      <c r="D77" s="308" t="s">
        <v>2042</v>
      </c>
      <c r="E77" s="311">
        <f>'INPUT REGISTER'!$F$680</f>
        <v>600</v>
      </c>
      <c r="F77" s="308" t="s">
        <v>1739</v>
      </c>
      <c r="G77" s="308" t="s">
        <v>2042</v>
      </c>
      <c r="H77" s="308" t="s">
        <v>1741</v>
      </c>
      <c r="I77" s="308" t="s">
        <v>1742</v>
      </c>
      <c r="J77" s="308" t="s">
        <v>331</v>
      </c>
      <c r="K77" s="308" t="s">
        <v>9516</v>
      </c>
      <c r="L77" s="325" t="s">
        <v>1754</v>
      </c>
      <c r="M77" s="325" t="s">
        <v>1745</v>
      </c>
    </row>
    <row r="78" spans="1:13" ht="28" customHeight="1" x14ac:dyDescent="0.35">
      <c r="A78" s="307" t="s">
        <v>2043</v>
      </c>
      <c r="B78" s="308" t="s">
        <v>2044</v>
      </c>
      <c r="C78" s="308" t="s">
        <v>1748</v>
      </c>
      <c r="D78" s="308" t="s">
        <v>2045</v>
      </c>
      <c r="E78" s="311">
        <f>'INPUT REGISTER'!$F$681</f>
        <v>0</v>
      </c>
      <c r="F78" s="308" t="s">
        <v>1739</v>
      </c>
      <c r="G78" s="308" t="s">
        <v>2045</v>
      </c>
      <c r="H78" s="308" t="s">
        <v>1741</v>
      </c>
      <c r="I78" s="308" t="s">
        <v>1742</v>
      </c>
      <c r="J78" s="308" t="s">
        <v>331</v>
      </c>
      <c r="K78" s="308" t="s">
        <v>9517</v>
      </c>
      <c r="L78" s="325" t="s">
        <v>1754</v>
      </c>
      <c r="M78" s="325" t="s">
        <v>1745</v>
      </c>
    </row>
    <row r="79" spans="1:13" ht="28" customHeight="1" x14ac:dyDescent="0.35">
      <c r="A79" s="307" t="s">
        <v>2046</v>
      </c>
      <c r="B79" s="308" t="s">
        <v>2047</v>
      </c>
      <c r="C79" s="308" t="s">
        <v>1748</v>
      </c>
      <c r="D79" s="308" t="s">
        <v>2048</v>
      </c>
      <c r="E79" s="311">
        <f>'INPUT REGISTER'!$F$682</f>
        <v>0</v>
      </c>
      <c r="F79" s="308" t="s">
        <v>1739</v>
      </c>
      <c r="G79" s="308" t="s">
        <v>2048</v>
      </c>
      <c r="H79" s="308" t="s">
        <v>1741</v>
      </c>
      <c r="I79" s="308" t="s">
        <v>1742</v>
      </c>
      <c r="J79" s="308" t="s">
        <v>331</v>
      </c>
      <c r="K79" s="308" t="s">
        <v>9518</v>
      </c>
      <c r="L79" s="325" t="s">
        <v>1754</v>
      </c>
      <c r="M79" s="325" t="s">
        <v>1745</v>
      </c>
    </row>
    <row r="80" spans="1:13" ht="28" customHeight="1" x14ac:dyDescent="0.35">
      <c r="A80" s="307" t="s">
        <v>2049</v>
      </c>
      <c r="B80" s="308" t="s">
        <v>2050</v>
      </c>
      <c r="C80" s="308" t="s">
        <v>1748</v>
      </c>
      <c r="D80" s="308" t="s">
        <v>2051</v>
      </c>
      <c r="E80" s="311">
        <f>'INPUT REGISTER'!$F$683</f>
        <v>0</v>
      </c>
      <c r="F80" s="308" t="s">
        <v>1739</v>
      </c>
      <c r="G80" s="308" t="s">
        <v>2051</v>
      </c>
      <c r="H80" s="308" t="s">
        <v>1741</v>
      </c>
      <c r="I80" s="308" t="s">
        <v>1742</v>
      </c>
      <c r="J80" s="308" t="s">
        <v>331</v>
      </c>
      <c r="K80" s="308" t="s">
        <v>9519</v>
      </c>
      <c r="L80" s="325" t="s">
        <v>1754</v>
      </c>
      <c r="M80" s="325" t="s">
        <v>1745</v>
      </c>
    </row>
    <row r="81" spans="1:13" ht="28" customHeight="1" x14ac:dyDescent="0.35">
      <c r="A81" s="307" t="s">
        <v>2052</v>
      </c>
      <c r="B81" s="308" t="s">
        <v>2053</v>
      </c>
      <c r="C81" s="308" t="s">
        <v>1748</v>
      </c>
      <c r="D81" s="308" t="s">
        <v>2054</v>
      </c>
      <c r="E81" s="311">
        <v>0.5</v>
      </c>
      <c r="F81" s="308" t="s">
        <v>1739</v>
      </c>
      <c r="G81" s="308" t="s">
        <v>2054</v>
      </c>
      <c r="H81" s="308" t="s">
        <v>2055</v>
      </c>
      <c r="I81" s="308" t="s">
        <v>2056</v>
      </c>
      <c r="J81" s="308" t="s">
        <v>331</v>
      </c>
      <c r="K81" s="308" t="s">
        <v>2057</v>
      </c>
      <c r="L81" s="325" t="s">
        <v>1754</v>
      </c>
      <c r="M81" s="325" t="s">
        <v>2058</v>
      </c>
    </row>
    <row r="82" spans="1:13" ht="28" customHeight="1" x14ac:dyDescent="0.35">
      <c r="A82" s="307" t="s">
        <v>2059</v>
      </c>
      <c r="B82" s="308" t="s">
        <v>2060</v>
      </c>
      <c r="C82" s="308" t="s">
        <v>307</v>
      </c>
      <c r="D82" s="308" t="s">
        <v>2061</v>
      </c>
      <c r="E82" s="922" t="str">
        <f>TEXT('URWLD COMPANY INPUTS'!$F$766,"0.0%")&amp;" / "&amp;TEXT('URWLD COMPANY INPUTS'!$F$765,"0.00%")&amp;" / "&amp;TEXT('URWLD COMPANY INPUTS'!$F$767,"0.0%")</f>
        <v>6.5% / 7.25% / 6.0%</v>
      </c>
      <c r="F82" s="308" t="s">
        <v>2062</v>
      </c>
      <c r="G82" s="308" t="s">
        <v>2063</v>
      </c>
      <c r="H82" s="308" t="s">
        <v>1741</v>
      </c>
      <c r="I82" s="308" t="s">
        <v>1742</v>
      </c>
      <c r="J82" s="308" t="s">
        <v>1782</v>
      </c>
      <c r="K82" s="308" t="s">
        <v>2064</v>
      </c>
      <c r="L82" s="325" t="s">
        <v>1744</v>
      </c>
      <c r="M82" s="325" t="s">
        <v>2058</v>
      </c>
    </row>
    <row r="83" spans="1:13" ht="28" customHeight="1" x14ac:dyDescent="0.35">
      <c r="A83" s="307" t="s">
        <v>2065</v>
      </c>
      <c r="B83" s="308" t="s">
        <v>2066</v>
      </c>
      <c r="C83" s="308" t="s">
        <v>1748</v>
      </c>
      <c r="D83" s="308" t="s">
        <v>2067</v>
      </c>
      <c r="E83" s="311">
        <f>'URWLD COMPANY INPUTS'!$F$766</f>
        <v>6.5000000000000002E-2</v>
      </c>
      <c r="F83" s="308" t="s">
        <v>2062</v>
      </c>
      <c r="G83" s="308" t="s">
        <v>2068</v>
      </c>
      <c r="H83" s="308" t="s">
        <v>1741</v>
      </c>
      <c r="I83" s="308" t="s">
        <v>1742</v>
      </c>
      <c r="J83" s="308" t="s">
        <v>331</v>
      </c>
      <c r="K83" s="308" t="s">
        <v>2069</v>
      </c>
      <c r="L83" s="325" t="s">
        <v>1754</v>
      </c>
      <c r="M83" s="325" t="s">
        <v>2058</v>
      </c>
    </row>
    <row r="84" spans="1:13" ht="28" customHeight="1" x14ac:dyDescent="0.35">
      <c r="A84" s="307" t="s">
        <v>2070</v>
      </c>
      <c r="B84" s="308" t="s">
        <v>2071</v>
      </c>
      <c r="C84" s="308" t="s">
        <v>1748</v>
      </c>
      <c r="D84" s="308" t="s">
        <v>2072</v>
      </c>
      <c r="E84" s="311">
        <v>0.01</v>
      </c>
      <c r="F84" s="308" t="s">
        <v>2062</v>
      </c>
      <c r="G84" s="308" t="s">
        <v>2073</v>
      </c>
      <c r="H84" s="308" t="s">
        <v>2074</v>
      </c>
      <c r="I84" s="308" t="s">
        <v>1752</v>
      </c>
      <c r="J84" s="308" t="s">
        <v>331</v>
      </c>
      <c r="K84" s="308" t="s">
        <v>2075</v>
      </c>
      <c r="L84" s="325" t="s">
        <v>1754</v>
      </c>
      <c r="M84" s="325" t="s">
        <v>2058</v>
      </c>
    </row>
    <row r="85" spans="1:13" ht="28" customHeight="1" x14ac:dyDescent="0.35">
      <c r="A85" s="307" t="s">
        <v>2076</v>
      </c>
      <c r="B85" s="308" t="s">
        <v>2077</v>
      </c>
      <c r="C85" s="308" t="s">
        <v>2078</v>
      </c>
      <c r="D85" s="308" t="s">
        <v>2079</v>
      </c>
      <c r="E85" s="308" t="s">
        <v>2080</v>
      </c>
      <c r="F85" s="308" t="s">
        <v>1996</v>
      </c>
      <c r="G85" s="308" t="s">
        <v>2079</v>
      </c>
      <c r="H85" s="308" t="s">
        <v>1751</v>
      </c>
      <c r="I85" s="308" t="s">
        <v>2081</v>
      </c>
      <c r="J85" s="308" t="s">
        <v>331</v>
      </c>
      <c r="K85" s="308" t="s">
        <v>2082</v>
      </c>
      <c r="L85" s="325" t="s">
        <v>1754</v>
      </c>
      <c r="M85" s="325" t="s">
        <v>2058</v>
      </c>
    </row>
    <row r="86" spans="1:13" ht="28" customHeight="1" x14ac:dyDescent="0.35">
      <c r="A86" s="307" t="s">
        <v>2083</v>
      </c>
      <c r="B86" s="308" t="s">
        <v>2084</v>
      </c>
      <c r="C86" s="308" t="s">
        <v>2078</v>
      </c>
      <c r="D86" s="308" t="s">
        <v>2085</v>
      </c>
      <c r="E86" s="311">
        <v>0.65</v>
      </c>
      <c r="F86" s="308" t="s">
        <v>1996</v>
      </c>
      <c r="G86" s="308" t="s">
        <v>2085</v>
      </c>
      <c r="H86" s="308" t="s">
        <v>1751</v>
      </c>
      <c r="I86" s="308" t="s">
        <v>2081</v>
      </c>
      <c r="J86" s="308" t="s">
        <v>331</v>
      </c>
      <c r="K86" s="308" t="s">
        <v>2086</v>
      </c>
      <c r="L86" s="325" t="s">
        <v>1754</v>
      </c>
      <c r="M86" s="325" t="s">
        <v>2058</v>
      </c>
    </row>
    <row r="87" spans="1:13" ht="28" customHeight="1" x14ac:dyDescent="0.35">
      <c r="A87" s="307" t="s">
        <v>2087</v>
      </c>
      <c r="B87" s="308" t="s">
        <v>2088</v>
      </c>
      <c r="C87" s="308" t="s">
        <v>2078</v>
      </c>
      <c r="D87" s="308" t="s">
        <v>2089</v>
      </c>
      <c r="E87" s="311">
        <v>0</v>
      </c>
      <c r="F87" s="308" t="s">
        <v>1996</v>
      </c>
      <c r="G87" s="308" t="s">
        <v>2089</v>
      </c>
      <c r="H87" s="308" t="s">
        <v>1751</v>
      </c>
      <c r="I87" s="308" t="s">
        <v>2081</v>
      </c>
      <c r="J87" s="308" t="s">
        <v>331</v>
      </c>
      <c r="K87" s="308" t="s">
        <v>2090</v>
      </c>
      <c r="L87" s="325" t="s">
        <v>1754</v>
      </c>
      <c r="M87" s="325" t="s">
        <v>2058</v>
      </c>
    </row>
    <row r="88" spans="1:13" ht="28" customHeight="1" x14ac:dyDescent="0.35">
      <c r="A88" s="307" t="s">
        <v>2091</v>
      </c>
      <c r="B88" s="308" t="s">
        <v>2092</v>
      </c>
      <c r="C88" s="308" t="s">
        <v>2078</v>
      </c>
      <c r="D88" s="308" t="s">
        <v>2093</v>
      </c>
      <c r="E88" s="311">
        <v>0</v>
      </c>
      <c r="F88" s="308" t="s">
        <v>1996</v>
      </c>
      <c r="G88" s="308" t="s">
        <v>2093</v>
      </c>
      <c r="H88" s="308" t="s">
        <v>1751</v>
      </c>
      <c r="I88" s="308" t="s">
        <v>2081</v>
      </c>
      <c r="J88" s="308" t="s">
        <v>331</v>
      </c>
      <c r="K88" s="308" t="s">
        <v>2086</v>
      </c>
      <c r="L88" s="325" t="s">
        <v>1754</v>
      </c>
      <c r="M88" s="325" t="s">
        <v>2058</v>
      </c>
    </row>
    <row r="89" spans="1:13" ht="28" customHeight="1" x14ac:dyDescent="0.35">
      <c r="A89" s="307" t="s">
        <v>2094</v>
      </c>
      <c r="B89" s="308" t="s">
        <v>2095</v>
      </c>
      <c r="C89" s="308" t="s">
        <v>2078</v>
      </c>
      <c r="D89" s="308" t="s">
        <v>2096</v>
      </c>
      <c r="E89" s="311">
        <v>0</v>
      </c>
      <c r="F89" s="308" t="s">
        <v>1996</v>
      </c>
      <c r="G89" s="308" t="s">
        <v>2096</v>
      </c>
      <c r="H89" s="308" t="s">
        <v>1751</v>
      </c>
      <c r="I89" s="308" t="s">
        <v>2081</v>
      </c>
      <c r="J89" s="308" t="s">
        <v>331</v>
      </c>
      <c r="K89" s="308" t="s">
        <v>2086</v>
      </c>
      <c r="L89" s="325" t="s">
        <v>1754</v>
      </c>
      <c r="M89" s="325" t="s">
        <v>2058</v>
      </c>
    </row>
    <row r="90" spans="1:13" ht="28" customHeight="1" x14ac:dyDescent="0.35">
      <c r="A90" s="307" t="s">
        <v>2097</v>
      </c>
      <c r="B90" s="308" t="s">
        <v>2098</v>
      </c>
      <c r="C90" s="308" t="s">
        <v>2078</v>
      </c>
      <c r="D90" s="308" t="s">
        <v>2099</v>
      </c>
      <c r="E90" s="311">
        <v>365</v>
      </c>
      <c r="F90" s="308" t="s">
        <v>1996</v>
      </c>
      <c r="G90" s="308" t="s">
        <v>2099</v>
      </c>
      <c r="H90" s="308" t="s">
        <v>1751</v>
      </c>
      <c r="I90" s="308" t="s">
        <v>2081</v>
      </c>
      <c r="J90" s="308" t="s">
        <v>331</v>
      </c>
      <c r="K90" s="308" t="s">
        <v>2086</v>
      </c>
      <c r="L90" s="325" t="s">
        <v>1754</v>
      </c>
      <c r="M90" s="325" t="s">
        <v>2058</v>
      </c>
    </row>
    <row r="91" spans="1:13" ht="28" customHeight="1" x14ac:dyDescent="0.35">
      <c r="A91" s="307" t="s">
        <v>2100</v>
      </c>
      <c r="B91" s="308" t="s">
        <v>2101</v>
      </c>
      <c r="C91" s="308" t="s">
        <v>2078</v>
      </c>
      <c r="D91" s="308" t="s">
        <v>2102</v>
      </c>
      <c r="E91" s="308" t="s">
        <v>439</v>
      </c>
      <c r="F91" s="308" t="s">
        <v>1996</v>
      </c>
      <c r="G91" s="308" t="s">
        <v>2102</v>
      </c>
      <c r="H91" s="308" t="s">
        <v>1751</v>
      </c>
      <c r="I91" s="308" t="s">
        <v>2081</v>
      </c>
      <c r="J91" s="308" t="s">
        <v>331</v>
      </c>
      <c r="K91" s="308" t="s">
        <v>2086</v>
      </c>
      <c r="L91" s="325" t="s">
        <v>1754</v>
      </c>
      <c r="M91" s="325" t="s">
        <v>2058</v>
      </c>
    </row>
    <row r="92" spans="1:13" ht="28" customHeight="1" x14ac:dyDescent="0.35">
      <c r="A92" s="307" t="s">
        <v>2103</v>
      </c>
      <c r="B92" s="308" t="s">
        <v>2104</v>
      </c>
      <c r="C92" s="308" t="s">
        <v>2078</v>
      </c>
      <c r="D92" s="308" t="s">
        <v>2105</v>
      </c>
      <c r="E92" s="311">
        <v>0</v>
      </c>
      <c r="F92" s="308" t="s">
        <v>1996</v>
      </c>
      <c r="G92" s="308" t="s">
        <v>2105</v>
      </c>
      <c r="H92" s="308" t="s">
        <v>1751</v>
      </c>
      <c r="I92" s="308" t="s">
        <v>2081</v>
      </c>
      <c r="J92" s="308" t="s">
        <v>331</v>
      </c>
      <c r="K92" s="308" t="s">
        <v>2086</v>
      </c>
      <c r="L92" s="325" t="s">
        <v>1754</v>
      </c>
      <c r="M92" s="325" t="s">
        <v>2058</v>
      </c>
    </row>
    <row r="93" spans="1:13" ht="28" customHeight="1" x14ac:dyDescent="0.35">
      <c r="A93" s="307" t="s">
        <v>2106</v>
      </c>
      <c r="B93" s="308" t="s">
        <v>2107</v>
      </c>
      <c r="C93" s="308" t="s">
        <v>2078</v>
      </c>
      <c r="D93" s="308" t="s">
        <v>2108</v>
      </c>
      <c r="E93" s="311">
        <v>100000</v>
      </c>
      <c r="F93" s="308" t="s">
        <v>1996</v>
      </c>
      <c r="G93" s="308" t="s">
        <v>2108</v>
      </c>
      <c r="H93" s="308" t="s">
        <v>1751</v>
      </c>
      <c r="I93" s="308" t="s">
        <v>2081</v>
      </c>
      <c r="J93" s="308" t="s">
        <v>331</v>
      </c>
      <c r="K93" s="308" t="s">
        <v>2086</v>
      </c>
      <c r="L93" s="325" t="s">
        <v>1754</v>
      </c>
      <c r="M93" s="325" t="s">
        <v>2058</v>
      </c>
    </row>
    <row r="94" spans="1:13" ht="28" customHeight="1" x14ac:dyDescent="0.35">
      <c r="A94" s="307" t="s">
        <v>2109</v>
      </c>
      <c r="B94" s="308" t="s">
        <v>2110</v>
      </c>
      <c r="C94" s="308" t="s">
        <v>2078</v>
      </c>
      <c r="D94" s="308" t="s">
        <v>2111</v>
      </c>
      <c r="E94" s="311">
        <v>0</v>
      </c>
      <c r="F94" s="308" t="s">
        <v>1996</v>
      </c>
      <c r="G94" s="308" t="s">
        <v>2111</v>
      </c>
      <c r="H94" s="308" t="s">
        <v>1751</v>
      </c>
      <c r="I94" s="308" t="s">
        <v>2081</v>
      </c>
      <c r="J94" s="308" t="s">
        <v>331</v>
      </c>
      <c r="K94" s="308" t="s">
        <v>2086</v>
      </c>
      <c r="L94" s="325" t="s">
        <v>1754</v>
      </c>
      <c r="M94" s="325" t="s">
        <v>2058</v>
      </c>
    </row>
    <row r="95" spans="1:13" ht="28" customHeight="1" x14ac:dyDescent="0.35">
      <c r="A95" s="307" t="s">
        <v>2112</v>
      </c>
      <c r="B95" s="308" t="s">
        <v>2113</v>
      </c>
      <c r="C95" s="308" t="s">
        <v>2078</v>
      </c>
      <c r="D95" s="308" t="s">
        <v>2114</v>
      </c>
      <c r="E95" s="308" t="s">
        <v>2115</v>
      </c>
      <c r="F95" s="308" t="s">
        <v>1996</v>
      </c>
      <c r="G95" s="308" t="s">
        <v>2114</v>
      </c>
      <c r="H95" s="308" t="s">
        <v>1751</v>
      </c>
      <c r="I95" s="308" t="s">
        <v>2081</v>
      </c>
      <c r="J95" s="308" t="s">
        <v>331</v>
      </c>
      <c r="K95" s="308" t="s">
        <v>2086</v>
      </c>
      <c r="L95" s="325" t="s">
        <v>1754</v>
      </c>
      <c r="M95" s="325" t="s">
        <v>2058</v>
      </c>
    </row>
    <row r="96" spans="1:13" ht="28" customHeight="1" x14ac:dyDescent="0.35">
      <c r="A96" s="307" t="s">
        <v>2116</v>
      </c>
      <c r="B96" s="308" t="s">
        <v>2117</v>
      </c>
      <c r="C96" s="308" t="s">
        <v>2078</v>
      </c>
      <c r="D96" s="308" t="s">
        <v>2118</v>
      </c>
      <c r="E96" s="308" t="s">
        <v>439</v>
      </c>
      <c r="F96" s="308" t="s">
        <v>1996</v>
      </c>
      <c r="G96" s="308" t="s">
        <v>2118</v>
      </c>
      <c r="H96" s="308" t="s">
        <v>1751</v>
      </c>
      <c r="I96" s="308" t="s">
        <v>2081</v>
      </c>
      <c r="J96" s="308" t="s">
        <v>331</v>
      </c>
      <c r="K96" s="308" t="s">
        <v>2086</v>
      </c>
      <c r="L96" s="325" t="s">
        <v>1754</v>
      </c>
      <c r="M96" s="325" t="s">
        <v>2058</v>
      </c>
    </row>
    <row r="97" spans="1:13" ht="28" customHeight="1" x14ac:dyDescent="0.35">
      <c r="A97" s="307" t="s">
        <v>2119</v>
      </c>
      <c r="B97" s="308" t="s">
        <v>2120</v>
      </c>
      <c r="C97" s="308" t="s">
        <v>2078</v>
      </c>
      <c r="D97" s="308" t="s">
        <v>2121</v>
      </c>
      <c r="E97" s="311">
        <v>0.65</v>
      </c>
      <c r="F97" s="308" t="s">
        <v>1996</v>
      </c>
      <c r="G97" s="308" t="s">
        <v>2121</v>
      </c>
      <c r="H97" s="308" t="s">
        <v>1751</v>
      </c>
      <c r="I97" s="308" t="s">
        <v>2081</v>
      </c>
      <c r="J97" s="308" t="s">
        <v>331</v>
      </c>
      <c r="K97" s="308" t="s">
        <v>2086</v>
      </c>
      <c r="L97" s="325" t="s">
        <v>1754</v>
      </c>
      <c r="M97" s="325" t="s">
        <v>2058</v>
      </c>
    </row>
    <row r="98" spans="1:13" ht="28" customHeight="1" x14ac:dyDescent="0.35">
      <c r="A98" s="307" t="s">
        <v>2122</v>
      </c>
      <c r="B98" s="308" t="s">
        <v>2123</v>
      </c>
      <c r="C98" s="308" t="s">
        <v>2078</v>
      </c>
      <c r="D98" s="308" t="s">
        <v>2124</v>
      </c>
      <c r="E98" s="311">
        <v>5</v>
      </c>
      <c r="F98" s="308" t="s">
        <v>1996</v>
      </c>
      <c r="G98" s="308" t="s">
        <v>2124</v>
      </c>
      <c r="H98" s="308" t="s">
        <v>1741</v>
      </c>
      <c r="I98" s="308" t="s">
        <v>2125</v>
      </c>
      <c r="J98" s="308" t="s">
        <v>331</v>
      </c>
      <c r="K98" s="308" t="s">
        <v>2126</v>
      </c>
      <c r="L98" s="325" t="s">
        <v>1754</v>
      </c>
      <c r="M98" s="325" t="s">
        <v>2058</v>
      </c>
    </row>
    <row r="99" spans="1:13" ht="28" customHeight="1" x14ac:dyDescent="0.35">
      <c r="A99" s="307" t="s">
        <v>2127</v>
      </c>
      <c r="B99" s="308" t="s">
        <v>2128</v>
      </c>
      <c r="C99" s="308" t="s">
        <v>2078</v>
      </c>
      <c r="D99" s="308" t="s">
        <v>2129</v>
      </c>
      <c r="E99" s="311">
        <v>12</v>
      </c>
      <c r="F99" s="308" t="s">
        <v>1996</v>
      </c>
      <c r="G99" s="308" t="s">
        <v>2129</v>
      </c>
      <c r="H99" s="308" t="s">
        <v>1751</v>
      </c>
      <c r="I99" s="308" t="s">
        <v>2081</v>
      </c>
      <c r="J99" s="308" t="s">
        <v>331</v>
      </c>
      <c r="K99" s="308" t="s">
        <v>2086</v>
      </c>
      <c r="L99" s="325" t="s">
        <v>1754</v>
      </c>
      <c r="M99" s="325" t="s">
        <v>2058</v>
      </c>
    </row>
    <row r="100" spans="1:13" ht="28" customHeight="1" x14ac:dyDescent="0.35">
      <c r="A100" s="307" t="s">
        <v>2130</v>
      </c>
      <c r="B100" s="308" t="s">
        <v>2131</v>
      </c>
      <c r="C100" s="308" t="s">
        <v>2078</v>
      </c>
      <c r="D100" s="308" t="s">
        <v>2132</v>
      </c>
      <c r="E100" s="308" t="s">
        <v>2133</v>
      </c>
      <c r="F100" s="308" t="s">
        <v>1996</v>
      </c>
      <c r="G100" s="308" t="s">
        <v>2132</v>
      </c>
      <c r="H100" s="308" t="s">
        <v>1751</v>
      </c>
      <c r="I100" s="308" t="s">
        <v>2081</v>
      </c>
      <c r="J100" s="308" t="s">
        <v>331</v>
      </c>
      <c r="K100" s="308" t="s">
        <v>2086</v>
      </c>
      <c r="L100" s="325" t="s">
        <v>1754</v>
      </c>
      <c r="M100" s="325" t="s">
        <v>2058</v>
      </c>
    </row>
    <row r="101" spans="1:13" ht="28" customHeight="1" x14ac:dyDescent="0.35">
      <c r="A101" s="307" t="s">
        <v>2134</v>
      </c>
      <c r="B101" s="308" t="s">
        <v>2135</v>
      </c>
      <c r="C101" s="308" t="s">
        <v>2078</v>
      </c>
      <c r="D101" s="308" t="s">
        <v>2136</v>
      </c>
      <c r="E101" s="311">
        <v>0.5</v>
      </c>
      <c r="F101" s="308" t="s">
        <v>1996</v>
      </c>
      <c r="G101" s="308" t="s">
        <v>2136</v>
      </c>
      <c r="H101" s="308" t="s">
        <v>1751</v>
      </c>
      <c r="I101" s="308" t="s">
        <v>2081</v>
      </c>
      <c r="J101" s="308" t="s">
        <v>331</v>
      </c>
      <c r="K101" s="308" t="s">
        <v>2086</v>
      </c>
      <c r="L101" s="325" t="s">
        <v>1754</v>
      </c>
      <c r="M101" s="325" t="s">
        <v>2058</v>
      </c>
    </row>
    <row r="102" spans="1:13" ht="28" customHeight="1" x14ac:dyDescent="0.35">
      <c r="A102" s="307" t="s">
        <v>2137</v>
      </c>
      <c r="B102" s="308" t="s">
        <v>2138</v>
      </c>
      <c r="C102" s="308" t="s">
        <v>2078</v>
      </c>
      <c r="D102" s="308" t="s">
        <v>2139</v>
      </c>
      <c r="E102" s="311">
        <v>0.5</v>
      </c>
      <c r="F102" s="308" t="s">
        <v>1996</v>
      </c>
      <c r="G102" s="308" t="s">
        <v>2139</v>
      </c>
      <c r="H102" s="308" t="s">
        <v>1751</v>
      </c>
      <c r="I102" s="308" t="s">
        <v>2081</v>
      </c>
      <c r="J102" s="308" t="s">
        <v>331</v>
      </c>
      <c r="K102" s="308" t="s">
        <v>2086</v>
      </c>
      <c r="L102" s="325" t="s">
        <v>1754</v>
      </c>
      <c r="M102" s="325" t="s">
        <v>2058</v>
      </c>
    </row>
    <row r="103" spans="1:13" ht="28" customHeight="1" x14ac:dyDescent="0.35">
      <c r="A103" s="307" t="s">
        <v>2140</v>
      </c>
      <c r="B103" s="308" t="s">
        <v>2141</v>
      </c>
      <c r="C103" s="308" t="s">
        <v>2078</v>
      </c>
      <c r="D103" s="308" t="s">
        <v>2142</v>
      </c>
      <c r="E103" s="311">
        <v>1.25</v>
      </c>
      <c r="F103" s="308" t="s">
        <v>1996</v>
      </c>
      <c r="G103" s="308" t="s">
        <v>2142</v>
      </c>
      <c r="H103" s="308" t="s">
        <v>1751</v>
      </c>
      <c r="I103" s="308" t="s">
        <v>2081</v>
      </c>
      <c r="J103" s="308" t="s">
        <v>331</v>
      </c>
      <c r="K103" s="308" t="s">
        <v>2143</v>
      </c>
      <c r="L103" s="325" t="s">
        <v>1754</v>
      </c>
      <c r="M103" s="325" t="s">
        <v>2058</v>
      </c>
    </row>
    <row r="104" spans="1:13" ht="28" customHeight="1" x14ac:dyDescent="0.35">
      <c r="A104" s="307" t="s">
        <v>2144</v>
      </c>
      <c r="B104" s="308" t="s">
        <v>2145</v>
      </c>
      <c r="C104" s="308" t="s">
        <v>2078</v>
      </c>
      <c r="D104" s="308" t="s">
        <v>2146</v>
      </c>
      <c r="E104" s="311">
        <v>1.5</v>
      </c>
      <c r="F104" s="308" t="s">
        <v>1996</v>
      </c>
      <c r="G104" s="308" t="s">
        <v>2146</v>
      </c>
      <c r="H104" s="308" t="s">
        <v>1751</v>
      </c>
      <c r="I104" s="308" t="s">
        <v>2081</v>
      </c>
      <c r="J104" s="308" t="s">
        <v>331</v>
      </c>
      <c r="K104" s="308" t="s">
        <v>2086</v>
      </c>
      <c r="L104" s="325" t="s">
        <v>1754</v>
      </c>
      <c r="M104" s="325" t="s">
        <v>2058</v>
      </c>
    </row>
    <row r="105" spans="1:13" ht="28" customHeight="1" x14ac:dyDescent="0.35">
      <c r="A105" s="307" t="s">
        <v>2147</v>
      </c>
      <c r="B105" s="308" t="s">
        <v>2148</v>
      </c>
      <c r="C105" s="308" t="s">
        <v>2078</v>
      </c>
      <c r="D105" s="308" t="s">
        <v>2149</v>
      </c>
      <c r="E105" s="311">
        <v>0.08</v>
      </c>
      <c r="F105" s="308" t="s">
        <v>1996</v>
      </c>
      <c r="G105" s="308" t="s">
        <v>2149</v>
      </c>
      <c r="H105" s="308" t="s">
        <v>1751</v>
      </c>
      <c r="I105" s="308" t="s">
        <v>2081</v>
      </c>
      <c r="J105" s="308" t="s">
        <v>331</v>
      </c>
      <c r="K105" s="308" t="s">
        <v>2086</v>
      </c>
      <c r="L105" s="325" t="s">
        <v>1754</v>
      </c>
      <c r="M105" s="325" t="s">
        <v>2058</v>
      </c>
    </row>
    <row r="106" spans="1:13" ht="28" customHeight="1" x14ac:dyDescent="0.35">
      <c r="A106" s="307" t="s">
        <v>2150</v>
      </c>
      <c r="B106" s="308" t="s">
        <v>2151</v>
      </c>
      <c r="C106" s="308" t="s">
        <v>2078</v>
      </c>
      <c r="D106" s="308" t="s">
        <v>2152</v>
      </c>
      <c r="E106" s="311">
        <v>0</v>
      </c>
      <c r="F106" s="308" t="s">
        <v>1996</v>
      </c>
      <c r="G106" s="308" t="s">
        <v>2152</v>
      </c>
      <c r="H106" s="308" t="s">
        <v>1751</v>
      </c>
      <c r="I106" s="308" t="s">
        <v>2081</v>
      </c>
      <c r="J106" s="308" t="s">
        <v>331</v>
      </c>
      <c r="K106" s="308" t="s">
        <v>2086</v>
      </c>
      <c r="L106" s="325" t="s">
        <v>1754</v>
      </c>
      <c r="M106" s="325" t="s">
        <v>2058</v>
      </c>
    </row>
    <row r="107" spans="1:13" ht="28" customHeight="1" x14ac:dyDescent="0.35">
      <c r="A107" s="307" t="s">
        <v>2153</v>
      </c>
      <c r="B107" s="308" t="s">
        <v>2154</v>
      </c>
      <c r="C107" s="308" t="s">
        <v>2155</v>
      </c>
      <c r="D107" s="308" t="s">
        <v>2156</v>
      </c>
      <c r="E107" s="308" t="s">
        <v>2157</v>
      </c>
      <c r="F107" s="308" t="s">
        <v>1739</v>
      </c>
      <c r="G107" s="308" t="s">
        <v>2158</v>
      </c>
      <c r="H107" s="308" t="s">
        <v>2159</v>
      </c>
      <c r="I107" s="308" t="s">
        <v>2160</v>
      </c>
      <c r="J107" s="308" t="s">
        <v>1782</v>
      </c>
      <c r="K107" s="308" t="s">
        <v>2161</v>
      </c>
      <c r="L107" s="325" t="s">
        <v>2155</v>
      </c>
      <c r="M107" s="325" t="s">
        <v>2058</v>
      </c>
    </row>
    <row r="108" spans="1:13" ht="28" customHeight="1" x14ac:dyDescent="0.35">
      <c r="A108" s="307" t="s">
        <v>2162</v>
      </c>
      <c r="B108" s="308" t="s">
        <v>2163</v>
      </c>
      <c r="C108" s="308" t="s">
        <v>2155</v>
      </c>
      <c r="D108" s="308" t="s">
        <v>2164</v>
      </c>
      <c r="E108" s="308" t="s">
        <v>2165</v>
      </c>
      <c r="F108" s="308" t="s">
        <v>1739</v>
      </c>
      <c r="G108" s="308" t="s">
        <v>2166</v>
      </c>
      <c r="H108" s="308" t="s">
        <v>2167</v>
      </c>
      <c r="I108" s="308" t="s">
        <v>2160</v>
      </c>
      <c r="J108" s="308" t="s">
        <v>1782</v>
      </c>
      <c r="K108" s="308" t="s">
        <v>2168</v>
      </c>
      <c r="L108" s="325" t="s">
        <v>2155</v>
      </c>
      <c r="M108" s="325" t="s">
        <v>1745</v>
      </c>
    </row>
    <row r="109" spans="1:13" ht="28" customHeight="1" x14ac:dyDescent="0.35">
      <c r="A109" s="307" t="s">
        <v>2169</v>
      </c>
      <c r="B109" s="308" t="s">
        <v>2170</v>
      </c>
      <c r="C109" s="308" t="s">
        <v>307</v>
      </c>
      <c r="D109" s="308" t="s">
        <v>2129</v>
      </c>
      <c r="E109" s="311">
        <f>'URWLD COMPANY INPUTS'!$F$811</f>
        <v>6.5000000000000002E-2</v>
      </c>
      <c r="F109" s="308" t="s">
        <v>1739</v>
      </c>
      <c r="G109" s="308" t="s">
        <v>2171</v>
      </c>
      <c r="H109" s="308" t="s">
        <v>1741</v>
      </c>
      <c r="I109" s="308" t="s">
        <v>1742</v>
      </c>
      <c r="J109" s="308" t="s">
        <v>331</v>
      </c>
      <c r="K109" s="308" t="s">
        <v>2172</v>
      </c>
      <c r="L109" s="325" t="s">
        <v>1744</v>
      </c>
      <c r="M109" s="325" t="s">
        <v>2173</v>
      </c>
    </row>
    <row r="110" spans="1:13" ht="28" customHeight="1" x14ac:dyDescent="0.35">
      <c r="A110" s="307" t="s">
        <v>2174</v>
      </c>
      <c r="B110" s="308" t="s">
        <v>2175</v>
      </c>
      <c r="C110" s="308" t="s">
        <v>2176</v>
      </c>
      <c r="D110" s="308" t="s">
        <v>2177</v>
      </c>
      <c r="E110" s="922" t="str">
        <f>TEXT('URWLD COMPANY INPUTS'!$F$813,"0.00%")&amp;" / "&amp;TEXT('URWLD COMPANY INPUTS'!$F$816,"0.00%")</f>
        <v>6.75% / 6.25%</v>
      </c>
      <c r="F110" s="308" t="s">
        <v>1739</v>
      </c>
      <c r="G110" s="308" t="s">
        <v>2178</v>
      </c>
      <c r="H110" s="308" t="s">
        <v>1741</v>
      </c>
      <c r="I110" s="308" t="s">
        <v>1742</v>
      </c>
      <c r="J110" s="308" t="s">
        <v>2179</v>
      </c>
      <c r="K110" s="308" t="s">
        <v>2180</v>
      </c>
      <c r="L110" s="325" t="s">
        <v>2176</v>
      </c>
      <c r="M110" s="325" t="s">
        <v>2181</v>
      </c>
    </row>
    <row r="111" spans="1:13" ht="28" customHeight="1" x14ac:dyDescent="0.35">
      <c r="A111" s="307" t="s">
        <v>2182</v>
      </c>
      <c r="B111" s="308" t="s">
        <v>2183</v>
      </c>
      <c r="C111" s="308" t="s">
        <v>1736</v>
      </c>
      <c r="D111" s="308" t="s">
        <v>2184</v>
      </c>
      <c r="E111" s="311">
        <f>'URWLD COMPANY INPUTS'!$F$818</f>
        <v>0.02</v>
      </c>
      <c r="F111" s="308" t="s">
        <v>1739</v>
      </c>
      <c r="G111" s="308" t="s">
        <v>2185</v>
      </c>
      <c r="H111" s="308" t="s">
        <v>1741</v>
      </c>
      <c r="I111" s="308" t="s">
        <v>1742</v>
      </c>
      <c r="J111" s="308" t="s">
        <v>331</v>
      </c>
      <c r="K111" s="308" t="s">
        <v>2186</v>
      </c>
      <c r="L111" s="325" t="s">
        <v>1744</v>
      </c>
      <c r="M111" s="325" t="s">
        <v>2173</v>
      </c>
    </row>
    <row r="112" spans="1:13" ht="28" customHeight="1" x14ac:dyDescent="0.35">
      <c r="A112" s="307" t="s">
        <v>2187</v>
      </c>
      <c r="B112" s="308" t="s">
        <v>2188</v>
      </c>
      <c r="C112" s="308" t="s">
        <v>2176</v>
      </c>
      <c r="D112" s="308" t="s">
        <v>2189</v>
      </c>
      <c r="E112" s="922" t="str">
        <f>TEXT('URWLD COMPANY INPUTS'!$F$812,"0.0%")&amp;" / "&amp;TEXT('URWLD COMPANY INPUTS'!$F$815,"0.0%")</f>
        <v>8.0% / 8.5%</v>
      </c>
      <c r="F112" s="308" t="s">
        <v>2190</v>
      </c>
      <c r="G112" s="308" t="s">
        <v>2191</v>
      </c>
      <c r="H112" s="308" t="s">
        <v>2192</v>
      </c>
      <c r="I112" s="308" t="s">
        <v>2081</v>
      </c>
      <c r="J112" s="308" t="s">
        <v>2179</v>
      </c>
      <c r="K112" s="308" t="s">
        <v>2193</v>
      </c>
      <c r="L112" s="325" t="s">
        <v>2176</v>
      </c>
      <c r="M112" s="325" t="s">
        <v>2181</v>
      </c>
    </row>
    <row r="113" spans="1:13" ht="28" customHeight="1" x14ac:dyDescent="0.35">
      <c r="A113" s="307" t="s">
        <v>2194</v>
      </c>
      <c r="B113" s="308" t="s">
        <v>2195</v>
      </c>
      <c r="C113" s="308" t="s">
        <v>2196</v>
      </c>
      <c r="D113" s="308" t="s">
        <v>2197</v>
      </c>
      <c r="E113" s="311">
        <v>0.2</v>
      </c>
      <c r="F113" s="308" t="s">
        <v>2190</v>
      </c>
      <c r="G113" s="308" t="s">
        <v>2197</v>
      </c>
      <c r="H113" s="308" t="s">
        <v>1751</v>
      </c>
      <c r="I113" s="308" t="s">
        <v>2081</v>
      </c>
      <c r="J113" s="308" t="s">
        <v>331</v>
      </c>
      <c r="K113" s="308" t="s">
        <v>2198</v>
      </c>
      <c r="L113" s="325" t="s">
        <v>1754</v>
      </c>
      <c r="M113" s="325" t="s">
        <v>2173</v>
      </c>
    </row>
    <row r="114" spans="1:13" ht="28" customHeight="1" x14ac:dyDescent="0.35">
      <c r="A114" s="307" t="s">
        <v>2199</v>
      </c>
      <c r="B114" s="308" t="s">
        <v>2200</v>
      </c>
      <c r="C114" s="308" t="s">
        <v>2196</v>
      </c>
      <c r="D114" s="308" t="s">
        <v>2201</v>
      </c>
      <c r="E114" s="311">
        <v>0.2</v>
      </c>
      <c r="F114" s="308" t="s">
        <v>2190</v>
      </c>
      <c r="G114" s="308" t="s">
        <v>2201</v>
      </c>
      <c r="H114" s="308" t="s">
        <v>1751</v>
      </c>
      <c r="I114" s="308" t="s">
        <v>2081</v>
      </c>
      <c r="J114" s="308" t="s">
        <v>331</v>
      </c>
      <c r="K114" s="308" t="s">
        <v>2198</v>
      </c>
      <c r="L114" s="325" t="s">
        <v>1754</v>
      </c>
      <c r="M114" s="325" t="s">
        <v>2173</v>
      </c>
    </row>
    <row r="115" spans="1:13" ht="28" customHeight="1" x14ac:dyDescent="0.35">
      <c r="A115" s="307" t="s">
        <v>2202</v>
      </c>
      <c r="B115" s="308" t="s">
        <v>2203</v>
      </c>
      <c r="C115" s="308" t="s">
        <v>2196</v>
      </c>
      <c r="D115" s="308" t="s">
        <v>2085</v>
      </c>
      <c r="E115" s="311">
        <v>8</v>
      </c>
      <c r="F115" s="308" t="s">
        <v>2190</v>
      </c>
      <c r="G115" s="308" t="s">
        <v>2085</v>
      </c>
      <c r="H115" s="308" t="s">
        <v>1751</v>
      </c>
      <c r="I115" s="308" t="s">
        <v>2081</v>
      </c>
      <c r="J115" s="308" t="s">
        <v>331</v>
      </c>
      <c r="K115" s="308" t="s">
        <v>2198</v>
      </c>
      <c r="L115" s="325" t="s">
        <v>1754</v>
      </c>
      <c r="M115" s="325" t="s">
        <v>2173</v>
      </c>
    </row>
    <row r="116" spans="1:13" ht="28" customHeight="1" x14ac:dyDescent="0.35">
      <c r="A116" s="307" t="s">
        <v>2204</v>
      </c>
      <c r="B116" s="308" t="s">
        <v>2205</v>
      </c>
      <c r="C116" s="308" t="s">
        <v>2196</v>
      </c>
      <c r="D116" s="308" t="s">
        <v>2089</v>
      </c>
      <c r="E116" s="311">
        <v>0</v>
      </c>
      <c r="F116" s="308" t="s">
        <v>2190</v>
      </c>
      <c r="G116" s="308" t="s">
        <v>2089</v>
      </c>
      <c r="H116" s="308" t="s">
        <v>1751</v>
      </c>
      <c r="I116" s="308" t="s">
        <v>2081</v>
      </c>
      <c r="J116" s="308" t="s">
        <v>331</v>
      </c>
      <c r="K116" s="308" t="s">
        <v>2198</v>
      </c>
      <c r="L116" s="325" t="s">
        <v>1754</v>
      </c>
      <c r="M116" s="325" t="s">
        <v>2173</v>
      </c>
    </row>
    <row r="117" spans="1:13" ht="28" customHeight="1" x14ac:dyDescent="0.35">
      <c r="A117" s="307" t="s">
        <v>2206</v>
      </c>
      <c r="B117" s="308" t="s">
        <v>2207</v>
      </c>
      <c r="C117" s="308" t="s">
        <v>2196</v>
      </c>
      <c r="D117" s="308" t="s">
        <v>2208</v>
      </c>
      <c r="E117" s="311">
        <v>1</v>
      </c>
      <c r="F117" s="308" t="s">
        <v>2190</v>
      </c>
      <c r="G117" s="308" t="s">
        <v>2208</v>
      </c>
      <c r="H117" s="308" t="s">
        <v>1751</v>
      </c>
      <c r="I117" s="308" t="s">
        <v>2081</v>
      </c>
      <c r="J117" s="308" t="s">
        <v>331</v>
      </c>
      <c r="K117" s="308" t="s">
        <v>2198</v>
      </c>
      <c r="L117" s="325" t="s">
        <v>1754</v>
      </c>
      <c r="M117" s="325" t="s">
        <v>2173</v>
      </c>
    </row>
    <row r="118" spans="1:13" ht="28" customHeight="1" x14ac:dyDescent="0.35">
      <c r="A118" s="307" t="s">
        <v>2209</v>
      </c>
      <c r="B118" s="308" t="s">
        <v>2210</v>
      </c>
      <c r="C118" s="308" t="s">
        <v>2196</v>
      </c>
      <c r="D118" s="308" t="s">
        <v>2093</v>
      </c>
      <c r="E118" s="311">
        <v>0</v>
      </c>
      <c r="F118" s="308" t="s">
        <v>2190</v>
      </c>
      <c r="G118" s="308" t="s">
        <v>2093</v>
      </c>
      <c r="H118" s="308" t="s">
        <v>1751</v>
      </c>
      <c r="I118" s="308" t="s">
        <v>2081</v>
      </c>
      <c r="J118" s="308" t="s">
        <v>331</v>
      </c>
      <c r="K118" s="308" t="s">
        <v>2198</v>
      </c>
      <c r="L118" s="325" t="s">
        <v>1754</v>
      </c>
      <c r="M118" s="325" t="s">
        <v>2173</v>
      </c>
    </row>
    <row r="119" spans="1:13" ht="28" customHeight="1" x14ac:dyDescent="0.35">
      <c r="A119" s="307" t="s">
        <v>2211</v>
      </c>
      <c r="B119" s="308" t="s">
        <v>2212</v>
      </c>
      <c r="C119" s="308" t="s">
        <v>2196</v>
      </c>
      <c r="D119" s="308" t="s">
        <v>2213</v>
      </c>
      <c r="E119" s="311">
        <v>0</v>
      </c>
      <c r="F119" s="308" t="s">
        <v>2190</v>
      </c>
      <c r="G119" s="308" t="s">
        <v>2213</v>
      </c>
      <c r="H119" s="308" t="s">
        <v>1751</v>
      </c>
      <c r="I119" s="308" t="s">
        <v>2081</v>
      </c>
      <c r="J119" s="308" t="s">
        <v>331</v>
      </c>
      <c r="K119" s="308" t="s">
        <v>2198</v>
      </c>
      <c r="L119" s="325" t="s">
        <v>1754</v>
      </c>
      <c r="M119" s="325" t="s">
        <v>2173</v>
      </c>
    </row>
    <row r="120" spans="1:13" ht="28" customHeight="1" x14ac:dyDescent="0.35">
      <c r="A120" s="307" t="s">
        <v>2214</v>
      </c>
      <c r="B120" s="308" t="s">
        <v>2215</v>
      </c>
      <c r="C120" s="308" t="s">
        <v>1748</v>
      </c>
      <c r="D120" s="308" t="s">
        <v>2216</v>
      </c>
      <c r="E120" s="308" t="s">
        <v>2217</v>
      </c>
      <c r="F120" s="308" t="s">
        <v>1739</v>
      </c>
      <c r="G120" s="308" t="s">
        <v>2216</v>
      </c>
      <c r="H120" s="308" t="s">
        <v>1751</v>
      </c>
      <c r="I120" s="308" t="s">
        <v>2218</v>
      </c>
      <c r="J120" s="308" t="s">
        <v>331</v>
      </c>
      <c r="K120" s="308" t="s">
        <v>2219</v>
      </c>
      <c r="L120" s="325" t="s">
        <v>1754</v>
      </c>
      <c r="M120" s="325" t="s">
        <v>2220</v>
      </c>
    </row>
    <row r="121" spans="1:13" ht="28" customHeight="1" x14ac:dyDescent="0.35">
      <c r="A121" s="307" t="s">
        <v>2221</v>
      </c>
      <c r="B121" s="308" t="s">
        <v>2222</v>
      </c>
      <c r="C121" s="308" t="s">
        <v>1748</v>
      </c>
      <c r="D121" s="308" t="s">
        <v>2223</v>
      </c>
      <c r="E121" s="308" t="s">
        <v>2224</v>
      </c>
      <c r="F121" s="308" t="s">
        <v>1739</v>
      </c>
      <c r="G121" s="308" t="s">
        <v>2223</v>
      </c>
      <c r="H121" s="308" t="s">
        <v>1751</v>
      </c>
      <c r="I121" s="308" t="s">
        <v>2218</v>
      </c>
      <c r="J121" s="308" t="s">
        <v>331</v>
      </c>
      <c r="K121" s="308" t="s">
        <v>2219</v>
      </c>
      <c r="L121" s="325" t="s">
        <v>1754</v>
      </c>
      <c r="M121" s="325" t="s">
        <v>2220</v>
      </c>
    </row>
    <row r="122" spans="1:13" ht="28" customHeight="1" x14ac:dyDescent="0.35">
      <c r="A122" s="307" t="s">
        <v>2225</v>
      </c>
      <c r="B122" s="308" t="s">
        <v>2226</v>
      </c>
      <c r="C122" s="308" t="s">
        <v>1748</v>
      </c>
      <c r="D122" s="308" t="s">
        <v>2227</v>
      </c>
      <c r="E122" s="311">
        <v>0.05</v>
      </c>
      <c r="F122" s="308" t="s">
        <v>1739</v>
      </c>
      <c r="G122" s="308" t="s">
        <v>2227</v>
      </c>
      <c r="H122" s="308" t="s">
        <v>1751</v>
      </c>
      <c r="I122" s="308" t="s">
        <v>2218</v>
      </c>
      <c r="J122" s="308" t="s">
        <v>331</v>
      </c>
      <c r="K122" s="308" t="s">
        <v>2228</v>
      </c>
      <c r="L122" s="325" t="s">
        <v>1754</v>
      </c>
      <c r="M122" s="325" t="s">
        <v>2220</v>
      </c>
    </row>
    <row r="123" spans="1:13" ht="28" customHeight="1" x14ac:dyDescent="0.35">
      <c r="A123" s="307" t="s">
        <v>2229</v>
      </c>
      <c r="B123" s="308" t="s">
        <v>2230</v>
      </c>
      <c r="C123" s="308" t="s">
        <v>1748</v>
      </c>
      <c r="D123" s="308" t="s">
        <v>2231</v>
      </c>
      <c r="E123" s="311">
        <v>0.95</v>
      </c>
      <c r="F123" s="308" t="s">
        <v>1739</v>
      </c>
      <c r="G123" s="308" t="s">
        <v>2231</v>
      </c>
      <c r="H123" s="308" t="s">
        <v>1794</v>
      </c>
      <c r="I123" s="308" t="s">
        <v>2218</v>
      </c>
      <c r="J123" s="308" t="s">
        <v>331</v>
      </c>
      <c r="K123" s="308" t="s">
        <v>2232</v>
      </c>
      <c r="L123" s="325" t="s">
        <v>1754</v>
      </c>
      <c r="M123" s="325" t="s">
        <v>2220</v>
      </c>
    </row>
    <row r="124" spans="1:13" ht="28" customHeight="1" x14ac:dyDescent="0.35">
      <c r="A124" s="307" t="s">
        <v>2233</v>
      </c>
      <c r="B124" s="308" t="s">
        <v>2234</v>
      </c>
      <c r="C124" s="308" t="s">
        <v>1748</v>
      </c>
      <c r="D124" s="308" t="s">
        <v>2235</v>
      </c>
      <c r="E124" s="311">
        <v>0.09</v>
      </c>
      <c r="F124" s="308" t="s">
        <v>1739</v>
      </c>
      <c r="G124" s="308" t="s">
        <v>2235</v>
      </c>
      <c r="H124" s="308" t="s">
        <v>1751</v>
      </c>
      <c r="I124" s="308" t="s">
        <v>2218</v>
      </c>
      <c r="J124" s="308" t="s">
        <v>331</v>
      </c>
      <c r="K124" s="308" t="s">
        <v>2236</v>
      </c>
      <c r="L124" s="325" t="s">
        <v>1754</v>
      </c>
      <c r="M124" s="325" t="s">
        <v>2220</v>
      </c>
    </row>
    <row r="125" spans="1:13" ht="28" customHeight="1" x14ac:dyDescent="0.35">
      <c r="A125" s="307" t="s">
        <v>2237</v>
      </c>
      <c r="B125" s="308" t="s">
        <v>2238</v>
      </c>
      <c r="C125" s="308" t="s">
        <v>1748</v>
      </c>
      <c r="D125" s="308" t="s">
        <v>2239</v>
      </c>
      <c r="E125" s="311">
        <v>0.12</v>
      </c>
      <c r="F125" s="308" t="s">
        <v>1739</v>
      </c>
      <c r="G125" s="308" t="s">
        <v>2239</v>
      </c>
      <c r="H125" s="308" t="s">
        <v>1751</v>
      </c>
      <c r="I125" s="308" t="s">
        <v>2218</v>
      </c>
      <c r="J125" s="308" t="s">
        <v>331</v>
      </c>
      <c r="K125" s="308" t="s">
        <v>2236</v>
      </c>
      <c r="L125" s="325" t="s">
        <v>1754</v>
      </c>
      <c r="M125" s="325" t="s">
        <v>2220</v>
      </c>
    </row>
    <row r="126" spans="1:13" ht="28" customHeight="1" x14ac:dyDescent="0.35">
      <c r="A126" s="307" t="s">
        <v>2240</v>
      </c>
      <c r="B126" s="308" t="s">
        <v>2241</v>
      </c>
      <c r="C126" s="308" t="s">
        <v>1748</v>
      </c>
      <c r="D126" s="308" t="s">
        <v>2242</v>
      </c>
      <c r="E126" s="311">
        <v>0.15</v>
      </c>
      <c r="F126" s="308" t="s">
        <v>1739</v>
      </c>
      <c r="G126" s="308" t="s">
        <v>2242</v>
      </c>
      <c r="H126" s="308" t="s">
        <v>1751</v>
      </c>
      <c r="I126" s="308" t="s">
        <v>2218</v>
      </c>
      <c r="J126" s="308" t="s">
        <v>331</v>
      </c>
      <c r="K126" s="308" t="s">
        <v>2236</v>
      </c>
      <c r="L126" s="325" t="s">
        <v>1754</v>
      </c>
      <c r="M126" s="325" t="s">
        <v>2220</v>
      </c>
    </row>
    <row r="127" spans="1:13" ht="28" customHeight="1" x14ac:dyDescent="0.35">
      <c r="A127" s="307" t="s">
        <v>2243</v>
      </c>
      <c r="B127" s="308" t="s">
        <v>2244</v>
      </c>
      <c r="C127" s="308" t="s">
        <v>1748</v>
      </c>
      <c r="D127" s="308" t="s">
        <v>2245</v>
      </c>
      <c r="E127" s="311">
        <v>0.15</v>
      </c>
      <c r="F127" s="308" t="s">
        <v>1739</v>
      </c>
      <c r="G127" s="308" t="s">
        <v>2245</v>
      </c>
      <c r="H127" s="308" t="s">
        <v>1751</v>
      </c>
      <c r="I127" s="308" t="s">
        <v>2218</v>
      </c>
      <c r="J127" s="308" t="s">
        <v>331</v>
      </c>
      <c r="K127" s="308" t="s">
        <v>2236</v>
      </c>
      <c r="L127" s="325" t="s">
        <v>1754</v>
      </c>
      <c r="M127" s="325" t="s">
        <v>2220</v>
      </c>
    </row>
    <row r="128" spans="1:13" ht="28" customHeight="1" x14ac:dyDescent="0.35">
      <c r="A128" s="307" t="s">
        <v>2246</v>
      </c>
      <c r="B128" s="308" t="s">
        <v>2247</v>
      </c>
      <c r="C128" s="308" t="s">
        <v>1748</v>
      </c>
      <c r="D128" s="308" t="s">
        <v>2248</v>
      </c>
      <c r="E128" s="311">
        <v>0.3</v>
      </c>
      <c r="F128" s="308" t="s">
        <v>1739</v>
      </c>
      <c r="G128" s="308" t="s">
        <v>2248</v>
      </c>
      <c r="H128" s="308" t="s">
        <v>1794</v>
      </c>
      <c r="I128" s="308" t="s">
        <v>2218</v>
      </c>
      <c r="J128" s="308" t="s">
        <v>331</v>
      </c>
      <c r="K128" s="308" t="s">
        <v>2236</v>
      </c>
      <c r="L128" s="325" t="s">
        <v>1754</v>
      </c>
      <c r="M128" s="325" t="s">
        <v>2220</v>
      </c>
    </row>
    <row r="129" spans="1:13" ht="28" customHeight="1" x14ac:dyDescent="0.35">
      <c r="A129" s="307" t="s">
        <v>2249</v>
      </c>
      <c r="B129" s="308" t="s">
        <v>2250</v>
      </c>
      <c r="C129" s="308" t="s">
        <v>1748</v>
      </c>
      <c r="D129" s="308" t="s">
        <v>2251</v>
      </c>
      <c r="E129" s="311">
        <v>0.4</v>
      </c>
      <c r="F129" s="308" t="s">
        <v>1739</v>
      </c>
      <c r="G129" s="308" t="s">
        <v>2251</v>
      </c>
      <c r="H129" s="308" t="s">
        <v>1794</v>
      </c>
      <c r="I129" s="308" t="s">
        <v>2218</v>
      </c>
      <c r="J129" s="308" t="s">
        <v>331</v>
      </c>
      <c r="K129" s="308" t="s">
        <v>2236</v>
      </c>
      <c r="L129" s="325" t="s">
        <v>1754</v>
      </c>
      <c r="M129" s="325" t="s">
        <v>2220</v>
      </c>
    </row>
    <row r="130" spans="1:13" ht="28" customHeight="1" x14ac:dyDescent="0.35">
      <c r="A130" s="307" t="s">
        <v>2252</v>
      </c>
      <c r="B130" s="308" t="s">
        <v>2253</v>
      </c>
      <c r="C130" s="308" t="s">
        <v>1818</v>
      </c>
      <c r="D130" s="308" t="s">
        <v>1869</v>
      </c>
      <c r="E130" s="311">
        <f>'URWLD COMPANY INPUTS'!$F$752</f>
        <v>15.000999999999999</v>
      </c>
      <c r="F130" s="308" t="s">
        <v>1739</v>
      </c>
      <c r="G130" s="308" t="s">
        <v>2254</v>
      </c>
      <c r="H130" s="308" t="s">
        <v>2255</v>
      </c>
      <c r="I130" s="308" t="s">
        <v>1742</v>
      </c>
      <c r="J130" s="308" t="s">
        <v>331</v>
      </c>
      <c r="K130" s="308" t="s">
        <v>2256</v>
      </c>
      <c r="L130" s="325" t="s">
        <v>1744</v>
      </c>
      <c r="M130" s="325" t="s">
        <v>2220</v>
      </c>
    </row>
    <row r="131" spans="1:13" ht="28" customHeight="1" x14ac:dyDescent="0.35">
      <c r="A131" s="307" t="s">
        <v>2257</v>
      </c>
      <c r="B131" s="308" t="s">
        <v>2258</v>
      </c>
      <c r="C131" s="308" t="s">
        <v>1818</v>
      </c>
      <c r="D131" s="308" t="s">
        <v>1874</v>
      </c>
      <c r="E131" s="311">
        <f>'URWLD COMPANY INPUTS'!$F$753</f>
        <v>10</v>
      </c>
      <c r="F131" s="308" t="s">
        <v>1739</v>
      </c>
      <c r="G131" s="308" t="s">
        <v>2254</v>
      </c>
      <c r="H131" s="308" t="s">
        <v>2259</v>
      </c>
      <c r="I131" s="308" t="s">
        <v>1742</v>
      </c>
      <c r="J131" s="308" t="s">
        <v>331</v>
      </c>
      <c r="K131" s="308" t="s">
        <v>2260</v>
      </c>
      <c r="L131" s="325" t="s">
        <v>1744</v>
      </c>
      <c r="M131" s="325" t="s">
        <v>2220</v>
      </c>
    </row>
    <row r="132" spans="1:13" ht="28" customHeight="1" x14ac:dyDescent="0.35">
      <c r="A132" s="307" t="s">
        <v>2261</v>
      </c>
      <c r="B132" s="308" t="s">
        <v>2262</v>
      </c>
      <c r="C132" s="308" t="s">
        <v>1818</v>
      </c>
      <c r="D132" s="308" t="s">
        <v>2263</v>
      </c>
      <c r="E132" s="311">
        <f>'URWLD COMPANY INPUTS'!$F$754</f>
        <v>5</v>
      </c>
      <c r="F132" s="308" t="s">
        <v>1739</v>
      </c>
      <c r="G132" s="308" t="s">
        <v>2254</v>
      </c>
      <c r="H132" s="308" t="s">
        <v>2264</v>
      </c>
      <c r="I132" s="308" t="s">
        <v>1742</v>
      </c>
      <c r="J132" s="308" t="s">
        <v>331</v>
      </c>
      <c r="K132" s="308" t="s">
        <v>2265</v>
      </c>
      <c r="L132" s="325" t="s">
        <v>1744</v>
      </c>
      <c r="M132" s="325" t="s">
        <v>2220</v>
      </c>
    </row>
    <row r="133" spans="1:13" ht="28" customHeight="1" x14ac:dyDescent="0.35">
      <c r="A133" s="307" t="s">
        <v>2266</v>
      </c>
      <c r="B133" s="308" t="s">
        <v>2267</v>
      </c>
      <c r="C133" s="308" t="s">
        <v>1818</v>
      </c>
      <c r="D133" s="308" t="s">
        <v>2268</v>
      </c>
      <c r="E133" s="311">
        <f>'URWLD COMPANY INPUTS'!$F$755</f>
        <v>2</v>
      </c>
      <c r="F133" s="308" t="s">
        <v>1739</v>
      </c>
      <c r="G133" s="308" t="s">
        <v>2254</v>
      </c>
      <c r="H133" s="308" t="s">
        <v>2269</v>
      </c>
      <c r="I133" s="308" t="s">
        <v>1742</v>
      </c>
      <c r="J133" s="308" t="s">
        <v>331</v>
      </c>
      <c r="K133" s="308" t="s">
        <v>2270</v>
      </c>
      <c r="L133" s="325" t="s">
        <v>1744</v>
      </c>
      <c r="M133" s="325" t="s">
        <v>2220</v>
      </c>
    </row>
    <row r="134" spans="1:13" ht="28" customHeight="1" x14ac:dyDescent="0.35">
      <c r="A134" s="307" t="s">
        <v>2271</v>
      </c>
      <c r="B134" s="308" t="s">
        <v>2272</v>
      </c>
      <c r="C134" s="308" t="s">
        <v>1818</v>
      </c>
      <c r="D134" s="308" t="s">
        <v>2273</v>
      </c>
      <c r="E134" s="311">
        <f>'URWLD COMPANY INPUTS'!$F$756</f>
        <v>1</v>
      </c>
      <c r="F134" s="308" t="s">
        <v>1739</v>
      </c>
      <c r="G134" s="308" t="s">
        <v>2254</v>
      </c>
      <c r="H134" s="308" t="s">
        <v>2274</v>
      </c>
      <c r="I134" s="308" t="s">
        <v>1742</v>
      </c>
      <c r="J134" s="308" t="s">
        <v>331</v>
      </c>
      <c r="K134" s="308" t="s">
        <v>2275</v>
      </c>
      <c r="L134" s="325" t="s">
        <v>1744</v>
      </c>
      <c r="M134" s="325" t="s">
        <v>2220</v>
      </c>
    </row>
    <row r="135" spans="1:13" ht="28" customHeight="1" x14ac:dyDescent="0.35">
      <c r="A135" s="307" t="s">
        <v>2276</v>
      </c>
      <c r="B135" s="308" t="s">
        <v>2277</v>
      </c>
      <c r="C135" s="308" t="s">
        <v>1818</v>
      </c>
      <c r="D135" s="308" t="s">
        <v>2278</v>
      </c>
      <c r="E135" s="311">
        <f>'URWLD COMPANY INPUTS'!$F$757</f>
        <v>0.83</v>
      </c>
      <c r="F135" s="308" t="s">
        <v>1739</v>
      </c>
      <c r="G135" s="308" t="s">
        <v>2254</v>
      </c>
      <c r="H135" s="308" t="s">
        <v>2279</v>
      </c>
      <c r="I135" s="308" t="s">
        <v>1742</v>
      </c>
      <c r="J135" s="308" t="s">
        <v>331</v>
      </c>
      <c r="K135" s="308" t="s">
        <v>2280</v>
      </c>
      <c r="L135" s="325" t="s">
        <v>1744</v>
      </c>
      <c r="M135" s="325" t="s">
        <v>2220</v>
      </c>
    </row>
    <row r="136" spans="1:13" ht="28" customHeight="1" x14ac:dyDescent="0.35">
      <c r="A136" s="307" t="s">
        <v>2281</v>
      </c>
      <c r="B136" s="308" t="s">
        <v>2282</v>
      </c>
      <c r="C136" s="308" t="s">
        <v>1818</v>
      </c>
      <c r="D136" s="308" t="s">
        <v>2283</v>
      </c>
      <c r="E136" s="311">
        <f>'URWLD COMPANY INPUTS'!$F$758</f>
        <v>50</v>
      </c>
      <c r="F136" s="308" t="s">
        <v>1739</v>
      </c>
      <c r="G136" s="308" t="s">
        <v>2254</v>
      </c>
      <c r="H136" s="308" t="s">
        <v>2284</v>
      </c>
      <c r="I136" s="308" t="s">
        <v>1742</v>
      </c>
      <c r="J136" s="308" t="s">
        <v>331</v>
      </c>
      <c r="K136" s="308" t="s">
        <v>2285</v>
      </c>
      <c r="L136" s="325" t="s">
        <v>1744</v>
      </c>
      <c r="M136" s="325" t="s">
        <v>2220</v>
      </c>
    </row>
    <row r="137" spans="1:13" ht="28" customHeight="1" x14ac:dyDescent="0.35">
      <c r="A137" s="307" t="s">
        <v>2286</v>
      </c>
      <c r="B137" s="308" t="s">
        <v>2287</v>
      </c>
      <c r="C137" s="308" t="s">
        <v>1818</v>
      </c>
      <c r="D137" s="308" t="s">
        <v>2288</v>
      </c>
      <c r="E137" s="311">
        <v>125.5482756423</v>
      </c>
      <c r="F137" s="308" t="s">
        <v>1739</v>
      </c>
      <c r="G137" s="308" t="s">
        <v>2254</v>
      </c>
      <c r="H137" s="308" t="s">
        <v>1880</v>
      </c>
      <c r="I137" s="308" t="s">
        <v>2081</v>
      </c>
      <c r="J137" s="308" t="s">
        <v>331</v>
      </c>
      <c r="K137" s="308" t="s">
        <v>2289</v>
      </c>
      <c r="L137" s="325" t="s">
        <v>1744</v>
      </c>
      <c r="M137" s="325" t="s">
        <v>2220</v>
      </c>
    </row>
    <row r="138" spans="1:13" x14ac:dyDescent="0.35">
      <c r="L138" s="325"/>
      <c r="M138" s="325"/>
    </row>
    <row r="139" spans="1:13" x14ac:dyDescent="0.35">
      <c r="L139" s="325"/>
      <c r="M139" s="325"/>
    </row>
    <row r="140" spans="1:13" ht="22" customHeight="1" x14ac:dyDescent="0.35">
      <c r="A140" s="939" t="s">
        <v>2290</v>
      </c>
      <c r="B140" s="937"/>
      <c r="C140" s="937"/>
      <c r="D140" s="937"/>
      <c r="E140" s="937"/>
      <c r="F140" s="937"/>
      <c r="G140" s="937"/>
      <c r="H140" s="937"/>
      <c r="I140" s="937"/>
      <c r="J140" s="937"/>
      <c r="K140" s="937"/>
      <c r="L140" s="325"/>
      <c r="M140" s="325" t="s">
        <v>1745</v>
      </c>
    </row>
    <row r="141" spans="1:13" ht="24" customHeight="1" x14ac:dyDescent="0.35">
      <c r="A141" s="306" t="s">
        <v>2291</v>
      </c>
      <c r="B141" s="306" t="s">
        <v>636</v>
      </c>
      <c r="C141" s="306" t="s">
        <v>2292</v>
      </c>
      <c r="D141" s="306" t="s">
        <v>1723</v>
      </c>
      <c r="E141" s="306" t="s">
        <v>2293</v>
      </c>
      <c r="F141" s="306" t="s">
        <v>2294</v>
      </c>
      <c r="G141" s="306" t="s">
        <v>622</v>
      </c>
      <c r="L141" s="325" t="s">
        <v>2292</v>
      </c>
      <c r="M141" s="325"/>
    </row>
    <row r="142" spans="1:13" ht="58" customHeight="1" x14ac:dyDescent="0.35">
      <c r="A142" s="323" t="s">
        <v>2295</v>
      </c>
      <c r="B142" s="308" t="s">
        <v>2296</v>
      </c>
      <c r="C142" s="308" t="s">
        <v>2297</v>
      </c>
      <c r="D142" s="308" t="s">
        <v>2298</v>
      </c>
      <c r="E142" s="308" t="s">
        <v>2299</v>
      </c>
      <c r="F142" s="308" t="s">
        <v>2300</v>
      </c>
      <c r="G142" s="308" t="s">
        <v>2301</v>
      </c>
      <c r="H142" s="325"/>
      <c r="I142" s="325"/>
      <c r="J142" s="325"/>
      <c r="K142" s="325"/>
      <c r="L142" s="325" t="s">
        <v>2302</v>
      </c>
      <c r="M142" s="325" t="s">
        <v>1745</v>
      </c>
    </row>
    <row r="143" spans="1:13" ht="58" customHeight="1" x14ac:dyDescent="0.35">
      <c r="A143" s="323" t="s">
        <v>2303</v>
      </c>
      <c r="B143" s="308" t="s">
        <v>2304</v>
      </c>
      <c r="C143" s="308" t="s">
        <v>2297</v>
      </c>
      <c r="D143" s="308" t="s">
        <v>2305</v>
      </c>
      <c r="E143" s="308" t="s">
        <v>2306</v>
      </c>
      <c r="F143" s="308" t="s">
        <v>2307</v>
      </c>
      <c r="G143" s="308" t="s">
        <v>2301</v>
      </c>
      <c r="H143" s="325"/>
      <c r="I143" s="325"/>
      <c r="J143" s="325"/>
      <c r="K143" s="325"/>
      <c r="L143" s="325" t="s">
        <v>2302</v>
      </c>
      <c r="M143" s="325" t="s">
        <v>1745</v>
      </c>
    </row>
    <row r="144" spans="1:13" ht="58" customHeight="1" x14ac:dyDescent="0.35">
      <c r="A144" s="323" t="s">
        <v>2308</v>
      </c>
      <c r="B144" s="308" t="s">
        <v>2309</v>
      </c>
      <c r="C144" s="308" t="s">
        <v>2297</v>
      </c>
      <c r="D144" s="308" t="s">
        <v>2310</v>
      </c>
      <c r="E144" s="308" t="s">
        <v>2311</v>
      </c>
      <c r="F144" s="308" t="s">
        <v>2312</v>
      </c>
      <c r="G144" s="308" t="s">
        <v>2301</v>
      </c>
      <c r="H144" s="325"/>
      <c r="I144" s="325"/>
      <c r="J144" s="325"/>
      <c r="K144" s="325"/>
      <c r="L144" s="325" t="s">
        <v>2302</v>
      </c>
      <c r="M144" s="325" t="s">
        <v>1745</v>
      </c>
    </row>
    <row r="145" spans="1:13" ht="58" customHeight="1" x14ac:dyDescent="0.35">
      <c r="A145" s="323" t="s">
        <v>2313</v>
      </c>
      <c r="B145" s="308" t="s">
        <v>2314</v>
      </c>
      <c r="C145" s="308" t="s">
        <v>2297</v>
      </c>
      <c r="D145" s="308" t="s">
        <v>2315</v>
      </c>
      <c r="E145" s="308" t="s">
        <v>2316</v>
      </c>
      <c r="F145" s="308" t="s">
        <v>2317</v>
      </c>
      <c r="G145" s="308" t="s">
        <v>2301</v>
      </c>
      <c r="H145" s="325"/>
      <c r="I145" s="325"/>
      <c r="J145" s="325"/>
      <c r="K145" s="325"/>
      <c r="L145" s="325" t="s">
        <v>2302</v>
      </c>
      <c r="M145" s="325" t="s">
        <v>1745</v>
      </c>
    </row>
    <row r="146" spans="1:13" ht="58" customHeight="1" x14ac:dyDescent="0.35">
      <c r="A146" s="323" t="s">
        <v>2318</v>
      </c>
      <c r="B146" s="308" t="s">
        <v>2319</v>
      </c>
      <c r="C146" s="308" t="s">
        <v>2297</v>
      </c>
      <c r="D146" s="308" t="s">
        <v>2320</v>
      </c>
      <c r="E146" s="308" t="s">
        <v>2321</v>
      </c>
      <c r="F146" s="308" t="s">
        <v>2322</v>
      </c>
      <c r="G146" s="308" t="s">
        <v>2301</v>
      </c>
      <c r="H146" s="325"/>
      <c r="I146" s="325"/>
      <c r="J146" s="325"/>
      <c r="K146" s="325"/>
      <c r="L146" s="325" t="s">
        <v>2302</v>
      </c>
      <c r="M146" s="325" t="s">
        <v>1745</v>
      </c>
    </row>
    <row r="147" spans="1:13" ht="58" customHeight="1" x14ac:dyDescent="0.35">
      <c r="A147" s="323" t="s">
        <v>2323</v>
      </c>
      <c r="B147" s="308" t="s">
        <v>2324</v>
      </c>
      <c r="C147" s="308" t="s">
        <v>2297</v>
      </c>
      <c r="D147" s="308" t="s">
        <v>2325</v>
      </c>
      <c r="E147" s="308" t="s">
        <v>2326</v>
      </c>
      <c r="F147" s="308" t="s">
        <v>2327</v>
      </c>
      <c r="G147" s="308" t="s">
        <v>2328</v>
      </c>
      <c r="H147" s="325"/>
      <c r="I147" s="325"/>
      <c r="J147" s="325"/>
      <c r="K147" s="325"/>
      <c r="L147" s="325" t="s">
        <v>2302</v>
      </c>
      <c r="M147" s="325" t="s">
        <v>1745</v>
      </c>
    </row>
    <row r="148" spans="1:13" ht="58" customHeight="1" x14ac:dyDescent="0.35">
      <c r="A148" s="323" t="s">
        <v>2329</v>
      </c>
      <c r="B148" s="308" t="s">
        <v>2330</v>
      </c>
      <c r="C148" s="308" t="s">
        <v>2297</v>
      </c>
      <c r="D148" s="308" t="s">
        <v>2331</v>
      </c>
      <c r="E148" s="308" t="s">
        <v>2332</v>
      </c>
      <c r="F148" s="308" t="s">
        <v>2333</v>
      </c>
      <c r="G148" s="308" t="s">
        <v>2301</v>
      </c>
      <c r="H148" s="325"/>
      <c r="I148" s="325"/>
      <c r="J148" s="325"/>
      <c r="K148" s="325"/>
      <c r="L148" s="325" t="s">
        <v>2302</v>
      </c>
      <c r="M148" s="325" t="s">
        <v>1745</v>
      </c>
    </row>
    <row r="149" spans="1:13" ht="58" customHeight="1" x14ac:dyDescent="0.35">
      <c r="A149" s="323" t="s">
        <v>2334</v>
      </c>
      <c r="B149" s="308" t="s">
        <v>2335</v>
      </c>
      <c r="C149" s="308" t="s">
        <v>2297</v>
      </c>
      <c r="D149" s="308" t="s">
        <v>2336</v>
      </c>
      <c r="E149" s="308" t="s">
        <v>2337</v>
      </c>
      <c r="F149" s="308" t="s">
        <v>2338</v>
      </c>
      <c r="G149" s="308" t="s">
        <v>2328</v>
      </c>
      <c r="H149" s="325"/>
      <c r="I149" s="325"/>
      <c r="J149" s="325"/>
      <c r="K149" s="325"/>
      <c r="L149" s="325" t="s">
        <v>2302</v>
      </c>
      <c r="M149" s="325" t="s">
        <v>1745</v>
      </c>
    </row>
    <row r="150" spans="1:13" ht="58" customHeight="1" x14ac:dyDescent="0.35">
      <c r="A150" s="323" t="s">
        <v>2339</v>
      </c>
      <c r="B150" s="308" t="s">
        <v>2340</v>
      </c>
      <c r="C150" s="308" t="s">
        <v>2341</v>
      </c>
      <c r="D150" s="308" t="s">
        <v>2342</v>
      </c>
      <c r="E150" s="308" t="s">
        <v>2343</v>
      </c>
      <c r="F150" s="308" t="s">
        <v>2344</v>
      </c>
      <c r="G150" s="308" t="s">
        <v>2345</v>
      </c>
      <c r="H150" s="325"/>
      <c r="I150" s="325"/>
      <c r="J150" s="325"/>
      <c r="K150" s="325"/>
      <c r="L150" s="325" t="s">
        <v>2302</v>
      </c>
      <c r="M150" s="325" t="s">
        <v>1745</v>
      </c>
    </row>
    <row r="151" spans="1:13" ht="58" customHeight="1" x14ac:dyDescent="0.35">
      <c r="A151" s="323" t="s">
        <v>2346</v>
      </c>
      <c r="B151" s="308" t="s">
        <v>2347</v>
      </c>
      <c r="C151" s="308" t="s">
        <v>2297</v>
      </c>
      <c r="D151" s="308" t="s">
        <v>2348</v>
      </c>
      <c r="E151" s="308" t="s">
        <v>2349</v>
      </c>
      <c r="F151" s="308" t="s">
        <v>2350</v>
      </c>
      <c r="G151" s="308" t="s">
        <v>2328</v>
      </c>
      <c r="H151" s="325"/>
      <c r="I151" s="325"/>
      <c r="J151" s="325"/>
      <c r="K151" s="325"/>
      <c r="L151" s="325" t="s">
        <v>2302</v>
      </c>
      <c r="M151" s="325" t="s">
        <v>1745</v>
      </c>
    </row>
    <row r="152" spans="1:13" x14ac:dyDescent="0.35">
      <c r="A152" s="325"/>
      <c r="B152" s="325"/>
      <c r="C152" s="325"/>
      <c r="D152" s="325"/>
      <c r="E152" s="325"/>
      <c r="F152" s="325"/>
      <c r="G152" s="325"/>
      <c r="H152" s="325"/>
      <c r="I152" s="325"/>
      <c r="J152" s="325"/>
      <c r="K152" s="325"/>
      <c r="L152" s="325"/>
      <c r="M152" s="325"/>
    </row>
    <row r="153" spans="1:13" ht="22" customHeight="1" x14ac:dyDescent="0.35">
      <c r="A153" s="940" t="s">
        <v>2351</v>
      </c>
      <c r="B153" s="935"/>
      <c r="C153" s="935"/>
      <c r="D153" s="935"/>
      <c r="E153" s="935"/>
      <c r="F153" s="935"/>
      <c r="G153" s="935"/>
      <c r="H153" s="935"/>
      <c r="I153" s="935"/>
      <c r="J153" s="935"/>
      <c r="K153" s="935"/>
      <c r="L153" s="325"/>
      <c r="M153" s="325" t="s">
        <v>1745</v>
      </c>
    </row>
    <row r="154" spans="1:13" ht="24" customHeight="1" x14ac:dyDescent="0.35">
      <c r="A154" s="306" t="s">
        <v>2352</v>
      </c>
      <c r="B154" s="306" t="s">
        <v>1100</v>
      </c>
      <c r="C154" s="306" t="s">
        <v>1101</v>
      </c>
      <c r="D154" s="306" t="s">
        <v>1731</v>
      </c>
      <c r="E154" s="325"/>
      <c r="F154" s="325"/>
      <c r="G154" s="325"/>
      <c r="H154" s="325"/>
      <c r="I154" s="325"/>
      <c r="J154" s="325"/>
      <c r="K154" s="325"/>
      <c r="L154" s="325" t="s">
        <v>1101</v>
      </c>
      <c r="M154" s="325" t="s">
        <v>1745</v>
      </c>
    </row>
    <row r="155" spans="1:13" ht="32" customHeight="1" x14ac:dyDescent="0.35">
      <c r="A155" s="323" t="s">
        <v>2353</v>
      </c>
      <c r="B155" s="308" t="s">
        <v>2354</v>
      </c>
      <c r="C155" s="323" t="str">
        <f>IF(ABS(Underwriting!$I$34/1000000-$E$52)&lt;0.0001,"OK","EXCEPTION: source component capex does not reconcile")</f>
        <v>OK</v>
      </c>
      <c r="D155" s="934" t="s">
        <v>2355</v>
      </c>
      <c r="E155" s="935"/>
      <c r="F155" s="935"/>
      <c r="G155" s="935"/>
      <c r="H155" s="935"/>
      <c r="I155" s="935"/>
      <c r="J155" s="935"/>
      <c r="K155" s="935"/>
      <c r="L155" s="325" t="s">
        <v>2302</v>
      </c>
      <c r="M155" s="325" t="s">
        <v>1745</v>
      </c>
    </row>
    <row r="156" spans="1:13" ht="32" customHeight="1" x14ac:dyDescent="0.35">
      <c r="A156" s="323" t="s">
        <v>2356</v>
      </c>
      <c r="B156" s="308" t="s">
        <v>2357</v>
      </c>
      <c r="C156" s="323" t="str">
        <f>IF(ABS(Underwriting!I196-Underwriting!I49)&lt;1,"OK","EXCEPTION: target capex timing does not equal cost before carry")</f>
        <v>OK</v>
      </c>
      <c r="D156" s="934" t="s">
        <v>2358</v>
      </c>
      <c r="E156" s="935"/>
      <c r="F156" s="935"/>
      <c r="G156" s="935"/>
      <c r="H156" s="935"/>
      <c r="I156" s="935"/>
      <c r="J156" s="935"/>
      <c r="K156" s="935"/>
      <c r="L156" s="325" t="s">
        <v>2302</v>
      </c>
      <c r="M156" s="325" t="s">
        <v>1745</v>
      </c>
    </row>
    <row r="157" spans="1:13" ht="32" customHeight="1" x14ac:dyDescent="0.35">
      <c r="A157" s="323" t="s">
        <v>2359</v>
      </c>
      <c r="B157" s="308" t="s">
        <v>2360</v>
      </c>
      <c r="C157" s="323" t="str">
        <f>IF(ABS(SUM(Underwriting!I93:I104)-Underwriting!I105)&lt;1,"OK","EXCEPTION: component revenue does not reconcile")</f>
        <v>OK</v>
      </c>
      <c r="D157" s="934" t="s">
        <v>2361</v>
      </c>
      <c r="E157" s="935"/>
      <c r="F157" s="935"/>
      <c r="G157" s="935"/>
      <c r="H157" s="935"/>
      <c r="I157" s="935"/>
      <c r="J157" s="935"/>
      <c r="K157" s="935"/>
      <c r="L157" s="325" t="s">
        <v>2302</v>
      </c>
      <c r="M157" s="325" t="s">
        <v>1745</v>
      </c>
    </row>
    <row r="158" spans="1:13" ht="32" customHeight="1" x14ac:dyDescent="0.35">
      <c r="A158" s="323" t="s">
        <v>2362</v>
      </c>
      <c r="B158" s="308" t="s">
        <v>2363</v>
      </c>
      <c r="C158" s="323" t="str">
        <f>IF(ABS(SUM(Underwriting!I134:I137)-Underwriting!I138)&lt;1,"OK","EXCEPTION: operating expenses do not reconcile")</f>
        <v>OK</v>
      </c>
      <c r="D158" s="934" t="s">
        <v>2364</v>
      </c>
      <c r="E158" s="935"/>
      <c r="F158" s="935"/>
      <c r="G158" s="935"/>
      <c r="H158" s="935"/>
      <c r="I158" s="935"/>
      <c r="J158" s="935"/>
      <c r="K158" s="935"/>
      <c r="L158" s="325" t="s">
        <v>2302</v>
      </c>
      <c r="M158" s="325" t="s">
        <v>1745</v>
      </c>
    </row>
    <row r="159" spans="1:13" ht="32" customHeight="1" x14ac:dyDescent="0.35">
      <c r="A159" s="323" t="s">
        <v>2365</v>
      </c>
      <c r="B159" s="308" t="s">
        <v>2366</v>
      </c>
      <c r="C159" s="323" t="str">
        <f>IF(ABS(Underwriting!I140-(Underwriting!I130-Underwriting!I138))&lt;1,"OK","EXCEPTION: NOI does not reconcile")</f>
        <v>OK</v>
      </c>
      <c r="D159" s="934" t="s">
        <v>2367</v>
      </c>
      <c r="E159" s="935"/>
      <c r="F159" s="935"/>
      <c r="G159" s="935"/>
      <c r="H159" s="935"/>
      <c r="I159" s="935"/>
      <c r="J159" s="935"/>
      <c r="K159" s="935"/>
      <c r="L159" s="325" t="s">
        <v>2302</v>
      </c>
      <c r="M159" s="325" t="s">
        <v>1745</v>
      </c>
    </row>
    <row r="160" spans="1:13" ht="32" customHeight="1" x14ac:dyDescent="0.35">
      <c r="A160" s="323" t="s">
        <v>2368</v>
      </c>
      <c r="B160" s="308" t="s">
        <v>2369</v>
      </c>
      <c r="C160" s="323" t="str">
        <f>IF(AND(Underwriting!E13&lt;DEBT!B18,DEBT!B18&lt;=DEBT!B35),"OK","EXCEPTION: programme dates are not logical")</f>
        <v>OK</v>
      </c>
      <c r="D160" s="934" t="s">
        <v>2370</v>
      </c>
      <c r="E160" s="935"/>
      <c r="F160" s="935"/>
      <c r="G160" s="935"/>
      <c r="H160" s="935"/>
      <c r="I160" s="935"/>
      <c r="J160" s="935"/>
      <c r="K160" s="935"/>
      <c r="L160" s="325" t="s">
        <v>2302</v>
      </c>
      <c r="M160" s="325" t="s">
        <v>1745</v>
      </c>
    </row>
    <row r="161" spans="1:13" ht="32" customHeight="1" x14ac:dyDescent="0.35">
      <c r="A161" s="323" t="s">
        <v>2371</v>
      </c>
      <c r="B161" s="308" t="s">
        <v>2372</v>
      </c>
      <c r="C161" s="323" t="str">
        <f>IF(ABS(SUMPRODUCT(Underwriting!E93:E104,Underwriting!H93:H104)-Underwriting!I105)&lt;1,"OK","EXCEPTION: lease inputs do not reconcile")</f>
        <v>OK</v>
      </c>
      <c r="D161" s="934" t="s">
        <v>2373</v>
      </c>
      <c r="E161" s="935"/>
      <c r="F161" s="935"/>
      <c r="G161" s="935"/>
      <c r="H161" s="935"/>
      <c r="I161" s="935"/>
      <c r="J161" s="935"/>
      <c r="K161" s="935"/>
      <c r="L161" s="325" t="s">
        <v>2302</v>
      </c>
      <c r="M161" s="325" t="s">
        <v>1745</v>
      </c>
    </row>
    <row r="162" spans="1:13" ht="32" customHeight="1" x14ac:dyDescent="0.35">
      <c r="A162" s="323" t="s">
        <v>2374</v>
      </c>
      <c r="B162" s="308" t="s">
        <v>2375</v>
      </c>
      <c r="C162" s="323" t="str">
        <f>IF(AND(ABS(Underwriting!E65-(DEBT!B12+DEBT!B13))&lt;0.000001,ABS(Underwriting!E81-(DEBT!B39+DEBT!B40))&lt;0.000001,ABS(Underwriting!C61-DEBT!B10)&lt;0.000001),"OK","EXCEPTION: debt assumptions do not reconcile")</f>
        <v>OK</v>
      </c>
      <c r="D162" s="934" t="s">
        <v>2376</v>
      </c>
      <c r="E162" s="935"/>
      <c r="F162" s="935"/>
      <c r="G162" s="935"/>
      <c r="H162" s="935"/>
      <c r="I162" s="935"/>
      <c r="J162" s="935"/>
      <c r="K162" s="935"/>
      <c r="L162" s="325" t="s">
        <v>2302</v>
      </c>
      <c r="M162" s="325" t="s">
        <v>1745</v>
      </c>
    </row>
    <row r="163" spans="1:13" ht="32" customHeight="1" x14ac:dyDescent="0.35">
      <c r="A163" s="323" t="s">
        <v>2377</v>
      </c>
      <c r="B163" s="308" t="s">
        <v>2378</v>
      </c>
      <c r="C163" s="323" t="str">
        <f>IF(AND(ABS(Underwriting!$I$161-'URWLD COMPANY INPUTS'!$F$811)&lt;0.000001,ABS(Underwriting!$I$162-'URWLD COMPANY INPUTS'!$F$813)&lt;0.000001,ABS(Underwriting!$I$163-'URWLD COMPANY INPUTS'!$F$818)&lt;0.000001),"OK","EXCEPTION: valuation assumptions do not reconcile")</f>
        <v>OK</v>
      </c>
      <c r="D163" s="934" t="s">
        <v>2379</v>
      </c>
      <c r="E163" s="935"/>
      <c r="F163" s="935"/>
      <c r="G163" s="935"/>
      <c r="H163" s="935"/>
      <c r="I163" s="935"/>
      <c r="J163" s="935"/>
      <c r="K163" s="935"/>
      <c r="L163" s="325" t="s">
        <v>2302</v>
      </c>
      <c r="M163" s="325" t="s">
        <v>1745</v>
      </c>
    </row>
    <row r="164" spans="1:13" ht="32" customHeight="1" x14ac:dyDescent="0.35">
      <c r="A164" s="323" t="s">
        <v>2380</v>
      </c>
      <c r="B164" s="308" t="s">
        <v>1108</v>
      </c>
      <c r="C164" s="323" t="str">
        <f>IF(AND(ABS(SUM('VALUATION &amp; RETURNS'!$H$26:$H$33)-1)&lt;0.000001,ABS('FUNDING &amp; CAP TABLE'!$F$18-1)&lt;0.000001),"OK","EXCEPTION: investor ownership")</f>
        <v>OK</v>
      </c>
      <c r="D164" s="934" t="s">
        <v>2381</v>
      </c>
      <c r="E164" s="935"/>
      <c r="F164" s="935"/>
      <c r="G164" s="935"/>
      <c r="H164" s="935"/>
      <c r="I164" s="935"/>
      <c r="J164" s="935"/>
      <c r="K164" s="935"/>
      <c r="L164" s="325" t="s">
        <v>2302</v>
      </c>
      <c r="M164" s="325" t="s">
        <v>1745</v>
      </c>
    </row>
    <row r="165" spans="1:13" ht="32" customHeight="1" x14ac:dyDescent="0.35">
      <c r="A165" s="323" t="s">
        <v>2382</v>
      </c>
      <c r="B165" s="308" t="s">
        <v>2383</v>
      </c>
      <c r="C165" s="323" t="str">
        <f>IF(ABS(Underwriting!$E$17*4046.8564224-$B$367)&lt;0.1,"OK","EXCEPTION: site-area conversion mismatch")</f>
        <v>OK</v>
      </c>
      <c r="D165" s="934" t="s">
        <v>2384</v>
      </c>
      <c r="E165" s="935"/>
      <c r="F165" s="935"/>
      <c r="G165" s="935"/>
      <c r="H165" s="935"/>
      <c r="I165" s="935"/>
      <c r="J165" s="935"/>
      <c r="K165" s="935"/>
      <c r="L165" s="325" t="s">
        <v>2302</v>
      </c>
      <c r="M165" s="325" t="s">
        <v>1745</v>
      </c>
    </row>
    <row r="166" spans="1:13" ht="32" customHeight="1" x14ac:dyDescent="0.35">
      <c r="A166" s="323" t="s">
        <v>2385</v>
      </c>
      <c r="B166" s="308" t="s">
        <v>2386</v>
      </c>
      <c r="C166" s="323" t="str">
        <f>IF(AND(ABS(Underwriting!$I$34/1000000-$E$52)&lt;0.0001,ABS(DEBT!$B$9-Underwriting!$I$57*Underwriting!$C$61)&lt;0.01),"OK","EXCEPTION: revised source driver is not formula linked")</f>
        <v>OK</v>
      </c>
      <c r="D166" s="934" t="s">
        <v>2387</v>
      </c>
      <c r="E166" s="935"/>
      <c r="F166" s="935"/>
      <c r="G166" s="935"/>
      <c r="H166" s="935"/>
      <c r="I166" s="935"/>
      <c r="J166" s="935"/>
      <c r="K166" s="935"/>
      <c r="L166" s="325" t="s">
        <v>2302</v>
      </c>
      <c r="M166" s="325" t="s">
        <v>1745</v>
      </c>
    </row>
    <row r="167" spans="1:13" ht="32" customHeight="1" x14ac:dyDescent="0.35">
      <c r="A167" s="323" t="s">
        <v>2388</v>
      </c>
      <c r="B167" s="308" t="s">
        <v>2389</v>
      </c>
      <c r="C167" s="569" t="str">
        <f>IF(COUNTIF($I$8:$I$352,"Conflict")=0,"OK","EXCEPTION: unresolved source conflicts remain")</f>
        <v>OK</v>
      </c>
      <c r="D167" s="934" t="s">
        <v>2390</v>
      </c>
      <c r="E167" s="935"/>
      <c r="F167" s="935"/>
      <c r="G167" s="935"/>
      <c r="H167" s="935"/>
      <c r="I167" s="935"/>
      <c r="J167" s="935"/>
      <c r="K167" s="935" t="s">
        <v>2391</v>
      </c>
      <c r="L167" s="325" t="s">
        <v>2302</v>
      </c>
      <c r="M167" s="325" t="s">
        <v>1745</v>
      </c>
    </row>
    <row r="168" spans="1:13" ht="32" customHeight="1" x14ac:dyDescent="0.35">
      <c r="A168" s="323" t="s">
        <v>2392</v>
      </c>
      <c r="B168" s="308" t="s">
        <v>1122</v>
      </c>
      <c r="C168" s="569" t="s">
        <v>1137</v>
      </c>
      <c r="D168" s="934" t="s">
        <v>2393</v>
      </c>
      <c r="E168" s="935"/>
      <c r="F168" s="935"/>
      <c r="G168" s="935"/>
      <c r="H168" s="935"/>
      <c r="I168" s="935"/>
      <c r="J168" s="935"/>
      <c r="K168" s="935"/>
      <c r="L168" s="325" t="s">
        <v>2302</v>
      </c>
      <c r="M168" s="325" t="s">
        <v>1745</v>
      </c>
    </row>
    <row r="169" spans="1:13" ht="32" customHeight="1" x14ac:dyDescent="0.35">
      <c r="A169" s="323" t="s">
        <v>2394</v>
      </c>
      <c r="B169" s="308" t="s">
        <v>2395</v>
      </c>
      <c r="C169" s="569" t="str">
        <f>IF(AND('VALUATION &amp; RETURNS'!$CR$118="OK",DEBT!$B$171="OK"),"OK","EXCEPTION: circular-reference / calculation-chain QA")</f>
        <v>OK</v>
      </c>
      <c r="D169" s="934" t="s">
        <v>2396</v>
      </c>
      <c r="E169" s="935"/>
      <c r="F169" s="935"/>
      <c r="G169" s="935"/>
      <c r="H169" s="935"/>
      <c r="I169" s="935"/>
      <c r="J169" s="935"/>
      <c r="K169" s="935"/>
      <c r="L169" s="325" t="s">
        <v>2302</v>
      </c>
      <c r="M169" s="325" t="s">
        <v>1745</v>
      </c>
    </row>
    <row r="170" spans="1:13" ht="32" customHeight="1" x14ac:dyDescent="0.35">
      <c r="A170" s="323" t="s">
        <v>2397</v>
      </c>
      <c r="B170" s="308" t="s">
        <v>2398</v>
      </c>
      <c r="C170" s="323" t="str">
        <f ca="1">IF(SUMPRODUCT(--ISERROR(Summary!$A$1:$S$86))+SUMPRODUCT(--ISERROR(Underwriting!$A$1:$PH$292))+SUMPRODUCT(--ISERROR('Annual Cash Flow'!$A$1:$EI$94))+SUMPRODUCT(--ISERROR('Tenant Report'!$A$1:$DR$90))+SUMPRODUCT(--ISERROR(Data!$A$1:$AK$41))+SUMPRODUCT(--ISERROR('Financial Statements'!$A$1:$X$94))+SUMPRODUCT(--ISERROR('VALUATION &amp; RETURNS'!$A$1:$GL$160))+SUMPRODUCT(--ISERROR('INVESTOR REPORT'!$A$1:$S$208))+SUMPRODUCT(--ISERROR(DEBT!$A$1:$DV$194))+SUMPRODUCT(--ISERROR('FUNDING &amp; CAP TABLE'!$A$1:$I$38))+SUMPRODUCT(--ISERROR('URWLD COMPANY INPUTS'!$A$1:$Q$884))+SUMPRODUCT(--ISERROR('INPUT REGISTER'!$A$1:$Q$670))=0,"OK","EXCEPTION: one or more Excel error values exist")</f>
        <v>OK</v>
      </c>
      <c r="D170" s="934" t="s">
        <v>2399</v>
      </c>
      <c r="E170" s="935"/>
      <c r="F170" s="935"/>
      <c r="G170" s="935"/>
      <c r="H170" s="935"/>
      <c r="I170" s="935"/>
      <c r="J170" s="935"/>
      <c r="K170" s="935"/>
      <c r="L170" s="325" t="s">
        <v>2302</v>
      </c>
      <c r="M170" s="325" t="s">
        <v>1745</v>
      </c>
    </row>
    <row r="171" spans="1:13" ht="32" customHeight="1" x14ac:dyDescent="0.35">
      <c r="A171" s="323" t="s">
        <v>2400</v>
      </c>
      <c r="B171" s="308" t="s">
        <v>2401</v>
      </c>
      <c r="C171" s="323" t="str">
        <f>IF(ABS($B$371-Underwriting!$I$57/1000000)&lt;0.000001,"OK","EXCEPTION: source funding scope differs from live gross development investment")</f>
        <v>EXCEPTION: source funding scope differs from live gross development investment</v>
      </c>
      <c r="D171" s="934" t="s">
        <v>2402</v>
      </c>
      <c r="E171" s="935"/>
      <c r="F171" s="935"/>
      <c r="G171" s="935"/>
      <c r="H171" s="935"/>
      <c r="I171" s="935"/>
      <c r="J171" s="935"/>
      <c r="K171" s="935"/>
      <c r="L171" s="325" t="s">
        <v>2302</v>
      </c>
      <c r="M171" s="325" t="s">
        <v>1745</v>
      </c>
    </row>
    <row r="172" spans="1:13" ht="87" x14ac:dyDescent="0.35">
      <c r="A172" s="325" t="s">
        <v>2403</v>
      </c>
      <c r="B172" s="325" t="s">
        <v>2404</v>
      </c>
      <c r="C172" s="906" t="str">
        <f>IF(AND(COUNTA('URWLD COMPANY INPUTS'!$Q$1:$Q$884)+COUNTA('INPUT REGISTER'!$Q$1:$Q$670)=1708,COUNTBLANK($I$324:$I$352)=0),"OK","EXCEPTION: source coverage or source alignment is incomplete")</f>
        <v>EXCEPTION: source coverage or source alignment is incomplete</v>
      </c>
      <c r="D172" s="325" t="s">
        <v>2405</v>
      </c>
      <c r="E172" s="325"/>
      <c r="F172" s="325"/>
      <c r="G172" s="325"/>
      <c r="H172" s="325"/>
      <c r="I172" s="325"/>
      <c r="J172" s="325"/>
      <c r="K172" s="325"/>
      <c r="L172" s="325" t="s">
        <v>2302</v>
      </c>
      <c r="M172" s="325" t="s">
        <v>1745</v>
      </c>
    </row>
    <row r="173" spans="1:13" ht="188.5" x14ac:dyDescent="0.35">
      <c r="A173" s="571" t="s">
        <v>2406</v>
      </c>
      <c r="B173" s="572"/>
      <c r="C173" s="907" t="str">
        <f ca="1">IF(OR(COUNTIF($C$155:$C$172,"EXCEPTION*")&gt;0,Summary!$O$12&lt;&gt;"PASS",Summary!$O$13&lt;&gt;"PASS",Summary!$O$14&lt;&gt;"PASS"),"TECHNICAL EXCEPTIONS OUTSTANDING",IF(COUNTBLANK('URWLD COMPANY INPUTS'!$F$857)+COUNTBLANK('URWLD COMPANY INPUTS'!$F$859)+COUNTBLANK('URWLD COMPANY INPUTS'!$F$861)+COUNTBLANK('URWLD COMPANY INPUTS'!$F$863)+COUNTBLANK('URWLD COMPANY INPUTS'!$F$864)+COUNTBLANK('URWLD COMPANY INPUTS'!$F$866)+COUNTBLANK('URWLD COMPANY INPUTS'!$F$867)+COUNTBLANK('URWLD COMPANY INPUTS'!$F$868)+COUNTBLANK('URWLD COMPANY INPUTS'!$F$869)+COUNTBLANK('URWLD COMPANY INPUTS'!$F$870)+COUNTBLANK('URWLD COMPANY INPUTS'!$F$871)+COUNTBLANK('URWLD COMPANY INPUTS'!$F$872)&gt;0,"TECHNICALLY RECONCILED — OWNER DECISIONS OUTSTANDING","INVESTOR READY"))</f>
        <v>TECHNICAL EXCEPTIONS OUTSTANDING</v>
      </c>
      <c r="D173" s="572" t="s">
        <v>2407</v>
      </c>
      <c r="E173" s="325"/>
      <c r="F173" s="325"/>
      <c r="G173" s="325"/>
      <c r="H173" s="325"/>
      <c r="I173" s="325"/>
      <c r="J173" s="325"/>
      <c r="K173" s="325"/>
      <c r="L173" s="325" t="s">
        <v>2408</v>
      </c>
      <c r="M173" s="325" t="s">
        <v>1745</v>
      </c>
    </row>
    <row r="174" spans="1:13" x14ac:dyDescent="0.35">
      <c r="A174" s="325"/>
      <c r="B174" s="325"/>
      <c r="C174" s="325"/>
      <c r="D174" s="325"/>
      <c r="E174" s="325"/>
      <c r="F174" s="325"/>
      <c r="G174" s="325"/>
      <c r="H174" s="325"/>
      <c r="I174" s="325"/>
      <c r="J174" s="325"/>
      <c r="K174" s="325"/>
      <c r="L174" s="325"/>
      <c r="M174" s="325"/>
    </row>
    <row r="175" spans="1:13" x14ac:dyDescent="0.35">
      <c r="A175" s="940" t="s">
        <v>2409</v>
      </c>
      <c r="B175" s="935"/>
      <c r="C175" s="935"/>
      <c r="D175" s="935"/>
      <c r="E175" s="935"/>
      <c r="F175" s="935"/>
      <c r="G175" s="935"/>
      <c r="H175" s="935"/>
      <c r="I175" s="935"/>
      <c r="J175" s="935"/>
      <c r="K175" s="935"/>
      <c r="L175" s="325"/>
      <c r="M175" s="325" t="s">
        <v>1745</v>
      </c>
    </row>
    <row r="176" spans="1:13" ht="45" customHeight="1" x14ac:dyDescent="0.35">
      <c r="A176" s="306" t="s">
        <v>2410</v>
      </c>
      <c r="B176" s="306" t="s">
        <v>2411</v>
      </c>
      <c r="C176" s="570" t="str">
        <f>IF(AND('VALUATION &amp; RETURNS'!$CR$133&gt;0,'VALUATION &amp; RETURNS'!$CR$145&lt;&gt;Underwriting!$I$15,'VALUATION &amp; RETURNS'!$CR$159="OK",'VALUATION &amp; RETURNS'!$CR$160="OK"),"OK","EXCEPTION: independent Build &amp; Hold strategy is incomplete")</f>
        <v>OK</v>
      </c>
      <c r="D176" s="306" t="s">
        <v>2412</v>
      </c>
      <c r="E176" s="325"/>
      <c r="F176" s="325"/>
      <c r="G176" s="325"/>
      <c r="H176" s="325"/>
      <c r="I176" s="325"/>
      <c r="J176" s="325"/>
      <c r="K176" s="325"/>
      <c r="L176" s="325" t="s">
        <v>2302</v>
      </c>
      <c r="M176" s="325" t="s">
        <v>1745</v>
      </c>
    </row>
    <row r="177" spans="1:13" ht="45" customHeight="1" x14ac:dyDescent="0.35">
      <c r="A177" s="306" t="s">
        <v>2413</v>
      </c>
      <c r="B177" s="306" t="s">
        <v>2414</v>
      </c>
      <c r="C177" s="917" t="str">
        <f>IF(DEBT!B48="","PENDING: minimum DSCR owner decision",IF(MIN(DEBT!O37:O39)&gt;=DEBT!B48-0.0001,"OK","EXCEPTION: one or more scenario debt cases fails minimum DSCR"))</f>
        <v>PENDING: minimum DSCR owner decision</v>
      </c>
      <c r="D177" s="306" t="s">
        <v>2415</v>
      </c>
      <c r="E177" s="325"/>
      <c r="F177" s="325"/>
      <c r="G177" s="325"/>
      <c r="H177" s="325"/>
      <c r="I177" s="325"/>
      <c r="J177" s="325"/>
      <c r="K177" s="325"/>
      <c r="L177" s="325" t="s">
        <v>2302</v>
      </c>
      <c r="M177" s="325" t="s">
        <v>1745</v>
      </c>
    </row>
    <row r="178" spans="1:13" ht="203" x14ac:dyDescent="0.35">
      <c r="A178" s="325"/>
      <c r="B178" s="325"/>
      <c r="C178" s="325"/>
      <c r="D178" s="325" t="s">
        <v>2416</v>
      </c>
      <c r="E178" s="325" t="s">
        <v>2417</v>
      </c>
      <c r="F178" s="325" t="s">
        <v>2418</v>
      </c>
      <c r="G178" s="325" t="s">
        <v>2419</v>
      </c>
      <c r="H178" s="325"/>
      <c r="I178" s="325"/>
      <c r="J178" s="325"/>
      <c r="K178" s="325"/>
      <c r="L178" s="325"/>
      <c r="M178" s="325"/>
    </row>
    <row r="179" spans="1:13" x14ac:dyDescent="0.35">
      <c r="A179" s="940" t="s">
        <v>2420</v>
      </c>
      <c r="B179" s="935"/>
      <c r="C179" s="935"/>
      <c r="D179" s="935"/>
      <c r="E179" s="935"/>
      <c r="F179" s="935"/>
      <c r="G179" s="935"/>
      <c r="H179" s="935"/>
      <c r="I179" s="935"/>
      <c r="J179" s="935"/>
      <c r="K179" s="935"/>
      <c r="L179" s="325"/>
      <c r="M179" s="325" t="s">
        <v>1745</v>
      </c>
    </row>
    <row r="180" spans="1:13" ht="27" x14ac:dyDescent="0.35">
      <c r="A180" s="306" t="s">
        <v>2421</v>
      </c>
      <c r="B180" s="306" t="s">
        <v>636</v>
      </c>
      <c r="C180" s="306" t="s">
        <v>2292</v>
      </c>
      <c r="D180" s="306" t="s">
        <v>2422</v>
      </c>
      <c r="E180" s="306" t="s">
        <v>2423</v>
      </c>
      <c r="F180" s="306" t="s">
        <v>2424</v>
      </c>
      <c r="G180" s="306" t="s">
        <v>622</v>
      </c>
      <c r="H180" s="325"/>
      <c r="I180" s="325"/>
      <c r="J180" s="325"/>
      <c r="K180" s="325"/>
      <c r="L180" s="325" t="s">
        <v>2292</v>
      </c>
      <c r="M180" s="325" t="s">
        <v>1745</v>
      </c>
    </row>
    <row r="181" spans="1:13" ht="75" customHeight="1" x14ac:dyDescent="0.35">
      <c r="A181" s="323" t="s">
        <v>2425</v>
      </c>
      <c r="B181" s="308" t="s">
        <v>2426</v>
      </c>
      <c r="C181" s="323" t="s">
        <v>2297</v>
      </c>
      <c r="D181" s="934" t="s">
        <v>2427</v>
      </c>
      <c r="E181" s="935"/>
      <c r="F181" s="935"/>
      <c r="G181" s="935" t="s">
        <v>2301</v>
      </c>
      <c r="H181" s="325"/>
      <c r="I181" s="325"/>
      <c r="J181" s="325"/>
      <c r="K181" s="325"/>
      <c r="L181" s="325" t="s">
        <v>2302</v>
      </c>
      <c r="M181" s="325" t="s">
        <v>1745</v>
      </c>
    </row>
    <row r="182" spans="1:13" ht="75" customHeight="1" x14ac:dyDescent="0.35">
      <c r="A182" s="323" t="s">
        <v>2428</v>
      </c>
      <c r="B182" s="308" t="s">
        <v>2429</v>
      </c>
      <c r="C182" s="323" t="s">
        <v>2297</v>
      </c>
      <c r="D182" s="934" t="s">
        <v>2430</v>
      </c>
      <c r="E182" s="935" t="s">
        <v>2431</v>
      </c>
      <c r="F182" s="935" t="s">
        <v>2432</v>
      </c>
      <c r="G182" s="935" t="s">
        <v>2301</v>
      </c>
      <c r="H182" s="325"/>
      <c r="I182" s="325"/>
      <c r="J182" s="325"/>
      <c r="K182" s="325"/>
      <c r="L182" s="325" t="s">
        <v>2302</v>
      </c>
      <c r="M182" s="325" t="s">
        <v>1745</v>
      </c>
    </row>
    <row r="183" spans="1:13" ht="75" customHeight="1" x14ac:dyDescent="0.35">
      <c r="A183" s="323" t="s">
        <v>2433</v>
      </c>
      <c r="B183" s="308" t="s">
        <v>2434</v>
      </c>
      <c r="C183" s="323" t="s">
        <v>2297</v>
      </c>
      <c r="D183" s="934" t="s">
        <v>2435</v>
      </c>
      <c r="E183" s="935"/>
      <c r="F183" s="935"/>
      <c r="G183" s="935" t="s">
        <v>2301</v>
      </c>
      <c r="H183" s="325"/>
      <c r="I183" s="325"/>
      <c r="J183" s="325"/>
      <c r="K183" s="325"/>
      <c r="L183" s="325" t="s">
        <v>2302</v>
      </c>
      <c r="M183" s="325" t="s">
        <v>1745</v>
      </c>
    </row>
    <row r="184" spans="1:13" ht="75" customHeight="1" x14ac:dyDescent="0.35">
      <c r="A184" s="323" t="s">
        <v>2436</v>
      </c>
      <c r="B184" s="308" t="s">
        <v>2437</v>
      </c>
      <c r="C184" s="323" t="s">
        <v>2297</v>
      </c>
      <c r="D184" s="934" t="s">
        <v>2438</v>
      </c>
      <c r="E184" s="935" t="s">
        <v>2439</v>
      </c>
      <c r="F184" s="935" t="s">
        <v>2440</v>
      </c>
      <c r="G184" s="935" t="s">
        <v>2328</v>
      </c>
      <c r="H184" s="325"/>
      <c r="I184" s="325"/>
      <c r="J184" s="325"/>
      <c r="K184" s="325"/>
      <c r="L184" s="325" t="s">
        <v>2302</v>
      </c>
      <c r="M184" s="325" t="s">
        <v>1745</v>
      </c>
    </row>
    <row r="185" spans="1:13" ht="75" customHeight="1" x14ac:dyDescent="0.35">
      <c r="A185" s="323" t="s">
        <v>2441</v>
      </c>
      <c r="B185" s="308" t="s">
        <v>2442</v>
      </c>
      <c r="C185" s="323" t="s">
        <v>2297</v>
      </c>
      <c r="D185" s="934" t="s">
        <v>2443</v>
      </c>
      <c r="E185" s="935"/>
      <c r="F185" s="935"/>
      <c r="G185" s="935" t="s">
        <v>2328</v>
      </c>
      <c r="H185" s="325"/>
      <c r="I185" s="325"/>
      <c r="J185" s="325"/>
      <c r="K185" s="325"/>
      <c r="L185" s="325" t="s">
        <v>2302</v>
      </c>
      <c r="M185" s="325" t="s">
        <v>1745</v>
      </c>
    </row>
    <row r="186" spans="1:13" ht="75" customHeight="1" x14ac:dyDescent="0.35">
      <c r="A186" s="323" t="s">
        <v>2444</v>
      </c>
      <c r="B186" s="308" t="s">
        <v>2445</v>
      </c>
      <c r="C186" s="323" t="s">
        <v>2297</v>
      </c>
      <c r="D186" s="934" t="s">
        <v>2446</v>
      </c>
      <c r="E186" s="935" t="s">
        <v>2447</v>
      </c>
      <c r="F186" s="935" t="s">
        <v>2448</v>
      </c>
      <c r="G186" s="935" t="s">
        <v>2328</v>
      </c>
      <c r="H186" s="325"/>
      <c r="I186" s="325"/>
      <c r="J186" s="325"/>
      <c r="K186" s="325"/>
      <c r="L186" s="325" t="s">
        <v>2302</v>
      </c>
      <c r="M186" s="325" t="s">
        <v>1745</v>
      </c>
    </row>
    <row r="187" spans="1:13" ht="75" customHeight="1" x14ac:dyDescent="0.35">
      <c r="A187" s="323" t="s">
        <v>2449</v>
      </c>
      <c r="B187" s="308" t="s">
        <v>2450</v>
      </c>
      <c r="C187" s="323" t="s">
        <v>2297</v>
      </c>
      <c r="D187" s="934" t="s">
        <v>2451</v>
      </c>
      <c r="E187" s="935" t="s">
        <v>2452</v>
      </c>
      <c r="F187" s="935" t="s">
        <v>2453</v>
      </c>
      <c r="G187" s="935" t="s">
        <v>2301</v>
      </c>
      <c r="H187" s="325"/>
      <c r="I187" s="325"/>
      <c r="J187" s="325"/>
      <c r="K187" s="325"/>
      <c r="L187" s="325" t="s">
        <v>2302</v>
      </c>
      <c r="M187" s="325" t="s">
        <v>1745</v>
      </c>
    </row>
    <row r="188" spans="1:13" ht="75" customHeight="1" x14ac:dyDescent="0.35">
      <c r="A188" s="323" t="s">
        <v>2454</v>
      </c>
      <c r="B188" s="308" t="s">
        <v>2455</v>
      </c>
      <c r="C188" s="323" t="s">
        <v>2297</v>
      </c>
      <c r="D188" s="934" t="s">
        <v>2456</v>
      </c>
      <c r="E188" s="935" t="s">
        <v>2457</v>
      </c>
      <c r="F188" s="935" t="s">
        <v>2458</v>
      </c>
      <c r="G188" s="935" t="s">
        <v>2301</v>
      </c>
      <c r="H188" s="325"/>
      <c r="I188" s="325"/>
      <c r="J188" s="325"/>
      <c r="K188" s="325"/>
      <c r="L188" s="325" t="s">
        <v>2302</v>
      </c>
      <c r="M188" s="325" t="s">
        <v>1745</v>
      </c>
    </row>
    <row r="189" spans="1:13" ht="75" customHeight="1" x14ac:dyDescent="0.35">
      <c r="A189" s="323" t="s">
        <v>2459</v>
      </c>
      <c r="B189" s="308" t="s">
        <v>2460</v>
      </c>
      <c r="C189" s="323" t="s">
        <v>2341</v>
      </c>
      <c r="D189" s="934" t="s">
        <v>2461</v>
      </c>
      <c r="E189" s="935" t="s">
        <v>2462</v>
      </c>
      <c r="F189" s="935" t="s">
        <v>2463</v>
      </c>
      <c r="G189" s="935" t="s">
        <v>2301</v>
      </c>
      <c r="H189" s="325"/>
      <c r="I189" s="325"/>
      <c r="J189" s="325"/>
      <c r="K189" s="325"/>
      <c r="L189" s="325" t="s">
        <v>2302</v>
      </c>
      <c r="M189" s="325" t="s">
        <v>1745</v>
      </c>
    </row>
    <row r="190" spans="1:13" ht="75" customHeight="1" x14ac:dyDescent="0.35">
      <c r="A190" s="323" t="s">
        <v>2464</v>
      </c>
      <c r="B190" s="308" t="s">
        <v>2465</v>
      </c>
      <c r="C190" s="323" t="s">
        <v>2297</v>
      </c>
      <c r="D190" s="934" t="s">
        <v>2466</v>
      </c>
      <c r="E190" s="935"/>
      <c r="F190" s="935"/>
      <c r="G190" s="935" t="s">
        <v>2301</v>
      </c>
      <c r="H190" s="325"/>
      <c r="I190" s="325"/>
      <c r="J190" s="325"/>
      <c r="K190" s="325"/>
      <c r="L190" s="325" t="s">
        <v>2302</v>
      </c>
      <c r="M190" s="325" t="s">
        <v>1745</v>
      </c>
    </row>
    <row r="191" spans="1:13" ht="75" customHeight="1" x14ac:dyDescent="0.35">
      <c r="A191" s="323" t="s">
        <v>2467</v>
      </c>
      <c r="B191" s="308" t="s">
        <v>2468</v>
      </c>
      <c r="C191" s="323" t="s">
        <v>2297</v>
      </c>
      <c r="D191" s="934" t="s">
        <v>2469</v>
      </c>
      <c r="E191" s="935"/>
      <c r="F191" s="935"/>
      <c r="G191" s="935" t="s">
        <v>2301</v>
      </c>
      <c r="H191" s="325"/>
      <c r="I191" s="325"/>
      <c r="J191" s="325"/>
      <c r="K191" s="325"/>
      <c r="L191" s="325" t="s">
        <v>2302</v>
      </c>
      <c r="M191" s="325" t="s">
        <v>1745</v>
      </c>
    </row>
    <row r="192" spans="1:13" x14ac:dyDescent="0.35">
      <c r="A192" s="940" t="s">
        <v>2470</v>
      </c>
      <c r="B192" s="935"/>
      <c r="C192" s="935"/>
      <c r="D192" s="935"/>
      <c r="E192" s="935"/>
      <c r="F192" s="935"/>
      <c r="G192" s="935"/>
      <c r="H192" s="935"/>
      <c r="I192" s="935"/>
      <c r="J192" s="935"/>
      <c r="K192" s="935"/>
      <c r="L192" s="325"/>
      <c r="M192" s="325" t="s">
        <v>1745</v>
      </c>
    </row>
    <row r="193" spans="1:13" x14ac:dyDescent="0.35">
      <c r="A193" s="306" t="s">
        <v>2471</v>
      </c>
      <c r="B193" s="306" t="s">
        <v>2472</v>
      </c>
      <c r="C193" s="306" t="s">
        <v>2473</v>
      </c>
      <c r="D193" s="306" t="s">
        <v>2474</v>
      </c>
      <c r="E193" s="306" t="s">
        <v>2475</v>
      </c>
      <c r="F193" s="306" t="s">
        <v>622</v>
      </c>
      <c r="G193" s="325"/>
      <c r="H193" s="325"/>
      <c r="I193" s="325"/>
      <c r="J193" s="325"/>
      <c r="K193" s="325"/>
      <c r="L193" s="325" t="s">
        <v>2473</v>
      </c>
      <c r="M193" s="325"/>
    </row>
    <row r="194" spans="1:13" ht="60" customHeight="1" x14ac:dyDescent="0.35">
      <c r="A194" s="323" t="s">
        <v>2476</v>
      </c>
      <c r="B194" s="308" t="s">
        <v>2477</v>
      </c>
      <c r="C194" s="323" t="s">
        <v>2478</v>
      </c>
      <c r="D194" s="934" t="s">
        <v>2479</v>
      </c>
      <c r="E194" s="935" t="s">
        <v>2480</v>
      </c>
      <c r="F194" s="935" t="s">
        <v>487</v>
      </c>
      <c r="G194" s="325"/>
      <c r="H194" s="325"/>
      <c r="I194" s="325"/>
      <c r="J194" s="325"/>
      <c r="K194" s="325"/>
      <c r="L194" s="325" t="s">
        <v>2302</v>
      </c>
      <c r="M194" s="325" t="s">
        <v>2220</v>
      </c>
    </row>
    <row r="195" spans="1:13" ht="60" customHeight="1" x14ac:dyDescent="0.35">
      <c r="A195" s="323" t="s">
        <v>2481</v>
      </c>
      <c r="B195" s="308" t="s">
        <v>2482</v>
      </c>
      <c r="C195" s="323" t="s">
        <v>2483</v>
      </c>
      <c r="D195" s="934" t="s">
        <v>2484</v>
      </c>
      <c r="E195" s="935" t="s">
        <v>2485</v>
      </c>
      <c r="F195" s="935" t="s">
        <v>487</v>
      </c>
      <c r="G195" s="325"/>
      <c r="H195" s="325"/>
      <c r="I195" s="325"/>
      <c r="J195" s="325"/>
      <c r="K195" s="325"/>
      <c r="L195" s="325" t="s">
        <v>2302</v>
      </c>
      <c r="M195" s="325" t="s">
        <v>1745</v>
      </c>
    </row>
    <row r="196" spans="1:13" ht="60" customHeight="1" x14ac:dyDescent="0.35">
      <c r="A196" s="323" t="s">
        <v>2486</v>
      </c>
      <c r="B196" s="308" t="s">
        <v>2487</v>
      </c>
      <c r="C196" s="323" t="s">
        <v>2488</v>
      </c>
      <c r="D196" s="934" t="s">
        <v>2489</v>
      </c>
      <c r="E196" s="935" t="s">
        <v>2490</v>
      </c>
      <c r="F196" s="935" t="s">
        <v>487</v>
      </c>
      <c r="G196" s="325"/>
      <c r="H196" s="325"/>
      <c r="I196" s="325"/>
      <c r="J196" s="325"/>
      <c r="K196" s="325"/>
      <c r="L196" s="325" t="s">
        <v>2302</v>
      </c>
      <c r="M196" s="325" t="s">
        <v>1745</v>
      </c>
    </row>
    <row r="197" spans="1:13" ht="60" customHeight="1" x14ac:dyDescent="0.35">
      <c r="A197" s="323" t="s">
        <v>2491</v>
      </c>
      <c r="B197" s="308" t="s">
        <v>1996</v>
      </c>
      <c r="C197" s="323" t="s">
        <v>2492</v>
      </c>
      <c r="D197" s="934" t="s">
        <v>2493</v>
      </c>
      <c r="E197" s="935" t="s">
        <v>2494</v>
      </c>
      <c r="F197" s="935" t="s">
        <v>487</v>
      </c>
      <c r="G197" s="325"/>
      <c r="H197" s="325"/>
      <c r="I197" s="325"/>
      <c r="J197" s="325"/>
      <c r="K197" s="325"/>
      <c r="L197" s="325" t="s">
        <v>2302</v>
      </c>
      <c r="M197" s="325" t="s">
        <v>1745</v>
      </c>
    </row>
    <row r="198" spans="1:13" ht="60" customHeight="1" x14ac:dyDescent="0.35">
      <c r="A198" s="323" t="s">
        <v>2495</v>
      </c>
      <c r="B198" s="308" t="s">
        <v>2460</v>
      </c>
      <c r="C198" s="323" t="s">
        <v>2496</v>
      </c>
      <c r="D198" s="934" t="s">
        <v>2497</v>
      </c>
      <c r="E198" s="935" t="s">
        <v>2498</v>
      </c>
      <c r="F198" s="935" t="s">
        <v>487</v>
      </c>
      <c r="G198" s="325"/>
      <c r="H198" s="325"/>
      <c r="I198" s="325"/>
      <c r="J198" s="325"/>
      <c r="K198" s="325"/>
      <c r="L198" s="325" t="s">
        <v>2302</v>
      </c>
      <c r="M198" s="325" t="s">
        <v>1745</v>
      </c>
    </row>
    <row r="199" spans="1:13" ht="60" customHeight="1" x14ac:dyDescent="0.35">
      <c r="A199" s="323" t="s">
        <v>2499</v>
      </c>
      <c r="B199" s="308" t="s">
        <v>2500</v>
      </c>
      <c r="C199" s="323" t="s">
        <v>2501</v>
      </c>
      <c r="D199" s="934" t="s">
        <v>2502</v>
      </c>
      <c r="E199" s="935"/>
      <c r="F199" s="935"/>
      <c r="G199" s="325"/>
      <c r="H199" s="325"/>
      <c r="I199" s="325"/>
      <c r="J199" s="325"/>
      <c r="K199" s="325"/>
      <c r="L199" s="325" t="s">
        <v>2302</v>
      </c>
      <c r="M199" s="325" t="s">
        <v>2220</v>
      </c>
    </row>
    <row r="200" spans="1:13" ht="60" customHeight="1" x14ac:dyDescent="0.35">
      <c r="A200" s="323" t="s">
        <v>2503</v>
      </c>
      <c r="B200" s="308" t="s">
        <v>2504</v>
      </c>
      <c r="C200" s="323" t="s">
        <v>2505</v>
      </c>
      <c r="D200" s="934" t="s">
        <v>2506</v>
      </c>
      <c r="E200" s="935"/>
      <c r="F200" s="935"/>
      <c r="G200" s="325"/>
      <c r="H200" s="325"/>
      <c r="I200" s="325"/>
      <c r="J200" s="325"/>
      <c r="K200" s="325"/>
      <c r="L200" s="325" t="s">
        <v>2302</v>
      </c>
      <c r="M200" s="325" t="s">
        <v>2220</v>
      </c>
    </row>
    <row r="201" spans="1:13" x14ac:dyDescent="0.35">
      <c r="A201" s="940" t="s">
        <v>2507</v>
      </c>
      <c r="B201" s="935"/>
      <c r="C201" s="935"/>
      <c r="D201" s="935"/>
      <c r="E201" s="935"/>
      <c r="F201" s="935"/>
      <c r="G201" s="935"/>
      <c r="H201" s="935"/>
      <c r="I201" s="935"/>
      <c r="J201" s="935"/>
      <c r="K201" s="935"/>
      <c r="L201" s="325"/>
      <c r="M201" s="325" t="s">
        <v>1745</v>
      </c>
    </row>
    <row r="202" spans="1:13" x14ac:dyDescent="0.35">
      <c r="A202" s="306" t="s">
        <v>1722</v>
      </c>
      <c r="B202" s="306" t="s">
        <v>1723</v>
      </c>
      <c r="C202" s="306" t="s">
        <v>1724</v>
      </c>
      <c r="D202" s="306" t="s">
        <v>1725</v>
      </c>
      <c r="E202" s="306" t="s">
        <v>1726</v>
      </c>
      <c r="F202" s="306" t="s">
        <v>1727</v>
      </c>
      <c r="G202" s="306" t="s">
        <v>1728</v>
      </c>
      <c r="H202" s="306" t="s">
        <v>1729</v>
      </c>
      <c r="I202" s="306" t="s">
        <v>622</v>
      </c>
      <c r="J202" s="306" t="s">
        <v>2508</v>
      </c>
      <c r="K202" s="306" t="s">
        <v>1731</v>
      </c>
      <c r="L202" s="325" t="s">
        <v>1732</v>
      </c>
      <c r="M202" s="325" t="s">
        <v>1733</v>
      </c>
    </row>
    <row r="203" spans="1:13" ht="45" customHeight="1" x14ac:dyDescent="0.35">
      <c r="A203" s="323" t="s">
        <v>2509</v>
      </c>
      <c r="B203" s="308" t="s">
        <v>2510</v>
      </c>
      <c r="C203" s="308" t="s">
        <v>2511</v>
      </c>
      <c r="D203" s="308" t="s">
        <v>2512</v>
      </c>
      <c r="E203" s="308">
        <v>12</v>
      </c>
      <c r="F203" s="308" t="s">
        <v>2513</v>
      </c>
      <c r="G203" s="308" t="s">
        <v>2514</v>
      </c>
      <c r="H203" s="308" t="s">
        <v>2515</v>
      </c>
      <c r="I203" s="308" t="s">
        <v>2516</v>
      </c>
      <c r="J203" s="308" t="s">
        <v>1782</v>
      </c>
      <c r="K203" s="308" t="s">
        <v>2517</v>
      </c>
      <c r="L203" s="325" t="s">
        <v>2518</v>
      </c>
      <c r="M203" s="325" t="s">
        <v>2173</v>
      </c>
    </row>
    <row r="204" spans="1:13" ht="45" customHeight="1" x14ac:dyDescent="0.35">
      <c r="A204" s="323" t="s">
        <v>2519</v>
      </c>
      <c r="B204" s="308" t="s">
        <v>2520</v>
      </c>
      <c r="C204" s="308" t="s">
        <v>2511</v>
      </c>
      <c r="D204" s="308" t="s">
        <v>2521</v>
      </c>
      <c r="E204" s="308">
        <v>0</v>
      </c>
      <c r="F204" s="308" t="s">
        <v>2513</v>
      </c>
      <c r="G204" s="308" t="s">
        <v>2522</v>
      </c>
      <c r="H204" s="308" t="s">
        <v>2523</v>
      </c>
      <c r="I204" s="308" t="s">
        <v>2516</v>
      </c>
      <c r="J204" s="308" t="s">
        <v>1782</v>
      </c>
      <c r="K204" s="308" t="s">
        <v>2517</v>
      </c>
      <c r="L204" s="325" t="s">
        <v>2518</v>
      </c>
      <c r="M204" s="325" t="s">
        <v>2173</v>
      </c>
    </row>
    <row r="205" spans="1:13" ht="45" customHeight="1" x14ac:dyDescent="0.35">
      <c r="A205" s="323" t="s">
        <v>2524</v>
      </c>
      <c r="B205" s="308" t="s">
        <v>2525</v>
      </c>
      <c r="C205" s="308" t="s">
        <v>2511</v>
      </c>
      <c r="D205" s="308" t="s">
        <v>2526</v>
      </c>
      <c r="E205" s="308">
        <v>0</v>
      </c>
      <c r="F205" s="308" t="s">
        <v>2513</v>
      </c>
      <c r="G205" s="308" t="s">
        <v>2527</v>
      </c>
      <c r="H205" s="308" t="s">
        <v>2528</v>
      </c>
      <c r="I205" s="308" t="s">
        <v>2516</v>
      </c>
      <c r="J205" s="308" t="s">
        <v>1782</v>
      </c>
      <c r="K205" s="308" t="s">
        <v>2517</v>
      </c>
      <c r="L205" s="325" t="s">
        <v>2518</v>
      </c>
      <c r="M205" s="325" t="s">
        <v>2173</v>
      </c>
    </row>
    <row r="206" spans="1:13" ht="45" customHeight="1" x14ac:dyDescent="0.35">
      <c r="A206" s="323" t="s">
        <v>2529</v>
      </c>
      <c r="B206" s="308" t="s">
        <v>2530</v>
      </c>
      <c r="C206" s="308" t="s">
        <v>2511</v>
      </c>
      <c r="D206" s="308" t="s">
        <v>2531</v>
      </c>
      <c r="E206" s="308">
        <v>4</v>
      </c>
      <c r="F206" s="308" t="s">
        <v>2513</v>
      </c>
      <c r="G206" s="308" t="s">
        <v>2532</v>
      </c>
      <c r="H206" s="308" t="s">
        <v>2533</v>
      </c>
      <c r="I206" s="308" t="s">
        <v>2516</v>
      </c>
      <c r="J206" s="308" t="s">
        <v>1782</v>
      </c>
      <c r="K206" s="308" t="s">
        <v>2517</v>
      </c>
      <c r="L206" s="325" t="s">
        <v>2518</v>
      </c>
      <c r="M206" s="325" t="s">
        <v>2173</v>
      </c>
    </row>
    <row r="207" spans="1:13" ht="45" customHeight="1" x14ac:dyDescent="0.35">
      <c r="A207" s="323" t="s">
        <v>2534</v>
      </c>
      <c r="B207" s="308" t="s">
        <v>2535</v>
      </c>
      <c r="C207" s="308" t="s">
        <v>2511</v>
      </c>
      <c r="D207" s="308" t="s">
        <v>2536</v>
      </c>
      <c r="E207" s="308">
        <v>0</v>
      </c>
      <c r="F207" s="308" t="s">
        <v>2513</v>
      </c>
      <c r="G207" s="308" t="s">
        <v>2537</v>
      </c>
      <c r="H207" s="308" t="s">
        <v>2538</v>
      </c>
      <c r="I207" s="308" t="s">
        <v>2516</v>
      </c>
      <c r="J207" s="308" t="s">
        <v>1782</v>
      </c>
      <c r="K207" s="308" t="s">
        <v>2517</v>
      </c>
      <c r="L207" s="325" t="s">
        <v>2518</v>
      </c>
      <c r="M207" s="325" t="s">
        <v>2173</v>
      </c>
    </row>
    <row r="208" spans="1:13" ht="45" customHeight="1" x14ac:dyDescent="0.35">
      <c r="A208" s="323" t="s">
        <v>2539</v>
      </c>
      <c r="B208" s="308" t="s">
        <v>2540</v>
      </c>
      <c r="C208" s="308" t="s">
        <v>2511</v>
      </c>
      <c r="D208" s="308" t="s">
        <v>2541</v>
      </c>
      <c r="E208" s="308">
        <v>11</v>
      </c>
      <c r="F208" s="308" t="s">
        <v>2513</v>
      </c>
      <c r="G208" s="308" t="s">
        <v>2542</v>
      </c>
      <c r="H208" s="308" t="s">
        <v>2543</v>
      </c>
      <c r="I208" s="308" t="s">
        <v>2516</v>
      </c>
      <c r="J208" s="308" t="s">
        <v>1782</v>
      </c>
      <c r="K208" s="308" t="s">
        <v>2517</v>
      </c>
      <c r="L208" s="325" t="s">
        <v>2518</v>
      </c>
      <c r="M208" s="325" t="s">
        <v>2173</v>
      </c>
    </row>
    <row r="209" spans="1:13" ht="45" customHeight="1" x14ac:dyDescent="0.35">
      <c r="A209" s="323" t="s">
        <v>2544</v>
      </c>
      <c r="B209" s="308" t="s">
        <v>2545</v>
      </c>
      <c r="C209" s="308" t="s">
        <v>2511</v>
      </c>
      <c r="D209" s="308" t="s">
        <v>2546</v>
      </c>
      <c r="E209" s="308">
        <v>5</v>
      </c>
      <c r="F209" s="308" t="s">
        <v>2513</v>
      </c>
      <c r="G209" s="308" t="s">
        <v>2547</v>
      </c>
      <c r="H209" s="308" t="s">
        <v>2548</v>
      </c>
      <c r="I209" s="308" t="s">
        <v>2516</v>
      </c>
      <c r="J209" s="308" t="s">
        <v>1782</v>
      </c>
      <c r="K209" s="308" t="s">
        <v>2517</v>
      </c>
      <c r="L209" s="325" t="s">
        <v>2518</v>
      </c>
      <c r="M209" s="325" t="s">
        <v>2173</v>
      </c>
    </row>
    <row r="210" spans="1:13" ht="45" customHeight="1" x14ac:dyDescent="0.35">
      <c r="A210" s="323" t="s">
        <v>2549</v>
      </c>
      <c r="B210" s="308" t="s">
        <v>2550</v>
      </c>
      <c r="C210" s="308" t="s">
        <v>2511</v>
      </c>
      <c r="D210" s="308" t="s">
        <v>2551</v>
      </c>
      <c r="E210" s="308">
        <v>0</v>
      </c>
      <c r="F210" s="308" t="s">
        <v>2513</v>
      </c>
      <c r="G210" s="308" t="s">
        <v>2552</v>
      </c>
      <c r="H210" s="308" t="s">
        <v>2553</v>
      </c>
      <c r="I210" s="308" t="s">
        <v>2516</v>
      </c>
      <c r="J210" s="308" t="s">
        <v>1782</v>
      </c>
      <c r="K210" s="308" t="s">
        <v>2517</v>
      </c>
      <c r="L210" s="325" t="s">
        <v>2518</v>
      </c>
      <c r="M210" s="325" t="s">
        <v>2173</v>
      </c>
    </row>
    <row r="211" spans="1:13" ht="45" customHeight="1" x14ac:dyDescent="0.35">
      <c r="A211" s="323" t="s">
        <v>2554</v>
      </c>
      <c r="B211" s="308" t="s">
        <v>2555</v>
      </c>
      <c r="C211" s="308" t="s">
        <v>2511</v>
      </c>
      <c r="D211" s="308" t="s">
        <v>2556</v>
      </c>
      <c r="E211" s="568">
        <v>0</v>
      </c>
      <c r="F211" s="308" t="s">
        <v>2513</v>
      </c>
      <c r="G211" s="308" t="s">
        <v>2557</v>
      </c>
      <c r="H211" s="308" t="s">
        <v>2558</v>
      </c>
      <c r="I211" s="308" t="s">
        <v>2516</v>
      </c>
      <c r="J211" s="308" t="s">
        <v>1782</v>
      </c>
      <c r="K211" s="308" t="s">
        <v>2517</v>
      </c>
      <c r="L211" s="325" t="s">
        <v>2518</v>
      </c>
      <c r="M211" s="325" t="s">
        <v>2173</v>
      </c>
    </row>
    <row r="212" spans="1:13" ht="45" customHeight="1" x14ac:dyDescent="0.35">
      <c r="A212" s="323" t="s">
        <v>2559</v>
      </c>
      <c r="B212" s="308" t="s">
        <v>2560</v>
      </c>
      <c r="C212" s="308" t="s">
        <v>2511</v>
      </c>
      <c r="D212" s="308" t="s">
        <v>2561</v>
      </c>
      <c r="E212" s="308">
        <v>3</v>
      </c>
      <c r="F212" s="308" t="s">
        <v>2513</v>
      </c>
      <c r="G212" s="308" t="s">
        <v>2562</v>
      </c>
      <c r="H212" s="308" t="s">
        <v>2563</v>
      </c>
      <c r="I212" s="308" t="s">
        <v>2516</v>
      </c>
      <c r="J212" s="308" t="s">
        <v>1782</v>
      </c>
      <c r="K212" s="308" t="s">
        <v>2517</v>
      </c>
      <c r="L212" s="325" t="s">
        <v>2518</v>
      </c>
      <c r="M212" s="325" t="s">
        <v>2173</v>
      </c>
    </row>
    <row r="213" spans="1:13" ht="45" customHeight="1" x14ac:dyDescent="0.35">
      <c r="A213" s="323" t="s">
        <v>2564</v>
      </c>
      <c r="B213" s="308" t="s">
        <v>2565</v>
      </c>
      <c r="C213" s="308" t="s">
        <v>2511</v>
      </c>
      <c r="D213" s="308" t="s">
        <v>2566</v>
      </c>
      <c r="E213" s="308">
        <v>0</v>
      </c>
      <c r="F213" s="308" t="s">
        <v>2513</v>
      </c>
      <c r="G213" s="308" t="s">
        <v>2567</v>
      </c>
      <c r="H213" s="308" t="s">
        <v>2568</v>
      </c>
      <c r="I213" s="308" t="s">
        <v>2516</v>
      </c>
      <c r="J213" s="308" t="s">
        <v>1782</v>
      </c>
      <c r="K213" s="308" t="s">
        <v>2517</v>
      </c>
      <c r="L213" s="325" t="s">
        <v>2518</v>
      </c>
      <c r="M213" s="325" t="s">
        <v>2173</v>
      </c>
    </row>
    <row r="214" spans="1:13" ht="45" customHeight="1" x14ac:dyDescent="0.35">
      <c r="A214" s="323" t="s">
        <v>2569</v>
      </c>
      <c r="B214" s="308" t="s">
        <v>2570</v>
      </c>
      <c r="C214" s="308" t="s">
        <v>2511</v>
      </c>
      <c r="D214" s="308" t="s">
        <v>2571</v>
      </c>
      <c r="E214" s="568">
        <v>0</v>
      </c>
      <c r="F214" s="308" t="s">
        <v>2513</v>
      </c>
      <c r="G214" s="308" t="s">
        <v>2572</v>
      </c>
      <c r="H214" s="308" t="s">
        <v>2573</v>
      </c>
      <c r="I214" s="308" t="s">
        <v>2516</v>
      </c>
      <c r="J214" s="308" t="s">
        <v>1782</v>
      </c>
      <c r="K214" s="308" t="s">
        <v>2517</v>
      </c>
      <c r="L214" s="325" t="s">
        <v>2518</v>
      </c>
      <c r="M214" s="325" t="s">
        <v>2173</v>
      </c>
    </row>
    <row r="215" spans="1:13" ht="45" customHeight="1" x14ac:dyDescent="0.35">
      <c r="A215" s="323" t="s">
        <v>2574</v>
      </c>
      <c r="B215" s="308" t="s">
        <v>2575</v>
      </c>
      <c r="C215" s="308" t="s">
        <v>2511</v>
      </c>
      <c r="D215" s="308" t="s">
        <v>2576</v>
      </c>
      <c r="E215" s="568">
        <v>0</v>
      </c>
      <c r="F215" s="308" t="s">
        <v>2513</v>
      </c>
      <c r="G215" s="308" t="s">
        <v>2577</v>
      </c>
      <c r="H215" s="308" t="s">
        <v>2578</v>
      </c>
      <c r="I215" s="308" t="s">
        <v>2516</v>
      </c>
      <c r="J215" s="308" t="s">
        <v>1782</v>
      </c>
      <c r="K215" s="308" t="s">
        <v>2517</v>
      </c>
      <c r="L215" s="325" t="s">
        <v>2518</v>
      </c>
      <c r="M215" s="325" t="s">
        <v>2173</v>
      </c>
    </row>
    <row r="216" spans="1:13" ht="45" customHeight="1" x14ac:dyDescent="0.35">
      <c r="A216" s="323" t="s">
        <v>2579</v>
      </c>
      <c r="B216" s="308" t="s">
        <v>2580</v>
      </c>
      <c r="C216" s="308" t="s">
        <v>2511</v>
      </c>
      <c r="D216" s="308" t="s">
        <v>2581</v>
      </c>
      <c r="E216" s="568">
        <v>0</v>
      </c>
      <c r="F216" s="308" t="s">
        <v>2513</v>
      </c>
      <c r="G216" s="308" t="s">
        <v>2582</v>
      </c>
      <c r="H216" s="308" t="s">
        <v>2583</v>
      </c>
      <c r="I216" s="308" t="s">
        <v>2516</v>
      </c>
      <c r="J216" s="308" t="s">
        <v>1782</v>
      </c>
      <c r="K216" s="308" t="s">
        <v>2517</v>
      </c>
      <c r="L216" s="325" t="s">
        <v>2518</v>
      </c>
      <c r="M216" s="325" t="s">
        <v>2173</v>
      </c>
    </row>
    <row r="217" spans="1:13" ht="45" customHeight="1" x14ac:dyDescent="0.35">
      <c r="A217" s="323" t="s">
        <v>2584</v>
      </c>
      <c r="B217" s="308" t="s">
        <v>2585</v>
      </c>
      <c r="C217" s="308" t="s">
        <v>2511</v>
      </c>
      <c r="D217" s="308" t="s">
        <v>2586</v>
      </c>
      <c r="E217" s="568">
        <v>1.1000000000000001</v>
      </c>
      <c r="F217" s="308" t="s">
        <v>2513</v>
      </c>
      <c r="G217" s="308" t="s">
        <v>2587</v>
      </c>
      <c r="H217" s="308" t="s">
        <v>2588</v>
      </c>
      <c r="I217" s="308" t="s">
        <v>2516</v>
      </c>
      <c r="J217" s="308" t="s">
        <v>1782</v>
      </c>
      <c r="K217" s="308" t="s">
        <v>2517</v>
      </c>
      <c r="L217" s="325" t="s">
        <v>2518</v>
      </c>
      <c r="M217" s="325" t="s">
        <v>2173</v>
      </c>
    </row>
    <row r="218" spans="1:13" ht="45" customHeight="1" x14ac:dyDescent="0.35">
      <c r="A218" s="323" t="s">
        <v>2589</v>
      </c>
      <c r="B218" s="308" t="s">
        <v>2590</v>
      </c>
      <c r="C218" s="308" t="s">
        <v>2511</v>
      </c>
      <c r="D218" s="308" t="s">
        <v>2591</v>
      </c>
      <c r="E218" s="568">
        <v>0</v>
      </c>
      <c r="F218" s="308" t="s">
        <v>2513</v>
      </c>
      <c r="G218" s="308" t="s">
        <v>2592</v>
      </c>
      <c r="H218" s="308" t="s">
        <v>2593</v>
      </c>
      <c r="I218" s="308" t="s">
        <v>2516</v>
      </c>
      <c r="J218" s="308" t="s">
        <v>1782</v>
      </c>
      <c r="K218" s="308" t="s">
        <v>2517</v>
      </c>
      <c r="L218" s="325" t="s">
        <v>2518</v>
      </c>
      <c r="M218" s="325" t="s">
        <v>2173</v>
      </c>
    </row>
    <row r="219" spans="1:13" ht="45" customHeight="1" x14ac:dyDescent="0.35">
      <c r="A219" s="323" t="s">
        <v>2594</v>
      </c>
      <c r="B219" s="308" t="s">
        <v>2595</v>
      </c>
      <c r="C219" s="308" t="s">
        <v>2511</v>
      </c>
      <c r="D219" s="308" t="s">
        <v>2596</v>
      </c>
      <c r="E219" s="568">
        <v>0</v>
      </c>
      <c r="F219" s="308" t="s">
        <v>2513</v>
      </c>
      <c r="G219" s="308" t="s">
        <v>2597</v>
      </c>
      <c r="H219" s="308" t="s">
        <v>2598</v>
      </c>
      <c r="I219" s="308" t="s">
        <v>2516</v>
      </c>
      <c r="J219" s="308" t="s">
        <v>1782</v>
      </c>
      <c r="K219" s="308" t="s">
        <v>2517</v>
      </c>
      <c r="L219" s="325" t="s">
        <v>2518</v>
      </c>
      <c r="M219" s="325" t="s">
        <v>2173</v>
      </c>
    </row>
    <row r="220" spans="1:13" ht="45" customHeight="1" x14ac:dyDescent="0.35">
      <c r="A220" s="323" t="s">
        <v>2599</v>
      </c>
      <c r="B220" s="308" t="s">
        <v>2600</v>
      </c>
      <c r="C220" s="308" t="s">
        <v>2511</v>
      </c>
      <c r="D220" s="308" t="s">
        <v>2601</v>
      </c>
      <c r="E220" s="568">
        <v>0.59</v>
      </c>
      <c r="F220" s="308" t="s">
        <v>2513</v>
      </c>
      <c r="G220" s="308" t="s">
        <v>2602</v>
      </c>
      <c r="H220" s="308" t="s">
        <v>2603</v>
      </c>
      <c r="I220" s="308" t="s">
        <v>2516</v>
      </c>
      <c r="J220" s="308" t="s">
        <v>1782</v>
      </c>
      <c r="K220" s="308" t="s">
        <v>2517</v>
      </c>
      <c r="L220" s="325" t="s">
        <v>2518</v>
      </c>
      <c r="M220" s="325" t="s">
        <v>2173</v>
      </c>
    </row>
    <row r="221" spans="1:13" ht="45" customHeight="1" x14ac:dyDescent="0.35">
      <c r="A221" s="323" t="s">
        <v>2604</v>
      </c>
      <c r="B221" s="308" t="s">
        <v>2605</v>
      </c>
      <c r="C221" s="308" t="s">
        <v>2511</v>
      </c>
      <c r="D221" s="308" t="s">
        <v>2606</v>
      </c>
      <c r="E221" s="568">
        <v>0</v>
      </c>
      <c r="F221" s="308" t="s">
        <v>2513</v>
      </c>
      <c r="G221" s="308" t="s">
        <v>2607</v>
      </c>
      <c r="H221" s="308" t="s">
        <v>2608</v>
      </c>
      <c r="I221" s="308" t="s">
        <v>2516</v>
      </c>
      <c r="J221" s="308" t="s">
        <v>1782</v>
      </c>
      <c r="K221" s="308" t="s">
        <v>2517</v>
      </c>
      <c r="L221" s="325" t="s">
        <v>2518</v>
      </c>
      <c r="M221" s="325" t="s">
        <v>2173</v>
      </c>
    </row>
    <row r="222" spans="1:13" ht="45" customHeight="1" x14ac:dyDescent="0.35">
      <c r="A222" s="323" t="s">
        <v>2609</v>
      </c>
      <c r="B222" s="308" t="s">
        <v>2610</v>
      </c>
      <c r="C222" s="308" t="s">
        <v>2511</v>
      </c>
      <c r="D222" s="308" t="s">
        <v>2611</v>
      </c>
      <c r="E222" s="568">
        <v>0</v>
      </c>
      <c r="F222" s="308" t="s">
        <v>2513</v>
      </c>
      <c r="G222" s="308" t="s">
        <v>2612</v>
      </c>
      <c r="H222" s="308" t="s">
        <v>2613</v>
      </c>
      <c r="I222" s="308" t="s">
        <v>2516</v>
      </c>
      <c r="J222" s="308" t="s">
        <v>1782</v>
      </c>
      <c r="K222" s="308" t="s">
        <v>2517</v>
      </c>
      <c r="L222" s="325" t="s">
        <v>2518</v>
      </c>
      <c r="M222" s="325" t="s">
        <v>2173</v>
      </c>
    </row>
    <row r="223" spans="1:13" ht="45" customHeight="1" x14ac:dyDescent="0.35">
      <c r="A223" s="323" t="s">
        <v>2614</v>
      </c>
      <c r="B223" s="308" t="s">
        <v>2615</v>
      </c>
      <c r="C223" s="308" t="s">
        <v>2511</v>
      </c>
      <c r="D223" s="308" t="s">
        <v>2616</v>
      </c>
      <c r="E223" s="568">
        <v>50</v>
      </c>
      <c r="F223" s="308" t="s">
        <v>2513</v>
      </c>
      <c r="G223" s="308" t="s">
        <v>2617</v>
      </c>
      <c r="H223" s="308" t="s">
        <v>2618</v>
      </c>
      <c r="I223" s="308" t="s">
        <v>2516</v>
      </c>
      <c r="J223" s="308" t="s">
        <v>1782</v>
      </c>
      <c r="K223" s="308" t="s">
        <v>2517</v>
      </c>
      <c r="L223" s="325" t="s">
        <v>2518</v>
      </c>
      <c r="M223" s="325" t="s">
        <v>2173</v>
      </c>
    </row>
    <row r="224" spans="1:13" ht="45" customHeight="1" x14ac:dyDescent="0.35">
      <c r="A224" s="323" t="s">
        <v>2619</v>
      </c>
      <c r="B224" s="308" t="s">
        <v>2620</v>
      </c>
      <c r="C224" s="308" t="s">
        <v>2511</v>
      </c>
      <c r="D224" s="308" t="s">
        <v>2621</v>
      </c>
      <c r="E224" s="568">
        <v>0</v>
      </c>
      <c r="F224" s="308" t="s">
        <v>2513</v>
      </c>
      <c r="G224" s="308" t="s">
        <v>2622</v>
      </c>
      <c r="H224" s="308" t="s">
        <v>2623</v>
      </c>
      <c r="I224" s="308" t="s">
        <v>2516</v>
      </c>
      <c r="J224" s="308" t="s">
        <v>1782</v>
      </c>
      <c r="K224" s="308" t="s">
        <v>2517</v>
      </c>
      <c r="L224" s="325" t="s">
        <v>2518</v>
      </c>
      <c r="M224" s="325" t="s">
        <v>2173</v>
      </c>
    </row>
    <row r="225" spans="1:13" ht="45" customHeight="1" x14ac:dyDescent="0.35">
      <c r="A225" s="323" t="s">
        <v>2624</v>
      </c>
      <c r="B225" s="308" t="s">
        <v>2625</v>
      </c>
      <c r="C225" s="308" t="s">
        <v>2511</v>
      </c>
      <c r="D225" s="308" t="s">
        <v>2626</v>
      </c>
      <c r="E225" s="568">
        <v>0</v>
      </c>
      <c r="F225" s="308" t="s">
        <v>2513</v>
      </c>
      <c r="G225" s="308" t="s">
        <v>2627</v>
      </c>
      <c r="H225" s="308" t="s">
        <v>2628</v>
      </c>
      <c r="I225" s="308" t="s">
        <v>2516</v>
      </c>
      <c r="J225" s="308" t="s">
        <v>1782</v>
      </c>
      <c r="K225" s="308" t="s">
        <v>2517</v>
      </c>
      <c r="L225" s="325" t="s">
        <v>2518</v>
      </c>
      <c r="M225" s="325" t="s">
        <v>2173</v>
      </c>
    </row>
    <row r="226" spans="1:13" ht="45" customHeight="1" x14ac:dyDescent="0.35">
      <c r="A226" s="323" t="s">
        <v>2629</v>
      </c>
      <c r="B226" s="308" t="s">
        <v>2630</v>
      </c>
      <c r="C226" s="308" t="s">
        <v>2511</v>
      </c>
      <c r="D226" s="308" t="s">
        <v>2631</v>
      </c>
      <c r="E226" s="568">
        <v>136</v>
      </c>
      <c r="F226" s="308" t="s">
        <v>2513</v>
      </c>
      <c r="G226" s="308" t="s">
        <v>2632</v>
      </c>
      <c r="H226" s="308" t="s">
        <v>2633</v>
      </c>
      <c r="I226" s="308" t="s">
        <v>2516</v>
      </c>
      <c r="J226" s="308" t="s">
        <v>1782</v>
      </c>
      <c r="K226" s="308" t="s">
        <v>2517</v>
      </c>
      <c r="L226" s="325" t="s">
        <v>2518</v>
      </c>
      <c r="M226" s="325" t="s">
        <v>2173</v>
      </c>
    </row>
    <row r="227" spans="1:13" ht="45" customHeight="1" x14ac:dyDescent="0.35">
      <c r="A227" s="323" t="s">
        <v>2634</v>
      </c>
      <c r="B227" s="308" t="s">
        <v>2635</v>
      </c>
      <c r="C227" s="308" t="s">
        <v>2636</v>
      </c>
      <c r="D227" s="308" t="s">
        <v>2637</v>
      </c>
      <c r="E227" s="568">
        <v>469.18712868</v>
      </c>
      <c r="F227" s="308" t="s">
        <v>2638</v>
      </c>
      <c r="G227" s="308" t="s">
        <v>2639</v>
      </c>
      <c r="H227" s="308" t="s">
        <v>2640</v>
      </c>
      <c r="I227" s="308" t="s">
        <v>1752</v>
      </c>
      <c r="J227" s="308" t="s">
        <v>331</v>
      </c>
      <c r="K227" s="308" t="s">
        <v>2641</v>
      </c>
      <c r="L227" s="325" t="s">
        <v>2636</v>
      </c>
      <c r="M227" s="325" t="s">
        <v>1745</v>
      </c>
    </row>
    <row r="228" spans="1:13" ht="45" customHeight="1" x14ac:dyDescent="0.35">
      <c r="A228" s="323" t="s">
        <v>2642</v>
      </c>
      <c r="B228" s="308" t="s">
        <v>2643</v>
      </c>
      <c r="C228" s="308" t="s">
        <v>2644</v>
      </c>
      <c r="D228" s="308" t="s">
        <v>2645</v>
      </c>
      <c r="E228" s="568">
        <v>18.126719621761143</v>
      </c>
      <c r="F228" s="308" t="s">
        <v>2638</v>
      </c>
      <c r="G228" s="308" t="s">
        <v>2646</v>
      </c>
      <c r="H228" s="308" t="s">
        <v>2647</v>
      </c>
      <c r="I228" s="308" t="s">
        <v>2648</v>
      </c>
      <c r="J228" s="308" t="s">
        <v>331</v>
      </c>
      <c r="K228" s="308" t="s">
        <v>2649</v>
      </c>
      <c r="L228" s="325" t="s">
        <v>1754</v>
      </c>
      <c r="M228" s="325" t="s">
        <v>1974</v>
      </c>
    </row>
    <row r="229" spans="1:13" ht="45" customHeight="1" x14ac:dyDescent="0.35">
      <c r="A229" s="323" t="s">
        <v>2650</v>
      </c>
      <c r="B229" s="308" t="s">
        <v>2651</v>
      </c>
      <c r="C229" s="308" t="s">
        <v>2477</v>
      </c>
      <c r="D229" s="308" t="s">
        <v>2652</v>
      </c>
      <c r="E229" s="568" t="s">
        <v>2653</v>
      </c>
      <c r="F229" s="308" t="s">
        <v>1739</v>
      </c>
      <c r="G229" s="308" t="s">
        <v>2654</v>
      </c>
      <c r="H229" s="308" t="s">
        <v>2655</v>
      </c>
      <c r="I229" s="308" t="s">
        <v>1795</v>
      </c>
      <c r="J229" s="308" t="s">
        <v>331</v>
      </c>
      <c r="K229" s="308" t="s">
        <v>2656</v>
      </c>
      <c r="L229" s="325" t="s">
        <v>1754</v>
      </c>
      <c r="M229" s="325" t="s">
        <v>1745</v>
      </c>
    </row>
    <row r="230" spans="1:13" ht="45" customHeight="1" x14ac:dyDescent="0.35">
      <c r="A230" s="323" t="s">
        <v>2657</v>
      </c>
      <c r="B230" s="308" t="s">
        <v>2658</v>
      </c>
      <c r="C230" s="308" t="s">
        <v>2636</v>
      </c>
      <c r="D230" s="308" t="s">
        <v>2637</v>
      </c>
      <c r="E230" s="568">
        <v>0.5</v>
      </c>
      <c r="F230" s="308" t="s">
        <v>2638</v>
      </c>
      <c r="G230" s="308" t="s">
        <v>2659</v>
      </c>
      <c r="H230" s="308" t="s">
        <v>2660</v>
      </c>
      <c r="I230" s="308" t="s">
        <v>1752</v>
      </c>
      <c r="J230" s="308" t="s">
        <v>331</v>
      </c>
      <c r="K230" s="308" t="s">
        <v>2661</v>
      </c>
      <c r="L230" s="325" t="s">
        <v>2636</v>
      </c>
      <c r="M230" s="325" t="s">
        <v>2058</v>
      </c>
    </row>
    <row r="231" spans="1:13" ht="45" customHeight="1" x14ac:dyDescent="0.35">
      <c r="A231" s="323" t="s">
        <v>2662</v>
      </c>
      <c r="B231" s="308" t="s">
        <v>2663</v>
      </c>
      <c r="C231" s="308" t="s">
        <v>2477</v>
      </c>
      <c r="D231" s="308" t="s">
        <v>2664</v>
      </c>
      <c r="E231" s="568" t="s">
        <v>2653</v>
      </c>
      <c r="F231" s="308" t="s">
        <v>2638</v>
      </c>
      <c r="G231" s="308" t="s">
        <v>2665</v>
      </c>
      <c r="H231" s="308" t="s">
        <v>2653</v>
      </c>
      <c r="I231" s="308" t="s">
        <v>1795</v>
      </c>
      <c r="J231" s="308" t="s">
        <v>331</v>
      </c>
      <c r="K231" s="308" t="s">
        <v>2666</v>
      </c>
      <c r="L231" s="325" t="s">
        <v>1754</v>
      </c>
      <c r="M231" s="325" t="s">
        <v>1745</v>
      </c>
    </row>
    <row r="232" spans="1:13" ht="45" customHeight="1" x14ac:dyDescent="0.35">
      <c r="A232" s="323" t="s">
        <v>2667</v>
      </c>
      <c r="B232" s="308" t="s">
        <v>2668</v>
      </c>
      <c r="C232" s="308" t="s">
        <v>2477</v>
      </c>
      <c r="D232" s="308" t="s">
        <v>2669</v>
      </c>
      <c r="E232" s="568" t="s">
        <v>2653</v>
      </c>
      <c r="F232" s="308" t="s">
        <v>1996</v>
      </c>
      <c r="G232" s="308" t="s">
        <v>2670</v>
      </c>
      <c r="H232" s="308" t="s">
        <v>2671</v>
      </c>
      <c r="I232" s="308" t="s">
        <v>1795</v>
      </c>
      <c r="J232" s="308" t="s">
        <v>331</v>
      </c>
      <c r="K232" s="308" t="s">
        <v>2672</v>
      </c>
      <c r="L232" s="325" t="s">
        <v>1754</v>
      </c>
      <c r="M232" s="325" t="s">
        <v>1745</v>
      </c>
    </row>
    <row r="233" spans="1:13" ht="45" customHeight="1" x14ac:dyDescent="0.35">
      <c r="A233" s="323" t="s">
        <v>2673</v>
      </c>
      <c r="B233" s="308" t="s">
        <v>2674</v>
      </c>
      <c r="C233" s="308" t="s">
        <v>2477</v>
      </c>
      <c r="D233" s="308" t="s">
        <v>2675</v>
      </c>
      <c r="E233" s="568" t="s">
        <v>2653</v>
      </c>
      <c r="F233" s="308" t="s">
        <v>1739</v>
      </c>
      <c r="G233" s="308" t="s">
        <v>2676</v>
      </c>
      <c r="H233" s="308" t="s">
        <v>2677</v>
      </c>
      <c r="I233" s="308" t="s">
        <v>1795</v>
      </c>
      <c r="J233" s="308" t="s">
        <v>331</v>
      </c>
      <c r="K233" s="308" t="s">
        <v>2678</v>
      </c>
      <c r="L233" s="325" t="s">
        <v>1754</v>
      </c>
      <c r="M233" s="325" t="s">
        <v>2220</v>
      </c>
    </row>
    <row r="234" spans="1:13" ht="45" customHeight="1" x14ac:dyDescent="0.35">
      <c r="A234" s="323" t="s">
        <v>2679</v>
      </c>
      <c r="B234" s="308" t="s">
        <v>2680</v>
      </c>
      <c r="C234" s="308" t="s">
        <v>2681</v>
      </c>
      <c r="D234" s="308" t="s">
        <v>2682</v>
      </c>
      <c r="E234" s="568">
        <v>222.69</v>
      </c>
      <c r="F234" s="308" t="s">
        <v>2638</v>
      </c>
      <c r="G234" s="308" t="s">
        <v>2683</v>
      </c>
      <c r="H234" s="308" t="s">
        <v>2684</v>
      </c>
      <c r="I234" s="308" t="s">
        <v>2516</v>
      </c>
      <c r="J234" s="308" t="s">
        <v>1782</v>
      </c>
      <c r="K234" s="308" t="s">
        <v>2685</v>
      </c>
      <c r="L234" s="325" t="s">
        <v>2681</v>
      </c>
      <c r="M234" s="325" t="s">
        <v>2173</v>
      </c>
    </row>
    <row r="235" spans="1:13" ht="45" customHeight="1" x14ac:dyDescent="0.35">
      <c r="A235" s="323" t="s">
        <v>2686</v>
      </c>
      <c r="B235" s="308" t="s">
        <v>2687</v>
      </c>
      <c r="C235" s="308" t="s">
        <v>2477</v>
      </c>
      <c r="D235" s="308" t="s">
        <v>2688</v>
      </c>
      <c r="E235" s="568" t="s">
        <v>2653</v>
      </c>
      <c r="F235" s="308" t="s">
        <v>2638</v>
      </c>
      <c r="G235" s="308" t="s">
        <v>2689</v>
      </c>
      <c r="H235" s="308" t="s">
        <v>2690</v>
      </c>
      <c r="I235" s="308" t="s">
        <v>2516</v>
      </c>
      <c r="J235" s="308" t="s">
        <v>1782</v>
      </c>
      <c r="K235" s="308" t="s">
        <v>2691</v>
      </c>
      <c r="L235" s="325" t="s">
        <v>1754</v>
      </c>
      <c r="M235" s="325" t="s">
        <v>2173</v>
      </c>
    </row>
    <row r="236" spans="1:13" ht="45" customHeight="1" x14ac:dyDescent="0.35">
      <c r="A236" s="323" t="s">
        <v>2692</v>
      </c>
      <c r="B236" s="308" t="s">
        <v>2693</v>
      </c>
      <c r="C236" s="308" t="s">
        <v>1739</v>
      </c>
      <c r="D236" s="308" t="s">
        <v>1953</v>
      </c>
      <c r="E236" s="568">
        <v>3</v>
      </c>
      <c r="F236" s="308" t="s">
        <v>2638</v>
      </c>
      <c r="G236" s="308" t="s">
        <v>2694</v>
      </c>
      <c r="H236" s="308" t="s">
        <v>2695</v>
      </c>
      <c r="I236" s="308" t="s">
        <v>1881</v>
      </c>
      <c r="J236" s="308" t="s">
        <v>331</v>
      </c>
      <c r="K236" s="308" t="s">
        <v>2696</v>
      </c>
      <c r="L236" s="325" t="s">
        <v>1739</v>
      </c>
      <c r="M236" s="325" t="s">
        <v>1745</v>
      </c>
    </row>
    <row r="237" spans="1:13" ht="45" customHeight="1" x14ac:dyDescent="0.35">
      <c r="A237" s="323" t="s">
        <v>2697</v>
      </c>
      <c r="B237" s="308" t="s">
        <v>2698</v>
      </c>
      <c r="C237" s="308" t="s">
        <v>1739</v>
      </c>
      <c r="D237" s="308" t="s">
        <v>2699</v>
      </c>
      <c r="E237" s="568">
        <v>2.5000000000000001E-2</v>
      </c>
      <c r="F237" s="308" t="s">
        <v>2638</v>
      </c>
      <c r="G237" s="308" t="s">
        <v>2700</v>
      </c>
      <c r="H237" s="308" t="s">
        <v>2695</v>
      </c>
      <c r="I237" s="308" t="s">
        <v>1881</v>
      </c>
      <c r="J237" s="308" t="s">
        <v>331</v>
      </c>
      <c r="K237" s="308" t="s">
        <v>2696</v>
      </c>
      <c r="L237" s="325" t="s">
        <v>1739</v>
      </c>
      <c r="M237" s="325" t="s">
        <v>1745</v>
      </c>
    </row>
    <row r="238" spans="1:13" ht="45" customHeight="1" x14ac:dyDescent="0.35">
      <c r="A238" s="323" t="s">
        <v>2701</v>
      </c>
      <c r="B238" s="308" t="s">
        <v>2702</v>
      </c>
      <c r="C238" s="308" t="s">
        <v>1739</v>
      </c>
      <c r="D238" s="308" t="s">
        <v>2703</v>
      </c>
      <c r="E238" s="568">
        <v>0.1</v>
      </c>
      <c r="F238" s="308" t="s">
        <v>2638</v>
      </c>
      <c r="G238" s="308" t="s">
        <v>2704</v>
      </c>
      <c r="H238" s="308" t="s">
        <v>2695</v>
      </c>
      <c r="I238" s="308" t="s">
        <v>1881</v>
      </c>
      <c r="J238" s="308" t="s">
        <v>331</v>
      </c>
      <c r="K238" s="308" t="s">
        <v>2696</v>
      </c>
      <c r="L238" s="325" t="s">
        <v>1739</v>
      </c>
      <c r="M238" s="325" t="s">
        <v>1745</v>
      </c>
    </row>
    <row r="239" spans="1:13" ht="45" customHeight="1" x14ac:dyDescent="0.35">
      <c r="A239" s="323" t="s">
        <v>2705</v>
      </c>
      <c r="B239" s="308" t="s">
        <v>2706</v>
      </c>
      <c r="C239" s="308" t="s">
        <v>1739</v>
      </c>
      <c r="D239" s="308" t="s">
        <v>2707</v>
      </c>
      <c r="E239" s="568">
        <v>7.4999999999999997E-2</v>
      </c>
      <c r="F239" s="308" t="s">
        <v>2638</v>
      </c>
      <c r="G239" s="308" t="s">
        <v>2708</v>
      </c>
      <c r="H239" s="308" t="s">
        <v>2695</v>
      </c>
      <c r="I239" s="308" t="s">
        <v>1881</v>
      </c>
      <c r="J239" s="308" t="s">
        <v>331</v>
      </c>
      <c r="K239" s="308" t="s">
        <v>2696</v>
      </c>
      <c r="L239" s="325" t="s">
        <v>1739</v>
      </c>
      <c r="M239" s="325" t="s">
        <v>1745</v>
      </c>
    </row>
    <row r="240" spans="1:13" ht="45" customHeight="1" x14ac:dyDescent="0.35">
      <c r="A240" s="323" t="s">
        <v>2709</v>
      </c>
      <c r="B240" s="308" t="s">
        <v>2710</v>
      </c>
      <c r="C240" s="308" t="s">
        <v>1739</v>
      </c>
      <c r="D240" s="308" t="s">
        <v>2711</v>
      </c>
      <c r="E240" s="568">
        <v>0.22500000000000001</v>
      </c>
      <c r="F240" s="308" t="s">
        <v>2638</v>
      </c>
      <c r="G240" s="308" t="s">
        <v>2712</v>
      </c>
      <c r="H240" s="308" t="s">
        <v>2695</v>
      </c>
      <c r="I240" s="308" t="s">
        <v>1881</v>
      </c>
      <c r="J240" s="308" t="s">
        <v>331</v>
      </c>
      <c r="K240" s="308" t="s">
        <v>2696</v>
      </c>
      <c r="L240" s="325" t="s">
        <v>1739</v>
      </c>
      <c r="M240" s="325" t="s">
        <v>1745</v>
      </c>
    </row>
    <row r="241" spans="1:13" ht="45" customHeight="1" x14ac:dyDescent="0.35">
      <c r="A241" s="323" t="s">
        <v>2713</v>
      </c>
      <c r="B241" s="308" t="s">
        <v>2714</v>
      </c>
      <c r="C241" s="308" t="s">
        <v>1739</v>
      </c>
      <c r="D241" s="308" t="s">
        <v>2715</v>
      </c>
      <c r="E241" s="568">
        <v>0.13</v>
      </c>
      <c r="F241" s="308" t="s">
        <v>2638</v>
      </c>
      <c r="G241" s="308" t="s">
        <v>2716</v>
      </c>
      <c r="H241" s="308" t="s">
        <v>2695</v>
      </c>
      <c r="I241" s="308" t="s">
        <v>1881</v>
      </c>
      <c r="J241" s="308" t="s">
        <v>331</v>
      </c>
      <c r="K241" s="308" t="s">
        <v>2717</v>
      </c>
      <c r="L241" s="325" t="s">
        <v>1739</v>
      </c>
      <c r="M241" s="325" t="s">
        <v>2058</v>
      </c>
    </row>
    <row r="242" spans="1:13" ht="45" customHeight="1" x14ac:dyDescent="0.35">
      <c r="A242" s="323" t="s">
        <v>2718</v>
      </c>
      <c r="B242" s="308" t="s">
        <v>2719</v>
      </c>
      <c r="C242" s="308" t="s">
        <v>1739</v>
      </c>
      <c r="D242" s="308" t="s">
        <v>2720</v>
      </c>
      <c r="E242" s="568">
        <v>150</v>
      </c>
      <c r="F242" s="308" t="s">
        <v>2638</v>
      </c>
      <c r="G242" s="308" t="s">
        <v>2721</v>
      </c>
      <c r="H242" s="308" t="s">
        <v>2722</v>
      </c>
      <c r="I242" s="308" t="s">
        <v>1881</v>
      </c>
      <c r="J242" s="308" t="s">
        <v>331</v>
      </c>
      <c r="K242" s="308" t="s">
        <v>2723</v>
      </c>
      <c r="L242" s="325" t="s">
        <v>1739</v>
      </c>
      <c r="M242" s="325" t="s">
        <v>1745</v>
      </c>
    </row>
    <row r="243" spans="1:13" ht="45" customHeight="1" x14ac:dyDescent="0.35">
      <c r="A243" s="323" t="s">
        <v>2724</v>
      </c>
      <c r="B243" s="308" t="s">
        <v>2725</v>
      </c>
      <c r="C243" s="308" t="s">
        <v>2477</v>
      </c>
      <c r="D243" s="308" t="s">
        <v>2726</v>
      </c>
      <c r="E243" s="568" t="s">
        <v>2653</v>
      </c>
      <c r="F243" s="308" t="s">
        <v>2681</v>
      </c>
      <c r="G243" s="308" t="s">
        <v>2727</v>
      </c>
      <c r="H243" s="308" t="s">
        <v>2728</v>
      </c>
      <c r="I243" s="308" t="s">
        <v>1795</v>
      </c>
      <c r="J243" s="308" t="s">
        <v>331</v>
      </c>
      <c r="K243" s="308" t="s">
        <v>2729</v>
      </c>
      <c r="L243" s="325" t="s">
        <v>1754</v>
      </c>
      <c r="M243" s="325" t="s">
        <v>1745</v>
      </c>
    </row>
    <row r="244" spans="1:13" ht="45" customHeight="1" x14ac:dyDescent="0.35">
      <c r="A244" s="323" t="s">
        <v>2730</v>
      </c>
      <c r="B244" s="308" t="s">
        <v>1398</v>
      </c>
      <c r="C244" s="308" t="s">
        <v>2731</v>
      </c>
      <c r="D244" s="308" t="s">
        <v>2732</v>
      </c>
      <c r="E244" s="568" t="s">
        <v>2653</v>
      </c>
      <c r="F244" s="308" t="s">
        <v>2638</v>
      </c>
      <c r="G244" s="308" t="s">
        <v>2733</v>
      </c>
      <c r="H244" s="308" t="s">
        <v>2734</v>
      </c>
      <c r="I244" s="308" t="s">
        <v>1795</v>
      </c>
      <c r="J244" s="308" t="s">
        <v>331</v>
      </c>
      <c r="K244" s="308" t="s">
        <v>2735</v>
      </c>
      <c r="L244" s="325" t="s">
        <v>2731</v>
      </c>
      <c r="M244" s="325" t="s">
        <v>1784</v>
      </c>
    </row>
    <row r="245" spans="1:13" ht="45" customHeight="1" x14ac:dyDescent="0.35">
      <c r="A245" s="323" t="s">
        <v>2736</v>
      </c>
      <c r="B245" s="308" t="s">
        <v>2737</v>
      </c>
      <c r="C245" s="308" t="s">
        <v>2645</v>
      </c>
      <c r="D245" s="308" t="s">
        <v>2732</v>
      </c>
      <c r="E245" s="568" t="s">
        <v>2653</v>
      </c>
      <c r="F245" s="308" t="s">
        <v>2638</v>
      </c>
      <c r="G245" s="308" t="s">
        <v>2738</v>
      </c>
      <c r="H245" s="308" t="s">
        <v>2734</v>
      </c>
      <c r="I245" s="308" t="s">
        <v>1795</v>
      </c>
      <c r="J245" s="308" t="s">
        <v>331</v>
      </c>
      <c r="K245" s="308" t="s">
        <v>2739</v>
      </c>
      <c r="L245" s="325" t="s">
        <v>2645</v>
      </c>
      <c r="M245" s="325" t="s">
        <v>1784</v>
      </c>
    </row>
    <row r="246" spans="1:13" ht="45" customHeight="1" x14ac:dyDescent="0.35">
      <c r="A246" s="323" t="s">
        <v>2740</v>
      </c>
      <c r="B246" s="308" t="s">
        <v>2741</v>
      </c>
      <c r="C246" s="308" t="s">
        <v>2742</v>
      </c>
      <c r="D246" s="308" t="s">
        <v>2732</v>
      </c>
      <c r="E246" s="568" t="s">
        <v>2653</v>
      </c>
      <c r="F246" s="308" t="s">
        <v>2638</v>
      </c>
      <c r="G246" s="308" t="s">
        <v>2743</v>
      </c>
      <c r="H246" s="308" t="s">
        <v>2734</v>
      </c>
      <c r="I246" s="308" t="s">
        <v>1795</v>
      </c>
      <c r="J246" s="308" t="s">
        <v>331</v>
      </c>
      <c r="K246" s="308" t="s">
        <v>2744</v>
      </c>
      <c r="L246" s="325" t="s">
        <v>2742</v>
      </c>
      <c r="M246" s="325" t="s">
        <v>1784</v>
      </c>
    </row>
    <row r="247" spans="1:13" ht="45" customHeight="1" x14ac:dyDescent="0.35">
      <c r="A247" s="323" t="s">
        <v>2745</v>
      </c>
      <c r="B247" s="308" t="s">
        <v>2746</v>
      </c>
      <c r="C247" s="308" t="s">
        <v>2747</v>
      </c>
      <c r="D247" s="308" t="s">
        <v>2748</v>
      </c>
      <c r="E247" s="568" t="s">
        <v>2653</v>
      </c>
      <c r="F247" s="308" t="s">
        <v>2638</v>
      </c>
      <c r="G247" s="308" t="s">
        <v>2749</v>
      </c>
      <c r="H247" s="308" t="s">
        <v>2734</v>
      </c>
      <c r="I247" s="308" t="s">
        <v>1795</v>
      </c>
      <c r="J247" s="308" t="s">
        <v>331</v>
      </c>
      <c r="K247" s="308" t="s">
        <v>2750</v>
      </c>
      <c r="L247" s="325" t="s">
        <v>2747</v>
      </c>
      <c r="M247" s="325" t="s">
        <v>1745</v>
      </c>
    </row>
    <row r="248" spans="1:13" ht="45" customHeight="1" x14ac:dyDescent="0.35">
      <c r="A248" s="323" t="s">
        <v>2751</v>
      </c>
      <c r="B248" s="308" t="s">
        <v>2752</v>
      </c>
      <c r="C248" s="308" t="s">
        <v>2753</v>
      </c>
      <c r="D248" s="308" t="s">
        <v>2748</v>
      </c>
      <c r="E248" s="568" t="s">
        <v>2653</v>
      </c>
      <c r="F248" s="308" t="s">
        <v>2638</v>
      </c>
      <c r="G248" s="308" t="s">
        <v>2754</v>
      </c>
      <c r="H248" s="308" t="s">
        <v>2734</v>
      </c>
      <c r="I248" s="308" t="s">
        <v>1795</v>
      </c>
      <c r="J248" s="308" t="s">
        <v>331</v>
      </c>
      <c r="K248" s="308" t="s">
        <v>2729</v>
      </c>
      <c r="L248" s="325" t="s">
        <v>2753</v>
      </c>
      <c r="M248" s="325" t="s">
        <v>1745</v>
      </c>
    </row>
    <row r="249" spans="1:13" ht="45" customHeight="1" x14ac:dyDescent="0.35">
      <c r="A249" s="323" t="s">
        <v>2755</v>
      </c>
      <c r="B249" s="308" t="s">
        <v>2756</v>
      </c>
      <c r="C249" s="308" t="s">
        <v>2645</v>
      </c>
      <c r="D249" s="308" t="s">
        <v>2748</v>
      </c>
      <c r="E249" s="568" t="s">
        <v>2653</v>
      </c>
      <c r="F249" s="308" t="s">
        <v>2638</v>
      </c>
      <c r="G249" s="308" t="s">
        <v>2757</v>
      </c>
      <c r="H249" s="308" t="s">
        <v>2734</v>
      </c>
      <c r="I249" s="308" t="s">
        <v>1795</v>
      </c>
      <c r="J249" s="308" t="s">
        <v>331</v>
      </c>
      <c r="K249" s="308" t="s">
        <v>2758</v>
      </c>
      <c r="L249" s="325" t="s">
        <v>2645</v>
      </c>
      <c r="M249" s="325" t="s">
        <v>1784</v>
      </c>
    </row>
    <row r="250" spans="1:13" ht="45" customHeight="1" x14ac:dyDescent="0.35">
      <c r="A250" s="323" t="s">
        <v>2759</v>
      </c>
      <c r="B250" s="308" t="s">
        <v>2760</v>
      </c>
      <c r="C250" s="308" t="s">
        <v>2753</v>
      </c>
      <c r="D250" s="308" t="s">
        <v>2748</v>
      </c>
      <c r="E250" s="568" t="s">
        <v>2653</v>
      </c>
      <c r="F250" s="308" t="s">
        <v>2638</v>
      </c>
      <c r="G250" s="308" t="s">
        <v>2761</v>
      </c>
      <c r="H250" s="308" t="s">
        <v>2734</v>
      </c>
      <c r="I250" s="308" t="s">
        <v>1795</v>
      </c>
      <c r="J250" s="308" t="s">
        <v>331</v>
      </c>
      <c r="K250" s="308" t="s">
        <v>2762</v>
      </c>
      <c r="L250" s="325" t="s">
        <v>2753</v>
      </c>
      <c r="M250" s="325" t="s">
        <v>1745</v>
      </c>
    </row>
    <row r="251" spans="1:13" ht="45" customHeight="1" x14ac:dyDescent="0.35">
      <c r="A251" s="323" t="s">
        <v>2763</v>
      </c>
      <c r="B251" s="308" t="s">
        <v>2764</v>
      </c>
      <c r="C251" s="308" t="s">
        <v>2636</v>
      </c>
      <c r="D251" s="308" t="s">
        <v>2748</v>
      </c>
      <c r="E251" s="568" t="s">
        <v>2653</v>
      </c>
      <c r="F251" s="308" t="s">
        <v>2638</v>
      </c>
      <c r="G251" s="308" t="s">
        <v>2765</v>
      </c>
      <c r="H251" s="308" t="s">
        <v>2734</v>
      </c>
      <c r="I251" s="308" t="s">
        <v>1795</v>
      </c>
      <c r="J251" s="308" t="s">
        <v>331</v>
      </c>
      <c r="K251" s="308" t="s">
        <v>2766</v>
      </c>
      <c r="L251" s="325" t="s">
        <v>2636</v>
      </c>
      <c r="M251" s="325" t="s">
        <v>2058</v>
      </c>
    </row>
    <row r="252" spans="1:13" ht="45" customHeight="1" x14ac:dyDescent="0.35">
      <c r="A252" s="323" t="s">
        <v>2767</v>
      </c>
      <c r="B252" s="308" t="s">
        <v>2768</v>
      </c>
      <c r="C252" s="308" t="s">
        <v>2769</v>
      </c>
      <c r="D252" s="308" t="s">
        <v>2748</v>
      </c>
      <c r="E252" s="568" t="s">
        <v>2653</v>
      </c>
      <c r="F252" s="308" t="s">
        <v>2638</v>
      </c>
      <c r="G252" s="308" t="s">
        <v>2770</v>
      </c>
      <c r="H252" s="308" t="s">
        <v>2734</v>
      </c>
      <c r="I252" s="308" t="s">
        <v>1795</v>
      </c>
      <c r="J252" s="308" t="s">
        <v>331</v>
      </c>
      <c r="K252" s="308" t="s">
        <v>2771</v>
      </c>
      <c r="L252" s="325" t="s">
        <v>2769</v>
      </c>
      <c r="M252" s="325" t="s">
        <v>2058</v>
      </c>
    </row>
    <row r="253" spans="1:13" ht="45" customHeight="1" x14ac:dyDescent="0.35">
      <c r="A253" s="323" t="s">
        <v>2772</v>
      </c>
      <c r="B253" s="308" t="s">
        <v>2773</v>
      </c>
      <c r="C253" s="308" t="s">
        <v>2774</v>
      </c>
      <c r="D253" s="308" t="s">
        <v>2748</v>
      </c>
      <c r="E253" s="568" t="s">
        <v>2653</v>
      </c>
      <c r="F253" s="308" t="s">
        <v>2638</v>
      </c>
      <c r="G253" s="308" t="s">
        <v>2775</v>
      </c>
      <c r="H253" s="308" t="s">
        <v>2734</v>
      </c>
      <c r="I253" s="308" t="s">
        <v>1795</v>
      </c>
      <c r="J253" s="308" t="s">
        <v>331</v>
      </c>
      <c r="K253" s="308" t="s">
        <v>2776</v>
      </c>
      <c r="L253" s="325" t="s">
        <v>2774</v>
      </c>
      <c r="M253" s="325" t="s">
        <v>2058</v>
      </c>
    </row>
    <row r="254" spans="1:13" ht="45" customHeight="1" x14ac:dyDescent="0.35">
      <c r="A254" s="323" t="s">
        <v>2777</v>
      </c>
      <c r="B254" s="308" t="s">
        <v>2778</v>
      </c>
      <c r="C254" s="308" t="s">
        <v>2779</v>
      </c>
      <c r="D254" s="308" t="s">
        <v>2748</v>
      </c>
      <c r="E254" s="568" t="s">
        <v>2653</v>
      </c>
      <c r="F254" s="308" t="s">
        <v>2638</v>
      </c>
      <c r="G254" s="308" t="s">
        <v>2780</v>
      </c>
      <c r="H254" s="308" t="s">
        <v>2734</v>
      </c>
      <c r="I254" s="308" t="s">
        <v>1795</v>
      </c>
      <c r="J254" s="308" t="s">
        <v>331</v>
      </c>
      <c r="K254" s="308" t="s">
        <v>2781</v>
      </c>
      <c r="L254" s="325" t="s">
        <v>2779</v>
      </c>
      <c r="M254" s="325" t="s">
        <v>1745</v>
      </c>
    </row>
    <row r="255" spans="1:13" ht="45" customHeight="1" x14ac:dyDescent="0.35">
      <c r="A255" s="323" t="s">
        <v>2782</v>
      </c>
      <c r="B255" s="308" t="s">
        <v>2783</v>
      </c>
      <c r="C255" s="308" t="s">
        <v>2784</v>
      </c>
      <c r="D255" s="308" t="s">
        <v>2748</v>
      </c>
      <c r="E255" s="568" t="s">
        <v>2653</v>
      </c>
      <c r="F255" s="308" t="s">
        <v>2638</v>
      </c>
      <c r="G255" s="308" t="s">
        <v>2785</v>
      </c>
      <c r="H255" s="308" t="s">
        <v>2734</v>
      </c>
      <c r="I255" s="308" t="s">
        <v>1795</v>
      </c>
      <c r="J255" s="308" t="s">
        <v>331</v>
      </c>
      <c r="K255" s="308" t="s">
        <v>2786</v>
      </c>
      <c r="L255" s="325" t="s">
        <v>2784</v>
      </c>
      <c r="M255" s="325" t="s">
        <v>2173</v>
      </c>
    </row>
    <row r="256" spans="1:13" ht="45" customHeight="1" x14ac:dyDescent="0.35">
      <c r="A256" s="323" t="s">
        <v>2787</v>
      </c>
      <c r="B256" s="308" t="s">
        <v>2788</v>
      </c>
      <c r="C256" s="308" t="s">
        <v>2784</v>
      </c>
      <c r="D256" s="308" t="s">
        <v>2748</v>
      </c>
      <c r="E256" s="568" t="s">
        <v>2653</v>
      </c>
      <c r="F256" s="308" t="s">
        <v>2638</v>
      </c>
      <c r="G256" s="308" t="s">
        <v>2789</v>
      </c>
      <c r="H256" s="308" t="s">
        <v>2734</v>
      </c>
      <c r="I256" s="308" t="s">
        <v>1795</v>
      </c>
      <c r="J256" s="308" t="s">
        <v>331</v>
      </c>
      <c r="K256" s="308" t="s">
        <v>2790</v>
      </c>
      <c r="L256" s="325" t="s">
        <v>2784</v>
      </c>
      <c r="M256" s="325" t="s">
        <v>2220</v>
      </c>
    </row>
    <row r="257" spans="1:13" ht="45" customHeight="1" x14ac:dyDescent="0.35">
      <c r="A257" s="323" t="s">
        <v>2791</v>
      </c>
      <c r="B257" s="308" t="s">
        <v>2792</v>
      </c>
      <c r="C257" s="308" t="s">
        <v>2784</v>
      </c>
      <c r="D257" s="308" t="s">
        <v>2748</v>
      </c>
      <c r="E257" s="568" t="s">
        <v>2653</v>
      </c>
      <c r="F257" s="308" t="s">
        <v>2638</v>
      </c>
      <c r="G257" s="308" t="s">
        <v>2793</v>
      </c>
      <c r="H257" s="308" t="s">
        <v>2734</v>
      </c>
      <c r="I257" s="308" t="s">
        <v>1795</v>
      </c>
      <c r="J257" s="308" t="s">
        <v>331</v>
      </c>
      <c r="K257" s="308" t="s">
        <v>2794</v>
      </c>
      <c r="L257" s="325" t="s">
        <v>2784</v>
      </c>
      <c r="M257" s="325" t="s">
        <v>1745</v>
      </c>
    </row>
    <row r="258" spans="1:13" ht="45" customHeight="1" x14ac:dyDescent="0.35">
      <c r="A258" s="323" t="s">
        <v>2795</v>
      </c>
      <c r="B258" s="308" t="s">
        <v>2796</v>
      </c>
      <c r="C258" s="308" t="s">
        <v>2753</v>
      </c>
      <c r="D258" s="308" t="s">
        <v>2748</v>
      </c>
      <c r="E258" s="568" t="s">
        <v>2653</v>
      </c>
      <c r="F258" s="308" t="s">
        <v>2638</v>
      </c>
      <c r="G258" s="308" t="s">
        <v>2797</v>
      </c>
      <c r="H258" s="308" t="s">
        <v>2734</v>
      </c>
      <c r="I258" s="308" t="s">
        <v>1795</v>
      </c>
      <c r="J258" s="308" t="s">
        <v>331</v>
      </c>
      <c r="K258" s="308" t="s">
        <v>2729</v>
      </c>
      <c r="L258" s="325" t="s">
        <v>2753</v>
      </c>
      <c r="M258" s="325" t="s">
        <v>1745</v>
      </c>
    </row>
    <row r="259" spans="1:13" ht="45" customHeight="1" x14ac:dyDescent="0.35">
      <c r="A259" s="323" t="s">
        <v>2798</v>
      </c>
      <c r="B259" s="308" t="s">
        <v>2799</v>
      </c>
      <c r="C259" s="308" t="s">
        <v>2800</v>
      </c>
      <c r="D259" s="308" t="s">
        <v>2748</v>
      </c>
      <c r="E259" s="568">
        <f>'URWLD COMPANY INPUTS'!$F$790</f>
        <v>0.3</v>
      </c>
      <c r="F259" s="308" t="s">
        <v>2638</v>
      </c>
      <c r="G259" s="308" t="s">
        <v>2801</v>
      </c>
      <c r="H259" s="308" t="s">
        <v>2802</v>
      </c>
      <c r="I259" s="308" t="s">
        <v>1752</v>
      </c>
      <c r="J259" s="308" t="s">
        <v>331</v>
      </c>
      <c r="K259" s="308" t="s">
        <v>2803</v>
      </c>
      <c r="L259" s="325" t="s">
        <v>2800</v>
      </c>
      <c r="M259" s="325" t="s">
        <v>1985</v>
      </c>
    </row>
    <row r="260" spans="1:13" ht="45" customHeight="1" x14ac:dyDescent="0.35">
      <c r="A260" s="323" t="s">
        <v>2804</v>
      </c>
      <c r="B260" s="308" t="s">
        <v>2805</v>
      </c>
      <c r="C260" s="308" t="s">
        <v>2800</v>
      </c>
      <c r="D260" s="308" t="s">
        <v>2748</v>
      </c>
      <c r="E260" s="568">
        <f>IFERROR('URWLD COMPANY INPUTS'!$F$778*1000000/Underwriting!$I$49,0)</f>
        <v>2.4952287930355907E-2</v>
      </c>
      <c r="F260" s="308" t="s">
        <v>2638</v>
      </c>
      <c r="G260" s="308" t="s">
        <v>2806</v>
      </c>
      <c r="H260" s="308" t="s">
        <v>2802</v>
      </c>
      <c r="I260" s="308" t="s">
        <v>1752</v>
      </c>
      <c r="J260" s="308" t="s">
        <v>331</v>
      </c>
      <c r="K260" s="308" t="s">
        <v>2807</v>
      </c>
      <c r="L260" s="325" t="s">
        <v>2800</v>
      </c>
      <c r="M260" s="325" t="s">
        <v>1985</v>
      </c>
    </row>
    <row r="261" spans="1:13" ht="45" customHeight="1" x14ac:dyDescent="0.35">
      <c r="A261" s="323" t="s">
        <v>2808</v>
      </c>
      <c r="B261" s="308" t="s">
        <v>2809</v>
      </c>
      <c r="C261" s="308" t="s">
        <v>2810</v>
      </c>
      <c r="D261" s="308" t="s">
        <v>2748</v>
      </c>
      <c r="E261" s="568">
        <f>'URWLD COMPANY INPUTS'!$F$243</f>
        <v>0.1</v>
      </c>
      <c r="F261" s="308" t="s">
        <v>2638</v>
      </c>
      <c r="G261" s="308" t="s">
        <v>2811</v>
      </c>
      <c r="H261" s="308" t="s">
        <v>2802</v>
      </c>
      <c r="I261" s="308" t="s">
        <v>1752</v>
      </c>
      <c r="J261" s="308" t="s">
        <v>331</v>
      </c>
      <c r="K261" s="308" t="s">
        <v>2812</v>
      </c>
      <c r="L261" s="325" t="s">
        <v>2810</v>
      </c>
      <c r="M261" s="325" t="s">
        <v>1985</v>
      </c>
    </row>
    <row r="262" spans="1:13" ht="45" customHeight="1" x14ac:dyDescent="0.35">
      <c r="A262" s="323" t="s">
        <v>2813</v>
      </c>
      <c r="B262" s="308" t="s">
        <v>2814</v>
      </c>
      <c r="C262" s="308" t="s">
        <v>2800</v>
      </c>
      <c r="D262" s="308" t="s">
        <v>2748</v>
      </c>
      <c r="E262" s="568">
        <v>0.8</v>
      </c>
      <c r="F262" s="308" t="s">
        <v>2638</v>
      </c>
      <c r="G262" s="308" t="s">
        <v>2815</v>
      </c>
      <c r="H262" s="308" t="s">
        <v>2802</v>
      </c>
      <c r="I262" s="308" t="s">
        <v>1752</v>
      </c>
      <c r="J262" s="308" t="s">
        <v>331</v>
      </c>
      <c r="K262" s="308" t="s">
        <v>2816</v>
      </c>
      <c r="L262" s="325" t="s">
        <v>2800</v>
      </c>
      <c r="M262" s="325" t="s">
        <v>1985</v>
      </c>
    </row>
    <row r="263" spans="1:13" ht="45" customHeight="1" x14ac:dyDescent="0.35">
      <c r="A263" s="323" t="s">
        <v>2817</v>
      </c>
      <c r="B263" s="308" t="s">
        <v>2818</v>
      </c>
      <c r="C263" s="308" t="s">
        <v>2819</v>
      </c>
      <c r="D263" s="308" t="s">
        <v>2748</v>
      </c>
      <c r="E263" s="568">
        <v>2</v>
      </c>
      <c r="F263" s="308" t="s">
        <v>2638</v>
      </c>
      <c r="G263" s="308" t="s">
        <v>2820</v>
      </c>
      <c r="H263" s="308" t="s">
        <v>2802</v>
      </c>
      <c r="I263" s="308" t="s">
        <v>1752</v>
      </c>
      <c r="J263" s="308" t="s">
        <v>331</v>
      </c>
      <c r="K263" s="308" t="s">
        <v>2821</v>
      </c>
      <c r="L263" s="325" t="s">
        <v>2819</v>
      </c>
      <c r="M263" s="325" t="s">
        <v>1985</v>
      </c>
    </row>
    <row r="264" spans="1:13" ht="45" customHeight="1" x14ac:dyDescent="0.35">
      <c r="A264" s="323" t="s">
        <v>2822</v>
      </c>
      <c r="B264" s="308" t="s">
        <v>1695</v>
      </c>
      <c r="C264" s="308" t="s">
        <v>2823</v>
      </c>
      <c r="D264" s="308" t="s">
        <v>2748</v>
      </c>
      <c r="E264" s="568">
        <v>0.02</v>
      </c>
      <c r="F264" s="308" t="s">
        <v>2638</v>
      </c>
      <c r="G264" s="308" t="s">
        <v>2824</v>
      </c>
      <c r="H264" s="308" t="s">
        <v>2802</v>
      </c>
      <c r="I264" s="308" t="s">
        <v>1752</v>
      </c>
      <c r="J264" s="308" t="s">
        <v>331</v>
      </c>
      <c r="K264" s="308" t="s">
        <v>2825</v>
      </c>
      <c r="L264" s="325" t="s">
        <v>2823</v>
      </c>
      <c r="M264" s="325" t="s">
        <v>1985</v>
      </c>
    </row>
    <row r="265" spans="1:13" ht="45" customHeight="1" x14ac:dyDescent="0.35">
      <c r="A265" s="323" t="s">
        <v>2826</v>
      </c>
      <c r="B265" s="308" t="s">
        <v>1159</v>
      </c>
      <c r="C265" s="308" t="s">
        <v>2827</v>
      </c>
      <c r="D265" s="308" t="s">
        <v>2748</v>
      </c>
      <c r="E265" s="568">
        <v>10</v>
      </c>
      <c r="F265" s="308" t="s">
        <v>2638</v>
      </c>
      <c r="G265" s="308" t="s">
        <v>2828</v>
      </c>
      <c r="H265" s="308" t="s">
        <v>2802</v>
      </c>
      <c r="I265" s="308" t="s">
        <v>1752</v>
      </c>
      <c r="J265" s="308" t="s">
        <v>331</v>
      </c>
      <c r="K265" s="308" t="s">
        <v>2829</v>
      </c>
      <c r="L265" s="325" t="s">
        <v>2827</v>
      </c>
      <c r="M265" s="325" t="s">
        <v>1745</v>
      </c>
    </row>
    <row r="266" spans="1:13" ht="45" customHeight="1" x14ac:dyDescent="0.35">
      <c r="A266" s="323" t="s">
        <v>2830</v>
      </c>
      <c r="B266" s="308" t="s">
        <v>1162</v>
      </c>
      <c r="C266" s="308" t="s">
        <v>2827</v>
      </c>
      <c r="D266" s="308" t="s">
        <v>2748</v>
      </c>
      <c r="E266" s="568">
        <v>2.5000000000000001E-2</v>
      </c>
      <c r="F266" s="308" t="s">
        <v>2638</v>
      </c>
      <c r="G266" s="308" t="s">
        <v>2831</v>
      </c>
      <c r="H266" s="308" t="s">
        <v>2802</v>
      </c>
      <c r="I266" s="308" t="s">
        <v>1752</v>
      </c>
      <c r="J266" s="308" t="s">
        <v>331</v>
      </c>
      <c r="K266" s="308" t="s">
        <v>2832</v>
      </c>
      <c r="L266" s="325" t="s">
        <v>2827</v>
      </c>
      <c r="M266" s="325" t="s">
        <v>1745</v>
      </c>
    </row>
    <row r="267" spans="1:13" ht="45" customHeight="1" x14ac:dyDescent="0.35">
      <c r="A267" s="323" t="s">
        <v>2833</v>
      </c>
      <c r="B267" s="308" t="s">
        <v>829</v>
      </c>
      <c r="C267" s="308" t="s">
        <v>2834</v>
      </c>
      <c r="D267" s="308" t="s">
        <v>2748</v>
      </c>
      <c r="E267" s="905">
        <f>'VALUATION &amp; RETURNS'!$CR$138</f>
        <v>6.7008196721311475E-2</v>
      </c>
      <c r="F267" s="308" t="s">
        <v>2638</v>
      </c>
      <c r="G267" s="308" t="s">
        <v>2835</v>
      </c>
      <c r="H267" s="308" t="s">
        <v>2734</v>
      </c>
      <c r="I267" s="308" t="s">
        <v>1795</v>
      </c>
      <c r="J267" s="308" t="s">
        <v>331</v>
      </c>
      <c r="K267" s="308" t="s">
        <v>2836</v>
      </c>
      <c r="L267" s="325" t="s">
        <v>2834</v>
      </c>
      <c r="M267" s="325" t="s">
        <v>2173</v>
      </c>
    </row>
    <row r="268" spans="1:13" ht="45" customHeight="1" x14ac:dyDescent="0.35">
      <c r="A268" s="323" t="s">
        <v>2837</v>
      </c>
      <c r="B268" s="308" t="s">
        <v>753</v>
      </c>
      <c r="C268" s="308" t="s">
        <v>2834</v>
      </c>
      <c r="D268" s="308" t="s">
        <v>2748</v>
      </c>
      <c r="E268" s="905">
        <f>'VALUATION &amp; RETURNS'!$CR$8</f>
        <v>0.08</v>
      </c>
      <c r="F268" s="308" t="s">
        <v>2638</v>
      </c>
      <c r="G268" s="308" t="s">
        <v>2838</v>
      </c>
      <c r="H268" s="308" t="s">
        <v>2734</v>
      </c>
      <c r="I268" s="308" t="s">
        <v>1795</v>
      </c>
      <c r="J268" s="308" t="s">
        <v>331</v>
      </c>
      <c r="K268" s="308" t="s">
        <v>2839</v>
      </c>
      <c r="L268" s="325" t="s">
        <v>2834</v>
      </c>
      <c r="M268" s="325" t="s">
        <v>2173</v>
      </c>
    </row>
    <row r="269" spans="1:13" ht="45" customHeight="1" x14ac:dyDescent="0.35">
      <c r="A269" s="323" t="s">
        <v>2840</v>
      </c>
      <c r="B269" s="308" t="s">
        <v>1164</v>
      </c>
      <c r="C269" s="308" t="s">
        <v>2841</v>
      </c>
      <c r="D269" s="308" t="s">
        <v>2748</v>
      </c>
      <c r="E269" s="568" t="s">
        <v>2653</v>
      </c>
      <c r="F269" s="308" t="s">
        <v>2638</v>
      </c>
      <c r="G269" s="308" t="s">
        <v>2842</v>
      </c>
      <c r="H269" s="308" t="s">
        <v>2734</v>
      </c>
      <c r="I269" s="308" t="s">
        <v>1795</v>
      </c>
      <c r="J269" s="308" t="s">
        <v>331</v>
      </c>
      <c r="K269" s="308" t="s">
        <v>2843</v>
      </c>
      <c r="L269" s="325" t="s">
        <v>2841</v>
      </c>
      <c r="M269" s="325" t="s">
        <v>1745</v>
      </c>
    </row>
    <row r="270" spans="1:13" ht="45" customHeight="1" x14ac:dyDescent="0.35">
      <c r="A270" s="323" t="s">
        <v>2844</v>
      </c>
      <c r="B270" s="308" t="s">
        <v>2845</v>
      </c>
      <c r="C270" s="308" t="s">
        <v>2846</v>
      </c>
      <c r="D270" s="308" t="s">
        <v>2748</v>
      </c>
      <c r="E270" s="568" t="str">
        <f>(COUNTBLANK('URWLD COMPANY INPUTS'!$F$857)+COUNTBLANK('URWLD COMPANY INPUTS'!$F$859)+COUNTBLANK('URWLD COMPANY INPUTS'!$F$861)+COUNTBLANK('URWLD COMPANY INPUTS'!$F$863)+COUNTBLANK('URWLD COMPANY INPUTS'!$F$864)+COUNTBLANK('URWLD COMPANY INPUTS'!$F$866)+COUNTBLANK('URWLD COMPANY INPUTS'!$F$867)+COUNTBLANK('URWLD COMPANY INPUTS'!$F$868)+COUNTBLANK('URWLD COMPANY INPUTS'!$F$869)+COUNTBLANK('URWLD COMPANY INPUTS'!$F$870)+COUNTBLANK('URWLD COMPANY INPUTS'!$F$871)+COUNTBLANK('URWLD COMPANY INPUTS'!$F$872))&amp;" owner decisions outstanding"</f>
        <v>12 owner decisions outstanding</v>
      </c>
      <c r="F270" s="308" t="s">
        <v>3424</v>
      </c>
      <c r="G270" s="308" t="s">
        <v>9579</v>
      </c>
      <c r="H270" s="308" t="s">
        <v>9402</v>
      </c>
      <c r="I270" s="308" t="s">
        <v>1742</v>
      </c>
      <c r="J270" s="308" t="s">
        <v>2179</v>
      </c>
      <c r="K270" s="308" t="s">
        <v>9403</v>
      </c>
      <c r="L270" s="325" t="s">
        <v>2846</v>
      </c>
      <c r="M270" s="325" t="s">
        <v>2058</v>
      </c>
    </row>
    <row r="271" spans="1:13" ht="29" x14ac:dyDescent="0.35">
      <c r="A271" t="s">
        <v>2847</v>
      </c>
      <c r="B271" t="s">
        <v>2848</v>
      </c>
      <c r="C271" t="s">
        <v>1818</v>
      </c>
      <c r="D271" t="s">
        <v>1946</v>
      </c>
      <c r="E271">
        <v>342.42300648148148</v>
      </c>
      <c r="F271" t="s">
        <v>2849</v>
      </c>
      <c r="G271" t="s">
        <v>2850</v>
      </c>
      <c r="H271" t="s">
        <v>1751</v>
      </c>
      <c r="I271" t="s">
        <v>1752</v>
      </c>
      <c r="J271" t="s">
        <v>331</v>
      </c>
      <c r="K271" t="s">
        <v>2851</v>
      </c>
      <c r="L271" s="325" t="s">
        <v>1744</v>
      </c>
      <c r="M271" s="325" t="s">
        <v>1745</v>
      </c>
    </row>
    <row r="272" spans="1:13" ht="29" x14ac:dyDescent="0.35">
      <c r="A272" t="s">
        <v>2852</v>
      </c>
      <c r="B272" t="s">
        <v>2853</v>
      </c>
      <c r="C272" t="s">
        <v>1818</v>
      </c>
      <c r="D272" t="s">
        <v>2854</v>
      </c>
      <c r="E272">
        <v>448.85663516148145</v>
      </c>
      <c r="F272" t="s">
        <v>2849</v>
      </c>
      <c r="G272" t="s">
        <v>2855</v>
      </c>
      <c r="H272" t="s">
        <v>1751</v>
      </c>
      <c r="I272" t="s">
        <v>1752</v>
      </c>
      <c r="J272" t="s">
        <v>331</v>
      </c>
      <c r="K272" t="s">
        <v>2856</v>
      </c>
      <c r="L272" s="325" t="s">
        <v>1744</v>
      </c>
      <c r="M272" s="325" t="s">
        <v>1745</v>
      </c>
    </row>
    <row r="273" spans="1:13" ht="29" x14ac:dyDescent="0.35">
      <c r="A273" t="s">
        <v>2857</v>
      </c>
      <c r="B273" t="s">
        <v>2858</v>
      </c>
      <c r="C273" t="s">
        <v>1818</v>
      </c>
      <c r="D273" t="s">
        <v>1835</v>
      </c>
      <c r="E273">
        <v>418.75855128460006</v>
      </c>
      <c r="F273" t="s">
        <v>2859</v>
      </c>
      <c r="G273" t="s">
        <v>2860</v>
      </c>
      <c r="H273" t="s">
        <v>1751</v>
      </c>
      <c r="I273" t="s">
        <v>1752</v>
      </c>
      <c r="J273" t="s">
        <v>331</v>
      </c>
      <c r="K273" t="s">
        <v>2861</v>
      </c>
      <c r="L273" s="325" t="s">
        <v>1744</v>
      </c>
      <c r="M273" s="325" t="s">
        <v>1745</v>
      </c>
    </row>
    <row r="274" spans="1:13" ht="29" x14ac:dyDescent="0.35">
      <c r="A274" t="s">
        <v>2862</v>
      </c>
      <c r="B274" t="s">
        <v>2863</v>
      </c>
      <c r="C274" t="s">
        <v>1818</v>
      </c>
      <c r="D274" t="s">
        <v>1845</v>
      </c>
      <c r="E274">
        <v>209.37927564230003</v>
      </c>
      <c r="F274" t="s">
        <v>1996</v>
      </c>
      <c r="G274" t="s">
        <v>2197</v>
      </c>
      <c r="H274" t="s">
        <v>1751</v>
      </c>
      <c r="I274" t="s">
        <v>1752</v>
      </c>
      <c r="J274" t="s">
        <v>331</v>
      </c>
      <c r="K274" t="s">
        <v>2864</v>
      </c>
      <c r="L274" s="325" t="s">
        <v>1744</v>
      </c>
      <c r="M274" s="325" t="s">
        <v>1745</v>
      </c>
    </row>
    <row r="275" spans="1:13" ht="29" x14ac:dyDescent="0.35">
      <c r="A275" t="s">
        <v>2865</v>
      </c>
      <c r="B275" t="s">
        <v>2866</v>
      </c>
      <c r="C275" t="s">
        <v>1818</v>
      </c>
      <c r="D275" t="s">
        <v>1854</v>
      </c>
      <c r="E275">
        <v>209.37927564230003</v>
      </c>
      <c r="F275" t="s">
        <v>2867</v>
      </c>
      <c r="G275" t="s">
        <v>2868</v>
      </c>
      <c r="H275" t="s">
        <v>1751</v>
      </c>
      <c r="I275" t="s">
        <v>1752</v>
      </c>
      <c r="J275" t="s">
        <v>331</v>
      </c>
      <c r="K275" t="s">
        <v>2869</v>
      </c>
      <c r="L275" s="325" t="s">
        <v>1744</v>
      </c>
      <c r="M275" s="325" t="s">
        <v>2220</v>
      </c>
    </row>
    <row r="276" spans="1:13" x14ac:dyDescent="0.35">
      <c r="A276" t="s">
        <v>2870</v>
      </c>
      <c r="B276" t="s">
        <v>2871</v>
      </c>
      <c r="C276" t="s">
        <v>2872</v>
      </c>
      <c r="D276" s="9">
        <v>46229</v>
      </c>
      <c r="E276">
        <v>150</v>
      </c>
      <c r="F276" t="s">
        <v>2873</v>
      </c>
      <c r="G276" t="s">
        <v>2874</v>
      </c>
      <c r="H276" t="s">
        <v>1751</v>
      </c>
      <c r="I276" t="s">
        <v>1752</v>
      </c>
      <c r="J276" t="s">
        <v>331</v>
      </c>
      <c r="K276" t="s">
        <v>2875</v>
      </c>
      <c r="L276" s="325" t="s">
        <v>2872</v>
      </c>
      <c r="M276" s="325" t="s">
        <v>1745</v>
      </c>
    </row>
    <row r="277" spans="1:13" ht="29" x14ac:dyDescent="0.35">
      <c r="A277" t="s">
        <v>2876</v>
      </c>
      <c r="B277" t="s">
        <v>2877</v>
      </c>
      <c r="C277" t="s">
        <v>1818</v>
      </c>
      <c r="D277" t="s">
        <v>2288</v>
      </c>
      <c r="E277">
        <v>125.54827564230004</v>
      </c>
      <c r="F277" t="s">
        <v>2867</v>
      </c>
      <c r="G277" t="s">
        <v>2878</v>
      </c>
      <c r="H277" t="s">
        <v>2879</v>
      </c>
      <c r="I277" t="s">
        <v>1795</v>
      </c>
      <c r="J277" t="s">
        <v>331</v>
      </c>
      <c r="K277" t="s">
        <v>2880</v>
      </c>
      <c r="L277" s="325" t="s">
        <v>1744</v>
      </c>
      <c r="M277" s="325" t="s">
        <v>2220</v>
      </c>
    </row>
    <row r="278" spans="1:13" ht="29" x14ac:dyDescent="0.35">
      <c r="A278" t="s">
        <v>2881</v>
      </c>
      <c r="B278" t="s">
        <v>2882</v>
      </c>
      <c r="C278" t="s">
        <v>1818</v>
      </c>
      <c r="D278" t="s">
        <v>2883</v>
      </c>
      <c r="E278">
        <v>10</v>
      </c>
      <c r="F278" t="s">
        <v>2884</v>
      </c>
      <c r="G278" t="s">
        <v>2885</v>
      </c>
      <c r="H278" t="s">
        <v>1751</v>
      </c>
      <c r="I278" t="s">
        <v>2886</v>
      </c>
      <c r="J278" t="s">
        <v>1782</v>
      </c>
      <c r="K278" t="s">
        <v>2887</v>
      </c>
      <c r="L278" s="325" t="s">
        <v>1744</v>
      </c>
      <c r="M278" s="325" t="s">
        <v>1745</v>
      </c>
    </row>
    <row r="279" spans="1:13" ht="29" x14ac:dyDescent="0.35">
      <c r="A279" t="s">
        <v>2888</v>
      </c>
      <c r="B279" t="s">
        <v>2889</v>
      </c>
      <c r="C279" t="s">
        <v>2890</v>
      </c>
      <c r="D279" t="s">
        <v>2891</v>
      </c>
      <c r="E279">
        <v>12</v>
      </c>
      <c r="F279" t="s">
        <v>2892</v>
      </c>
      <c r="G279" t="s">
        <v>2893</v>
      </c>
      <c r="H279" t="s">
        <v>1751</v>
      </c>
      <c r="I279" t="s">
        <v>1752</v>
      </c>
      <c r="J279" t="s">
        <v>331</v>
      </c>
      <c r="K279" t="s">
        <v>2894</v>
      </c>
      <c r="L279" s="325" t="s">
        <v>2890</v>
      </c>
      <c r="M279" s="325" t="s">
        <v>1745</v>
      </c>
    </row>
    <row r="280" spans="1:13" ht="29" x14ac:dyDescent="0.35">
      <c r="A280" t="s">
        <v>2895</v>
      </c>
      <c r="B280" t="s">
        <v>2896</v>
      </c>
      <c r="C280" t="s">
        <v>2897</v>
      </c>
      <c r="D280" t="s">
        <v>2898</v>
      </c>
      <c r="E280">
        <v>21.07</v>
      </c>
      <c r="F280" t="s">
        <v>2849</v>
      </c>
      <c r="G280" t="s">
        <v>2899</v>
      </c>
      <c r="H280" t="s">
        <v>1751</v>
      </c>
      <c r="I280" t="s">
        <v>1752</v>
      </c>
      <c r="J280" t="s">
        <v>331</v>
      </c>
      <c r="K280" t="s">
        <v>2900</v>
      </c>
      <c r="L280" s="325" t="s">
        <v>1744</v>
      </c>
      <c r="M280" s="325" t="s">
        <v>1745</v>
      </c>
    </row>
    <row r="281" spans="1:13" ht="29" x14ac:dyDescent="0.35">
      <c r="A281" t="s">
        <v>2901</v>
      </c>
      <c r="B281" t="s">
        <v>2902</v>
      </c>
      <c r="C281" t="s">
        <v>2903</v>
      </c>
      <c r="D281" t="s">
        <v>2904</v>
      </c>
      <c r="E281">
        <v>48.83020036828583</v>
      </c>
      <c r="F281" t="s">
        <v>2905</v>
      </c>
      <c r="G281" t="s">
        <v>2906</v>
      </c>
      <c r="H281" t="s">
        <v>1751</v>
      </c>
      <c r="I281" t="s">
        <v>1752</v>
      </c>
      <c r="J281" t="s">
        <v>331</v>
      </c>
      <c r="K281" t="s">
        <v>2907</v>
      </c>
      <c r="L281" s="325" t="s">
        <v>1744</v>
      </c>
      <c r="M281" s="325" t="s">
        <v>1745</v>
      </c>
    </row>
    <row r="282" spans="1:13" ht="29" x14ac:dyDescent="0.35">
      <c r="A282" t="s">
        <v>2908</v>
      </c>
      <c r="B282" t="s">
        <v>2909</v>
      </c>
      <c r="C282" t="s">
        <v>2903</v>
      </c>
      <c r="D282" t="s">
        <v>2910</v>
      </c>
      <c r="E282">
        <v>45.541921747395826</v>
      </c>
      <c r="F282" t="s">
        <v>2905</v>
      </c>
      <c r="G282" t="s">
        <v>2911</v>
      </c>
      <c r="H282" t="s">
        <v>1751</v>
      </c>
      <c r="I282" t="s">
        <v>1752</v>
      </c>
      <c r="J282" t="s">
        <v>331</v>
      </c>
      <c r="K282" t="s">
        <v>2907</v>
      </c>
      <c r="L282" s="325" t="s">
        <v>1744</v>
      </c>
      <c r="M282" s="325" t="s">
        <v>1745</v>
      </c>
    </row>
    <row r="283" spans="1:13" ht="29" x14ac:dyDescent="0.35">
      <c r="A283" t="s">
        <v>2912</v>
      </c>
      <c r="B283" t="s">
        <v>2913</v>
      </c>
      <c r="C283" t="s">
        <v>1818</v>
      </c>
      <c r="D283" t="s">
        <v>2914</v>
      </c>
      <c r="E283">
        <v>9500</v>
      </c>
      <c r="F283" t="s">
        <v>2638</v>
      </c>
      <c r="G283" t="s">
        <v>2915</v>
      </c>
      <c r="H283" t="s">
        <v>2916</v>
      </c>
      <c r="I283" t="s">
        <v>1752</v>
      </c>
      <c r="J283" t="s">
        <v>331</v>
      </c>
      <c r="K283" t="s">
        <v>2917</v>
      </c>
      <c r="L283" s="325" t="s">
        <v>1744</v>
      </c>
      <c r="M283" s="325" t="s">
        <v>1745</v>
      </c>
    </row>
    <row r="284" spans="1:13" ht="29" x14ac:dyDescent="0.35">
      <c r="A284" t="s">
        <v>2918</v>
      </c>
      <c r="B284" t="s">
        <v>2919</v>
      </c>
      <c r="C284" t="s">
        <v>1818</v>
      </c>
      <c r="D284" t="s">
        <v>2920</v>
      </c>
      <c r="E284">
        <v>10500</v>
      </c>
      <c r="F284" t="s">
        <v>2638</v>
      </c>
      <c r="G284" t="s">
        <v>2921</v>
      </c>
      <c r="H284" t="s">
        <v>2916</v>
      </c>
      <c r="I284" t="s">
        <v>1752</v>
      </c>
      <c r="J284" t="s">
        <v>331</v>
      </c>
      <c r="K284" t="s">
        <v>2922</v>
      </c>
      <c r="L284" s="325" t="s">
        <v>1744</v>
      </c>
      <c r="M284" s="325" t="s">
        <v>1745</v>
      </c>
    </row>
    <row r="285" spans="1:13" ht="29" x14ac:dyDescent="0.35">
      <c r="A285" t="s">
        <v>2923</v>
      </c>
      <c r="B285" t="s">
        <v>2924</v>
      </c>
      <c r="C285" t="s">
        <v>1818</v>
      </c>
      <c r="D285" t="s">
        <v>2925</v>
      </c>
      <c r="E285">
        <v>90.781481481481478</v>
      </c>
      <c r="F285" t="s">
        <v>2638</v>
      </c>
      <c r="G285" t="s">
        <v>2926</v>
      </c>
      <c r="H285" t="s">
        <v>2916</v>
      </c>
      <c r="I285" t="s">
        <v>1752</v>
      </c>
      <c r="J285" t="s">
        <v>331</v>
      </c>
      <c r="K285" t="s">
        <v>2927</v>
      </c>
      <c r="L285" s="325" t="s">
        <v>1744</v>
      </c>
      <c r="M285" s="325" t="s">
        <v>1745</v>
      </c>
    </row>
    <row r="286" spans="1:13" ht="29" x14ac:dyDescent="0.35">
      <c r="A286" t="s">
        <v>2928</v>
      </c>
      <c r="B286" t="s">
        <v>2929</v>
      </c>
      <c r="C286" t="s">
        <v>1818</v>
      </c>
      <c r="D286" t="s">
        <v>2930</v>
      </c>
      <c r="E286">
        <v>0</v>
      </c>
      <c r="F286" t="s">
        <v>2638</v>
      </c>
      <c r="G286" t="s">
        <v>2931</v>
      </c>
      <c r="H286" t="s">
        <v>2916</v>
      </c>
      <c r="I286" t="s">
        <v>1752</v>
      </c>
      <c r="J286" t="s">
        <v>331</v>
      </c>
      <c r="K286" t="s">
        <v>2927</v>
      </c>
      <c r="L286" s="325" t="s">
        <v>1744</v>
      </c>
      <c r="M286" s="325" t="s">
        <v>1745</v>
      </c>
    </row>
    <row r="287" spans="1:13" ht="29" x14ac:dyDescent="0.35">
      <c r="A287" t="s">
        <v>2932</v>
      </c>
      <c r="B287" t="s">
        <v>2913</v>
      </c>
      <c r="C287" t="s">
        <v>1818</v>
      </c>
      <c r="D287" t="s">
        <v>1740</v>
      </c>
      <c r="E287">
        <v>1400</v>
      </c>
      <c r="F287" t="s">
        <v>2638</v>
      </c>
      <c r="G287" t="s">
        <v>2933</v>
      </c>
      <c r="H287" t="s">
        <v>2916</v>
      </c>
      <c r="I287" t="s">
        <v>1752</v>
      </c>
      <c r="J287" t="s">
        <v>331</v>
      </c>
      <c r="K287" t="s">
        <v>2934</v>
      </c>
      <c r="L287" s="325" t="s">
        <v>1744</v>
      </c>
      <c r="M287" s="325" t="s">
        <v>1745</v>
      </c>
    </row>
    <row r="288" spans="1:13" ht="29" x14ac:dyDescent="0.35">
      <c r="A288" t="s">
        <v>2935</v>
      </c>
      <c r="B288" t="s">
        <v>2919</v>
      </c>
      <c r="C288" t="s">
        <v>1818</v>
      </c>
      <c r="D288" t="s">
        <v>2936</v>
      </c>
      <c r="E288">
        <v>0</v>
      </c>
      <c r="F288" t="s">
        <v>2638</v>
      </c>
      <c r="G288" t="s">
        <v>2937</v>
      </c>
      <c r="H288" t="s">
        <v>2916</v>
      </c>
      <c r="I288" t="s">
        <v>1752</v>
      </c>
      <c r="J288" t="s">
        <v>331</v>
      </c>
      <c r="K288" t="s">
        <v>2938</v>
      </c>
      <c r="L288" s="325" t="s">
        <v>1744</v>
      </c>
      <c r="M288" s="325" t="s">
        <v>1745</v>
      </c>
    </row>
    <row r="289" spans="1:13" ht="29" x14ac:dyDescent="0.35">
      <c r="A289" t="s">
        <v>2939</v>
      </c>
      <c r="B289" t="s">
        <v>2924</v>
      </c>
      <c r="C289" t="s">
        <v>1818</v>
      </c>
      <c r="D289" t="s">
        <v>2940</v>
      </c>
      <c r="E289">
        <v>87.57</v>
      </c>
      <c r="F289" t="s">
        <v>2638</v>
      </c>
      <c r="G289" t="s">
        <v>2941</v>
      </c>
      <c r="H289" t="s">
        <v>2916</v>
      </c>
      <c r="I289" t="s">
        <v>1752</v>
      </c>
      <c r="J289" t="s">
        <v>331</v>
      </c>
      <c r="K289" t="s">
        <v>2927</v>
      </c>
      <c r="L289" s="325" t="s">
        <v>1744</v>
      </c>
      <c r="M289" s="325" t="s">
        <v>1745</v>
      </c>
    </row>
    <row r="290" spans="1:13" ht="29" x14ac:dyDescent="0.35">
      <c r="A290" t="s">
        <v>2942</v>
      </c>
      <c r="B290" t="s">
        <v>2929</v>
      </c>
      <c r="C290" t="s">
        <v>1818</v>
      </c>
      <c r="D290" t="s">
        <v>2943</v>
      </c>
      <c r="E290">
        <v>26.63</v>
      </c>
      <c r="F290" t="s">
        <v>2638</v>
      </c>
      <c r="G290" t="s">
        <v>2944</v>
      </c>
      <c r="H290" t="s">
        <v>2916</v>
      </c>
      <c r="I290" t="s">
        <v>1752</v>
      </c>
      <c r="J290" t="s">
        <v>331</v>
      </c>
      <c r="K290" t="s">
        <v>2927</v>
      </c>
      <c r="L290" s="325" t="s">
        <v>1744</v>
      </c>
      <c r="M290" s="325" t="s">
        <v>1745</v>
      </c>
    </row>
    <row r="291" spans="1:13" ht="29" x14ac:dyDescent="0.35">
      <c r="A291" t="s">
        <v>2945</v>
      </c>
      <c r="B291" t="s">
        <v>2913</v>
      </c>
      <c r="C291" t="s">
        <v>1818</v>
      </c>
      <c r="D291" t="s">
        <v>1749</v>
      </c>
      <c r="E291">
        <v>9000</v>
      </c>
      <c r="F291" t="s">
        <v>2638</v>
      </c>
      <c r="G291" t="s">
        <v>2946</v>
      </c>
      <c r="H291" t="s">
        <v>2916</v>
      </c>
      <c r="I291" t="s">
        <v>1752</v>
      </c>
      <c r="J291" t="s">
        <v>331</v>
      </c>
      <c r="K291" t="s">
        <v>2947</v>
      </c>
      <c r="L291" s="325" t="s">
        <v>1744</v>
      </c>
      <c r="M291" s="325" t="s">
        <v>1745</v>
      </c>
    </row>
    <row r="292" spans="1:13" ht="29" x14ac:dyDescent="0.35">
      <c r="A292" t="s">
        <v>2948</v>
      </c>
      <c r="B292" t="s">
        <v>2919</v>
      </c>
      <c r="C292" t="s">
        <v>1818</v>
      </c>
      <c r="D292" t="s">
        <v>2949</v>
      </c>
      <c r="E292">
        <v>9000</v>
      </c>
      <c r="F292" t="s">
        <v>2638</v>
      </c>
      <c r="G292" t="s">
        <v>2950</v>
      </c>
      <c r="H292" t="s">
        <v>2916</v>
      </c>
      <c r="I292" t="s">
        <v>1752</v>
      </c>
      <c r="J292" t="s">
        <v>331</v>
      </c>
      <c r="K292" t="s">
        <v>2951</v>
      </c>
      <c r="L292" s="325" t="s">
        <v>1744</v>
      </c>
      <c r="M292" s="325" t="s">
        <v>1745</v>
      </c>
    </row>
    <row r="293" spans="1:13" ht="29" x14ac:dyDescent="0.35">
      <c r="A293" t="s">
        <v>2952</v>
      </c>
      <c r="B293" t="s">
        <v>2924</v>
      </c>
      <c r="C293" t="s">
        <v>1818</v>
      </c>
      <c r="D293" t="s">
        <v>2953</v>
      </c>
      <c r="E293">
        <v>12.84499125</v>
      </c>
      <c r="F293" t="s">
        <v>2638</v>
      </c>
      <c r="G293" t="s">
        <v>2954</v>
      </c>
      <c r="H293" t="s">
        <v>2916</v>
      </c>
      <c r="I293" t="s">
        <v>1752</v>
      </c>
      <c r="J293" t="s">
        <v>331</v>
      </c>
      <c r="K293" t="s">
        <v>2927</v>
      </c>
      <c r="L293" s="325" t="s">
        <v>1744</v>
      </c>
      <c r="M293" s="325" t="s">
        <v>1745</v>
      </c>
    </row>
    <row r="294" spans="1:13" ht="29" x14ac:dyDescent="0.35">
      <c r="A294" t="s">
        <v>2955</v>
      </c>
      <c r="B294" t="s">
        <v>2929</v>
      </c>
      <c r="C294" t="s">
        <v>1818</v>
      </c>
      <c r="D294" t="s">
        <v>1764</v>
      </c>
      <c r="E294">
        <v>6.9165337500000001</v>
      </c>
      <c r="F294" t="s">
        <v>2638</v>
      </c>
      <c r="G294" t="s">
        <v>2956</v>
      </c>
      <c r="H294" t="s">
        <v>2916</v>
      </c>
      <c r="I294" t="s">
        <v>1752</v>
      </c>
      <c r="J294" t="s">
        <v>331</v>
      </c>
      <c r="K294" t="s">
        <v>2927</v>
      </c>
      <c r="L294" s="325" t="s">
        <v>1744</v>
      </c>
      <c r="M294" s="325" t="s">
        <v>1745</v>
      </c>
    </row>
    <row r="295" spans="1:13" ht="29" x14ac:dyDescent="0.35">
      <c r="A295" t="s">
        <v>2957</v>
      </c>
      <c r="B295" t="s">
        <v>2913</v>
      </c>
      <c r="C295" t="s">
        <v>1818</v>
      </c>
      <c r="D295" t="s">
        <v>2958</v>
      </c>
      <c r="E295">
        <v>3800</v>
      </c>
      <c r="F295" t="s">
        <v>2638</v>
      </c>
      <c r="G295" t="s">
        <v>2959</v>
      </c>
      <c r="H295" t="s">
        <v>2916</v>
      </c>
      <c r="I295" t="s">
        <v>1752</v>
      </c>
      <c r="J295" t="s">
        <v>331</v>
      </c>
      <c r="K295" t="s">
        <v>2960</v>
      </c>
      <c r="L295" s="325" t="s">
        <v>1744</v>
      </c>
      <c r="M295" s="325" t="s">
        <v>1745</v>
      </c>
    </row>
    <row r="296" spans="1:13" ht="29" x14ac:dyDescent="0.35">
      <c r="A296" t="s">
        <v>2961</v>
      </c>
      <c r="B296" t="s">
        <v>2919</v>
      </c>
      <c r="C296" t="s">
        <v>1818</v>
      </c>
      <c r="D296" t="s">
        <v>2962</v>
      </c>
      <c r="E296">
        <v>300</v>
      </c>
      <c r="F296" t="s">
        <v>2638</v>
      </c>
      <c r="G296" t="s">
        <v>2963</v>
      </c>
      <c r="H296" t="s">
        <v>2916</v>
      </c>
      <c r="I296" t="s">
        <v>1752</v>
      </c>
      <c r="J296" t="s">
        <v>331</v>
      </c>
      <c r="K296" t="s">
        <v>2951</v>
      </c>
      <c r="L296" s="325" t="s">
        <v>1744</v>
      </c>
      <c r="M296" s="325" t="s">
        <v>1745</v>
      </c>
    </row>
    <row r="297" spans="1:13" ht="29" x14ac:dyDescent="0.35">
      <c r="A297" t="s">
        <v>2964</v>
      </c>
      <c r="B297" t="s">
        <v>2924</v>
      </c>
      <c r="C297" t="s">
        <v>1818</v>
      </c>
      <c r="D297" t="s">
        <v>2965</v>
      </c>
      <c r="E297">
        <v>13</v>
      </c>
      <c r="F297" t="s">
        <v>2638</v>
      </c>
      <c r="G297" t="s">
        <v>2966</v>
      </c>
      <c r="H297" t="s">
        <v>2916</v>
      </c>
      <c r="I297" t="s">
        <v>1752</v>
      </c>
      <c r="J297" t="s">
        <v>331</v>
      </c>
      <c r="K297" t="s">
        <v>2927</v>
      </c>
      <c r="L297" s="325" t="s">
        <v>1744</v>
      </c>
      <c r="M297" s="325" t="s">
        <v>1745</v>
      </c>
    </row>
    <row r="298" spans="1:13" ht="29" x14ac:dyDescent="0.35">
      <c r="A298" t="s">
        <v>2967</v>
      </c>
      <c r="B298" t="s">
        <v>2929</v>
      </c>
      <c r="C298" t="s">
        <v>1818</v>
      </c>
      <c r="D298" t="s">
        <v>2968</v>
      </c>
      <c r="E298">
        <v>0</v>
      </c>
      <c r="F298" t="s">
        <v>2638</v>
      </c>
      <c r="G298" t="s">
        <v>2969</v>
      </c>
      <c r="H298" t="s">
        <v>2916</v>
      </c>
      <c r="I298" t="s">
        <v>1752</v>
      </c>
      <c r="J298" t="s">
        <v>331</v>
      </c>
      <c r="K298" t="s">
        <v>2927</v>
      </c>
      <c r="L298" s="325" t="s">
        <v>1744</v>
      </c>
      <c r="M298" s="325" t="s">
        <v>1745</v>
      </c>
    </row>
    <row r="299" spans="1:13" ht="29" x14ac:dyDescent="0.35">
      <c r="A299" t="s">
        <v>2970</v>
      </c>
      <c r="B299" t="s">
        <v>2913</v>
      </c>
      <c r="C299" t="s">
        <v>1818</v>
      </c>
      <c r="D299" t="s">
        <v>2971</v>
      </c>
      <c r="E299">
        <v>4000</v>
      </c>
      <c r="F299" t="s">
        <v>2638</v>
      </c>
      <c r="G299" t="s">
        <v>2972</v>
      </c>
      <c r="H299" t="s">
        <v>2916</v>
      </c>
      <c r="I299" t="s">
        <v>1752</v>
      </c>
      <c r="J299" t="s">
        <v>331</v>
      </c>
      <c r="K299" t="s">
        <v>2973</v>
      </c>
      <c r="L299" s="325" t="s">
        <v>1744</v>
      </c>
      <c r="M299" s="325" t="s">
        <v>1745</v>
      </c>
    </row>
    <row r="300" spans="1:13" ht="29" x14ac:dyDescent="0.35">
      <c r="A300" t="s">
        <v>2974</v>
      </c>
      <c r="B300" t="s">
        <v>2919</v>
      </c>
      <c r="C300" t="s">
        <v>1818</v>
      </c>
      <c r="D300" t="s">
        <v>2975</v>
      </c>
      <c r="E300">
        <v>200</v>
      </c>
      <c r="F300" t="s">
        <v>2638</v>
      </c>
      <c r="G300" t="s">
        <v>2976</v>
      </c>
      <c r="H300" t="s">
        <v>2916</v>
      </c>
      <c r="I300" t="s">
        <v>1752</v>
      </c>
      <c r="J300" t="s">
        <v>331</v>
      </c>
      <c r="K300" t="s">
        <v>2951</v>
      </c>
      <c r="L300" s="325" t="s">
        <v>1744</v>
      </c>
      <c r="M300" s="325" t="s">
        <v>1745</v>
      </c>
    </row>
    <row r="301" spans="1:13" ht="29" x14ac:dyDescent="0.35">
      <c r="A301" t="s">
        <v>2977</v>
      </c>
      <c r="B301" t="s">
        <v>2924</v>
      </c>
      <c r="C301" t="s">
        <v>1818</v>
      </c>
      <c r="D301" t="s">
        <v>2978</v>
      </c>
      <c r="E301">
        <v>14.5</v>
      </c>
      <c r="F301" t="s">
        <v>2638</v>
      </c>
      <c r="G301" t="s">
        <v>2979</v>
      </c>
      <c r="H301" t="s">
        <v>2916</v>
      </c>
      <c r="I301" t="s">
        <v>1752</v>
      </c>
      <c r="J301" t="s">
        <v>331</v>
      </c>
      <c r="K301" t="s">
        <v>2927</v>
      </c>
      <c r="L301" s="325" t="s">
        <v>1744</v>
      </c>
      <c r="M301" s="325" t="s">
        <v>1745</v>
      </c>
    </row>
    <row r="302" spans="1:13" ht="29" x14ac:dyDescent="0.35">
      <c r="A302" t="s">
        <v>2980</v>
      </c>
      <c r="B302" t="s">
        <v>2929</v>
      </c>
      <c r="C302" t="s">
        <v>1818</v>
      </c>
      <c r="D302" t="s">
        <v>2981</v>
      </c>
      <c r="E302">
        <v>0</v>
      </c>
      <c r="F302" t="s">
        <v>2638</v>
      </c>
      <c r="G302" t="s">
        <v>2982</v>
      </c>
      <c r="H302" t="s">
        <v>2916</v>
      </c>
      <c r="I302" t="s">
        <v>1752</v>
      </c>
      <c r="J302" t="s">
        <v>331</v>
      </c>
      <c r="K302" t="s">
        <v>2927</v>
      </c>
      <c r="L302" s="325" t="s">
        <v>1744</v>
      </c>
      <c r="M302" s="325" t="s">
        <v>1745</v>
      </c>
    </row>
    <row r="303" spans="1:13" ht="29" x14ac:dyDescent="0.35">
      <c r="A303" t="s">
        <v>2983</v>
      </c>
      <c r="B303" t="s">
        <v>2913</v>
      </c>
      <c r="C303" t="s">
        <v>1818</v>
      </c>
      <c r="D303" t="s">
        <v>1775</v>
      </c>
      <c r="E303">
        <v>4000</v>
      </c>
      <c r="F303" t="s">
        <v>2638</v>
      </c>
      <c r="G303" t="s">
        <v>2984</v>
      </c>
      <c r="H303" t="s">
        <v>2916</v>
      </c>
      <c r="I303" t="s">
        <v>1752</v>
      </c>
      <c r="J303" t="s">
        <v>331</v>
      </c>
      <c r="K303" t="s">
        <v>2985</v>
      </c>
      <c r="L303" s="325" t="s">
        <v>1744</v>
      </c>
      <c r="M303" s="325" t="s">
        <v>1745</v>
      </c>
    </row>
    <row r="304" spans="1:13" ht="29" x14ac:dyDescent="0.35">
      <c r="A304" t="s">
        <v>2986</v>
      </c>
      <c r="B304" t="s">
        <v>2919</v>
      </c>
      <c r="C304" t="s">
        <v>1818</v>
      </c>
      <c r="D304" t="s">
        <v>2987</v>
      </c>
      <c r="E304">
        <v>4200</v>
      </c>
      <c r="F304" t="s">
        <v>2638</v>
      </c>
      <c r="G304" t="s">
        <v>2988</v>
      </c>
      <c r="H304" t="s">
        <v>2916</v>
      </c>
      <c r="I304" t="s">
        <v>1752</v>
      </c>
      <c r="J304" t="s">
        <v>331</v>
      </c>
      <c r="K304" t="s">
        <v>2951</v>
      </c>
      <c r="L304" s="325" t="s">
        <v>1744</v>
      </c>
      <c r="M304" s="325" t="s">
        <v>1745</v>
      </c>
    </row>
    <row r="305" spans="1:13" ht="29" x14ac:dyDescent="0.35">
      <c r="A305" t="s">
        <v>2989</v>
      </c>
      <c r="B305" t="s">
        <v>2924</v>
      </c>
      <c r="C305" t="s">
        <v>1818</v>
      </c>
      <c r="D305" t="s">
        <v>2990</v>
      </c>
      <c r="E305">
        <v>30.22</v>
      </c>
      <c r="F305" t="s">
        <v>2638</v>
      </c>
      <c r="G305" t="s">
        <v>2991</v>
      </c>
      <c r="H305" t="s">
        <v>2916</v>
      </c>
      <c r="I305" t="s">
        <v>1752</v>
      </c>
      <c r="J305" t="s">
        <v>331</v>
      </c>
      <c r="K305" t="s">
        <v>2927</v>
      </c>
      <c r="L305" s="325" t="s">
        <v>1744</v>
      </c>
      <c r="M305" s="325" t="s">
        <v>1745</v>
      </c>
    </row>
    <row r="306" spans="1:13" ht="29" x14ac:dyDescent="0.35">
      <c r="A306" t="s">
        <v>2992</v>
      </c>
      <c r="B306" t="s">
        <v>2929</v>
      </c>
      <c r="C306" t="s">
        <v>1818</v>
      </c>
      <c r="D306" t="s">
        <v>1768</v>
      </c>
      <c r="E306">
        <v>0</v>
      </c>
      <c r="F306" t="s">
        <v>2638</v>
      </c>
      <c r="G306" t="s">
        <v>2993</v>
      </c>
      <c r="H306" t="s">
        <v>2916</v>
      </c>
      <c r="I306" t="s">
        <v>1752</v>
      </c>
      <c r="J306" t="s">
        <v>331</v>
      </c>
      <c r="K306" t="s">
        <v>2927</v>
      </c>
      <c r="L306" s="325" t="s">
        <v>1744</v>
      </c>
      <c r="M306" s="325" t="s">
        <v>1745</v>
      </c>
    </row>
    <row r="307" spans="1:13" ht="29" x14ac:dyDescent="0.35">
      <c r="A307" t="s">
        <v>2994</v>
      </c>
      <c r="B307" t="s">
        <v>2913</v>
      </c>
      <c r="C307" t="s">
        <v>1818</v>
      </c>
      <c r="D307" t="s">
        <v>1814</v>
      </c>
      <c r="E307">
        <v>600</v>
      </c>
      <c r="F307" t="s">
        <v>2638</v>
      </c>
      <c r="G307" t="s">
        <v>2995</v>
      </c>
      <c r="H307" t="s">
        <v>2916</v>
      </c>
      <c r="I307" t="s">
        <v>1752</v>
      </c>
      <c r="J307" t="s">
        <v>331</v>
      </c>
      <c r="K307" t="s">
        <v>2996</v>
      </c>
      <c r="L307" s="325" t="s">
        <v>1744</v>
      </c>
      <c r="M307" s="325" t="s">
        <v>1745</v>
      </c>
    </row>
    <row r="308" spans="1:13" ht="29" x14ac:dyDescent="0.35">
      <c r="A308" t="s">
        <v>2997</v>
      </c>
      <c r="B308" t="s">
        <v>2919</v>
      </c>
      <c r="C308" t="s">
        <v>1818</v>
      </c>
      <c r="D308" t="s">
        <v>2998</v>
      </c>
      <c r="E308">
        <v>0</v>
      </c>
      <c r="F308" t="s">
        <v>2638</v>
      </c>
      <c r="G308" t="s">
        <v>2999</v>
      </c>
      <c r="H308" t="s">
        <v>2916</v>
      </c>
      <c r="I308" t="s">
        <v>1752</v>
      </c>
      <c r="J308" t="s">
        <v>331</v>
      </c>
      <c r="K308" t="s">
        <v>3000</v>
      </c>
      <c r="L308" s="325" t="s">
        <v>1744</v>
      </c>
      <c r="M308" s="325" t="s">
        <v>1745</v>
      </c>
    </row>
    <row r="309" spans="1:13" ht="29" x14ac:dyDescent="0.35">
      <c r="A309" t="s">
        <v>3001</v>
      </c>
      <c r="B309" t="s">
        <v>2924</v>
      </c>
      <c r="C309" t="s">
        <v>1818</v>
      </c>
      <c r="D309" t="s">
        <v>3002</v>
      </c>
      <c r="E309">
        <v>1</v>
      </c>
      <c r="F309" t="s">
        <v>2638</v>
      </c>
      <c r="G309" t="s">
        <v>3003</v>
      </c>
      <c r="H309" t="s">
        <v>2916</v>
      </c>
      <c r="I309" t="s">
        <v>1752</v>
      </c>
      <c r="J309" t="s">
        <v>331</v>
      </c>
      <c r="K309" t="s">
        <v>2927</v>
      </c>
      <c r="L309" s="325" t="s">
        <v>1744</v>
      </c>
      <c r="M309" s="325" t="s">
        <v>1745</v>
      </c>
    </row>
    <row r="310" spans="1:13" ht="29" x14ac:dyDescent="0.35">
      <c r="A310" t="s">
        <v>3004</v>
      </c>
      <c r="B310" t="s">
        <v>2929</v>
      </c>
      <c r="C310" t="s">
        <v>1818</v>
      </c>
      <c r="D310" t="s">
        <v>3005</v>
      </c>
      <c r="E310">
        <v>0.5</v>
      </c>
      <c r="F310" t="s">
        <v>2638</v>
      </c>
      <c r="G310" t="s">
        <v>3006</v>
      </c>
      <c r="H310" t="s">
        <v>2916</v>
      </c>
      <c r="I310" t="s">
        <v>1752</v>
      </c>
      <c r="J310" t="s">
        <v>331</v>
      </c>
      <c r="K310" t="s">
        <v>2927</v>
      </c>
      <c r="L310" s="325" t="s">
        <v>1744</v>
      </c>
      <c r="M310" s="325" t="s">
        <v>1745</v>
      </c>
    </row>
    <row r="311" spans="1:13" ht="29" x14ac:dyDescent="0.35">
      <c r="A311" t="s">
        <v>3007</v>
      </c>
      <c r="B311" t="s">
        <v>3008</v>
      </c>
      <c r="C311" t="s">
        <v>1736</v>
      </c>
      <c r="D311" t="s">
        <v>3009</v>
      </c>
      <c r="E311">
        <v>0.04</v>
      </c>
      <c r="F311" t="s">
        <v>2638</v>
      </c>
      <c r="G311" t="s">
        <v>3010</v>
      </c>
      <c r="H311" t="s">
        <v>2916</v>
      </c>
      <c r="I311" t="s">
        <v>1881</v>
      </c>
      <c r="J311" t="s">
        <v>331</v>
      </c>
      <c r="K311" t="s">
        <v>3011</v>
      </c>
      <c r="L311" s="325" t="s">
        <v>1744</v>
      </c>
      <c r="M311" s="325" t="s">
        <v>1985</v>
      </c>
    </row>
    <row r="312" spans="1:13" ht="29" x14ac:dyDescent="0.35">
      <c r="A312" t="s">
        <v>3012</v>
      </c>
      <c r="B312" t="s">
        <v>3013</v>
      </c>
      <c r="C312" t="s">
        <v>1736</v>
      </c>
      <c r="D312" t="s">
        <v>3014</v>
      </c>
      <c r="E312">
        <v>2.5000000000000001E-2</v>
      </c>
      <c r="F312" t="s">
        <v>2638</v>
      </c>
      <c r="G312" t="s">
        <v>3015</v>
      </c>
      <c r="H312" t="s">
        <v>2916</v>
      </c>
      <c r="I312" t="s">
        <v>1752</v>
      </c>
      <c r="J312" t="s">
        <v>331</v>
      </c>
      <c r="K312" t="s">
        <v>3016</v>
      </c>
      <c r="L312" s="325" t="s">
        <v>1744</v>
      </c>
      <c r="M312" s="325" t="s">
        <v>2173</v>
      </c>
    </row>
    <row r="313" spans="1:13" ht="29" x14ac:dyDescent="0.35">
      <c r="A313" t="s">
        <v>3017</v>
      </c>
      <c r="B313" t="s">
        <v>3018</v>
      </c>
      <c r="C313" t="s">
        <v>1736</v>
      </c>
      <c r="D313" t="s">
        <v>3019</v>
      </c>
      <c r="E313" t="s">
        <v>3020</v>
      </c>
      <c r="F313" t="s">
        <v>2638</v>
      </c>
      <c r="G313" t="s">
        <v>3021</v>
      </c>
      <c r="H313" t="s">
        <v>2916</v>
      </c>
      <c r="I313" t="s">
        <v>3022</v>
      </c>
      <c r="J313" t="s">
        <v>331</v>
      </c>
      <c r="K313" t="s">
        <v>3023</v>
      </c>
      <c r="L313" s="325" t="s">
        <v>1744</v>
      </c>
      <c r="M313" s="325" t="s">
        <v>2181</v>
      </c>
    </row>
    <row r="314" spans="1:13" ht="29" x14ac:dyDescent="0.35">
      <c r="A314" t="s">
        <v>3024</v>
      </c>
      <c r="B314" t="s">
        <v>3025</v>
      </c>
      <c r="C314" t="s">
        <v>1736</v>
      </c>
      <c r="D314" t="s">
        <v>3026</v>
      </c>
      <c r="E314">
        <v>10</v>
      </c>
      <c r="F314" t="s">
        <v>2638</v>
      </c>
      <c r="G314" t="s">
        <v>3027</v>
      </c>
      <c r="H314" t="s">
        <v>2916</v>
      </c>
      <c r="I314" t="s">
        <v>3022</v>
      </c>
      <c r="J314" t="s">
        <v>331</v>
      </c>
      <c r="K314" t="s">
        <v>3028</v>
      </c>
      <c r="L314" s="325" t="s">
        <v>1744</v>
      </c>
      <c r="M314" s="325" t="s">
        <v>2181</v>
      </c>
    </row>
    <row r="315" spans="1:13" ht="29" x14ac:dyDescent="0.35">
      <c r="A315" t="s">
        <v>3029</v>
      </c>
      <c r="B315" t="s">
        <v>3030</v>
      </c>
      <c r="C315" t="s">
        <v>1736</v>
      </c>
      <c r="D315" t="s">
        <v>3031</v>
      </c>
      <c r="E315" t="s">
        <v>3032</v>
      </c>
      <c r="F315" t="s">
        <v>2638</v>
      </c>
      <c r="G315" t="s">
        <v>3033</v>
      </c>
      <c r="H315" t="s">
        <v>2916</v>
      </c>
      <c r="I315" t="s">
        <v>1752</v>
      </c>
      <c r="J315" t="s">
        <v>331</v>
      </c>
      <c r="K315" t="s">
        <v>3034</v>
      </c>
      <c r="L315" s="325" t="s">
        <v>1744</v>
      </c>
      <c r="M315" s="325" t="s">
        <v>2058</v>
      </c>
    </row>
    <row r="316" spans="1:13" ht="29" x14ac:dyDescent="0.35">
      <c r="A316" t="s">
        <v>3035</v>
      </c>
      <c r="B316" t="s">
        <v>3036</v>
      </c>
      <c r="C316" t="s">
        <v>1736</v>
      </c>
      <c r="D316" t="s">
        <v>3037</v>
      </c>
      <c r="E316" t="s">
        <v>3038</v>
      </c>
      <c r="F316" t="s">
        <v>2638</v>
      </c>
      <c r="G316" t="s">
        <v>3039</v>
      </c>
      <c r="H316" t="s">
        <v>2916</v>
      </c>
      <c r="I316" t="s">
        <v>1752</v>
      </c>
      <c r="J316" t="s">
        <v>331</v>
      </c>
      <c r="K316" t="s">
        <v>3040</v>
      </c>
      <c r="L316" s="325" t="s">
        <v>1744</v>
      </c>
      <c r="M316" s="325" t="s">
        <v>1985</v>
      </c>
    </row>
    <row r="317" spans="1:13" ht="29" x14ac:dyDescent="0.35">
      <c r="A317" t="s">
        <v>3041</v>
      </c>
      <c r="B317" t="s">
        <v>3042</v>
      </c>
      <c r="C317" t="s">
        <v>307</v>
      </c>
      <c r="D317" t="s">
        <v>3043</v>
      </c>
      <c r="E317">
        <v>2.5000000000000001E-2</v>
      </c>
      <c r="F317" t="s">
        <v>2638</v>
      </c>
      <c r="G317" t="s">
        <v>3044</v>
      </c>
      <c r="H317" t="s">
        <v>2916</v>
      </c>
      <c r="I317" t="s">
        <v>1881</v>
      </c>
      <c r="J317" t="s">
        <v>331</v>
      </c>
      <c r="K317" t="s">
        <v>3045</v>
      </c>
      <c r="L317" s="325" t="s">
        <v>1744</v>
      </c>
      <c r="M317" s="325" t="s">
        <v>1985</v>
      </c>
    </row>
    <row r="318" spans="1:13" ht="29" x14ac:dyDescent="0.35">
      <c r="A318" t="s">
        <v>3046</v>
      </c>
      <c r="B318" t="s">
        <v>3047</v>
      </c>
      <c r="C318" t="s">
        <v>307</v>
      </c>
      <c r="D318" t="s">
        <v>3048</v>
      </c>
      <c r="E318">
        <v>0.03</v>
      </c>
      <c r="F318" t="s">
        <v>2638</v>
      </c>
      <c r="G318" t="s">
        <v>3049</v>
      </c>
      <c r="H318" t="s">
        <v>2916</v>
      </c>
      <c r="I318" t="s">
        <v>1881</v>
      </c>
      <c r="J318" t="s">
        <v>331</v>
      </c>
      <c r="K318" t="s">
        <v>3050</v>
      </c>
      <c r="L318" s="325" t="s">
        <v>1744</v>
      </c>
      <c r="M318" s="325" t="s">
        <v>1985</v>
      </c>
    </row>
    <row r="319" spans="1:13" ht="29" x14ac:dyDescent="0.35">
      <c r="A319" t="s">
        <v>3051</v>
      </c>
      <c r="B319" t="s">
        <v>3052</v>
      </c>
      <c r="C319" t="s">
        <v>307</v>
      </c>
      <c r="D319" t="s">
        <v>2124</v>
      </c>
      <c r="E319">
        <v>5.0000000000000001E-3</v>
      </c>
      <c r="F319" t="s">
        <v>2638</v>
      </c>
      <c r="G319" t="s">
        <v>3053</v>
      </c>
      <c r="H319" t="s">
        <v>2916</v>
      </c>
      <c r="I319" t="s">
        <v>1881</v>
      </c>
      <c r="J319" t="s">
        <v>331</v>
      </c>
      <c r="K319" t="s">
        <v>3050</v>
      </c>
      <c r="L319" s="325" t="s">
        <v>1744</v>
      </c>
      <c r="M319" s="325" t="s">
        <v>1985</v>
      </c>
    </row>
    <row r="320" spans="1:13" x14ac:dyDescent="0.35">
      <c r="A320" t="s">
        <v>3054</v>
      </c>
      <c r="B320" t="s">
        <v>3055</v>
      </c>
      <c r="C320" t="s">
        <v>3056</v>
      </c>
      <c r="D320" t="s">
        <v>2748</v>
      </c>
      <c r="E320" t="s">
        <v>2653</v>
      </c>
      <c r="F320" t="s">
        <v>2638</v>
      </c>
      <c r="G320" t="s">
        <v>3057</v>
      </c>
      <c r="H320" t="s">
        <v>2734</v>
      </c>
      <c r="I320" t="s">
        <v>1795</v>
      </c>
      <c r="J320" t="s">
        <v>331</v>
      </c>
      <c r="K320" t="s">
        <v>3058</v>
      </c>
      <c r="L320" s="325" t="s">
        <v>1754</v>
      </c>
      <c r="M320" s="325" t="s">
        <v>1745</v>
      </c>
    </row>
    <row r="321" spans="1:13" x14ac:dyDescent="0.35">
      <c r="L321" s="325"/>
      <c r="M321" s="325"/>
    </row>
    <row r="322" spans="1:13" ht="67.5" x14ac:dyDescent="0.35">
      <c r="A322" s="324" t="s">
        <v>3059</v>
      </c>
      <c r="B322" s="325"/>
      <c r="C322" s="325"/>
      <c r="D322" s="325"/>
      <c r="E322" s="325"/>
      <c r="F322" s="325"/>
      <c r="G322" s="325"/>
      <c r="H322" s="325"/>
      <c r="I322" s="325"/>
      <c r="J322" s="325"/>
      <c r="K322" s="325"/>
      <c r="L322" s="325"/>
      <c r="M322" s="325" t="s">
        <v>1745</v>
      </c>
    </row>
    <row r="323" spans="1:13" x14ac:dyDescent="0.35">
      <c r="A323" s="306" t="s">
        <v>1722</v>
      </c>
      <c r="B323" s="306" t="s">
        <v>1723</v>
      </c>
      <c r="C323" s="306" t="s">
        <v>1724</v>
      </c>
      <c r="D323" s="306" t="s">
        <v>1725</v>
      </c>
      <c r="E323" s="306" t="s">
        <v>1726</v>
      </c>
      <c r="F323" s="306" t="s">
        <v>1727</v>
      </c>
      <c r="G323" s="306" t="s">
        <v>1728</v>
      </c>
      <c r="H323" s="325" t="s">
        <v>1729</v>
      </c>
      <c r="I323" s="325" t="s">
        <v>622</v>
      </c>
      <c r="J323" s="325" t="s">
        <v>2508</v>
      </c>
      <c r="K323" s="325" t="s">
        <v>1731</v>
      </c>
      <c r="L323" s="325" t="s">
        <v>1732</v>
      </c>
      <c r="M323" s="325" t="s">
        <v>1733</v>
      </c>
    </row>
    <row r="324" spans="1:13" ht="29" x14ac:dyDescent="0.35">
      <c r="A324" t="s">
        <v>3060</v>
      </c>
      <c r="B324" t="s">
        <v>3061</v>
      </c>
      <c r="C324" t="s">
        <v>1818</v>
      </c>
      <c r="D324" t="s">
        <v>3062</v>
      </c>
      <c r="E324" t="s">
        <v>3063</v>
      </c>
      <c r="F324" t="s">
        <v>3064</v>
      </c>
      <c r="G324" t="s">
        <v>3065</v>
      </c>
      <c r="H324" t="s">
        <v>3066</v>
      </c>
      <c r="I324" t="s">
        <v>1752</v>
      </c>
      <c r="J324" t="s">
        <v>331</v>
      </c>
      <c r="K324" t="s">
        <v>3067</v>
      </c>
      <c r="L324" s="325" t="s">
        <v>1744</v>
      </c>
      <c r="M324" s="325" t="s">
        <v>2220</v>
      </c>
    </row>
    <row r="325" spans="1:13" ht="29" x14ac:dyDescent="0.35">
      <c r="A325" t="s">
        <v>3068</v>
      </c>
      <c r="B325" t="s">
        <v>3061</v>
      </c>
      <c r="C325" t="s">
        <v>2903</v>
      </c>
      <c r="D325" t="s">
        <v>3069</v>
      </c>
      <c r="E325" t="s">
        <v>3070</v>
      </c>
      <c r="F325" t="s">
        <v>3071</v>
      </c>
      <c r="G325" t="s">
        <v>3065</v>
      </c>
      <c r="H325" t="s">
        <v>3066</v>
      </c>
      <c r="I325" t="s">
        <v>1752</v>
      </c>
      <c r="J325" t="s">
        <v>331</v>
      </c>
      <c r="K325" t="s">
        <v>3072</v>
      </c>
      <c r="L325" s="325" t="s">
        <v>1744</v>
      </c>
      <c r="M325" s="325" t="s">
        <v>1745</v>
      </c>
    </row>
    <row r="326" spans="1:13" ht="29" x14ac:dyDescent="0.35">
      <c r="A326" t="s">
        <v>3073</v>
      </c>
      <c r="B326" t="s">
        <v>3061</v>
      </c>
      <c r="C326" t="s">
        <v>3074</v>
      </c>
      <c r="D326" t="s">
        <v>3075</v>
      </c>
      <c r="E326" t="s">
        <v>3076</v>
      </c>
      <c r="F326" t="s">
        <v>3077</v>
      </c>
      <c r="G326" t="s">
        <v>3065</v>
      </c>
      <c r="H326" t="s">
        <v>3066</v>
      </c>
      <c r="I326" t="s">
        <v>1795</v>
      </c>
      <c r="J326" t="s">
        <v>331</v>
      </c>
      <c r="K326" t="s">
        <v>3078</v>
      </c>
      <c r="L326" s="325" t="s">
        <v>1744</v>
      </c>
      <c r="M326" s="325" t="s">
        <v>1745</v>
      </c>
    </row>
    <row r="327" spans="1:13" ht="29" x14ac:dyDescent="0.35">
      <c r="A327" t="s">
        <v>3079</v>
      </c>
      <c r="B327" t="s">
        <v>3061</v>
      </c>
      <c r="C327" t="s">
        <v>3080</v>
      </c>
      <c r="D327" t="s">
        <v>3081</v>
      </c>
      <c r="E327" t="s">
        <v>3082</v>
      </c>
      <c r="F327" t="s">
        <v>3083</v>
      </c>
      <c r="G327" t="s">
        <v>3065</v>
      </c>
      <c r="H327" t="s">
        <v>3066</v>
      </c>
      <c r="I327" t="s">
        <v>1795</v>
      </c>
      <c r="J327" t="s">
        <v>331</v>
      </c>
      <c r="K327" t="s">
        <v>3084</v>
      </c>
      <c r="L327" s="325" t="s">
        <v>1744</v>
      </c>
      <c r="M327" s="325" t="s">
        <v>1745</v>
      </c>
    </row>
    <row r="328" spans="1:13" ht="29" x14ac:dyDescent="0.35">
      <c r="A328" t="s">
        <v>3085</v>
      </c>
      <c r="B328" t="s">
        <v>3061</v>
      </c>
      <c r="C328" t="s">
        <v>3086</v>
      </c>
      <c r="D328" t="s">
        <v>3087</v>
      </c>
      <c r="E328" t="s">
        <v>3088</v>
      </c>
      <c r="F328" t="s">
        <v>3089</v>
      </c>
      <c r="G328" t="s">
        <v>3065</v>
      </c>
      <c r="H328" t="s">
        <v>3066</v>
      </c>
      <c r="I328" t="s">
        <v>3090</v>
      </c>
      <c r="J328" t="s">
        <v>331</v>
      </c>
      <c r="K328" t="s">
        <v>3091</v>
      </c>
      <c r="L328" s="325" t="s">
        <v>1744</v>
      </c>
      <c r="M328" s="325" t="s">
        <v>1745</v>
      </c>
    </row>
    <row r="329" spans="1:13" ht="29" x14ac:dyDescent="0.35">
      <c r="A329" t="s">
        <v>3092</v>
      </c>
      <c r="B329" t="s">
        <v>3061</v>
      </c>
      <c r="C329" t="s">
        <v>1736</v>
      </c>
      <c r="D329" t="s">
        <v>3093</v>
      </c>
      <c r="E329" t="s">
        <v>3094</v>
      </c>
      <c r="F329" t="s">
        <v>3095</v>
      </c>
      <c r="G329" t="s">
        <v>3065</v>
      </c>
      <c r="H329" t="s">
        <v>3066</v>
      </c>
      <c r="I329" t="s">
        <v>1752</v>
      </c>
      <c r="J329" t="s">
        <v>331</v>
      </c>
      <c r="K329" t="s">
        <v>3096</v>
      </c>
      <c r="L329" s="325" t="s">
        <v>1744</v>
      </c>
      <c r="M329" s="325" t="s">
        <v>2173</v>
      </c>
    </row>
    <row r="330" spans="1:13" ht="29" x14ac:dyDescent="0.35">
      <c r="A330" t="s">
        <v>3097</v>
      </c>
      <c r="B330" t="s">
        <v>3061</v>
      </c>
      <c r="C330" t="s">
        <v>307</v>
      </c>
      <c r="D330" t="s">
        <v>3098</v>
      </c>
      <c r="E330" t="s">
        <v>3099</v>
      </c>
      <c r="F330" t="s">
        <v>3100</v>
      </c>
      <c r="G330" t="s">
        <v>3065</v>
      </c>
      <c r="H330" t="s">
        <v>3066</v>
      </c>
      <c r="I330" t="s">
        <v>1752</v>
      </c>
      <c r="J330" t="s">
        <v>331</v>
      </c>
      <c r="K330" t="s">
        <v>3101</v>
      </c>
      <c r="L330" s="325" t="s">
        <v>1744</v>
      </c>
      <c r="M330" s="325" t="s">
        <v>1745</v>
      </c>
    </row>
    <row r="331" spans="1:13" ht="29" x14ac:dyDescent="0.35">
      <c r="A331" t="s">
        <v>3102</v>
      </c>
      <c r="B331" t="s">
        <v>3061</v>
      </c>
      <c r="C331" t="s">
        <v>3103</v>
      </c>
      <c r="D331" t="s">
        <v>3104</v>
      </c>
      <c r="E331" t="s">
        <v>3105</v>
      </c>
      <c r="F331" t="s">
        <v>3106</v>
      </c>
      <c r="G331" t="s">
        <v>3065</v>
      </c>
      <c r="H331" t="s">
        <v>3066</v>
      </c>
      <c r="I331" t="s">
        <v>3107</v>
      </c>
      <c r="J331" t="s">
        <v>1782</v>
      </c>
      <c r="K331" t="s">
        <v>3108</v>
      </c>
      <c r="L331" s="325" t="s">
        <v>1744</v>
      </c>
      <c r="M331" s="325" t="s">
        <v>3109</v>
      </c>
    </row>
    <row r="332" spans="1:13" ht="29" x14ac:dyDescent="0.35">
      <c r="A332" t="s">
        <v>3110</v>
      </c>
      <c r="B332" t="s">
        <v>3061</v>
      </c>
      <c r="C332" t="s">
        <v>3111</v>
      </c>
      <c r="D332" t="s">
        <v>3112</v>
      </c>
      <c r="E332" t="s">
        <v>3113</v>
      </c>
      <c r="F332" t="s">
        <v>3071</v>
      </c>
      <c r="G332" t="s">
        <v>3065</v>
      </c>
      <c r="H332" t="s">
        <v>3066</v>
      </c>
      <c r="I332" t="s">
        <v>1752</v>
      </c>
      <c r="J332" t="s">
        <v>331</v>
      </c>
      <c r="K332" t="s">
        <v>3114</v>
      </c>
      <c r="L332" s="325" t="s">
        <v>1744</v>
      </c>
      <c r="M332" s="325" t="s">
        <v>1745</v>
      </c>
    </row>
    <row r="333" spans="1:13" ht="29" x14ac:dyDescent="0.35">
      <c r="A333" t="s">
        <v>3115</v>
      </c>
      <c r="B333" t="s">
        <v>3061</v>
      </c>
      <c r="C333" t="s">
        <v>3116</v>
      </c>
      <c r="D333" t="s">
        <v>3117</v>
      </c>
      <c r="E333" t="s">
        <v>3118</v>
      </c>
      <c r="F333" t="s">
        <v>1996</v>
      </c>
      <c r="G333" t="s">
        <v>3065</v>
      </c>
      <c r="H333" t="s">
        <v>3066</v>
      </c>
      <c r="I333" t="s">
        <v>1795</v>
      </c>
      <c r="J333" t="s">
        <v>331</v>
      </c>
      <c r="K333" t="s">
        <v>3119</v>
      </c>
      <c r="L333" s="325" t="s">
        <v>1744</v>
      </c>
      <c r="M333" s="325" t="s">
        <v>2058</v>
      </c>
    </row>
    <row r="334" spans="1:13" ht="29" x14ac:dyDescent="0.35">
      <c r="A334" t="s">
        <v>3120</v>
      </c>
      <c r="B334" t="s">
        <v>3061</v>
      </c>
      <c r="C334" t="s">
        <v>3121</v>
      </c>
      <c r="D334" t="s">
        <v>3122</v>
      </c>
      <c r="E334" t="s">
        <v>3123</v>
      </c>
      <c r="F334" t="s">
        <v>3124</v>
      </c>
      <c r="G334" t="s">
        <v>3065</v>
      </c>
      <c r="H334" t="s">
        <v>3066</v>
      </c>
      <c r="I334" t="s">
        <v>1795</v>
      </c>
      <c r="J334" t="s">
        <v>331</v>
      </c>
      <c r="K334" t="s">
        <v>3125</v>
      </c>
      <c r="L334" s="325" t="s">
        <v>1744</v>
      </c>
      <c r="M334" s="325" t="s">
        <v>1745</v>
      </c>
    </row>
    <row r="335" spans="1:13" ht="29" x14ac:dyDescent="0.35">
      <c r="A335" t="s">
        <v>3126</v>
      </c>
      <c r="B335" t="s">
        <v>3061</v>
      </c>
      <c r="C335" t="s">
        <v>3127</v>
      </c>
      <c r="D335" t="s">
        <v>3128</v>
      </c>
      <c r="E335" t="s">
        <v>3129</v>
      </c>
      <c r="F335" t="s">
        <v>3130</v>
      </c>
      <c r="G335" t="s">
        <v>3065</v>
      </c>
      <c r="H335" t="s">
        <v>3066</v>
      </c>
      <c r="I335" t="s">
        <v>1752</v>
      </c>
      <c r="J335" t="s">
        <v>331</v>
      </c>
      <c r="K335" t="s">
        <v>3131</v>
      </c>
      <c r="L335" s="325" t="s">
        <v>1744</v>
      </c>
      <c r="M335" s="325" t="s">
        <v>1745</v>
      </c>
    </row>
    <row r="336" spans="1:13" ht="29" x14ac:dyDescent="0.35">
      <c r="A336" t="s">
        <v>3132</v>
      </c>
      <c r="B336" t="s">
        <v>3061</v>
      </c>
      <c r="C336" t="s">
        <v>3133</v>
      </c>
      <c r="D336" t="s">
        <v>3134</v>
      </c>
      <c r="E336" t="s">
        <v>3135</v>
      </c>
      <c r="F336" t="s">
        <v>2190</v>
      </c>
      <c r="G336" t="s">
        <v>3065</v>
      </c>
      <c r="H336" t="s">
        <v>3066</v>
      </c>
      <c r="I336" t="s">
        <v>3090</v>
      </c>
      <c r="J336" t="s">
        <v>331</v>
      </c>
      <c r="K336" t="s">
        <v>3136</v>
      </c>
      <c r="L336" s="325" t="s">
        <v>1744</v>
      </c>
      <c r="M336" s="325" t="s">
        <v>2173</v>
      </c>
    </row>
    <row r="337" spans="1:13" ht="29" x14ac:dyDescent="0.35">
      <c r="A337" t="s">
        <v>3137</v>
      </c>
      <c r="B337" t="s">
        <v>3061</v>
      </c>
      <c r="C337" t="s">
        <v>3138</v>
      </c>
      <c r="D337" t="s">
        <v>3139</v>
      </c>
      <c r="E337" t="s">
        <v>3140</v>
      </c>
      <c r="F337" t="s">
        <v>3141</v>
      </c>
      <c r="G337" t="s">
        <v>3065</v>
      </c>
      <c r="H337" t="s">
        <v>3066</v>
      </c>
      <c r="I337" t="s">
        <v>3090</v>
      </c>
      <c r="J337" t="s">
        <v>331</v>
      </c>
      <c r="K337" t="s">
        <v>3142</v>
      </c>
      <c r="L337" s="325" t="s">
        <v>1744</v>
      </c>
      <c r="M337" s="325" t="s">
        <v>2173</v>
      </c>
    </row>
    <row r="338" spans="1:13" ht="29" x14ac:dyDescent="0.35">
      <c r="A338" t="s">
        <v>3143</v>
      </c>
      <c r="B338" t="s">
        <v>3061</v>
      </c>
      <c r="C338" t="s">
        <v>3144</v>
      </c>
      <c r="D338" t="s">
        <v>3145</v>
      </c>
      <c r="E338" t="s">
        <v>3146</v>
      </c>
      <c r="F338" t="s">
        <v>3147</v>
      </c>
      <c r="G338" t="s">
        <v>3065</v>
      </c>
      <c r="H338" t="s">
        <v>3066</v>
      </c>
      <c r="I338" t="s">
        <v>2345</v>
      </c>
      <c r="J338" t="s">
        <v>1782</v>
      </c>
      <c r="K338" t="s">
        <v>3148</v>
      </c>
      <c r="L338" s="325" t="s">
        <v>1744</v>
      </c>
      <c r="M338" s="325" t="s">
        <v>3149</v>
      </c>
    </row>
    <row r="339" spans="1:13" ht="29" x14ac:dyDescent="0.35">
      <c r="A339" t="s">
        <v>3150</v>
      </c>
      <c r="B339" t="s">
        <v>3061</v>
      </c>
      <c r="C339" t="s">
        <v>3151</v>
      </c>
      <c r="D339" t="s">
        <v>3152</v>
      </c>
      <c r="E339" t="s">
        <v>3153</v>
      </c>
      <c r="F339" t="s">
        <v>3154</v>
      </c>
      <c r="G339" t="s">
        <v>3065</v>
      </c>
      <c r="H339" t="s">
        <v>3066</v>
      </c>
      <c r="I339" t="s">
        <v>1752</v>
      </c>
      <c r="J339" t="s">
        <v>331</v>
      </c>
      <c r="K339" t="s">
        <v>3155</v>
      </c>
      <c r="L339" s="325" t="s">
        <v>1744</v>
      </c>
      <c r="M339" s="325" t="s">
        <v>1745</v>
      </c>
    </row>
    <row r="340" spans="1:13" ht="29" x14ac:dyDescent="0.35">
      <c r="A340" t="s">
        <v>3156</v>
      </c>
      <c r="B340" t="s">
        <v>3061</v>
      </c>
      <c r="C340" t="s">
        <v>3157</v>
      </c>
      <c r="D340" t="s">
        <v>3158</v>
      </c>
      <c r="E340" t="s">
        <v>3159</v>
      </c>
      <c r="F340" t="s">
        <v>3160</v>
      </c>
      <c r="G340" t="s">
        <v>3065</v>
      </c>
      <c r="H340" t="s">
        <v>3066</v>
      </c>
      <c r="I340" t="s">
        <v>1752</v>
      </c>
      <c r="J340" t="s">
        <v>331</v>
      </c>
      <c r="K340" t="s">
        <v>3161</v>
      </c>
      <c r="L340" s="325" t="s">
        <v>1744</v>
      </c>
      <c r="M340" s="325" t="s">
        <v>1745</v>
      </c>
    </row>
    <row r="341" spans="1:13" ht="29" x14ac:dyDescent="0.35">
      <c r="A341" t="s">
        <v>3162</v>
      </c>
      <c r="B341" t="s">
        <v>3061</v>
      </c>
      <c r="C341" t="s">
        <v>3163</v>
      </c>
      <c r="D341" t="s">
        <v>3164</v>
      </c>
      <c r="E341" t="s">
        <v>3165</v>
      </c>
      <c r="F341" t="s">
        <v>3166</v>
      </c>
      <c r="G341" t="s">
        <v>3065</v>
      </c>
      <c r="H341" t="s">
        <v>3066</v>
      </c>
      <c r="I341" t="s">
        <v>1752</v>
      </c>
      <c r="J341" t="s">
        <v>331</v>
      </c>
      <c r="K341" t="s">
        <v>3167</v>
      </c>
      <c r="L341" s="325" t="s">
        <v>1744</v>
      </c>
      <c r="M341" s="325" t="s">
        <v>1745</v>
      </c>
    </row>
    <row r="342" spans="1:13" ht="29" x14ac:dyDescent="0.35">
      <c r="A342" t="s">
        <v>3168</v>
      </c>
      <c r="B342" t="s">
        <v>3061</v>
      </c>
      <c r="C342" t="s">
        <v>3169</v>
      </c>
      <c r="D342" t="s">
        <v>3170</v>
      </c>
      <c r="E342" t="s">
        <v>3171</v>
      </c>
      <c r="F342" t="s">
        <v>3172</v>
      </c>
      <c r="G342" t="s">
        <v>3065</v>
      </c>
      <c r="H342" t="s">
        <v>3066</v>
      </c>
      <c r="I342" t="s">
        <v>1752</v>
      </c>
      <c r="J342" t="s">
        <v>331</v>
      </c>
      <c r="K342" t="s">
        <v>3173</v>
      </c>
      <c r="L342" s="325" t="s">
        <v>1744</v>
      </c>
      <c r="M342" s="325" t="s">
        <v>1745</v>
      </c>
    </row>
    <row r="343" spans="1:13" ht="29" x14ac:dyDescent="0.35">
      <c r="A343" t="s">
        <v>3174</v>
      </c>
      <c r="B343" t="s">
        <v>3061</v>
      </c>
      <c r="C343" t="s">
        <v>3175</v>
      </c>
      <c r="D343" t="s">
        <v>3176</v>
      </c>
      <c r="E343" t="s">
        <v>3177</v>
      </c>
      <c r="F343" t="s">
        <v>3178</v>
      </c>
      <c r="G343" t="s">
        <v>3065</v>
      </c>
      <c r="H343" t="s">
        <v>3066</v>
      </c>
      <c r="I343" t="s">
        <v>1752</v>
      </c>
      <c r="J343" t="s">
        <v>331</v>
      </c>
      <c r="K343" t="s">
        <v>3179</v>
      </c>
      <c r="L343" s="325" t="s">
        <v>1744</v>
      </c>
      <c r="M343" s="325" t="s">
        <v>1745</v>
      </c>
    </row>
    <row r="344" spans="1:13" ht="29" x14ac:dyDescent="0.35">
      <c r="A344" t="s">
        <v>3180</v>
      </c>
      <c r="B344" t="s">
        <v>3061</v>
      </c>
      <c r="C344" t="s">
        <v>3181</v>
      </c>
      <c r="D344" t="s">
        <v>3182</v>
      </c>
      <c r="E344" t="s">
        <v>3183</v>
      </c>
      <c r="F344" t="s">
        <v>3184</v>
      </c>
      <c r="G344" t="s">
        <v>3065</v>
      </c>
      <c r="H344" t="s">
        <v>3066</v>
      </c>
      <c r="I344" t="s">
        <v>1752</v>
      </c>
      <c r="J344" t="s">
        <v>331</v>
      </c>
      <c r="K344" t="s">
        <v>3185</v>
      </c>
      <c r="L344" s="325" t="s">
        <v>1744</v>
      </c>
      <c r="M344" s="325" t="s">
        <v>1745</v>
      </c>
    </row>
    <row r="345" spans="1:13" ht="29" x14ac:dyDescent="0.35">
      <c r="A345" t="s">
        <v>3186</v>
      </c>
      <c r="B345" t="s">
        <v>3061</v>
      </c>
      <c r="C345" t="s">
        <v>3187</v>
      </c>
      <c r="D345" t="s">
        <v>3188</v>
      </c>
      <c r="E345" t="s">
        <v>3189</v>
      </c>
      <c r="F345" t="s">
        <v>3190</v>
      </c>
      <c r="G345" t="s">
        <v>3065</v>
      </c>
      <c r="H345" t="s">
        <v>3066</v>
      </c>
      <c r="I345" t="s">
        <v>1752</v>
      </c>
      <c r="J345" t="s">
        <v>331</v>
      </c>
      <c r="K345" t="s">
        <v>3191</v>
      </c>
      <c r="L345" s="325" t="s">
        <v>1744</v>
      </c>
      <c r="M345" s="325" t="s">
        <v>1745</v>
      </c>
    </row>
    <row r="346" spans="1:13" ht="29" x14ac:dyDescent="0.35">
      <c r="A346" t="s">
        <v>3192</v>
      </c>
      <c r="B346" t="s">
        <v>3061</v>
      </c>
      <c r="C346" t="s">
        <v>3193</v>
      </c>
      <c r="D346" t="s">
        <v>3194</v>
      </c>
      <c r="E346" t="s">
        <v>3195</v>
      </c>
      <c r="F346" t="s">
        <v>3196</v>
      </c>
      <c r="G346" t="s">
        <v>3065</v>
      </c>
      <c r="H346" t="s">
        <v>3066</v>
      </c>
      <c r="I346" t="s">
        <v>1752</v>
      </c>
      <c r="J346" t="s">
        <v>331</v>
      </c>
      <c r="K346" t="s">
        <v>3197</v>
      </c>
      <c r="L346" s="325" t="s">
        <v>1744</v>
      </c>
      <c r="M346" s="325" t="s">
        <v>1745</v>
      </c>
    </row>
    <row r="347" spans="1:13" ht="29" x14ac:dyDescent="0.35">
      <c r="A347" t="s">
        <v>3198</v>
      </c>
      <c r="B347" t="s">
        <v>3061</v>
      </c>
      <c r="C347" t="s">
        <v>3199</v>
      </c>
      <c r="D347" t="s">
        <v>3200</v>
      </c>
      <c r="E347" t="s">
        <v>3201</v>
      </c>
      <c r="F347" t="s">
        <v>3202</v>
      </c>
      <c r="G347" t="s">
        <v>3065</v>
      </c>
      <c r="H347" t="s">
        <v>3066</v>
      </c>
      <c r="I347" t="s">
        <v>1752</v>
      </c>
      <c r="J347" t="s">
        <v>331</v>
      </c>
      <c r="K347" t="s">
        <v>3203</v>
      </c>
      <c r="L347" s="325" t="s">
        <v>1744</v>
      </c>
      <c r="M347" s="325" t="s">
        <v>1745</v>
      </c>
    </row>
    <row r="348" spans="1:13" ht="29" x14ac:dyDescent="0.35">
      <c r="A348" t="s">
        <v>3204</v>
      </c>
      <c r="B348" t="s">
        <v>3061</v>
      </c>
      <c r="C348" t="s">
        <v>3205</v>
      </c>
      <c r="D348" t="s">
        <v>3206</v>
      </c>
      <c r="E348" t="s">
        <v>3207</v>
      </c>
      <c r="F348" t="s">
        <v>3208</v>
      </c>
      <c r="G348" t="s">
        <v>3065</v>
      </c>
      <c r="H348" t="s">
        <v>3066</v>
      </c>
      <c r="I348" t="s">
        <v>1752</v>
      </c>
      <c r="J348" t="s">
        <v>331</v>
      </c>
      <c r="K348" t="s">
        <v>3209</v>
      </c>
      <c r="L348" s="325" t="s">
        <v>1744</v>
      </c>
      <c r="M348" s="325" t="s">
        <v>1745</v>
      </c>
    </row>
    <row r="349" spans="1:13" ht="29" x14ac:dyDescent="0.35">
      <c r="A349" t="s">
        <v>3210</v>
      </c>
      <c r="B349" t="s">
        <v>3061</v>
      </c>
      <c r="C349" t="s">
        <v>3211</v>
      </c>
      <c r="D349" t="s">
        <v>3212</v>
      </c>
      <c r="E349" t="s">
        <v>3213</v>
      </c>
      <c r="F349" t="s">
        <v>3214</v>
      </c>
      <c r="G349" t="s">
        <v>3065</v>
      </c>
      <c r="H349" t="s">
        <v>3066</v>
      </c>
      <c r="I349" t="s">
        <v>1752</v>
      </c>
      <c r="J349" t="s">
        <v>331</v>
      </c>
      <c r="K349" t="s">
        <v>3215</v>
      </c>
      <c r="L349" s="325" t="s">
        <v>1744</v>
      </c>
      <c r="M349" s="325" t="s">
        <v>1745</v>
      </c>
    </row>
    <row r="350" spans="1:13" ht="29" x14ac:dyDescent="0.35">
      <c r="A350" t="s">
        <v>3216</v>
      </c>
      <c r="B350" t="s">
        <v>3061</v>
      </c>
      <c r="C350" t="s">
        <v>2897</v>
      </c>
      <c r="D350" t="s">
        <v>3217</v>
      </c>
      <c r="E350" t="s">
        <v>3218</v>
      </c>
      <c r="F350" t="s">
        <v>3219</v>
      </c>
      <c r="G350" t="s">
        <v>3065</v>
      </c>
      <c r="H350" t="s">
        <v>3066</v>
      </c>
      <c r="I350" t="s">
        <v>1752</v>
      </c>
      <c r="J350" t="s">
        <v>331</v>
      </c>
      <c r="K350" t="s">
        <v>3220</v>
      </c>
      <c r="L350" s="325" t="s">
        <v>1744</v>
      </c>
      <c r="M350" s="325" t="s">
        <v>1745</v>
      </c>
    </row>
    <row r="351" spans="1:13" ht="29" x14ac:dyDescent="0.35">
      <c r="A351" t="s">
        <v>3221</v>
      </c>
      <c r="B351" t="s">
        <v>3061</v>
      </c>
      <c r="C351" t="s">
        <v>3222</v>
      </c>
      <c r="D351" t="s">
        <v>3223</v>
      </c>
      <c r="E351" t="s">
        <v>3224</v>
      </c>
      <c r="F351" t="s">
        <v>3219</v>
      </c>
      <c r="G351" t="s">
        <v>3065</v>
      </c>
      <c r="H351" t="s">
        <v>3066</v>
      </c>
      <c r="I351" t="s">
        <v>1752</v>
      </c>
      <c r="J351" t="s">
        <v>331</v>
      </c>
      <c r="K351" t="s">
        <v>3225</v>
      </c>
      <c r="L351" s="325" t="s">
        <v>1744</v>
      </c>
      <c r="M351" s="325" t="s">
        <v>1745</v>
      </c>
    </row>
    <row r="352" spans="1:13" ht="29" x14ac:dyDescent="0.35">
      <c r="A352" t="s">
        <v>3226</v>
      </c>
      <c r="B352" t="s">
        <v>3061</v>
      </c>
      <c r="C352" t="s">
        <v>3227</v>
      </c>
      <c r="D352" t="s">
        <v>3228</v>
      </c>
      <c r="E352" t="s">
        <v>3229</v>
      </c>
      <c r="F352" t="s">
        <v>3230</v>
      </c>
      <c r="G352" t="s">
        <v>3065</v>
      </c>
      <c r="H352" t="s">
        <v>3066</v>
      </c>
      <c r="I352" t="s">
        <v>1752</v>
      </c>
      <c r="J352" t="s">
        <v>331</v>
      </c>
      <c r="K352" t="s">
        <v>3231</v>
      </c>
      <c r="L352" s="325" t="s">
        <v>1744</v>
      </c>
      <c r="M352" s="325" t="s">
        <v>1745</v>
      </c>
    </row>
    <row r="354" spans="1:13" ht="15.5" x14ac:dyDescent="0.35">
      <c r="A354" s="931" t="s">
        <v>3232</v>
      </c>
      <c r="B354" s="931"/>
      <c r="C354" s="931"/>
      <c r="D354" s="931"/>
      <c r="E354" s="931"/>
      <c r="F354" s="931"/>
      <c r="G354" s="931"/>
      <c r="H354" s="931"/>
      <c r="I354" s="931"/>
      <c r="J354" s="931"/>
      <c r="K354" s="931"/>
      <c r="L354" s="931"/>
      <c r="M354" s="931"/>
    </row>
    <row r="355" spans="1:13" ht="29" x14ac:dyDescent="0.35">
      <c r="A355" s="736" t="s">
        <v>3233</v>
      </c>
      <c r="B355" s="736" t="s">
        <v>3234</v>
      </c>
      <c r="C355" s="736" t="s">
        <v>3235</v>
      </c>
      <c r="D355" s="736" t="s">
        <v>3236</v>
      </c>
      <c r="E355" s="736" t="s">
        <v>3237</v>
      </c>
      <c r="F355" s="736" t="s">
        <v>1731</v>
      </c>
      <c r="H355" s="736" t="s">
        <v>3238</v>
      </c>
      <c r="I355" s="736" t="s">
        <v>3239</v>
      </c>
      <c r="J355" s="736" t="s">
        <v>3240</v>
      </c>
      <c r="K355" s="736" t="s">
        <v>3241</v>
      </c>
      <c r="L355" s="736" t="s">
        <v>622</v>
      </c>
      <c r="M355" s="736" t="s">
        <v>3242</v>
      </c>
    </row>
    <row r="356" spans="1:13" ht="58" x14ac:dyDescent="0.35">
      <c r="A356" s="325" t="s">
        <v>1739</v>
      </c>
      <c r="B356" s="325">
        <v>853</v>
      </c>
      <c r="C356" s="325" t="s">
        <v>3243</v>
      </c>
      <c r="D356" s="325" t="s">
        <v>3244</v>
      </c>
      <c r="E356" s="325" t="s">
        <v>3245</v>
      </c>
      <c r="F356" s="325" t="s">
        <v>3246</v>
      </c>
      <c r="G356" s="325"/>
      <c r="H356" s="325" t="s">
        <v>3247</v>
      </c>
      <c r="I356" s="325" t="s">
        <v>3248</v>
      </c>
      <c r="J356" s="325" t="s">
        <v>3249</v>
      </c>
      <c r="K356" s="325" t="s">
        <v>3250</v>
      </c>
      <c r="L356" s="325" t="s">
        <v>3245</v>
      </c>
      <c r="M356" s="325" t="s">
        <v>3251</v>
      </c>
    </row>
    <row r="357" spans="1:13" ht="72.5" x14ac:dyDescent="0.35">
      <c r="A357" s="325" t="s">
        <v>1996</v>
      </c>
      <c r="B357" s="325">
        <v>528</v>
      </c>
      <c r="C357" s="325" t="s">
        <v>3243</v>
      </c>
      <c r="D357" s="325" t="s">
        <v>3244</v>
      </c>
      <c r="E357" s="325" t="s">
        <v>3245</v>
      </c>
      <c r="F357" s="325" t="s">
        <v>3252</v>
      </c>
      <c r="G357" s="325"/>
      <c r="H357" s="325" t="s">
        <v>3253</v>
      </c>
      <c r="I357" s="325">
        <v>0</v>
      </c>
      <c r="J357" s="325" t="s">
        <v>3254</v>
      </c>
      <c r="K357" s="325" t="s">
        <v>3255</v>
      </c>
      <c r="L357" s="325" t="s">
        <v>3256</v>
      </c>
      <c r="M357" s="325"/>
    </row>
    <row r="358" spans="1:13" ht="87" x14ac:dyDescent="0.35">
      <c r="A358" s="325" t="s">
        <v>3257</v>
      </c>
      <c r="B358" s="325">
        <v>40</v>
      </c>
      <c r="C358" s="325" t="s">
        <v>3258</v>
      </c>
      <c r="D358" s="325" t="s">
        <v>3259</v>
      </c>
      <c r="E358" s="325" t="s">
        <v>3245</v>
      </c>
      <c r="F358" s="325" t="s">
        <v>3260</v>
      </c>
      <c r="G358" s="325"/>
      <c r="H358" s="325" t="s">
        <v>3261</v>
      </c>
      <c r="I358" s="325">
        <v>0</v>
      </c>
      <c r="J358" s="325" t="s">
        <v>3262</v>
      </c>
      <c r="K358" s="325" t="s">
        <v>3263</v>
      </c>
      <c r="L358" s="325" t="s">
        <v>3256</v>
      </c>
      <c r="M358" s="325"/>
    </row>
    <row r="359" spans="1:13" ht="101.5" x14ac:dyDescent="0.35">
      <c r="A359" s="325" t="s">
        <v>2867</v>
      </c>
      <c r="B359" s="325">
        <v>18</v>
      </c>
      <c r="C359" s="325" t="s">
        <v>3264</v>
      </c>
      <c r="D359" s="325" t="s">
        <v>3265</v>
      </c>
      <c r="E359" s="325" t="s">
        <v>3245</v>
      </c>
      <c r="F359" s="325" t="s">
        <v>3266</v>
      </c>
      <c r="G359" s="325"/>
      <c r="H359" s="325" t="s">
        <v>3267</v>
      </c>
      <c r="I359" s="325">
        <v>0</v>
      </c>
      <c r="J359" s="325" t="s">
        <v>3268</v>
      </c>
      <c r="K359" s="325" t="s">
        <v>3269</v>
      </c>
      <c r="L359" s="325" t="s">
        <v>3256</v>
      </c>
      <c r="M359" s="325" t="s">
        <v>3270</v>
      </c>
    </row>
    <row r="360" spans="1:13" ht="72.5" x14ac:dyDescent="0.35">
      <c r="A360" s="325" t="s">
        <v>3271</v>
      </c>
      <c r="B360" s="325">
        <v>10</v>
      </c>
      <c r="C360" s="325" t="s">
        <v>3258</v>
      </c>
      <c r="D360" s="325" t="s">
        <v>3272</v>
      </c>
      <c r="E360" s="325" t="s">
        <v>3245</v>
      </c>
      <c r="F360" s="325" t="s">
        <v>3273</v>
      </c>
      <c r="G360" s="325"/>
      <c r="H360" s="325" t="s">
        <v>3274</v>
      </c>
      <c r="I360" s="325" t="s">
        <v>3275</v>
      </c>
      <c r="J360" s="325" t="s">
        <v>3276</v>
      </c>
      <c r="K360" s="325" t="s">
        <v>3277</v>
      </c>
      <c r="L360" s="325" t="s">
        <v>3256</v>
      </c>
      <c r="M360" s="325" t="s">
        <v>3278</v>
      </c>
    </row>
    <row r="361" spans="1:13" ht="43.5" x14ac:dyDescent="0.35">
      <c r="A361" s="325" t="s">
        <v>3279</v>
      </c>
      <c r="B361" s="325">
        <v>6</v>
      </c>
      <c r="C361" s="325" t="s">
        <v>3258</v>
      </c>
      <c r="D361" s="325" t="s">
        <v>3272</v>
      </c>
      <c r="E361" s="325" t="s">
        <v>3245</v>
      </c>
      <c r="F361" s="325" t="s">
        <v>3280</v>
      </c>
      <c r="G361" s="325"/>
      <c r="H361" s="325" t="s">
        <v>3281</v>
      </c>
      <c r="I361" s="325">
        <v>250</v>
      </c>
      <c r="J361" s="325" t="s">
        <v>3282</v>
      </c>
      <c r="K361" s="325" t="s">
        <v>3283</v>
      </c>
      <c r="L361" s="325" t="s">
        <v>3256</v>
      </c>
      <c r="M361" s="325"/>
    </row>
    <row r="362" spans="1:13" ht="87" x14ac:dyDescent="0.35">
      <c r="A362" s="325" t="s">
        <v>2681</v>
      </c>
      <c r="B362" s="325">
        <v>7</v>
      </c>
      <c r="C362" s="325" t="s">
        <v>3284</v>
      </c>
      <c r="D362" s="325" t="s">
        <v>3285</v>
      </c>
      <c r="E362" s="325" t="s">
        <v>3245</v>
      </c>
      <c r="F362" s="325" t="s">
        <v>3286</v>
      </c>
      <c r="G362" s="325"/>
      <c r="H362" s="325" t="s">
        <v>3287</v>
      </c>
      <c r="I362" s="325">
        <v>189</v>
      </c>
      <c r="J362" s="325" t="s">
        <v>3288</v>
      </c>
      <c r="K362" s="325" t="s">
        <v>3289</v>
      </c>
      <c r="L362" s="325" t="s">
        <v>3256</v>
      </c>
      <c r="M362" s="325"/>
    </row>
    <row r="363" spans="1:13" ht="58" x14ac:dyDescent="0.35">
      <c r="A363" s="325" t="s">
        <v>3290</v>
      </c>
      <c r="B363" s="325">
        <v>87</v>
      </c>
      <c r="C363" s="325" t="s">
        <v>3291</v>
      </c>
      <c r="D363" s="325" t="s">
        <v>3292</v>
      </c>
      <c r="E363" s="325" t="s">
        <v>3245</v>
      </c>
      <c r="F363" s="325" t="s">
        <v>3293</v>
      </c>
      <c r="G363" s="325"/>
      <c r="H363" s="325" t="s">
        <v>3294</v>
      </c>
      <c r="I363" s="325">
        <v>8</v>
      </c>
      <c r="J363" s="325" t="s">
        <v>3295</v>
      </c>
      <c r="K363" s="325" t="s">
        <v>3296</v>
      </c>
      <c r="L363" s="325" t="s">
        <v>3256</v>
      </c>
      <c r="M363" s="325" t="s">
        <v>3297</v>
      </c>
    </row>
    <row r="364" spans="1:13" ht="58" x14ac:dyDescent="0.35">
      <c r="A364" s="325" t="s">
        <v>3298</v>
      </c>
      <c r="B364" s="325">
        <v>1549</v>
      </c>
      <c r="C364" s="325" t="s">
        <v>3299</v>
      </c>
      <c r="D364" s="325" t="s">
        <v>3300</v>
      </c>
      <c r="E364" s="325" t="s">
        <v>3245</v>
      </c>
      <c r="F364" s="325" t="s">
        <v>3301</v>
      </c>
      <c r="G364" s="325"/>
      <c r="H364" s="325" t="s">
        <v>3302</v>
      </c>
      <c r="I364" s="325">
        <v>154</v>
      </c>
      <c r="J364" s="325" t="s">
        <v>3303</v>
      </c>
      <c r="K364" s="325" t="s">
        <v>3304</v>
      </c>
      <c r="L364" s="325" t="s">
        <v>3256</v>
      </c>
      <c r="M364" s="325" t="s">
        <v>3305</v>
      </c>
    </row>
    <row r="365" spans="1:13" x14ac:dyDescent="0.35">
      <c r="A365" s="325"/>
      <c r="B365" s="325"/>
      <c r="C365" s="325"/>
      <c r="D365" s="325"/>
      <c r="E365" s="325"/>
      <c r="F365" s="325"/>
      <c r="G365" s="325"/>
      <c r="H365" s="325"/>
      <c r="I365" s="325"/>
      <c r="J365" s="325"/>
      <c r="K365" s="325"/>
      <c r="L365" s="325"/>
      <c r="M365" s="325"/>
    </row>
    <row r="366" spans="1:13" x14ac:dyDescent="0.35">
      <c r="A366" s="736" t="s">
        <v>3306</v>
      </c>
      <c r="B366" s="736" t="s">
        <v>3307</v>
      </c>
      <c r="C366" s="736" t="s">
        <v>3308</v>
      </c>
      <c r="D366" s="736" t="s">
        <v>1047</v>
      </c>
      <c r="E366" s="736" t="s">
        <v>3309</v>
      </c>
      <c r="F366" s="736" t="s">
        <v>3310</v>
      </c>
      <c r="G366" s="736" t="s">
        <v>1731</v>
      </c>
      <c r="H366" s="325"/>
      <c r="I366" s="325"/>
      <c r="J366" s="325"/>
      <c r="K366" s="325"/>
      <c r="L366" s="325"/>
      <c r="M366" s="325"/>
    </row>
    <row r="367" spans="1:13" x14ac:dyDescent="0.35">
      <c r="A367" s="325" t="s">
        <v>3311</v>
      </c>
      <c r="B367" s="737">
        <v>34400</v>
      </c>
      <c r="C367" s="909">
        <f>Underwriting!$E$17*4046.8564224</f>
        <v>34400</v>
      </c>
      <c r="D367" s="325" t="s">
        <v>525</v>
      </c>
      <c r="E367" s="325" t="str">
        <f t="shared" ref="E367:E391" si="0">IF(ISNUMBER(B367),IF(ABS(B367-C367)&lt;0.000001,"UNCHANGED","CHANGED"),IF(B367=C367,"UNCHANGED","CHANGED"))</f>
        <v>UNCHANGED</v>
      </c>
      <c r="F367" s="325" t="s">
        <v>3312</v>
      </c>
      <c r="G367" s="325"/>
      <c r="H367" s="325"/>
      <c r="I367" s="325"/>
      <c r="J367" s="325"/>
      <c r="K367" s="325"/>
      <c r="L367" s="325"/>
      <c r="M367" s="325"/>
    </row>
    <row r="368" spans="1:13" ht="29" x14ac:dyDescent="0.35">
      <c r="A368" s="325" t="s">
        <v>3313</v>
      </c>
      <c r="B368" s="737">
        <v>78312.38</v>
      </c>
      <c r="C368" s="909">
        <f>Underwriting!$I$18</f>
        <v>78470.38</v>
      </c>
      <c r="D368" s="325" t="s">
        <v>525</v>
      </c>
      <c r="E368" s="325" t="str">
        <f t="shared" si="0"/>
        <v>CHANGED</v>
      </c>
      <c r="F368" s="325" t="s">
        <v>3314</v>
      </c>
      <c r="G368" s="325"/>
      <c r="H368" s="325"/>
      <c r="I368" s="325"/>
      <c r="J368" s="325"/>
      <c r="K368" s="325"/>
      <c r="L368" s="325"/>
      <c r="M368" s="325"/>
    </row>
    <row r="369" spans="1:13" ht="29" x14ac:dyDescent="0.35">
      <c r="A369" s="325" t="s">
        <v>3315</v>
      </c>
      <c r="B369" s="737">
        <v>342.42300648148102</v>
      </c>
      <c r="C369" s="909">
        <f>Underwriting!$I$34/1000000</f>
        <v>342.42300648148148</v>
      </c>
      <c r="D369" s="325" t="s">
        <v>530</v>
      </c>
      <c r="E369" s="325" t="str">
        <f t="shared" si="0"/>
        <v>UNCHANGED</v>
      </c>
      <c r="F369" s="325" t="s">
        <v>3316</v>
      </c>
      <c r="G369" s="325"/>
      <c r="H369" s="325"/>
      <c r="I369" s="325"/>
      <c r="J369" s="325"/>
      <c r="K369" s="325"/>
      <c r="L369" s="325"/>
      <c r="M369" s="325"/>
    </row>
    <row r="370" spans="1:13" ht="43.5" x14ac:dyDescent="0.35">
      <c r="A370" s="325" t="s">
        <v>2853</v>
      </c>
      <c r="B370" s="737">
        <v>448.85663516148145</v>
      </c>
      <c r="C370" s="909">
        <f>Underwriting!$I$57/1000000</f>
        <v>448.85663516148151</v>
      </c>
      <c r="D370" s="325" t="s">
        <v>530</v>
      </c>
      <c r="E370" s="325" t="str">
        <f t="shared" si="0"/>
        <v>UNCHANGED</v>
      </c>
      <c r="F370" s="325" t="s">
        <v>3317</v>
      </c>
      <c r="G370" s="325"/>
      <c r="H370" s="325"/>
      <c r="I370" s="325"/>
      <c r="J370" s="325"/>
      <c r="K370" s="325"/>
      <c r="L370" s="325"/>
      <c r="M370" s="325"/>
    </row>
    <row r="371" spans="1:13" ht="43.5" x14ac:dyDescent="0.35">
      <c r="A371" s="325" t="s">
        <v>3318</v>
      </c>
      <c r="B371" s="737">
        <v>418.75855128460006</v>
      </c>
      <c r="C371" s="909">
        <f>Underwriting!$I$57/1000000</f>
        <v>448.85663516148151</v>
      </c>
      <c r="D371" s="325" t="s">
        <v>530</v>
      </c>
      <c r="E371" s="325" t="str">
        <f t="shared" si="0"/>
        <v>CHANGED</v>
      </c>
      <c r="F371" s="325" t="s">
        <v>3319</v>
      </c>
      <c r="G371" s="325"/>
      <c r="H371" s="325"/>
      <c r="I371" s="325"/>
      <c r="J371" s="325"/>
      <c r="K371" s="325"/>
      <c r="L371" s="325"/>
      <c r="M371" s="325"/>
    </row>
    <row r="372" spans="1:13" ht="29" x14ac:dyDescent="0.35">
      <c r="A372" s="325" t="s">
        <v>3320</v>
      </c>
      <c r="B372" s="737">
        <v>213.01883390950715</v>
      </c>
      <c r="C372" s="909">
        <f>DEBT!$B$9/1000000</f>
        <v>224.42831758074075</v>
      </c>
      <c r="D372" s="325" t="s">
        <v>530</v>
      </c>
      <c r="E372" s="325" t="str">
        <f t="shared" si="0"/>
        <v>CHANGED</v>
      </c>
      <c r="F372" s="325" t="s">
        <v>3321</v>
      </c>
      <c r="G372" s="325"/>
      <c r="H372" s="325"/>
      <c r="I372" s="325"/>
      <c r="J372" s="325"/>
      <c r="K372" s="325"/>
      <c r="L372" s="325"/>
      <c r="M372" s="325"/>
    </row>
    <row r="373" spans="1:13" ht="29" x14ac:dyDescent="0.35">
      <c r="A373" s="325" t="s">
        <v>2866</v>
      </c>
      <c r="B373" s="737">
        <v>205.73971737509245</v>
      </c>
      <c r="C373" s="909">
        <f>Underwriting!$I$69/1000000</f>
        <v>215.66291688274751</v>
      </c>
      <c r="D373" s="325" t="s">
        <v>530</v>
      </c>
      <c r="E373" s="325" t="str">
        <f t="shared" si="0"/>
        <v>CHANGED</v>
      </c>
      <c r="F373" s="325" t="s">
        <v>3322</v>
      </c>
      <c r="G373" s="325"/>
      <c r="H373" s="325"/>
      <c r="I373" s="325"/>
      <c r="J373" s="325"/>
      <c r="K373" s="325"/>
      <c r="L373" s="325"/>
      <c r="M373" s="325"/>
    </row>
    <row r="374" spans="1:13" ht="43.5" x14ac:dyDescent="0.35">
      <c r="A374" s="325" t="s">
        <v>3323</v>
      </c>
      <c r="B374" s="737">
        <v>119.20222252470232</v>
      </c>
      <c r="C374" s="737">
        <f>'VALUATION &amp; RETURNS'!$C$12</f>
        <v>215.66291688274751</v>
      </c>
      <c r="D374" s="325" t="s">
        <v>530</v>
      </c>
      <c r="E374" s="325" t="str">
        <f t="shared" si="0"/>
        <v>CHANGED</v>
      </c>
      <c r="F374" s="325" t="s">
        <v>3324</v>
      </c>
      <c r="G374" s="325" t="s">
        <v>3325</v>
      </c>
      <c r="H374" s="325"/>
      <c r="I374" s="325"/>
      <c r="J374" s="325"/>
      <c r="K374" s="325"/>
      <c r="L374" s="325"/>
      <c r="M374" s="325"/>
    </row>
    <row r="375" spans="1:13" ht="29" x14ac:dyDescent="0.35">
      <c r="A375" s="325" t="s">
        <v>3326</v>
      </c>
      <c r="B375" s="615">
        <v>47299</v>
      </c>
      <c r="C375" s="910">
        <f>DEBT!$B$18</f>
        <v>47299</v>
      </c>
      <c r="D375" s="325" t="s">
        <v>787</v>
      </c>
      <c r="E375" s="325" t="str">
        <f t="shared" si="0"/>
        <v>UNCHANGED</v>
      </c>
      <c r="F375" s="325" t="s">
        <v>3327</v>
      </c>
      <c r="G375" s="325"/>
      <c r="H375" s="325"/>
      <c r="I375" s="325"/>
      <c r="J375" s="325"/>
      <c r="K375" s="325"/>
      <c r="L375" s="325"/>
      <c r="M375" s="325"/>
    </row>
    <row r="376" spans="1:13" ht="29" x14ac:dyDescent="0.35">
      <c r="A376" s="325" t="s">
        <v>3328</v>
      </c>
      <c r="B376" s="615">
        <v>47330</v>
      </c>
      <c r="C376" s="910">
        <f>EOMONTH(Underwriting!$E$13,Underwriting!$D$88-1)</f>
        <v>47330</v>
      </c>
      <c r="D376" s="325" t="s">
        <v>787</v>
      </c>
      <c r="E376" s="325" t="str">
        <f t="shared" si="0"/>
        <v>UNCHANGED</v>
      </c>
      <c r="F376" s="325" t="s">
        <v>3329</v>
      </c>
      <c r="G376" s="325"/>
      <c r="H376" s="325"/>
      <c r="I376" s="325"/>
      <c r="J376" s="325"/>
      <c r="K376" s="325"/>
      <c r="L376" s="325"/>
      <c r="M376" s="325"/>
    </row>
    <row r="377" spans="1:13" ht="29" x14ac:dyDescent="0.35">
      <c r="A377" s="325" t="s">
        <v>3330</v>
      </c>
      <c r="B377" s="615">
        <v>47695</v>
      </c>
      <c r="C377" s="910">
        <f>EOMONTH(Underwriting!$E$13,Underwriting!$D$89-1)</f>
        <v>47695</v>
      </c>
      <c r="D377" s="325" t="s">
        <v>787</v>
      </c>
      <c r="E377" s="325" t="str">
        <f t="shared" si="0"/>
        <v>UNCHANGED</v>
      </c>
      <c r="F377" s="325" t="s">
        <v>3331</v>
      </c>
      <c r="G377" s="325"/>
      <c r="H377" s="325"/>
      <c r="I377" s="325"/>
      <c r="J377" s="325"/>
      <c r="K377" s="325"/>
      <c r="L377" s="325"/>
      <c r="M377" s="325"/>
    </row>
    <row r="378" spans="1:13" ht="29" x14ac:dyDescent="0.35">
      <c r="A378" s="325" t="s">
        <v>3332</v>
      </c>
      <c r="B378" s="737">
        <v>48.83020036828583</v>
      </c>
      <c r="C378" s="909">
        <f>Underwriting!$I$130/1000000</f>
        <v>48.830200368285801</v>
      </c>
      <c r="D378" s="325" t="s">
        <v>530</v>
      </c>
      <c r="E378" s="325" t="str">
        <f t="shared" si="0"/>
        <v>UNCHANGED</v>
      </c>
      <c r="F378" s="325" t="s">
        <v>3333</v>
      </c>
      <c r="G378" s="325"/>
      <c r="H378" s="325"/>
      <c r="I378" s="325"/>
      <c r="J378" s="325"/>
      <c r="K378" s="325"/>
      <c r="L378" s="325"/>
      <c r="M378" s="325"/>
    </row>
    <row r="379" spans="1:13" ht="29" x14ac:dyDescent="0.35">
      <c r="A379" s="325" t="s">
        <v>3334</v>
      </c>
      <c r="B379" s="737">
        <v>3.2882786208900043</v>
      </c>
      <c r="C379" s="909">
        <f>(Underwriting!$I$130-Underwriting!$I$140)/1000000</f>
        <v>3.2882786208900066</v>
      </c>
      <c r="D379" s="325" t="s">
        <v>530</v>
      </c>
      <c r="E379" s="325" t="str">
        <f t="shared" si="0"/>
        <v>UNCHANGED</v>
      </c>
      <c r="F379" s="325" t="s">
        <v>3335</v>
      </c>
      <c r="G379" s="325"/>
      <c r="H379" s="325"/>
      <c r="I379" s="325"/>
      <c r="J379" s="325"/>
      <c r="K379" s="325"/>
      <c r="L379" s="325"/>
      <c r="M379" s="325"/>
    </row>
    <row r="380" spans="1:13" ht="29" x14ac:dyDescent="0.35">
      <c r="A380" s="325" t="s">
        <v>3336</v>
      </c>
      <c r="B380" s="737">
        <v>45.541921747395826</v>
      </c>
      <c r="C380" s="909">
        <f>Underwriting!$I$140/1000000</f>
        <v>45.541921747395797</v>
      </c>
      <c r="D380" s="325" t="s">
        <v>530</v>
      </c>
      <c r="E380" s="325" t="str">
        <f t="shared" si="0"/>
        <v>UNCHANGED</v>
      </c>
      <c r="F380" s="325" t="s">
        <v>3337</v>
      </c>
      <c r="G380" s="325"/>
      <c r="H380" s="325"/>
      <c r="I380" s="325"/>
      <c r="J380" s="325"/>
      <c r="K380" s="325"/>
      <c r="L380" s="325"/>
      <c r="M380" s="325"/>
    </row>
    <row r="381" spans="1:13" ht="43.5" x14ac:dyDescent="0.35">
      <c r="A381" s="325" t="s">
        <v>3338</v>
      </c>
      <c r="B381" s="627">
        <v>6.7008196721311475E-2</v>
      </c>
      <c r="C381" s="627">
        <f>'VALUATION &amp; RETURNS'!$C$8</f>
        <v>6.7008196721311475E-2</v>
      </c>
      <c r="D381" s="325" t="s">
        <v>83</v>
      </c>
      <c r="E381" s="325" t="str">
        <f t="shared" si="0"/>
        <v>UNCHANGED</v>
      </c>
      <c r="F381" s="325" t="s">
        <v>3339</v>
      </c>
      <c r="G381" s="325"/>
      <c r="H381" s="325"/>
      <c r="I381" s="325"/>
      <c r="J381" s="325"/>
      <c r="K381" s="325"/>
      <c r="L381" s="325"/>
      <c r="M381" s="325"/>
    </row>
    <row r="382" spans="1:13" ht="29" x14ac:dyDescent="0.35">
      <c r="A382" s="325" t="s">
        <v>3340</v>
      </c>
      <c r="B382" s="737">
        <v>679.64702791220668</v>
      </c>
      <c r="C382" s="737">
        <f>'VALUATION &amp; RETURNS'!$K$7</f>
        <v>679.64702791220634</v>
      </c>
      <c r="D382" s="325" t="s">
        <v>530</v>
      </c>
      <c r="E382" s="325" t="str">
        <f t="shared" si="0"/>
        <v>UNCHANGED</v>
      </c>
      <c r="F382" s="325" t="s">
        <v>3341</v>
      </c>
      <c r="G382" s="325"/>
      <c r="H382" s="325"/>
      <c r="I382" s="325"/>
      <c r="J382" s="325"/>
      <c r="K382" s="325"/>
      <c r="L382" s="325"/>
      <c r="M382" s="325"/>
    </row>
    <row r="383" spans="1:13" ht="29" x14ac:dyDescent="0.35">
      <c r="A383" s="325" t="s">
        <v>3342</v>
      </c>
      <c r="B383" s="737">
        <v>209.37927564230003</v>
      </c>
      <c r="C383" s="737">
        <f>DEBT!$B$9/1000000</f>
        <v>224.42831758074075</v>
      </c>
      <c r="D383" s="325" t="s">
        <v>530</v>
      </c>
      <c r="E383" s="325" t="str">
        <f t="shared" si="0"/>
        <v>CHANGED</v>
      </c>
      <c r="F383" s="325" t="s">
        <v>3343</v>
      </c>
      <c r="G383" s="325"/>
      <c r="H383" s="325"/>
      <c r="I383" s="325"/>
      <c r="J383" s="325"/>
      <c r="K383" s="325"/>
      <c r="L383" s="325"/>
      <c r="M383" s="325"/>
    </row>
    <row r="384" spans="1:13" ht="43.5" x14ac:dyDescent="0.35">
      <c r="A384" s="325" t="s">
        <v>1305</v>
      </c>
      <c r="B384" s="737">
        <v>209.36565023643186</v>
      </c>
      <c r="C384" s="737">
        <f>DEBT!$K$7/1000000</f>
        <v>224.39187560728652</v>
      </c>
      <c r="D384" s="325" t="s">
        <v>530</v>
      </c>
      <c r="E384" s="325" t="str">
        <f t="shared" si="0"/>
        <v>CHANGED</v>
      </c>
      <c r="F384" s="325" t="s">
        <v>3344</v>
      </c>
      <c r="G384" s="325"/>
      <c r="H384" s="325"/>
      <c r="I384" s="325"/>
      <c r="J384" s="325"/>
      <c r="K384" s="325"/>
      <c r="L384" s="325"/>
      <c r="M384" s="325"/>
    </row>
    <row r="385" spans="1:13" ht="29" x14ac:dyDescent="0.35">
      <c r="A385" s="325" t="s">
        <v>3345</v>
      </c>
      <c r="B385" s="325">
        <v>22.000204914314725</v>
      </c>
      <c r="C385" s="325">
        <f>'INVESTOR REPORT'!$J$9</f>
        <v>9.989001356246046</v>
      </c>
      <c r="D385" s="325" t="s">
        <v>530</v>
      </c>
      <c r="E385" s="325" t="str">
        <f t="shared" si="0"/>
        <v>CHANGED</v>
      </c>
      <c r="F385" s="325" t="s">
        <v>3346</v>
      </c>
      <c r="G385" s="325"/>
      <c r="H385" s="325"/>
      <c r="I385" s="325"/>
      <c r="J385" s="325"/>
      <c r="K385" s="325"/>
      <c r="L385" s="325"/>
      <c r="M385" s="325"/>
    </row>
    <row r="386" spans="1:13" ht="29" x14ac:dyDescent="0.35">
      <c r="A386" s="325" t="s">
        <v>3347</v>
      </c>
      <c r="B386" s="325">
        <v>2.2000204914314727</v>
      </c>
      <c r="C386" s="325">
        <f>'INVESTOR REPORT'!$M$9</f>
        <v>1.9978002712492091</v>
      </c>
      <c r="D386" s="325" t="s">
        <v>795</v>
      </c>
      <c r="E386" s="325" t="str">
        <f t="shared" si="0"/>
        <v>CHANGED</v>
      </c>
      <c r="F386" s="325" t="s">
        <v>3348</v>
      </c>
      <c r="G386" s="325"/>
      <c r="H386" s="325"/>
      <c r="I386" s="325"/>
      <c r="J386" s="325"/>
      <c r="K386" s="325"/>
      <c r="L386" s="325"/>
      <c r="M386" s="325"/>
    </row>
    <row r="387" spans="1:13" ht="29" x14ac:dyDescent="0.35">
      <c r="A387" s="325" t="s">
        <v>3349</v>
      </c>
      <c r="B387" s="627">
        <v>0.25243591969602264</v>
      </c>
      <c r="C387" s="627">
        <f>'INVESTOR REPORT'!$L$16</f>
        <v>0.14835851788520818</v>
      </c>
      <c r="D387" s="325" t="s">
        <v>83</v>
      </c>
      <c r="E387" s="325" t="str">
        <f t="shared" si="0"/>
        <v>CHANGED</v>
      </c>
      <c r="F387" s="325" t="s">
        <v>3350</v>
      </c>
      <c r="G387" s="325"/>
      <c r="H387" s="325"/>
      <c r="I387" s="325"/>
      <c r="J387" s="325"/>
      <c r="K387" s="325"/>
      <c r="L387" s="325"/>
      <c r="M387" s="325"/>
    </row>
    <row r="388" spans="1:13" ht="29" x14ac:dyDescent="0.35">
      <c r="A388" s="325" t="s">
        <v>3351</v>
      </c>
      <c r="B388" s="325" t="s">
        <v>3352</v>
      </c>
      <c r="C388" s="325" t="str">
        <f>Summary!$O$12</f>
        <v>FAIL</v>
      </c>
      <c r="D388" s="325" t="s">
        <v>924</v>
      </c>
      <c r="E388" s="325" t="str">
        <f t="shared" si="0"/>
        <v>UNCHANGED</v>
      </c>
      <c r="F388" s="325" t="s">
        <v>3353</v>
      </c>
      <c r="G388" s="325" t="s">
        <v>3354</v>
      </c>
      <c r="H388" s="325"/>
      <c r="I388" s="325"/>
      <c r="J388" s="325"/>
      <c r="K388" s="325"/>
      <c r="L388" s="325"/>
      <c r="M388" s="325"/>
    </row>
    <row r="389" spans="1:13" ht="29" x14ac:dyDescent="0.35">
      <c r="A389" s="325" t="s">
        <v>3355</v>
      </c>
      <c r="B389" s="325" t="s">
        <v>3256</v>
      </c>
      <c r="C389" s="325" t="str">
        <f>Summary!$O$13</f>
        <v>FAIL</v>
      </c>
      <c r="D389" s="325" t="s">
        <v>924</v>
      </c>
      <c r="E389" s="325" t="str">
        <f t="shared" si="0"/>
        <v>CHANGED</v>
      </c>
      <c r="F389" s="325" t="s">
        <v>3356</v>
      </c>
      <c r="G389" s="325"/>
      <c r="H389" s="325"/>
      <c r="I389" s="325"/>
      <c r="J389" s="325"/>
      <c r="K389" s="325"/>
      <c r="L389" s="325"/>
      <c r="M389" s="325"/>
    </row>
    <row r="390" spans="1:13" ht="29" x14ac:dyDescent="0.35">
      <c r="A390" s="325" t="s">
        <v>36</v>
      </c>
      <c r="B390" s="325" t="s">
        <v>3256</v>
      </c>
      <c r="C390" s="325" t="str">
        <f>Summary!$O$14</f>
        <v>FAIL</v>
      </c>
      <c r="D390" s="325" t="s">
        <v>924</v>
      </c>
      <c r="E390" s="325" t="str">
        <f t="shared" si="0"/>
        <v>CHANGED</v>
      </c>
      <c r="F390" s="325" t="s">
        <v>3357</v>
      </c>
      <c r="G390" s="325"/>
      <c r="H390" s="325"/>
      <c r="I390" s="325"/>
      <c r="J390" s="325"/>
      <c r="K390" s="325"/>
      <c r="L390" s="325"/>
      <c r="M390" s="325"/>
    </row>
    <row r="391" spans="1:13" ht="29" x14ac:dyDescent="0.35">
      <c r="A391" s="325" t="s">
        <v>3358</v>
      </c>
      <c r="B391" s="325" t="s">
        <v>1137</v>
      </c>
      <c r="C391" s="325" t="str">
        <f ca="1">'DATA MAP'!$C$170</f>
        <v>OK</v>
      </c>
      <c r="D391" s="325" t="s">
        <v>924</v>
      </c>
      <c r="E391" s="325" t="str">
        <f t="shared" ca="1" si="0"/>
        <v>CHANGED</v>
      </c>
      <c r="F391" s="325" t="s">
        <v>3359</v>
      </c>
      <c r="G391" s="325"/>
      <c r="H391" s="325"/>
      <c r="I391" s="325"/>
      <c r="J391" s="325"/>
      <c r="K391" s="325"/>
      <c r="L391" s="325"/>
      <c r="M391" s="325"/>
    </row>
    <row r="392" spans="1:13" x14ac:dyDescent="0.35">
      <c r="A392" s="325"/>
      <c r="B392" s="325"/>
      <c r="C392" s="325"/>
      <c r="D392" s="325"/>
      <c r="E392" s="325"/>
      <c r="F392" s="325"/>
      <c r="G392" s="325"/>
      <c r="H392" s="325"/>
      <c r="I392" s="325"/>
      <c r="J392" s="325"/>
      <c r="K392" s="325"/>
      <c r="L392" s="325"/>
      <c r="M392" s="325"/>
    </row>
    <row r="393" spans="1:13" x14ac:dyDescent="0.35">
      <c r="A393" s="325"/>
      <c r="B393" s="325"/>
      <c r="C393" s="325"/>
      <c r="D393" s="325"/>
      <c r="E393" s="325"/>
      <c r="F393" s="325"/>
      <c r="G393" s="325"/>
      <c r="H393" s="325"/>
      <c r="I393" s="325"/>
      <c r="J393" s="325"/>
      <c r="K393" s="325"/>
      <c r="L393" s="325"/>
      <c r="M393" s="325"/>
    </row>
    <row r="394" spans="1:13" x14ac:dyDescent="0.35">
      <c r="A394" s="932" t="s">
        <v>3360</v>
      </c>
      <c r="B394" s="932"/>
      <c r="C394" s="932"/>
      <c r="D394" s="932"/>
      <c r="E394" s="932"/>
      <c r="F394" s="932"/>
      <c r="G394" s="932"/>
      <c r="H394" s="932"/>
      <c r="I394" s="932"/>
      <c r="J394" s="932"/>
      <c r="K394" s="932"/>
      <c r="L394" s="932"/>
      <c r="M394" s="932"/>
    </row>
    <row r="396" spans="1:13" x14ac:dyDescent="0.35">
      <c r="A396" s="933" t="s">
        <v>3361</v>
      </c>
      <c r="B396" s="933"/>
      <c r="C396" s="933"/>
      <c r="D396" s="933"/>
      <c r="E396" s="933"/>
      <c r="F396" s="933"/>
      <c r="G396" s="933"/>
    </row>
    <row r="397" spans="1:13" x14ac:dyDescent="0.35">
      <c r="A397" s="736" t="s">
        <v>3362</v>
      </c>
      <c r="B397" s="736" t="s">
        <v>3363</v>
      </c>
      <c r="C397" s="736" t="s">
        <v>3364</v>
      </c>
      <c r="D397" s="736" t="s">
        <v>3365</v>
      </c>
      <c r="E397" s="736" t="s">
        <v>3366</v>
      </c>
      <c r="F397" s="736" t="s">
        <v>3367</v>
      </c>
      <c r="G397" s="736" t="s">
        <v>3368</v>
      </c>
    </row>
    <row r="398" spans="1:13" ht="87" x14ac:dyDescent="0.35">
      <c r="A398" s="325" t="s">
        <v>3369</v>
      </c>
      <c r="B398" s="325" t="s">
        <v>3370</v>
      </c>
      <c r="C398" s="325" t="s">
        <v>3371</v>
      </c>
      <c r="D398" s="325">
        <v>6</v>
      </c>
      <c r="E398" s="325" t="s">
        <v>3372</v>
      </c>
      <c r="F398" s="325" t="s">
        <v>3373</v>
      </c>
      <c r="G398" s="325" t="s">
        <v>3374</v>
      </c>
    </row>
    <row r="399" spans="1:13" ht="87" x14ac:dyDescent="0.35">
      <c r="A399" s="325" t="s">
        <v>3375</v>
      </c>
      <c r="B399" s="325" t="s">
        <v>3376</v>
      </c>
      <c r="C399" s="325" t="s">
        <v>3371</v>
      </c>
      <c r="D399" s="325">
        <v>1</v>
      </c>
      <c r="E399" s="325" t="s">
        <v>3372</v>
      </c>
      <c r="F399" s="325" t="s">
        <v>3373</v>
      </c>
      <c r="G399" s="325" t="s">
        <v>3374</v>
      </c>
    </row>
    <row r="400" spans="1:13" ht="87" x14ac:dyDescent="0.35">
      <c r="A400" s="325" t="s">
        <v>3377</v>
      </c>
      <c r="B400" s="325" t="s">
        <v>3378</v>
      </c>
      <c r="C400" s="325" t="s">
        <v>3371</v>
      </c>
      <c r="D400" s="325">
        <v>26</v>
      </c>
      <c r="E400" s="325" t="s">
        <v>3372</v>
      </c>
      <c r="F400" s="325" t="s">
        <v>3373</v>
      </c>
      <c r="G400" s="325" t="s">
        <v>3374</v>
      </c>
    </row>
    <row r="401" spans="1:7" ht="87" x14ac:dyDescent="0.35">
      <c r="A401" s="325" t="s">
        <v>3379</v>
      </c>
      <c r="B401" s="325" t="s">
        <v>3380</v>
      </c>
      <c r="C401" s="325" t="s">
        <v>3371</v>
      </c>
      <c r="D401" s="325">
        <v>23</v>
      </c>
      <c r="E401" s="325" t="s">
        <v>3372</v>
      </c>
      <c r="F401" s="325" t="s">
        <v>3373</v>
      </c>
      <c r="G401" s="325" t="s">
        <v>3374</v>
      </c>
    </row>
    <row r="402" spans="1:7" ht="87" x14ac:dyDescent="0.35">
      <c r="A402" s="325" t="s">
        <v>3381</v>
      </c>
      <c r="B402" s="325" t="s">
        <v>3382</v>
      </c>
      <c r="C402" s="325" t="s">
        <v>3371</v>
      </c>
      <c r="D402" s="325">
        <v>3</v>
      </c>
      <c r="E402" s="325" t="s">
        <v>3372</v>
      </c>
      <c r="F402" s="325" t="s">
        <v>3373</v>
      </c>
      <c r="G402" s="325" t="s">
        <v>3374</v>
      </c>
    </row>
    <row r="403" spans="1:7" ht="87" x14ac:dyDescent="0.35">
      <c r="A403" s="325" t="s">
        <v>3383</v>
      </c>
      <c r="B403" s="325" t="s">
        <v>3384</v>
      </c>
      <c r="C403" s="325" t="s">
        <v>3371</v>
      </c>
      <c r="D403" s="325">
        <v>13</v>
      </c>
      <c r="E403" s="325" t="s">
        <v>3372</v>
      </c>
      <c r="F403" s="325" t="s">
        <v>3373</v>
      </c>
      <c r="G403" s="325" t="s">
        <v>3374</v>
      </c>
    </row>
    <row r="404" spans="1:7" ht="87" x14ac:dyDescent="0.35">
      <c r="A404" s="325" t="s">
        <v>3385</v>
      </c>
      <c r="B404" s="325" t="s">
        <v>3386</v>
      </c>
      <c r="C404" s="325" t="s">
        <v>3371</v>
      </c>
      <c r="D404" s="325">
        <v>1</v>
      </c>
      <c r="E404" s="325" t="s">
        <v>3372</v>
      </c>
      <c r="F404" s="325" t="s">
        <v>3373</v>
      </c>
      <c r="G404" s="325" t="s">
        <v>3374</v>
      </c>
    </row>
    <row r="405" spans="1:7" ht="116" x14ac:dyDescent="0.35">
      <c r="A405" s="325" t="s">
        <v>3387</v>
      </c>
      <c r="B405" s="325" t="s">
        <v>3388</v>
      </c>
      <c r="C405" s="325" t="s">
        <v>3389</v>
      </c>
      <c r="D405" s="325">
        <v>33</v>
      </c>
      <c r="E405" s="325" t="s">
        <v>3372</v>
      </c>
      <c r="F405" s="325" t="s">
        <v>3373</v>
      </c>
      <c r="G405" s="325" t="s">
        <v>3374</v>
      </c>
    </row>
    <row r="406" spans="1:7" ht="87" x14ac:dyDescent="0.35">
      <c r="A406" s="325" t="s">
        <v>3390</v>
      </c>
      <c r="B406" s="325" t="s">
        <v>3391</v>
      </c>
      <c r="C406" s="325" t="s">
        <v>3371</v>
      </c>
      <c r="D406" s="325">
        <v>25</v>
      </c>
      <c r="E406" s="325" t="s">
        <v>3372</v>
      </c>
      <c r="F406" s="325" t="s">
        <v>3373</v>
      </c>
      <c r="G406" s="325" t="s">
        <v>3374</v>
      </c>
    </row>
    <row r="407" spans="1:7" ht="87" x14ac:dyDescent="0.35">
      <c r="A407" s="325" t="s">
        <v>3392</v>
      </c>
      <c r="B407" s="325" t="s">
        <v>3393</v>
      </c>
      <c r="C407" s="325" t="s">
        <v>3394</v>
      </c>
      <c r="D407" s="325">
        <v>15</v>
      </c>
      <c r="E407" s="325" t="s">
        <v>3372</v>
      </c>
      <c r="F407" s="325" t="s">
        <v>3373</v>
      </c>
      <c r="G407" s="325" t="s">
        <v>3374</v>
      </c>
    </row>
    <row r="408" spans="1:7" ht="87" x14ac:dyDescent="0.35">
      <c r="A408" s="325" t="s">
        <v>3395</v>
      </c>
      <c r="B408" s="325" t="s">
        <v>3396</v>
      </c>
      <c r="C408" s="325" t="s">
        <v>3371</v>
      </c>
      <c r="D408" s="325">
        <v>6</v>
      </c>
      <c r="E408" s="325" t="s">
        <v>3372</v>
      </c>
      <c r="F408" s="325" t="s">
        <v>3373</v>
      </c>
      <c r="G408" s="325" t="s">
        <v>3374</v>
      </c>
    </row>
    <row r="409" spans="1:7" ht="87" x14ac:dyDescent="0.35">
      <c r="A409" s="325" t="s">
        <v>3397</v>
      </c>
      <c r="B409" s="325" t="s">
        <v>3398</v>
      </c>
      <c r="C409" s="325" t="s">
        <v>3371</v>
      </c>
      <c r="D409" s="325">
        <v>2</v>
      </c>
      <c r="E409" s="325" t="s">
        <v>3372</v>
      </c>
      <c r="F409" s="325" t="s">
        <v>3373</v>
      </c>
      <c r="G409" s="325" t="s">
        <v>3374</v>
      </c>
    </row>
    <row r="410" spans="1:7" x14ac:dyDescent="0.35">
      <c r="A410" s="325"/>
      <c r="B410" s="325"/>
      <c r="C410" s="325"/>
      <c r="D410" s="325"/>
      <c r="E410" s="325"/>
      <c r="F410" s="325"/>
      <c r="G410" s="325"/>
    </row>
    <row r="411" spans="1:7" ht="29" x14ac:dyDescent="0.35">
      <c r="A411" s="736" t="s">
        <v>3399</v>
      </c>
      <c r="B411" s="736" t="s">
        <v>3400</v>
      </c>
      <c r="C411" s="736" t="s">
        <v>3401</v>
      </c>
      <c r="D411" s="736" t="s">
        <v>3402</v>
      </c>
      <c r="E411" s="736" t="s">
        <v>3403</v>
      </c>
      <c r="F411" s="736" t="s">
        <v>1101</v>
      </c>
      <c r="G411" s="736" t="s">
        <v>1731</v>
      </c>
    </row>
    <row r="412" spans="1:7" ht="43.5" x14ac:dyDescent="0.35">
      <c r="A412" s="325" t="s">
        <v>3404</v>
      </c>
      <c r="B412" s="325" t="s">
        <v>826</v>
      </c>
      <c r="C412" s="737">
        <v>99.859629629629666</v>
      </c>
      <c r="D412" s="738">
        <v>7.2499999999999995E-2</v>
      </c>
      <c r="E412" s="737">
        <v>19.77191218357688</v>
      </c>
      <c r="F412" s="325" t="s">
        <v>3256</v>
      </c>
      <c r="G412" s="325" t="s">
        <v>3405</v>
      </c>
    </row>
    <row r="413" spans="1:7" ht="43.5" x14ac:dyDescent="0.35">
      <c r="A413" s="325" t="s">
        <v>3406</v>
      </c>
      <c r="B413" s="325" t="s">
        <v>834</v>
      </c>
      <c r="C413" s="737">
        <v>86.242407407407427</v>
      </c>
      <c r="D413" s="738">
        <v>6.25E-2</v>
      </c>
      <c r="E413" s="737">
        <v>24.61063617436934</v>
      </c>
      <c r="F413" s="325" t="s">
        <v>3256</v>
      </c>
      <c r="G413" s="325" t="s">
        <v>3405</v>
      </c>
    </row>
    <row r="414" spans="1:7" ht="29" x14ac:dyDescent="0.35">
      <c r="A414" s="325" t="s">
        <v>3407</v>
      </c>
      <c r="B414" s="325" t="s">
        <v>830</v>
      </c>
      <c r="C414" s="737">
        <v>90.781481481481507</v>
      </c>
      <c r="D414" s="738">
        <v>6.7500000000000004E-2</v>
      </c>
      <c r="E414" s="737">
        <v>22.000204914314725</v>
      </c>
      <c r="F414" s="325" t="s">
        <v>3256</v>
      </c>
      <c r="G414" s="325" t="s">
        <v>3408</v>
      </c>
    </row>
    <row r="416" spans="1:7" x14ac:dyDescent="0.35">
      <c r="A416" t="s">
        <v>3409</v>
      </c>
    </row>
    <row r="417" spans="1:5" x14ac:dyDescent="0.35">
      <c r="A417" t="s">
        <v>1049</v>
      </c>
      <c r="B417" t="s">
        <v>1101</v>
      </c>
      <c r="C417" t="s">
        <v>3410</v>
      </c>
      <c r="D417" t="s">
        <v>622</v>
      </c>
      <c r="E417" t="s">
        <v>1731</v>
      </c>
    </row>
    <row r="418" spans="1:5" x14ac:dyDescent="0.35">
      <c r="A418" t="s">
        <v>1049</v>
      </c>
      <c r="B418" t="s">
        <v>1101</v>
      </c>
      <c r="C418" t="s">
        <v>3410</v>
      </c>
      <c r="D418" t="s">
        <v>622</v>
      </c>
      <c r="E418" t="s">
        <v>1731</v>
      </c>
    </row>
    <row r="419" spans="1:5" x14ac:dyDescent="0.35">
      <c r="A419" t="s">
        <v>3411</v>
      </c>
      <c r="B419">
        <v>250</v>
      </c>
      <c r="C419" t="s">
        <v>3412</v>
      </c>
      <c r="D419" t="s">
        <v>3256</v>
      </c>
      <c r="E419" t="s">
        <v>3413</v>
      </c>
    </row>
    <row r="420" spans="1:5" x14ac:dyDescent="0.35">
      <c r="A420" t="s">
        <v>3414</v>
      </c>
      <c r="B420" t="s">
        <v>3415</v>
      </c>
      <c r="C420" t="s">
        <v>3416</v>
      </c>
      <c r="D420" t="s">
        <v>3256</v>
      </c>
      <c r="E420" t="s">
        <v>3417</v>
      </c>
    </row>
    <row r="421" spans="1:5" x14ac:dyDescent="0.35">
      <c r="A421" t="s">
        <v>3418</v>
      </c>
      <c r="B421" t="s">
        <v>3419</v>
      </c>
      <c r="C421" t="s">
        <v>3420</v>
      </c>
      <c r="D421" t="s">
        <v>3256</v>
      </c>
      <c r="E421" t="s">
        <v>3421</v>
      </c>
    </row>
    <row r="422" spans="1:5" x14ac:dyDescent="0.35">
      <c r="A422" t="s">
        <v>3422</v>
      </c>
      <c r="B422" t="s">
        <v>3423</v>
      </c>
      <c r="C422" t="s">
        <v>3424</v>
      </c>
      <c r="D422" t="s">
        <v>3256</v>
      </c>
      <c r="E422" t="s">
        <v>3425</v>
      </c>
    </row>
    <row r="423" spans="1:5" x14ac:dyDescent="0.35">
      <c r="A423" t="s">
        <v>3426</v>
      </c>
      <c r="B423">
        <v>0</v>
      </c>
      <c r="C423" t="s">
        <v>3427</v>
      </c>
      <c r="D423" t="s">
        <v>3256</v>
      </c>
      <c r="E423" t="s">
        <v>3428</v>
      </c>
    </row>
    <row r="425" spans="1:5" ht="43.5" x14ac:dyDescent="0.35">
      <c r="A425" s="746" t="s">
        <v>3429</v>
      </c>
      <c r="B425" s="746"/>
      <c r="C425" s="746"/>
      <c r="D425" s="746"/>
      <c r="E425" s="746"/>
    </row>
    <row r="426" spans="1:5" x14ac:dyDescent="0.35">
      <c r="A426" s="739" t="s">
        <v>3430</v>
      </c>
      <c r="B426" s="739" t="s">
        <v>1039</v>
      </c>
      <c r="C426" s="739" t="s">
        <v>3431</v>
      </c>
      <c r="D426" s="739" t="s">
        <v>622</v>
      </c>
      <c r="E426" s="739" t="s">
        <v>3432</v>
      </c>
    </row>
    <row r="427" spans="1:5" ht="29" x14ac:dyDescent="0.35">
      <c r="A427" s="325" t="s">
        <v>3433</v>
      </c>
      <c r="B427" s="325" t="s">
        <v>3434</v>
      </c>
      <c r="C427" s="325" t="s">
        <v>3435</v>
      </c>
      <c r="D427" s="325" t="s">
        <v>3436</v>
      </c>
      <c r="E427" s="325" t="s">
        <v>3437</v>
      </c>
    </row>
    <row r="428" spans="1:5" ht="29" x14ac:dyDescent="0.35">
      <c r="A428" s="325" t="s">
        <v>3438</v>
      </c>
      <c r="B428" s="325" t="s">
        <v>3439</v>
      </c>
      <c r="C428" s="325" t="s">
        <v>3440</v>
      </c>
      <c r="D428" s="325" t="s">
        <v>3441</v>
      </c>
      <c r="E428" s="325" t="s">
        <v>3442</v>
      </c>
    </row>
    <row r="429" spans="1:5" ht="43.5" x14ac:dyDescent="0.35">
      <c r="A429" s="325" t="s">
        <v>3443</v>
      </c>
      <c r="B429" s="325" t="s">
        <v>3444</v>
      </c>
      <c r="C429" s="325" t="s">
        <v>3445</v>
      </c>
      <c r="D429" s="325" t="s">
        <v>3441</v>
      </c>
      <c r="E429" s="325" t="s">
        <v>3446</v>
      </c>
    </row>
    <row r="430" spans="1:5" ht="29" x14ac:dyDescent="0.35">
      <c r="A430" s="325" t="s">
        <v>3447</v>
      </c>
      <c r="B430" s="325" t="s">
        <v>3448</v>
      </c>
      <c r="C430" s="325" t="s">
        <v>3449</v>
      </c>
      <c r="D430" s="325" t="s">
        <v>3450</v>
      </c>
      <c r="E430" s="325" t="s">
        <v>3451</v>
      </c>
    </row>
    <row r="431" spans="1:5" ht="29" x14ac:dyDescent="0.35">
      <c r="A431" s="325" t="s">
        <v>3452</v>
      </c>
      <c r="B431" s="325" t="s">
        <v>3453</v>
      </c>
      <c r="C431" s="325" t="s">
        <v>3454</v>
      </c>
      <c r="D431" s="325" t="s">
        <v>3450</v>
      </c>
      <c r="E431" s="325" t="s">
        <v>3455</v>
      </c>
    </row>
    <row r="432" spans="1:5" ht="43.5" x14ac:dyDescent="0.35">
      <c r="A432" s="325" t="s">
        <v>3456</v>
      </c>
      <c r="B432" s="325" t="s">
        <v>3457</v>
      </c>
      <c r="C432" s="325" t="s">
        <v>3458</v>
      </c>
      <c r="D432" s="325" t="s">
        <v>3450</v>
      </c>
      <c r="E432" s="325" t="s">
        <v>3459</v>
      </c>
    </row>
    <row r="434" spans="1:6" x14ac:dyDescent="0.35">
      <c r="A434" s="927" t="s">
        <v>3460</v>
      </c>
      <c r="B434" s="927"/>
      <c r="C434" s="927"/>
      <c r="D434" s="927"/>
      <c r="E434" s="927"/>
      <c r="F434" s="927"/>
    </row>
    <row r="435" spans="1:6" x14ac:dyDescent="0.35">
      <c r="A435" s="767" t="s">
        <v>3461</v>
      </c>
      <c r="B435" s="767" t="s">
        <v>1100</v>
      </c>
      <c r="C435" s="767" t="s">
        <v>1101</v>
      </c>
      <c r="D435" s="767" t="s">
        <v>3462</v>
      </c>
      <c r="E435" s="767" t="s">
        <v>3463</v>
      </c>
      <c r="F435" s="767" t="s">
        <v>1731</v>
      </c>
    </row>
    <row r="436" spans="1:6" ht="21.5" x14ac:dyDescent="0.35">
      <c r="A436" s="751" t="s">
        <v>3464</v>
      </c>
      <c r="B436" s="751" t="s">
        <v>3465</v>
      </c>
      <c r="C436" s="908" t="str">
        <f>IF(COUNTIF('Financial Statements'!$G$50:$X$50,"&gt;1")+COUNTIF('Financial Statements'!$G$50:$X$50,"&lt;-1")=0,"OK","EXCEPTION: balance sheet")</f>
        <v>EXCEPTION: balance sheet</v>
      </c>
      <c r="D436" s="751" t="s">
        <v>3466</v>
      </c>
      <c r="E436" s="751" t="s">
        <v>3467</v>
      </c>
      <c r="F436" s="751" t="s">
        <v>3468</v>
      </c>
    </row>
    <row r="437" spans="1:6" ht="21.5" x14ac:dyDescent="0.35">
      <c r="A437" s="751" t="s">
        <v>3469</v>
      </c>
      <c r="B437" s="751" t="s">
        <v>3470</v>
      </c>
      <c r="C437" s="908" t="str">
        <f>IF(COUNTIF('Financial Statements'!$G$51:$X$51,"&gt;1")+COUNTIF('Financial Statements'!$G$51:$X$51,"&lt;-1")=0,"OK","EXCEPTION: cash linkage")</f>
        <v>OK</v>
      </c>
      <c r="D437" s="751" t="s">
        <v>3471</v>
      </c>
      <c r="E437" s="751" t="s">
        <v>3467</v>
      </c>
      <c r="F437" s="751" t="s">
        <v>3472</v>
      </c>
    </row>
    <row r="438" spans="1:6" ht="21.5" x14ac:dyDescent="0.35">
      <c r="A438" s="751" t="s">
        <v>3473</v>
      </c>
      <c r="B438" s="751" t="s">
        <v>3474</v>
      </c>
      <c r="C438" s="908" t="str">
        <f>IF(COUNTIF('Financial Statements'!$G$94:$X$94,"&gt;1")+COUNTIF('Financial Statements'!$G$94:$X$94,"&lt;-1")=0,"OK","EXCEPTION: equity roll-forward")</f>
        <v>OK</v>
      </c>
      <c r="D438" s="751" t="s">
        <v>3475</v>
      </c>
      <c r="E438" s="751" t="s">
        <v>3467</v>
      </c>
      <c r="F438" s="751" t="s">
        <v>3476</v>
      </c>
    </row>
    <row r="439" spans="1:6" ht="21.5" x14ac:dyDescent="0.35">
      <c r="A439" s="751" t="s">
        <v>3477</v>
      </c>
      <c r="B439" s="751" t="s">
        <v>3478</v>
      </c>
      <c r="C439" s="751" t="str">
        <f>IF(AND(SUMPRODUCT(--(ABS(DEBT!$F$96:$DV$96)&gt;0.01))=0,SUMPRODUCT(--(ABS(DEBT!$F$136:$DV$136)&gt;0.01))=0),"OK","EXCEPTION: debt roll-forward")</f>
        <v>EXCEPTION: debt roll-forward</v>
      </c>
      <c r="D439" s="751" t="s">
        <v>3479</v>
      </c>
      <c r="E439" s="751" t="s">
        <v>3467</v>
      </c>
      <c r="F439" s="751" t="s">
        <v>3480</v>
      </c>
    </row>
    <row r="440" spans="1:6" ht="21.5" x14ac:dyDescent="0.35">
      <c r="A440" s="751" t="s">
        <v>3481</v>
      </c>
      <c r="B440" s="751" t="s">
        <v>3482</v>
      </c>
      <c r="C440" s="751" t="str">
        <f>IF(SUMPRODUCT(--(ABS(DEBT!$F$157:$DV$157)&gt;0.01))=0,"OK","EXCEPTION: CFADS linkage")</f>
        <v>OK</v>
      </c>
      <c r="D440" s="751" t="s">
        <v>3483</v>
      </c>
      <c r="E440" s="751" t="s">
        <v>3484</v>
      </c>
      <c r="F440" s="751" t="s">
        <v>3485</v>
      </c>
    </row>
    <row r="441" spans="1:6" ht="21.5" x14ac:dyDescent="0.35">
      <c r="A441" s="751" t="s">
        <v>3486</v>
      </c>
      <c r="B441" s="751" t="s">
        <v>3487</v>
      </c>
      <c r="C441" s="908" t="str">
        <f>IF(AND('URWLD COMPANY INPUTS'!$F$857&lt;&gt;"",SUM(DEBT!$F$123:$DV$124)&gt;0),IF(SUM(DEBT!$F$152:$DV$152)=0,"OK","EXCEPTION: distributions allowed without DSCR"),"OK")</f>
        <v>OK</v>
      </c>
      <c r="D441" s="751" t="s">
        <v>3488</v>
      </c>
      <c r="E441" s="751" t="s">
        <v>3484</v>
      </c>
      <c r="F441" s="751" t="s">
        <v>3489</v>
      </c>
    </row>
    <row r="442" spans="1:6" ht="21.5" x14ac:dyDescent="0.35">
      <c r="A442" s="751" t="s">
        <v>3490</v>
      </c>
      <c r="B442" s="751" t="s">
        <v>3491</v>
      </c>
      <c r="C442" s="751" t="str">
        <f>IF(COUNT(DEBT!$F$196:$DV$201)&gt;0,"OK","EXCEPTION: headroom schedule")</f>
        <v>OK</v>
      </c>
      <c r="D442" s="751" t="s">
        <v>3492</v>
      </c>
      <c r="E442" s="751" t="s">
        <v>3493</v>
      </c>
      <c r="F442" s="751" t="s">
        <v>3494</v>
      </c>
    </row>
    <row r="444" spans="1:6" x14ac:dyDescent="0.35">
      <c r="A444" s="928" t="s">
        <v>3495</v>
      </c>
      <c r="B444" s="928"/>
      <c r="C444" s="928"/>
      <c r="D444" s="928"/>
      <c r="E444" s="928"/>
      <c r="F444" s="928"/>
    </row>
    <row r="445" spans="1:6" x14ac:dyDescent="0.35">
      <c r="A445" s="776" t="s">
        <v>3461</v>
      </c>
      <c r="B445" s="776" t="s">
        <v>1100</v>
      </c>
      <c r="C445" s="776" t="s">
        <v>1101</v>
      </c>
      <c r="D445" s="776" t="s">
        <v>3462</v>
      </c>
      <c r="E445" s="776" t="s">
        <v>3463</v>
      </c>
      <c r="F445" s="776" t="s">
        <v>1731</v>
      </c>
    </row>
    <row r="446" spans="1:6" ht="21.5" x14ac:dyDescent="0.35">
      <c r="A446" s="751" t="s">
        <v>3496</v>
      </c>
      <c r="B446" s="751" t="s">
        <v>3497</v>
      </c>
      <c r="C446" s="751" t="str">
        <f>IF(ABS('VALUATION &amp; RETURNS'!$CW$38-'VALUATION &amp; RETURNS'!$DA$7)&lt;0.0001,"OK","EXCEPTION: property SOTP")</f>
        <v>OK</v>
      </c>
      <c r="D446" s="751" t="s">
        <v>3498</v>
      </c>
      <c r="E446" s="751" t="s">
        <v>3467</v>
      </c>
      <c r="F446" s="751" t="s">
        <v>3499</v>
      </c>
    </row>
    <row r="447" spans="1:6" ht="21.5" x14ac:dyDescent="0.35">
      <c r="A447" s="751" t="s">
        <v>3500</v>
      </c>
      <c r="B447" s="751" t="s">
        <v>1141</v>
      </c>
      <c r="C447" s="908" t="str">
        <f>IF(OR('VALUATION &amp; RETURNS'!$CR$10="",'VALUATION &amp; RETURNS'!$CR$11=""),IF('VALUATION &amp; RETURNS'!$DB$38=0,"OK","EXCEPTION: unsupported OpCo value"),"OK")</f>
        <v>OK</v>
      </c>
      <c r="D447" s="751" t="s">
        <v>3501</v>
      </c>
      <c r="E447" s="751" t="s">
        <v>3467</v>
      </c>
      <c r="F447" s="751" t="s">
        <v>3502</v>
      </c>
    </row>
    <row r="448" spans="1:6" ht="21.5" x14ac:dyDescent="0.35">
      <c r="A448" s="751" t="s">
        <v>3503</v>
      </c>
      <c r="B448" s="751" t="s">
        <v>3504</v>
      </c>
      <c r="C448" s="751" t="str">
        <f>IF(COUNTA('INVESTOR REPORT'!$G$19:$L$19)=0,"OK","EXCEPTION: cost presented as return")</f>
        <v>OK</v>
      </c>
      <c r="D448" s="751" t="s">
        <v>3505</v>
      </c>
      <c r="E448" s="751" t="s">
        <v>3467</v>
      </c>
      <c r="F448" s="751" t="s">
        <v>3506</v>
      </c>
    </row>
    <row r="449" spans="1:6" ht="21.5" x14ac:dyDescent="0.35">
      <c r="A449" s="751" t="s">
        <v>3507</v>
      </c>
      <c r="B449" s="751" t="s">
        <v>3508</v>
      </c>
      <c r="C449" s="751" t="str">
        <f>IF(ABS('VALUATION &amp; RETURNS'!$CX$70-'VALUATION &amp; RETURNS'!$CR$52)&lt;0.0001,"OK","EXCEPTION: investor allocation")</f>
        <v>EXCEPTION: investor allocation</v>
      </c>
      <c r="D449" s="751" t="s">
        <v>3509</v>
      </c>
      <c r="E449" s="751" t="s">
        <v>3467</v>
      </c>
      <c r="F449" s="751" t="s">
        <v>3510</v>
      </c>
    </row>
    <row r="450" spans="1:6" ht="21.5" x14ac:dyDescent="0.35">
      <c r="A450" s="751" t="s">
        <v>3511</v>
      </c>
      <c r="B450" s="751" t="s">
        <v>3512</v>
      </c>
      <c r="C450" s="908" t="str">
        <f>IF(AND(ABS('INVESTOR REPORT'!$J$9-INDEX('VALUATION &amp; RETURNS'!$G$58:$I$65,MATCH('INVESTOR REPORT'!$C$3,'VALUATION &amp; RETURNS'!$B$58:$B$65,0),MATCH('VALUATION &amp; RETURNS'!$CR$7,{"Downside","Base","Upside"},0)))&lt;0.0001,ABS('INVESTOR REPORT'!$M$9-('INVESTOR REPORT'!$J$9/'INVESTOR REPORT'!$A$9))&lt;0.000001),"OK","EXCEPTION: selected investor")</f>
        <v>OK</v>
      </c>
      <c r="D450" s="751" t="s">
        <v>3513</v>
      </c>
      <c r="E450" s="751" t="s">
        <v>3467</v>
      </c>
      <c r="F450" s="751" t="s">
        <v>3514</v>
      </c>
    </row>
    <row r="451" spans="1:6" ht="21.5" x14ac:dyDescent="0.35">
      <c r="A451" s="751" t="s">
        <v>3515</v>
      </c>
      <c r="B451" s="751" t="s">
        <v>3516</v>
      </c>
      <c r="C451" s="751" t="str">
        <f>IF(ABS('FUNDING &amp; CAP TABLE'!$J$18-'VALUATION &amp; RETURNS'!$CR$52)&lt;0.0001,"OK","EXCEPTION: cap-table values")</f>
        <v>EXCEPTION: cap-table values</v>
      </c>
      <c r="D451" s="751" t="s">
        <v>3517</v>
      </c>
      <c r="E451" s="751" t="s">
        <v>3467</v>
      </c>
      <c r="F451" s="751" t="s">
        <v>3518</v>
      </c>
    </row>
    <row r="453" spans="1:6" x14ac:dyDescent="0.35">
      <c r="A453" s="929" t="s">
        <v>3519</v>
      </c>
      <c r="B453" s="929"/>
      <c r="C453" s="929"/>
      <c r="D453" s="929"/>
      <c r="E453" s="929"/>
      <c r="F453" s="929"/>
    </row>
    <row r="454" spans="1:6" x14ac:dyDescent="0.35">
      <c r="A454" s="777" t="s">
        <v>3461</v>
      </c>
      <c r="B454" s="777" t="s">
        <v>1100</v>
      </c>
      <c r="C454" s="777" t="s">
        <v>1101</v>
      </c>
      <c r="D454" s="777" t="s">
        <v>3462</v>
      </c>
      <c r="E454" s="777" t="s">
        <v>3463</v>
      </c>
      <c r="F454" s="777" t="s">
        <v>1731</v>
      </c>
    </row>
    <row r="455" spans="1:6" ht="21.5" x14ac:dyDescent="0.35">
      <c r="A455" s="751" t="s">
        <v>3520</v>
      </c>
      <c r="B455" s="751" t="s">
        <v>3521</v>
      </c>
      <c r="C455" s="908" t="str">
        <f>IF(COUNTA('URWLD COMPANY INPUTS'!$Q$1:$Q$884)+COUNTA('INPUT REGISTER'!$Q$1:$Q$670)=1708,"OK","EXCEPTION: input classification")</f>
        <v>EXCEPTION: input classification</v>
      </c>
      <c r="D455" s="751" t="s">
        <v>3522</v>
      </c>
      <c r="E455" s="751" t="s">
        <v>3467</v>
      </c>
      <c r="F455" s="751" t="s">
        <v>3523</v>
      </c>
    </row>
    <row r="456" spans="1:6" ht="21.5" x14ac:dyDescent="0.35">
      <c r="A456" s="751" t="s">
        <v>3524</v>
      </c>
      <c r="B456" s="751" t="s">
        <v>3525</v>
      </c>
      <c r="C456" s="908" t="str">
        <f>IF(OR('VALUATION &amp; RETURNS'!$CR$7="Downside",'VALUATION &amp; RETURNS'!$CR$7="Base",'VALUATION &amp; RETURNS'!$CR$7="Upside"),"OK","EXCEPTION: scenario completeness")</f>
        <v>OK</v>
      </c>
      <c r="D456" s="751" t="s">
        <v>3526</v>
      </c>
      <c r="E456" s="751" t="s">
        <v>3467</v>
      </c>
      <c r="F456" s="751" t="s">
        <v>3527</v>
      </c>
    </row>
    <row r="457" spans="1:6" ht="21.5" x14ac:dyDescent="0.35">
      <c r="A457" s="751" t="s">
        <v>3528</v>
      </c>
      <c r="B457" s="751" t="s">
        <v>3529</v>
      </c>
      <c r="C457" s="908" t="str">
        <f>IF('VALUATION &amp; RETURNS'!$CR$7&lt;&gt;"","OK","EXCEPTION: selected values")</f>
        <v>OK</v>
      </c>
      <c r="D457" s="751" t="s">
        <v>3530</v>
      </c>
      <c r="E457" s="751" t="s">
        <v>3467</v>
      </c>
      <c r="F457" s="751" t="s">
        <v>3531</v>
      </c>
    </row>
    <row r="458" spans="1:6" ht="31.5" x14ac:dyDescent="0.35">
      <c r="A458" s="751" t="s">
        <v>3532</v>
      </c>
      <c r="B458" s="751" t="s">
        <v>3533</v>
      </c>
      <c r="C458" s="908" t="str">
        <f>IF('VALUATION &amp; RETURNS'!$CR$7='INVESTOR REPORT'!$I$3,"OK","EXCEPTION: selector chain")</f>
        <v>OK</v>
      </c>
      <c r="D458" s="751" t="s">
        <v>3534</v>
      </c>
      <c r="E458" s="751" t="s">
        <v>3467</v>
      </c>
      <c r="F458" s="751" t="s">
        <v>3535</v>
      </c>
    </row>
    <row r="459" spans="1:6" ht="21.5" x14ac:dyDescent="0.35">
      <c r="A459" s="751" t="s">
        <v>3536</v>
      </c>
      <c r="B459" s="751" t="s">
        <v>3537</v>
      </c>
      <c r="C459" s="908" t="str">
        <f>IF(COUNTBLANK('URWLD COMPANY INPUTS'!$F$857)+COUNTBLANK('URWLD COMPANY INPUTS'!$F$859)+COUNTBLANK('URWLD COMPANY INPUTS'!$F$861)+COUNTBLANK('URWLD COMPANY INPUTS'!$F$863)+COUNTBLANK('URWLD COMPANY INPUTS'!$F$864)+COUNTBLANK('URWLD COMPANY INPUTS'!$F$866)+COUNTBLANK('URWLD COMPANY INPUTS'!$F$867)+COUNTBLANK('URWLD COMPANY INPUTS'!$F$868)+COUNTBLANK('URWLD COMPANY INPUTS'!$F$869)+COUNTBLANK('URWLD COMPANY INPUTS'!$F$870)+COUNTBLANK('URWLD COMPANY INPUTS'!$F$871)+COUNTBLANK('URWLD COMPANY INPUTS'!$F$872)&lt;=12,"OK","EXCEPTION: decision coverage")</f>
        <v>OK</v>
      </c>
      <c r="D459" s="751" t="s">
        <v>3538</v>
      </c>
      <c r="E459" s="751" t="s">
        <v>3467</v>
      </c>
      <c r="F459" s="751" t="s">
        <v>3539</v>
      </c>
    </row>
    <row r="460" spans="1:6" ht="21.5" x14ac:dyDescent="0.35">
      <c r="A460" s="751" t="s">
        <v>3540</v>
      </c>
      <c r="B460" s="751" t="s">
        <v>3541</v>
      </c>
      <c r="C460" s="908" t="str">
        <f ca="1">IF(AND(COUNTBLANK('URWLD COMPANY INPUTS'!$F$857)+COUNTBLANK('URWLD COMPANY INPUTS'!$F$859)+COUNTBLANK('URWLD COMPANY INPUTS'!$F$861)+COUNTBLANK('URWLD COMPANY INPUTS'!$F$863)+COUNTBLANK('URWLD COMPANY INPUTS'!$F$864)+COUNTBLANK('URWLD COMPANY INPUTS'!$F$866)+COUNTBLANK('URWLD COMPANY INPUTS'!$F$867)+COUNTBLANK('URWLD COMPANY INPUTS'!$F$868)+COUNTBLANK('URWLD COMPANY INPUTS'!$F$869)+COUNTBLANK('URWLD COMPANY INPUTS'!$F$870)+COUNTBLANK('URWLD COMPANY INPUTS'!$F$871)+COUNTBLANK('URWLD COMPANY INPUTS'!$F$872)&gt;0,$C$173&lt;&gt;"INVESTOR READY"),"OK","EXCEPTION: release gate")</f>
        <v>OK</v>
      </c>
      <c r="D460" s="751" t="s">
        <v>3542</v>
      </c>
      <c r="E460" s="751" t="s">
        <v>3467</v>
      </c>
      <c r="F460" s="751" t="s">
        <v>3543</v>
      </c>
    </row>
    <row r="462" spans="1:6" x14ac:dyDescent="0.35">
      <c r="A462" s="930" t="s">
        <v>3544</v>
      </c>
      <c r="B462" s="930"/>
      <c r="C462" s="930"/>
      <c r="D462" s="930"/>
      <c r="E462" s="930"/>
      <c r="F462" s="930"/>
    </row>
    <row r="463" spans="1:6" x14ac:dyDescent="0.35">
      <c r="A463" s="778" t="s">
        <v>3461</v>
      </c>
      <c r="B463" s="778" t="s">
        <v>1100</v>
      </c>
      <c r="C463" s="778" t="s">
        <v>1101</v>
      </c>
      <c r="D463" s="778" t="s">
        <v>3462</v>
      </c>
      <c r="E463" s="778" t="s">
        <v>3463</v>
      </c>
      <c r="F463" s="778" t="s">
        <v>1731</v>
      </c>
    </row>
    <row r="464" spans="1:6" ht="21.5" x14ac:dyDescent="0.35">
      <c r="A464" s="751" t="s">
        <v>3545</v>
      </c>
      <c r="B464" s="751" t="s">
        <v>3546</v>
      </c>
      <c r="C464" s="908" t="str">
        <f>"NOT TESTED — LEGACY AUDIT MODULE REMOVED"</f>
        <v>NOT TESTED — LEGACY AUDIT MODULE REMOVED</v>
      </c>
      <c r="D464" s="751" t="s">
        <v>3547</v>
      </c>
      <c r="E464" s="751" t="s">
        <v>3467</v>
      </c>
      <c r="F464" s="751" t="s">
        <v>3548</v>
      </c>
    </row>
    <row r="465" spans="1:6" ht="21.5" x14ac:dyDescent="0.35">
      <c r="A465" s="751" t="s">
        <v>3549</v>
      </c>
      <c r="B465" s="751" t="s">
        <v>3550</v>
      </c>
      <c r="C465" s="908" t="str">
        <f>"NOT TESTED — LEGACY AUDIT MODULE REMOVED"</f>
        <v>NOT TESTED — LEGACY AUDIT MODULE REMOVED</v>
      </c>
      <c r="D465" s="751" t="s">
        <v>3551</v>
      </c>
      <c r="E465" s="751" t="s">
        <v>3467</v>
      </c>
      <c r="F465" s="751" t="s">
        <v>3552</v>
      </c>
    </row>
    <row r="466" spans="1:6" ht="21.5" x14ac:dyDescent="0.35">
      <c r="A466" s="751" t="s">
        <v>3553</v>
      </c>
      <c r="B466" s="751" t="s">
        <v>3554</v>
      </c>
      <c r="C466" s="908" t="str">
        <f>"NOT TESTED — LEGACY AUDIT MODULE REMOVED"</f>
        <v>NOT TESTED — LEGACY AUDIT MODULE REMOVED</v>
      </c>
      <c r="D466" s="751" t="s">
        <v>3555</v>
      </c>
      <c r="E466" s="751" t="s">
        <v>3467</v>
      </c>
      <c r="F466" s="751" t="s">
        <v>3556</v>
      </c>
    </row>
    <row r="467" spans="1:6" ht="21.5" x14ac:dyDescent="0.35">
      <c r="A467" s="751" t="s">
        <v>3557</v>
      </c>
      <c r="B467" s="751" t="s">
        <v>3558</v>
      </c>
      <c r="C467" s="908" t="str">
        <f>"NOT TESTED — LEGACY AUDIT MODULE REMOVED"</f>
        <v>NOT TESTED — LEGACY AUDIT MODULE REMOVED</v>
      </c>
      <c r="D467" s="751" t="s">
        <v>3559</v>
      </c>
      <c r="E467" s="751" t="s">
        <v>3467</v>
      </c>
      <c r="F467" s="751" t="s">
        <v>3560</v>
      </c>
    </row>
    <row r="468" spans="1:6" ht="22" x14ac:dyDescent="0.35">
      <c r="A468" s="751" t="s">
        <v>3561</v>
      </c>
      <c r="B468" s="751" t="s">
        <v>3562</v>
      </c>
      <c r="C468" s="908" t="str">
        <f>IF(COUNTA('URWLD COMPANY INPUTS'!$Q$1:$Q$884)+COUNTA('INPUT REGISTER'!$Q$1:$Q$670)=1708,"OK","EXCEPTION: duplicate Field ID or record count")</f>
        <v>EXCEPTION: duplicate Field ID or record count</v>
      </c>
      <c r="D468" s="751" t="s">
        <v>3563</v>
      </c>
      <c r="E468" s="751" t="s">
        <v>3467</v>
      </c>
      <c r="F468" s="751" t="s">
        <v>3564</v>
      </c>
    </row>
    <row r="469" spans="1:6" ht="21.5" x14ac:dyDescent="0.35">
      <c r="A469" s="751" t="s">
        <v>3565</v>
      </c>
      <c r="B469" s="751" t="s">
        <v>3566</v>
      </c>
      <c r="C469" s="908" t="str">
        <f ca="1">$C$170</f>
        <v>OK</v>
      </c>
      <c r="D469" s="751" t="s">
        <v>3567</v>
      </c>
      <c r="E469" s="751" t="s">
        <v>3467</v>
      </c>
      <c r="F469" s="751" t="s">
        <v>3568</v>
      </c>
    </row>
    <row r="470" spans="1:6" ht="21.5" x14ac:dyDescent="0.35">
      <c r="A470" s="751" t="s">
        <v>3569</v>
      </c>
      <c r="B470" s="751" t="s">
        <v>3570</v>
      </c>
      <c r="C470" s="908" t="str">
        <f>"NOT TESTED — EXTERNAL FORMULA AUDIT MODULE REMOVED"</f>
        <v>NOT TESTED — EXTERNAL FORMULA AUDIT MODULE REMOVED</v>
      </c>
      <c r="D470" s="751" t="s">
        <v>3571</v>
      </c>
      <c r="E470" s="751" t="s">
        <v>3467</v>
      </c>
      <c r="F470" s="751" t="s">
        <v>3572</v>
      </c>
    </row>
    <row r="471" spans="1:6" ht="21.5" x14ac:dyDescent="0.35">
      <c r="A471" s="751" t="s">
        <v>3573</v>
      </c>
      <c r="B471" s="751" t="s">
        <v>3574</v>
      </c>
      <c r="C471" s="908" t="str">
        <f ca="1">$C$173</f>
        <v>TECHNICAL EXCEPTIONS OUTSTANDING</v>
      </c>
      <c r="D471" s="751" t="s">
        <v>3575</v>
      </c>
      <c r="E471" s="751" t="s">
        <v>3467</v>
      </c>
      <c r="F471" s="751" t="s">
        <v>3576</v>
      </c>
    </row>
    <row r="473" spans="1:6" x14ac:dyDescent="0.35">
      <c r="A473" s="926" t="s">
        <v>3577</v>
      </c>
      <c r="B473" s="926"/>
      <c r="C473" s="926"/>
      <c r="D473" s="926"/>
      <c r="E473" s="926"/>
      <c r="F473" s="926"/>
    </row>
    <row r="474" spans="1:6" x14ac:dyDescent="0.35">
      <c r="A474" s="779" t="s">
        <v>3461</v>
      </c>
      <c r="B474" s="779" t="s">
        <v>1100</v>
      </c>
      <c r="C474" s="779" t="s">
        <v>1101</v>
      </c>
      <c r="D474" s="779" t="s">
        <v>3462</v>
      </c>
      <c r="E474" s="779" t="s">
        <v>3463</v>
      </c>
      <c r="F474" s="779" t="s">
        <v>1731</v>
      </c>
    </row>
    <row r="475" spans="1:6" ht="21.5" x14ac:dyDescent="0.35">
      <c r="A475" s="751" t="s">
        <v>3578</v>
      </c>
      <c r="B475" s="751" t="s">
        <v>3579</v>
      </c>
      <c r="C475" s="751" t="s">
        <v>1137</v>
      </c>
      <c r="D475" s="751" t="s">
        <v>3580</v>
      </c>
      <c r="E475" s="751" t="s">
        <v>3467</v>
      </c>
      <c r="F475" s="751" t="s">
        <v>3581</v>
      </c>
    </row>
    <row r="476" spans="1:6" ht="21.5" x14ac:dyDescent="0.35">
      <c r="A476" s="751" t="s">
        <v>3582</v>
      </c>
      <c r="B476" s="751" t="s">
        <v>3583</v>
      </c>
      <c r="C476" s="751" t="s">
        <v>1137</v>
      </c>
      <c r="D476" s="751" t="s">
        <v>3580</v>
      </c>
      <c r="E476" s="751" t="s">
        <v>3467</v>
      </c>
      <c r="F476" s="751" t="s">
        <v>3584</v>
      </c>
    </row>
    <row r="477" spans="1:6" ht="21.5" x14ac:dyDescent="0.35">
      <c r="A477" s="751" t="s">
        <v>3585</v>
      </c>
      <c r="B477" s="751" t="s">
        <v>3586</v>
      </c>
      <c r="C477" s="751" t="s">
        <v>1137</v>
      </c>
      <c r="D477" s="751" t="s">
        <v>3580</v>
      </c>
      <c r="E477" s="751" t="s">
        <v>3467</v>
      </c>
      <c r="F477" s="751" t="s">
        <v>3587</v>
      </c>
    </row>
    <row r="478" spans="1:6" ht="21.5" x14ac:dyDescent="0.35">
      <c r="A478" s="751" t="s">
        <v>3588</v>
      </c>
      <c r="B478" s="751" t="s">
        <v>3589</v>
      </c>
      <c r="C478" s="751" t="s">
        <v>1137</v>
      </c>
      <c r="D478" s="751" t="s">
        <v>3590</v>
      </c>
      <c r="E478" s="751" t="s">
        <v>3591</v>
      </c>
      <c r="F478" s="751" t="s">
        <v>3592</v>
      </c>
    </row>
    <row r="479" spans="1:6" ht="21.5" x14ac:dyDescent="0.35">
      <c r="A479" s="751" t="s">
        <v>3593</v>
      </c>
      <c r="B479" s="751" t="s">
        <v>3594</v>
      </c>
      <c r="C479" s="908" t="str">
        <f>IF(AND(Underwriting!$D$88&gt;1,Underwriting!$D$89&gt;Underwriting!$D$88,Underwriting!$I$15&gt;Underwriting!$E$13),"OK","EXCEPTION: programme sequence")</f>
        <v>OK</v>
      </c>
      <c r="D479" s="751" t="s">
        <v>3595</v>
      </c>
      <c r="E479" s="751" t="s">
        <v>3467</v>
      </c>
      <c r="F479" s="751" t="s">
        <v>3596</v>
      </c>
    </row>
    <row r="480" spans="1:6" ht="21.5" x14ac:dyDescent="0.35">
      <c r="A480" s="751" t="s">
        <v>3597</v>
      </c>
      <c r="B480" s="751" t="s">
        <v>3598</v>
      </c>
      <c r="C480" s="908" t="str">
        <f>IF(AND(Underwriting!$M$24=EDATE(Underwriting!$L$24,1),Underwriting!$EN$24=EDATE(Underwriting!$EM$24,1)),"OK","EXCEPTION: monthly dates")</f>
        <v>EXCEPTION: monthly dates</v>
      </c>
      <c r="D480" s="751" t="s">
        <v>3599</v>
      </c>
      <c r="E480" s="751" t="s">
        <v>3467</v>
      </c>
      <c r="F480" s="751" t="s">
        <v>3600</v>
      </c>
    </row>
    <row r="481" spans="1:6" ht="21.5" x14ac:dyDescent="0.35">
      <c r="A481" s="751" t="s">
        <v>3601</v>
      </c>
      <c r="B481" s="751" t="s">
        <v>3602</v>
      </c>
      <c r="C481" s="908" t="str">
        <f>IF(Underwriting!$EN$24&gt;=Underwriting!$I$15,"OK","EXCEPTION: model horizon")</f>
        <v>OK</v>
      </c>
      <c r="D481" s="751" t="s">
        <v>3603</v>
      </c>
      <c r="E481" s="751" t="s">
        <v>3467</v>
      </c>
      <c r="F481" s="751" t="s">
        <v>3604</v>
      </c>
    </row>
    <row r="482" spans="1:6" ht="21.5" x14ac:dyDescent="0.35">
      <c r="A482" s="751" t="s">
        <v>3605</v>
      </c>
      <c r="B482" s="751" t="s">
        <v>3606</v>
      </c>
      <c r="C482" s="908" t="str">
        <f>"NOT TESTED — LEGACY AUDIT MODULE REMOVED"</f>
        <v>NOT TESTED — LEGACY AUDIT MODULE REMOVED</v>
      </c>
      <c r="D482" s="751" t="s">
        <v>3607</v>
      </c>
      <c r="E482" s="751" t="s">
        <v>3467</v>
      </c>
      <c r="F482" s="751" t="s">
        <v>3608</v>
      </c>
    </row>
    <row r="483" spans="1:6" ht="21.5" x14ac:dyDescent="0.35">
      <c r="A483" s="751" t="s">
        <v>3609</v>
      </c>
      <c r="B483" s="751" t="s">
        <v>3610</v>
      </c>
      <c r="C483" s="751" t="s">
        <v>1137</v>
      </c>
      <c r="D483" s="751" t="s">
        <v>3611</v>
      </c>
      <c r="E483" s="751" t="s">
        <v>3467</v>
      </c>
      <c r="F483" s="751" t="s">
        <v>3612</v>
      </c>
    </row>
    <row r="485" spans="1:6" x14ac:dyDescent="0.35">
      <c r="A485" s="926" t="s">
        <v>3613</v>
      </c>
      <c r="B485" s="926"/>
      <c r="C485" s="926"/>
      <c r="D485" s="926"/>
      <c r="E485" s="926"/>
      <c r="F485" s="926"/>
    </row>
    <row r="486" spans="1:6" x14ac:dyDescent="0.35">
      <c r="A486" s="779" t="s">
        <v>3461</v>
      </c>
      <c r="B486" s="779" t="s">
        <v>1100</v>
      </c>
      <c r="C486" s="779" t="s">
        <v>1101</v>
      </c>
      <c r="D486" s="779" t="s">
        <v>3462</v>
      </c>
      <c r="E486" s="779" t="s">
        <v>3463</v>
      </c>
      <c r="F486" s="779" t="s">
        <v>1731</v>
      </c>
    </row>
    <row r="487" spans="1:6" ht="21.5" x14ac:dyDescent="0.35">
      <c r="A487" s="751" t="s">
        <v>3614</v>
      </c>
      <c r="B487" s="751" t="s">
        <v>3615</v>
      </c>
      <c r="C487" s="908" t="str">
        <f>"NOT TESTED — LEGACY CIRCULARITY AUDIT MODULE REMOVED"</f>
        <v>NOT TESTED — LEGACY CIRCULARITY AUDIT MODULE REMOVED</v>
      </c>
      <c r="D487" s="751" t="s">
        <v>3616</v>
      </c>
      <c r="E487" s="751" t="s">
        <v>3467</v>
      </c>
      <c r="F487" s="751" t="s">
        <v>2729</v>
      </c>
    </row>
    <row r="488" spans="1:6" x14ac:dyDescent="0.35">
      <c r="A488" s="751" t="s">
        <v>3617</v>
      </c>
      <c r="B488" s="751" t="s">
        <v>3618</v>
      </c>
      <c r="C488" s="908" t="str">
        <f ca="1">$C$170</f>
        <v>OK</v>
      </c>
      <c r="D488" s="751" t="s">
        <v>3619</v>
      </c>
      <c r="E488" s="751" t="s">
        <v>3467</v>
      </c>
      <c r="F488" s="751" t="s">
        <v>2729</v>
      </c>
    </row>
    <row r="489" spans="1:6" x14ac:dyDescent="0.35">
      <c r="A489" s="751" t="s">
        <v>3620</v>
      </c>
      <c r="B489" s="751" t="s">
        <v>3621</v>
      </c>
      <c r="C489" s="908" t="str">
        <f ca="1">$C$170</f>
        <v>OK</v>
      </c>
      <c r="D489" s="751" t="s">
        <v>3622</v>
      </c>
      <c r="E489" s="751" t="s">
        <v>3467</v>
      </c>
      <c r="F489" s="751" t="s">
        <v>2729</v>
      </c>
    </row>
    <row r="490" spans="1:6" ht="21.5" x14ac:dyDescent="0.35">
      <c r="A490" s="751" t="s">
        <v>3623</v>
      </c>
      <c r="B490" s="751" t="s">
        <v>3624</v>
      </c>
      <c r="C490" s="908" t="s">
        <v>9580</v>
      </c>
      <c r="D490" s="751" t="s">
        <v>9581</v>
      </c>
      <c r="E490" s="751" t="s">
        <v>9582</v>
      </c>
      <c r="F490" s="751" t="s">
        <v>9583</v>
      </c>
    </row>
    <row r="491" spans="1:6" x14ac:dyDescent="0.35">
      <c r="A491" s="751" t="s">
        <v>3625</v>
      </c>
      <c r="B491" s="751" t="s">
        <v>3626</v>
      </c>
      <c r="C491" s="908" t="str">
        <f>IF(ABS(Underwriting!$I$140/1000000-45.5419217473958)&lt;0.000001,"OK","EXCEPTION: source NOI")</f>
        <v>OK</v>
      </c>
      <c r="D491" s="751" t="s">
        <v>3627</v>
      </c>
      <c r="E491" s="751" t="s">
        <v>3467</v>
      </c>
      <c r="F491" s="751" t="s">
        <v>3628</v>
      </c>
    </row>
    <row r="492" spans="1:6" ht="21.5" x14ac:dyDescent="0.35">
      <c r="A492" s="751" t="s">
        <v>3629</v>
      </c>
      <c r="B492" s="751" t="s">
        <v>3630</v>
      </c>
      <c r="C492" s="908" t="str">
        <f>IF(COUNTBLANK('URWLD COMPANY INPUTS'!$F$866:$F$872)=7,"OK","EXCEPTION: waterfall guard")</f>
        <v>OK</v>
      </c>
      <c r="D492" s="751" t="s">
        <v>3631</v>
      </c>
      <c r="E492" s="751" t="s">
        <v>3467</v>
      </c>
      <c r="F492" s="751" t="s">
        <v>3632</v>
      </c>
    </row>
    <row r="493" spans="1:6" ht="21.5" x14ac:dyDescent="0.35">
      <c r="A493" s="751" t="s">
        <v>3633</v>
      </c>
      <c r="B493" s="751" t="s">
        <v>3634</v>
      </c>
      <c r="C493" s="751" t="s">
        <v>3635</v>
      </c>
      <c r="D493" s="751" t="s">
        <v>3636</v>
      </c>
      <c r="E493" s="751" t="s">
        <v>3637</v>
      </c>
      <c r="F493" s="751" t="s">
        <v>3638</v>
      </c>
    </row>
    <row r="494" spans="1:6" x14ac:dyDescent="0.35">
      <c r="A494" s="751" t="s">
        <v>3639</v>
      </c>
      <c r="B494" s="751" t="s">
        <v>3640</v>
      </c>
      <c r="C494" s="908" t="str">
        <f>IF(AND(Summary!$O$12="PASS",Summary!$O$13="PASS",Summary!$O$14="PASS"),"OK","PENDING RECALC")</f>
        <v>PENDING RECALC</v>
      </c>
      <c r="D494" s="751" t="s">
        <v>3641</v>
      </c>
      <c r="E494" s="751" t="s">
        <v>3467</v>
      </c>
      <c r="F494" s="751" t="s">
        <v>3642</v>
      </c>
    </row>
    <row r="495" spans="1:6" ht="21.5" x14ac:dyDescent="0.35">
      <c r="A495" s="751" t="s">
        <v>3643</v>
      </c>
      <c r="B495" s="751" t="s">
        <v>3644</v>
      </c>
      <c r="C495" s="908" t="str">
        <f ca="1">$C$173</f>
        <v>TECHNICAL EXCEPTIONS OUTSTANDING</v>
      </c>
      <c r="D495" s="751" t="s">
        <v>3542</v>
      </c>
      <c r="E495" s="751" t="s">
        <v>3467</v>
      </c>
      <c r="F495" s="751" t="s">
        <v>3645</v>
      </c>
    </row>
    <row r="496" spans="1:6" ht="31.5" x14ac:dyDescent="0.35">
      <c r="A496" s="751" t="s">
        <v>9584</v>
      </c>
      <c r="B496" s="751" t="s">
        <v>9585</v>
      </c>
      <c r="C496" s="908" t="s">
        <v>9586</v>
      </c>
      <c r="D496" s="751" t="s">
        <v>9587</v>
      </c>
      <c r="E496" s="751" t="s">
        <v>9582</v>
      </c>
      <c r="F496" s="751" t="s">
        <v>9588</v>
      </c>
    </row>
    <row r="497" spans="1:6" ht="31.5" x14ac:dyDescent="0.35">
      <c r="A497" s="751" t="s">
        <v>9589</v>
      </c>
      <c r="B497" s="751" t="s">
        <v>9590</v>
      </c>
      <c r="C497" s="908" t="s">
        <v>9591</v>
      </c>
      <c r="D497" s="751" t="s">
        <v>9592</v>
      </c>
      <c r="E497" s="751" t="s">
        <v>9582</v>
      </c>
      <c r="F497" s="751" t="s">
        <v>9593</v>
      </c>
    </row>
  </sheetData>
  <mergeCells count="53">
    <mergeCell ref="A179:K179"/>
    <mergeCell ref="A192:K192"/>
    <mergeCell ref="A175:K175"/>
    <mergeCell ref="D191:G191"/>
    <mergeCell ref="D199:F199"/>
    <mergeCell ref="A201:K201"/>
    <mergeCell ref="D181:G181"/>
    <mergeCell ref="D182:G182"/>
    <mergeCell ref="D183:G183"/>
    <mergeCell ref="D184:G184"/>
    <mergeCell ref="D185:G185"/>
    <mergeCell ref="D186:G186"/>
    <mergeCell ref="D187:G187"/>
    <mergeCell ref="D188:G188"/>
    <mergeCell ref="D189:G189"/>
    <mergeCell ref="D190:G190"/>
    <mergeCell ref="D194:F194"/>
    <mergeCell ref="D195:F195"/>
    <mergeCell ref="D196:F196"/>
    <mergeCell ref="D197:F197"/>
    <mergeCell ref="D198:F198"/>
    <mergeCell ref="D162:K162"/>
    <mergeCell ref="D163:K163"/>
    <mergeCell ref="D164:K164"/>
    <mergeCell ref="D170:K170"/>
    <mergeCell ref="D171:K171"/>
    <mergeCell ref="D165:K165"/>
    <mergeCell ref="D166:K166"/>
    <mergeCell ref="D167:K167"/>
    <mergeCell ref="D168:K168"/>
    <mergeCell ref="D169:K169"/>
    <mergeCell ref="A354:M354"/>
    <mergeCell ref="A394:M394"/>
    <mergeCell ref="A396:G396"/>
    <mergeCell ref="D200:F200"/>
    <mergeCell ref="A2:K2"/>
    <mergeCell ref="A4:K4"/>
    <mergeCell ref="A5:K5"/>
    <mergeCell ref="A140:K140"/>
    <mergeCell ref="A153:K153"/>
    <mergeCell ref="D155:K155"/>
    <mergeCell ref="D156:K156"/>
    <mergeCell ref="D157:K157"/>
    <mergeCell ref="D158:K158"/>
    <mergeCell ref="D159:K159"/>
    <mergeCell ref="D160:K160"/>
    <mergeCell ref="D161:K161"/>
    <mergeCell ref="A485:F485"/>
    <mergeCell ref="A434:F434"/>
    <mergeCell ref="A444:F444"/>
    <mergeCell ref="A453:F453"/>
    <mergeCell ref="A462:F462"/>
    <mergeCell ref="A473:F473"/>
  </mergeCells>
  <conditionalFormatting sqref="C436:C442">
    <cfRule type="expression" dxfId="12" priority="3">
      <formula>C436="OK"</formula>
    </cfRule>
    <cfRule type="expression" dxfId="11" priority="4">
      <formula>LEFT(C436,9)="EXCEPTION"</formula>
    </cfRule>
  </conditionalFormatting>
  <conditionalFormatting sqref="C455:C460">
    <cfRule type="expression" dxfId="10" priority="5">
      <formula>C455="OK"</formula>
    </cfRule>
    <cfRule type="expression" dxfId="9" priority="6">
      <formula>LEFT(C455,9)="EXCEPTION"</formula>
    </cfRule>
  </conditionalFormatting>
  <conditionalFormatting sqref="C464:C471">
    <cfRule type="expression" dxfId="8" priority="7">
      <formula>C464="OK"</formula>
    </cfRule>
    <cfRule type="expression" dxfId="7" priority="8">
      <formula>LEFT(C464,9)="EXCEPTION"</formula>
    </cfRule>
  </conditionalFormatting>
  <conditionalFormatting sqref="C475:C483">
    <cfRule type="expression" dxfId="6" priority="9">
      <formula>C475="OK"</formula>
    </cfRule>
    <cfRule type="expression" dxfId="5" priority="10">
      <formula>OR(C475="EXCEPTION",LEFT(C475,9)="EXCEPTION",C475="REVIEW",C475="PENDING RECALC")</formula>
    </cfRule>
  </conditionalFormatting>
  <conditionalFormatting sqref="E367:E391">
    <cfRule type="expression" dxfId="4" priority="1">
      <formula>E367="UNCHANGED"</formula>
    </cfRule>
    <cfRule type="expression" dxfId="3" priority="2">
      <formula>E367="CHANGED"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D8F42"/>
  </sheetPr>
  <dimension ref="A1:M200"/>
  <sheetViews>
    <sheetView showGridLines="0" workbookViewId="0"/>
  </sheetViews>
  <sheetFormatPr defaultRowHeight="14.5" x14ac:dyDescent="0.35"/>
  <cols>
    <col min="1" max="1" width="34" customWidth="1"/>
    <col min="2" max="2" width="44" customWidth="1"/>
    <col min="3" max="6" width="17" customWidth="1"/>
    <col min="7" max="7" width="36" customWidth="1"/>
    <col min="8" max="8" width="28" customWidth="1"/>
    <col min="9" max="9" width="55" customWidth="1"/>
    <col min="10" max="10" width="16" customWidth="1"/>
    <col min="11" max="11" width="14" customWidth="1"/>
    <col min="12" max="13" width="10" customWidth="1"/>
  </cols>
  <sheetData>
    <row r="1" spans="1:13" x14ac:dyDescent="0.35">
      <c r="A1" s="585"/>
      <c r="B1" s="585"/>
      <c r="C1" s="585"/>
      <c r="D1" s="585"/>
      <c r="E1" s="585"/>
      <c r="F1" s="585"/>
      <c r="G1" s="585"/>
      <c r="H1" s="585"/>
      <c r="I1" s="585"/>
    </row>
    <row r="2" spans="1:13" ht="7.75" customHeight="1" x14ac:dyDescent="0.35">
      <c r="A2" s="1153" t="s">
        <v>3646</v>
      </c>
      <c r="B2" s="1153" t="s">
        <v>3646</v>
      </c>
      <c r="C2" s="1153" t="s">
        <v>3646</v>
      </c>
      <c r="D2" s="1153" t="s">
        <v>3646</v>
      </c>
      <c r="E2" s="1153" t="s">
        <v>3646</v>
      </c>
      <c r="F2" s="1153" t="s">
        <v>3646</v>
      </c>
      <c r="G2" s="1153" t="s">
        <v>3646</v>
      </c>
      <c r="H2" s="1153" t="s">
        <v>3646</v>
      </c>
      <c r="I2" s="1153" t="s">
        <v>3646</v>
      </c>
    </row>
    <row r="3" spans="1:13" x14ac:dyDescent="0.35">
      <c r="A3" s="585"/>
      <c r="B3" s="585"/>
      <c r="C3" s="585"/>
      <c r="D3" s="585"/>
      <c r="E3" s="585"/>
      <c r="F3" s="585"/>
      <c r="G3" s="585"/>
      <c r="H3" s="585"/>
      <c r="I3" s="585"/>
    </row>
    <row r="4" spans="1:13" ht="10.65" customHeight="1" x14ac:dyDescent="0.35">
      <c r="A4" s="1154" t="s">
        <v>3647</v>
      </c>
      <c r="B4" s="1154" t="s">
        <v>3648</v>
      </c>
      <c r="C4" s="1154" t="s">
        <v>3648</v>
      </c>
      <c r="D4" s="1154" t="s">
        <v>3648</v>
      </c>
      <c r="E4" s="1154" t="s">
        <v>3648</v>
      </c>
      <c r="F4" s="1154" t="s">
        <v>3648</v>
      </c>
      <c r="G4" s="1154" t="s">
        <v>3648</v>
      </c>
      <c r="H4" s="1154" t="s">
        <v>3648</v>
      </c>
      <c r="I4" s="1154" t="s">
        <v>3648</v>
      </c>
    </row>
    <row r="5" spans="1:13" x14ac:dyDescent="0.35">
      <c r="A5" s="585"/>
      <c r="B5" s="585"/>
      <c r="C5" s="585"/>
      <c r="D5" s="585"/>
      <c r="E5" s="585"/>
      <c r="F5" s="585"/>
      <c r="G5" s="585"/>
      <c r="H5" s="585"/>
      <c r="I5" s="585"/>
    </row>
    <row r="6" spans="1:13" x14ac:dyDescent="0.35">
      <c r="A6" s="1155" t="s">
        <v>3649</v>
      </c>
      <c r="B6" s="1155"/>
      <c r="C6" s="1155"/>
      <c r="D6" s="1155"/>
      <c r="E6" s="1155"/>
      <c r="F6" s="1155"/>
      <c r="G6" s="1155"/>
      <c r="H6" s="1155"/>
      <c r="I6" s="1155"/>
      <c r="J6" s="1152" t="s">
        <v>3650</v>
      </c>
      <c r="K6" s="1152"/>
      <c r="L6" s="1152"/>
      <c r="M6" s="1152"/>
    </row>
    <row r="7" spans="1:13" ht="26.5" x14ac:dyDescent="0.35">
      <c r="A7" s="586" t="s">
        <v>851</v>
      </c>
      <c r="B7" s="586" t="s">
        <v>3651</v>
      </c>
      <c r="C7" s="586" t="s">
        <v>3652</v>
      </c>
      <c r="D7" s="586" t="s">
        <v>3653</v>
      </c>
      <c r="E7" s="586" t="s">
        <v>3654</v>
      </c>
      <c r="F7" s="586" t="s">
        <v>1012</v>
      </c>
      <c r="G7" s="586" t="s">
        <v>3655</v>
      </c>
      <c r="H7" s="586" t="s">
        <v>622</v>
      </c>
      <c r="I7" s="586" t="s">
        <v>3368</v>
      </c>
      <c r="J7" s="771" t="s">
        <v>3656</v>
      </c>
      <c r="K7" s="771" t="s">
        <v>1017</v>
      </c>
      <c r="L7" s="771" t="s">
        <v>1020</v>
      </c>
      <c r="M7" s="771" t="s">
        <v>1018</v>
      </c>
    </row>
    <row r="8" spans="1:13" ht="26.5" x14ac:dyDescent="0.35">
      <c r="A8" s="587" t="s">
        <v>3657</v>
      </c>
      <c r="B8" s="587" t="s">
        <v>3658</v>
      </c>
      <c r="C8" s="847">
        <f t="shared" ref="C8:C15" si="0">D8</f>
        <v>15.000999999999999</v>
      </c>
      <c r="D8" s="588">
        <f>'URWLD COMPANY INPUTS'!$F$752</f>
        <v>15.000999999999999</v>
      </c>
      <c r="E8" s="847">
        <f t="shared" ref="E8:E15" si="1">MAX(C8-D8,0)</f>
        <v>0</v>
      </c>
      <c r="F8" s="848">
        <f t="shared" ref="F8:F15" si="2">IF($D$18=0,0,D8/$D$18)</f>
        <v>6.9557623613872396E-2</v>
      </c>
      <c r="G8" s="587" t="s">
        <v>3659</v>
      </c>
      <c r="H8" s="587" t="s">
        <v>2081</v>
      </c>
      <c r="I8" s="587"/>
      <c r="J8" s="850">
        <f>CHOOSE(MATCH('VALUATION &amp; RETURNS'!$CR$7,{"Downside","Base","Upside"},0),'VALUATION &amp; RETURNS'!$G$59,'VALUATION &amp; RETURNS'!$H$59,'VALUATION &amp; RETURNS'!$I$59)</f>
        <v>29.969001869009386</v>
      </c>
      <c r="K8" s="851">
        <f t="shared" ref="K8:K15" si="3">J8-D8</f>
        <v>14.968001869009386</v>
      </c>
      <c r="L8" s="852">
        <f t="shared" ref="L8:L15" si="4">IF(D8=0,"",J8/D8)</f>
        <v>1.9978002712492091</v>
      </c>
      <c r="M8" s="853">
        <f>CHOOSE(MATCH('VALUATION &amp; RETURNS'!$CR$7,{"Downside","Base","Upside"},0),'VALUATION &amp; RETURNS'!$L$59,'VALUATION &amp; RETURNS'!$M$59,'VALUATION &amp; RETURNS'!$N$59)</f>
        <v>0.14835851788520818</v>
      </c>
    </row>
    <row r="9" spans="1:13" x14ac:dyDescent="0.35">
      <c r="A9" s="587" t="s">
        <v>3660</v>
      </c>
      <c r="B9" s="587" t="s">
        <v>3661</v>
      </c>
      <c r="C9" s="847">
        <f t="shared" si="0"/>
        <v>10</v>
      </c>
      <c r="D9" s="588">
        <f>'URWLD COMPANY INPUTS'!$F$753</f>
        <v>10</v>
      </c>
      <c r="E9" s="847">
        <f t="shared" si="1"/>
        <v>0</v>
      </c>
      <c r="F9" s="848">
        <f t="shared" si="2"/>
        <v>4.6368657832059464E-2</v>
      </c>
      <c r="G9" s="587" t="s">
        <v>3662</v>
      </c>
      <c r="H9" s="587" t="s">
        <v>2081</v>
      </c>
      <c r="I9" s="587"/>
      <c r="J9" s="850">
        <f>CHOOSE(MATCH('VALUATION &amp; RETURNS'!$CR$7,{"Downside","Base","Upside"},0),'VALUATION &amp; RETURNS'!$G$58,'VALUATION &amp; RETURNS'!$H$58,'VALUATION &amp; RETURNS'!$I$58)</f>
        <v>19.978002712492092</v>
      </c>
      <c r="K9" s="851">
        <f t="shared" si="3"/>
        <v>9.978002712492092</v>
      </c>
      <c r="L9" s="852">
        <f t="shared" si="4"/>
        <v>1.9978002712492091</v>
      </c>
      <c r="M9" s="853">
        <f>CHOOSE(MATCH('VALUATION &amp; RETURNS'!$CR$7,{"Downside","Base","Upside"},0),'VALUATION &amp; RETURNS'!$L$58,'VALUATION &amp; RETURNS'!$M$58,'VALUATION &amp; RETURNS'!$N$58)</f>
        <v>0.14835851788520818</v>
      </c>
    </row>
    <row r="10" spans="1:13" x14ac:dyDescent="0.35">
      <c r="A10" s="587" t="s">
        <v>885</v>
      </c>
      <c r="B10" s="587" t="s">
        <v>3663</v>
      </c>
      <c r="C10" s="847">
        <f t="shared" si="0"/>
        <v>5</v>
      </c>
      <c r="D10" s="588">
        <f>'URWLD COMPANY INPUTS'!$F$754</f>
        <v>5</v>
      </c>
      <c r="E10" s="847">
        <f t="shared" si="1"/>
        <v>0</v>
      </c>
      <c r="F10" s="848">
        <f t="shared" si="2"/>
        <v>2.3184328916029732E-2</v>
      </c>
      <c r="G10" s="587" t="s">
        <v>3664</v>
      </c>
      <c r="H10" s="587" t="s">
        <v>2081</v>
      </c>
      <c r="I10" s="587"/>
      <c r="J10" s="850">
        <f>CHOOSE(MATCH('VALUATION &amp; RETURNS'!$CR$7,{"Downside","Base","Upside"},0),'VALUATION &amp; RETURNS'!$G$60,'VALUATION &amp; RETURNS'!$H$60,'VALUATION &amp; RETURNS'!$I$60)</f>
        <v>9.989001356246046</v>
      </c>
      <c r="K10" s="851">
        <f t="shared" si="3"/>
        <v>4.989001356246046</v>
      </c>
      <c r="L10" s="852">
        <f t="shared" si="4"/>
        <v>1.9978002712492091</v>
      </c>
      <c r="M10" s="853">
        <f>CHOOSE(MATCH('VALUATION &amp; RETURNS'!$CR$7,{"Downside","Base","Upside"},0),'VALUATION &amp; RETURNS'!$L$60,'VALUATION &amp; RETURNS'!$M$60,'VALUATION &amp; RETURNS'!$N$60)</f>
        <v>0.14835851788520818</v>
      </c>
    </row>
    <row r="11" spans="1:13" x14ac:dyDescent="0.35">
      <c r="A11" s="587" t="s">
        <v>3665</v>
      </c>
      <c r="B11" s="587" t="s">
        <v>3666</v>
      </c>
      <c r="C11" s="847">
        <f t="shared" si="0"/>
        <v>2</v>
      </c>
      <c r="D11" s="588">
        <f>'URWLD COMPANY INPUTS'!$F$755</f>
        <v>2</v>
      </c>
      <c r="E11" s="847">
        <f t="shared" si="1"/>
        <v>0</v>
      </c>
      <c r="F11" s="848">
        <f t="shared" si="2"/>
        <v>9.2737315664118934E-3</v>
      </c>
      <c r="G11" s="587" t="s">
        <v>3667</v>
      </c>
      <c r="H11" s="587" t="s">
        <v>2081</v>
      </c>
      <c r="I11" s="587"/>
      <c r="J11" s="850">
        <f>CHOOSE(MATCH('VALUATION &amp; RETURNS'!$CR$7,{"Downside","Base","Upside"},0),'VALUATION &amp; RETURNS'!$G$61,'VALUATION &amp; RETURNS'!$H$61,'VALUATION &amp; RETURNS'!$I$61)</f>
        <v>3.9956005424984187</v>
      </c>
      <c r="K11" s="851">
        <f t="shared" si="3"/>
        <v>1.9956005424984187</v>
      </c>
      <c r="L11" s="852">
        <f t="shared" si="4"/>
        <v>1.9978002712492093</v>
      </c>
      <c r="M11" s="853">
        <f>CHOOSE(MATCH('VALUATION &amp; RETURNS'!$CR$7,{"Downside","Base","Upside"},0),'VALUATION &amp; RETURNS'!$L$61,'VALUATION &amp; RETURNS'!$M$61,'VALUATION &amp; RETURNS'!$N$61)</f>
        <v>0.14835851788520818</v>
      </c>
    </row>
    <row r="12" spans="1:13" x14ac:dyDescent="0.35">
      <c r="A12" s="587" t="s">
        <v>3668</v>
      </c>
      <c r="B12" s="587" t="s">
        <v>3669</v>
      </c>
      <c r="C12" s="847">
        <f t="shared" si="0"/>
        <v>1</v>
      </c>
      <c r="D12" s="588">
        <f>'URWLD COMPANY INPUTS'!$F$756</f>
        <v>1</v>
      </c>
      <c r="E12" s="847">
        <f t="shared" si="1"/>
        <v>0</v>
      </c>
      <c r="F12" s="848">
        <f t="shared" si="2"/>
        <v>4.6368657832059467E-3</v>
      </c>
      <c r="G12" s="587" t="s">
        <v>3670</v>
      </c>
      <c r="H12" s="587" t="s">
        <v>2081</v>
      </c>
      <c r="I12" s="587"/>
      <c r="J12" s="850">
        <f>CHOOSE(MATCH('VALUATION &amp; RETURNS'!$CR$7,{"Downside","Base","Upside"},0),'VALUATION &amp; RETURNS'!$G$62,'VALUATION &amp; RETURNS'!$H$62,'VALUATION &amp; RETURNS'!$I$62)</f>
        <v>1.9978002712492093</v>
      </c>
      <c r="K12" s="851">
        <f t="shared" si="3"/>
        <v>0.99780027124920934</v>
      </c>
      <c r="L12" s="852">
        <f t="shared" si="4"/>
        <v>1.9978002712492093</v>
      </c>
      <c r="M12" s="853">
        <f>CHOOSE(MATCH('VALUATION &amp; RETURNS'!$CR$7,{"Downside","Base","Upside"},0),'VALUATION &amp; RETURNS'!$L$62,'VALUATION &amp; RETURNS'!$M$62,'VALUATION &amp; RETURNS'!$N$62)</f>
        <v>0.14835851788520818</v>
      </c>
    </row>
    <row r="13" spans="1:13" x14ac:dyDescent="0.35">
      <c r="A13" s="587" t="s">
        <v>3671</v>
      </c>
      <c r="B13" s="587" t="s">
        <v>3672</v>
      </c>
      <c r="C13" s="847">
        <f t="shared" si="0"/>
        <v>0.83</v>
      </c>
      <c r="D13" s="588">
        <f>'URWLD COMPANY INPUTS'!$F$757</f>
        <v>0.83</v>
      </c>
      <c r="E13" s="847">
        <f t="shared" si="1"/>
        <v>0</v>
      </c>
      <c r="F13" s="848">
        <f t="shared" si="2"/>
        <v>3.8485986000609354E-3</v>
      </c>
      <c r="G13" s="587" t="s">
        <v>3673</v>
      </c>
      <c r="H13" s="587" t="s">
        <v>2081</v>
      </c>
      <c r="I13" s="587"/>
      <c r="J13" s="850">
        <f>CHOOSE(MATCH('VALUATION &amp; RETURNS'!$CR$7,{"Downside","Base","Upside"},0),'VALUATION &amp; RETURNS'!$G$63,'VALUATION &amp; RETURNS'!$H$63,'VALUATION &amp; RETURNS'!$I$63)</f>
        <v>1.6581742251368436</v>
      </c>
      <c r="K13" s="851">
        <f t="shared" si="3"/>
        <v>0.82817422513684369</v>
      </c>
      <c r="L13" s="852">
        <f t="shared" si="4"/>
        <v>1.9978002712492093</v>
      </c>
      <c r="M13" s="853">
        <f>CHOOSE(MATCH('VALUATION &amp; RETURNS'!$CR$7,{"Downside","Base","Upside"},0),'VALUATION &amp; RETURNS'!$L$63,'VALUATION &amp; RETURNS'!$M$63,'VALUATION &amp; RETURNS'!$N$63)</f>
        <v>0.14835851788520818</v>
      </c>
    </row>
    <row r="14" spans="1:13" x14ac:dyDescent="0.35">
      <c r="A14" s="587" t="s">
        <v>3674</v>
      </c>
      <c r="B14" s="587" t="s">
        <v>3675</v>
      </c>
      <c r="C14" s="847">
        <f t="shared" si="0"/>
        <v>50</v>
      </c>
      <c r="D14" s="588">
        <f>'URWLD COMPANY INPUTS'!$F$758</f>
        <v>50</v>
      </c>
      <c r="E14" s="847">
        <f t="shared" si="1"/>
        <v>0</v>
      </c>
      <c r="F14" s="848">
        <f t="shared" si="2"/>
        <v>0.23184328916029734</v>
      </c>
      <c r="G14" s="587" t="s">
        <v>3676</v>
      </c>
      <c r="H14" s="587" t="s">
        <v>2081</v>
      </c>
      <c r="I14" s="587"/>
      <c r="J14" s="850">
        <f>CHOOSE(MATCH('VALUATION &amp; RETURNS'!$CR$7,{"Downside","Base","Upside"},0),'VALUATION &amp; RETURNS'!$G$64,'VALUATION &amp; RETURNS'!$H$64,'VALUATION &amp; RETURNS'!$I$64)</f>
        <v>99.890013562460467</v>
      </c>
      <c r="K14" s="851">
        <f t="shared" si="3"/>
        <v>49.890013562460467</v>
      </c>
      <c r="L14" s="852">
        <f t="shared" si="4"/>
        <v>1.9978002712492093</v>
      </c>
      <c r="M14" s="853">
        <f>CHOOSE(MATCH('VALUATION &amp; RETURNS'!$CR$7,{"Downside","Base","Upside"},0),'VALUATION &amp; RETURNS'!$L$64,'VALUATION &amp; RETURNS'!$M$64,'VALUATION &amp; RETURNS'!$N$64)</f>
        <v>0.14835851788520818</v>
      </c>
    </row>
    <row r="15" spans="1:13" ht="26.5" x14ac:dyDescent="0.35">
      <c r="A15" s="587" t="s">
        <v>3677</v>
      </c>
      <c r="B15" s="587" t="s">
        <v>3678</v>
      </c>
      <c r="C15" s="847">
        <f t="shared" si="0"/>
        <v>131.83191688274752</v>
      </c>
      <c r="D15" s="847">
        <f>MAX(0,$D$20-SUM($D$8:$D$14))</f>
        <v>131.83191688274752</v>
      </c>
      <c r="E15" s="847">
        <f t="shared" si="1"/>
        <v>0</v>
      </c>
      <c r="F15" s="848">
        <f t="shared" si="2"/>
        <v>0.61128690452806234</v>
      </c>
      <c r="G15" s="587" t="s">
        <v>3679</v>
      </c>
      <c r="H15" s="587" t="s">
        <v>3680</v>
      </c>
      <c r="I15" s="587" t="s">
        <v>3681</v>
      </c>
      <c r="J15" s="850">
        <f>CHOOSE(MATCH('VALUATION &amp; RETURNS'!$CR$7,{"Downside","Base","Upside"},0),'VALUATION &amp; RETURNS'!$G$65,'VALUATION &amp; RETURNS'!$H$65,'VALUATION &amp; RETURNS'!$I$65)</f>
        <v>263.37383930765623</v>
      </c>
      <c r="K15" s="851">
        <f t="shared" si="3"/>
        <v>131.54192242490871</v>
      </c>
      <c r="L15" s="852">
        <f t="shared" si="4"/>
        <v>1.9978002712492093</v>
      </c>
      <c r="M15" s="853">
        <f>CHOOSE(MATCH('VALUATION &amp; RETURNS'!$CR$7,{"Downside","Base","Upside"},0),'VALUATION &amp; RETURNS'!$L$65,'VALUATION &amp; RETURNS'!$M$65,'VALUATION &amp; RETURNS'!$N$65)</f>
        <v>0.14835851788520818</v>
      </c>
    </row>
    <row r="16" spans="1:13" x14ac:dyDescent="0.35">
      <c r="A16" s="587"/>
      <c r="B16" s="587"/>
      <c r="C16" s="588"/>
      <c r="D16" s="588"/>
      <c r="E16" s="588"/>
      <c r="F16" s="620"/>
      <c r="G16" s="587"/>
      <c r="H16" s="587"/>
      <c r="I16" s="587"/>
      <c r="J16" s="772"/>
      <c r="K16" s="772"/>
    </row>
    <row r="17" spans="1:11" x14ac:dyDescent="0.35">
      <c r="A17" s="587"/>
      <c r="B17" s="587"/>
      <c r="C17" s="588"/>
      <c r="D17" s="588"/>
      <c r="E17" s="588"/>
      <c r="F17" s="620"/>
      <c r="G17" s="587"/>
      <c r="H17" s="587"/>
      <c r="I17" s="587"/>
      <c r="J17" s="772"/>
      <c r="K17" s="772"/>
    </row>
    <row r="18" spans="1:11" x14ac:dyDescent="0.35">
      <c r="A18" s="589" t="s">
        <v>3298</v>
      </c>
      <c r="B18" s="589"/>
      <c r="C18" s="590">
        <f>SUM(C8:C15)</f>
        <v>215.66291688274751</v>
      </c>
      <c r="D18" s="590">
        <f>SUM(D8:D15)</f>
        <v>215.66291688274751</v>
      </c>
      <c r="E18" s="590">
        <f>SUM(E8:E15)</f>
        <v>0</v>
      </c>
      <c r="F18" s="621">
        <f>SUM(F8:F15)</f>
        <v>1</v>
      </c>
      <c r="G18" s="589"/>
      <c r="H18" s="589"/>
      <c r="I18" s="589"/>
      <c r="J18" s="772">
        <f>SUM(J8:J15)</f>
        <v>430.85143384674871</v>
      </c>
      <c r="K18" s="772">
        <f>SUM(K8:K15)</f>
        <v>215.18851696400117</v>
      </c>
    </row>
    <row r="19" spans="1:11" x14ac:dyDescent="0.35">
      <c r="A19" s="587"/>
      <c r="B19" s="587"/>
      <c r="C19" s="588"/>
      <c r="D19" s="588"/>
      <c r="E19" s="588"/>
      <c r="F19" s="594"/>
      <c r="G19" s="587"/>
      <c r="H19" s="587"/>
      <c r="I19" s="587"/>
    </row>
    <row r="20" spans="1:11" x14ac:dyDescent="0.35">
      <c r="A20" s="587" t="s">
        <v>3682</v>
      </c>
      <c r="B20" s="587" t="s">
        <v>530</v>
      </c>
      <c r="C20" s="588"/>
      <c r="D20" s="588">
        <f>Underwriting!$I$69/1000000</f>
        <v>215.66291688274751</v>
      </c>
      <c r="E20" s="588"/>
      <c r="F20" s="594"/>
      <c r="G20" s="587" t="s">
        <v>3683</v>
      </c>
      <c r="H20" s="587" t="s">
        <v>3684</v>
      </c>
      <c r="I20" s="592">
        <v>0.5</v>
      </c>
    </row>
    <row r="21" spans="1:11" x14ac:dyDescent="0.35">
      <c r="A21" s="587" t="s">
        <v>3685</v>
      </c>
      <c r="B21" s="587" t="s">
        <v>530</v>
      </c>
      <c r="C21" s="588"/>
      <c r="D21" s="847">
        <f>$D$20</f>
        <v>215.66291688274751</v>
      </c>
      <c r="E21" s="588"/>
      <c r="F21" s="594"/>
      <c r="G21" s="587" t="s">
        <v>3686</v>
      </c>
      <c r="H21" s="587" t="s">
        <v>3687</v>
      </c>
      <c r="I21" s="849">
        <f>IFERROR($D$34/SUM($D$34:$D$35),0)</f>
        <v>0.52166913810647131</v>
      </c>
    </row>
    <row r="22" spans="1:11" x14ac:dyDescent="0.35">
      <c r="A22" s="587" t="s">
        <v>3688</v>
      </c>
      <c r="B22" s="587" t="s">
        <v>3689</v>
      </c>
      <c r="C22" s="594"/>
      <c r="D22" s="593">
        <f>IF(SUM($D$20:$D$21)=0,0,$D$21/SUM($D$20:$D$21))</f>
        <v>0.5</v>
      </c>
      <c r="E22" s="593">
        <f>1-$D$22</f>
        <v>0.5</v>
      </c>
      <c r="F22" s="594"/>
      <c r="G22" s="587" t="s">
        <v>3690</v>
      </c>
      <c r="H22" s="587" t="s">
        <v>3691</v>
      </c>
      <c r="I22" s="587" t="str">
        <f>IF($I$21&lt;=$I$20+5%,"OK","OVER TARGET")</f>
        <v>OK</v>
      </c>
    </row>
    <row r="23" spans="1:11" x14ac:dyDescent="0.35">
      <c r="A23" s="587"/>
      <c r="B23" s="587"/>
      <c r="C23" s="587"/>
      <c r="D23" s="587"/>
      <c r="E23" s="587"/>
      <c r="F23" s="587"/>
      <c r="G23" s="587"/>
      <c r="H23" s="587"/>
      <c r="I23" s="587"/>
    </row>
    <row r="24" spans="1:11" x14ac:dyDescent="0.35">
      <c r="A24" s="587"/>
      <c r="B24" s="587"/>
      <c r="C24" s="587"/>
      <c r="D24" s="587"/>
      <c r="E24" s="587"/>
      <c r="F24" s="587"/>
      <c r="G24" s="587"/>
      <c r="H24" s="587"/>
      <c r="I24" s="587"/>
    </row>
    <row r="25" spans="1:11" x14ac:dyDescent="0.35">
      <c r="A25" s="1151" t="s">
        <v>3692</v>
      </c>
      <c r="B25" s="1151"/>
      <c r="C25" s="1151"/>
      <c r="D25" s="1151"/>
      <c r="E25" s="1151"/>
      <c r="F25" s="1151"/>
      <c r="G25" s="1151"/>
      <c r="H25" s="1151"/>
      <c r="I25" s="1151"/>
    </row>
    <row r="26" spans="1:11" x14ac:dyDescent="0.35">
      <c r="A26" s="586" t="s">
        <v>1100</v>
      </c>
      <c r="B26" s="586" t="s">
        <v>1101</v>
      </c>
      <c r="C26" s="586" t="s">
        <v>1039</v>
      </c>
      <c r="D26" s="587"/>
      <c r="E26" s="587"/>
      <c r="F26" s="587"/>
      <c r="G26" s="587"/>
      <c r="H26" s="587"/>
      <c r="I26" s="587"/>
    </row>
    <row r="27" spans="1:11" ht="39.5" x14ac:dyDescent="0.35">
      <c r="A27" s="587" t="s">
        <v>3693</v>
      </c>
      <c r="B27" s="591" t="str">
        <f>IF(ABS($D$18-$D$20)&lt;0.0001,"OK","EXCEPTION: funded equity")</f>
        <v>OK</v>
      </c>
      <c r="C27" s="587" t="s">
        <v>3694</v>
      </c>
      <c r="D27" s="587"/>
      <c r="E27" s="587"/>
      <c r="F27" s="587"/>
      <c r="G27" s="587"/>
      <c r="H27" s="587"/>
      <c r="I27" s="587"/>
    </row>
    <row r="28" spans="1:11" ht="26.5" x14ac:dyDescent="0.35">
      <c r="A28" s="587" t="s">
        <v>3695</v>
      </c>
      <c r="B28" s="591" t="str">
        <f>IF(ABS($F$18-1)&lt;0.000001,"OK","EXCEPTION: ownership")</f>
        <v>OK</v>
      </c>
      <c r="C28" s="587" t="s">
        <v>3696</v>
      </c>
      <c r="D28" s="587"/>
      <c r="E28" s="587"/>
      <c r="F28" s="587"/>
      <c r="G28" s="587"/>
      <c r="H28" s="587"/>
      <c r="I28" s="587"/>
    </row>
    <row r="29" spans="1:11" ht="26.5" x14ac:dyDescent="0.35">
      <c r="A29" s="587" t="s">
        <v>3697</v>
      </c>
      <c r="B29" s="591" t="str">
        <f t="array" ref="B29">IF(SUMPRODUCT(--($D$8:$D$15&gt;$C$8:$C$15))=0,"OK","EXCEPTION: commitment")</f>
        <v>OK</v>
      </c>
      <c r="C29" s="587" t="s">
        <v>3698</v>
      </c>
      <c r="D29" s="587"/>
      <c r="E29" s="587"/>
      <c r="F29" s="587"/>
      <c r="G29" s="587"/>
      <c r="H29" s="587"/>
      <c r="I29" s="587"/>
    </row>
    <row r="30" spans="1:11" ht="26.5" x14ac:dyDescent="0.35">
      <c r="A30" s="587" t="s">
        <v>3699</v>
      </c>
      <c r="B30" s="591" t="str">
        <f>IF($D$15&lt;=$C$15,"OK","EXCEPTION: Master Developer commitment")</f>
        <v>OK</v>
      </c>
      <c r="C30" s="587" t="s">
        <v>3700</v>
      </c>
      <c r="D30" s="587"/>
      <c r="E30" s="587"/>
      <c r="F30" s="587"/>
      <c r="G30" s="587"/>
      <c r="H30" s="587"/>
      <c r="I30" s="587"/>
    </row>
    <row r="31" spans="1:11" x14ac:dyDescent="0.35">
      <c r="A31" s="587" t="s">
        <v>3701</v>
      </c>
      <c r="B31" s="591" t="str">
        <f>IF(ABS($D$22-50%)&lt;=5%,"OK","EXCEPTION: debt / equity split")</f>
        <v>OK</v>
      </c>
      <c r="C31" s="587" t="s">
        <v>3702</v>
      </c>
      <c r="D31" s="587"/>
      <c r="E31" s="587"/>
      <c r="F31" s="587"/>
      <c r="G31" s="587"/>
      <c r="H31" s="587"/>
      <c r="I31" s="587"/>
    </row>
    <row r="32" spans="1:11" x14ac:dyDescent="0.35">
      <c r="A32" s="585"/>
      <c r="B32" s="585"/>
      <c r="C32" s="585"/>
      <c r="D32" s="585"/>
      <c r="E32" s="585"/>
      <c r="F32" s="585"/>
      <c r="G32" s="585"/>
      <c r="H32" s="585"/>
      <c r="I32" s="585"/>
    </row>
    <row r="33" spans="1:9" x14ac:dyDescent="0.35">
      <c r="A33" s="1151"/>
      <c r="B33" s="1151"/>
      <c r="C33" s="1151"/>
      <c r="D33" s="1151"/>
      <c r="E33" s="1151"/>
      <c r="F33" s="1151"/>
      <c r="G33" s="1151"/>
      <c r="H33" s="1151"/>
      <c r="I33" s="1151"/>
    </row>
    <row r="34" spans="1:9" x14ac:dyDescent="0.35">
      <c r="A34" s="587" t="s">
        <v>3703</v>
      </c>
      <c r="B34" s="587" t="s">
        <v>530</v>
      </c>
      <c r="C34" s="588"/>
      <c r="D34" s="588">
        <f>Underwriting!$I$75/1000000</f>
        <v>235.2026535072136</v>
      </c>
      <c r="E34" s="593"/>
      <c r="F34" s="585"/>
      <c r="G34" s="585"/>
      <c r="H34" s="585"/>
      <c r="I34" s="585"/>
    </row>
    <row r="35" spans="1:9" x14ac:dyDescent="0.35">
      <c r="A35" s="587" t="s">
        <v>3704</v>
      </c>
      <c r="B35" s="587" t="s">
        <v>530</v>
      </c>
      <c r="C35" s="588"/>
      <c r="D35" s="588">
        <f>Underwriting!$I$69/1000000</f>
        <v>215.66291688274751</v>
      </c>
      <c r="E35" s="593"/>
      <c r="F35" s="585"/>
      <c r="G35" s="585"/>
      <c r="H35" s="585"/>
      <c r="I35" s="585"/>
    </row>
    <row r="36" spans="1:9" x14ac:dyDescent="0.35">
      <c r="A36" s="587" t="s">
        <v>3705</v>
      </c>
      <c r="B36" s="587" t="s">
        <v>3689</v>
      </c>
      <c r="C36" s="594"/>
      <c r="D36" s="593">
        <f>IF(SUM($D$34:$D$35)=0,0,$D$34/SUM($D$34:$D$35))</f>
        <v>0.52166913810647131</v>
      </c>
      <c r="E36" s="593">
        <f>1-$D$36</f>
        <v>0.47833086189352869</v>
      </c>
      <c r="F36" s="585"/>
      <c r="G36" s="585"/>
      <c r="H36" s="585"/>
      <c r="I36" s="585"/>
    </row>
    <row r="37" spans="1:9" x14ac:dyDescent="0.35">
      <c r="A37" s="585"/>
      <c r="B37" s="585"/>
      <c r="C37" s="585"/>
      <c r="D37" s="585"/>
      <c r="E37" s="585"/>
      <c r="F37" s="585"/>
      <c r="G37" s="585"/>
      <c r="H37" s="585"/>
      <c r="I37" s="585"/>
    </row>
    <row r="38" spans="1:9" ht="91.5" x14ac:dyDescent="0.35">
      <c r="A38" s="587" t="s">
        <v>3706</v>
      </c>
      <c r="B38" s="591" t="str">
        <f>IF(ABS($D$36-50%)&lt;=5%,"OK","REVIEW REQUIRED: actual funding mix outside policy tolerance")</f>
        <v>OK</v>
      </c>
      <c r="C38" s="587" t="s">
        <v>3707</v>
      </c>
      <c r="D38" s="585"/>
      <c r="E38" s="585"/>
      <c r="F38" s="585"/>
      <c r="G38" s="585"/>
      <c r="H38" s="585"/>
      <c r="I38" s="585"/>
    </row>
    <row r="39" spans="1:9" x14ac:dyDescent="0.35">
      <c r="A39" s="585"/>
      <c r="B39" s="585"/>
      <c r="C39" s="585"/>
      <c r="D39" s="585"/>
      <c r="E39" s="585"/>
      <c r="F39" s="585"/>
      <c r="G39" s="585"/>
      <c r="H39" s="585"/>
      <c r="I39" s="585"/>
    </row>
    <row r="40" spans="1:9" x14ac:dyDescent="0.35">
      <c r="A40" s="585"/>
      <c r="B40" s="585"/>
      <c r="C40" s="585"/>
      <c r="D40" s="585"/>
      <c r="E40" s="585"/>
      <c r="F40" s="585"/>
      <c r="G40" s="585"/>
      <c r="H40" s="585"/>
      <c r="I40" s="585"/>
    </row>
    <row r="41" spans="1:9" x14ac:dyDescent="0.35">
      <c r="A41" s="585"/>
      <c r="B41" s="585"/>
      <c r="C41" s="585"/>
      <c r="D41" s="585"/>
      <c r="E41" s="585"/>
      <c r="F41" s="585"/>
      <c r="G41" s="585"/>
      <c r="H41" s="585"/>
      <c r="I41" s="585"/>
    </row>
    <row r="42" spans="1:9" x14ac:dyDescent="0.35">
      <c r="A42" s="585"/>
      <c r="B42" s="585"/>
      <c r="C42" s="585"/>
      <c r="D42" s="585"/>
      <c r="E42" s="585"/>
      <c r="F42" s="585"/>
      <c r="G42" s="585"/>
      <c r="H42" s="585"/>
      <c r="I42" s="585"/>
    </row>
    <row r="43" spans="1:9" x14ac:dyDescent="0.35">
      <c r="A43" s="585"/>
      <c r="B43" s="585"/>
      <c r="C43" s="585"/>
      <c r="D43" s="585"/>
      <c r="E43" s="585"/>
      <c r="F43" s="585"/>
      <c r="G43" s="585"/>
      <c r="H43" s="585"/>
      <c r="I43" s="585"/>
    </row>
    <row r="44" spans="1:9" x14ac:dyDescent="0.35">
      <c r="A44" s="585"/>
      <c r="B44" s="585"/>
      <c r="C44" s="585"/>
      <c r="D44" s="585"/>
      <c r="E44" s="585"/>
      <c r="F44" s="585"/>
      <c r="G44" s="585"/>
      <c r="H44" s="585"/>
      <c r="I44" s="585"/>
    </row>
    <row r="45" spans="1:9" x14ac:dyDescent="0.35">
      <c r="A45" s="585"/>
      <c r="B45" s="585"/>
      <c r="C45" s="585"/>
      <c r="D45" s="585"/>
      <c r="E45" s="585"/>
      <c r="F45" s="585"/>
      <c r="G45" s="585"/>
      <c r="H45" s="585"/>
      <c r="I45" s="585"/>
    </row>
    <row r="46" spans="1:9" x14ac:dyDescent="0.35">
      <c r="A46" s="585"/>
      <c r="B46" s="585"/>
      <c r="C46" s="585"/>
      <c r="D46" s="585"/>
      <c r="E46" s="585"/>
      <c r="F46" s="585"/>
      <c r="G46" s="585"/>
      <c r="H46" s="585"/>
      <c r="I46" s="585"/>
    </row>
    <row r="47" spans="1:9" x14ac:dyDescent="0.35">
      <c r="A47" s="585"/>
      <c r="B47" s="585"/>
      <c r="C47" s="585"/>
      <c r="D47" s="585"/>
      <c r="E47" s="585"/>
      <c r="F47" s="585"/>
      <c r="G47" s="585"/>
      <c r="H47" s="585"/>
      <c r="I47" s="585"/>
    </row>
    <row r="48" spans="1:9" x14ac:dyDescent="0.35">
      <c r="A48" s="585"/>
      <c r="B48" s="585"/>
      <c r="C48" s="585"/>
      <c r="D48" s="585"/>
      <c r="E48" s="585"/>
      <c r="F48" s="585"/>
      <c r="G48" s="585"/>
      <c r="H48" s="585"/>
      <c r="I48" s="585"/>
    </row>
    <row r="49" spans="1:9" x14ac:dyDescent="0.35">
      <c r="A49" s="585"/>
      <c r="B49" s="585"/>
      <c r="C49" s="585"/>
      <c r="D49" s="585"/>
      <c r="E49" s="585"/>
      <c r="F49" s="585"/>
      <c r="G49" s="585"/>
      <c r="H49" s="585"/>
      <c r="I49" s="585"/>
    </row>
    <row r="50" spans="1:9" x14ac:dyDescent="0.35">
      <c r="A50" s="585"/>
      <c r="B50" s="585"/>
      <c r="C50" s="585"/>
      <c r="D50" s="585"/>
      <c r="E50" s="585"/>
      <c r="F50" s="585"/>
      <c r="G50" s="585"/>
      <c r="H50" s="585"/>
      <c r="I50" s="585"/>
    </row>
    <row r="51" spans="1:9" x14ac:dyDescent="0.35">
      <c r="A51" s="585"/>
      <c r="B51" s="585"/>
      <c r="C51" s="585"/>
      <c r="D51" s="585"/>
      <c r="E51" s="585"/>
      <c r="F51" s="585"/>
      <c r="G51" s="585"/>
      <c r="H51" s="585"/>
      <c r="I51" s="585"/>
    </row>
    <row r="52" spans="1:9" x14ac:dyDescent="0.35">
      <c r="A52" s="585"/>
      <c r="B52" s="585"/>
      <c r="C52" s="585"/>
      <c r="D52" s="585"/>
      <c r="E52" s="585"/>
      <c r="F52" s="585"/>
      <c r="G52" s="585"/>
      <c r="H52" s="585"/>
      <c r="I52" s="585"/>
    </row>
    <row r="53" spans="1:9" x14ac:dyDescent="0.35">
      <c r="A53" s="585"/>
      <c r="B53" s="585"/>
      <c r="C53" s="585"/>
      <c r="D53" s="585"/>
      <c r="E53" s="585"/>
      <c r="F53" s="585"/>
      <c r="G53" s="585"/>
      <c r="H53" s="585"/>
      <c r="I53" s="585"/>
    </row>
    <row r="54" spans="1:9" x14ac:dyDescent="0.35">
      <c r="A54" s="585"/>
      <c r="B54" s="585"/>
      <c r="C54" s="585"/>
      <c r="D54" s="585"/>
      <c r="E54" s="585"/>
      <c r="F54" s="585"/>
      <c r="G54" s="585"/>
      <c r="H54" s="585"/>
      <c r="I54" s="585"/>
    </row>
    <row r="55" spans="1:9" x14ac:dyDescent="0.35">
      <c r="A55" s="585"/>
      <c r="B55" s="585"/>
      <c r="C55" s="585"/>
      <c r="D55" s="585"/>
      <c r="E55" s="585"/>
      <c r="F55" s="585"/>
      <c r="G55" s="585"/>
      <c r="H55" s="585"/>
      <c r="I55" s="585"/>
    </row>
    <row r="56" spans="1:9" x14ac:dyDescent="0.35">
      <c r="A56" s="585"/>
      <c r="B56" s="585"/>
      <c r="C56" s="585"/>
      <c r="D56" s="585"/>
      <c r="E56" s="585"/>
      <c r="F56" s="585"/>
      <c r="G56" s="585"/>
      <c r="H56" s="585"/>
      <c r="I56" s="585"/>
    </row>
    <row r="57" spans="1:9" x14ac:dyDescent="0.35">
      <c r="A57" s="585"/>
      <c r="B57" s="585"/>
      <c r="C57" s="585"/>
      <c r="D57" s="585"/>
      <c r="E57" s="585"/>
      <c r="F57" s="585"/>
      <c r="G57" s="585"/>
      <c r="H57" s="585"/>
      <c r="I57" s="585"/>
    </row>
    <row r="58" spans="1:9" x14ac:dyDescent="0.35">
      <c r="A58" s="585"/>
      <c r="B58" s="585"/>
      <c r="C58" s="585"/>
      <c r="D58" s="585"/>
      <c r="E58" s="585"/>
      <c r="F58" s="585"/>
      <c r="G58" s="585"/>
      <c r="H58" s="585"/>
      <c r="I58" s="585"/>
    </row>
    <row r="59" spans="1:9" x14ac:dyDescent="0.35">
      <c r="A59" s="585"/>
      <c r="B59" s="585"/>
      <c r="C59" s="585"/>
      <c r="D59" s="585"/>
      <c r="E59" s="585"/>
      <c r="F59" s="585"/>
      <c r="G59" s="585"/>
      <c r="H59" s="585"/>
      <c r="I59" s="585"/>
    </row>
    <row r="60" spans="1:9" x14ac:dyDescent="0.35">
      <c r="A60" s="585"/>
      <c r="B60" s="585"/>
      <c r="C60" s="585"/>
      <c r="D60" s="585"/>
      <c r="E60" s="585"/>
      <c r="F60" s="585"/>
      <c r="G60" s="585"/>
      <c r="H60" s="585"/>
      <c r="I60" s="585"/>
    </row>
    <row r="61" spans="1:9" x14ac:dyDescent="0.35">
      <c r="A61" s="585"/>
      <c r="B61" s="585"/>
      <c r="C61" s="585"/>
      <c r="D61" s="585"/>
      <c r="E61" s="585"/>
      <c r="F61" s="585"/>
      <c r="G61" s="585"/>
      <c r="H61" s="585"/>
      <c r="I61" s="585"/>
    </row>
    <row r="62" spans="1:9" x14ac:dyDescent="0.35">
      <c r="A62" s="585"/>
      <c r="B62" s="585"/>
      <c r="C62" s="585"/>
      <c r="D62" s="585"/>
      <c r="E62" s="585"/>
      <c r="F62" s="585"/>
      <c r="G62" s="585"/>
      <c r="H62" s="585"/>
      <c r="I62" s="585"/>
    </row>
    <row r="63" spans="1:9" x14ac:dyDescent="0.35">
      <c r="A63" s="585"/>
      <c r="B63" s="585"/>
      <c r="C63" s="585"/>
      <c r="D63" s="585"/>
      <c r="E63" s="585"/>
      <c r="F63" s="585"/>
      <c r="G63" s="585"/>
      <c r="H63" s="585"/>
      <c r="I63" s="585"/>
    </row>
    <row r="64" spans="1:9" x14ac:dyDescent="0.35">
      <c r="A64" s="585"/>
      <c r="B64" s="585"/>
      <c r="C64" s="585"/>
      <c r="D64" s="585"/>
      <c r="E64" s="585"/>
      <c r="F64" s="585"/>
      <c r="G64" s="585"/>
      <c r="H64" s="585"/>
      <c r="I64" s="585"/>
    </row>
    <row r="65" spans="1:9" x14ac:dyDescent="0.35">
      <c r="A65" s="585"/>
      <c r="B65" s="585"/>
      <c r="C65" s="585"/>
      <c r="D65" s="585"/>
      <c r="E65" s="585"/>
      <c r="F65" s="585"/>
      <c r="G65" s="585"/>
      <c r="H65" s="585"/>
      <c r="I65" s="585"/>
    </row>
    <row r="66" spans="1:9" x14ac:dyDescent="0.35">
      <c r="A66" s="585"/>
      <c r="B66" s="585"/>
      <c r="C66" s="585"/>
      <c r="D66" s="585"/>
      <c r="E66" s="585"/>
      <c r="F66" s="585"/>
      <c r="G66" s="585"/>
      <c r="H66" s="585"/>
      <c r="I66" s="585"/>
    </row>
    <row r="67" spans="1:9" x14ac:dyDescent="0.35">
      <c r="A67" s="585"/>
      <c r="B67" s="585"/>
      <c r="C67" s="585"/>
      <c r="D67" s="585"/>
      <c r="E67" s="585"/>
      <c r="F67" s="585"/>
      <c r="G67" s="585"/>
      <c r="H67" s="585"/>
      <c r="I67" s="585"/>
    </row>
    <row r="68" spans="1:9" x14ac:dyDescent="0.35">
      <c r="A68" s="585"/>
      <c r="B68" s="585"/>
      <c r="C68" s="585"/>
      <c r="D68" s="585"/>
      <c r="E68" s="585"/>
      <c r="F68" s="585"/>
      <c r="G68" s="585"/>
      <c r="H68" s="585"/>
      <c r="I68" s="585"/>
    </row>
    <row r="69" spans="1:9" x14ac:dyDescent="0.35">
      <c r="A69" s="585"/>
      <c r="B69" s="585"/>
      <c r="C69" s="585"/>
      <c r="D69" s="585"/>
      <c r="E69" s="585"/>
      <c r="F69" s="585"/>
      <c r="G69" s="585"/>
      <c r="H69" s="585"/>
      <c r="I69" s="585"/>
    </row>
    <row r="70" spans="1:9" x14ac:dyDescent="0.35">
      <c r="A70" s="585"/>
      <c r="B70" s="585"/>
      <c r="C70" s="585"/>
      <c r="D70" s="585"/>
      <c r="E70" s="585"/>
      <c r="F70" s="585"/>
      <c r="G70" s="585"/>
      <c r="H70" s="585"/>
      <c r="I70" s="585"/>
    </row>
    <row r="71" spans="1:9" x14ac:dyDescent="0.35">
      <c r="A71" s="585"/>
      <c r="B71" s="585"/>
      <c r="C71" s="585"/>
      <c r="D71" s="585"/>
      <c r="E71" s="585"/>
      <c r="F71" s="585"/>
      <c r="G71" s="585"/>
      <c r="H71" s="585"/>
      <c r="I71" s="585"/>
    </row>
    <row r="72" spans="1:9" x14ac:dyDescent="0.35">
      <c r="A72" s="585"/>
      <c r="B72" s="585"/>
      <c r="C72" s="585"/>
      <c r="D72" s="585"/>
      <c r="E72" s="585"/>
      <c r="F72" s="585"/>
      <c r="G72" s="585"/>
      <c r="H72" s="585"/>
      <c r="I72" s="585"/>
    </row>
    <row r="73" spans="1:9" x14ac:dyDescent="0.35">
      <c r="A73" s="585"/>
      <c r="B73" s="585"/>
      <c r="C73" s="585"/>
      <c r="D73" s="585"/>
      <c r="E73" s="585"/>
      <c r="F73" s="585"/>
      <c r="G73" s="585"/>
      <c r="H73" s="585"/>
      <c r="I73" s="585"/>
    </row>
    <row r="74" spans="1:9" x14ac:dyDescent="0.35">
      <c r="A74" s="585"/>
      <c r="B74" s="585"/>
      <c r="C74" s="585"/>
      <c r="D74" s="585"/>
      <c r="E74" s="585"/>
      <c r="F74" s="585"/>
      <c r="G74" s="585"/>
      <c r="H74" s="585"/>
      <c r="I74" s="585"/>
    </row>
    <row r="75" spans="1:9" x14ac:dyDescent="0.35">
      <c r="A75" s="585"/>
      <c r="B75" s="585"/>
      <c r="C75" s="585"/>
      <c r="D75" s="585"/>
      <c r="E75" s="585"/>
      <c r="F75" s="585"/>
      <c r="G75" s="585"/>
      <c r="H75" s="585"/>
      <c r="I75" s="585"/>
    </row>
    <row r="76" spans="1:9" x14ac:dyDescent="0.35">
      <c r="A76" s="585"/>
      <c r="B76" s="585"/>
      <c r="C76" s="585"/>
      <c r="D76" s="585"/>
      <c r="E76" s="585"/>
      <c r="F76" s="585"/>
      <c r="G76" s="585"/>
      <c r="H76" s="585"/>
      <c r="I76" s="585"/>
    </row>
    <row r="77" spans="1:9" x14ac:dyDescent="0.35">
      <c r="A77" s="585"/>
      <c r="B77" s="585"/>
      <c r="C77" s="585"/>
      <c r="D77" s="585"/>
      <c r="E77" s="585"/>
      <c r="F77" s="585"/>
      <c r="G77" s="585"/>
      <c r="H77" s="585"/>
      <c r="I77" s="585"/>
    </row>
    <row r="78" spans="1:9" x14ac:dyDescent="0.35">
      <c r="A78" s="585"/>
      <c r="B78" s="585"/>
      <c r="C78" s="585"/>
      <c r="D78" s="585"/>
      <c r="E78" s="585"/>
      <c r="F78" s="585"/>
      <c r="G78" s="585"/>
      <c r="H78" s="585"/>
      <c r="I78" s="585"/>
    </row>
    <row r="79" spans="1:9" x14ac:dyDescent="0.35">
      <c r="A79" s="585"/>
      <c r="B79" s="585"/>
      <c r="C79" s="585"/>
      <c r="D79" s="585"/>
      <c r="E79" s="585"/>
      <c r="F79" s="585"/>
      <c r="G79" s="585"/>
      <c r="H79" s="585"/>
      <c r="I79" s="585"/>
    </row>
    <row r="80" spans="1:9" x14ac:dyDescent="0.35">
      <c r="A80" s="585"/>
      <c r="B80" s="585"/>
      <c r="C80" s="585"/>
      <c r="D80" s="585"/>
      <c r="E80" s="585"/>
      <c r="F80" s="585"/>
      <c r="G80" s="585"/>
      <c r="H80" s="585"/>
      <c r="I80" s="585"/>
    </row>
    <row r="81" spans="1:9" x14ac:dyDescent="0.35">
      <c r="A81" s="585"/>
      <c r="B81" s="585"/>
      <c r="C81" s="585"/>
      <c r="D81" s="585"/>
      <c r="E81" s="585"/>
      <c r="F81" s="585"/>
      <c r="G81" s="585"/>
      <c r="H81" s="585"/>
      <c r="I81" s="585"/>
    </row>
    <row r="82" spans="1:9" x14ac:dyDescent="0.35">
      <c r="A82" s="585"/>
      <c r="B82" s="585"/>
      <c r="C82" s="585"/>
      <c r="D82" s="585"/>
      <c r="E82" s="585"/>
      <c r="F82" s="585"/>
      <c r="G82" s="585"/>
      <c r="H82" s="585"/>
      <c r="I82" s="585"/>
    </row>
    <row r="83" spans="1:9" x14ac:dyDescent="0.35">
      <c r="A83" s="585"/>
      <c r="B83" s="585"/>
      <c r="C83" s="585"/>
      <c r="D83" s="585"/>
      <c r="E83" s="585"/>
      <c r="F83" s="585"/>
      <c r="G83" s="585"/>
      <c r="H83" s="585"/>
      <c r="I83" s="585"/>
    </row>
    <row r="84" spans="1:9" x14ac:dyDescent="0.35">
      <c r="A84" s="585"/>
      <c r="B84" s="585"/>
      <c r="C84" s="585"/>
      <c r="D84" s="585"/>
      <c r="E84" s="585"/>
      <c r="F84" s="585"/>
      <c r="G84" s="585"/>
      <c r="H84" s="585"/>
      <c r="I84" s="585"/>
    </row>
    <row r="85" spans="1:9" x14ac:dyDescent="0.35">
      <c r="A85" s="585"/>
      <c r="B85" s="585"/>
      <c r="C85" s="585"/>
      <c r="D85" s="585"/>
      <c r="E85" s="585"/>
      <c r="F85" s="585"/>
      <c r="G85" s="585"/>
      <c r="H85" s="585"/>
      <c r="I85" s="585"/>
    </row>
    <row r="86" spans="1:9" x14ac:dyDescent="0.35">
      <c r="A86" s="585"/>
      <c r="B86" s="585"/>
      <c r="C86" s="585"/>
      <c r="D86" s="585"/>
      <c r="E86" s="585"/>
      <c r="F86" s="585"/>
      <c r="G86" s="585"/>
      <c r="H86" s="585"/>
      <c r="I86" s="585"/>
    </row>
    <row r="87" spans="1:9" x14ac:dyDescent="0.35">
      <c r="A87" s="585"/>
      <c r="B87" s="585"/>
      <c r="C87" s="585"/>
      <c r="D87" s="585"/>
      <c r="E87" s="585"/>
      <c r="F87" s="585"/>
      <c r="G87" s="585"/>
      <c r="H87" s="585"/>
      <c r="I87" s="585"/>
    </row>
    <row r="88" spans="1:9" x14ac:dyDescent="0.35">
      <c r="A88" s="585"/>
      <c r="B88" s="585"/>
      <c r="C88" s="585"/>
      <c r="D88" s="585"/>
      <c r="E88" s="585"/>
      <c r="F88" s="585"/>
      <c r="G88" s="585"/>
      <c r="H88" s="585"/>
      <c r="I88" s="585"/>
    </row>
    <row r="89" spans="1:9" x14ac:dyDescent="0.35">
      <c r="A89" s="585"/>
      <c r="B89" s="585"/>
      <c r="C89" s="585"/>
      <c r="D89" s="585"/>
      <c r="E89" s="585"/>
      <c r="F89" s="585"/>
      <c r="G89" s="585"/>
      <c r="H89" s="585"/>
      <c r="I89" s="585"/>
    </row>
    <row r="90" spans="1:9" x14ac:dyDescent="0.35">
      <c r="A90" s="585"/>
      <c r="B90" s="585"/>
      <c r="C90" s="585"/>
      <c r="D90" s="585"/>
      <c r="E90" s="585"/>
      <c r="F90" s="585"/>
      <c r="G90" s="585"/>
      <c r="H90" s="585"/>
      <c r="I90" s="585"/>
    </row>
    <row r="91" spans="1:9" x14ac:dyDescent="0.35">
      <c r="A91" s="585"/>
      <c r="B91" s="585"/>
      <c r="C91" s="585"/>
      <c r="D91" s="585"/>
      <c r="E91" s="585"/>
      <c r="F91" s="585"/>
      <c r="G91" s="585"/>
      <c r="H91" s="585"/>
      <c r="I91" s="585"/>
    </row>
    <row r="92" spans="1:9" x14ac:dyDescent="0.35">
      <c r="A92" s="585"/>
      <c r="B92" s="585"/>
      <c r="C92" s="585"/>
      <c r="D92" s="585"/>
      <c r="E92" s="585"/>
      <c r="F92" s="585"/>
      <c r="G92" s="585"/>
      <c r="H92" s="585"/>
      <c r="I92" s="585"/>
    </row>
    <row r="93" spans="1:9" x14ac:dyDescent="0.35">
      <c r="A93" s="585"/>
      <c r="B93" s="585"/>
      <c r="C93" s="585"/>
      <c r="D93" s="585"/>
      <c r="E93" s="585"/>
      <c r="F93" s="585"/>
      <c r="G93" s="585"/>
      <c r="H93" s="585"/>
      <c r="I93" s="585"/>
    </row>
    <row r="94" spans="1:9" x14ac:dyDescent="0.35">
      <c r="A94" s="585"/>
      <c r="B94" s="585"/>
      <c r="C94" s="585"/>
      <c r="D94" s="585"/>
      <c r="E94" s="585"/>
      <c r="F94" s="585"/>
      <c r="G94" s="585"/>
      <c r="H94" s="585"/>
      <c r="I94" s="585"/>
    </row>
    <row r="95" spans="1:9" x14ac:dyDescent="0.35">
      <c r="A95" s="585"/>
      <c r="B95" s="585"/>
      <c r="C95" s="585"/>
      <c r="D95" s="585"/>
      <c r="E95" s="585"/>
      <c r="F95" s="585"/>
      <c r="G95" s="585"/>
      <c r="H95" s="585"/>
      <c r="I95" s="585"/>
    </row>
    <row r="96" spans="1:9" x14ac:dyDescent="0.35">
      <c r="A96" s="585"/>
      <c r="B96" s="585"/>
      <c r="C96" s="585"/>
      <c r="D96" s="585"/>
      <c r="E96" s="585"/>
      <c r="F96" s="585"/>
      <c r="G96" s="585"/>
      <c r="H96" s="585"/>
      <c r="I96" s="585"/>
    </row>
    <row r="97" spans="1:9" x14ac:dyDescent="0.35">
      <c r="A97" s="585"/>
      <c r="B97" s="585"/>
      <c r="C97" s="585"/>
      <c r="D97" s="585"/>
      <c r="E97" s="585"/>
      <c r="F97" s="585"/>
      <c r="G97" s="585"/>
      <c r="H97" s="585"/>
      <c r="I97" s="585"/>
    </row>
    <row r="98" spans="1:9" x14ac:dyDescent="0.35">
      <c r="A98" s="585"/>
      <c r="B98" s="585"/>
      <c r="C98" s="585"/>
      <c r="D98" s="585"/>
      <c r="E98" s="585"/>
      <c r="F98" s="585"/>
      <c r="G98" s="585"/>
      <c r="H98" s="585"/>
      <c r="I98" s="585"/>
    </row>
    <row r="99" spans="1:9" x14ac:dyDescent="0.35">
      <c r="A99" s="585"/>
      <c r="B99" s="585"/>
      <c r="C99" s="585"/>
      <c r="D99" s="585"/>
      <c r="E99" s="585"/>
      <c r="F99" s="585"/>
      <c r="G99" s="585"/>
      <c r="H99" s="585"/>
      <c r="I99" s="585"/>
    </row>
    <row r="100" spans="1:9" x14ac:dyDescent="0.35">
      <c r="A100" s="585"/>
      <c r="B100" s="585"/>
      <c r="C100" s="585"/>
      <c r="D100" s="585"/>
      <c r="E100" s="585"/>
      <c r="F100" s="585"/>
      <c r="G100" s="585"/>
      <c r="H100" s="585"/>
      <c r="I100" s="585"/>
    </row>
    <row r="101" spans="1:9" x14ac:dyDescent="0.35">
      <c r="A101" s="585"/>
      <c r="B101" s="585"/>
      <c r="C101" s="585"/>
      <c r="D101" s="585"/>
      <c r="E101" s="585"/>
      <c r="F101" s="585"/>
      <c r="G101" s="585"/>
      <c r="H101" s="585"/>
      <c r="I101" s="585"/>
    </row>
    <row r="102" spans="1:9" x14ac:dyDescent="0.35">
      <c r="A102" s="585"/>
      <c r="B102" s="585"/>
      <c r="C102" s="585"/>
      <c r="D102" s="585"/>
      <c r="E102" s="585"/>
      <c r="F102" s="585"/>
      <c r="G102" s="585"/>
      <c r="H102" s="585"/>
      <c r="I102" s="585"/>
    </row>
    <row r="103" spans="1:9" x14ac:dyDescent="0.35">
      <c r="A103" s="585"/>
      <c r="B103" s="585"/>
      <c r="C103" s="585"/>
      <c r="D103" s="585"/>
      <c r="E103" s="585"/>
      <c r="F103" s="585"/>
      <c r="G103" s="585"/>
      <c r="H103" s="585"/>
      <c r="I103" s="585"/>
    </row>
    <row r="104" spans="1:9" x14ac:dyDescent="0.35">
      <c r="A104" s="585"/>
      <c r="B104" s="585"/>
      <c r="C104" s="585"/>
      <c r="D104" s="585"/>
      <c r="E104" s="585"/>
      <c r="F104" s="585"/>
      <c r="G104" s="585"/>
      <c r="H104" s="585"/>
      <c r="I104" s="585"/>
    </row>
    <row r="105" spans="1:9" x14ac:dyDescent="0.35">
      <c r="A105" s="585"/>
      <c r="B105" s="585"/>
      <c r="C105" s="585"/>
      <c r="D105" s="585"/>
      <c r="E105" s="585"/>
      <c r="F105" s="585"/>
      <c r="G105" s="585"/>
      <c r="H105" s="585"/>
      <c r="I105" s="585"/>
    </row>
    <row r="106" spans="1:9" x14ac:dyDescent="0.35">
      <c r="A106" s="585"/>
      <c r="B106" s="585"/>
      <c r="C106" s="585"/>
      <c r="D106" s="585"/>
      <c r="E106" s="585"/>
      <c r="F106" s="585"/>
      <c r="G106" s="585"/>
      <c r="H106" s="585"/>
      <c r="I106" s="585"/>
    </row>
    <row r="107" spans="1:9" x14ac:dyDescent="0.35">
      <c r="A107" s="585"/>
      <c r="B107" s="585"/>
      <c r="C107" s="585"/>
      <c r="D107" s="585"/>
      <c r="E107" s="585"/>
      <c r="F107" s="585"/>
      <c r="G107" s="585"/>
      <c r="H107" s="585"/>
      <c r="I107" s="585"/>
    </row>
    <row r="108" spans="1:9" x14ac:dyDescent="0.35">
      <c r="A108" s="585"/>
      <c r="B108" s="585"/>
      <c r="C108" s="585"/>
      <c r="D108" s="585"/>
      <c r="E108" s="585"/>
      <c r="F108" s="585"/>
      <c r="G108" s="585"/>
      <c r="H108" s="585"/>
      <c r="I108" s="585"/>
    </row>
    <row r="109" spans="1:9" x14ac:dyDescent="0.35">
      <c r="A109" s="585"/>
      <c r="B109" s="585"/>
      <c r="C109" s="585"/>
      <c r="D109" s="585"/>
      <c r="E109" s="585"/>
      <c r="F109" s="585"/>
      <c r="G109" s="585"/>
      <c r="H109" s="585"/>
      <c r="I109" s="585"/>
    </row>
    <row r="110" spans="1:9" x14ac:dyDescent="0.35">
      <c r="A110" s="585"/>
      <c r="B110" s="585"/>
      <c r="C110" s="585"/>
      <c r="D110" s="585"/>
      <c r="E110" s="585"/>
      <c r="F110" s="585"/>
      <c r="G110" s="585"/>
      <c r="H110" s="585"/>
      <c r="I110" s="585"/>
    </row>
    <row r="111" spans="1:9" x14ac:dyDescent="0.35">
      <c r="A111" s="585"/>
      <c r="B111" s="585"/>
      <c r="C111" s="585"/>
      <c r="D111" s="585"/>
      <c r="E111" s="585"/>
      <c r="F111" s="585"/>
      <c r="G111" s="585"/>
      <c r="H111" s="585"/>
      <c r="I111" s="585"/>
    </row>
    <row r="112" spans="1:9" x14ac:dyDescent="0.35">
      <c r="A112" s="585"/>
      <c r="B112" s="585"/>
      <c r="C112" s="585"/>
      <c r="D112" s="585"/>
      <c r="E112" s="585"/>
      <c r="F112" s="585"/>
      <c r="G112" s="585"/>
      <c r="H112" s="585"/>
      <c r="I112" s="585"/>
    </row>
    <row r="113" spans="1:9" x14ac:dyDescent="0.35">
      <c r="A113" s="585"/>
      <c r="B113" s="585"/>
      <c r="C113" s="585"/>
      <c r="D113" s="585"/>
      <c r="E113" s="585"/>
      <c r="F113" s="585"/>
      <c r="G113" s="585"/>
      <c r="H113" s="585"/>
      <c r="I113" s="585"/>
    </row>
    <row r="114" spans="1:9" x14ac:dyDescent="0.35">
      <c r="A114" s="585"/>
      <c r="B114" s="585"/>
      <c r="C114" s="585"/>
      <c r="D114" s="585"/>
      <c r="E114" s="585"/>
      <c r="F114" s="585"/>
      <c r="G114" s="585"/>
      <c r="H114" s="585"/>
      <c r="I114" s="585"/>
    </row>
    <row r="115" spans="1:9" x14ac:dyDescent="0.35">
      <c r="A115" s="585"/>
      <c r="B115" s="585"/>
      <c r="C115" s="585"/>
      <c r="D115" s="585"/>
      <c r="E115" s="585"/>
      <c r="F115" s="585"/>
      <c r="G115" s="585"/>
      <c r="H115" s="585"/>
      <c r="I115" s="585"/>
    </row>
    <row r="116" spans="1:9" x14ac:dyDescent="0.35">
      <c r="A116" s="585"/>
      <c r="B116" s="585"/>
      <c r="C116" s="585"/>
      <c r="D116" s="585"/>
      <c r="E116" s="585"/>
      <c r="F116" s="585"/>
      <c r="G116" s="585"/>
      <c r="H116" s="585"/>
      <c r="I116" s="585"/>
    </row>
    <row r="117" spans="1:9" x14ac:dyDescent="0.35">
      <c r="A117" s="585"/>
      <c r="B117" s="585"/>
      <c r="C117" s="585"/>
      <c r="D117" s="585"/>
      <c r="E117" s="585"/>
      <c r="F117" s="585"/>
      <c r="G117" s="585"/>
      <c r="H117" s="585"/>
      <c r="I117" s="585"/>
    </row>
    <row r="118" spans="1:9" x14ac:dyDescent="0.35">
      <c r="A118" s="585"/>
      <c r="B118" s="585"/>
      <c r="C118" s="585"/>
      <c r="D118" s="585"/>
      <c r="E118" s="585"/>
      <c r="F118" s="585"/>
      <c r="G118" s="585"/>
      <c r="H118" s="585"/>
      <c r="I118" s="585"/>
    </row>
    <row r="119" spans="1:9" x14ac:dyDescent="0.35">
      <c r="A119" s="585"/>
      <c r="B119" s="585"/>
      <c r="C119" s="585"/>
      <c r="D119" s="585"/>
      <c r="E119" s="585"/>
      <c r="F119" s="585"/>
      <c r="G119" s="585"/>
      <c r="H119" s="585"/>
      <c r="I119" s="585"/>
    </row>
    <row r="120" spans="1:9" x14ac:dyDescent="0.35">
      <c r="A120" s="585"/>
      <c r="B120" s="585"/>
      <c r="C120" s="585"/>
      <c r="D120" s="585"/>
      <c r="E120" s="585"/>
      <c r="F120" s="585"/>
      <c r="G120" s="585"/>
      <c r="H120" s="585"/>
      <c r="I120" s="585"/>
    </row>
    <row r="121" spans="1:9" x14ac:dyDescent="0.35">
      <c r="A121" s="585"/>
      <c r="B121" s="585"/>
      <c r="C121" s="585"/>
      <c r="D121" s="585"/>
      <c r="E121" s="585"/>
      <c r="F121" s="585"/>
      <c r="G121" s="585"/>
      <c r="H121" s="585"/>
      <c r="I121" s="585"/>
    </row>
    <row r="122" spans="1:9" x14ac:dyDescent="0.35">
      <c r="A122" s="585"/>
      <c r="B122" s="585"/>
      <c r="C122" s="585"/>
      <c r="D122" s="585"/>
      <c r="E122" s="585"/>
      <c r="F122" s="585"/>
      <c r="G122" s="585"/>
      <c r="H122" s="585"/>
      <c r="I122" s="585"/>
    </row>
    <row r="123" spans="1:9" x14ac:dyDescent="0.35">
      <c r="A123" s="585"/>
      <c r="B123" s="585"/>
      <c r="C123" s="585"/>
      <c r="D123" s="585"/>
      <c r="E123" s="585"/>
      <c r="F123" s="585"/>
      <c r="G123" s="585"/>
      <c r="H123" s="585"/>
      <c r="I123" s="585"/>
    </row>
    <row r="124" spans="1:9" x14ac:dyDescent="0.35">
      <c r="A124" s="585"/>
      <c r="B124" s="585"/>
      <c r="C124" s="585"/>
      <c r="D124" s="585"/>
      <c r="E124" s="585"/>
      <c r="F124" s="585"/>
      <c r="G124" s="585"/>
      <c r="H124" s="585"/>
      <c r="I124" s="585"/>
    </row>
    <row r="125" spans="1:9" x14ac:dyDescent="0.35">
      <c r="A125" s="585"/>
      <c r="B125" s="585"/>
      <c r="C125" s="585"/>
      <c r="D125" s="585"/>
      <c r="E125" s="585"/>
      <c r="F125" s="585"/>
      <c r="G125" s="585"/>
      <c r="H125" s="585"/>
      <c r="I125" s="585"/>
    </row>
    <row r="126" spans="1:9" x14ac:dyDescent="0.35">
      <c r="A126" s="585"/>
      <c r="B126" s="585"/>
      <c r="C126" s="585"/>
      <c r="D126" s="585"/>
      <c r="E126" s="585"/>
      <c r="F126" s="585"/>
      <c r="G126" s="585"/>
      <c r="H126" s="585"/>
      <c r="I126" s="585"/>
    </row>
    <row r="127" spans="1:9" x14ac:dyDescent="0.35">
      <c r="A127" s="585"/>
      <c r="B127" s="585"/>
      <c r="C127" s="585"/>
      <c r="D127" s="585"/>
      <c r="E127" s="585"/>
      <c r="F127" s="585"/>
      <c r="G127" s="585"/>
      <c r="H127" s="585"/>
      <c r="I127" s="585"/>
    </row>
    <row r="128" spans="1:9" x14ac:dyDescent="0.35">
      <c r="A128" s="585"/>
      <c r="B128" s="585"/>
      <c r="C128" s="585"/>
      <c r="D128" s="585"/>
      <c r="E128" s="585"/>
      <c r="F128" s="585"/>
      <c r="G128" s="585"/>
      <c r="H128" s="585"/>
      <c r="I128" s="585"/>
    </row>
    <row r="129" spans="1:9" x14ac:dyDescent="0.35">
      <c r="A129" s="585"/>
      <c r="B129" s="585"/>
      <c r="C129" s="585"/>
      <c r="D129" s="585"/>
      <c r="E129" s="585"/>
      <c r="F129" s="585"/>
      <c r="G129" s="585"/>
      <c r="H129" s="585"/>
      <c r="I129" s="585"/>
    </row>
    <row r="130" spans="1:9" x14ac:dyDescent="0.35">
      <c r="A130" s="585"/>
      <c r="B130" s="585"/>
      <c r="C130" s="585"/>
      <c r="D130" s="585"/>
      <c r="E130" s="585"/>
      <c r="F130" s="585"/>
      <c r="G130" s="585"/>
      <c r="H130" s="585"/>
      <c r="I130" s="585"/>
    </row>
    <row r="131" spans="1:9" x14ac:dyDescent="0.35">
      <c r="A131" s="585"/>
      <c r="B131" s="585"/>
      <c r="C131" s="585"/>
      <c r="D131" s="585"/>
      <c r="E131" s="585"/>
      <c r="F131" s="585"/>
      <c r="G131" s="585"/>
      <c r="H131" s="585"/>
      <c r="I131" s="585"/>
    </row>
    <row r="132" spans="1:9" x14ac:dyDescent="0.35">
      <c r="A132" s="585"/>
      <c r="B132" s="585"/>
      <c r="C132" s="585"/>
      <c r="D132" s="585"/>
      <c r="E132" s="585"/>
      <c r="F132" s="585"/>
      <c r="G132" s="585"/>
      <c r="H132" s="585"/>
      <c r="I132" s="585"/>
    </row>
    <row r="133" spans="1:9" x14ac:dyDescent="0.35">
      <c r="A133" s="585"/>
      <c r="B133" s="585"/>
      <c r="C133" s="585"/>
      <c r="D133" s="585"/>
      <c r="E133" s="585"/>
      <c r="F133" s="585"/>
      <c r="G133" s="585"/>
      <c r="H133" s="585"/>
      <c r="I133" s="585"/>
    </row>
    <row r="134" spans="1:9" x14ac:dyDescent="0.35">
      <c r="A134" s="585"/>
      <c r="B134" s="585"/>
      <c r="C134" s="585"/>
      <c r="D134" s="585"/>
      <c r="E134" s="585"/>
      <c r="F134" s="585"/>
      <c r="G134" s="585"/>
      <c r="H134" s="585"/>
      <c r="I134" s="585"/>
    </row>
    <row r="135" spans="1:9" x14ac:dyDescent="0.35">
      <c r="A135" s="585"/>
      <c r="B135" s="585"/>
      <c r="C135" s="585"/>
      <c r="D135" s="585"/>
      <c r="E135" s="585"/>
      <c r="F135" s="585"/>
      <c r="G135" s="585"/>
      <c r="H135" s="585"/>
      <c r="I135" s="585"/>
    </row>
    <row r="136" spans="1:9" x14ac:dyDescent="0.35">
      <c r="A136" s="585"/>
      <c r="B136" s="585"/>
      <c r="C136" s="585"/>
      <c r="D136" s="585"/>
      <c r="E136" s="585"/>
      <c r="F136" s="585"/>
      <c r="G136" s="585"/>
      <c r="H136" s="585"/>
      <c r="I136" s="585"/>
    </row>
    <row r="137" spans="1:9" x14ac:dyDescent="0.35">
      <c r="A137" s="585"/>
      <c r="B137" s="585"/>
      <c r="C137" s="585"/>
      <c r="D137" s="585"/>
      <c r="E137" s="585"/>
      <c r="F137" s="585"/>
      <c r="G137" s="585"/>
      <c r="H137" s="585"/>
      <c r="I137" s="585"/>
    </row>
    <row r="138" spans="1:9" x14ac:dyDescent="0.35">
      <c r="A138" s="585"/>
      <c r="B138" s="585"/>
      <c r="C138" s="585"/>
      <c r="D138" s="585"/>
      <c r="E138" s="585"/>
      <c r="F138" s="585"/>
      <c r="G138" s="585"/>
      <c r="H138" s="585"/>
      <c r="I138" s="585"/>
    </row>
    <row r="139" spans="1:9" x14ac:dyDescent="0.35">
      <c r="A139" s="585"/>
      <c r="B139" s="585"/>
      <c r="C139" s="585"/>
      <c r="D139" s="585"/>
      <c r="E139" s="585"/>
      <c r="F139" s="585"/>
      <c r="G139" s="585"/>
      <c r="H139" s="585"/>
      <c r="I139" s="585"/>
    </row>
    <row r="140" spans="1:9" x14ac:dyDescent="0.35">
      <c r="A140" s="585"/>
      <c r="B140" s="585"/>
      <c r="C140" s="585"/>
      <c r="D140" s="585"/>
      <c r="E140" s="585"/>
      <c r="F140" s="585"/>
      <c r="G140" s="585"/>
      <c r="H140" s="585"/>
      <c r="I140" s="585"/>
    </row>
    <row r="141" spans="1:9" x14ac:dyDescent="0.35">
      <c r="A141" s="585"/>
      <c r="B141" s="585"/>
      <c r="C141" s="585"/>
      <c r="D141" s="585"/>
      <c r="E141" s="585"/>
      <c r="F141" s="585"/>
      <c r="G141" s="585"/>
      <c r="H141" s="585"/>
      <c r="I141" s="585"/>
    </row>
    <row r="142" spans="1:9" x14ac:dyDescent="0.35">
      <c r="A142" s="585"/>
      <c r="B142" s="585"/>
      <c r="C142" s="585"/>
      <c r="D142" s="585"/>
      <c r="E142" s="585"/>
      <c r="F142" s="585"/>
      <c r="G142" s="585"/>
      <c r="H142" s="585"/>
      <c r="I142" s="585"/>
    </row>
    <row r="143" spans="1:9" x14ac:dyDescent="0.35">
      <c r="A143" s="585"/>
      <c r="B143" s="585"/>
      <c r="C143" s="585"/>
      <c r="D143" s="585"/>
      <c r="E143" s="585"/>
      <c r="F143" s="585"/>
      <c r="G143" s="585"/>
      <c r="H143" s="585"/>
      <c r="I143" s="585"/>
    </row>
    <row r="144" spans="1:9" x14ac:dyDescent="0.35">
      <c r="A144" s="585"/>
      <c r="B144" s="585"/>
      <c r="C144" s="585"/>
      <c r="D144" s="585"/>
      <c r="E144" s="585"/>
      <c r="F144" s="585"/>
      <c r="G144" s="585"/>
      <c r="H144" s="585"/>
      <c r="I144" s="585"/>
    </row>
    <row r="145" spans="1:9" x14ac:dyDescent="0.35">
      <c r="A145" s="585"/>
      <c r="B145" s="585"/>
      <c r="C145" s="585"/>
      <c r="D145" s="585"/>
      <c r="E145" s="585"/>
      <c r="F145" s="585"/>
      <c r="G145" s="585"/>
      <c r="H145" s="585"/>
      <c r="I145" s="585"/>
    </row>
    <row r="146" spans="1:9" x14ac:dyDescent="0.35">
      <c r="A146" s="585"/>
      <c r="B146" s="585"/>
      <c r="C146" s="585"/>
      <c r="D146" s="585"/>
      <c r="E146" s="585"/>
      <c r="F146" s="585"/>
      <c r="G146" s="585"/>
      <c r="H146" s="585"/>
      <c r="I146" s="585"/>
    </row>
    <row r="147" spans="1:9" x14ac:dyDescent="0.35">
      <c r="A147" s="585"/>
      <c r="B147" s="585"/>
      <c r="C147" s="585"/>
      <c r="D147" s="585"/>
      <c r="E147" s="585"/>
      <c r="F147" s="585"/>
      <c r="G147" s="585"/>
      <c r="H147" s="585"/>
      <c r="I147" s="585"/>
    </row>
    <row r="148" spans="1:9" x14ac:dyDescent="0.35">
      <c r="A148" s="585"/>
      <c r="B148" s="585"/>
      <c r="C148" s="585"/>
      <c r="D148" s="585"/>
      <c r="E148" s="585"/>
      <c r="F148" s="585"/>
      <c r="G148" s="585"/>
      <c r="H148" s="585"/>
      <c r="I148" s="585"/>
    </row>
    <row r="149" spans="1:9" x14ac:dyDescent="0.35">
      <c r="A149" s="585"/>
      <c r="B149" s="585"/>
      <c r="C149" s="585"/>
      <c r="D149" s="585"/>
      <c r="E149" s="585"/>
      <c r="F149" s="585"/>
      <c r="G149" s="585"/>
      <c r="H149" s="585"/>
      <c r="I149" s="585"/>
    </row>
    <row r="150" spans="1:9" x14ac:dyDescent="0.35">
      <c r="A150" s="585"/>
      <c r="B150" s="585"/>
      <c r="C150" s="585"/>
      <c r="D150" s="585"/>
      <c r="E150" s="585"/>
      <c r="F150" s="585"/>
      <c r="G150" s="585"/>
      <c r="H150" s="585"/>
      <c r="I150" s="585"/>
    </row>
    <row r="151" spans="1:9" x14ac:dyDescent="0.35">
      <c r="A151" s="585"/>
      <c r="B151" s="585"/>
      <c r="C151" s="585"/>
      <c r="D151" s="585"/>
      <c r="E151" s="585"/>
      <c r="F151" s="585"/>
      <c r="G151" s="585"/>
      <c r="H151" s="585"/>
      <c r="I151" s="585"/>
    </row>
    <row r="152" spans="1:9" x14ac:dyDescent="0.35">
      <c r="A152" s="585"/>
      <c r="B152" s="585"/>
      <c r="C152" s="585"/>
      <c r="D152" s="585"/>
      <c r="E152" s="585"/>
      <c r="F152" s="585"/>
      <c r="G152" s="585"/>
      <c r="H152" s="585"/>
      <c r="I152" s="585"/>
    </row>
    <row r="153" spans="1:9" x14ac:dyDescent="0.35">
      <c r="A153" s="585"/>
      <c r="B153" s="585"/>
      <c r="C153" s="585"/>
      <c r="D153" s="585"/>
      <c r="E153" s="585"/>
      <c r="F153" s="585"/>
      <c r="G153" s="585"/>
      <c r="H153" s="585"/>
      <c r="I153" s="585"/>
    </row>
    <row r="154" spans="1:9" x14ac:dyDescent="0.35">
      <c r="A154" s="585"/>
      <c r="B154" s="585"/>
      <c r="C154" s="585"/>
      <c r="D154" s="585"/>
      <c r="E154" s="585"/>
      <c r="F154" s="585"/>
      <c r="G154" s="585"/>
      <c r="H154" s="585"/>
      <c r="I154" s="585"/>
    </row>
    <row r="155" spans="1:9" x14ac:dyDescent="0.35">
      <c r="A155" s="585"/>
      <c r="B155" s="585"/>
      <c r="C155" s="585"/>
      <c r="D155" s="585"/>
      <c r="E155" s="585"/>
      <c r="F155" s="585"/>
      <c r="G155" s="585"/>
      <c r="H155" s="585"/>
      <c r="I155" s="585"/>
    </row>
    <row r="156" spans="1:9" x14ac:dyDescent="0.35">
      <c r="A156" s="585"/>
      <c r="B156" s="585"/>
      <c r="C156" s="585"/>
      <c r="D156" s="585"/>
      <c r="E156" s="585"/>
      <c r="F156" s="585"/>
      <c r="G156" s="585"/>
      <c r="H156" s="585"/>
      <c r="I156" s="585"/>
    </row>
    <row r="157" spans="1:9" x14ac:dyDescent="0.35">
      <c r="A157" s="585"/>
      <c r="B157" s="585"/>
      <c r="C157" s="585"/>
      <c r="D157" s="585"/>
      <c r="E157" s="585"/>
      <c r="F157" s="585"/>
      <c r="G157" s="585"/>
      <c r="H157" s="585"/>
      <c r="I157" s="585"/>
    </row>
    <row r="158" spans="1:9" x14ac:dyDescent="0.35">
      <c r="A158" s="585"/>
      <c r="B158" s="585"/>
      <c r="C158" s="585"/>
      <c r="D158" s="585"/>
      <c r="E158" s="585"/>
      <c r="F158" s="585"/>
      <c r="G158" s="585"/>
      <c r="H158" s="585"/>
      <c r="I158" s="585"/>
    </row>
    <row r="159" spans="1:9" x14ac:dyDescent="0.35">
      <c r="A159" s="585"/>
      <c r="B159" s="585"/>
      <c r="C159" s="585"/>
      <c r="D159" s="585"/>
      <c r="E159" s="585"/>
      <c r="F159" s="585"/>
      <c r="G159" s="585"/>
      <c r="H159" s="585"/>
      <c r="I159" s="585"/>
    </row>
    <row r="160" spans="1:9" x14ac:dyDescent="0.35">
      <c r="A160" s="585"/>
      <c r="B160" s="585"/>
      <c r="C160" s="585"/>
      <c r="D160" s="585"/>
      <c r="E160" s="585"/>
      <c r="F160" s="585"/>
      <c r="G160" s="585"/>
      <c r="H160" s="585"/>
      <c r="I160" s="585"/>
    </row>
    <row r="161" spans="1:9" x14ac:dyDescent="0.35">
      <c r="A161" s="585"/>
      <c r="B161" s="585"/>
      <c r="C161" s="585"/>
      <c r="D161" s="585"/>
      <c r="E161" s="585"/>
      <c r="F161" s="585"/>
      <c r="G161" s="585"/>
      <c r="H161" s="585"/>
      <c r="I161" s="585"/>
    </row>
    <row r="162" spans="1:9" x14ac:dyDescent="0.35">
      <c r="A162" s="585"/>
      <c r="B162" s="585"/>
      <c r="C162" s="585"/>
      <c r="D162" s="585"/>
      <c r="E162" s="585"/>
      <c r="F162" s="585"/>
      <c r="G162" s="585"/>
      <c r="H162" s="585"/>
      <c r="I162" s="585"/>
    </row>
    <row r="163" spans="1:9" x14ac:dyDescent="0.35">
      <c r="A163" s="585"/>
      <c r="B163" s="585"/>
      <c r="C163" s="585"/>
      <c r="D163" s="585"/>
      <c r="E163" s="585"/>
      <c r="F163" s="585"/>
      <c r="G163" s="585"/>
      <c r="H163" s="585"/>
      <c r="I163" s="585"/>
    </row>
    <row r="164" spans="1:9" x14ac:dyDescent="0.35">
      <c r="A164" s="585"/>
      <c r="B164" s="585"/>
      <c r="C164" s="585"/>
      <c r="D164" s="585"/>
      <c r="E164" s="585"/>
      <c r="F164" s="585"/>
      <c r="G164" s="585"/>
      <c r="H164" s="585"/>
      <c r="I164" s="585"/>
    </row>
    <row r="165" spans="1:9" x14ac:dyDescent="0.35">
      <c r="A165" s="585"/>
      <c r="B165" s="585"/>
      <c r="C165" s="585"/>
      <c r="D165" s="585"/>
      <c r="E165" s="585"/>
      <c r="F165" s="585"/>
      <c r="G165" s="585"/>
      <c r="H165" s="585"/>
      <c r="I165" s="585"/>
    </row>
    <row r="166" spans="1:9" x14ac:dyDescent="0.35">
      <c r="A166" s="585"/>
      <c r="B166" s="585"/>
      <c r="C166" s="585"/>
      <c r="D166" s="585"/>
      <c r="E166" s="585"/>
      <c r="F166" s="585"/>
      <c r="G166" s="585"/>
      <c r="H166" s="585"/>
      <c r="I166" s="585"/>
    </row>
    <row r="167" spans="1:9" x14ac:dyDescent="0.35">
      <c r="A167" s="585"/>
      <c r="B167" s="585"/>
      <c r="C167" s="585"/>
      <c r="D167" s="585"/>
      <c r="E167" s="585"/>
      <c r="F167" s="585"/>
      <c r="G167" s="585"/>
      <c r="H167" s="585"/>
      <c r="I167" s="585"/>
    </row>
    <row r="168" spans="1:9" x14ac:dyDescent="0.35">
      <c r="A168" s="585"/>
      <c r="B168" s="585"/>
      <c r="C168" s="585"/>
      <c r="D168" s="585"/>
      <c r="E168" s="585"/>
      <c r="F168" s="585"/>
      <c r="G168" s="585"/>
      <c r="H168" s="585"/>
      <c r="I168" s="585"/>
    </row>
    <row r="169" spans="1:9" x14ac:dyDescent="0.35">
      <c r="A169" s="585"/>
      <c r="B169" s="585"/>
      <c r="C169" s="585"/>
      <c r="D169" s="585"/>
      <c r="E169" s="585"/>
      <c r="F169" s="585"/>
      <c r="G169" s="585"/>
      <c r="H169" s="585"/>
      <c r="I169" s="585"/>
    </row>
    <row r="170" spans="1:9" x14ac:dyDescent="0.35">
      <c r="A170" s="585"/>
      <c r="B170" s="585"/>
      <c r="C170" s="585"/>
      <c r="D170" s="585"/>
      <c r="E170" s="585"/>
      <c r="F170" s="585"/>
      <c r="G170" s="585"/>
      <c r="H170" s="585"/>
      <c r="I170" s="585"/>
    </row>
    <row r="171" spans="1:9" x14ac:dyDescent="0.35">
      <c r="A171" s="585"/>
      <c r="B171" s="585"/>
      <c r="C171" s="585"/>
      <c r="D171" s="585"/>
      <c r="E171" s="585"/>
      <c r="F171" s="585"/>
      <c r="G171" s="585"/>
      <c r="H171" s="585"/>
      <c r="I171" s="585"/>
    </row>
    <row r="172" spans="1:9" x14ac:dyDescent="0.35">
      <c r="A172" s="585"/>
      <c r="B172" s="585"/>
      <c r="C172" s="585"/>
      <c r="D172" s="585"/>
      <c r="E172" s="585"/>
      <c r="F172" s="585"/>
      <c r="G172" s="585"/>
      <c r="H172" s="585"/>
      <c r="I172" s="585"/>
    </row>
    <row r="173" spans="1:9" x14ac:dyDescent="0.35">
      <c r="A173" s="585"/>
      <c r="B173" s="585"/>
      <c r="C173" s="585"/>
      <c r="D173" s="585"/>
      <c r="E173" s="585"/>
      <c r="F173" s="585"/>
      <c r="G173" s="585"/>
      <c r="H173" s="585"/>
      <c r="I173" s="585"/>
    </row>
    <row r="174" spans="1:9" x14ac:dyDescent="0.35">
      <c r="A174" s="585"/>
      <c r="B174" s="585"/>
      <c r="C174" s="585"/>
      <c r="D174" s="585"/>
      <c r="E174" s="585"/>
      <c r="F174" s="585"/>
      <c r="G174" s="585"/>
      <c r="H174" s="585"/>
      <c r="I174" s="585"/>
    </row>
    <row r="175" spans="1:9" x14ac:dyDescent="0.35">
      <c r="A175" s="585"/>
      <c r="B175" s="585"/>
      <c r="C175" s="585"/>
      <c r="D175" s="585"/>
      <c r="E175" s="585"/>
      <c r="F175" s="585"/>
      <c r="G175" s="585"/>
      <c r="H175" s="585"/>
      <c r="I175" s="585"/>
    </row>
    <row r="176" spans="1:9" x14ac:dyDescent="0.35">
      <c r="A176" s="585"/>
      <c r="B176" s="585"/>
      <c r="C176" s="585"/>
      <c r="D176" s="585"/>
      <c r="E176" s="585"/>
      <c r="F176" s="585"/>
      <c r="G176" s="585"/>
      <c r="H176" s="585"/>
      <c r="I176" s="585"/>
    </row>
    <row r="177" spans="1:9" x14ac:dyDescent="0.35">
      <c r="A177" s="585"/>
      <c r="B177" s="585"/>
      <c r="C177" s="585"/>
      <c r="D177" s="585"/>
      <c r="E177" s="585"/>
      <c r="F177" s="585"/>
      <c r="G177" s="585"/>
      <c r="H177" s="585"/>
      <c r="I177" s="585"/>
    </row>
    <row r="178" spans="1:9" x14ac:dyDescent="0.35">
      <c r="A178" s="585"/>
      <c r="B178" s="585"/>
      <c r="C178" s="585"/>
      <c r="D178" s="585"/>
      <c r="E178" s="585"/>
      <c r="F178" s="585"/>
      <c r="G178" s="585"/>
      <c r="H178" s="585"/>
      <c r="I178" s="585"/>
    </row>
    <row r="179" spans="1:9" x14ac:dyDescent="0.35">
      <c r="A179" s="585"/>
      <c r="B179" s="585"/>
      <c r="C179" s="585"/>
      <c r="D179" s="585"/>
      <c r="E179" s="585"/>
      <c r="F179" s="585"/>
      <c r="G179" s="585"/>
      <c r="H179" s="585"/>
      <c r="I179" s="585"/>
    </row>
    <row r="180" spans="1:9" x14ac:dyDescent="0.35">
      <c r="A180" s="585"/>
      <c r="B180" s="585"/>
      <c r="C180" s="585"/>
      <c r="D180" s="585"/>
      <c r="E180" s="585"/>
      <c r="F180" s="585"/>
      <c r="G180" s="585"/>
      <c r="H180" s="585"/>
      <c r="I180" s="585"/>
    </row>
    <row r="181" spans="1:9" x14ac:dyDescent="0.35">
      <c r="A181" s="585"/>
      <c r="B181" s="585"/>
      <c r="C181" s="585"/>
      <c r="D181" s="585"/>
      <c r="E181" s="585"/>
      <c r="F181" s="585"/>
      <c r="G181" s="585"/>
      <c r="H181" s="585"/>
      <c r="I181" s="585"/>
    </row>
    <row r="182" spans="1:9" x14ac:dyDescent="0.35">
      <c r="A182" s="585"/>
      <c r="B182" s="585"/>
      <c r="C182" s="585"/>
      <c r="D182" s="585"/>
      <c r="E182" s="585"/>
      <c r="F182" s="585"/>
      <c r="G182" s="585"/>
      <c r="H182" s="585"/>
      <c r="I182" s="585"/>
    </row>
    <row r="183" spans="1:9" x14ac:dyDescent="0.35">
      <c r="A183" s="585"/>
      <c r="B183" s="585"/>
      <c r="C183" s="585"/>
      <c r="D183" s="585"/>
      <c r="E183" s="585"/>
      <c r="F183" s="585"/>
      <c r="G183" s="585"/>
      <c r="H183" s="585"/>
      <c r="I183" s="585"/>
    </row>
    <row r="184" spans="1:9" x14ac:dyDescent="0.35">
      <c r="A184" s="585"/>
      <c r="B184" s="585"/>
      <c r="C184" s="585"/>
      <c r="D184" s="585"/>
      <c r="E184" s="585"/>
      <c r="F184" s="585"/>
      <c r="G184" s="585"/>
      <c r="H184" s="585"/>
      <c r="I184" s="585"/>
    </row>
    <row r="185" spans="1:9" x14ac:dyDescent="0.35">
      <c r="A185" s="585"/>
      <c r="B185" s="585"/>
      <c r="C185" s="585"/>
      <c r="D185" s="585"/>
      <c r="E185" s="585"/>
      <c r="F185" s="585"/>
      <c r="G185" s="585"/>
      <c r="H185" s="585"/>
      <c r="I185" s="585"/>
    </row>
    <row r="186" spans="1:9" x14ac:dyDescent="0.35">
      <c r="A186" s="585"/>
      <c r="B186" s="585"/>
      <c r="C186" s="585"/>
      <c r="D186" s="585"/>
      <c r="E186" s="585"/>
      <c r="F186" s="585"/>
      <c r="G186" s="585"/>
      <c r="H186" s="585"/>
      <c r="I186" s="585"/>
    </row>
    <row r="187" spans="1:9" x14ac:dyDescent="0.35">
      <c r="A187" s="585"/>
      <c r="B187" s="585"/>
      <c r="C187" s="585"/>
      <c r="D187" s="585"/>
      <c r="E187" s="585"/>
      <c r="F187" s="585"/>
      <c r="G187" s="585"/>
      <c r="H187" s="585"/>
      <c r="I187" s="585"/>
    </row>
    <row r="188" spans="1:9" x14ac:dyDescent="0.35">
      <c r="A188" s="585"/>
      <c r="B188" s="585"/>
      <c r="C188" s="585"/>
      <c r="D188" s="585"/>
      <c r="E188" s="585"/>
      <c r="F188" s="585"/>
      <c r="G188" s="585"/>
      <c r="H188" s="585"/>
      <c r="I188" s="585"/>
    </row>
    <row r="189" spans="1:9" x14ac:dyDescent="0.35">
      <c r="A189" s="585"/>
      <c r="B189" s="585"/>
      <c r="C189" s="585"/>
      <c r="D189" s="585"/>
      <c r="E189" s="585"/>
      <c r="F189" s="585"/>
      <c r="G189" s="585"/>
      <c r="H189" s="585"/>
      <c r="I189" s="585"/>
    </row>
    <row r="190" spans="1:9" x14ac:dyDescent="0.35">
      <c r="A190" s="585"/>
      <c r="B190" s="585"/>
      <c r="C190" s="585"/>
      <c r="D190" s="585"/>
      <c r="E190" s="585"/>
      <c r="F190" s="585"/>
      <c r="G190" s="585"/>
      <c r="H190" s="585"/>
      <c r="I190" s="585"/>
    </row>
    <row r="191" spans="1:9" x14ac:dyDescent="0.35">
      <c r="A191" s="585"/>
      <c r="B191" s="585"/>
      <c r="C191" s="585"/>
      <c r="D191" s="585"/>
      <c r="E191" s="585"/>
      <c r="F191" s="585"/>
      <c r="G191" s="585"/>
      <c r="H191" s="585"/>
      <c r="I191" s="585"/>
    </row>
    <row r="192" spans="1:9" x14ac:dyDescent="0.35">
      <c r="A192" s="585"/>
      <c r="B192" s="585"/>
      <c r="C192" s="585"/>
      <c r="D192" s="585"/>
      <c r="E192" s="585"/>
      <c r="F192" s="585"/>
      <c r="G192" s="585"/>
      <c r="H192" s="585"/>
      <c r="I192" s="585"/>
    </row>
    <row r="193" spans="1:9" x14ac:dyDescent="0.35">
      <c r="A193" s="585"/>
      <c r="B193" s="585"/>
      <c r="C193" s="585"/>
      <c r="D193" s="585"/>
      <c r="E193" s="585"/>
      <c r="F193" s="585"/>
      <c r="G193" s="585"/>
      <c r="H193" s="585"/>
      <c r="I193" s="585"/>
    </row>
    <row r="194" spans="1:9" x14ac:dyDescent="0.35">
      <c r="A194" s="585"/>
      <c r="B194" s="585"/>
      <c r="C194" s="585"/>
      <c r="D194" s="585"/>
      <c r="E194" s="585"/>
      <c r="F194" s="585"/>
      <c r="G194" s="585"/>
      <c r="H194" s="585"/>
      <c r="I194" s="585"/>
    </row>
    <row r="195" spans="1:9" x14ac:dyDescent="0.35">
      <c r="A195" s="585"/>
      <c r="B195" s="585"/>
      <c r="C195" s="585"/>
      <c r="D195" s="585"/>
      <c r="E195" s="585"/>
      <c r="F195" s="585"/>
      <c r="G195" s="585"/>
      <c r="H195" s="585"/>
      <c r="I195" s="585"/>
    </row>
    <row r="196" spans="1:9" x14ac:dyDescent="0.35">
      <c r="A196" s="585"/>
      <c r="B196" s="585"/>
      <c r="C196" s="585"/>
      <c r="D196" s="585"/>
      <c r="E196" s="585"/>
      <c r="F196" s="585"/>
      <c r="G196" s="585"/>
      <c r="H196" s="585"/>
      <c r="I196" s="585"/>
    </row>
    <row r="197" spans="1:9" x14ac:dyDescent="0.35">
      <c r="A197" s="585"/>
      <c r="B197" s="585"/>
      <c r="C197" s="585"/>
      <c r="D197" s="585"/>
      <c r="E197" s="585"/>
      <c r="F197" s="585"/>
      <c r="G197" s="585"/>
      <c r="H197" s="585"/>
      <c r="I197" s="585"/>
    </row>
    <row r="198" spans="1:9" x14ac:dyDescent="0.35">
      <c r="A198" s="585"/>
      <c r="B198" s="585"/>
      <c r="C198" s="585"/>
      <c r="D198" s="585"/>
      <c r="E198" s="585"/>
      <c r="F198" s="585"/>
      <c r="G198" s="585"/>
      <c r="H198" s="585"/>
      <c r="I198" s="585"/>
    </row>
    <row r="199" spans="1:9" x14ac:dyDescent="0.35">
      <c r="A199" s="585"/>
      <c r="B199" s="585"/>
      <c r="C199" s="585"/>
      <c r="D199" s="585"/>
      <c r="E199" s="585"/>
      <c r="F199" s="585"/>
      <c r="G199" s="585"/>
      <c r="H199" s="585"/>
      <c r="I199" s="585"/>
    </row>
    <row r="200" spans="1:9" x14ac:dyDescent="0.35">
      <c r="A200" s="585"/>
      <c r="B200" s="585"/>
      <c r="C200" s="585"/>
      <c r="D200" s="585"/>
      <c r="E200" s="585"/>
      <c r="F200" s="585"/>
      <c r="G200" s="585"/>
      <c r="H200" s="585"/>
      <c r="I200" s="585"/>
    </row>
  </sheetData>
  <mergeCells count="6">
    <mergeCell ref="A33:I33"/>
    <mergeCell ref="J6:M6"/>
    <mergeCell ref="A2:I2"/>
    <mergeCell ref="A4:I4"/>
    <mergeCell ref="A6:I6"/>
    <mergeCell ref="A25:I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884"/>
  <sheetViews>
    <sheetView showGridLines="0" workbookViewId="0">
      <pane xSplit="1" ySplit="10" topLeftCell="B92" activePane="bottomRight" state="frozen"/>
      <selection pane="topRight"/>
      <selection pane="bottomLeft"/>
      <selection pane="bottomRight" activeCell="B11" sqref="B11"/>
    </sheetView>
  </sheetViews>
  <sheetFormatPr defaultRowHeight="14.5" x14ac:dyDescent="0.35"/>
  <cols>
    <col min="1" max="1" width="52" customWidth="1"/>
    <col min="2" max="2" width="12" customWidth="1"/>
    <col min="3" max="3" width="15" customWidth="1"/>
    <col min="4" max="5" width="14" customWidth="1"/>
    <col min="6" max="7" width="24" customWidth="1"/>
    <col min="8" max="8" width="22" hidden="1" customWidth="1"/>
    <col min="9" max="9" width="24" hidden="1" customWidth="1"/>
    <col min="10" max="10" width="34" hidden="1" customWidth="1"/>
    <col min="11" max="11" width="28" hidden="1" customWidth="1"/>
    <col min="12" max="12" width="24" hidden="1" customWidth="1"/>
    <col min="13" max="13" width="23" hidden="1" customWidth="1"/>
    <col min="14" max="14" width="28" hidden="1" customWidth="1"/>
    <col min="15" max="15" width="48" hidden="1" customWidth="1"/>
    <col min="16" max="16" width="18" hidden="1" customWidth="1"/>
    <col min="17" max="17" width="28" hidden="1" customWidth="1"/>
    <col min="18" max="18" width="11" hidden="1" customWidth="1"/>
    <col min="19" max="19" width="28" hidden="1" customWidth="1"/>
    <col min="20" max="20" width="34" hidden="1" customWidth="1"/>
  </cols>
  <sheetData>
    <row r="1" spans="1:20" ht="28" customHeight="1" x14ac:dyDescent="0.35">
      <c r="A1" s="1157" t="s">
        <v>3708</v>
      </c>
      <c r="B1" s="1157"/>
      <c r="C1" s="1157"/>
      <c r="D1" s="1157"/>
      <c r="E1" s="1157"/>
      <c r="F1" s="1157"/>
      <c r="G1" s="1157"/>
      <c r="H1" s="794"/>
      <c r="I1" s="794"/>
      <c r="J1" s="794"/>
      <c r="K1" s="794"/>
      <c r="L1" s="794"/>
      <c r="M1" s="794"/>
      <c r="N1" s="794"/>
      <c r="O1" s="794"/>
      <c r="P1" s="794"/>
      <c r="Q1" s="794"/>
      <c r="R1" s="794"/>
      <c r="S1" s="794"/>
      <c r="T1" s="794"/>
    </row>
    <row r="2" spans="1:20" ht="24" customHeight="1" x14ac:dyDescent="0.35">
      <c r="A2" s="1158" t="s">
        <v>3709</v>
      </c>
      <c r="B2" s="1158"/>
      <c r="C2" s="1158"/>
      <c r="D2" s="1158"/>
      <c r="E2" s="1158"/>
      <c r="F2" s="1158"/>
      <c r="G2" s="1158"/>
      <c r="H2" s="794"/>
      <c r="I2" s="794"/>
      <c r="J2" s="794"/>
      <c r="K2" s="794"/>
      <c r="L2" s="794"/>
      <c r="M2" s="794"/>
      <c r="N2" s="794"/>
      <c r="O2" s="794"/>
      <c r="P2" s="794"/>
      <c r="Q2" s="794"/>
      <c r="R2" s="794"/>
      <c r="S2" s="794"/>
      <c r="T2" s="794"/>
    </row>
    <row r="3" spans="1:20" ht="15" customHeight="1" x14ac:dyDescent="0.35">
      <c r="A3" s="795" t="s">
        <v>3710</v>
      </c>
      <c r="B3" s="795">
        <v>716</v>
      </c>
      <c r="C3" s="795" t="s">
        <v>3711</v>
      </c>
      <c r="D3" s="795">
        <v>877</v>
      </c>
      <c r="E3" s="795" t="s">
        <v>3712</v>
      </c>
      <c r="F3" s="795">
        <v>180</v>
      </c>
      <c r="G3" s="796" t="s">
        <v>3713</v>
      </c>
      <c r="H3" s="794"/>
      <c r="I3" s="794"/>
      <c r="J3" s="794"/>
      <c r="K3" s="794"/>
      <c r="L3" s="794"/>
      <c r="M3" s="794"/>
      <c r="N3" s="794"/>
      <c r="O3" s="794"/>
      <c r="P3" s="794"/>
      <c r="Q3" s="794"/>
      <c r="R3" s="794"/>
      <c r="S3" s="794"/>
      <c r="T3" s="794"/>
    </row>
    <row r="4" spans="1:20" ht="15" customHeight="1" x14ac:dyDescent="0.35">
      <c r="A4" s="797" t="s">
        <v>3714</v>
      </c>
      <c r="B4" s="797" t="s">
        <v>3715</v>
      </c>
      <c r="C4" s="797" t="s">
        <v>3716</v>
      </c>
      <c r="D4" s="797" t="s">
        <v>3717</v>
      </c>
      <c r="E4" s="797" t="s">
        <v>3718</v>
      </c>
      <c r="F4" s="797" t="s">
        <v>3719</v>
      </c>
      <c r="G4" s="797"/>
      <c r="H4" s="794"/>
      <c r="I4" s="794"/>
      <c r="J4" s="794"/>
      <c r="K4" s="794"/>
      <c r="L4" s="794"/>
      <c r="M4" s="794"/>
      <c r="N4" s="794"/>
      <c r="O4" s="794"/>
      <c r="P4" s="794"/>
      <c r="Q4" s="794"/>
      <c r="R4" s="794"/>
      <c r="S4" s="794"/>
      <c r="T4" s="794"/>
    </row>
    <row r="5" spans="1:20" ht="15" customHeight="1" x14ac:dyDescent="0.35">
      <c r="A5" s="797" t="s">
        <v>3720</v>
      </c>
      <c r="B5" s="797" t="s">
        <v>3721</v>
      </c>
      <c r="C5" s="797" t="s">
        <v>3722</v>
      </c>
      <c r="D5" s="797"/>
      <c r="E5" s="797"/>
      <c r="F5" s="797"/>
      <c r="G5" s="797"/>
      <c r="H5" s="794"/>
      <c r="I5" s="794"/>
      <c r="J5" s="794"/>
      <c r="K5" s="794"/>
      <c r="L5" s="794"/>
      <c r="M5" s="794"/>
      <c r="N5" s="794"/>
      <c r="O5" s="794"/>
      <c r="P5" s="794"/>
      <c r="Q5" s="794"/>
      <c r="R5" s="794"/>
      <c r="S5" s="794"/>
      <c r="T5" s="794"/>
    </row>
    <row r="6" spans="1:20" ht="15" customHeight="1" x14ac:dyDescent="0.35">
      <c r="A6" s="1159" t="s">
        <v>3723</v>
      </c>
      <c r="B6" s="1159"/>
      <c r="C6" s="1159"/>
      <c r="D6" s="1159"/>
      <c r="E6" s="1159"/>
      <c r="F6" s="1159"/>
      <c r="G6" s="1159"/>
      <c r="H6" s="794"/>
      <c r="I6" s="794"/>
      <c r="J6" s="794"/>
      <c r="K6" s="794"/>
      <c r="L6" s="794"/>
      <c r="M6" s="794"/>
      <c r="N6" s="794"/>
      <c r="O6" s="794"/>
      <c r="P6" s="794"/>
      <c r="Q6" s="794"/>
      <c r="R6" s="794"/>
      <c r="S6" s="794"/>
      <c r="T6" s="794"/>
    </row>
    <row r="7" spans="1:20" ht="15" customHeight="1" x14ac:dyDescent="0.35">
      <c r="A7" s="1159" t="s">
        <v>3724</v>
      </c>
      <c r="B7" s="1159"/>
      <c r="C7" s="1159"/>
      <c r="D7" s="1159"/>
      <c r="E7" s="1159"/>
      <c r="F7" s="1159"/>
      <c r="G7" s="1159"/>
      <c r="H7" s="794"/>
      <c r="I7" s="794"/>
      <c r="J7" s="794"/>
      <c r="K7" s="794"/>
      <c r="L7" s="794"/>
      <c r="M7" s="794"/>
      <c r="N7" s="794"/>
      <c r="O7" s="794"/>
      <c r="P7" s="794"/>
      <c r="Q7" s="794"/>
      <c r="R7" s="794"/>
      <c r="S7" s="794"/>
      <c r="T7" s="794"/>
    </row>
    <row r="8" spans="1:20" ht="15" customHeight="1" x14ac:dyDescent="0.35">
      <c r="A8" s="1160" t="s">
        <v>3725</v>
      </c>
      <c r="B8" s="1160"/>
      <c r="C8" s="1160"/>
      <c r="D8" s="1160"/>
      <c r="E8" s="1160"/>
      <c r="F8" s="1160"/>
      <c r="G8" s="1160"/>
      <c r="H8" s="794"/>
      <c r="I8" s="794"/>
      <c r="J8" s="794"/>
      <c r="K8" s="794"/>
      <c r="L8" s="794"/>
      <c r="M8" s="794"/>
      <c r="N8" s="794"/>
      <c r="O8" s="794"/>
      <c r="P8" s="794"/>
      <c r="Q8" s="794"/>
      <c r="R8" s="794"/>
      <c r="S8" s="794"/>
      <c r="T8" s="794"/>
    </row>
    <row r="9" spans="1:20" ht="15" customHeight="1" x14ac:dyDescent="0.35">
      <c r="A9" s="1156" t="s">
        <v>3726</v>
      </c>
      <c r="B9" s="1156"/>
      <c r="C9" s="1156"/>
      <c r="D9" s="1156"/>
      <c r="E9" s="1156"/>
      <c r="F9" s="1156"/>
      <c r="G9" s="1156"/>
      <c r="H9" s="794"/>
      <c r="I9" s="794"/>
      <c r="J9" s="794"/>
      <c r="K9" s="794"/>
      <c r="L9" s="794"/>
      <c r="M9" s="794"/>
      <c r="N9" s="794"/>
      <c r="O9" s="794"/>
      <c r="P9" s="794"/>
      <c r="Q9" s="794"/>
      <c r="R9" s="794"/>
      <c r="S9" s="794"/>
      <c r="T9" s="794"/>
    </row>
    <row r="10" spans="1:20" ht="22" customHeight="1" x14ac:dyDescent="0.35">
      <c r="A10" s="798" t="s">
        <v>3727</v>
      </c>
      <c r="B10" s="798" t="s">
        <v>1031</v>
      </c>
      <c r="C10" s="798" t="s">
        <v>1047</v>
      </c>
      <c r="D10" s="798" t="s">
        <v>3728</v>
      </c>
      <c r="E10" s="798" t="s">
        <v>3729</v>
      </c>
      <c r="F10" s="798" t="s">
        <v>3730</v>
      </c>
      <c r="G10" s="798" t="s">
        <v>622</v>
      </c>
      <c r="H10" s="798" t="s">
        <v>3731</v>
      </c>
      <c r="I10" s="798" t="s">
        <v>3362</v>
      </c>
      <c r="J10" s="798" t="s">
        <v>3732</v>
      </c>
      <c r="K10" s="798" t="s">
        <v>3733</v>
      </c>
      <c r="L10" s="798" t="s">
        <v>3734</v>
      </c>
      <c r="M10" s="798" t="s">
        <v>3735</v>
      </c>
      <c r="N10" s="798" t="s">
        <v>3736</v>
      </c>
      <c r="O10" s="798" t="s">
        <v>3737</v>
      </c>
      <c r="P10" s="798" t="s">
        <v>3738</v>
      </c>
      <c r="Q10" s="798" t="s">
        <v>3739</v>
      </c>
      <c r="R10" s="798" t="s">
        <v>3740</v>
      </c>
      <c r="S10" s="798" t="s">
        <v>3741</v>
      </c>
      <c r="T10" s="798" t="s">
        <v>3742</v>
      </c>
    </row>
    <row r="11" spans="1:20" ht="21" customHeight="1" x14ac:dyDescent="0.35">
      <c r="A11" s="799" t="s">
        <v>3743</v>
      </c>
      <c r="B11" s="799" t="s">
        <v>3744</v>
      </c>
      <c r="C11" s="799"/>
      <c r="D11" s="799"/>
      <c r="E11" s="799"/>
      <c r="F11" s="799"/>
      <c r="G11" s="799" t="s">
        <v>3745</v>
      </c>
      <c r="H11" s="794"/>
      <c r="I11" s="794"/>
      <c r="J11" s="794"/>
      <c r="K11" s="794"/>
      <c r="L11" s="794"/>
      <c r="M11" s="794"/>
      <c r="N11" s="794"/>
      <c r="O11" s="794"/>
      <c r="P11" s="794"/>
      <c r="Q11" s="794"/>
      <c r="R11" s="794"/>
      <c r="S11" s="794"/>
      <c r="T11" s="794"/>
    </row>
    <row r="12" spans="1:20" ht="15" customHeight="1" x14ac:dyDescent="0.35">
      <c r="A12" s="800" t="s">
        <v>3746</v>
      </c>
      <c r="B12" s="800"/>
      <c r="C12" s="800"/>
      <c r="D12" s="800"/>
      <c r="E12" s="800"/>
      <c r="F12" s="800"/>
      <c r="G12" s="800" t="s">
        <v>3747</v>
      </c>
      <c r="H12" s="794"/>
      <c r="I12" s="794"/>
      <c r="J12" s="794"/>
      <c r="K12" s="794"/>
      <c r="L12" s="794"/>
      <c r="M12" s="794"/>
      <c r="N12" s="794"/>
      <c r="O12" s="794"/>
      <c r="P12" s="794"/>
      <c r="Q12" s="794"/>
      <c r="R12" s="794"/>
      <c r="S12" s="794"/>
      <c r="T12" s="794"/>
    </row>
    <row r="13" spans="1:20" ht="30" customHeight="1" x14ac:dyDescent="0.35">
      <c r="A13" s="815" t="s">
        <v>3748</v>
      </c>
      <c r="B13" s="815" t="s">
        <v>3749</v>
      </c>
      <c r="C13" s="816" t="s">
        <v>3750</v>
      </c>
      <c r="D13" s="821"/>
      <c r="E13" s="821"/>
      <c r="F13" s="821">
        <v>20</v>
      </c>
      <c r="G13" s="817" t="s">
        <v>3751</v>
      </c>
      <c r="H13" s="813" t="s">
        <v>3752</v>
      </c>
      <c r="I13" s="813" t="s">
        <v>3753</v>
      </c>
      <c r="J13" s="813" t="s">
        <v>3753</v>
      </c>
      <c r="K13" s="813" t="s">
        <v>3754</v>
      </c>
      <c r="L13" s="813" t="s">
        <v>3755</v>
      </c>
      <c r="M13" s="813" t="s">
        <v>3756</v>
      </c>
      <c r="N13" s="813" t="s">
        <v>3757</v>
      </c>
      <c r="O13" s="813" t="s">
        <v>3758</v>
      </c>
      <c r="P13" s="813" t="s">
        <v>3759</v>
      </c>
      <c r="Q13" s="813" t="s">
        <v>3759</v>
      </c>
      <c r="R13" s="813">
        <v>1</v>
      </c>
      <c r="S13" s="813" t="s">
        <v>3753</v>
      </c>
      <c r="T13" s="813" t="s">
        <v>3760</v>
      </c>
    </row>
    <row r="14" spans="1:20" ht="30" customHeight="1" x14ac:dyDescent="0.35">
      <c r="A14" s="815" t="s">
        <v>3761</v>
      </c>
      <c r="B14" s="815" t="s">
        <v>3749</v>
      </c>
      <c r="C14" s="816" t="s">
        <v>525</v>
      </c>
      <c r="D14" s="821"/>
      <c r="E14" s="821"/>
      <c r="F14" s="821">
        <v>15000</v>
      </c>
      <c r="G14" s="817" t="s">
        <v>3751</v>
      </c>
      <c r="H14" s="813" t="s">
        <v>3752</v>
      </c>
      <c r="I14" s="813" t="s">
        <v>3753</v>
      </c>
      <c r="J14" s="813" t="s">
        <v>3753</v>
      </c>
      <c r="K14" s="813" t="s">
        <v>3754</v>
      </c>
      <c r="L14" s="813" t="s">
        <v>3755</v>
      </c>
      <c r="M14" s="813" t="s">
        <v>3756</v>
      </c>
      <c r="N14" s="813" t="s">
        <v>3757</v>
      </c>
      <c r="O14" s="813" t="s">
        <v>3762</v>
      </c>
      <c r="P14" s="813" t="s">
        <v>3763</v>
      </c>
      <c r="Q14" s="813" t="s">
        <v>3763</v>
      </c>
      <c r="R14" s="813">
        <v>1</v>
      </c>
      <c r="S14" s="813" t="s">
        <v>3753</v>
      </c>
      <c r="T14" s="813" t="s">
        <v>3760</v>
      </c>
    </row>
    <row r="15" spans="1:20" ht="30" customHeight="1" x14ac:dyDescent="0.35">
      <c r="A15" s="815" t="s">
        <v>3764</v>
      </c>
      <c r="B15" s="815" t="s">
        <v>3749</v>
      </c>
      <c r="C15" s="816" t="s">
        <v>3765</v>
      </c>
      <c r="D15" s="821"/>
      <c r="E15" s="821"/>
      <c r="F15" s="821">
        <v>300</v>
      </c>
      <c r="G15" s="817" t="s">
        <v>3766</v>
      </c>
      <c r="H15" s="813" t="s">
        <v>3752</v>
      </c>
      <c r="I15" s="813" t="s">
        <v>3753</v>
      </c>
      <c r="J15" s="813" t="s">
        <v>3753</v>
      </c>
      <c r="K15" s="813" t="s">
        <v>3767</v>
      </c>
      <c r="L15" s="813" t="s">
        <v>3755</v>
      </c>
      <c r="M15" s="813" t="s">
        <v>3756</v>
      </c>
      <c r="N15" s="813" t="s">
        <v>3768</v>
      </c>
      <c r="O15" s="813" t="s">
        <v>3769</v>
      </c>
      <c r="P15" s="813" t="s">
        <v>3770</v>
      </c>
      <c r="Q15" s="813" t="s">
        <v>3770</v>
      </c>
      <c r="R15" s="813">
        <v>1</v>
      </c>
      <c r="S15" s="813" t="s">
        <v>3753</v>
      </c>
      <c r="T15" s="813" t="s">
        <v>3760</v>
      </c>
    </row>
    <row r="16" spans="1:20" ht="30" customHeight="1" x14ac:dyDescent="0.35">
      <c r="A16" s="815" t="s">
        <v>3771</v>
      </c>
      <c r="B16" s="815" t="s">
        <v>3749</v>
      </c>
      <c r="C16" s="816" t="s">
        <v>3772</v>
      </c>
      <c r="D16" s="821"/>
      <c r="E16" s="821"/>
      <c r="F16" s="821">
        <v>30</v>
      </c>
      <c r="G16" s="817" t="s">
        <v>3766</v>
      </c>
      <c r="H16" s="813" t="s">
        <v>3752</v>
      </c>
      <c r="I16" s="813" t="s">
        <v>3753</v>
      </c>
      <c r="J16" s="813" t="s">
        <v>3753</v>
      </c>
      <c r="K16" s="813" t="s">
        <v>3767</v>
      </c>
      <c r="L16" s="813" t="s">
        <v>3755</v>
      </c>
      <c r="M16" s="813" t="s">
        <v>3756</v>
      </c>
      <c r="N16" s="813" t="s">
        <v>3773</v>
      </c>
      <c r="O16" s="813" t="s">
        <v>3774</v>
      </c>
      <c r="P16" s="813" t="s">
        <v>3775</v>
      </c>
      <c r="Q16" s="813" t="s">
        <v>3775</v>
      </c>
      <c r="R16" s="813">
        <v>1</v>
      </c>
      <c r="S16" s="813" t="s">
        <v>3753</v>
      </c>
      <c r="T16" s="813" t="s">
        <v>3760</v>
      </c>
    </row>
    <row r="17" spans="1:20" ht="30" customHeight="1" x14ac:dyDescent="0.35">
      <c r="A17" s="815" t="s">
        <v>3776</v>
      </c>
      <c r="B17" s="815" t="s">
        <v>3749</v>
      </c>
      <c r="C17" s="816" t="s">
        <v>3777</v>
      </c>
      <c r="D17" s="821"/>
      <c r="E17" s="821"/>
      <c r="F17" s="821">
        <v>10</v>
      </c>
      <c r="G17" s="817" t="s">
        <v>3766</v>
      </c>
      <c r="H17" s="813" t="s">
        <v>3752</v>
      </c>
      <c r="I17" s="813" t="s">
        <v>3753</v>
      </c>
      <c r="J17" s="813" t="s">
        <v>3753</v>
      </c>
      <c r="K17" s="813" t="s">
        <v>3767</v>
      </c>
      <c r="L17" s="813" t="s">
        <v>3755</v>
      </c>
      <c r="M17" s="813" t="s">
        <v>3756</v>
      </c>
      <c r="N17" s="813" t="s">
        <v>3773</v>
      </c>
      <c r="O17" s="813" t="s">
        <v>3778</v>
      </c>
      <c r="P17" s="813" t="s">
        <v>3779</v>
      </c>
      <c r="Q17" s="813" t="s">
        <v>3779</v>
      </c>
      <c r="R17" s="813">
        <v>1</v>
      </c>
      <c r="S17" s="813" t="s">
        <v>3753</v>
      </c>
      <c r="T17" s="813" t="s">
        <v>3760</v>
      </c>
    </row>
    <row r="18" spans="1:20" ht="30" customHeight="1" x14ac:dyDescent="0.35">
      <c r="A18" s="815" t="s">
        <v>3780</v>
      </c>
      <c r="B18" s="815" t="s">
        <v>3749</v>
      </c>
      <c r="C18" s="816" t="s">
        <v>3781</v>
      </c>
      <c r="D18" s="821"/>
      <c r="E18" s="821"/>
      <c r="F18" s="821">
        <v>4</v>
      </c>
      <c r="G18" s="817" t="s">
        <v>3766</v>
      </c>
      <c r="H18" s="813" t="s">
        <v>3752</v>
      </c>
      <c r="I18" s="813" t="s">
        <v>3753</v>
      </c>
      <c r="J18" s="813" t="s">
        <v>3753</v>
      </c>
      <c r="K18" s="813" t="s">
        <v>3767</v>
      </c>
      <c r="L18" s="813" t="s">
        <v>3755</v>
      </c>
      <c r="M18" s="813" t="s">
        <v>3756</v>
      </c>
      <c r="N18" s="813" t="s">
        <v>3773</v>
      </c>
      <c r="O18" s="813" t="s">
        <v>3782</v>
      </c>
      <c r="P18" s="813" t="s">
        <v>3783</v>
      </c>
      <c r="Q18" s="813" t="s">
        <v>3783</v>
      </c>
      <c r="R18" s="813">
        <v>1</v>
      </c>
      <c r="S18" s="813" t="s">
        <v>3753</v>
      </c>
      <c r="T18" s="813" t="s">
        <v>3760</v>
      </c>
    </row>
    <row r="19" spans="1:20" ht="30" customHeight="1" x14ac:dyDescent="0.35">
      <c r="A19" s="815" t="s">
        <v>3784</v>
      </c>
      <c r="B19" s="815" t="s">
        <v>3749</v>
      </c>
      <c r="C19" s="816" t="s">
        <v>3785</v>
      </c>
      <c r="D19" s="821"/>
      <c r="E19" s="821"/>
      <c r="F19" s="821">
        <v>50</v>
      </c>
      <c r="G19" s="817" t="s">
        <v>3766</v>
      </c>
      <c r="H19" s="813" t="s">
        <v>3752</v>
      </c>
      <c r="I19" s="813" t="s">
        <v>3753</v>
      </c>
      <c r="J19" s="813" t="s">
        <v>3753</v>
      </c>
      <c r="K19" s="813" t="s">
        <v>3767</v>
      </c>
      <c r="L19" s="813" t="s">
        <v>3755</v>
      </c>
      <c r="M19" s="813" t="s">
        <v>3756</v>
      </c>
      <c r="N19" s="813" t="s">
        <v>3773</v>
      </c>
      <c r="O19" s="813" t="s">
        <v>3786</v>
      </c>
      <c r="P19" s="813" t="s">
        <v>3787</v>
      </c>
      <c r="Q19" s="813" t="s">
        <v>3787</v>
      </c>
      <c r="R19" s="813">
        <v>1</v>
      </c>
      <c r="S19" s="813" t="s">
        <v>3753</v>
      </c>
      <c r="T19" s="813" t="s">
        <v>3760</v>
      </c>
    </row>
    <row r="20" spans="1:20" ht="30" customHeight="1" x14ac:dyDescent="0.35">
      <c r="A20" s="815" t="s">
        <v>3788</v>
      </c>
      <c r="B20" s="815" t="s">
        <v>3749</v>
      </c>
      <c r="C20" s="816" t="s">
        <v>3789</v>
      </c>
      <c r="D20" s="821"/>
      <c r="E20" s="821">
        <v>25</v>
      </c>
      <c r="F20" s="822"/>
      <c r="G20" s="817" t="s">
        <v>3790</v>
      </c>
      <c r="H20" s="813" t="s">
        <v>3752</v>
      </c>
      <c r="I20" s="813" t="s">
        <v>3753</v>
      </c>
      <c r="J20" s="813" t="s">
        <v>3753</v>
      </c>
      <c r="K20" s="813" t="s">
        <v>3791</v>
      </c>
      <c r="L20" s="813" t="s">
        <v>3755</v>
      </c>
      <c r="M20" s="813" t="s">
        <v>3756</v>
      </c>
      <c r="N20" s="813" t="s">
        <v>3757</v>
      </c>
      <c r="O20" s="813" t="s">
        <v>3792</v>
      </c>
      <c r="P20" s="813" t="s">
        <v>3793</v>
      </c>
      <c r="Q20" s="813" t="s">
        <v>3793</v>
      </c>
      <c r="R20" s="813">
        <v>1</v>
      </c>
      <c r="S20" s="813" t="s">
        <v>3753</v>
      </c>
      <c r="T20" s="813" t="s">
        <v>3760</v>
      </c>
    </row>
    <row r="21" spans="1:20" ht="30" customHeight="1" x14ac:dyDescent="0.35">
      <c r="A21" s="815" t="s">
        <v>3794</v>
      </c>
      <c r="B21" s="815" t="s">
        <v>3749</v>
      </c>
      <c r="C21" s="816" t="s">
        <v>3789</v>
      </c>
      <c r="D21" s="821"/>
      <c r="E21" s="821">
        <v>120</v>
      </c>
      <c r="F21" s="822"/>
      <c r="G21" s="817" t="s">
        <v>3790</v>
      </c>
      <c r="H21" s="813" t="s">
        <v>3752</v>
      </c>
      <c r="I21" s="813" t="s">
        <v>3753</v>
      </c>
      <c r="J21" s="813" t="s">
        <v>3753</v>
      </c>
      <c r="K21" s="813" t="s">
        <v>3795</v>
      </c>
      <c r="L21" s="813" t="s">
        <v>3755</v>
      </c>
      <c r="M21" s="813" t="s">
        <v>3756</v>
      </c>
      <c r="N21" s="813" t="s">
        <v>3796</v>
      </c>
      <c r="O21" s="813" t="s">
        <v>3797</v>
      </c>
      <c r="P21" s="813" t="s">
        <v>3798</v>
      </c>
      <c r="Q21" s="813" t="s">
        <v>3798</v>
      </c>
      <c r="R21" s="813">
        <v>1</v>
      </c>
      <c r="S21" s="813" t="s">
        <v>3753</v>
      </c>
      <c r="T21" s="813" t="s">
        <v>3760</v>
      </c>
    </row>
    <row r="22" spans="1:20" ht="30" customHeight="1" x14ac:dyDescent="0.35">
      <c r="A22" s="815" t="s">
        <v>3799</v>
      </c>
      <c r="B22" s="815" t="s">
        <v>3749</v>
      </c>
      <c r="C22" s="816" t="s">
        <v>83</v>
      </c>
      <c r="D22" s="821"/>
      <c r="E22" s="821"/>
      <c r="F22" s="823">
        <v>0.35</v>
      </c>
      <c r="G22" s="817" t="s">
        <v>3766</v>
      </c>
      <c r="H22" s="813" t="s">
        <v>3752</v>
      </c>
      <c r="I22" s="813" t="s">
        <v>3753</v>
      </c>
      <c r="J22" s="813" t="s">
        <v>3753</v>
      </c>
      <c r="K22" s="813" t="s">
        <v>3800</v>
      </c>
      <c r="L22" s="813" t="s">
        <v>3755</v>
      </c>
      <c r="M22" s="813" t="s">
        <v>3756</v>
      </c>
      <c r="N22" s="813" t="s">
        <v>3801</v>
      </c>
      <c r="O22" s="813" t="s">
        <v>3802</v>
      </c>
      <c r="P22" s="813" t="s">
        <v>3803</v>
      </c>
      <c r="Q22" s="813" t="s">
        <v>3803</v>
      </c>
      <c r="R22" s="813">
        <v>1</v>
      </c>
      <c r="S22" s="813" t="s">
        <v>3753</v>
      </c>
      <c r="T22" s="813" t="s">
        <v>3760</v>
      </c>
    </row>
    <row r="23" spans="1:20" ht="15" customHeight="1" x14ac:dyDescent="0.35">
      <c r="A23" s="800" t="s">
        <v>3804</v>
      </c>
      <c r="B23" s="800"/>
      <c r="C23" s="800"/>
      <c r="D23" s="800"/>
      <c r="E23" s="800"/>
      <c r="F23" s="800"/>
      <c r="G23" s="800" t="s">
        <v>3805</v>
      </c>
      <c r="H23" s="794"/>
      <c r="I23" s="794"/>
      <c r="J23" s="794"/>
      <c r="K23" s="794"/>
      <c r="L23" s="794"/>
      <c r="M23" s="794"/>
      <c r="N23" s="794"/>
      <c r="O23" s="794"/>
      <c r="P23" s="794"/>
      <c r="Q23" s="794"/>
      <c r="R23" s="794"/>
      <c r="S23" s="794"/>
      <c r="T23" s="794"/>
    </row>
    <row r="24" spans="1:20" ht="30" customHeight="1" x14ac:dyDescent="0.35">
      <c r="A24" s="815" t="s">
        <v>3806</v>
      </c>
      <c r="B24" s="815" t="s">
        <v>3749</v>
      </c>
      <c r="C24" s="816" t="s">
        <v>3807</v>
      </c>
      <c r="D24" s="821"/>
      <c r="E24" s="821"/>
      <c r="F24" s="821">
        <v>2030</v>
      </c>
      <c r="G24" s="817" t="s">
        <v>3766</v>
      </c>
      <c r="H24" s="813" t="s">
        <v>3752</v>
      </c>
      <c r="I24" s="813" t="s">
        <v>3808</v>
      </c>
      <c r="J24" s="813" t="s">
        <v>3808</v>
      </c>
      <c r="K24" s="813" t="s">
        <v>3809</v>
      </c>
      <c r="L24" s="813" t="s">
        <v>3755</v>
      </c>
      <c r="M24" s="813" t="s">
        <v>3756</v>
      </c>
      <c r="N24" s="813" t="s">
        <v>3796</v>
      </c>
      <c r="O24" s="813" t="s">
        <v>3810</v>
      </c>
      <c r="P24" s="813" t="s">
        <v>3811</v>
      </c>
      <c r="Q24" s="813" t="s">
        <v>3811</v>
      </c>
      <c r="R24" s="813">
        <v>1</v>
      </c>
      <c r="S24" s="813" t="s">
        <v>3808</v>
      </c>
      <c r="T24" s="813" t="s">
        <v>3760</v>
      </c>
    </row>
    <row r="25" spans="1:20" ht="30" customHeight="1" x14ac:dyDescent="0.35">
      <c r="A25" s="815" t="s">
        <v>3812</v>
      </c>
      <c r="B25" s="815" t="s">
        <v>3749</v>
      </c>
      <c r="C25" s="816" t="s">
        <v>3813</v>
      </c>
      <c r="D25" s="821"/>
      <c r="E25" s="821">
        <v>2.5</v>
      </c>
      <c r="F25" s="822"/>
      <c r="G25" s="817" t="s">
        <v>3766</v>
      </c>
      <c r="H25" s="813" t="s">
        <v>3752</v>
      </c>
      <c r="I25" s="813" t="s">
        <v>3808</v>
      </c>
      <c r="J25" s="813" t="s">
        <v>3808</v>
      </c>
      <c r="K25" s="813" t="s">
        <v>3814</v>
      </c>
      <c r="L25" s="813" t="s">
        <v>3755</v>
      </c>
      <c r="M25" s="813" t="s">
        <v>3756</v>
      </c>
      <c r="N25" s="813" t="s">
        <v>3815</v>
      </c>
      <c r="O25" s="813" t="s">
        <v>3816</v>
      </c>
      <c r="P25" s="813" t="s">
        <v>3817</v>
      </c>
      <c r="Q25" s="813" t="s">
        <v>3817</v>
      </c>
      <c r="R25" s="813">
        <v>1</v>
      </c>
      <c r="S25" s="813" t="s">
        <v>3808</v>
      </c>
      <c r="T25" s="813" t="s">
        <v>3760</v>
      </c>
    </row>
    <row r="26" spans="1:20" ht="30" customHeight="1" x14ac:dyDescent="0.35">
      <c r="A26" s="815" t="s">
        <v>3818</v>
      </c>
      <c r="B26" s="815" t="s">
        <v>3749</v>
      </c>
      <c r="C26" s="816" t="s">
        <v>3813</v>
      </c>
      <c r="D26" s="821"/>
      <c r="E26" s="821">
        <v>8</v>
      </c>
      <c r="F26" s="822"/>
      <c r="G26" s="817" t="s">
        <v>3766</v>
      </c>
      <c r="H26" s="813" t="s">
        <v>3752</v>
      </c>
      <c r="I26" s="813" t="s">
        <v>3808</v>
      </c>
      <c r="J26" s="813" t="s">
        <v>3808</v>
      </c>
      <c r="K26" s="813" t="s">
        <v>3814</v>
      </c>
      <c r="L26" s="813" t="s">
        <v>3755</v>
      </c>
      <c r="M26" s="813" t="s">
        <v>3756</v>
      </c>
      <c r="N26" s="813" t="s">
        <v>3815</v>
      </c>
      <c r="O26" s="813" t="s">
        <v>3819</v>
      </c>
      <c r="P26" s="813" t="s">
        <v>3820</v>
      </c>
      <c r="Q26" s="813" t="s">
        <v>3820</v>
      </c>
      <c r="R26" s="813">
        <v>1</v>
      </c>
      <c r="S26" s="813" t="s">
        <v>3808</v>
      </c>
      <c r="T26" s="813" t="s">
        <v>3760</v>
      </c>
    </row>
    <row r="27" spans="1:20" ht="30" customHeight="1" x14ac:dyDescent="0.35">
      <c r="A27" s="815" t="s">
        <v>3821</v>
      </c>
      <c r="B27" s="815" t="s">
        <v>3749</v>
      </c>
      <c r="C27" s="816" t="s">
        <v>795</v>
      </c>
      <c r="D27" s="821"/>
      <c r="E27" s="821"/>
      <c r="F27" s="824">
        <v>6</v>
      </c>
      <c r="G27" s="817" t="s">
        <v>3822</v>
      </c>
      <c r="H27" s="813" t="s">
        <v>3752</v>
      </c>
      <c r="I27" s="813" t="s">
        <v>3808</v>
      </c>
      <c r="J27" s="813" t="s">
        <v>3808</v>
      </c>
      <c r="K27" s="813" t="s">
        <v>3823</v>
      </c>
      <c r="L27" s="813" t="s">
        <v>3755</v>
      </c>
      <c r="M27" s="813" t="s">
        <v>3756</v>
      </c>
      <c r="N27" s="813" t="s">
        <v>3796</v>
      </c>
      <c r="O27" s="813" t="s">
        <v>3824</v>
      </c>
      <c r="P27" s="813" t="s">
        <v>3825</v>
      </c>
      <c r="Q27" s="813" t="s">
        <v>3825</v>
      </c>
      <c r="R27" s="813">
        <v>1</v>
      </c>
      <c r="S27" s="813" t="s">
        <v>3808</v>
      </c>
      <c r="T27" s="813" t="s">
        <v>3760</v>
      </c>
    </row>
    <row r="28" spans="1:20" ht="15" customHeight="1" x14ac:dyDescent="0.35">
      <c r="A28" s="800" t="s">
        <v>3826</v>
      </c>
      <c r="B28" s="800"/>
      <c r="C28" s="800"/>
      <c r="D28" s="800"/>
      <c r="E28" s="800"/>
      <c r="F28" s="800"/>
      <c r="G28" s="800" t="s">
        <v>3827</v>
      </c>
      <c r="H28" s="794"/>
      <c r="I28" s="794"/>
      <c r="J28" s="794"/>
      <c r="K28" s="794"/>
      <c r="L28" s="794"/>
      <c r="M28" s="794"/>
      <c r="N28" s="794"/>
      <c r="O28" s="794"/>
      <c r="P28" s="794"/>
      <c r="Q28" s="794"/>
      <c r="R28" s="794"/>
      <c r="S28" s="794"/>
      <c r="T28" s="794"/>
    </row>
    <row r="29" spans="1:20" ht="30" customHeight="1" x14ac:dyDescent="0.35">
      <c r="A29" s="815" t="s">
        <v>3828</v>
      </c>
      <c r="B29" s="815" t="s">
        <v>3749</v>
      </c>
      <c r="C29" s="816" t="s">
        <v>3789</v>
      </c>
      <c r="D29" s="821"/>
      <c r="E29" s="821">
        <v>0.5</v>
      </c>
      <c r="F29" s="822"/>
      <c r="G29" s="817" t="s">
        <v>3829</v>
      </c>
      <c r="H29" s="813" t="s">
        <v>3752</v>
      </c>
      <c r="I29" s="813" t="s">
        <v>3830</v>
      </c>
      <c r="J29" s="813" t="s">
        <v>3830</v>
      </c>
      <c r="K29" s="813" t="s">
        <v>3831</v>
      </c>
      <c r="L29" s="813" t="s">
        <v>3755</v>
      </c>
      <c r="M29" s="813" t="s">
        <v>3756</v>
      </c>
      <c r="N29" s="813" t="s">
        <v>3832</v>
      </c>
      <c r="O29" s="813" t="s">
        <v>3833</v>
      </c>
      <c r="P29" s="813" t="s">
        <v>3834</v>
      </c>
      <c r="Q29" s="813" t="s">
        <v>3834</v>
      </c>
      <c r="R29" s="813">
        <v>1</v>
      </c>
      <c r="S29" s="813" t="s">
        <v>3830</v>
      </c>
      <c r="T29" s="813" t="s">
        <v>3760</v>
      </c>
    </row>
    <row r="30" spans="1:20" ht="30" customHeight="1" x14ac:dyDescent="0.35">
      <c r="A30" s="815" t="s">
        <v>3835</v>
      </c>
      <c r="B30" s="815" t="s">
        <v>3749</v>
      </c>
      <c r="C30" s="816" t="s">
        <v>83</v>
      </c>
      <c r="D30" s="821"/>
      <c r="E30" s="821"/>
      <c r="F30" s="823">
        <v>0.3</v>
      </c>
      <c r="G30" s="817" t="s">
        <v>3829</v>
      </c>
      <c r="H30" s="813" t="s">
        <v>3752</v>
      </c>
      <c r="I30" s="813" t="s">
        <v>3830</v>
      </c>
      <c r="J30" s="813" t="s">
        <v>3830</v>
      </c>
      <c r="K30" s="813" t="s">
        <v>3831</v>
      </c>
      <c r="L30" s="813" t="s">
        <v>3755</v>
      </c>
      <c r="M30" s="813" t="s">
        <v>3756</v>
      </c>
      <c r="N30" s="813" t="s">
        <v>3832</v>
      </c>
      <c r="O30" s="813" t="s">
        <v>3836</v>
      </c>
      <c r="P30" s="813" t="s">
        <v>3837</v>
      </c>
      <c r="Q30" s="813" t="s">
        <v>3837</v>
      </c>
      <c r="R30" s="813">
        <v>1</v>
      </c>
      <c r="S30" s="813" t="s">
        <v>3830</v>
      </c>
      <c r="T30" s="813" t="s">
        <v>3760</v>
      </c>
    </row>
    <row r="31" spans="1:20" ht="30" customHeight="1" x14ac:dyDescent="0.35">
      <c r="A31" s="815" t="s">
        <v>3838</v>
      </c>
      <c r="B31" s="815" t="s">
        <v>3749</v>
      </c>
      <c r="C31" s="816" t="s">
        <v>795</v>
      </c>
      <c r="D31" s="821"/>
      <c r="E31" s="821"/>
      <c r="F31" s="824">
        <v>3</v>
      </c>
      <c r="G31" s="817" t="s">
        <v>3829</v>
      </c>
      <c r="H31" s="813" t="s">
        <v>3752</v>
      </c>
      <c r="I31" s="813" t="s">
        <v>3830</v>
      </c>
      <c r="J31" s="813" t="s">
        <v>3830</v>
      </c>
      <c r="K31" s="813" t="s">
        <v>3831</v>
      </c>
      <c r="L31" s="813" t="s">
        <v>3755</v>
      </c>
      <c r="M31" s="813" t="s">
        <v>3756</v>
      </c>
      <c r="N31" s="813" t="s">
        <v>3832</v>
      </c>
      <c r="O31" s="813" t="s">
        <v>3839</v>
      </c>
      <c r="P31" s="813" t="s">
        <v>3840</v>
      </c>
      <c r="Q31" s="813" t="s">
        <v>3840</v>
      </c>
      <c r="R31" s="813">
        <v>1</v>
      </c>
      <c r="S31" s="813" t="s">
        <v>3830</v>
      </c>
      <c r="T31" s="813" t="s">
        <v>3760</v>
      </c>
    </row>
    <row r="32" spans="1:20" ht="30" customHeight="1" x14ac:dyDescent="0.35">
      <c r="A32" s="815" t="s">
        <v>3841</v>
      </c>
      <c r="B32" s="815" t="s">
        <v>3749</v>
      </c>
      <c r="C32" s="816" t="s">
        <v>3842</v>
      </c>
      <c r="D32" s="821"/>
      <c r="E32" s="821"/>
      <c r="F32" s="822" t="s">
        <v>3843</v>
      </c>
      <c r="G32" s="817" t="s">
        <v>3829</v>
      </c>
      <c r="H32" s="813" t="s">
        <v>3752</v>
      </c>
      <c r="I32" s="813" t="s">
        <v>3830</v>
      </c>
      <c r="J32" s="813" t="s">
        <v>3830</v>
      </c>
      <c r="K32" s="813" t="s">
        <v>3831</v>
      </c>
      <c r="L32" s="813" t="s">
        <v>3755</v>
      </c>
      <c r="M32" s="813" t="s">
        <v>3756</v>
      </c>
      <c r="N32" s="813" t="s">
        <v>3832</v>
      </c>
      <c r="O32" s="813" t="s">
        <v>3844</v>
      </c>
      <c r="P32" s="813" t="s">
        <v>3845</v>
      </c>
      <c r="Q32" s="813" t="s">
        <v>3845</v>
      </c>
      <c r="R32" s="813">
        <v>1</v>
      </c>
      <c r="S32" s="813" t="s">
        <v>3830</v>
      </c>
      <c r="T32" s="813" t="s">
        <v>3760</v>
      </c>
    </row>
    <row r="33" spans="1:20" ht="30" customHeight="1" x14ac:dyDescent="0.35">
      <c r="A33" s="815" t="s">
        <v>3846</v>
      </c>
      <c r="B33" s="815" t="s">
        <v>3749</v>
      </c>
      <c r="C33" s="816" t="s">
        <v>3842</v>
      </c>
      <c r="D33" s="821"/>
      <c r="E33" s="821"/>
      <c r="F33" s="822" t="s">
        <v>3847</v>
      </c>
      <c r="G33" s="817" t="s">
        <v>3829</v>
      </c>
      <c r="H33" s="813" t="s">
        <v>3752</v>
      </c>
      <c r="I33" s="813" t="s">
        <v>3830</v>
      </c>
      <c r="J33" s="813" t="s">
        <v>3830</v>
      </c>
      <c r="K33" s="813" t="s">
        <v>3831</v>
      </c>
      <c r="L33" s="813" t="s">
        <v>3755</v>
      </c>
      <c r="M33" s="813" t="s">
        <v>3756</v>
      </c>
      <c r="N33" s="813" t="s">
        <v>3832</v>
      </c>
      <c r="O33" s="813" t="s">
        <v>3848</v>
      </c>
      <c r="P33" s="813" t="s">
        <v>3849</v>
      </c>
      <c r="Q33" s="813" t="s">
        <v>3849</v>
      </c>
      <c r="R33" s="813">
        <v>1</v>
      </c>
      <c r="S33" s="813" t="s">
        <v>3830</v>
      </c>
      <c r="T33" s="813" t="s">
        <v>3760</v>
      </c>
    </row>
    <row r="34" spans="1:20" ht="21" customHeight="1" x14ac:dyDescent="0.35">
      <c r="A34" s="801" t="s">
        <v>3850</v>
      </c>
      <c r="B34" s="801" t="s">
        <v>3851</v>
      </c>
      <c r="C34" s="801"/>
      <c r="D34" s="801"/>
      <c r="E34" s="801"/>
      <c r="F34" s="801"/>
      <c r="G34" s="801" t="s">
        <v>3745</v>
      </c>
      <c r="H34" s="794"/>
      <c r="I34" s="794"/>
      <c r="J34" s="794"/>
      <c r="K34" s="794"/>
      <c r="L34" s="794"/>
      <c r="M34" s="794"/>
      <c r="N34" s="794"/>
      <c r="O34" s="794"/>
      <c r="P34" s="794"/>
      <c r="Q34" s="794"/>
      <c r="R34" s="794"/>
      <c r="S34" s="794"/>
      <c r="T34" s="794"/>
    </row>
    <row r="35" spans="1:20" ht="15" customHeight="1" x14ac:dyDescent="0.35">
      <c r="A35" s="802" t="s">
        <v>3852</v>
      </c>
      <c r="B35" s="802"/>
      <c r="C35" s="802"/>
      <c r="D35" s="802"/>
      <c r="E35" s="802"/>
      <c r="F35" s="802"/>
      <c r="G35" s="802" t="s">
        <v>3853</v>
      </c>
      <c r="H35" s="794"/>
      <c r="I35" s="794"/>
      <c r="J35" s="794"/>
      <c r="K35" s="794"/>
      <c r="L35" s="794"/>
      <c r="M35" s="794"/>
      <c r="N35" s="794"/>
      <c r="O35" s="794"/>
      <c r="P35" s="794"/>
      <c r="Q35" s="794"/>
      <c r="R35" s="794"/>
      <c r="S35" s="794"/>
      <c r="T35" s="794"/>
    </row>
    <row r="36" spans="1:20" ht="15" customHeight="1" x14ac:dyDescent="0.35">
      <c r="A36" s="803" t="s">
        <v>3854</v>
      </c>
      <c r="B36" s="803"/>
      <c r="C36" s="803"/>
      <c r="D36" s="803"/>
      <c r="E36" s="803"/>
      <c r="F36" s="803"/>
      <c r="G36" s="803" t="s">
        <v>3855</v>
      </c>
      <c r="H36" s="794"/>
      <c r="I36" s="794"/>
      <c r="J36" s="794"/>
      <c r="K36" s="794"/>
      <c r="L36" s="794"/>
      <c r="M36" s="794"/>
      <c r="N36" s="794"/>
      <c r="O36" s="794"/>
      <c r="P36" s="794"/>
      <c r="Q36" s="794"/>
      <c r="R36" s="794"/>
      <c r="S36" s="794"/>
      <c r="T36" s="794"/>
    </row>
    <row r="37" spans="1:20" ht="28" customHeight="1" x14ac:dyDescent="0.35">
      <c r="A37" s="794" t="s">
        <v>3856</v>
      </c>
      <c r="B37" s="794" t="s">
        <v>3857</v>
      </c>
      <c r="C37" s="812" t="s">
        <v>3842</v>
      </c>
      <c r="D37" s="825"/>
      <c r="E37" s="825"/>
      <c r="F37" s="827" t="s">
        <v>1738</v>
      </c>
      <c r="G37" s="814" t="s">
        <v>3858</v>
      </c>
      <c r="H37" s="813" t="s">
        <v>3859</v>
      </c>
      <c r="I37" s="813" t="s">
        <v>3860</v>
      </c>
      <c r="J37" s="813" t="s">
        <v>3861</v>
      </c>
      <c r="K37" s="813" t="s">
        <v>3862</v>
      </c>
      <c r="L37" s="813" t="s">
        <v>3863</v>
      </c>
      <c r="M37" s="813" t="s">
        <v>1736</v>
      </c>
      <c r="N37" s="813" t="s">
        <v>3864</v>
      </c>
      <c r="O37" s="813" t="s">
        <v>3865</v>
      </c>
      <c r="P37" s="813" t="s">
        <v>3866</v>
      </c>
      <c r="Q37" s="813" t="s">
        <v>3867</v>
      </c>
      <c r="R37" s="813">
        <v>1</v>
      </c>
      <c r="S37" s="813" t="s">
        <v>3868</v>
      </c>
      <c r="T37" s="813" t="s">
        <v>3869</v>
      </c>
    </row>
    <row r="38" spans="1:20" ht="15" customHeight="1" x14ac:dyDescent="0.35">
      <c r="A38" s="794" t="s">
        <v>3870</v>
      </c>
      <c r="B38" s="794" t="s">
        <v>3857</v>
      </c>
      <c r="C38" s="812" t="s">
        <v>3842</v>
      </c>
      <c r="D38" s="825"/>
      <c r="E38" s="825"/>
      <c r="F38" s="826" t="s">
        <v>1758</v>
      </c>
      <c r="G38" s="814" t="s">
        <v>3858</v>
      </c>
      <c r="H38" s="813" t="s">
        <v>3859</v>
      </c>
      <c r="I38" s="813" t="s">
        <v>3860</v>
      </c>
      <c r="J38" s="813" t="s">
        <v>3861</v>
      </c>
      <c r="K38" s="813" t="s">
        <v>3862</v>
      </c>
      <c r="L38" s="813" t="s">
        <v>3863</v>
      </c>
      <c r="M38" s="813" t="s">
        <v>1736</v>
      </c>
      <c r="N38" s="813" t="s">
        <v>3871</v>
      </c>
      <c r="O38" s="813" t="s">
        <v>3865</v>
      </c>
      <c r="P38" s="813" t="s">
        <v>3872</v>
      </c>
      <c r="Q38" s="813" t="s">
        <v>3873</v>
      </c>
      <c r="R38" s="813">
        <v>1</v>
      </c>
      <c r="S38" s="813" t="s">
        <v>3868</v>
      </c>
      <c r="T38" s="813" t="s">
        <v>3869</v>
      </c>
    </row>
    <row r="39" spans="1:20" ht="15" customHeight="1" x14ac:dyDescent="0.35">
      <c r="A39" s="794" t="s">
        <v>3874</v>
      </c>
      <c r="B39" s="794" t="s">
        <v>3857</v>
      </c>
      <c r="C39" s="812" t="s">
        <v>3842</v>
      </c>
      <c r="D39" s="825"/>
      <c r="E39" s="825"/>
      <c r="F39" s="826" t="s">
        <v>3728</v>
      </c>
      <c r="G39" s="814" t="s">
        <v>3858</v>
      </c>
      <c r="H39" s="813" t="s">
        <v>3859</v>
      </c>
      <c r="I39" s="813" t="s">
        <v>3860</v>
      </c>
      <c r="J39" s="813" t="s">
        <v>3861</v>
      </c>
      <c r="K39" s="813" t="s">
        <v>3862</v>
      </c>
      <c r="L39" s="813" t="s">
        <v>3863</v>
      </c>
      <c r="M39" s="813" t="s">
        <v>1736</v>
      </c>
      <c r="N39" s="813" t="s">
        <v>3875</v>
      </c>
      <c r="O39" s="813" t="s">
        <v>3865</v>
      </c>
      <c r="P39" s="813" t="s">
        <v>3876</v>
      </c>
      <c r="Q39" s="813" t="s">
        <v>3877</v>
      </c>
      <c r="R39" s="813">
        <v>1</v>
      </c>
      <c r="S39" s="813" t="s">
        <v>3868</v>
      </c>
      <c r="T39" s="813" t="s">
        <v>3869</v>
      </c>
    </row>
    <row r="40" spans="1:20" ht="15" customHeight="1" x14ac:dyDescent="0.35">
      <c r="A40" s="803" t="s">
        <v>3878</v>
      </c>
      <c r="B40" s="803"/>
      <c r="C40" s="803"/>
      <c r="D40" s="803"/>
      <c r="E40" s="803"/>
      <c r="F40" s="803"/>
      <c r="G40" s="803" t="s">
        <v>3855</v>
      </c>
      <c r="H40" s="794"/>
      <c r="I40" s="794"/>
      <c r="J40" s="794"/>
      <c r="K40" s="794"/>
      <c r="L40" s="794"/>
      <c r="M40" s="794"/>
      <c r="N40" s="794"/>
      <c r="O40" s="794"/>
      <c r="P40" s="794"/>
      <c r="Q40" s="794"/>
      <c r="R40" s="794"/>
      <c r="S40" s="794"/>
      <c r="T40" s="794"/>
    </row>
    <row r="41" spans="1:20" ht="15" customHeight="1" x14ac:dyDescent="0.35">
      <c r="A41" s="794" t="s">
        <v>3879</v>
      </c>
      <c r="B41" s="794" t="s">
        <v>3857</v>
      </c>
      <c r="C41" s="812" t="s">
        <v>3880</v>
      </c>
      <c r="D41" s="825"/>
      <c r="E41" s="825"/>
      <c r="F41" s="825">
        <v>3.44</v>
      </c>
      <c r="G41" s="814" t="s">
        <v>3858</v>
      </c>
      <c r="H41" s="813" t="s">
        <v>3859</v>
      </c>
      <c r="I41" s="813" t="s">
        <v>3860</v>
      </c>
      <c r="J41" s="813" t="s">
        <v>3881</v>
      </c>
      <c r="K41" s="813" t="s">
        <v>3862</v>
      </c>
      <c r="L41" s="813" t="s">
        <v>3863</v>
      </c>
      <c r="M41" s="813" t="s">
        <v>1736</v>
      </c>
      <c r="N41" s="813" t="s">
        <v>3882</v>
      </c>
      <c r="O41" s="813" t="s">
        <v>3883</v>
      </c>
      <c r="P41" s="813" t="s">
        <v>3884</v>
      </c>
      <c r="Q41" s="813" t="s">
        <v>3885</v>
      </c>
      <c r="R41" s="813">
        <v>1</v>
      </c>
      <c r="S41" s="813" t="s">
        <v>3868</v>
      </c>
      <c r="T41" s="813" t="s">
        <v>3869</v>
      </c>
    </row>
    <row r="42" spans="1:20" ht="15" customHeight="1" x14ac:dyDescent="0.35">
      <c r="A42" s="794" t="s">
        <v>3886</v>
      </c>
      <c r="B42" s="794" t="s">
        <v>3857</v>
      </c>
      <c r="C42" s="812" t="s">
        <v>3880</v>
      </c>
      <c r="D42" s="825"/>
      <c r="E42" s="825"/>
      <c r="F42" s="825">
        <v>77320</v>
      </c>
      <c r="G42" s="814" t="s">
        <v>3858</v>
      </c>
      <c r="H42" s="813" t="s">
        <v>3859</v>
      </c>
      <c r="I42" s="813" t="s">
        <v>3860</v>
      </c>
      <c r="J42" s="813" t="s">
        <v>3881</v>
      </c>
      <c r="K42" s="813" t="s">
        <v>3862</v>
      </c>
      <c r="L42" s="813" t="s">
        <v>3863</v>
      </c>
      <c r="M42" s="813" t="s">
        <v>1736</v>
      </c>
      <c r="N42" s="813" t="s">
        <v>3887</v>
      </c>
      <c r="O42" s="813" t="s">
        <v>3883</v>
      </c>
      <c r="P42" s="813" t="s">
        <v>3888</v>
      </c>
      <c r="Q42" s="813" t="s">
        <v>3889</v>
      </c>
      <c r="R42" s="813">
        <v>1</v>
      </c>
      <c r="S42" s="813" t="s">
        <v>3868</v>
      </c>
      <c r="T42" s="813" t="s">
        <v>3869</v>
      </c>
    </row>
    <row r="43" spans="1:20" ht="15" customHeight="1" x14ac:dyDescent="0.35">
      <c r="A43" s="794" t="s">
        <v>3890</v>
      </c>
      <c r="B43" s="794" t="s">
        <v>3857</v>
      </c>
      <c r="C43" s="812" t="s">
        <v>3880</v>
      </c>
      <c r="D43" s="825"/>
      <c r="E43" s="825"/>
      <c r="F43" s="825">
        <v>34400</v>
      </c>
      <c r="G43" s="814" t="s">
        <v>3858</v>
      </c>
      <c r="H43" s="813" t="s">
        <v>3859</v>
      </c>
      <c r="I43" s="813" t="s">
        <v>3860</v>
      </c>
      <c r="J43" s="813" t="s">
        <v>3881</v>
      </c>
      <c r="K43" s="813" t="s">
        <v>3891</v>
      </c>
      <c r="L43" s="813" t="s">
        <v>3863</v>
      </c>
      <c r="M43" s="813" t="s">
        <v>307</v>
      </c>
      <c r="N43" s="813" t="s">
        <v>3892</v>
      </c>
      <c r="O43" s="813" t="s">
        <v>3893</v>
      </c>
      <c r="P43" s="813" t="s">
        <v>3894</v>
      </c>
      <c r="Q43" s="813" t="s">
        <v>3895</v>
      </c>
      <c r="R43" s="813">
        <v>1</v>
      </c>
      <c r="S43" s="813" t="s">
        <v>3896</v>
      </c>
      <c r="T43" s="813" t="s">
        <v>3869</v>
      </c>
    </row>
    <row r="44" spans="1:20" ht="15" customHeight="1" x14ac:dyDescent="0.35">
      <c r="A44" s="803" t="s">
        <v>3897</v>
      </c>
      <c r="B44" s="803"/>
      <c r="C44" s="803"/>
      <c r="D44" s="803"/>
      <c r="E44" s="803"/>
      <c r="F44" s="803"/>
      <c r="G44" s="803" t="s">
        <v>3898</v>
      </c>
      <c r="H44" s="794"/>
      <c r="I44" s="794"/>
      <c r="J44" s="794"/>
      <c r="K44" s="794"/>
      <c r="L44" s="794"/>
      <c r="M44" s="794"/>
      <c r="N44" s="794"/>
      <c r="O44" s="794"/>
      <c r="P44" s="794"/>
      <c r="Q44" s="794"/>
      <c r="R44" s="794"/>
      <c r="S44" s="794"/>
      <c r="T44" s="794"/>
    </row>
    <row r="45" spans="1:20" ht="15" customHeight="1" x14ac:dyDescent="0.35">
      <c r="A45" s="794" t="s">
        <v>3899</v>
      </c>
      <c r="B45" s="794" t="s">
        <v>3857</v>
      </c>
      <c r="C45" s="812" t="s">
        <v>3842</v>
      </c>
      <c r="D45" s="825"/>
      <c r="E45" s="825"/>
      <c r="F45" s="826" t="s">
        <v>1774</v>
      </c>
      <c r="G45" s="814" t="s">
        <v>3858</v>
      </c>
      <c r="H45" s="813" t="s">
        <v>3859</v>
      </c>
      <c r="I45" s="813" t="s">
        <v>3860</v>
      </c>
      <c r="J45" s="813" t="s">
        <v>3900</v>
      </c>
      <c r="K45" s="813" t="s">
        <v>3862</v>
      </c>
      <c r="L45" s="813" t="s">
        <v>3863</v>
      </c>
      <c r="M45" s="813" t="s">
        <v>1736</v>
      </c>
      <c r="N45" s="813" t="s">
        <v>3901</v>
      </c>
      <c r="O45" s="813" t="s">
        <v>3865</v>
      </c>
      <c r="P45" s="813" t="s">
        <v>3902</v>
      </c>
      <c r="Q45" s="813" t="s">
        <v>3903</v>
      </c>
      <c r="R45" s="813">
        <v>1</v>
      </c>
      <c r="S45" s="813" t="s">
        <v>3868</v>
      </c>
      <c r="T45" s="813" t="s">
        <v>3869</v>
      </c>
    </row>
    <row r="46" spans="1:20" ht="15" customHeight="1" x14ac:dyDescent="0.35">
      <c r="A46" s="794" t="s">
        <v>3904</v>
      </c>
      <c r="B46" s="794" t="s">
        <v>3857</v>
      </c>
      <c r="C46" s="812" t="s">
        <v>3842</v>
      </c>
      <c r="D46" s="825"/>
      <c r="E46" s="825"/>
      <c r="F46" s="826" t="s">
        <v>1780</v>
      </c>
      <c r="G46" s="814" t="s">
        <v>3858</v>
      </c>
      <c r="H46" s="813" t="s">
        <v>3859</v>
      </c>
      <c r="I46" s="813" t="s">
        <v>3860</v>
      </c>
      <c r="J46" s="813" t="s">
        <v>3900</v>
      </c>
      <c r="K46" s="813" t="s">
        <v>3862</v>
      </c>
      <c r="L46" s="813" t="s">
        <v>3863</v>
      </c>
      <c r="M46" s="813" t="s">
        <v>1736</v>
      </c>
      <c r="N46" s="813" t="s">
        <v>3905</v>
      </c>
      <c r="O46" s="813" t="s">
        <v>3865</v>
      </c>
      <c r="P46" s="813" t="s">
        <v>3906</v>
      </c>
      <c r="Q46" s="813" t="s">
        <v>3907</v>
      </c>
      <c r="R46" s="813">
        <v>1</v>
      </c>
      <c r="S46" s="813" t="s">
        <v>3868</v>
      </c>
      <c r="T46" s="813" t="s">
        <v>3869</v>
      </c>
    </row>
    <row r="47" spans="1:20" ht="15" customHeight="1" x14ac:dyDescent="0.35">
      <c r="A47" s="794" t="s">
        <v>3908</v>
      </c>
      <c r="B47" s="794" t="s">
        <v>3857</v>
      </c>
      <c r="C47" s="812" t="s">
        <v>3842</v>
      </c>
      <c r="D47" s="825"/>
      <c r="E47" s="825"/>
      <c r="F47" s="826" t="s">
        <v>1788</v>
      </c>
      <c r="G47" s="814" t="s">
        <v>3858</v>
      </c>
      <c r="H47" s="813" t="s">
        <v>3859</v>
      </c>
      <c r="I47" s="813" t="s">
        <v>3860</v>
      </c>
      <c r="J47" s="813" t="s">
        <v>3900</v>
      </c>
      <c r="K47" s="813" t="s">
        <v>3862</v>
      </c>
      <c r="L47" s="813" t="s">
        <v>3863</v>
      </c>
      <c r="M47" s="813" t="s">
        <v>1736</v>
      </c>
      <c r="N47" s="813" t="s">
        <v>3909</v>
      </c>
      <c r="O47" s="813" t="s">
        <v>3865</v>
      </c>
      <c r="P47" s="813" t="s">
        <v>3910</v>
      </c>
      <c r="Q47" s="813" t="s">
        <v>3911</v>
      </c>
      <c r="R47" s="813">
        <v>1</v>
      </c>
      <c r="S47" s="813" t="s">
        <v>3868</v>
      </c>
      <c r="T47" s="813" t="s">
        <v>3869</v>
      </c>
    </row>
    <row r="48" spans="1:20" ht="15" customHeight="1" x14ac:dyDescent="0.35">
      <c r="A48" s="794" t="s">
        <v>3912</v>
      </c>
      <c r="B48" s="794" t="s">
        <v>3857</v>
      </c>
      <c r="C48" s="812" t="s">
        <v>3913</v>
      </c>
      <c r="D48" s="825"/>
      <c r="E48" s="825"/>
      <c r="F48" s="825">
        <v>10</v>
      </c>
      <c r="G48" s="814" t="s">
        <v>3858</v>
      </c>
      <c r="H48" s="813" t="s">
        <v>3859</v>
      </c>
      <c r="I48" s="813" t="s">
        <v>3860</v>
      </c>
      <c r="J48" s="813" t="s">
        <v>3900</v>
      </c>
      <c r="K48" s="813" t="s">
        <v>3862</v>
      </c>
      <c r="L48" s="813" t="s">
        <v>3863</v>
      </c>
      <c r="M48" s="813" t="s">
        <v>1736</v>
      </c>
      <c r="N48" s="813" t="s">
        <v>3914</v>
      </c>
      <c r="O48" s="813" t="s">
        <v>3883</v>
      </c>
      <c r="P48" s="813" t="s">
        <v>3915</v>
      </c>
      <c r="Q48" s="813" t="s">
        <v>3916</v>
      </c>
      <c r="R48" s="813">
        <v>1</v>
      </c>
      <c r="S48" s="813" t="s">
        <v>3868</v>
      </c>
      <c r="T48" s="813" t="s">
        <v>3869</v>
      </c>
    </row>
    <row r="49" spans="1:20" ht="15" customHeight="1" x14ac:dyDescent="0.35">
      <c r="A49" s="802" t="s">
        <v>3917</v>
      </c>
      <c r="B49" s="802"/>
      <c r="C49" s="802"/>
      <c r="D49" s="802"/>
      <c r="E49" s="802"/>
      <c r="F49" s="802"/>
      <c r="G49" s="802" t="s">
        <v>3918</v>
      </c>
      <c r="H49" s="794"/>
      <c r="I49" s="794"/>
      <c r="J49" s="794"/>
      <c r="K49" s="794"/>
      <c r="L49" s="794"/>
      <c r="M49" s="794"/>
      <c r="N49" s="794"/>
      <c r="O49" s="794"/>
      <c r="P49" s="794"/>
      <c r="Q49" s="794"/>
      <c r="R49" s="794"/>
      <c r="S49" s="794"/>
      <c r="T49" s="794"/>
    </row>
    <row r="50" spans="1:20" ht="15" customHeight="1" x14ac:dyDescent="0.35">
      <c r="A50" s="803" t="s">
        <v>3919</v>
      </c>
      <c r="B50" s="803"/>
      <c r="C50" s="803"/>
      <c r="D50" s="803"/>
      <c r="E50" s="803"/>
      <c r="F50" s="803"/>
      <c r="G50" s="803" t="s">
        <v>3920</v>
      </c>
      <c r="H50" s="794"/>
      <c r="I50" s="794"/>
      <c r="J50" s="794"/>
      <c r="K50" s="794"/>
      <c r="L50" s="794"/>
      <c r="M50" s="794"/>
      <c r="N50" s="794"/>
      <c r="O50" s="794"/>
      <c r="P50" s="794"/>
      <c r="Q50" s="794"/>
      <c r="R50" s="794"/>
      <c r="S50" s="794"/>
      <c r="T50" s="794"/>
    </row>
    <row r="51" spans="1:20" ht="15" customHeight="1" x14ac:dyDescent="0.35">
      <c r="A51" s="794" t="s">
        <v>3921</v>
      </c>
      <c r="B51" s="794" t="s">
        <v>3857</v>
      </c>
      <c r="C51" s="812" t="s">
        <v>1173</v>
      </c>
      <c r="D51" s="825"/>
      <c r="E51" s="825"/>
      <c r="F51" s="828">
        <v>47178</v>
      </c>
      <c r="G51" s="814" t="s">
        <v>3858</v>
      </c>
      <c r="H51" s="813" t="s">
        <v>246</v>
      </c>
      <c r="I51" s="813" t="s">
        <v>3860</v>
      </c>
      <c r="J51" s="813" t="s">
        <v>3922</v>
      </c>
      <c r="K51" s="813" t="s">
        <v>3923</v>
      </c>
      <c r="L51" s="813" t="s">
        <v>3863</v>
      </c>
      <c r="M51" s="813" t="s">
        <v>3163</v>
      </c>
      <c r="N51" s="813" t="s">
        <v>3924</v>
      </c>
      <c r="O51" s="813" t="s">
        <v>3925</v>
      </c>
      <c r="P51" s="813" t="s">
        <v>3926</v>
      </c>
      <c r="Q51" s="813" t="s">
        <v>3927</v>
      </c>
      <c r="R51" s="813">
        <v>1</v>
      </c>
      <c r="S51" s="813" t="s">
        <v>3928</v>
      </c>
      <c r="T51" s="813" t="s">
        <v>3869</v>
      </c>
    </row>
    <row r="52" spans="1:20" ht="15" customHeight="1" x14ac:dyDescent="0.35">
      <c r="A52" s="794" t="s">
        <v>3929</v>
      </c>
      <c r="B52" s="794" t="s">
        <v>3857</v>
      </c>
      <c r="C52" s="812" t="s">
        <v>83</v>
      </c>
      <c r="D52" s="825"/>
      <c r="E52" s="825">
        <v>1.3</v>
      </c>
      <c r="F52" s="829"/>
      <c r="G52" s="814" t="s">
        <v>3858</v>
      </c>
      <c r="H52" s="813" t="s">
        <v>246</v>
      </c>
      <c r="I52" s="813" t="s">
        <v>3860</v>
      </c>
      <c r="J52" s="813" t="s">
        <v>3922</v>
      </c>
      <c r="K52" s="813" t="s">
        <v>3923</v>
      </c>
      <c r="L52" s="813" t="s">
        <v>3863</v>
      </c>
      <c r="M52" s="813" t="s">
        <v>3163</v>
      </c>
      <c r="N52" s="813" t="s">
        <v>3930</v>
      </c>
      <c r="O52" s="813" t="s">
        <v>3931</v>
      </c>
      <c r="P52" s="813" t="s">
        <v>3932</v>
      </c>
      <c r="Q52" s="813" t="s">
        <v>3933</v>
      </c>
      <c r="R52" s="813">
        <v>1</v>
      </c>
      <c r="S52" s="813" t="s">
        <v>3928</v>
      </c>
      <c r="T52" s="813" t="s">
        <v>3869</v>
      </c>
    </row>
    <row r="53" spans="1:20" ht="15" customHeight="1" x14ac:dyDescent="0.35">
      <c r="A53" s="794" t="s">
        <v>3929</v>
      </c>
      <c r="B53" s="794" t="s">
        <v>3857</v>
      </c>
      <c r="C53" s="812" t="s">
        <v>83</v>
      </c>
      <c r="D53" s="825"/>
      <c r="E53" s="825">
        <v>0.67500000000000004</v>
      </c>
      <c r="F53" s="829"/>
      <c r="G53" s="814" t="s">
        <v>3858</v>
      </c>
      <c r="H53" s="813" t="s">
        <v>246</v>
      </c>
      <c r="I53" s="813" t="s">
        <v>3860</v>
      </c>
      <c r="J53" s="813" t="s">
        <v>3922</v>
      </c>
      <c r="K53" s="813" t="s">
        <v>3923</v>
      </c>
      <c r="L53" s="813" t="s">
        <v>3863</v>
      </c>
      <c r="M53" s="813" t="s">
        <v>3163</v>
      </c>
      <c r="N53" s="813" t="s">
        <v>3934</v>
      </c>
      <c r="O53" s="813" t="s">
        <v>3931</v>
      </c>
      <c r="P53" s="813" t="s">
        <v>3935</v>
      </c>
      <c r="Q53" s="813" t="s">
        <v>3936</v>
      </c>
      <c r="R53" s="813">
        <v>1</v>
      </c>
      <c r="S53" s="813" t="s">
        <v>3928</v>
      </c>
      <c r="T53" s="813" t="s">
        <v>3869</v>
      </c>
    </row>
    <row r="54" spans="1:20" ht="15" customHeight="1" x14ac:dyDescent="0.35">
      <c r="A54" s="794" t="s">
        <v>3937</v>
      </c>
      <c r="B54" s="794" t="s">
        <v>3857</v>
      </c>
      <c r="C54" s="812" t="s">
        <v>1173</v>
      </c>
      <c r="D54" s="825"/>
      <c r="E54" s="825"/>
      <c r="F54" s="828">
        <v>46223</v>
      </c>
      <c r="G54" s="814" t="s">
        <v>3858</v>
      </c>
      <c r="H54" s="813" t="s">
        <v>246</v>
      </c>
      <c r="I54" s="813" t="s">
        <v>3860</v>
      </c>
      <c r="J54" s="813" t="s">
        <v>3922</v>
      </c>
      <c r="K54" s="813" t="s">
        <v>3923</v>
      </c>
      <c r="L54" s="813" t="s">
        <v>3863</v>
      </c>
      <c r="M54" s="813" t="s">
        <v>3163</v>
      </c>
      <c r="N54" s="813" t="s">
        <v>3938</v>
      </c>
      <c r="O54" s="813" t="s">
        <v>3883</v>
      </c>
      <c r="P54" s="813" t="s">
        <v>3939</v>
      </c>
      <c r="Q54" s="813" t="s">
        <v>3940</v>
      </c>
      <c r="R54" s="813">
        <v>1</v>
      </c>
      <c r="S54" s="813" t="s">
        <v>3928</v>
      </c>
      <c r="T54" s="813" t="s">
        <v>3869</v>
      </c>
    </row>
    <row r="55" spans="1:20" ht="15" customHeight="1" x14ac:dyDescent="0.35">
      <c r="A55" s="794" t="s">
        <v>3941</v>
      </c>
      <c r="B55" s="794" t="s">
        <v>3857</v>
      </c>
      <c r="C55" s="812" t="s">
        <v>3913</v>
      </c>
      <c r="D55" s="825"/>
      <c r="E55" s="825">
        <v>2026</v>
      </c>
      <c r="F55" s="826"/>
      <c r="G55" s="814" t="s">
        <v>3858</v>
      </c>
      <c r="H55" s="813" t="s">
        <v>246</v>
      </c>
      <c r="I55" s="813" t="s">
        <v>3860</v>
      </c>
      <c r="J55" s="813" t="s">
        <v>3922</v>
      </c>
      <c r="K55" s="813" t="s">
        <v>3923</v>
      </c>
      <c r="L55" s="813" t="s">
        <v>3863</v>
      </c>
      <c r="M55" s="813" t="s">
        <v>3163</v>
      </c>
      <c r="N55" s="813" t="s">
        <v>3942</v>
      </c>
      <c r="O55" s="813" t="s">
        <v>3883</v>
      </c>
      <c r="P55" s="813" t="s">
        <v>3943</v>
      </c>
      <c r="Q55" s="813" t="s">
        <v>3944</v>
      </c>
      <c r="R55" s="813">
        <v>1</v>
      </c>
      <c r="S55" s="813" t="s">
        <v>3928</v>
      </c>
      <c r="T55" s="813" t="s">
        <v>3869</v>
      </c>
    </row>
    <row r="56" spans="1:20" ht="15" customHeight="1" x14ac:dyDescent="0.35">
      <c r="A56" s="803" t="s">
        <v>3945</v>
      </c>
      <c r="B56" s="803"/>
      <c r="C56" s="803"/>
      <c r="D56" s="803"/>
      <c r="E56" s="803"/>
      <c r="F56" s="803"/>
      <c r="G56" s="803" t="s">
        <v>3946</v>
      </c>
      <c r="H56" s="794"/>
      <c r="I56" s="794"/>
      <c r="J56" s="794"/>
      <c r="K56" s="794"/>
      <c r="L56" s="794"/>
      <c r="M56" s="794"/>
      <c r="N56" s="794"/>
      <c r="O56" s="794"/>
      <c r="P56" s="794"/>
      <c r="Q56" s="794"/>
      <c r="R56" s="794"/>
      <c r="S56" s="794"/>
      <c r="T56" s="794"/>
    </row>
    <row r="57" spans="1:20" ht="15" customHeight="1" x14ac:dyDescent="0.35">
      <c r="A57" s="794" t="s">
        <v>3947</v>
      </c>
      <c r="B57" s="794" t="s">
        <v>3857</v>
      </c>
      <c r="C57" s="812" t="s">
        <v>3913</v>
      </c>
      <c r="D57" s="825"/>
      <c r="E57" s="825"/>
      <c r="F57" s="825">
        <v>1.3</v>
      </c>
      <c r="G57" s="814" t="s">
        <v>3858</v>
      </c>
      <c r="H57" s="813" t="s">
        <v>246</v>
      </c>
      <c r="I57" s="813" t="s">
        <v>3860</v>
      </c>
      <c r="J57" s="813" t="s">
        <v>3948</v>
      </c>
      <c r="K57" s="813" t="s">
        <v>3949</v>
      </c>
      <c r="L57" s="813" t="s">
        <v>3863</v>
      </c>
      <c r="M57" s="813" t="s">
        <v>3169</v>
      </c>
      <c r="N57" s="813" t="s">
        <v>3950</v>
      </c>
      <c r="O57" s="813" t="s">
        <v>3883</v>
      </c>
      <c r="P57" s="813" t="s">
        <v>3951</v>
      </c>
      <c r="Q57" s="813" t="s">
        <v>3952</v>
      </c>
      <c r="R57" s="813">
        <v>1</v>
      </c>
      <c r="S57" s="813" t="s">
        <v>3953</v>
      </c>
      <c r="T57" s="813" t="s">
        <v>3869</v>
      </c>
    </row>
    <row r="58" spans="1:20" ht="21" customHeight="1" x14ac:dyDescent="0.35">
      <c r="A58" s="801" t="s">
        <v>3954</v>
      </c>
      <c r="B58" s="801" t="s">
        <v>3955</v>
      </c>
      <c r="C58" s="801"/>
      <c r="D58" s="801"/>
      <c r="E58" s="801"/>
      <c r="F58" s="801"/>
      <c r="G58" s="801" t="s">
        <v>3745</v>
      </c>
      <c r="H58" s="794"/>
      <c r="I58" s="794"/>
      <c r="J58" s="794"/>
      <c r="K58" s="794"/>
      <c r="L58" s="794"/>
      <c r="M58" s="794"/>
      <c r="N58" s="794"/>
      <c r="O58" s="794"/>
      <c r="P58" s="794"/>
      <c r="Q58" s="794"/>
      <c r="R58" s="794"/>
      <c r="S58" s="794"/>
      <c r="T58" s="794"/>
    </row>
    <row r="59" spans="1:20" ht="15" customHeight="1" x14ac:dyDescent="0.35">
      <c r="A59" s="802" t="s">
        <v>3956</v>
      </c>
      <c r="B59" s="802"/>
      <c r="C59" s="802"/>
      <c r="D59" s="802"/>
      <c r="E59" s="802"/>
      <c r="F59" s="802"/>
      <c r="G59" s="802" t="s">
        <v>3957</v>
      </c>
      <c r="H59" s="794"/>
      <c r="I59" s="794"/>
      <c r="J59" s="794"/>
      <c r="K59" s="794"/>
      <c r="L59" s="794"/>
      <c r="M59" s="794"/>
      <c r="N59" s="794"/>
      <c r="O59" s="794"/>
      <c r="P59" s="794"/>
      <c r="Q59" s="794"/>
      <c r="R59" s="794"/>
      <c r="S59" s="794"/>
      <c r="T59" s="794"/>
    </row>
    <row r="60" spans="1:20" ht="15" customHeight="1" x14ac:dyDescent="0.35">
      <c r="A60" s="803" t="s">
        <v>3958</v>
      </c>
      <c r="B60" s="803"/>
      <c r="C60" s="803"/>
      <c r="D60" s="803"/>
      <c r="E60" s="803"/>
      <c r="F60" s="803"/>
      <c r="G60" s="803" t="s">
        <v>3946</v>
      </c>
      <c r="H60" s="794"/>
      <c r="I60" s="794"/>
      <c r="J60" s="794"/>
      <c r="K60" s="794"/>
      <c r="L60" s="794"/>
      <c r="M60" s="794"/>
      <c r="N60" s="794"/>
      <c r="O60" s="794"/>
      <c r="P60" s="794"/>
      <c r="Q60" s="794"/>
      <c r="R60" s="794"/>
      <c r="S60" s="794"/>
      <c r="T60" s="794"/>
    </row>
    <row r="61" spans="1:20" ht="15" customHeight="1" x14ac:dyDescent="0.35">
      <c r="A61" s="794" t="s">
        <v>3959</v>
      </c>
      <c r="B61" s="794" t="s">
        <v>3857</v>
      </c>
      <c r="C61" s="812" t="s">
        <v>83</v>
      </c>
      <c r="D61" s="825"/>
      <c r="E61" s="825"/>
      <c r="F61" s="829">
        <v>0.04</v>
      </c>
      <c r="G61" s="814" t="s">
        <v>3858</v>
      </c>
      <c r="H61" s="813" t="s">
        <v>3859</v>
      </c>
      <c r="I61" s="813" t="s">
        <v>3960</v>
      </c>
      <c r="J61" s="813" t="s">
        <v>3008</v>
      </c>
      <c r="K61" s="813" t="s">
        <v>3862</v>
      </c>
      <c r="L61" s="813" t="s">
        <v>3863</v>
      </c>
      <c r="M61" s="813" t="s">
        <v>1736</v>
      </c>
      <c r="N61" s="813" t="s">
        <v>3961</v>
      </c>
      <c r="O61" s="813" t="s">
        <v>3883</v>
      </c>
      <c r="P61" s="813" t="s">
        <v>3962</v>
      </c>
      <c r="Q61" s="813" t="s">
        <v>3963</v>
      </c>
      <c r="R61" s="813">
        <v>1</v>
      </c>
      <c r="S61" s="813" t="s">
        <v>3964</v>
      </c>
      <c r="T61" s="813" t="s">
        <v>3965</v>
      </c>
    </row>
    <row r="62" spans="1:20" ht="15" customHeight="1" x14ac:dyDescent="0.35">
      <c r="A62" s="803" t="s">
        <v>3966</v>
      </c>
      <c r="B62" s="803"/>
      <c r="C62" s="803"/>
      <c r="D62" s="803"/>
      <c r="E62" s="803"/>
      <c r="F62" s="803"/>
      <c r="G62" s="803" t="s">
        <v>3855</v>
      </c>
      <c r="H62" s="794"/>
      <c r="I62" s="794"/>
      <c r="J62" s="794"/>
      <c r="K62" s="794"/>
      <c r="L62" s="794"/>
      <c r="M62" s="794"/>
      <c r="N62" s="794"/>
      <c r="O62" s="794"/>
      <c r="P62" s="794"/>
      <c r="Q62" s="794"/>
      <c r="R62" s="794"/>
      <c r="S62" s="794"/>
      <c r="T62" s="794"/>
    </row>
    <row r="63" spans="1:20" ht="15" customHeight="1" x14ac:dyDescent="0.35">
      <c r="A63" s="794" t="s">
        <v>3967</v>
      </c>
      <c r="B63" s="794" t="s">
        <v>3857</v>
      </c>
      <c r="C63" s="812" t="s">
        <v>83</v>
      </c>
      <c r="D63" s="825"/>
      <c r="E63" s="825"/>
      <c r="F63" s="829">
        <v>0.03</v>
      </c>
      <c r="G63" s="814" t="s">
        <v>3858</v>
      </c>
      <c r="H63" s="813" t="s">
        <v>3859</v>
      </c>
      <c r="I63" s="813" t="s">
        <v>3960</v>
      </c>
      <c r="J63" s="813" t="s">
        <v>3968</v>
      </c>
      <c r="K63" s="813" t="s">
        <v>3862</v>
      </c>
      <c r="L63" s="813" t="s">
        <v>3863</v>
      </c>
      <c r="M63" s="813" t="s">
        <v>1736</v>
      </c>
      <c r="N63" s="813" t="s">
        <v>3969</v>
      </c>
      <c r="O63" s="813" t="s">
        <v>3883</v>
      </c>
      <c r="P63" s="813" t="s">
        <v>3970</v>
      </c>
      <c r="Q63" s="813" t="s">
        <v>3971</v>
      </c>
      <c r="R63" s="813">
        <v>1</v>
      </c>
      <c r="S63" s="813" t="s">
        <v>3964</v>
      </c>
      <c r="T63" s="813" t="s">
        <v>3965</v>
      </c>
    </row>
    <row r="64" spans="1:20" ht="15" customHeight="1" x14ac:dyDescent="0.35">
      <c r="A64" s="794" t="s">
        <v>3972</v>
      </c>
      <c r="B64" s="794" t="s">
        <v>3857</v>
      </c>
      <c r="C64" s="812" t="s">
        <v>83</v>
      </c>
      <c r="D64" s="825"/>
      <c r="E64" s="825"/>
      <c r="F64" s="829">
        <v>3.5000000000000003E-2</v>
      </c>
      <c r="G64" s="814" t="s">
        <v>3858</v>
      </c>
      <c r="H64" s="813" t="s">
        <v>3859</v>
      </c>
      <c r="I64" s="813" t="s">
        <v>3960</v>
      </c>
      <c r="J64" s="813" t="s">
        <v>3968</v>
      </c>
      <c r="K64" s="813" t="s">
        <v>3862</v>
      </c>
      <c r="L64" s="813" t="s">
        <v>3863</v>
      </c>
      <c r="M64" s="813" t="s">
        <v>1736</v>
      </c>
      <c r="N64" s="813" t="s">
        <v>3973</v>
      </c>
      <c r="O64" s="813" t="s">
        <v>3883</v>
      </c>
      <c r="P64" s="813" t="s">
        <v>3974</v>
      </c>
      <c r="Q64" s="813" t="s">
        <v>3975</v>
      </c>
      <c r="R64" s="813">
        <v>1</v>
      </c>
      <c r="S64" s="813" t="s">
        <v>3964</v>
      </c>
      <c r="T64" s="813" t="s">
        <v>3965</v>
      </c>
    </row>
    <row r="65" spans="1:20" ht="15" customHeight="1" x14ac:dyDescent="0.35">
      <c r="A65" s="794" t="s">
        <v>3976</v>
      </c>
      <c r="B65" s="794" t="s">
        <v>3857</v>
      </c>
      <c r="C65" s="812" t="s">
        <v>83</v>
      </c>
      <c r="D65" s="825"/>
      <c r="E65" s="825"/>
      <c r="F65" s="829">
        <v>0.03</v>
      </c>
      <c r="G65" s="814" t="s">
        <v>3858</v>
      </c>
      <c r="H65" s="813" t="s">
        <v>3859</v>
      </c>
      <c r="I65" s="813" t="s">
        <v>3960</v>
      </c>
      <c r="J65" s="813" t="s">
        <v>3968</v>
      </c>
      <c r="K65" s="813" t="s">
        <v>3862</v>
      </c>
      <c r="L65" s="813" t="s">
        <v>3863</v>
      </c>
      <c r="M65" s="813" t="s">
        <v>1736</v>
      </c>
      <c r="N65" s="813" t="s">
        <v>3977</v>
      </c>
      <c r="O65" s="813" t="s">
        <v>3883</v>
      </c>
      <c r="P65" s="813" t="s">
        <v>3978</v>
      </c>
      <c r="Q65" s="813" t="s">
        <v>3979</v>
      </c>
      <c r="R65" s="813">
        <v>1</v>
      </c>
      <c r="S65" s="813" t="s">
        <v>3964</v>
      </c>
      <c r="T65" s="813" t="s">
        <v>3965</v>
      </c>
    </row>
    <row r="66" spans="1:20" ht="15" customHeight="1" x14ac:dyDescent="0.35">
      <c r="A66" s="803" t="s">
        <v>3980</v>
      </c>
      <c r="B66" s="803"/>
      <c r="C66" s="803"/>
      <c r="D66" s="803"/>
      <c r="E66" s="803"/>
      <c r="F66" s="803"/>
      <c r="G66" s="803" t="s">
        <v>3920</v>
      </c>
      <c r="H66" s="794"/>
      <c r="I66" s="794"/>
      <c r="J66" s="794"/>
      <c r="K66" s="794"/>
      <c r="L66" s="794"/>
      <c r="M66" s="794"/>
      <c r="N66" s="794"/>
      <c r="O66" s="794"/>
      <c r="P66" s="794"/>
      <c r="Q66" s="794"/>
      <c r="R66" s="794"/>
      <c r="S66" s="794"/>
      <c r="T66" s="794"/>
    </row>
    <row r="67" spans="1:20" ht="15" customHeight="1" x14ac:dyDescent="0.35">
      <c r="A67" s="794" t="s">
        <v>3047</v>
      </c>
      <c r="B67" s="794" t="s">
        <v>3857</v>
      </c>
      <c r="C67" s="812" t="s">
        <v>83</v>
      </c>
      <c r="D67" s="825"/>
      <c r="E67" s="825"/>
      <c r="F67" s="829">
        <v>0.03</v>
      </c>
      <c r="G67" s="814" t="s">
        <v>3858</v>
      </c>
      <c r="H67" s="813" t="s">
        <v>3859</v>
      </c>
      <c r="I67" s="813" t="s">
        <v>3960</v>
      </c>
      <c r="J67" s="813" t="s">
        <v>3981</v>
      </c>
      <c r="K67" s="813" t="s">
        <v>3891</v>
      </c>
      <c r="L67" s="813" t="s">
        <v>3863</v>
      </c>
      <c r="M67" s="813" t="s">
        <v>307</v>
      </c>
      <c r="N67" s="813" t="s">
        <v>3982</v>
      </c>
      <c r="O67" s="813" t="s">
        <v>3893</v>
      </c>
      <c r="P67" s="813" t="s">
        <v>3983</v>
      </c>
      <c r="Q67" s="813" t="s">
        <v>3984</v>
      </c>
      <c r="R67" s="813">
        <v>1</v>
      </c>
      <c r="S67" s="813" t="s">
        <v>3896</v>
      </c>
      <c r="T67" s="813" t="s">
        <v>3965</v>
      </c>
    </row>
    <row r="68" spans="1:20" ht="15" customHeight="1" x14ac:dyDescent="0.35">
      <c r="A68" s="794" t="s">
        <v>3052</v>
      </c>
      <c r="B68" s="794" t="s">
        <v>3857</v>
      </c>
      <c r="C68" s="812" t="s">
        <v>83</v>
      </c>
      <c r="D68" s="825"/>
      <c r="E68" s="825"/>
      <c r="F68" s="829">
        <v>5.0000000000000001E-3</v>
      </c>
      <c r="G68" s="814" t="s">
        <v>3858</v>
      </c>
      <c r="H68" s="813" t="s">
        <v>3859</v>
      </c>
      <c r="I68" s="813" t="s">
        <v>3960</v>
      </c>
      <c r="J68" s="813" t="s">
        <v>3981</v>
      </c>
      <c r="K68" s="813" t="s">
        <v>3891</v>
      </c>
      <c r="L68" s="813" t="s">
        <v>3863</v>
      </c>
      <c r="M68" s="813" t="s">
        <v>307</v>
      </c>
      <c r="N68" s="813" t="s">
        <v>3985</v>
      </c>
      <c r="O68" s="813" t="s">
        <v>3893</v>
      </c>
      <c r="P68" s="813" t="s">
        <v>3986</v>
      </c>
      <c r="Q68" s="813" t="s">
        <v>3987</v>
      </c>
      <c r="R68" s="813">
        <v>1</v>
      </c>
      <c r="S68" s="813" t="s">
        <v>3896</v>
      </c>
      <c r="T68" s="813" t="s">
        <v>3965</v>
      </c>
    </row>
    <row r="69" spans="1:20" ht="15" customHeight="1" x14ac:dyDescent="0.35">
      <c r="A69" s="794" t="s">
        <v>3988</v>
      </c>
      <c r="B69" s="794" t="s">
        <v>3857</v>
      </c>
      <c r="C69" s="812" t="s">
        <v>83</v>
      </c>
      <c r="D69" s="825"/>
      <c r="E69" s="825"/>
      <c r="F69" s="829">
        <v>0.18</v>
      </c>
      <c r="G69" s="814" t="s">
        <v>3858</v>
      </c>
      <c r="H69" s="813" t="s">
        <v>3859</v>
      </c>
      <c r="I69" s="813" t="s">
        <v>3960</v>
      </c>
      <c r="J69" s="813" t="s">
        <v>3981</v>
      </c>
      <c r="K69" s="813" t="s">
        <v>3891</v>
      </c>
      <c r="L69" s="813" t="s">
        <v>3863</v>
      </c>
      <c r="M69" s="813" t="s">
        <v>307</v>
      </c>
      <c r="N69" s="813" t="s">
        <v>3989</v>
      </c>
      <c r="O69" s="813" t="s">
        <v>3990</v>
      </c>
      <c r="P69" s="813" t="s">
        <v>3991</v>
      </c>
      <c r="Q69" s="813" t="s">
        <v>3992</v>
      </c>
      <c r="R69" s="813">
        <v>1</v>
      </c>
      <c r="S69" s="813" t="s">
        <v>3896</v>
      </c>
      <c r="T69" s="813" t="s">
        <v>3965</v>
      </c>
    </row>
    <row r="70" spans="1:20" ht="15" customHeight="1" x14ac:dyDescent="0.35">
      <c r="A70" s="794" t="s">
        <v>3993</v>
      </c>
      <c r="B70" s="794" t="s">
        <v>3857</v>
      </c>
      <c r="C70" s="812" t="s">
        <v>83</v>
      </c>
      <c r="D70" s="825"/>
      <c r="E70" s="825"/>
      <c r="F70" s="829">
        <v>0.03</v>
      </c>
      <c r="G70" s="814" t="s">
        <v>3858</v>
      </c>
      <c r="H70" s="813" t="s">
        <v>3859</v>
      </c>
      <c r="I70" s="813" t="s">
        <v>3960</v>
      </c>
      <c r="J70" s="813" t="s">
        <v>3981</v>
      </c>
      <c r="K70" s="813" t="s">
        <v>3891</v>
      </c>
      <c r="L70" s="813" t="s">
        <v>3863</v>
      </c>
      <c r="M70" s="813" t="s">
        <v>307</v>
      </c>
      <c r="N70" s="813" t="s">
        <v>3994</v>
      </c>
      <c r="O70" s="813" t="s">
        <v>3995</v>
      </c>
      <c r="P70" s="813" t="s">
        <v>3996</v>
      </c>
      <c r="Q70" s="813" t="s">
        <v>3997</v>
      </c>
      <c r="R70" s="813">
        <v>1</v>
      </c>
      <c r="S70" s="813" t="s">
        <v>3896</v>
      </c>
      <c r="T70" s="813" t="s">
        <v>3965</v>
      </c>
    </row>
    <row r="71" spans="1:20" ht="15" customHeight="1" x14ac:dyDescent="0.35">
      <c r="A71" s="794" t="s">
        <v>3998</v>
      </c>
      <c r="B71" s="794" t="s">
        <v>3857</v>
      </c>
      <c r="C71" s="812" t="s">
        <v>83</v>
      </c>
      <c r="D71" s="825"/>
      <c r="E71" s="825"/>
      <c r="F71" s="829">
        <v>3.5000000000000003E-2</v>
      </c>
      <c r="G71" s="814" t="s">
        <v>3858</v>
      </c>
      <c r="H71" s="813" t="s">
        <v>3859</v>
      </c>
      <c r="I71" s="813" t="s">
        <v>3960</v>
      </c>
      <c r="J71" s="813" t="s">
        <v>3981</v>
      </c>
      <c r="K71" s="813" t="s">
        <v>3891</v>
      </c>
      <c r="L71" s="813" t="s">
        <v>3863</v>
      </c>
      <c r="M71" s="813" t="s">
        <v>307</v>
      </c>
      <c r="N71" s="813" t="s">
        <v>3999</v>
      </c>
      <c r="O71" s="813" t="s">
        <v>4000</v>
      </c>
      <c r="P71" s="813" t="s">
        <v>4001</v>
      </c>
      <c r="Q71" s="813" t="s">
        <v>4002</v>
      </c>
      <c r="R71" s="813">
        <v>1</v>
      </c>
      <c r="S71" s="813" t="s">
        <v>3896</v>
      </c>
      <c r="T71" s="813" t="s">
        <v>3965</v>
      </c>
    </row>
    <row r="72" spans="1:20" ht="15" customHeight="1" x14ac:dyDescent="0.35">
      <c r="A72" s="803" t="s">
        <v>4003</v>
      </c>
      <c r="B72" s="803"/>
      <c r="C72" s="803"/>
      <c r="D72" s="803"/>
      <c r="E72" s="803"/>
      <c r="F72" s="803"/>
      <c r="G72" s="803" t="s">
        <v>4004</v>
      </c>
      <c r="H72" s="794"/>
      <c r="I72" s="794"/>
      <c r="J72" s="794"/>
      <c r="K72" s="794"/>
      <c r="L72" s="794"/>
      <c r="M72" s="794"/>
      <c r="N72" s="794"/>
      <c r="O72" s="794"/>
      <c r="P72" s="794"/>
      <c r="Q72" s="794"/>
      <c r="R72" s="794"/>
      <c r="S72" s="794"/>
      <c r="T72" s="794"/>
    </row>
    <row r="73" spans="1:20" ht="15" customHeight="1" x14ac:dyDescent="0.35">
      <c r="A73" s="794" t="s">
        <v>4005</v>
      </c>
      <c r="B73" s="794" t="s">
        <v>830</v>
      </c>
      <c r="C73" s="812" t="s">
        <v>3913</v>
      </c>
      <c r="D73" s="825"/>
      <c r="E73" s="825"/>
      <c r="F73" s="825">
        <v>1</v>
      </c>
      <c r="G73" s="814" t="s">
        <v>3858</v>
      </c>
      <c r="H73" s="813" t="s">
        <v>3859</v>
      </c>
      <c r="I73" s="813" t="s">
        <v>3960</v>
      </c>
      <c r="J73" s="813" t="s">
        <v>4006</v>
      </c>
      <c r="K73" s="813" t="s">
        <v>3862</v>
      </c>
      <c r="L73" s="813" t="s">
        <v>3863</v>
      </c>
      <c r="M73" s="813" t="s">
        <v>1736</v>
      </c>
      <c r="N73" s="813" t="s">
        <v>4007</v>
      </c>
      <c r="O73" s="813" t="s">
        <v>3883</v>
      </c>
      <c r="P73" s="813" t="s">
        <v>4008</v>
      </c>
      <c r="Q73" s="813" t="s">
        <v>4009</v>
      </c>
      <c r="R73" s="813">
        <v>1</v>
      </c>
      <c r="S73" s="813" t="s">
        <v>4010</v>
      </c>
      <c r="T73" s="813" t="s">
        <v>3965</v>
      </c>
    </row>
    <row r="74" spans="1:20" ht="15" customHeight="1" x14ac:dyDescent="0.35">
      <c r="A74" s="794" t="s">
        <v>4011</v>
      </c>
      <c r="B74" s="794" t="s">
        <v>826</v>
      </c>
      <c r="C74" s="812" t="s">
        <v>3913</v>
      </c>
      <c r="D74" s="825"/>
      <c r="E74" s="825"/>
      <c r="F74" s="825">
        <v>0.9</v>
      </c>
      <c r="G74" s="814" t="s">
        <v>3858</v>
      </c>
      <c r="H74" s="813" t="s">
        <v>3859</v>
      </c>
      <c r="I74" s="813" t="s">
        <v>3960</v>
      </c>
      <c r="J74" s="813" t="s">
        <v>4006</v>
      </c>
      <c r="K74" s="813" t="s">
        <v>3862</v>
      </c>
      <c r="L74" s="813" t="s">
        <v>3863</v>
      </c>
      <c r="M74" s="813" t="s">
        <v>1736</v>
      </c>
      <c r="N74" s="813" t="s">
        <v>4012</v>
      </c>
      <c r="O74" s="813" t="s">
        <v>3883</v>
      </c>
      <c r="P74" s="813" t="s">
        <v>4013</v>
      </c>
      <c r="Q74" s="813" t="s">
        <v>4014</v>
      </c>
      <c r="R74" s="813">
        <v>1</v>
      </c>
      <c r="S74" s="813" t="s">
        <v>4010</v>
      </c>
      <c r="T74" s="813" t="s">
        <v>3965</v>
      </c>
    </row>
    <row r="75" spans="1:20" ht="15" customHeight="1" x14ac:dyDescent="0.35">
      <c r="A75" s="794" t="s">
        <v>4015</v>
      </c>
      <c r="B75" s="794" t="s">
        <v>834</v>
      </c>
      <c r="C75" s="812" t="s">
        <v>3913</v>
      </c>
      <c r="D75" s="825"/>
      <c r="E75" s="825"/>
      <c r="F75" s="825">
        <v>1.1000000000000001</v>
      </c>
      <c r="G75" s="814" t="s">
        <v>3858</v>
      </c>
      <c r="H75" s="813" t="s">
        <v>3859</v>
      </c>
      <c r="I75" s="813" t="s">
        <v>3960</v>
      </c>
      <c r="J75" s="813" t="s">
        <v>4006</v>
      </c>
      <c r="K75" s="813" t="s">
        <v>3862</v>
      </c>
      <c r="L75" s="813" t="s">
        <v>3863</v>
      </c>
      <c r="M75" s="813" t="s">
        <v>1736</v>
      </c>
      <c r="N75" s="813" t="s">
        <v>4016</v>
      </c>
      <c r="O75" s="813" t="s">
        <v>3883</v>
      </c>
      <c r="P75" s="813" t="s">
        <v>4017</v>
      </c>
      <c r="Q75" s="813" t="s">
        <v>4018</v>
      </c>
      <c r="R75" s="813">
        <v>1</v>
      </c>
      <c r="S75" s="813" t="s">
        <v>4010</v>
      </c>
      <c r="T75" s="813" t="s">
        <v>3965</v>
      </c>
    </row>
    <row r="76" spans="1:20" ht="15" customHeight="1" x14ac:dyDescent="0.35">
      <c r="A76" s="794" t="s">
        <v>4019</v>
      </c>
      <c r="B76" s="794" t="s">
        <v>830</v>
      </c>
      <c r="C76" s="812" t="s">
        <v>83</v>
      </c>
      <c r="D76" s="825"/>
      <c r="E76" s="825"/>
      <c r="F76" s="829">
        <v>0.95</v>
      </c>
      <c r="G76" s="814" t="s">
        <v>3858</v>
      </c>
      <c r="H76" s="813" t="s">
        <v>3859</v>
      </c>
      <c r="I76" s="813" t="s">
        <v>3960</v>
      </c>
      <c r="J76" s="813" t="s">
        <v>4006</v>
      </c>
      <c r="K76" s="813" t="s">
        <v>3862</v>
      </c>
      <c r="L76" s="813" t="s">
        <v>3863</v>
      </c>
      <c r="M76" s="813" t="s">
        <v>1736</v>
      </c>
      <c r="N76" s="813" t="s">
        <v>4020</v>
      </c>
      <c r="O76" s="813" t="s">
        <v>3883</v>
      </c>
      <c r="P76" s="813" t="s">
        <v>4021</v>
      </c>
      <c r="Q76" s="813" t="s">
        <v>4022</v>
      </c>
      <c r="R76" s="813">
        <v>1</v>
      </c>
      <c r="S76" s="813" t="s">
        <v>4010</v>
      </c>
      <c r="T76" s="813" t="s">
        <v>3965</v>
      </c>
    </row>
    <row r="77" spans="1:20" ht="15" customHeight="1" x14ac:dyDescent="0.35">
      <c r="A77" s="794" t="s">
        <v>4023</v>
      </c>
      <c r="B77" s="794" t="s">
        <v>826</v>
      </c>
      <c r="C77" s="812" t="s">
        <v>83</v>
      </c>
      <c r="D77" s="825"/>
      <c r="E77" s="825"/>
      <c r="F77" s="829">
        <v>0.85</v>
      </c>
      <c r="G77" s="814" t="s">
        <v>3858</v>
      </c>
      <c r="H77" s="813" t="s">
        <v>3859</v>
      </c>
      <c r="I77" s="813" t="s">
        <v>3960</v>
      </c>
      <c r="J77" s="813" t="s">
        <v>4006</v>
      </c>
      <c r="K77" s="813" t="s">
        <v>3862</v>
      </c>
      <c r="L77" s="813" t="s">
        <v>3863</v>
      </c>
      <c r="M77" s="813" t="s">
        <v>1736</v>
      </c>
      <c r="N77" s="813" t="s">
        <v>4024</v>
      </c>
      <c r="O77" s="813" t="s">
        <v>3883</v>
      </c>
      <c r="P77" s="813" t="s">
        <v>4025</v>
      </c>
      <c r="Q77" s="813" t="s">
        <v>4026</v>
      </c>
      <c r="R77" s="813">
        <v>1</v>
      </c>
      <c r="S77" s="813" t="s">
        <v>4010</v>
      </c>
      <c r="T77" s="813" t="s">
        <v>3965</v>
      </c>
    </row>
    <row r="78" spans="1:20" ht="15" customHeight="1" x14ac:dyDescent="0.35">
      <c r="A78" s="794" t="s">
        <v>4027</v>
      </c>
      <c r="B78" s="794" t="s">
        <v>834</v>
      </c>
      <c r="C78" s="812" t="s">
        <v>83</v>
      </c>
      <c r="D78" s="825"/>
      <c r="E78" s="825"/>
      <c r="F78" s="829">
        <v>0.98</v>
      </c>
      <c r="G78" s="814" t="s">
        <v>3858</v>
      </c>
      <c r="H78" s="813" t="s">
        <v>3859</v>
      </c>
      <c r="I78" s="813" t="s">
        <v>3960</v>
      </c>
      <c r="J78" s="813" t="s">
        <v>4006</v>
      </c>
      <c r="K78" s="813" t="s">
        <v>3862</v>
      </c>
      <c r="L78" s="813" t="s">
        <v>3863</v>
      </c>
      <c r="M78" s="813" t="s">
        <v>1736</v>
      </c>
      <c r="N78" s="813" t="s">
        <v>4028</v>
      </c>
      <c r="O78" s="813" t="s">
        <v>3883</v>
      </c>
      <c r="P78" s="813" t="s">
        <v>4029</v>
      </c>
      <c r="Q78" s="813" t="s">
        <v>4030</v>
      </c>
      <c r="R78" s="813">
        <v>1</v>
      </c>
      <c r="S78" s="813" t="s">
        <v>4010</v>
      </c>
      <c r="T78" s="813" t="s">
        <v>3965</v>
      </c>
    </row>
    <row r="79" spans="1:20" ht="15" customHeight="1" x14ac:dyDescent="0.35">
      <c r="A79" s="794" t="s">
        <v>4031</v>
      </c>
      <c r="B79" s="794" t="s">
        <v>826</v>
      </c>
      <c r="C79" s="812" t="s">
        <v>83</v>
      </c>
      <c r="D79" s="825"/>
      <c r="E79" s="825"/>
      <c r="F79" s="829">
        <v>0.03</v>
      </c>
      <c r="G79" s="814" t="s">
        <v>3858</v>
      </c>
      <c r="H79" s="813" t="s">
        <v>3859</v>
      </c>
      <c r="I79" s="813" t="s">
        <v>3960</v>
      </c>
      <c r="J79" s="813" t="s">
        <v>4006</v>
      </c>
      <c r="K79" s="813" t="s">
        <v>3891</v>
      </c>
      <c r="L79" s="813" t="s">
        <v>3863</v>
      </c>
      <c r="M79" s="813" t="s">
        <v>307</v>
      </c>
      <c r="N79" s="813" t="s">
        <v>4032</v>
      </c>
      <c r="O79" s="813" t="s">
        <v>3990</v>
      </c>
      <c r="P79" s="813" t="s">
        <v>4033</v>
      </c>
      <c r="Q79" s="813" t="s">
        <v>4034</v>
      </c>
      <c r="R79" s="813">
        <v>1</v>
      </c>
      <c r="S79" s="813" t="s">
        <v>4010</v>
      </c>
      <c r="T79" s="813" t="s">
        <v>3965</v>
      </c>
    </row>
    <row r="80" spans="1:20" ht="15" customHeight="1" x14ac:dyDescent="0.35">
      <c r="A80" s="794" t="s">
        <v>4035</v>
      </c>
      <c r="B80" s="794" t="s">
        <v>830</v>
      </c>
      <c r="C80" s="812" t="s">
        <v>83</v>
      </c>
      <c r="D80" s="825"/>
      <c r="E80" s="825"/>
      <c r="F80" s="829">
        <v>2.5000000000000001E-2</v>
      </c>
      <c r="G80" s="814" t="s">
        <v>3858</v>
      </c>
      <c r="H80" s="813" t="s">
        <v>3859</v>
      </c>
      <c r="I80" s="813" t="s">
        <v>3960</v>
      </c>
      <c r="J80" s="813" t="s">
        <v>4006</v>
      </c>
      <c r="K80" s="813" t="s">
        <v>3891</v>
      </c>
      <c r="L80" s="813" t="s">
        <v>3863</v>
      </c>
      <c r="M80" s="813" t="s">
        <v>307</v>
      </c>
      <c r="N80" s="813" t="s">
        <v>4036</v>
      </c>
      <c r="O80" s="813" t="s">
        <v>3990</v>
      </c>
      <c r="P80" s="813" t="s">
        <v>4037</v>
      </c>
      <c r="Q80" s="813" t="s">
        <v>4038</v>
      </c>
      <c r="R80" s="813">
        <v>1</v>
      </c>
      <c r="S80" s="813" t="s">
        <v>4010</v>
      </c>
      <c r="T80" s="813" t="s">
        <v>3965</v>
      </c>
    </row>
    <row r="81" spans="1:20" ht="15" customHeight="1" x14ac:dyDescent="0.35">
      <c r="A81" s="794" t="s">
        <v>4039</v>
      </c>
      <c r="B81" s="794" t="s">
        <v>834</v>
      </c>
      <c r="C81" s="812" t="s">
        <v>83</v>
      </c>
      <c r="D81" s="825"/>
      <c r="E81" s="825"/>
      <c r="F81" s="829">
        <v>0.02</v>
      </c>
      <c r="G81" s="814" t="s">
        <v>3858</v>
      </c>
      <c r="H81" s="813" t="s">
        <v>3859</v>
      </c>
      <c r="I81" s="813" t="s">
        <v>3960</v>
      </c>
      <c r="J81" s="813" t="s">
        <v>4006</v>
      </c>
      <c r="K81" s="813" t="s">
        <v>3891</v>
      </c>
      <c r="L81" s="813" t="s">
        <v>3863</v>
      </c>
      <c r="M81" s="813" t="s">
        <v>307</v>
      </c>
      <c r="N81" s="813" t="s">
        <v>4040</v>
      </c>
      <c r="O81" s="813" t="s">
        <v>3990</v>
      </c>
      <c r="P81" s="813" t="s">
        <v>4041</v>
      </c>
      <c r="Q81" s="813" t="s">
        <v>4042</v>
      </c>
      <c r="R81" s="813">
        <v>1</v>
      </c>
      <c r="S81" s="813" t="s">
        <v>4010</v>
      </c>
      <c r="T81" s="813" t="s">
        <v>3965</v>
      </c>
    </row>
    <row r="82" spans="1:20" ht="15" customHeight="1" x14ac:dyDescent="0.35">
      <c r="A82" s="794" t="s">
        <v>4043</v>
      </c>
      <c r="B82" s="794" t="s">
        <v>826</v>
      </c>
      <c r="C82" s="812" t="s">
        <v>83</v>
      </c>
      <c r="D82" s="825"/>
      <c r="E82" s="825"/>
      <c r="F82" s="829">
        <v>2.75E-2</v>
      </c>
      <c r="G82" s="814" t="s">
        <v>3858</v>
      </c>
      <c r="H82" s="813" t="s">
        <v>3859</v>
      </c>
      <c r="I82" s="813" t="s">
        <v>3960</v>
      </c>
      <c r="J82" s="813" t="s">
        <v>4006</v>
      </c>
      <c r="K82" s="813" t="s">
        <v>3891</v>
      </c>
      <c r="L82" s="813" t="s">
        <v>3863</v>
      </c>
      <c r="M82" s="813" t="s">
        <v>307</v>
      </c>
      <c r="N82" s="813" t="s">
        <v>4044</v>
      </c>
      <c r="O82" s="813" t="s">
        <v>4045</v>
      </c>
      <c r="P82" s="813" t="s">
        <v>4046</v>
      </c>
      <c r="Q82" s="813" t="s">
        <v>4047</v>
      </c>
      <c r="R82" s="813">
        <v>1</v>
      </c>
      <c r="S82" s="813" t="s">
        <v>4010</v>
      </c>
      <c r="T82" s="813" t="s">
        <v>3965</v>
      </c>
    </row>
    <row r="83" spans="1:20" ht="15" customHeight="1" x14ac:dyDescent="0.35">
      <c r="A83" s="794" t="s">
        <v>4048</v>
      </c>
      <c r="B83" s="794" t="s">
        <v>830</v>
      </c>
      <c r="C83" s="812" t="s">
        <v>83</v>
      </c>
      <c r="D83" s="825"/>
      <c r="E83" s="825"/>
      <c r="F83" s="829">
        <v>2.5000000000000001E-2</v>
      </c>
      <c r="G83" s="814" t="s">
        <v>3858</v>
      </c>
      <c r="H83" s="813" t="s">
        <v>3859</v>
      </c>
      <c r="I83" s="813" t="s">
        <v>3960</v>
      </c>
      <c r="J83" s="813" t="s">
        <v>4006</v>
      </c>
      <c r="K83" s="813" t="s">
        <v>3891</v>
      </c>
      <c r="L83" s="813" t="s">
        <v>3863</v>
      </c>
      <c r="M83" s="813" t="s">
        <v>307</v>
      </c>
      <c r="N83" s="813" t="s">
        <v>4049</v>
      </c>
      <c r="O83" s="813" t="s">
        <v>4045</v>
      </c>
      <c r="P83" s="813" t="s">
        <v>4050</v>
      </c>
      <c r="Q83" s="813" t="s">
        <v>4051</v>
      </c>
      <c r="R83" s="813">
        <v>1</v>
      </c>
      <c r="S83" s="813" t="s">
        <v>4010</v>
      </c>
      <c r="T83" s="813" t="s">
        <v>3965</v>
      </c>
    </row>
    <row r="84" spans="1:20" ht="15" customHeight="1" x14ac:dyDescent="0.35">
      <c r="A84" s="794" t="s">
        <v>4052</v>
      </c>
      <c r="B84" s="794" t="s">
        <v>834</v>
      </c>
      <c r="C84" s="812" t="s">
        <v>83</v>
      </c>
      <c r="D84" s="825"/>
      <c r="E84" s="825"/>
      <c r="F84" s="829">
        <v>2.2499999999999999E-2</v>
      </c>
      <c r="G84" s="814" t="s">
        <v>3858</v>
      </c>
      <c r="H84" s="813" t="s">
        <v>3859</v>
      </c>
      <c r="I84" s="813" t="s">
        <v>3960</v>
      </c>
      <c r="J84" s="813" t="s">
        <v>4006</v>
      </c>
      <c r="K84" s="813" t="s">
        <v>3891</v>
      </c>
      <c r="L84" s="813" t="s">
        <v>3863</v>
      </c>
      <c r="M84" s="813" t="s">
        <v>307</v>
      </c>
      <c r="N84" s="813" t="s">
        <v>4053</v>
      </c>
      <c r="O84" s="813" t="s">
        <v>4045</v>
      </c>
      <c r="P84" s="813" t="s">
        <v>4054</v>
      </c>
      <c r="Q84" s="813" t="s">
        <v>4055</v>
      </c>
      <c r="R84" s="813">
        <v>1</v>
      </c>
      <c r="S84" s="813" t="s">
        <v>4010</v>
      </c>
      <c r="T84" s="813" t="s">
        <v>3965</v>
      </c>
    </row>
    <row r="85" spans="1:20" ht="15" customHeight="1" x14ac:dyDescent="0.35">
      <c r="A85" s="794" t="s">
        <v>4056</v>
      </c>
      <c r="B85" s="794" t="s">
        <v>826</v>
      </c>
      <c r="C85" s="812" t="s">
        <v>83</v>
      </c>
      <c r="D85" s="825"/>
      <c r="E85" s="825"/>
      <c r="F85" s="829">
        <v>1</v>
      </c>
      <c r="G85" s="814" t="s">
        <v>3858</v>
      </c>
      <c r="H85" s="813" t="s">
        <v>3859</v>
      </c>
      <c r="I85" s="813" t="s">
        <v>3960</v>
      </c>
      <c r="J85" s="813" t="s">
        <v>4006</v>
      </c>
      <c r="K85" s="813" t="s">
        <v>3891</v>
      </c>
      <c r="L85" s="813" t="s">
        <v>3863</v>
      </c>
      <c r="M85" s="813" t="s">
        <v>307</v>
      </c>
      <c r="N85" s="813" t="s">
        <v>4057</v>
      </c>
      <c r="O85" s="813" t="s">
        <v>4045</v>
      </c>
      <c r="P85" s="813" t="s">
        <v>4058</v>
      </c>
      <c r="Q85" s="813" t="s">
        <v>4059</v>
      </c>
      <c r="R85" s="813">
        <v>1</v>
      </c>
      <c r="S85" s="813" t="s">
        <v>4010</v>
      </c>
      <c r="T85" s="813" t="s">
        <v>3965</v>
      </c>
    </row>
    <row r="86" spans="1:20" ht="15" customHeight="1" x14ac:dyDescent="0.35">
      <c r="A86" s="794" t="s">
        <v>4060</v>
      </c>
      <c r="B86" s="794" t="s">
        <v>830</v>
      </c>
      <c r="C86" s="812" t="s">
        <v>83</v>
      </c>
      <c r="D86" s="825"/>
      <c r="E86" s="825"/>
      <c r="F86" s="829">
        <v>1</v>
      </c>
      <c r="G86" s="814" t="s">
        <v>3858</v>
      </c>
      <c r="H86" s="813" t="s">
        <v>3859</v>
      </c>
      <c r="I86" s="813" t="s">
        <v>3960</v>
      </c>
      <c r="J86" s="813" t="s">
        <v>4006</v>
      </c>
      <c r="K86" s="813" t="s">
        <v>3891</v>
      </c>
      <c r="L86" s="813" t="s">
        <v>3863</v>
      </c>
      <c r="M86" s="813" t="s">
        <v>307</v>
      </c>
      <c r="N86" s="813" t="s">
        <v>4061</v>
      </c>
      <c r="O86" s="813" t="s">
        <v>4045</v>
      </c>
      <c r="P86" s="813" t="s">
        <v>4062</v>
      </c>
      <c r="Q86" s="813" t="s">
        <v>4063</v>
      </c>
      <c r="R86" s="813">
        <v>1</v>
      </c>
      <c r="S86" s="813" t="s">
        <v>4010</v>
      </c>
      <c r="T86" s="813" t="s">
        <v>3965</v>
      </c>
    </row>
    <row r="87" spans="1:20" ht="15" customHeight="1" x14ac:dyDescent="0.35">
      <c r="A87" s="794" t="s">
        <v>4064</v>
      </c>
      <c r="B87" s="794" t="s">
        <v>834</v>
      </c>
      <c r="C87" s="812" t="s">
        <v>83</v>
      </c>
      <c r="D87" s="825"/>
      <c r="E87" s="825"/>
      <c r="F87" s="829">
        <v>1</v>
      </c>
      <c r="G87" s="814" t="s">
        <v>3858</v>
      </c>
      <c r="H87" s="813" t="s">
        <v>3859</v>
      </c>
      <c r="I87" s="813" t="s">
        <v>3960</v>
      </c>
      <c r="J87" s="813" t="s">
        <v>4006</v>
      </c>
      <c r="K87" s="813" t="s">
        <v>3891</v>
      </c>
      <c r="L87" s="813" t="s">
        <v>3863</v>
      </c>
      <c r="M87" s="813" t="s">
        <v>307</v>
      </c>
      <c r="N87" s="813" t="s">
        <v>4065</v>
      </c>
      <c r="O87" s="813" t="s">
        <v>4045</v>
      </c>
      <c r="P87" s="813" t="s">
        <v>4066</v>
      </c>
      <c r="Q87" s="813" t="s">
        <v>4067</v>
      </c>
      <c r="R87" s="813">
        <v>1</v>
      </c>
      <c r="S87" s="813" t="s">
        <v>4010</v>
      </c>
      <c r="T87" s="813" t="s">
        <v>3965</v>
      </c>
    </row>
    <row r="88" spans="1:20" ht="15" customHeight="1" x14ac:dyDescent="0.35">
      <c r="A88" s="803" t="s">
        <v>4068</v>
      </c>
      <c r="B88" s="803"/>
      <c r="C88" s="803"/>
      <c r="D88" s="803"/>
      <c r="E88" s="803"/>
      <c r="F88" s="803"/>
      <c r="G88" s="803" t="s">
        <v>3946</v>
      </c>
      <c r="H88" s="794"/>
      <c r="I88" s="794"/>
      <c r="J88" s="794"/>
      <c r="K88" s="794"/>
      <c r="L88" s="794"/>
      <c r="M88" s="794"/>
      <c r="N88" s="794"/>
      <c r="O88" s="794"/>
      <c r="P88" s="794"/>
      <c r="Q88" s="794"/>
      <c r="R88" s="794"/>
      <c r="S88" s="794"/>
      <c r="T88" s="794"/>
    </row>
    <row r="89" spans="1:20" ht="15" customHeight="1" x14ac:dyDescent="0.35">
      <c r="A89" s="794" t="s">
        <v>4069</v>
      </c>
      <c r="B89" s="794" t="s">
        <v>3857</v>
      </c>
      <c r="C89" s="812" t="s">
        <v>3913</v>
      </c>
      <c r="D89" s="825">
        <v>0.75</v>
      </c>
      <c r="E89" s="825"/>
      <c r="F89" s="826"/>
      <c r="G89" s="814" t="s">
        <v>3858</v>
      </c>
      <c r="H89" s="813" t="s">
        <v>3859</v>
      </c>
      <c r="I89" s="813" t="s">
        <v>4070</v>
      </c>
      <c r="J89" s="813" t="s">
        <v>4071</v>
      </c>
      <c r="K89" s="813" t="s">
        <v>4072</v>
      </c>
      <c r="L89" s="813" t="s">
        <v>3863</v>
      </c>
      <c r="M89" s="813" t="s">
        <v>1818</v>
      </c>
      <c r="N89" s="813" t="s">
        <v>4073</v>
      </c>
      <c r="O89" s="813" t="s">
        <v>4074</v>
      </c>
      <c r="P89" s="813" t="s">
        <v>4075</v>
      </c>
      <c r="Q89" s="813" t="s">
        <v>4076</v>
      </c>
      <c r="R89" s="813">
        <v>1</v>
      </c>
      <c r="S89" s="813" t="s">
        <v>4077</v>
      </c>
      <c r="T89" s="813" t="s">
        <v>3965</v>
      </c>
    </row>
    <row r="90" spans="1:20" ht="15" customHeight="1" x14ac:dyDescent="0.35">
      <c r="A90" s="803" t="s">
        <v>4078</v>
      </c>
      <c r="B90" s="803"/>
      <c r="C90" s="803"/>
      <c r="D90" s="803"/>
      <c r="E90" s="803"/>
      <c r="F90" s="803"/>
      <c r="G90" s="803" t="s">
        <v>4079</v>
      </c>
      <c r="H90" s="794"/>
      <c r="I90" s="794"/>
      <c r="J90" s="794"/>
      <c r="K90" s="794"/>
      <c r="L90" s="794"/>
      <c r="M90" s="794"/>
      <c r="N90" s="794"/>
      <c r="O90" s="794"/>
      <c r="P90" s="794"/>
      <c r="Q90" s="794"/>
      <c r="R90" s="794"/>
      <c r="S90" s="794"/>
      <c r="T90" s="794"/>
    </row>
    <row r="91" spans="1:20" ht="15" customHeight="1" x14ac:dyDescent="0.35">
      <c r="A91" s="794" t="s">
        <v>4080</v>
      </c>
      <c r="B91" s="794" t="s">
        <v>3857</v>
      </c>
      <c r="C91" s="812" t="s">
        <v>3913</v>
      </c>
      <c r="D91" s="825"/>
      <c r="E91" s="825"/>
      <c r="F91" s="825">
        <v>2029</v>
      </c>
      <c r="G91" s="814" t="s">
        <v>3858</v>
      </c>
      <c r="H91" s="813" t="s">
        <v>3859</v>
      </c>
      <c r="I91" s="813" t="s">
        <v>4070</v>
      </c>
      <c r="J91" s="813" t="s">
        <v>4081</v>
      </c>
      <c r="K91" s="813" t="s">
        <v>3862</v>
      </c>
      <c r="L91" s="813" t="s">
        <v>3863</v>
      </c>
      <c r="M91" s="813" t="s">
        <v>1736</v>
      </c>
      <c r="N91" s="813" t="s">
        <v>4082</v>
      </c>
      <c r="O91" s="813" t="s">
        <v>3883</v>
      </c>
      <c r="P91" s="813" t="s">
        <v>4083</v>
      </c>
      <c r="Q91" s="813" t="s">
        <v>4084</v>
      </c>
      <c r="R91" s="813">
        <v>1</v>
      </c>
      <c r="S91" s="813" t="s">
        <v>4085</v>
      </c>
      <c r="T91" s="813" t="s">
        <v>3965</v>
      </c>
    </row>
    <row r="92" spans="1:20" ht="15" customHeight="1" x14ac:dyDescent="0.35">
      <c r="A92" s="794" t="s">
        <v>4086</v>
      </c>
      <c r="B92" s="794" t="s">
        <v>3857</v>
      </c>
      <c r="C92" s="812" t="s">
        <v>3842</v>
      </c>
      <c r="D92" s="825"/>
      <c r="E92" s="825"/>
      <c r="F92" s="826" t="s">
        <v>4087</v>
      </c>
      <c r="G92" s="814" t="s">
        <v>3858</v>
      </c>
      <c r="H92" s="813" t="s">
        <v>3859</v>
      </c>
      <c r="I92" s="813" t="s">
        <v>4070</v>
      </c>
      <c r="J92" s="813" t="s">
        <v>4081</v>
      </c>
      <c r="K92" s="813" t="s">
        <v>3862</v>
      </c>
      <c r="L92" s="813" t="s">
        <v>3863</v>
      </c>
      <c r="M92" s="813" t="s">
        <v>1736</v>
      </c>
      <c r="N92" s="813" t="s">
        <v>4088</v>
      </c>
      <c r="O92" s="813" t="s">
        <v>3865</v>
      </c>
      <c r="P92" s="813" t="s">
        <v>4089</v>
      </c>
      <c r="Q92" s="813" t="s">
        <v>4090</v>
      </c>
      <c r="R92" s="813">
        <v>1</v>
      </c>
      <c r="S92" s="813" t="s">
        <v>4085</v>
      </c>
      <c r="T92" s="813" t="s">
        <v>3965</v>
      </c>
    </row>
    <row r="93" spans="1:20" ht="15" customHeight="1" x14ac:dyDescent="0.35">
      <c r="A93" s="794" t="s">
        <v>4091</v>
      </c>
      <c r="B93" s="794" t="s">
        <v>3857</v>
      </c>
      <c r="C93" s="812" t="s">
        <v>3842</v>
      </c>
      <c r="D93" s="825"/>
      <c r="E93" s="825"/>
      <c r="F93" s="826" t="s">
        <v>4092</v>
      </c>
      <c r="G93" s="814" t="s">
        <v>3858</v>
      </c>
      <c r="H93" s="813" t="s">
        <v>3859</v>
      </c>
      <c r="I93" s="813" t="s">
        <v>4070</v>
      </c>
      <c r="J93" s="813" t="s">
        <v>4081</v>
      </c>
      <c r="K93" s="813" t="s">
        <v>3862</v>
      </c>
      <c r="L93" s="813" t="s">
        <v>3863</v>
      </c>
      <c r="M93" s="813" t="s">
        <v>1736</v>
      </c>
      <c r="N93" s="813" t="s">
        <v>4093</v>
      </c>
      <c r="O93" s="813" t="s">
        <v>3865</v>
      </c>
      <c r="P93" s="813" t="s">
        <v>4094</v>
      </c>
      <c r="Q93" s="813" t="s">
        <v>4095</v>
      </c>
      <c r="R93" s="813">
        <v>1</v>
      </c>
      <c r="S93" s="813" t="s">
        <v>4085</v>
      </c>
      <c r="T93" s="813" t="s">
        <v>3965</v>
      </c>
    </row>
    <row r="94" spans="1:20" ht="15" customHeight="1" x14ac:dyDescent="0.35">
      <c r="A94" s="794" t="s">
        <v>4096</v>
      </c>
      <c r="B94" s="794" t="s">
        <v>3857</v>
      </c>
      <c r="C94" s="812" t="s">
        <v>3842</v>
      </c>
      <c r="D94" s="825"/>
      <c r="E94" s="825"/>
      <c r="F94" s="826" t="s">
        <v>4097</v>
      </c>
      <c r="G94" s="814" t="s">
        <v>3858</v>
      </c>
      <c r="H94" s="813" t="s">
        <v>3859</v>
      </c>
      <c r="I94" s="813" t="s">
        <v>4070</v>
      </c>
      <c r="J94" s="813" t="s">
        <v>4081</v>
      </c>
      <c r="K94" s="813" t="s">
        <v>3862</v>
      </c>
      <c r="L94" s="813" t="s">
        <v>3863</v>
      </c>
      <c r="M94" s="813" t="s">
        <v>1736</v>
      </c>
      <c r="N94" s="813" t="s">
        <v>4098</v>
      </c>
      <c r="O94" s="813" t="s">
        <v>3865</v>
      </c>
      <c r="P94" s="813" t="s">
        <v>4099</v>
      </c>
      <c r="Q94" s="813" t="s">
        <v>4100</v>
      </c>
      <c r="R94" s="813">
        <v>1</v>
      </c>
      <c r="S94" s="813" t="s">
        <v>4085</v>
      </c>
      <c r="T94" s="813" t="s">
        <v>3965</v>
      </c>
    </row>
    <row r="95" spans="1:20" ht="15" customHeight="1" x14ac:dyDescent="0.35">
      <c r="A95" s="794" t="s">
        <v>4101</v>
      </c>
      <c r="B95" s="794" t="s">
        <v>3857</v>
      </c>
      <c r="C95" s="812" t="s">
        <v>3842</v>
      </c>
      <c r="D95" s="825"/>
      <c r="E95" s="825"/>
      <c r="F95" s="826" t="s">
        <v>4102</v>
      </c>
      <c r="G95" s="814" t="s">
        <v>3858</v>
      </c>
      <c r="H95" s="813" t="s">
        <v>3859</v>
      </c>
      <c r="I95" s="813" t="s">
        <v>4070</v>
      </c>
      <c r="J95" s="813" t="s">
        <v>4081</v>
      </c>
      <c r="K95" s="813" t="s">
        <v>3862</v>
      </c>
      <c r="L95" s="813" t="s">
        <v>3863</v>
      </c>
      <c r="M95" s="813" t="s">
        <v>1736</v>
      </c>
      <c r="N95" s="813" t="s">
        <v>4103</v>
      </c>
      <c r="O95" s="813" t="s">
        <v>3865</v>
      </c>
      <c r="P95" s="813" t="s">
        <v>4104</v>
      </c>
      <c r="Q95" s="813" t="s">
        <v>4105</v>
      </c>
      <c r="R95" s="813">
        <v>1</v>
      </c>
      <c r="S95" s="813" t="s">
        <v>4085</v>
      </c>
      <c r="T95" s="813" t="s">
        <v>3965</v>
      </c>
    </row>
    <row r="96" spans="1:20" ht="15" customHeight="1" x14ac:dyDescent="0.35">
      <c r="A96" s="794" t="s">
        <v>4106</v>
      </c>
      <c r="B96" s="794" t="s">
        <v>3857</v>
      </c>
      <c r="C96" s="812" t="s">
        <v>4107</v>
      </c>
      <c r="D96" s="825"/>
      <c r="E96" s="825"/>
      <c r="F96" s="825">
        <v>580</v>
      </c>
      <c r="G96" s="814" t="s">
        <v>3858</v>
      </c>
      <c r="H96" s="813" t="s">
        <v>3859</v>
      </c>
      <c r="I96" s="813" t="s">
        <v>4070</v>
      </c>
      <c r="J96" s="813" t="s">
        <v>4081</v>
      </c>
      <c r="K96" s="813" t="s">
        <v>3862</v>
      </c>
      <c r="L96" s="813" t="s">
        <v>3863</v>
      </c>
      <c r="M96" s="813" t="s">
        <v>1736</v>
      </c>
      <c r="N96" s="813" t="s">
        <v>4108</v>
      </c>
      <c r="O96" s="813" t="s">
        <v>3883</v>
      </c>
      <c r="P96" s="813" t="s">
        <v>4109</v>
      </c>
      <c r="Q96" s="813" t="s">
        <v>4110</v>
      </c>
      <c r="R96" s="813">
        <v>1</v>
      </c>
      <c r="S96" s="813" t="s">
        <v>4085</v>
      </c>
      <c r="T96" s="813" t="s">
        <v>3965</v>
      </c>
    </row>
    <row r="97" spans="1:20" ht="15" customHeight="1" x14ac:dyDescent="0.35">
      <c r="A97" s="794" t="s">
        <v>4111</v>
      </c>
      <c r="B97" s="794" t="s">
        <v>3857</v>
      </c>
      <c r="C97" s="812" t="s">
        <v>3842</v>
      </c>
      <c r="D97" s="825"/>
      <c r="E97" s="825"/>
      <c r="F97" s="826" t="s">
        <v>4112</v>
      </c>
      <c r="G97" s="814" t="s">
        <v>3858</v>
      </c>
      <c r="H97" s="813" t="s">
        <v>3859</v>
      </c>
      <c r="I97" s="813" t="s">
        <v>4070</v>
      </c>
      <c r="J97" s="813" t="s">
        <v>4081</v>
      </c>
      <c r="K97" s="813" t="s">
        <v>3862</v>
      </c>
      <c r="L97" s="813" t="s">
        <v>3863</v>
      </c>
      <c r="M97" s="813" t="s">
        <v>1736</v>
      </c>
      <c r="N97" s="813" t="s">
        <v>4113</v>
      </c>
      <c r="O97" s="813" t="s">
        <v>3865</v>
      </c>
      <c r="P97" s="813" t="s">
        <v>4114</v>
      </c>
      <c r="Q97" s="813" t="s">
        <v>4115</v>
      </c>
      <c r="R97" s="813">
        <v>1</v>
      </c>
      <c r="S97" s="813" t="s">
        <v>4085</v>
      </c>
      <c r="T97" s="813" t="s">
        <v>3965</v>
      </c>
    </row>
    <row r="98" spans="1:20" ht="15" customHeight="1" x14ac:dyDescent="0.35">
      <c r="A98" s="794" t="s">
        <v>4116</v>
      </c>
      <c r="B98" s="794" t="s">
        <v>3857</v>
      </c>
      <c r="C98" s="812" t="s">
        <v>3842</v>
      </c>
      <c r="D98" s="825"/>
      <c r="E98" s="825"/>
      <c r="F98" s="826" t="s">
        <v>4117</v>
      </c>
      <c r="G98" s="814" t="s">
        <v>3858</v>
      </c>
      <c r="H98" s="813" t="s">
        <v>3859</v>
      </c>
      <c r="I98" s="813" t="s">
        <v>4070</v>
      </c>
      <c r="J98" s="813" t="s">
        <v>4081</v>
      </c>
      <c r="K98" s="813" t="s">
        <v>3862</v>
      </c>
      <c r="L98" s="813" t="s">
        <v>3863</v>
      </c>
      <c r="M98" s="813" t="s">
        <v>1736</v>
      </c>
      <c r="N98" s="813" t="s">
        <v>4118</v>
      </c>
      <c r="O98" s="813" t="s">
        <v>3865</v>
      </c>
      <c r="P98" s="813" t="s">
        <v>4119</v>
      </c>
      <c r="Q98" s="813" t="s">
        <v>4120</v>
      </c>
      <c r="R98" s="813">
        <v>1</v>
      </c>
      <c r="S98" s="813" t="s">
        <v>4085</v>
      </c>
      <c r="T98" s="813" t="s">
        <v>3965</v>
      </c>
    </row>
    <row r="99" spans="1:20" ht="15" customHeight="1" x14ac:dyDescent="0.35">
      <c r="A99" s="794" t="s">
        <v>4121</v>
      </c>
      <c r="B99" s="794" t="s">
        <v>3857</v>
      </c>
      <c r="C99" s="812" t="s">
        <v>83</v>
      </c>
      <c r="D99" s="825"/>
      <c r="E99" s="825"/>
      <c r="F99" s="829">
        <v>3.5000000000000003E-2</v>
      </c>
      <c r="G99" s="814" t="s">
        <v>3858</v>
      </c>
      <c r="H99" s="813" t="s">
        <v>3859</v>
      </c>
      <c r="I99" s="813" t="s">
        <v>4070</v>
      </c>
      <c r="J99" s="813" t="s">
        <v>4081</v>
      </c>
      <c r="K99" s="813" t="s">
        <v>3862</v>
      </c>
      <c r="L99" s="813" t="s">
        <v>3863</v>
      </c>
      <c r="M99" s="813" t="s">
        <v>1736</v>
      </c>
      <c r="N99" s="813" t="s">
        <v>4122</v>
      </c>
      <c r="O99" s="813" t="s">
        <v>3883</v>
      </c>
      <c r="P99" s="813" t="s">
        <v>4123</v>
      </c>
      <c r="Q99" s="813" t="s">
        <v>4124</v>
      </c>
      <c r="R99" s="813">
        <v>1</v>
      </c>
      <c r="S99" s="813" t="s">
        <v>4085</v>
      </c>
      <c r="T99" s="813" t="s">
        <v>3965</v>
      </c>
    </row>
    <row r="100" spans="1:20" ht="15" customHeight="1" x14ac:dyDescent="0.35">
      <c r="A100" s="794" t="s">
        <v>4125</v>
      </c>
      <c r="B100" s="794" t="s">
        <v>3857</v>
      </c>
      <c r="C100" s="812" t="s">
        <v>3842</v>
      </c>
      <c r="D100" s="825"/>
      <c r="E100" s="825"/>
      <c r="F100" s="826" t="s">
        <v>439</v>
      </c>
      <c r="G100" s="814" t="s">
        <v>3858</v>
      </c>
      <c r="H100" s="813" t="s">
        <v>3859</v>
      </c>
      <c r="I100" s="813" t="s">
        <v>4070</v>
      </c>
      <c r="J100" s="813" t="s">
        <v>4081</v>
      </c>
      <c r="K100" s="813" t="s">
        <v>3862</v>
      </c>
      <c r="L100" s="813" t="s">
        <v>3863</v>
      </c>
      <c r="M100" s="813" t="s">
        <v>1736</v>
      </c>
      <c r="N100" s="813" t="s">
        <v>4126</v>
      </c>
      <c r="O100" s="813" t="s">
        <v>3865</v>
      </c>
      <c r="P100" s="813" t="s">
        <v>4127</v>
      </c>
      <c r="Q100" s="813" t="s">
        <v>4128</v>
      </c>
      <c r="R100" s="813">
        <v>1</v>
      </c>
      <c r="S100" s="813" t="s">
        <v>4085</v>
      </c>
      <c r="T100" s="813" t="s">
        <v>3965</v>
      </c>
    </row>
    <row r="101" spans="1:20" ht="15" customHeight="1" x14ac:dyDescent="0.35">
      <c r="A101" s="794" t="s">
        <v>4129</v>
      </c>
      <c r="B101" s="794" t="s">
        <v>3857</v>
      </c>
      <c r="C101" s="812" t="s">
        <v>3842</v>
      </c>
      <c r="D101" s="825"/>
      <c r="E101" s="825"/>
      <c r="F101" s="826" t="s">
        <v>4130</v>
      </c>
      <c r="G101" s="814" t="s">
        <v>3858</v>
      </c>
      <c r="H101" s="813" t="s">
        <v>3859</v>
      </c>
      <c r="I101" s="813" t="s">
        <v>4070</v>
      </c>
      <c r="J101" s="813" t="s">
        <v>4081</v>
      </c>
      <c r="K101" s="813" t="s">
        <v>3862</v>
      </c>
      <c r="L101" s="813" t="s">
        <v>3863</v>
      </c>
      <c r="M101" s="813" t="s">
        <v>1736</v>
      </c>
      <c r="N101" s="813" t="s">
        <v>4131</v>
      </c>
      <c r="O101" s="813" t="s">
        <v>3865</v>
      </c>
      <c r="P101" s="813" t="s">
        <v>4132</v>
      </c>
      <c r="Q101" s="813" t="s">
        <v>4133</v>
      </c>
      <c r="R101" s="813">
        <v>1</v>
      </c>
      <c r="S101" s="813" t="s">
        <v>4085</v>
      </c>
      <c r="T101" s="813" t="s">
        <v>3965</v>
      </c>
    </row>
    <row r="102" spans="1:20" ht="15" customHeight="1" x14ac:dyDescent="0.35">
      <c r="A102" s="794" t="s">
        <v>4134</v>
      </c>
      <c r="B102" s="794" t="s">
        <v>3857</v>
      </c>
      <c r="C102" s="812" t="s">
        <v>3842</v>
      </c>
      <c r="D102" s="825"/>
      <c r="E102" s="825"/>
      <c r="F102" s="826" t="s">
        <v>4135</v>
      </c>
      <c r="G102" s="814" t="s">
        <v>3858</v>
      </c>
      <c r="H102" s="813" t="s">
        <v>3859</v>
      </c>
      <c r="I102" s="813" t="s">
        <v>4070</v>
      </c>
      <c r="J102" s="813" t="s">
        <v>4081</v>
      </c>
      <c r="K102" s="813" t="s">
        <v>3862</v>
      </c>
      <c r="L102" s="813" t="s">
        <v>3863</v>
      </c>
      <c r="M102" s="813" t="s">
        <v>1736</v>
      </c>
      <c r="N102" s="813" t="s">
        <v>4136</v>
      </c>
      <c r="O102" s="813" t="s">
        <v>3865</v>
      </c>
      <c r="P102" s="813" t="s">
        <v>4137</v>
      </c>
      <c r="Q102" s="813" t="s">
        <v>4138</v>
      </c>
      <c r="R102" s="813">
        <v>1</v>
      </c>
      <c r="S102" s="813" t="s">
        <v>4085</v>
      </c>
      <c r="T102" s="813" t="s">
        <v>3965</v>
      </c>
    </row>
    <row r="103" spans="1:20" ht="15" customHeight="1" x14ac:dyDescent="0.35">
      <c r="A103" s="794" t="s">
        <v>4139</v>
      </c>
      <c r="B103" s="794" t="s">
        <v>3857</v>
      </c>
      <c r="C103" s="812" t="s">
        <v>3842</v>
      </c>
      <c r="D103" s="825"/>
      <c r="E103" s="825"/>
      <c r="F103" s="826" t="s">
        <v>4097</v>
      </c>
      <c r="G103" s="814" t="s">
        <v>3858</v>
      </c>
      <c r="H103" s="813" t="s">
        <v>3859</v>
      </c>
      <c r="I103" s="813" t="s">
        <v>4070</v>
      </c>
      <c r="J103" s="813" t="s">
        <v>4081</v>
      </c>
      <c r="K103" s="813" t="s">
        <v>3862</v>
      </c>
      <c r="L103" s="813" t="s">
        <v>3863</v>
      </c>
      <c r="M103" s="813" t="s">
        <v>1736</v>
      </c>
      <c r="N103" s="813" t="s">
        <v>4140</v>
      </c>
      <c r="O103" s="813" t="s">
        <v>3865</v>
      </c>
      <c r="P103" s="813" t="s">
        <v>4141</v>
      </c>
      <c r="Q103" s="813" t="s">
        <v>4142</v>
      </c>
      <c r="R103" s="813">
        <v>1</v>
      </c>
      <c r="S103" s="813" t="s">
        <v>4085</v>
      </c>
      <c r="T103" s="813" t="s">
        <v>3965</v>
      </c>
    </row>
    <row r="104" spans="1:20" ht="15" customHeight="1" x14ac:dyDescent="0.35">
      <c r="A104" s="794" t="s">
        <v>4143</v>
      </c>
      <c r="B104" s="794" t="s">
        <v>3857</v>
      </c>
      <c r="C104" s="812" t="s">
        <v>4144</v>
      </c>
      <c r="D104" s="825"/>
      <c r="E104" s="825"/>
      <c r="F104" s="825">
        <v>800</v>
      </c>
      <c r="G104" s="814" t="s">
        <v>3858</v>
      </c>
      <c r="H104" s="813" t="s">
        <v>3859</v>
      </c>
      <c r="I104" s="813" t="s">
        <v>4070</v>
      </c>
      <c r="J104" s="813" t="s">
        <v>4081</v>
      </c>
      <c r="K104" s="813" t="s">
        <v>3862</v>
      </c>
      <c r="L104" s="813" t="s">
        <v>3863</v>
      </c>
      <c r="M104" s="813" t="s">
        <v>1736</v>
      </c>
      <c r="N104" s="813" t="s">
        <v>4145</v>
      </c>
      <c r="O104" s="813" t="s">
        <v>3883</v>
      </c>
      <c r="P104" s="813" t="s">
        <v>4146</v>
      </c>
      <c r="Q104" s="813" t="s">
        <v>4147</v>
      </c>
      <c r="R104" s="813">
        <v>1</v>
      </c>
      <c r="S104" s="813" t="s">
        <v>4085</v>
      </c>
      <c r="T104" s="813" t="s">
        <v>3965</v>
      </c>
    </row>
    <row r="105" spans="1:20" ht="15" customHeight="1" x14ac:dyDescent="0.35">
      <c r="A105" s="794" t="s">
        <v>4148</v>
      </c>
      <c r="B105" s="794" t="s">
        <v>3857</v>
      </c>
      <c r="C105" s="812" t="s">
        <v>3842</v>
      </c>
      <c r="D105" s="825"/>
      <c r="E105" s="825"/>
      <c r="F105" s="826" t="s">
        <v>4149</v>
      </c>
      <c r="G105" s="814" t="s">
        <v>3858</v>
      </c>
      <c r="H105" s="813" t="s">
        <v>3859</v>
      </c>
      <c r="I105" s="813" t="s">
        <v>4070</v>
      </c>
      <c r="J105" s="813" t="s">
        <v>4081</v>
      </c>
      <c r="K105" s="813" t="s">
        <v>3862</v>
      </c>
      <c r="L105" s="813" t="s">
        <v>3863</v>
      </c>
      <c r="M105" s="813" t="s">
        <v>1736</v>
      </c>
      <c r="N105" s="813" t="s">
        <v>4150</v>
      </c>
      <c r="O105" s="813" t="s">
        <v>3865</v>
      </c>
      <c r="P105" s="813" t="s">
        <v>4151</v>
      </c>
      <c r="Q105" s="813" t="s">
        <v>4152</v>
      </c>
      <c r="R105" s="813">
        <v>1</v>
      </c>
      <c r="S105" s="813" t="s">
        <v>4085</v>
      </c>
      <c r="T105" s="813" t="s">
        <v>3965</v>
      </c>
    </row>
    <row r="106" spans="1:20" ht="15" customHeight="1" x14ac:dyDescent="0.35">
      <c r="A106" s="794" t="s">
        <v>4153</v>
      </c>
      <c r="B106" s="794" t="s">
        <v>3857</v>
      </c>
      <c r="C106" s="812" t="s">
        <v>3842</v>
      </c>
      <c r="D106" s="825"/>
      <c r="E106" s="825"/>
      <c r="F106" s="826" t="s">
        <v>4154</v>
      </c>
      <c r="G106" s="814" t="s">
        <v>3858</v>
      </c>
      <c r="H106" s="813" t="s">
        <v>3859</v>
      </c>
      <c r="I106" s="813" t="s">
        <v>4070</v>
      </c>
      <c r="J106" s="813" t="s">
        <v>4081</v>
      </c>
      <c r="K106" s="813" t="s">
        <v>3862</v>
      </c>
      <c r="L106" s="813" t="s">
        <v>3863</v>
      </c>
      <c r="M106" s="813" t="s">
        <v>1736</v>
      </c>
      <c r="N106" s="813" t="s">
        <v>4155</v>
      </c>
      <c r="O106" s="813" t="s">
        <v>3865</v>
      </c>
      <c r="P106" s="813" t="s">
        <v>4156</v>
      </c>
      <c r="Q106" s="813" t="s">
        <v>4157</v>
      </c>
      <c r="R106" s="813">
        <v>1</v>
      </c>
      <c r="S106" s="813" t="s">
        <v>4085</v>
      </c>
      <c r="T106" s="813" t="s">
        <v>3965</v>
      </c>
    </row>
    <row r="107" spans="1:20" ht="15" customHeight="1" x14ac:dyDescent="0.35">
      <c r="A107" s="803" t="s">
        <v>4158</v>
      </c>
      <c r="B107" s="803"/>
      <c r="C107" s="803"/>
      <c r="D107" s="803"/>
      <c r="E107" s="803"/>
      <c r="F107" s="803"/>
      <c r="G107" s="803" t="s">
        <v>3946</v>
      </c>
      <c r="H107" s="794"/>
      <c r="I107" s="794"/>
      <c r="J107" s="794"/>
      <c r="K107" s="794"/>
      <c r="L107" s="794"/>
      <c r="M107" s="794"/>
      <c r="N107" s="794"/>
      <c r="O107" s="794"/>
      <c r="P107" s="794"/>
      <c r="Q107" s="794"/>
      <c r="R107" s="794"/>
      <c r="S107" s="794"/>
      <c r="T107" s="794"/>
    </row>
    <row r="108" spans="1:20" ht="15" customHeight="1" x14ac:dyDescent="0.35">
      <c r="A108" s="794" t="s">
        <v>4159</v>
      </c>
      <c r="B108" s="794" t="s">
        <v>3857</v>
      </c>
      <c r="C108" s="812" t="s">
        <v>3913</v>
      </c>
      <c r="D108" s="825"/>
      <c r="E108" s="825"/>
      <c r="F108" s="825">
        <v>30.800986662198198</v>
      </c>
      <c r="G108" s="814" t="s">
        <v>3858</v>
      </c>
      <c r="H108" s="813" t="s">
        <v>3859</v>
      </c>
      <c r="I108" s="813" t="s">
        <v>4070</v>
      </c>
      <c r="J108" s="813" t="s">
        <v>4160</v>
      </c>
      <c r="K108" s="813" t="s">
        <v>3891</v>
      </c>
      <c r="L108" s="813" t="s">
        <v>3863</v>
      </c>
      <c r="M108" s="813" t="s">
        <v>307</v>
      </c>
      <c r="N108" s="813" t="s">
        <v>4161</v>
      </c>
      <c r="O108" s="813" t="s">
        <v>3893</v>
      </c>
      <c r="P108" s="813" t="s">
        <v>4162</v>
      </c>
      <c r="Q108" s="813" t="s">
        <v>4163</v>
      </c>
      <c r="R108" s="813">
        <v>1</v>
      </c>
      <c r="S108" s="813" t="s">
        <v>3896</v>
      </c>
      <c r="T108" s="813" t="s">
        <v>3965</v>
      </c>
    </row>
    <row r="109" spans="1:20" ht="15" customHeight="1" x14ac:dyDescent="0.35">
      <c r="A109" s="803" t="s">
        <v>4164</v>
      </c>
      <c r="B109" s="803"/>
      <c r="C109" s="803"/>
      <c r="D109" s="803"/>
      <c r="E109" s="803"/>
      <c r="F109" s="803"/>
      <c r="G109" s="803" t="s">
        <v>3946</v>
      </c>
      <c r="H109" s="794"/>
      <c r="I109" s="794"/>
      <c r="J109" s="794"/>
      <c r="K109" s="794"/>
      <c r="L109" s="794"/>
      <c r="M109" s="794"/>
      <c r="N109" s="794"/>
      <c r="O109" s="794"/>
      <c r="P109" s="794"/>
      <c r="Q109" s="794"/>
      <c r="R109" s="794"/>
      <c r="S109" s="794"/>
      <c r="T109" s="794"/>
    </row>
    <row r="110" spans="1:20" ht="15" customHeight="1" x14ac:dyDescent="0.35">
      <c r="A110" s="794" t="s">
        <v>4165</v>
      </c>
      <c r="B110" s="794" t="s">
        <v>3857</v>
      </c>
      <c r="C110" s="812" t="s">
        <v>83</v>
      </c>
      <c r="D110" s="825"/>
      <c r="E110" s="825"/>
      <c r="F110" s="829">
        <v>3.5000000000000003E-2</v>
      </c>
      <c r="G110" s="814" t="s">
        <v>3858</v>
      </c>
      <c r="H110" s="813" t="s">
        <v>3859</v>
      </c>
      <c r="I110" s="813" t="s">
        <v>4070</v>
      </c>
      <c r="J110" s="813" t="s">
        <v>4166</v>
      </c>
      <c r="K110" s="813" t="s">
        <v>3862</v>
      </c>
      <c r="L110" s="813" t="s">
        <v>3863</v>
      </c>
      <c r="M110" s="813" t="s">
        <v>1736</v>
      </c>
      <c r="N110" s="813" t="s">
        <v>4167</v>
      </c>
      <c r="O110" s="813" t="s">
        <v>3883</v>
      </c>
      <c r="P110" s="813" t="s">
        <v>4168</v>
      </c>
      <c r="Q110" s="813" t="s">
        <v>4169</v>
      </c>
      <c r="R110" s="813">
        <v>1</v>
      </c>
      <c r="S110" s="813" t="s">
        <v>3964</v>
      </c>
      <c r="T110" s="813" t="s">
        <v>3965</v>
      </c>
    </row>
    <row r="111" spans="1:20" ht="15" customHeight="1" x14ac:dyDescent="0.35">
      <c r="A111" s="803" t="s">
        <v>4170</v>
      </c>
      <c r="B111" s="803"/>
      <c r="C111" s="803"/>
      <c r="D111" s="803"/>
      <c r="E111" s="803"/>
      <c r="F111" s="803"/>
      <c r="G111" s="803" t="s">
        <v>3855</v>
      </c>
      <c r="H111" s="794"/>
      <c r="I111" s="794"/>
      <c r="J111" s="794"/>
      <c r="K111" s="794"/>
      <c r="L111" s="794"/>
      <c r="M111" s="794"/>
      <c r="N111" s="794"/>
      <c r="O111" s="794"/>
      <c r="P111" s="794"/>
      <c r="Q111" s="794"/>
      <c r="R111" s="794"/>
      <c r="S111" s="794"/>
      <c r="T111" s="794"/>
    </row>
    <row r="112" spans="1:20" ht="15" customHeight="1" x14ac:dyDescent="0.35">
      <c r="A112" s="794" t="s">
        <v>4171</v>
      </c>
      <c r="B112" s="794" t="s">
        <v>826</v>
      </c>
      <c r="C112" s="812" t="s">
        <v>83</v>
      </c>
      <c r="D112" s="825"/>
      <c r="E112" s="825"/>
      <c r="F112" s="829">
        <v>3.5000000000000003E-2</v>
      </c>
      <c r="G112" s="814" t="s">
        <v>3858</v>
      </c>
      <c r="H112" s="813" t="s">
        <v>3859</v>
      </c>
      <c r="I112" s="813" t="s">
        <v>4070</v>
      </c>
      <c r="J112" s="813" t="s">
        <v>4172</v>
      </c>
      <c r="K112" s="813" t="s">
        <v>3891</v>
      </c>
      <c r="L112" s="813" t="s">
        <v>3863</v>
      </c>
      <c r="M112" s="813" t="s">
        <v>307</v>
      </c>
      <c r="N112" s="813" t="s">
        <v>4173</v>
      </c>
      <c r="O112" s="813" t="s">
        <v>4174</v>
      </c>
      <c r="P112" s="813" t="s">
        <v>4175</v>
      </c>
      <c r="Q112" s="813" t="s">
        <v>4176</v>
      </c>
      <c r="R112" s="813">
        <v>1</v>
      </c>
      <c r="S112" s="813" t="s">
        <v>4010</v>
      </c>
      <c r="T112" s="813" t="s">
        <v>3965</v>
      </c>
    </row>
    <row r="113" spans="1:20" ht="15" customHeight="1" x14ac:dyDescent="0.35">
      <c r="A113" s="794" t="s">
        <v>4177</v>
      </c>
      <c r="B113" s="794" t="s">
        <v>830</v>
      </c>
      <c r="C113" s="812" t="s">
        <v>83</v>
      </c>
      <c r="D113" s="825"/>
      <c r="E113" s="825"/>
      <c r="F113" s="829">
        <v>3.5000000000000003E-2</v>
      </c>
      <c r="G113" s="814" t="s">
        <v>3858</v>
      </c>
      <c r="H113" s="813" t="s">
        <v>3859</v>
      </c>
      <c r="I113" s="813" t="s">
        <v>4070</v>
      </c>
      <c r="J113" s="813" t="s">
        <v>4172</v>
      </c>
      <c r="K113" s="813" t="s">
        <v>3891</v>
      </c>
      <c r="L113" s="813" t="s">
        <v>3863</v>
      </c>
      <c r="M113" s="813" t="s">
        <v>307</v>
      </c>
      <c r="N113" s="813" t="s">
        <v>4178</v>
      </c>
      <c r="O113" s="813" t="s">
        <v>4045</v>
      </c>
      <c r="P113" s="813" t="s">
        <v>4179</v>
      </c>
      <c r="Q113" s="813" t="s">
        <v>4180</v>
      </c>
      <c r="R113" s="813">
        <v>1</v>
      </c>
      <c r="S113" s="813" t="s">
        <v>4010</v>
      </c>
      <c r="T113" s="813" t="s">
        <v>3965</v>
      </c>
    </row>
    <row r="114" spans="1:20" ht="15" customHeight="1" x14ac:dyDescent="0.35">
      <c r="A114" s="794" t="s">
        <v>4181</v>
      </c>
      <c r="B114" s="794" t="s">
        <v>834</v>
      </c>
      <c r="C114" s="812" t="s">
        <v>83</v>
      </c>
      <c r="D114" s="825"/>
      <c r="E114" s="825"/>
      <c r="F114" s="829">
        <v>3.5000000000000003E-2</v>
      </c>
      <c r="G114" s="814" t="s">
        <v>3858</v>
      </c>
      <c r="H114" s="813" t="s">
        <v>3859</v>
      </c>
      <c r="I114" s="813" t="s">
        <v>4070</v>
      </c>
      <c r="J114" s="813" t="s">
        <v>4172</v>
      </c>
      <c r="K114" s="813" t="s">
        <v>3891</v>
      </c>
      <c r="L114" s="813" t="s">
        <v>3863</v>
      </c>
      <c r="M114" s="813" t="s">
        <v>307</v>
      </c>
      <c r="N114" s="813" t="s">
        <v>4182</v>
      </c>
      <c r="O114" s="813" t="s">
        <v>4045</v>
      </c>
      <c r="P114" s="813" t="s">
        <v>4183</v>
      </c>
      <c r="Q114" s="813" t="s">
        <v>4184</v>
      </c>
      <c r="R114" s="813">
        <v>1</v>
      </c>
      <c r="S114" s="813" t="s">
        <v>4010</v>
      </c>
      <c r="T114" s="813" t="s">
        <v>3965</v>
      </c>
    </row>
    <row r="115" spans="1:20" ht="15" customHeight="1" x14ac:dyDescent="0.35">
      <c r="A115" s="801" t="s">
        <v>4185</v>
      </c>
      <c r="B115" s="801" t="s">
        <v>4186</v>
      </c>
      <c r="C115" s="801"/>
      <c r="D115" s="801"/>
      <c r="E115" s="801"/>
      <c r="F115" s="801"/>
      <c r="G115" s="801" t="s">
        <v>3745</v>
      </c>
      <c r="H115" s="794"/>
      <c r="I115" s="794"/>
      <c r="J115" s="794"/>
      <c r="K115" s="794"/>
      <c r="L115" s="794"/>
      <c r="M115" s="794"/>
      <c r="N115" s="794"/>
      <c r="O115" s="794"/>
      <c r="P115" s="794"/>
      <c r="Q115" s="794"/>
      <c r="R115" s="794"/>
      <c r="S115" s="794"/>
      <c r="T115" s="794"/>
    </row>
    <row r="116" spans="1:20" ht="15" customHeight="1" x14ac:dyDescent="0.35">
      <c r="A116" s="802" t="s">
        <v>4187</v>
      </c>
      <c r="B116" s="802"/>
      <c r="C116" s="802"/>
      <c r="D116" s="802"/>
      <c r="E116" s="802"/>
      <c r="F116" s="802"/>
      <c r="G116" s="802" t="s">
        <v>4188</v>
      </c>
      <c r="H116" s="794"/>
      <c r="I116" s="794"/>
      <c r="J116" s="794"/>
      <c r="K116" s="794"/>
      <c r="L116" s="794"/>
      <c r="M116" s="794"/>
      <c r="N116" s="794"/>
      <c r="O116" s="794"/>
      <c r="P116" s="794"/>
      <c r="Q116" s="794"/>
      <c r="R116" s="794"/>
      <c r="S116" s="794"/>
      <c r="T116" s="794"/>
    </row>
    <row r="117" spans="1:20" ht="15" customHeight="1" x14ac:dyDescent="0.35">
      <c r="A117" s="803" t="s">
        <v>4189</v>
      </c>
      <c r="B117" s="803"/>
      <c r="C117" s="803"/>
      <c r="D117" s="803"/>
      <c r="E117" s="803"/>
      <c r="F117" s="803"/>
      <c r="G117" s="803" t="s">
        <v>3855</v>
      </c>
      <c r="H117" s="794"/>
      <c r="I117" s="794"/>
      <c r="J117" s="794"/>
      <c r="K117" s="794"/>
      <c r="L117" s="794"/>
      <c r="M117" s="794"/>
      <c r="N117" s="794"/>
      <c r="O117" s="794"/>
      <c r="P117" s="794"/>
      <c r="Q117" s="794"/>
      <c r="R117" s="794"/>
      <c r="S117" s="794"/>
      <c r="T117" s="794"/>
    </row>
    <row r="118" spans="1:20" ht="15" customHeight="1" x14ac:dyDescent="0.35">
      <c r="A118" s="794" t="s">
        <v>4190</v>
      </c>
      <c r="B118" s="794" t="s">
        <v>830</v>
      </c>
      <c r="C118" s="812" t="s">
        <v>3913</v>
      </c>
      <c r="D118" s="825"/>
      <c r="E118" s="825"/>
      <c r="F118" s="825">
        <v>1</v>
      </c>
      <c r="G118" s="814" t="s">
        <v>3858</v>
      </c>
      <c r="H118" s="813" t="s">
        <v>3859</v>
      </c>
      <c r="I118" s="813" t="s">
        <v>4191</v>
      </c>
      <c r="J118" s="813" t="s">
        <v>4192</v>
      </c>
      <c r="K118" s="813" t="s">
        <v>3862</v>
      </c>
      <c r="L118" s="813" t="s">
        <v>3863</v>
      </c>
      <c r="M118" s="813" t="s">
        <v>1736</v>
      </c>
      <c r="N118" s="813" t="s">
        <v>4193</v>
      </c>
      <c r="O118" s="813" t="s">
        <v>3883</v>
      </c>
      <c r="P118" s="813" t="s">
        <v>4194</v>
      </c>
      <c r="Q118" s="813" t="s">
        <v>4195</v>
      </c>
      <c r="R118" s="813">
        <v>1</v>
      </c>
      <c r="S118" s="813" t="s">
        <v>4010</v>
      </c>
      <c r="T118" s="813" t="s">
        <v>4196</v>
      </c>
    </row>
    <row r="119" spans="1:20" ht="15" customHeight="1" x14ac:dyDescent="0.35">
      <c r="A119" s="794" t="s">
        <v>4197</v>
      </c>
      <c r="B119" s="794" t="s">
        <v>826</v>
      </c>
      <c r="C119" s="812" t="s">
        <v>3913</v>
      </c>
      <c r="D119" s="825"/>
      <c r="E119" s="825"/>
      <c r="F119" s="825">
        <v>1.1000000000000001</v>
      </c>
      <c r="G119" s="814" t="s">
        <v>3858</v>
      </c>
      <c r="H119" s="813" t="s">
        <v>3859</v>
      </c>
      <c r="I119" s="813" t="s">
        <v>4191</v>
      </c>
      <c r="J119" s="813" t="s">
        <v>4192</v>
      </c>
      <c r="K119" s="813" t="s">
        <v>3862</v>
      </c>
      <c r="L119" s="813" t="s">
        <v>3863</v>
      </c>
      <c r="M119" s="813" t="s">
        <v>1736</v>
      </c>
      <c r="N119" s="813" t="s">
        <v>4198</v>
      </c>
      <c r="O119" s="813" t="s">
        <v>3883</v>
      </c>
      <c r="P119" s="813" t="s">
        <v>4199</v>
      </c>
      <c r="Q119" s="813" t="s">
        <v>4200</v>
      </c>
      <c r="R119" s="813">
        <v>1</v>
      </c>
      <c r="S119" s="813" t="s">
        <v>4010</v>
      </c>
      <c r="T119" s="813" t="s">
        <v>4196</v>
      </c>
    </row>
    <row r="120" spans="1:20" ht="15" customHeight="1" x14ac:dyDescent="0.35">
      <c r="A120" s="794" t="s">
        <v>4201</v>
      </c>
      <c r="B120" s="794" t="s">
        <v>834</v>
      </c>
      <c r="C120" s="812" t="s">
        <v>3913</v>
      </c>
      <c r="D120" s="825"/>
      <c r="E120" s="825"/>
      <c r="F120" s="825">
        <v>0.95</v>
      </c>
      <c r="G120" s="814" t="s">
        <v>3858</v>
      </c>
      <c r="H120" s="813" t="s">
        <v>3859</v>
      </c>
      <c r="I120" s="813" t="s">
        <v>4191</v>
      </c>
      <c r="J120" s="813" t="s">
        <v>4192</v>
      </c>
      <c r="K120" s="813" t="s">
        <v>3862</v>
      </c>
      <c r="L120" s="813" t="s">
        <v>3863</v>
      </c>
      <c r="M120" s="813" t="s">
        <v>1736</v>
      </c>
      <c r="N120" s="813" t="s">
        <v>4202</v>
      </c>
      <c r="O120" s="813" t="s">
        <v>3883</v>
      </c>
      <c r="P120" s="813" t="s">
        <v>4203</v>
      </c>
      <c r="Q120" s="813" t="s">
        <v>4204</v>
      </c>
      <c r="R120" s="813">
        <v>1</v>
      </c>
      <c r="S120" s="813" t="s">
        <v>4010</v>
      </c>
      <c r="T120" s="813" t="s">
        <v>4196</v>
      </c>
    </row>
    <row r="121" spans="1:20" ht="15" customHeight="1" x14ac:dyDescent="0.35">
      <c r="A121" s="803" t="s">
        <v>4205</v>
      </c>
      <c r="B121" s="803"/>
      <c r="C121" s="803"/>
      <c r="D121" s="803"/>
      <c r="E121" s="803"/>
      <c r="F121" s="803"/>
      <c r="G121" s="803" t="s">
        <v>3920</v>
      </c>
      <c r="H121" s="794"/>
      <c r="I121" s="794"/>
      <c r="J121" s="794"/>
      <c r="K121" s="794"/>
      <c r="L121" s="794"/>
      <c r="M121" s="794"/>
      <c r="N121" s="794"/>
      <c r="O121" s="794"/>
      <c r="P121" s="794"/>
      <c r="Q121" s="794"/>
      <c r="R121" s="794"/>
      <c r="S121" s="794"/>
      <c r="T121" s="794"/>
    </row>
    <row r="122" spans="1:20" ht="15" customHeight="1" x14ac:dyDescent="0.35">
      <c r="A122" s="794" t="s">
        <v>4206</v>
      </c>
      <c r="B122" s="794" t="s">
        <v>3857</v>
      </c>
      <c r="C122" s="812" t="s">
        <v>3913</v>
      </c>
      <c r="D122" s="825">
        <v>91.57</v>
      </c>
      <c r="E122" s="825"/>
      <c r="F122" s="826"/>
      <c r="G122" s="814" t="s">
        <v>3858</v>
      </c>
      <c r="H122" s="813" t="s">
        <v>3859</v>
      </c>
      <c r="I122" s="813" t="s">
        <v>4191</v>
      </c>
      <c r="J122" s="813" t="s">
        <v>4071</v>
      </c>
      <c r="K122" s="813" t="s">
        <v>4072</v>
      </c>
      <c r="L122" s="813" t="s">
        <v>3863</v>
      </c>
      <c r="M122" s="813" t="s">
        <v>1818</v>
      </c>
      <c r="N122" s="813" t="s">
        <v>4207</v>
      </c>
      <c r="O122" s="813" t="s">
        <v>4074</v>
      </c>
      <c r="P122" s="813" t="s">
        <v>4208</v>
      </c>
      <c r="Q122" s="813" t="s">
        <v>4209</v>
      </c>
      <c r="R122" s="813">
        <v>1</v>
      </c>
      <c r="S122" s="813" t="s">
        <v>4077</v>
      </c>
      <c r="T122" s="813" t="s">
        <v>4196</v>
      </c>
    </row>
    <row r="123" spans="1:20" ht="15" customHeight="1" x14ac:dyDescent="0.35">
      <c r="A123" s="794" t="s">
        <v>4210</v>
      </c>
      <c r="B123" s="794" t="s">
        <v>3857</v>
      </c>
      <c r="C123" s="812" t="s">
        <v>3913</v>
      </c>
      <c r="D123" s="825">
        <v>5</v>
      </c>
      <c r="E123" s="825"/>
      <c r="F123" s="826"/>
      <c r="G123" s="814" t="s">
        <v>3858</v>
      </c>
      <c r="H123" s="813" t="s">
        <v>3859</v>
      </c>
      <c r="I123" s="813" t="s">
        <v>4191</v>
      </c>
      <c r="J123" s="813" t="s">
        <v>4071</v>
      </c>
      <c r="K123" s="813" t="s">
        <v>4072</v>
      </c>
      <c r="L123" s="813" t="s">
        <v>3863</v>
      </c>
      <c r="M123" s="813" t="s">
        <v>1818</v>
      </c>
      <c r="N123" s="813" t="s">
        <v>4211</v>
      </c>
      <c r="O123" s="813" t="s">
        <v>4212</v>
      </c>
      <c r="P123" s="813" t="s">
        <v>4213</v>
      </c>
      <c r="Q123" s="813" t="s">
        <v>4214</v>
      </c>
      <c r="R123" s="813">
        <v>1</v>
      </c>
      <c r="S123" s="813" t="s">
        <v>4077</v>
      </c>
      <c r="T123" s="813" t="s">
        <v>4196</v>
      </c>
    </row>
    <row r="124" spans="1:20" ht="15" customHeight="1" x14ac:dyDescent="0.35">
      <c r="A124" s="794" t="s">
        <v>4215</v>
      </c>
      <c r="B124" s="794" t="s">
        <v>3857</v>
      </c>
      <c r="C124" s="812" t="s">
        <v>3913</v>
      </c>
      <c r="D124" s="825">
        <v>4.8</v>
      </c>
      <c r="E124" s="825"/>
      <c r="F124" s="826"/>
      <c r="G124" s="814" t="s">
        <v>3858</v>
      </c>
      <c r="H124" s="813" t="s">
        <v>3859</v>
      </c>
      <c r="I124" s="813" t="s">
        <v>4191</v>
      </c>
      <c r="J124" s="813" t="s">
        <v>4071</v>
      </c>
      <c r="K124" s="813" t="s">
        <v>4072</v>
      </c>
      <c r="L124" s="813" t="s">
        <v>3863</v>
      </c>
      <c r="M124" s="813" t="s">
        <v>1818</v>
      </c>
      <c r="N124" s="813" t="s">
        <v>4216</v>
      </c>
      <c r="O124" s="813" t="s">
        <v>4212</v>
      </c>
      <c r="P124" s="813" t="s">
        <v>4217</v>
      </c>
      <c r="Q124" s="813" t="s">
        <v>4218</v>
      </c>
      <c r="R124" s="813">
        <v>1</v>
      </c>
      <c r="S124" s="813" t="s">
        <v>4077</v>
      </c>
      <c r="T124" s="813" t="s">
        <v>4196</v>
      </c>
    </row>
    <row r="125" spans="1:20" ht="15" customHeight="1" x14ac:dyDescent="0.35">
      <c r="A125" s="794" t="s">
        <v>4219</v>
      </c>
      <c r="B125" s="794" t="s">
        <v>3857</v>
      </c>
      <c r="C125" s="812" t="s">
        <v>3913</v>
      </c>
      <c r="D125" s="825">
        <v>22.113628680000001</v>
      </c>
      <c r="E125" s="825"/>
      <c r="F125" s="826"/>
      <c r="G125" s="814" t="s">
        <v>3858</v>
      </c>
      <c r="H125" s="813" t="s">
        <v>3859</v>
      </c>
      <c r="I125" s="813" t="s">
        <v>4191</v>
      </c>
      <c r="J125" s="813" t="s">
        <v>4071</v>
      </c>
      <c r="K125" s="813" t="s">
        <v>4072</v>
      </c>
      <c r="L125" s="813" t="s">
        <v>3863</v>
      </c>
      <c r="M125" s="813" t="s">
        <v>1818</v>
      </c>
      <c r="N125" s="813" t="s">
        <v>4220</v>
      </c>
      <c r="O125" s="813" t="s">
        <v>4221</v>
      </c>
      <c r="P125" s="813" t="s">
        <v>4222</v>
      </c>
      <c r="Q125" s="813" t="s">
        <v>4223</v>
      </c>
      <c r="R125" s="813">
        <v>1</v>
      </c>
      <c r="S125" s="813" t="s">
        <v>4077</v>
      </c>
      <c r="T125" s="813" t="s">
        <v>4196</v>
      </c>
    </row>
    <row r="126" spans="1:20" ht="15" customHeight="1" x14ac:dyDescent="0.35">
      <c r="A126" s="794" t="s">
        <v>4224</v>
      </c>
      <c r="B126" s="794" t="s">
        <v>3857</v>
      </c>
      <c r="C126" s="812" t="s">
        <v>3913</v>
      </c>
      <c r="D126" s="825">
        <v>-8</v>
      </c>
      <c r="E126" s="825"/>
      <c r="F126" s="826"/>
      <c r="G126" s="814" t="s">
        <v>3858</v>
      </c>
      <c r="H126" s="813" t="s">
        <v>3859</v>
      </c>
      <c r="I126" s="813" t="s">
        <v>4191</v>
      </c>
      <c r="J126" s="813" t="s">
        <v>4071</v>
      </c>
      <c r="K126" s="813" t="s">
        <v>4072</v>
      </c>
      <c r="L126" s="813" t="s">
        <v>3863</v>
      </c>
      <c r="M126" s="813" t="s">
        <v>1818</v>
      </c>
      <c r="N126" s="813" t="s">
        <v>4225</v>
      </c>
      <c r="O126" s="813" t="s">
        <v>4226</v>
      </c>
      <c r="P126" s="813" t="s">
        <v>4227</v>
      </c>
      <c r="Q126" s="813" t="s">
        <v>4228</v>
      </c>
      <c r="R126" s="813">
        <v>1</v>
      </c>
      <c r="S126" s="813" t="s">
        <v>4077</v>
      </c>
      <c r="T126" s="813" t="s">
        <v>4196</v>
      </c>
    </row>
    <row r="127" spans="1:20" ht="15" customHeight="1" x14ac:dyDescent="0.35">
      <c r="A127" s="803" t="s">
        <v>4229</v>
      </c>
      <c r="B127" s="803"/>
      <c r="C127" s="803"/>
      <c r="D127" s="803"/>
      <c r="E127" s="803"/>
      <c r="F127" s="803"/>
      <c r="G127" s="803" t="s">
        <v>4230</v>
      </c>
      <c r="H127" s="794"/>
      <c r="I127" s="794"/>
      <c r="J127" s="794"/>
      <c r="K127" s="794"/>
      <c r="L127" s="794"/>
      <c r="M127" s="794"/>
      <c r="N127" s="794"/>
      <c r="O127" s="794"/>
      <c r="P127" s="794"/>
      <c r="Q127" s="794"/>
      <c r="R127" s="794"/>
      <c r="S127" s="794"/>
      <c r="T127" s="794"/>
    </row>
    <row r="128" spans="1:20" ht="15" customHeight="1" x14ac:dyDescent="0.35">
      <c r="A128" s="794" t="s">
        <v>4231</v>
      </c>
      <c r="B128" s="794" t="s">
        <v>3857</v>
      </c>
      <c r="C128" s="812" t="s">
        <v>3913</v>
      </c>
      <c r="D128" s="825">
        <v>18</v>
      </c>
      <c r="E128" s="825"/>
      <c r="F128" s="825">
        <v>0</v>
      </c>
      <c r="G128" s="814" t="s">
        <v>3858</v>
      </c>
      <c r="H128" s="813" t="s">
        <v>3859</v>
      </c>
      <c r="I128" s="813" t="s">
        <v>4191</v>
      </c>
      <c r="J128" s="813" t="s">
        <v>4232</v>
      </c>
      <c r="K128" s="813" t="s">
        <v>4072</v>
      </c>
      <c r="L128" s="813" t="s">
        <v>3863</v>
      </c>
      <c r="M128" s="813" t="s">
        <v>1818</v>
      </c>
      <c r="N128" s="813" t="s">
        <v>4233</v>
      </c>
      <c r="O128" s="813" t="s">
        <v>4234</v>
      </c>
      <c r="P128" s="813" t="s">
        <v>4235</v>
      </c>
      <c r="Q128" s="813" t="s">
        <v>4236</v>
      </c>
      <c r="R128" s="813">
        <v>2</v>
      </c>
      <c r="S128" s="813" t="s">
        <v>4237</v>
      </c>
      <c r="T128" s="813" t="s">
        <v>4196</v>
      </c>
    </row>
    <row r="129" spans="1:20" ht="15" customHeight="1" x14ac:dyDescent="0.35">
      <c r="A129" s="794" t="s">
        <v>4238</v>
      </c>
      <c r="B129" s="794" t="s">
        <v>3857</v>
      </c>
      <c r="C129" s="812" t="s">
        <v>3913</v>
      </c>
      <c r="D129" s="825"/>
      <c r="E129" s="825"/>
      <c r="F129" s="825">
        <v>0</v>
      </c>
      <c r="G129" s="814" t="s">
        <v>3858</v>
      </c>
      <c r="H129" s="813" t="s">
        <v>3859</v>
      </c>
      <c r="I129" s="813" t="s">
        <v>4191</v>
      </c>
      <c r="J129" s="813" t="s">
        <v>4232</v>
      </c>
      <c r="K129" s="813" t="s">
        <v>4072</v>
      </c>
      <c r="L129" s="813" t="s">
        <v>3863</v>
      </c>
      <c r="M129" s="813" t="s">
        <v>1818</v>
      </c>
      <c r="N129" s="813" t="s">
        <v>4239</v>
      </c>
      <c r="O129" s="813" t="s">
        <v>4234</v>
      </c>
      <c r="P129" s="813" t="s">
        <v>4240</v>
      </c>
      <c r="Q129" s="813" t="s">
        <v>4241</v>
      </c>
      <c r="R129" s="813">
        <v>1</v>
      </c>
      <c r="S129" s="813" t="s">
        <v>4237</v>
      </c>
      <c r="T129" s="813" t="s">
        <v>4196</v>
      </c>
    </row>
    <row r="130" spans="1:20" ht="15" customHeight="1" x14ac:dyDescent="0.35">
      <c r="A130" s="802" t="s">
        <v>4242</v>
      </c>
      <c r="B130" s="802"/>
      <c r="C130" s="802"/>
      <c r="D130" s="802"/>
      <c r="E130" s="802"/>
      <c r="F130" s="802"/>
      <c r="G130" s="802" t="s">
        <v>4243</v>
      </c>
      <c r="H130" s="794"/>
      <c r="I130" s="794"/>
      <c r="J130" s="794"/>
      <c r="K130" s="794"/>
      <c r="L130" s="794"/>
      <c r="M130" s="794"/>
      <c r="N130" s="794"/>
      <c r="O130" s="794"/>
      <c r="P130" s="794"/>
      <c r="Q130" s="794"/>
      <c r="R130" s="794"/>
      <c r="S130" s="794"/>
      <c r="T130" s="794"/>
    </row>
    <row r="131" spans="1:20" ht="15" customHeight="1" x14ac:dyDescent="0.35">
      <c r="A131" s="803" t="s">
        <v>4244</v>
      </c>
      <c r="B131" s="803"/>
      <c r="C131" s="803"/>
      <c r="D131" s="803"/>
      <c r="E131" s="803"/>
      <c r="F131" s="803"/>
      <c r="G131" s="803" t="s">
        <v>3855</v>
      </c>
      <c r="H131" s="794"/>
      <c r="I131" s="794"/>
      <c r="J131" s="794"/>
      <c r="K131" s="794"/>
      <c r="L131" s="794"/>
      <c r="M131" s="794"/>
      <c r="N131" s="794"/>
      <c r="O131" s="794"/>
      <c r="P131" s="794"/>
      <c r="Q131" s="794"/>
      <c r="R131" s="794"/>
      <c r="S131" s="794"/>
      <c r="T131" s="794"/>
    </row>
    <row r="132" spans="1:20" ht="15" customHeight="1" x14ac:dyDescent="0.35">
      <c r="A132" s="794" t="s">
        <v>4245</v>
      </c>
      <c r="B132" s="794" t="s">
        <v>3857</v>
      </c>
      <c r="C132" s="812" t="s">
        <v>3880</v>
      </c>
      <c r="D132" s="825"/>
      <c r="E132" s="825"/>
      <c r="F132" s="825">
        <v>9500</v>
      </c>
      <c r="G132" s="814" t="s">
        <v>3858</v>
      </c>
      <c r="H132" s="813" t="s">
        <v>246</v>
      </c>
      <c r="I132" s="813" t="s">
        <v>4191</v>
      </c>
      <c r="J132" s="813" t="s">
        <v>4246</v>
      </c>
      <c r="K132" s="813" t="s">
        <v>4072</v>
      </c>
      <c r="L132" s="813" t="s">
        <v>3863</v>
      </c>
      <c r="M132" s="813" t="s">
        <v>1818</v>
      </c>
      <c r="N132" s="813" t="s">
        <v>4247</v>
      </c>
      <c r="O132" s="813" t="s">
        <v>4248</v>
      </c>
      <c r="P132" s="813" t="s">
        <v>4249</v>
      </c>
      <c r="Q132" s="813" t="s">
        <v>4250</v>
      </c>
      <c r="R132" s="813">
        <v>1</v>
      </c>
      <c r="S132" s="813" t="s">
        <v>4237</v>
      </c>
      <c r="T132" s="813" t="s">
        <v>4196</v>
      </c>
    </row>
    <row r="133" spans="1:20" ht="15" customHeight="1" x14ac:dyDescent="0.35">
      <c r="A133" s="794" t="s">
        <v>4251</v>
      </c>
      <c r="B133" s="794" t="s">
        <v>3857</v>
      </c>
      <c r="C133" s="812" t="s">
        <v>3880</v>
      </c>
      <c r="D133" s="825"/>
      <c r="E133" s="825"/>
      <c r="F133" s="825">
        <v>10500</v>
      </c>
      <c r="G133" s="814" t="s">
        <v>3858</v>
      </c>
      <c r="H133" s="813" t="s">
        <v>246</v>
      </c>
      <c r="I133" s="813" t="s">
        <v>4191</v>
      </c>
      <c r="J133" s="813" t="s">
        <v>4246</v>
      </c>
      <c r="K133" s="813" t="s">
        <v>4072</v>
      </c>
      <c r="L133" s="813" t="s">
        <v>3863</v>
      </c>
      <c r="M133" s="813" t="s">
        <v>1818</v>
      </c>
      <c r="N133" s="813" t="s">
        <v>4252</v>
      </c>
      <c r="O133" s="813" t="s">
        <v>4234</v>
      </c>
      <c r="P133" s="813" t="s">
        <v>4253</v>
      </c>
      <c r="Q133" s="813" t="s">
        <v>4254</v>
      </c>
      <c r="R133" s="813">
        <v>1</v>
      </c>
      <c r="S133" s="813" t="s">
        <v>4237</v>
      </c>
      <c r="T133" s="813" t="s">
        <v>4196</v>
      </c>
    </row>
    <row r="134" spans="1:20" ht="15" customHeight="1" x14ac:dyDescent="0.35">
      <c r="A134" s="794" t="s">
        <v>4255</v>
      </c>
      <c r="B134" s="794" t="s">
        <v>3857</v>
      </c>
      <c r="C134" s="812" t="s">
        <v>3880</v>
      </c>
      <c r="D134" s="825"/>
      <c r="E134" s="825"/>
      <c r="F134" s="825">
        <v>21500</v>
      </c>
      <c r="G134" s="814" t="s">
        <v>3858</v>
      </c>
      <c r="H134" s="813" t="s">
        <v>246</v>
      </c>
      <c r="I134" s="813" t="s">
        <v>4191</v>
      </c>
      <c r="J134" s="813" t="s">
        <v>4246</v>
      </c>
      <c r="K134" s="813" t="s">
        <v>4072</v>
      </c>
      <c r="L134" s="813" t="s">
        <v>3863</v>
      </c>
      <c r="M134" s="813" t="s">
        <v>1818</v>
      </c>
      <c r="N134" s="813" t="s">
        <v>4256</v>
      </c>
      <c r="O134" s="813" t="s">
        <v>4248</v>
      </c>
      <c r="P134" s="813" t="s">
        <v>4257</v>
      </c>
      <c r="Q134" s="813" t="s">
        <v>4258</v>
      </c>
      <c r="R134" s="813">
        <v>1</v>
      </c>
      <c r="S134" s="813" t="s">
        <v>4237</v>
      </c>
      <c r="T134" s="813" t="s">
        <v>4196</v>
      </c>
    </row>
    <row r="135" spans="1:20" ht="15" customHeight="1" x14ac:dyDescent="0.35">
      <c r="A135" s="803" t="s">
        <v>4259</v>
      </c>
      <c r="B135" s="803"/>
      <c r="C135" s="803"/>
      <c r="D135" s="803"/>
      <c r="E135" s="803"/>
      <c r="F135" s="803"/>
      <c r="G135" s="803" t="s">
        <v>4260</v>
      </c>
      <c r="H135" s="794"/>
      <c r="I135" s="794"/>
      <c r="J135" s="794"/>
      <c r="K135" s="794"/>
      <c r="L135" s="794"/>
      <c r="M135" s="794"/>
      <c r="N135" s="794"/>
      <c r="O135" s="794"/>
      <c r="P135" s="794"/>
      <c r="Q135" s="794"/>
      <c r="R135" s="794"/>
      <c r="S135" s="794"/>
      <c r="T135" s="794"/>
    </row>
    <row r="136" spans="1:20" ht="15" customHeight="1" x14ac:dyDescent="0.35">
      <c r="A136" s="794" t="s">
        <v>4261</v>
      </c>
      <c r="B136" s="794" t="s">
        <v>3857</v>
      </c>
      <c r="C136" s="812" t="s">
        <v>3913</v>
      </c>
      <c r="D136" s="825"/>
      <c r="E136" s="825"/>
      <c r="F136" s="825">
        <v>40000</v>
      </c>
      <c r="G136" s="814" t="s">
        <v>3858</v>
      </c>
      <c r="H136" s="813" t="s">
        <v>246</v>
      </c>
      <c r="I136" s="813" t="s">
        <v>4191</v>
      </c>
      <c r="J136" s="813" t="s">
        <v>4262</v>
      </c>
      <c r="K136" s="813" t="s">
        <v>3923</v>
      </c>
      <c r="L136" s="813" t="s">
        <v>3863</v>
      </c>
      <c r="M136" s="813" t="s">
        <v>3163</v>
      </c>
      <c r="N136" s="813" t="s">
        <v>4263</v>
      </c>
      <c r="O136" s="813" t="s">
        <v>4264</v>
      </c>
      <c r="P136" s="813" t="s">
        <v>4265</v>
      </c>
      <c r="Q136" s="813" t="s">
        <v>4266</v>
      </c>
      <c r="R136" s="813">
        <v>1</v>
      </c>
      <c r="S136" s="813" t="s">
        <v>3928</v>
      </c>
      <c r="T136" s="813" t="s">
        <v>4196</v>
      </c>
    </row>
    <row r="137" spans="1:20" ht="15" customHeight="1" x14ac:dyDescent="0.35">
      <c r="A137" s="794" t="s">
        <v>4267</v>
      </c>
      <c r="B137" s="794" t="s">
        <v>3857</v>
      </c>
      <c r="C137" s="812" t="s">
        <v>3913</v>
      </c>
      <c r="D137" s="825"/>
      <c r="E137" s="825"/>
      <c r="F137" s="825">
        <v>25000</v>
      </c>
      <c r="G137" s="814" t="s">
        <v>3858</v>
      </c>
      <c r="H137" s="813" t="s">
        <v>246</v>
      </c>
      <c r="I137" s="813" t="s">
        <v>4191</v>
      </c>
      <c r="J137" s="813" t="s">
        <v>4262</v>
      </c>
      <c r="K137" s="813" t="s">
        <v>3923</v>
      </c>
      <c r="L137" s="813" t="s">
        <v>3863</v>
      </c>
      <c r="M137" s="813" t="s">
        <v>3163</v>
      </c>
      <c r="N137" s="813" t="s">
        <v>4268</v>
      </c>
      <c r="O137" s="813" t="s">
        <v>3925</v>
      </c>
      <c r="P137" s="813" t="s">
        <v>4269</v>
      </c>
      <c r="Q137" s="813" t="s">
        <v>4270</v>
      </c>
      <c r="R137" s="813">
        <v>1</v>
      </c>
      <c r="S137" s="813" t="s">
        <v>3928</v>
      </c>
      <c r="T137" s="813" t="s">
        <v>4196</v>
      </c>
    </row>
    <row r="138" spans="1:20" ht="15" customHeight="1" x14ac:dyDescent="0.35">
      <c r="A138" s="794" t="s">
        <v>4271</v>
      </c>
      <c r="B138" s="794" t="s">
        <v>3857</v>
      </c>
      <c r="C138" s="812" t="s">
        <v>3913</v>
      </c>
      <c r="D138" s="825"/>
      <c r="E138" s="825"/>
      <c r="F138" s="825">
        <v>50000</v>
      </c>
      <c r="G138" s="814" t="s">
        <v>3858</v>
      </c>
      <c r="H138" s="813" t="s">
        <v>246</v>
      </c>
      <c r="I138" s="813" t="s">
        <v>4191</v>
      </c>
      <c r="J138" s="813" t="s">
        <v>4262</v>
      </c>
      <c r="K138" s="813" t="s">
        <v>3923</v>
      </c>
      <c r="L138" s="813" t="s">
        <v>3863</v>
      </c>
      <c r="M138" s="813" t="s">
        <v>3163</v>
      </c>
      <c r="N138" s="813" t="s">
        <v>4272</v>
      </c>
      <c r="O138" s="813" t="s">
        <v>3925</v>
      </c>
      <c r="P138" s="813" t="s">
        <v>4273</v>
      </c>
      <c r="Q138" s="813" t="s">
        <v>4274</v>
      </c>
      <c r="R138" s="813">
        <v>1</v>
      </c>
      <c r="S138" s="813" t="s">
        <v>3928</v>
      </c>
      <c r="T138" s="813" t="s">
        <v>4196</v>
      </c>
    </row>
    <row r="139" spans="1:20" ht="15" customHeight="1" x14ac:dyDescent="0.35">
      <c r="A139" s="794" t="s">
        <v>4275</v>
      </c>
      <c r="B139" s="794" t="s">
        <v>3857</v>
      </c>
      <c r="C139" s="812" t="s">
        <v>3913</v>
      </c>
      <c r="D139" s="825"/>
      <c r="E139" s="825"/>
      <c r="F139" s="825">
        <v>25000</v>
      </c>
      <c r="G139" s="814" t="s">
        <v>3858</v>
      </c>
      <c r="H139" s="813" t="s">
        <v>246</v>
      </c>
      <c r="I139" s="813" t="s">
        <v>4191</v>
      </c>
      <c r="J139" s="813" t="s">
        <v>4262</v>
      </c>
      <c r="K139" s="813" t="s">
        <v>3923</v>
      </c>
      <c r="L139" s="813" t="s">
        <v>3863</v>
      </c>
      <c r="M139" s="813" t="s">
        <v>3163</v>
      </c>
      <c r="N139" s="813" t="s">
        <v>4276</v>
      </c>
      <c r="O139" s="813" t="s">
        <v>3925</v>
      </c>
      <c r="P139" s="813" t="s">
        <v>4277</v>
      </c>
      <c r="Q139" s="813" t="s">
        <v>4278</v>
      </c>
      <c r="R139" s="813">
        <v>1</v>
      </c>
      <c r="S139" s="813" t="s">
        <v>3928</v>
      </c>
      <c r="T139" s="813" t="s">
        <v>4196</v>
      </c>
    </row>
    <row r="140" spans="1:20" ht="15" customHeight="1" x14ac:dyDescent="0.35">
      <c r="A140" s="794" t="s">
        <v>4279</v>
      </c>
      <c r="B140" s="794" t="s">
        <v>3857</v>
      </c>
      <c r="C140" s="812" t="s">
        <v>3913</v>
      </c>
      <c r="D140" s="825"/>
      <c r="E140" s="825"/>
      <c r="F140" s="825">
        <v>25000</v>
      </c>
      <c r="G140" s="814" t="s">
        <v>3858</v>
      </c>
      <c r="H140" s="813" t="s">
        <v>246</v>
      </c>
      <c r="I140" s="813" t="s">
        <v>4191</v>
      </c>
      <c r="J140" s="813" t="s">
        <v>4262</v>
      </c>
      <c r="K140" s="813" t="s">
        <v>3923</v>
      </c>
      <c r="L140" s="813" t="s">
        <v>3863</v>
      </c>
      <c r="M140" s="813" t="s">
        <v>3163</v>
      </c>
      <c r="N140" s="813" t="s">
        <v>4280</v>
      </c>
      <c r="O140" s="813" t="s">
        <v>3925</v>
      </c>
      <c r="P140" s="813" t="s">
        <v>4281</v>
      </c>
      <c r="Q140" s="813" t="s">
        <v>4282</v>
      </c>
      <c r="R140" s="813">
        <v>1</v>
      </c>
      <c r="S140" s="813" t="s">
        <v>3928</v>
      </c>
      <c r="T140" s="813" t="s">
        <v>4196</v>
      </c>
    </row>
    <row r="141" spans="1:20" ht="15" customHeight="1" x14ac:dyDescent="0.35">
      <c r="A141" s="794" t="s">
        <v>4283</v>
      </c>
      <c r="B141" s="794" t="s">
        <v>3857</v>
      </c>
      <c r="C141" s="812" t="s">
        <v>3913</v>
      </c>
      <c r="D141" s="825"/>
      <c r="E141" s="825"/>
      <c r="F141" s="825">
        <v>10000</v>
      </c>
      <c r="G141" s="814" t="s">
        <v>3858</v>
      </c>
      <c r="H141" s="813" t="s">
        <v>246</v>
      </c>
      <c r="I141" s="813" t="s">
        <v>4191</v>
      </c>
      <c r="J141" s="813" t="s">
        <v>4262</v>
      </c>
      <c r="K141" s="813" t="s">
        <v>3923</v>
      </c>
      <c r="L141" s="813" t="s">
        <v>3863</v>
      </c>
      <c r="M141" s="813" t="s">
        <v>3163</v>
      </c>
      <c r="N141" s="813" t="s">
        <v>4284</v>
      </c>
      <c r="O141" s="813" t="s">
        <v>3925</v>
      </c>
      <c r="P141" s="813" t="s">
        <v>4285</v>
      </c>
      <c r="Q141" s="813" t="s">
        <v>4286</v>
      </c>
      <c r="R141" s="813">
        <v>1</v>
      </c>
      <c r="S141" s="813" t="s">
        <v>3928</v>
      </c>
      <c r="T141" s="813" t="s">
        <v>4196</v>
      </c>
    </row>
    <row r="142" spans="1:20" ht="15" customHeight="1" x14ac:dyDescent="0.35">
      <c r="A142" s="794" t="s">
        <v>4287</v>
      </c>
      <c r="B142" s="794" t="s">
        <v>3857</v>
      </c>
      <c r="C142" s="812" t="s">
        <v>3913</v>
      </c>
      <c r="D142" s="825"/>
      <c r="E142" s="825"/>
      <c r="F142" s="825">
        <v>15000</v>
      </c>
      <c r="G142" s="814" t="s">
        <v>3858</v>
      </c>
      <c r="H142" s="813" t="s">
        <v>246</v>
      </c>
      <c r="I142" s="813" t="s">
        <v>4191</v>
      </c>
      <c r="J142" s="813" t="s">
        <v>4262</v>
      </c>
      <c r="K142" s="813" t="s">
        <v>3923</v>
      </c>
      <c r="L142" s="813" t="s">
        <v>3863</v>
      </c>
      <c r="M142" s="813" t="s">
        <v>3163</v>
      </c>
      <c r="N142" s="813" t="s">
        <v>4288</v>
      </c>
      <c r="O142" s="813" t="s">
        <v>3925</v>
      </c>
      <c r="P142" s="813" t="s">
        <v>4289</v>
      </c>
      <c r="Q142" s="813" t="s">
        <v>4290</v>
      </c>
      <c r="R142" s="813">
        <v>1</v>
      </c>
      <c r="S142" s="813" t="s">
        <v>3928</v>
      </c>
      <c r="T142" s="813" t="s">
        <v>4196</v>
      </c>
    </row>
    <row r="143" spans="1:20" ht="15" customHeight="1" x14ac:dyDescent="0.35">
      <c r="A143" s="794" t="s">
        <v>4291</v>
      </c>
      <c r="B143" s="794" t="s">
        <v>3857</v>
      </c>
      <c r="C143" s="812" t="s">
        <v>3913</v>
      </c>
      <c r="D143" s="825"/>
      <c r="E143" s="825"/>
      <c r="F143" s="825">
        <v>5130</v>
      </c>
      <c r="G143" s="814" t="s">
        <v>3858</v>
      </c>
      <c r="H143" s="813" t="s">
        <v>246</v>
      </c>
      <c r="I143" s="813" t="s">
        <v>4191</v>
      </c>
      <c r="J143" s="813" t="s">
        <v>4262</v>
      </c>
      <c r="K143" s="813" t="s">
        <v>3923</v>
      </c>
      <c r="L143" s="813" t="s">
        <v>3863</v>
      </c>
      <c r="M143" s="813" t="s">
        <v>3163</v>
      </c>
      <c r="N143" s="813" t="s">
        <v>4292</v>
      </c>
      <c r="O143" s="813" t="s">
        <v>4264</v>
      </c>
      <c r="P143" s="813" t="s">
        <v>4293</v>
      </c>
      <c r="Q143" s="813" t="s">
        <v>4294</v>
      </c>
      <c r="R143" s="813">
        <v>1</v>
      </c>
      <c r="S143" s="813" t="s">
        <v>3928</v>
      </c>
      <c r="T143" s="813" t="s">
        <v>4196</v>
      </c>
    </row>
    <row r="144" spans="1:20" ht="15" customHeight="1" x14ac:dyDescent="0.35">
      <c r="A144" s="794" t="s">
        <v>4295</v>
      </c>
      <c r="B144" s="794" t="s">
        <v>3857</v>
      </c>
      <c r="C144" s="812" t="s">
        <v>3913</v>
      </c>
      <c r="D144" s="825"/>
      <c r="E144" s="825"/>
      <c r="F144" s="825">
        <v>2315</v>
      </c>
      <c r="G144" s="814" t="s">
        <v>3858</v>
      </c>
      <c r="H144" s="813" t="s">
        <v>246</v>
      </c>
      <c r="I144" s="813" t="s">
        <v>4191</v>
      </c>
      <c r="J144" s="813" t="s">
        <v>4262</v>
      </c>
      <c r="K144" s="813" t="s">
        <v>3923</v>
      </c>
      <c r="L144" s="813" t="s">
        <v>3863</v>
      </c>
      <c r="M144" s="813" t="s">
        <v>3163</v>
      </c>
      <c r="N144" s="813" t="s">
        <v>4296</v>
      </c>
      <c r="O144" s="813" t="s">
        <v>3925</v>
      </c>
      <c r="P144" s="813" t="s">
        <v>4297</v>
      </c>
      <c r="Q144" s="813" t="s">
        <v>4298</v>
      </c>
      <c r="R144" s="813">
        <v>1</v>
      </c>
      <c r="S144" s="813" t="s">
        <v>3928</v>
      </c>
      <c r="T144" s="813" t="s">
        <v>4196</v>
      </c>
    </row>
    <row r="145" spans="1:20" ht="15" customHeight="1" x14ac:dyDescent="0.35">
      <c r="A145" s="794" t="s">
        <v>4291</v>
      </c>
      <c r="B145" s="794" t="s">
        <v>3857</v>
      </c>
      <c r="C145" s="812" t="s">
        <v>3913</v>
      </c>
      <c r="D145" s="825"/>
      <c r="E145" s="825"/>
      <c r="F145" s="825">
        <v>0.1</v>
      </c>
      <c r="G145" s="814" t="s">
        <v>3858</v>
      </c>
      <c r="H145" s="813" t="s">
        <v>246</v>
      </c>
      <c r="I145" s="813" t="s">
        <v>4191</v>
      </c>
      <c r="J145" s="813" t="s">
        <v>4262</v>
      </c>
      <c r="K145" s="813" t="s">
        <v>3923</v>
      </c>
      <c r="L145" s="813" t="s">
        <v>3863</v>
      </c>
      <c r="M145" s="813" t="s">
        <v>3163</v>
      </c>
      <c r="N145" s="813" t="s">
        <v>4299</v>
      </c>
      <c r="O145" s="813" t="s">
        <v>3883</v>
      </c>
      <c r="P145" s="813" t="s">
        <v>4300</v>
      </c>
      <c r="Q145" s="813" t="s">
        <v>4301</v>
      </c>
      <c r="R145" s="813">
        <v>1</v>
      </c>
      <c r="S145" s="813" t="s">
        <v>3928</v>
      </c>
      <c r="T145" s="813" t="s">
        <v>4196</v>
      </c>
    </row>
    <row r="146" spans="1:20" ht="15" customHeight="1" x14ac:dyDescent="0.35">
      <c r="A146" s="794" t="s">
        <v>4295</v>
      </c>
      <c r="B146" s="794" t="s">
        <v>3857</v>
      </c>
      <c r="C146" s="812" t="s">
        <v>3913</v>
      </c>
      <c r="D146" s="825"/>
      <c r="E146" s="825"/>
      <c r="F146" s="825">
        <v>0.05</v>
      </c>
      <c r="G146" s="814" t="s">
        <v>3858</v>
      </c>
      <c r="H146" s="813" t="s">
        <v>246</v>
      </c>
      <c r="I146" s="813" t="s">
        <v>4191</v>
      </c>
      <c r="J146" s="813" t="s">
        <v>4262</v>
      </c>
      <c r="K146" s="813" t="s">
        <v>3923</v>
      </c>
      <c r="L146" s="813" t="s">
        <v>3863</v>
      </c>
      <c r="M146" s="813" t="s">
        <v>3163</v>
      </c>
      <c r="N146" s="813" t="s">
        <v>4302</v>
      </c>
      <c r="O146" s="813" t="s">
        <v>3883</v>
      </c>
      <c r="P146" s="813" t="s">
        <v>4303</v>
      </c>
      <c r="Q146" s="813" t="s">
        <v>4304</v>
      </c>
      <c r="R146" s="813">
        <v>1</v>
      </c>
      <c r="S146" s="813" t="s">
        <v>3928</v>
      </c>
      <c r="T146" s="813" t="s">
        <v>4196</v>
      </c>
    </row>
    <row r="147" spans="1:20" ht="15" customHeight="1" x14ac:dyDescent="0.35">
      <c r="A147" s="794" t="s">
        <v>4305</v>
      </c>
      <c r="B147" s="794" t="s">
        <v>3857</v>
      </c>
      <c r="C147" s="812" t="s">
        <v>3913</v>
      </c>
      <c r="D147" s="825"/>
      <c r="E147" s="825"/>
      <c r="F147" s="825">
        <v>15000</v>
      </c>
      <c r="G147" s="814" t="s">
        <v>3858</v>
      </c>
      <c r="H147" s="813" t="s">
        <v>246</v>
      </c>
      <c r="I147" s="813" t="s">
        <v>4191</v>
      </c>
      <c r="J147" s="813" t="s">
        <v>4262</v>
      </c>
      <c r="K147" s="813" t="s">
        <v>3923</v>
      </c>
      <c r="L147" s="813" t="s">
        <v>3863</v>
      </c>
      <c r="M147" s="813" t="s">
        <v>3163</v>
      </c>
      <c r="N147" s="813" t="s">
        <v>4306</v>
      </c>
      <c r="O147" s="813" t="s">
        <v>3925</v>
      </c>
      <c r="P147" s="813" t="s">
        <v>4307</v>
      </c>
      <c r="Q147" s="813" t="s">
        <v>4308</v>
      </c>
      <c r="R147" s="813">
        <v>1</v>
      </c>
      <c r="S147" s="813" t="s">
        <v>3928</v>
      </c>
      <c r="T147" s="813" t="s">
        <v>4196</v>
      </c>
    </row>
    <row r="148" spans="1:20" ht="15" customHeight="1" x14ac:dyDescent="0.35">
      <c r="A148" s="803" t="s">
        <v>4309</v>
      </c>
      <c r="B148" s="803"/>
      <c r="C148" s="803"/>
      <c r="D148" s="803"/>
      <c r="E148" s="803"/>
      <c r="F148" s="803"/>
      <c r="G148" s="803" t="s">
        <v>4310</v>
      </c>
      <c r="H148" s="794"/>
      <c r="I148" s="794"/>
      <c r="J148" s="794"/>
      <c r="K148" s="794"/>
      <c r="L148" s="794"/>
      <c r="M148" s="794"/>
      <c r="N148" s="794"/>
      <c r="O148" s="794"/>
      <c r="P148" s="794"/>
      <c r="Q148" s="794"/>
      <c r="R148" s="794"/>
      <c r="S148" s="794"/>
      <c r="T148" s="794"/>
    </row>
    <row r="149" spans="1:20" ht="15" customHeight="1" x14ac:dyDescent="0.35">
      <c r="A149" s="794" t="s">
        <v>4311</v>
      </c>
      <c r="B149" s="794" t="s">
        <v>3857</v>
      </c>
      <c r="C149" s="812" t="s">
        <v>3913</v>
      </c>
      <c r="D149" s="825"/>
      <c r="E149" s="825"/>
      <c r="F149" s="825">
        <v>90000</v>
      </c>
      <c r="G149" s="814" t="s">
        <v>3858</v>
      </c>
      <c r="H149" s="813" t="s">
        <v>246</v>
      </c>
      <c r="I149" s="813" t="s">
        <v>4191</v>
      </c>
      <c r="J149" s="813" t="s">
        <v>4312</v>
      </c>
      <c r="K149" s="813" t="s">
        <v>3923</v>
      </c>
      <c r="L149" s="813" t="s">
        <v>3863</v>
      </c>
      <c r="M149" s="813" t="s">
        <v>3163</v>
      </c>
      <c r="N149" s="813" t="s">
        <v>4313</v>
      </c>
      <c r="O149" s="813" t="s">
        <v>4264</v>
      </c>
      <c r="P149" s="813" t="s">
        <v>4314</v>
      </c>
      <c r="Q149" s="813" t="s">
        <v>4315</v>
      </c>
      <c r="R149" s="813">
        <v>1</v>
      </c>
      <c r="S149" s="813" t="s">
        <v>3928</v>
      </c>
      <c r="T149" s="813" t="s">
        <v>4196</v>
      </c>
    </row>
    <row r="150" spans="1:20" ht="15" customHeight="1" x14ac:dyDescent="0.35">
      <c r="A150" s="794" t="s">
        <v>4316</v>
      </c>
      <c r="B150" s="794" t="s">
        <v>3857</v>
      </c>
      <c r="C150" s="812" t="s">
        <v>3913</v>
      </c>
      <c r="D150" s="825"/>
      <c r="E150" s="825"/>
      <c r="F150" s="825">
        <v>150000</v>
      </c>
      <c r="G150" s="814" t="s">
        <v>3858</v>
      </c>
      <c r="H150" s="813" t="s">
        <v>246</v>
      </c>
      <c r="I150" s="813" t="s">
        <v>4191</v>
      </c>
      <c r="J150" s="813" t="s">
        <v>4312</v>
      </c>
      <c r="K150" s="813" t="s">
        <v>3923</v>
      </c>
      <c r="L150" s="813" t="s">
        <v>3863</v>
      </c>
      <c r="M150" s="813" t="s">
        <v>3163</v>
      </c>
      <c r="N150" s="813" t="s">
        <v>4317</v>
      </c>
      <c r="O150" s="813" t="s">
        <v>3925</v>
      </c>
      <c r="P150" s="813" t="s">
        <v>4318</v>
      </c>
      <c r="Q150" s="813" t="s">
        <v>4319</v>
      </c>
      <c r="R150" s="813">
        <v>1</v>
      </c>
      <c r="S150" s="813" t="s">
        <v>3928</v>
      </c>
      <c r="T150" s="813" t="s">
        <v>4196</v>
      </c>
    </row>
    <row r="151" spans="1:20" ht="15" customHeight="1" x14ac:dyDescent="0.35">
      <c r="A151" s="794" t="s">
        <v>4320</v>
      </c>
      <c r="B151" s="794" t="s">
        <v>3857</v>
      </c>
      <c r="C151" s="812" t="s">
        <v>3913</v>
      </c>
      <c r="D151" s="825"/>
      <c r="E151" s="825"/>
      <c r="F151" s="825">
        <v>1050000</v>
      </c>
      <c r="G151" s="814" t="s">
        <v>3858</v>
      </c>
      <c r="H151" s="813" t="s">
        <v>246</v>
      </c>
      <c r="I151" s="813" t="s">
        <v>4191</v>
      </c>
      <c r="J151" s="813" t="s">
        <v>4312</v>
      </c>
      <c r="K151" s="813" t="s">
        <v>3923</v>
      </c>
      <c r="L151" s="813" t="s">
        <v>3863</v>
      </c>
      <c r="M151" s="813" t="s">
        <v>3163</v>
      </c>
      <c r="N151" s="813" t="s">
        <v>4321</v>
      </c>
      <c r="O151" s="813" t="s">
        <v>3925</v>
      </c>
      <c r="P151" s="813" t="s">
        <v>4322</v>
      </c>
      <c r="Q151" s="813" t="s">
        <v>4323</v>
      </c>
      <c r="R151" s="813">
        <v>1</v>
      </c>
      <c r="S151" s="813" t="s">
        <v>3928</v>
      </c>
      <c r="T151" s="813" t="s">
        <v>4196</v>
      </c>
    </row>
    <row r="152" spans="1:20" ht="15" customHeight="1" x14ac:dyDescent="0.35">
      <c r="A152" s="794" t="s">
        <v>4324</v>
      </c>
      <c r="B152" s="794" t="s">
        <v>3857</v>
      </c>
      <c r="C152" s="812" t="s">
        <v>3913</v>
      </c>
      <c r="D152" s="825"/>
      <c r="E152" s="825"/>
      <c r="F152" s="825">
        <v>90000</v>
      </c>
      <c r="G152" s="814" t="s">
        <v>3858</v>
      </c>
      <c r="H152" s="813" t="s">
        <v>246</v>
      </c>
      <c r="I152" s="813" t="s">
        <v>4191</v>
      </c>
      <c r="J152" s="813" t="s">
        <v>4312</v>
      </c>
      <c r="K152" s="813" t="s">
        <v>3923</v>
      </c>
      <c r="L152" s="813" t="s">
        <v>3863</v>
      </c>
      <c r="M152" s="813" t="s">
        <v>3163</v>
      </c>
      <c r="N152" s="813" t="s">
        <v>4325</v>
      </c>
      <c r="O152" s="813" t="s">
        <v>3925</v>
      </c>
      <c r="P152" s="813" t="s">
        <v>4326</v>
      </c>
      <c r="Q152" s="813" t="s">
        <v>4327</v>
      </c>
      <c r="R152" s="813">
        <v>1</v>
      </c>
      <c r="S152" s="813" t="s">
        <v>3928</v>
      </c>
      <c r="T152" s="813" t="s">
        <v>4196</v>
      </c>
    </row>
    <row r="153" spans="1:20" ht="15" customHeight="1" x14ac:dyDescent="0.35">
      <c r="A153" s="794" t="s">
        <v>4328</v>
      </c>
      <c r="B153" s="794" t="s">
        <v>3857</v>
      </c>
      <c r="C153" s="812" t="s">
        <v>3913</v>
      </c>
      <c r="D153" s="825"/>
      <c r="E153" s="825"/>
      <c r="F153" s="825">
        <v>300000</v>
      </c>
      <c r="G153" s="814" t="s">
        <v>3858</v>
      </c>
      <c r="H153" s="813" t="s">
        <v>246</v>
      </c>
      <c r="I153" s="813" t="s">
        <v>4191</v>
      </c>
      <c r="J153" s="813" t="s">
        <v>4312</v>
      </c>
      <c r="K153" s="813" t="s">
        <v>3923</v>
      </c>
      <c r="L153" s="813" t="s">
        <v>3863</v>
      </c>
      <c r="M153" s="813" t="s">
        <v>3163</v>
      </c>
      <c r="N153" s="813" t="s">
        <v>4329</v>
      </c>
      <c r="O153" s="813" t="s">
        <v>3925</v>
      </c>
      <c r="P153" s="813" t="s">
        <v>4330</v>
      </c>
      <c r="Q153" s="813" t="s">
        <v>4331</v>
      </c>
      <c r="R153" s="813">
        <v>1</v>
      </c>
      <c r="S153" s="813" t="s">
        <v>3928</v>
      </c>
      <c r="T153" s="813" t="s">
        <v>4196</v>
      </c>
    </row>
    <row r="154" spans="1:20" ht="15" customHeight="1" x14ac:dyDescent="0.35">
      <c r="A154" s="794" t="s">
        <v>4332</v>
      </c>
      <c r="B154" s="794" t="s">
        <v>3857</v>
      </c>
      <c r="C154" s="812" t="s">
        <v>3913</v>
      </c>
      <c r="D154" s="825"/>
      <c r="E154" s="825"/>
      <c r="F154" s="825">
        <v>350000</v>
      </c>
      <c r="G154" s="814" t="s">
        <v>3858</v>
      </c>
      <c r="H154" s="813" t="s">
        <v>246</v>
      </c>
      <c r="I154" s="813" t="s">
        <v>4191</v>
      </c>
      <c r="J154" s="813" t="s">
        <v>4312</v>
      </c>
      <c r="K154" s="813" t="s">
        <v>3923</v>
      </c>
      <c r="L154" s="813" t="s">
        <v>3863</v>
      </c>
      <c r="M154" s="813" t="s">
        <v>3163</v>
      </c>
      <c r="N154" s="813" t="s">
        <v>4333</v>
      </c>
      <c r="O154" s="813" t="s">
        <v>3925</v>
      </c>
      <c r="P154" s="813" t="s">
        <v>4334</v>
      </c>
      <c r="Q154" s="813" t="s">
        <v>4335</v>
      </c>
      <c r="R154" s="813">
        <v>1</v>
      </c>
      <c r="S154" s="813" t="s">
        <v>3928</v>
      </c>
      <c r="T154" s="813" t="s">
        <v>4196</v>
      </c>
    </row>
    <row r="155" spans="1:20" ht="15" customHeight="1" x14ac:dyDescent="0.35">
      <c r="A155" s="794" t="s">
        <v>4336</v>
      </c>
      <c r="B155" s="794" t="s">
        <v>3857</v>
      </c>
      <c r="C155" s="812" t="s">
        <v>3913</v>
      </c>
      <c r="D155" s="825"/>
      <c r="E155" s="825"/>
      <c r="F155" s="825">
        <v>150000</v>
      </c>
      <c r="G155" s="814" t="s">
        <v>3858</v>
      </c>
      <c r="H155" s="813" t="s">
        <v>246</v>
      </c>
      <c r="I155" s="813" t="s">
        <v>4191</v>
      </c>
      <c r="J155" s="813" t="s">
        <v>4312</v>
      </c>
      <c r="K155" s="813" t="s">
        <v>3923</v>
      </c>
      <c r="L155" s="813" t="s">
        <v>3863</v>
      </c>
      <c r="M155" s="813" t="s">
        <v>3163</v>
      </c>
      <c r="N155" s="813" t="s">
        <v>4337</v>
      </c>
      <c r="O155" s="813" t="s">
        <v>3925</v>
      </c>
      <c r="P155" s="813" t="s">
        <v>4338</v>
      </c>
      <c r="Q155" s="813" t="s">
        <v>4339</v>
      </c>
      <c r="R155" s="813">
        <v>1</v>
      </c>
      <c r="S155" s="813" t="s">
        <v>3928</v>
      </c>
      <c r="T155" s="813" t="s">
        <v>4196</v>
      </c>
    </row>
    <row r="156" spans="1:20" ht="15" customHeight="1" x14ac:dyDescent="0.35">
      <c r="A156" s="794" t="s">
        <v>4340</v>
      </c>
      <c r="B156" s="794" t="s">
        <v>3857</v>
      </c>
      <c r="C156" s="812" t="s">
        <v>3913</v>
      </c>
      <c r="D156" s="825"/>
      <c r="E156" s="825"/>
      <c r="F156" s="825">
        <v>250000</v>
      </c>
      <c r="G156" s="814" t="s">
        <v>3858</v>
      </c>
      <c r="H156" s="813" t="s">
        <v>246</v>
      </c>
      <c r="I156" s="813" t="s">
        <v>4191</v>
      </c>
      <c r="J156" s="813" t="s">
        <v>4312</v>
      </c>
      <c r="K156" s="813" t="s">
        <v>3923</v>
      </c>
      <c r="L156" s="813" t="s">
        <v>3863</v>
      </c>
      <c r="M156" s="813" t="s">
        <v>3163</v>
      </c>
      <c r="N156" s="813" t="s">
        <v>4341</v>
      </c>
      <c r="O156" s="813" t="s">
        <v>3925</v>
      </c>
      <c r="P156" s="813" t="s">
        <v>4342</v>
      </c>
      <c r="Q156" s="813" t="s">
        <v>4343</v>
      </c>
      <c r="R156" s="813">
        <v>1</v>
      </c>
      <c r="S156" s="813" t="s">
        <v>3928</v>
      </c>
      <c r="T156" s="813" t="s">
        <v>4196</v>
      </c>
    </row>
    <row r="157" spans="1:20" ht="15" customHeight="1" x14ac:dyDescent="0.35">
      <c r="A157" s="794" t="s">
        <v>4344</v>
      </c>
      <c r="B157" s="794" t="s">
        <v>3857</v>
      </c>
      <c r="C157" s="812" t="s">
        <v>3913</v>
      </c>
      <c r="D157" s="825"/>
      <c r="E157" s="825"/>
      <c r="F157" s="825">
        <v>25000</v>
      </c>
      <c r="G157" s="814" t="s">
        <v>3858</v>
      </c>
      <c r="H157" s="813" t="s">
        <v>246</v>
      </c>
      <c r="I157" s="813" t="s">
        <v>4191</v>
      </c>
      <c r="J157" s="813" t="s">
        <v>4312</v>
      </c>
      <c r="K157" s="813" t="s">
        <v>3923</v>
      </c>
      <c r="L157" s="813" t="s">
        <v>3863</v>
      </c>
      <c r="M157" s="813" t="s">
        <v>3163</v>
      </c>
      <c r="N157" s="813" t="s">
        <v>4345</v>
      </c>
      <c r="O157" s="813" t="s">
        <v>3925</v>
      </c>
      <c r="P157" s="813" t="s">
        <v>4346</v>
      </c>
      <c r="Q157" s="813" t="s">
        <v>4347</v>
      </c>
      <c r="R157" s="813">
        <v>1</v>
      </c>
      <c r="S157" s="813" t="s">
        <v>3928</v>
      </c>
      <c r="T157" s="813" t="s">
        <v>4196</v>
      </c>
    </row>
    <row r="158" spans="1:20" ht="15" customHeight="1" x14ac:dyDescent="0.35">
      <c r="A158" s="794" t="s">
        <v>4348</v>
      </c>
      <c r="B158" s="794" t="s">
        <v>3857</v>
      </c>
      <c r="C158" s="812" t="s">
        <v>3913</v>
      </c>
      <c r="D158" s="825"/>
      <c r="E158" s="825"/>
      <c r="F158" s="825">
        <v>50000</v>
      </c>
      <c r="G158" s="814" t="s">
        <v>3858</v>
      </c>
      <c r="H158" s="813" t="s">
        <v>246</v>
      </c>
      <c r="I158" s="813" t="s">
        <v>4191</v>
      </c>
      <c r="J158" s="813" t="s">
        <v>4312</v>
      </c>
      <c r="K158" s="813" t="s">
        <v>3923</v>
      </c>
      <c r="L158" s="813" t="s">
        <v>3863</v>
      </c>
      <c r="M158" s="813" t="s">
        <v>3163</v>
      </c>
      <c r="N158" s="813" t="s">
        <v>4349</v>
      </c>
      <c r="O158" s="813" t="s">
        <v>3925</v>
      </c>
      <c r="P158" s="813" t="s">
        <v>4350</v>
      </c>
      <c r="Q158" s="813" t="s">
        <v>4351</v>
      </c>
      <c r="R158" s="813">
        <v>1</v>
      </c>
      <c r="S158" s="813" t="s">
        <v>3928</v>
      </c>
      <c r="T158" s="813" t="s">
        <v>4196</v>
      </c>
    </row>
    <row r="159" spans="1:20" ht="15" customHeight="1" x14ac:dyDescent="0.35">
      <c r="A159" s="794" t="s">
        <v>4352</v>
      </c>
      <c r="B159" s="794" t="s">
        <v>3857</v>
      </c>
      <c r="C159" s="812" t="s">
        <v>3913</v>
      </c>
      <c r="D159" s="825"/>
      <c r="E159" s="825"/>
      <c r="F159" s="825">
        <v>60000</v>
      </c>
      <c r="G159" s="814" t="s">
        <v>3858</v>
      </c>
      <c r="H159" s="813" t="s">
        <v>246</v>
      </c>
      <c r="I159" s="813" t="s">
        <v>4191</v>
      </c>
      <c r="J159" s="813" t="s">
        <v>4312</v>
      </c>
      <c r="K159" s="813" t="s">
        <v>3923</v>
      </c>
      <c r="L159" s="813" t="s">
        <v>3863</v>
      </c>
      <c r="M159" s="813" t="s">
        <v>3163</v>
      </c>
      <c r="N159" s="813" t="s">
        <v>4353</v>
      </c>
      <c r="O159" s="813" t="s">
        <v>3925</v>
      </c>
      <c r="P159" s="813" t="s">
        <v>4354</v>
      </c>
      <c r="Q159" s="813" t="s">
        <v>4355</v>
      </c>
      <c r="R159" s="813">
        <v>1</v>
      </c>
      <c r="S159" s="813" t="s">
        <v>3928</v>
      </c>
      <c r="T159" s="813" t="s">
        <v>4196</v>
      </c>
    </row>
    <row r="160" spans="1:20" ht="15" customHeight="1" x14ac:dyDescent="0.35">
      <c r="A160" s="794" t="s">
        <v>4356</v>
      </c>
      <c r="B160" s="794" t="s">
        <v>3857</v>
      </c>
      <c r="C160" s="812" t="s">
        <v>3913</v>
      </c>
      <c r="D160" s="825"/>
      <c r="E160" s="825"/>
      <c r="F160" s="825">
        <v>150000</v>
      </c>
      <c r="G160" s="814" t="s">
        <v>3858</v>
      </c>
      <c r="H160" s="813" t="s">
        <v>246</v>
      </c>
      <c r="I160" s="813" t="s">
        <v>4191</v>
      </c>
      <c r="J160" s="813" t="s">
        <v>4312</v>
      </c>
      <c r="K160" s="813" t="s">
        <v>3923</v>
      </c>
      <c r="L160" s="813" t="s">
        <v>3863</v>
      </c>
      <c r="M160" s="813" t="s">
        <v>3163</v>
      </c>
      <c r="N160" s="813" t="s">
        <v>4357</v>
      </c>
      <c r="O160" s="813" t="s">
        <v>3925</v>
      </c>
      <c r="P160" s="813" t="s">
        <v>4358</v>
      </c>
      <c r="Q160" s="813" t="s">
        <v>4359</v>
      </c>
      <c r="R160" s="813">
        <v>1</v>
      </c>
      <c r="S160" s="813" t="s">
        <v>3928</v>
      </c>
      <c r="T160" s="813" t="s">
        <v>4196</v>
      </c>
    </row>
    <row r="161" spans="1:20" ht="15" customHeight="1" x14ac:dyDescent="0.35">
      <c r="A161" s="794" t="s">
        <v>4360</v>
      </c>
      <c r="B161" s="794" t="s">
        <v>3857</v>
      </c>
      <c r="C161" s="812" t="s">
        <v>3913</v>
      </c>
      <c r="D161" s="825"/>
      <c r="E161" s="825"/>
      <c r="F161" s="825">
        <v>50000</v>
      </c>
      <c r="G161" s="814" t="s">
        <v>3858</v>
      </c>
      <c r="H161" s="813" t="s">
        <v>246</v>
      </c>
      <c r="I161" s="813" t="s">
        <v>4191</v>
      </c>
      <c r="J161" s="813" t="s">
        <v>4312</v>
      </c>
      <c r="K161" s="813" t="s">
        <v>3923</v>
      </c>
      <c r="L161" s="813" t="s">
        <v>3863</v>
      </c>
      <c r="M161" s="813" t="s">
        <v>3163</v>
      </c>
      <c r="N161" s="813" t="s">
        <v>4361</v>
      </c>
      <c r="O161" s="813" t="s">
        <v>3925</v>
      </c>
      <c r="P161" s="813" t="s">
        <v>4362</v>
      </c>
      <c r="Q161" s="813" t="s">
        <v>4363</v>
      </c>
      <c r="R161" s="813">
        <v>1</v>
      </c>
      <c r="S161" s="813" t="s">
        <v>3928</v>
      </c>
      <c r="T161" s="813" t="s">
        <v>4196</v>
      </c>
    </row>
    <row r="162" spans="1:20" ht="15" customHeight="1" x14ac:dyDescent="0.35">
      <c r="A162" s="794" t="s">
        <v>4364</v>
      </c>
      <c r="B162" s="794" t="s">
        <v>3857</v>
      </c>
      <c r="C162" s="812" t="s">
        <v>3913</v>
      </c>
      <c r="D162" s="825"/>
      <c r="E162" s="825"/>
      <c r="F162" s="825">
        <v>250000</v>
      </c>
      <c r="G162" s="814" t="s">
        <v>3858</v>
      </c>
      <c r="H162" s="813" t="s">
        <v>246</v>
      </c>
      <c r="I162" s="813" t="s">
        <v>4191</v>
      </c>
      <c r="J162" s="813" t="s">
        <v>4312</v>
      </c>
      <c r="K162" s="813" t="s">
        <v>3923</v>
      </c>
      <c r="L162" s="813" t="s">
        <v>3863</v>
      </c>
      <c r="M162" s="813" t="s">
        <v>3163</v>
      </c>
      <c r="N162" s="813" t="s">
        <v>4365</v>
      </c>
      <c r="O162" s="813" t="s">
        <v>3925</v>
      </c>
      <c r="P162" s="813" t="s">
        <v>4366</v>
      </c>
      <c r="Q162" s="813" t="s">
        <v>4367</v>
      </c>
      <c r="R162" s="813">
        <v>1</v>
      </c>
      <c r="S162" s="813" t="s">
        <v>3928</v>
      </c>
      <c r="T162" s="813" t="s">
        <v>4196</v>
      </c>
    </row>
    <row r="163" spans="1:20" ht="15" customHeight="1" x14ac:dyDescent="0.35">
      <c r="A163" s="794" t="s">
        <v>4368</v>
      </c>
      <c r="B163" s="794" t="s">
        <v>3857</v>
      </c>
      <c r="C163" s="812" t="s">
        <v>3913</v>
      </c>
      <c r="D163" s="825"/>
      <c r="E163" s="825"/>
      <c r="F163" s="825">
        <v>50000</v>
      </c>
      <c r="G163" s="814" t="s">
        <v>3858</v>
      </c>
      <c r="H163" s="813" t="s">
        <v>246</v>
      </c>
      <c r="I163" s="813" t="s">
        <v>4191</v>
      </c>
      <c r="J163" s="813" t="s">
        <v>4312</v>
      </c>
      <c r="K163" s="813" t="s">
        <v>3923</v>
      </c>
      <c r="L163" s="813" t="s">
        <v>3863</v>
      </c>
      <c r="M163" s="813" t="s">
        <v>3163</v>
      </c>
      <c r="N163" s="813" t="s">
        <v>4369</v>
      </c>
      <c r="O163" s="813" t="s">
        <v>3925</v>
      </c>
      <c r="P163" s="813" t="s">
        <v>4370</v>
      </c>
      <c r="Q163" s="813" t="s">
        <v>4371</v>
      </c>
      <c r="R163" s="813">
        <v>1</v>
      </c>
      <c r="S163" s="813" t="s">
        <v>3928</v>
      </c>
      <c r="T163" s="813" t="s">
        <v>4196</v>
      </c>
    </row>
    <row r="164" spans="1:20" ht="15" customHeight="1" x14ac:dyDescent="0.35">
      <c r="A164" s="794" t="s">
        <v>4372</v>
      </c>
      <c r="B164" s="794" t="s">
        <v>3857</v>
      </c>
      <c r="C164" s="812" t="s">
        <v>3913</v>
      </c>
      <c r="D164" s="825"/>
      <c r="E164" s="825"/>
      <c r="F164" s="825">
        <v>0</v>
      </c>
      <c r="G164" s="814" t="s">
        <v>3858</v>
      </c>
      <c r="H164" s="813" t="s">
        <v>246</v>
      </c>
      <c r="I164" s="813" t="s">
        <v>4191</v>
      </c>
      <c r="J164" s="813" t="s">
        <v>4312</v>
      </c>
      <c r="K164" s="813" t="s">
        <v>3923</v>
      </c>
      <c r="L164" s="813" t="s">
        <v>3863</v>
      </c>
      <c r="M164" s="813" t="s">
        <v>3163</v>
      </c>
      <c r="N164" s="813" t="s">
        <v>4373</v>
      </c>
      <c r="O164" s="813" t="s">
        <v>3925</v>
      </c>
      <c r="P164" s="813" t="s">
        <v>4374</v>
      </c>
      <c r="Q164" s="813" t="s">
        <v>4375</v>
      </c>
      <c r="R164" s="813">
        <v>1</v>
      </c>
      <c r="S164" s="813" t="s">
        <v>3928</v>
      </c>
      <c r="T164" s="813" t="s">
        <v>4196</v>
      </c>
    </row>
    <row r="165" spans="1:20" ht="15" customHeight="1" x14ac:dyDescent="0.35">
      <c r="A165" s="794" t="s">
        <v>4376</v>
      </c>
      <c r="B165" s="794" t="s">
        <v>3857</v>
      </c>
      <c r="C165" s="812" t="s">
        <v>3913</v>
      </c>
      <c r="D165" s="825"/>
      <c r="E165" s="825"/>
      <c r="F165" s="825">
        <v>225000</v>
      </c>
      <c r="G165" s="814" t="s">
        <v>3858</v>
      </c>
      <c r="H165" s="813" t="s">
        <v>246</v>
      </c>
      <c r="I165" s="813" t="s">
        <v>4191</v>
      </c>
      <c r="J165" s="813" t="s">
        <v>4312</v>
      </c>
      <c r="K165" s="813" t="s">
        <v>3923</v>
      </c>
      <c r="L165" s="813" t="s">
        <v>3863</v>
      </c>
      <c r="M165" s="813" t="s">
        <v>3163</v>
      </c>
      <c r="N165" s="813" t="s">
        <v>4377</v>
      </c>
      <c r="O165" s="813" t="s">
        <v>3925</v>
      </c>
      <c r="P165" s="813" t="s">
        <v>4378</v>
      </c>
      <c r="Q165" s="813" t="s">
        <v>4379</v>
      </c>
      <c r="R165" s="813">
        <v>1</v>
      </c>
      <c r="S165" s="813" t="s">
        <v>3928</v>
      </c>
      <c r="T165" s="813" t="s">
        <v>4196</v>
      </c>
    </row>
    <row r="166" spans="1:20" ht="15" customHeight="1" x14ac:dyDescent="0.35">
      <c r="A166" s="794" t="s">
        <v>4380</v>
      </c>
      <c r="B166" s="794" t="s">
        <v>3857</v>
      </c>
      <c r="C166" s="812" t="s">
        <v>3913</v>
      </c>
      <c r="D166" s="825"/>
      <c r="E166" s="825"/>
      <c r="F166" s="825">
        <v>648000</v>
      </c>
      <c r="G166" s="814" t="s">
        <v>3858</v>
      </c>
      <c r="H166" s="813" t="s">
        <v>246</v>
      </c>
      <c r="I166" s="813" t="s">
        <v>4191</v>
      </c>
      <c r="J166" s="813" t="s">
        <v>4312</v>
      </c>
      <c r="K166" s="813" t="s">
        <v>3923</v>
      </c>
      <c r="L166" s="813" t="s">
        <v>3863</v>
      </c>
      <c r="M166" s="813" t="s">
        <v>3163</v>
      </c>
      <c r="N166" s="813" t="s">
        <v>4381</v>
      </c>
      <c r="O166" s="813" t="s">
        <v>3925</v>
      </c>
      <c r="P166" s="813" t="s">
        <v>4382</v>
      </c>
      <c r="Q166" s="813" t="s">
        <v>4383</v>
      </c>
      <c r="R166" s="813">
        <v>1</v>
      </c>
      <c r="S166" s="813" t="s">
        <v>3928</v>
      </c>
      <c r="T166" s="813" t="s">
        <v>4196</v>
      </c>
    </row>
    <row r="167" spans="1:20" ht="15" customHeight="1" x14ac:dyDescent="0.35">
      <c r="A167" s="794" t="s">
        <v>4311</v>
      </c>
      <c r="B167" s="794" t="s">
        <v>3857</v>
      </c>
      <c r="C167" s="812" t="s">
        <v>3913</v>
      </c>
      <c r="D167" s="825"/>
      <c r="E167" s="825"/>
      <c r="F167" s="825">
        <v>0.2</v>
      </c>
      <c r="G167" s="814" t="s">
        <v>3858</v>
      </c>
      <c r="H167" s="813" t="s">
        <v>246</v>
      </c>
      <c r="I167" s="813" t="s">
        <v>4191</v>
      </c>
      <c r="J167" s="813" t="s">
        <v>4312</v>
      </c>
      <c r="K167" s="813" t="s">
        <v>3923</v>
      </c>
      <c r="L167" s="813" t="s">
        <v>3863</v>
      </c>
      <c r="M167" s="813" t="s">
        <v>3163</v>
      </c>
      <c r="N167" s="813" t="s">
        <v>4384</v>
      </c>
      <c r="O167" s="813" t="s">
        <v>3883</v>
      </c>
      <c r="P167" s="813" t="s">
        <v>4385</v>
      </c>
      <c r="Q167" s="813" t="s">
        <v>4386</v>
      </c>
      <c r="R167" s="813">
        <v>1</v>
      </c>
      <c r="S167" s="813" t="s">
        <v>3928</v>
      </c>
      <c r="T167" s="813" t="s">
        <v>4196</v>
      </c>
    </row>
    <row r="168" spans="1:20" ht="15" customHeight="1" x14ac:dyDescent="0.35">
      <c r="A168" s="794" t="s">
        <v>4324</v>
      </c>
      <c r="B168" s="794" t="s">
        <v>3857</v>
      </c>
      <c r="C168" s="812" t="s">
        <v>3913</v>
      </c>
      <c r="D168" s="825"/>
      <c r="E168" s="825"/>
      <c r="F168" s="825">
        <v>0.2</v>
      </c>
      <c r="G168" s="814" t="s">
        <v>3858</v>
      </c>
      <c r="H168" s="813" t="s">
        <v>246</v>
      </c>
      <c r="I168" s="813" t="s">
        <v>4191</v>
      </c>
      <c r="J168" s="813" t="s">
        <v>4312</v>
      </c>
      <c r="K168" s="813" t="s">
        <v>3923</v>
      </c>
      <c r="L168" s="813" t="s">
        <v>3863</v>
      </c>
      <c r="M168" s="813" t="s">
        <v>3163</v>
      </c>
      <c r="N168" s="813" t="s">
        <v>4387</v>
      </c>
      <c r="O168" s="813" t="s">
        <v>3883</v>
      </c>
      <c r="P168" s="813" t="s">
        <v>4388</v>
      </c>
      <c r="Q168" s="813" t="s">
        <v>4389</v>
      </c>
      <c r="R168" s="813">
        <v>1</v>
      </c>
      <c r="S168" s="813" t="s">
        <v>3928</v>
      </c>
      <c r="T168" s="813" t="s">
        <v>4196</v>
      </c>
    </row>
    <row r="169" spans="1:20" ht="15" customHeight="1" x14ac:dyDescent="0.35">
      <c r="A169" s="794" t="s">
        <v>4328</v>
      </c>
      <c r="B169" s="794" t="s">
        <v>3857</v>
      </c>
      <c r="C169" s="812" t="s">
        <v>3913</v>
      </c>
      <c r="D169" s="825"/>
      <c r="E169" s="825"/>
      <c r="F169" s="825">
        <v>0.2</v>
      </c>
      <c r="G169" s="814" t="s">
        <v>3858</v>
      </c>
      <c r="H169" s="813" t="s">
        <v>246</v>
      </c>
      <c r="I169" s="813" t="s">
        <v>4191</v>
      </c>
      <c r="J169" s="813" t="s">
        <v>4312</v>
      </c>
      <c r="K169" s="813" t="s">
        <v>3923</v>
      </c>
      <c r="L169" s="813" t="s">
        <v>3863</v>
      </c>
      <c r="M169" s="813" t="s">
        <v>3163</v>
      </c>
      <c r="N169" s="813" t="s">
        <v>4390</v>
      </c>
      <c r="O169" s="813" t="s">
        <v>3883</v>
      </c>
      <c r="P169" s="813" t="s">
        <v>4391</v>
      </c>
      <c r="Q169" s="813" t="s">
        <v>4392</v>
      </c>
      <c r="R169" s="813">
        <v>1</v>
      </c>
      <c r="S169" s="813" t="s">
        <v>3928</v>
      </c>
      <c r="T169" s="813" t="s">
        <v>4196</v>
      </c>
    </row>
    <row r="170" spans="1:20" ht="15" customHeight="1" x14ac:dyDescent="0.35">
      <c r="A170" s="794" t="s">
        <v>4336</v>
      </c>
      <c r="B170" s="794" t="s">
        <v>3857</v>
      </c>
      <c r="C170" s="812" t="s">
        <v>3913</v>
      </c>
      <c r="D170" s="825"/>
      <c r="E170" s="825"/>
      <c r="F170" s="825">
        <v>0.2</v>
      </c>
      <c r="G170" s="814" t="s">
        <v>3858</v>
      </c>
      <c r="H170" s="813" t="s">
        <v>246</v>
      </c>
      <c r="I170" s="813" t="s">
        <v>4191</v>
      </c>
      <c r="J170" s="813" t="s">
        <v>4312</v>
      </c>
      <c r="K170" s="813" t="s">
        <v>3923</v>
      </c>
      <c r="L170" s="813" t="s">
        <v>3863</v>
      </c>
      <c r="M170" s="813" t="s">
        <v>3163</v>
      </c>
      <c r="N170" s="813" t="s">
        <v>4393</v>
      </c>
      <c r="O170" s="813" t="s">
        <v>3883</v>
      </c>
      <c r="P170" s="813" t="s">
        <v>4394</v>
      </c>
      <c r="Q170" s="813" t="s">
        <v>4395</v>
      </c>
      <c r="R170" s="813">
        <v>1</v>
      </c>
      <c r="S170" s="813" t="s">
        <v>3928</v>
      </c>
      <c r="T170" s="813" t="s">
        <v>4196</v>
      </c>
    </row>
    <row r="171" spans="1:20" ht="15" customHeight="1" x14ac:dyDescent="0.35">
      <c r="A171" s="794" t="s">
        <v>4376</v>
      </c>
      <c r="B171" s="794" t="s">
        <v>3857</v>
      </c>
      <c r="C171" s="812" t="s">
        <v>3913</v>
      </c>
      <c r="D171" s="825"/>
      <c r="E171" s="825"/>
      <c r="F171" s="825">
        <v>18</v>
      </c>
      <c r="G171" s="814" t="s">
        <v>3858</v>
      </c>
      <c r="H171" s="813" t="s">
        <v>246</v>
      </c>
      <c r="I171" s="813" t="s">
        <v>4191</v>
      </c>
      <c r="J171" s="813" t="s">
        <v>4312</v>
      </c>
      <c r="K171" s="813" t="s">
        <v>3923</v>
      </c>
      <c r="L171" s="813" t="s">
        <v>3863</v>
      </c>
      <c r="M171" s="813" t="s">
        <v>3163</v>
      </c>
      <c r="N171" s="813" t="s">
        <v>4396</v>
      </c>
      <c r="O171" s="813" t="s">
        <v>3883</v>
      </c>
      <c r="P171" s="813" t="s">
        <v>4397</v>
      </c>
      <c r="Q171" s="813" t="s">
        <v>4398</v>
      </c>
      <c r="R171" s="813">
        <v>1</v>
      </c>
      <c r="S171" s="813" t="s">
        <v>3928</v>
      </c>
      <c r="T171" s="813" t="s">
        <v>4196</v>
      </c>
    </row>
    <row r="172" spans="1:20" ht="15" customHeight="1" x14ac:dyDescent="0.35">
      <c r="A172" s="794" t="s">
        <v>4380</v>
      </c>
      <c r="B172" s="794" t="s">
        <v>3857</v>
      </c>
      <c r="C172" s="812" t="s">
        <v>3913</v>
      </c>
      <c r="D172" s="825"/>
      <c r="E172" s="825"/>
      <c r="F172" s="825">
        <v>36</v>
      </c>
      <c r="G172" s="814" t="s">
        <v>3858</v>
      </c>
      <c r="H172" s="813" t="s">
        <v>246</v>
      </c>
      <c r="I172" s="813" t="s">
        <v>4191</v>
      </c>
      <c r="J172" s="813" t="s">
        <v>4312</v>
      </c>
      <c r="K172" s="813" t="s">
        <v>3923</v>
      </c>
      <c r="L172" s="813" t="s">
        <v>3863</v>
      </c>
      <c r="M172" s="813" t="s">
        <v>3163</v>
      </c>
      <c r="N172" s="813" t="s">
        <v>4399</v>
      </c>
      <c r="O172" s="813" t="s">
        <v>3883</v>
      </c>
      <c r="P172" s="813" t="s">
        <v>4400</v>
      </c>
      <c r="Q172" s="813" t="s">
        <v>4401</v>
      </c>
      <c r="R172" s="813">
        <v>1</v>
      </c>
      <c r="S172" s="813" t="s">
        <v>3928</v>
      </c>
      <c r="T172" s="813" t="s">
        <v>4196</v>
      </c>
    </row>
    <row r="173" spans="1:20" ht="15" customHeight="1" x14ac:dyDescent="0.35">
      <c r="A173" s="803" t="s">
        <v>4402</v>
      </c>
      <c r="B173" s="803"/>
      <c r="C173" s="803"/>
      <c r="D173" s="803"/>
      <c r="E173" s="803"/>
      <c r="F173" s="803"/>
      <c r="G173" s="803" t="s">
        <v>4260</v>
      </c>
      <c r="H173" s="794"/>
      <c r="I173" s="794"/>
      <c r="J173" s="794"/>
      <c r="K173" s="794"/>
      <c r="L173" s="794"/>
      <c r="M173" s="794"/>
      <c r="N173" s="794"/>
      <c r="O173" s="794"/>
      <c r="P173" s="794"/>
      <c r="Q173" s="794"/>
      <c r="R173" s="794"/>
      <c r="S173" s="794"/>
      <c r="T173" s="794"/>
    </row>
    <row r="174" spans="1:20" ht="15" customHeight="1" x14ac:dyDescent="0.35">
      <c r="A174" s="794" t="s">
        <v>4403</v>
      </c>
      <c r="B174" s="794" t="s">
        <v>3857</v>
      </c>
      <c r="C174" s="812" t="s">
        <v>3913</v>
      </c>
      <c r="D174" s="825"/>
      <c r="E174" s="825"/>
      <c r="F174" s="825">
        <v>250000</v>
      </c>
      <c r="G174" s="814" t="s">
        <v>3858</v>
      </c>
      <c r="H174" s="813" t="s">
        <v>246</v>
      </c>
      <c r="I174" s="813" t="s">
        <v>4191</v>
      </c>
      <c r="J174" s="813" t="s">
        <v>4404</v>
      </c>
      <c r="K174" s="813" t="s">
        <v>3923</v>
      </c>
      <c r="L174" s="813" t="s">
        <v>3863</v>
      </c>
      <c r="M174" s="813" t="s">
        <v>3163</v>
      </c>
      <c r="N174" s="813" t="s">
        <v>4405</v>
      </c>
      <c r="O174" s="813" t="s">
        <v>3925</v>
      </c>
      <c r="P174" s="813" t="s">
        <v>4406</v>
      </c>
      <c r="Q174" s="813" t="s">
        <v>4407</v>
      </c>
      <c r="R174" s="813">
        <v>1</v>
      </c>
      <c r="S174" s="813" t="s">
        <v>3928</v>
      </c>
      <c r="T174" s="813" t="s">
        <v>4196</v>
      </c>
    </row>
    <row r="175" spans="1:20" ht="15" customHeight="1" x14ac:dyDescent="0.35">
      <c r="A175" s="794" t="s">
        <v>4408</v>
      </c>
      <c r="B175" s="794" t="s">
        <v>3857</v>
      </c>
      <c r="C175" s="812" t="s">
        <v>3913</v>
      </c>
      <c r="D175" s="825"/>
      <c r="E175" s="825"/>
      <c r="F175" s="825">
        <v>150000</v>
      </c>
      <c r="G175" s="814" t="s">
        <v>3858</v>
      </c>
      <c r="H175" s="813" t="s">
        <v>246</v>
      </c>
      <c r="I175" s="813" t="s">
        <v>4191</v>
      </c>
      <c r="J175" s="813" t="s">
        <v>4404</v>
      </c>
      <c r="K175" s="813" t="s">
        <v>3923</v>
      </c>
      <c r="L175" s="813" t="s">
        <v>3863</v>
      </c>
      <c r="M175" s="813" t="s">
        <v>3163</v>
      </c>
      <c r="N175" s="813" t="s">
        <v>4409</v>
      </c>
      <c r="O175" s="813" t="s">
        <v>3925</v>
      </c>
      <c r="P175" s="813" t="s">
        <v>4410</v>
      </c>
      <c r="Q175" s="813" t="s">
        <v>4411</v>
      </c>
      <c r="R175" s="813">
        <v>1</v>
      </c>
      <c r="S175" s="813" t="s">
        <v>3928</v>
      </c>
      <c r="T175" s="813" t="s">
        <v>4196</v>
      </c>
    </row>
    <row r="176" spans="1:20" ht="15" customHeight="1" x14ac:dyDescent="0.35">
      <c r="A176" s="794" t="s">
        <v>4412</v>
      </c>
      <c r="B176" s="794" t="s">
        <v>3857</v>
      </c>
      <c r="C176" s="812" t="s">
        <v>3913</v>
      </c>
      <c r="D176" s="825"/>
      <c r="E176" s="825"/>
      <c r="F176" s="825">
        <v>300000</v>
      </c>
      <c r="G176" s="814" t="s">
        <v>3858</v>
      </c>
      <c r="H176" s="813" t="s">
        <v>246</v>
      </c>
      <c r="I176" s="813" t="s">
        <v>4191</v>
      </c>
      <c r="J176" s="813" t="s">
        <v>4404</v>
      </c>
      <c r="K176" s="813" t="s">
        <v>3923</v>
      </c>
      <c r="L176" s="813" t="s">
        <v>3863</v>
      </c>
      <c r="M176" s="813" t="s">
        <v>3163</v>
      </c>
      <c r="N176" s="813" t="s">
        <v>4413</v>
      </c>
      <c r="O176" s="813" t="s">
        <v>3925</v>
      </c>
      <c r="P176" s="813" t="s">
        <v>4414</v>
      </c>
      <c r="Q176" s="813" t="s">
        <v>4415</v>
      </c>
      <c r="R176" s="813">
        <v>1</v>
      </c>
      <c r="S176" s="813" t="s">
        <v>3928</v>
      </c>
      <c r="T176" s="813" t="s">
        <v>4196</v>
      </c>
    </row>
    <row r="177" spans="1:20" ht="15" customHeight="1" x14ac:dyDescent="0.35">
      <c r="A177" s="794" t="s">
        <v>4416</v>
      </c>
      <c r="B177" s="794" t="s">
        <v>3857</v>
      </c>
      <c r="C177" s="812" t="s">
        <v>3913</v>
      </c>
      <c r="D177" s="825"/>
      <c r="E177" s="825"/>
      <c r="F177" s="825">
        <v>50000</v>
      </c>
      <c r="G177" s="814" t="s">
        <v>3858</v>
      </c>
      <c r="H177" s="813" t="s">
        <v>246</v>
      </c>
      <c r="I177" s="813" t="s">
        <v>4191</v>
      </c>
      <c r="J177" s="813" t="s">
        <v>4404</v>
      </c>
      <c r="K177" s="813" t="s">
        <v>3923</v>
      </c>
      <c r="L177" s="813" t="s">
        <v>3863</v>
      </c>
      <c r="M177" s="813" t="s">
        <v>3163</v>
      </c>
      <c r="N177" s="813" t="s">
        <v>4417</v>
      </c>
      <c r="O177" s="813" t="s">
        <v>3925</v>
      </c>
      <c r="P177" s="813" t="s">
        <v>4418</v>
      </c>
      <c r="Q177" s="813" t="s">
        <v>4419</v>
      </c>
      <c r="R177" s="813">
        <v>1</v>
      </c>
      <c r="S177" s="813" t="s">
        <v>3928</v>
      </c>
      <c r="T177" s="813" t="s">
        <v>4196</v>
      </c>
    </row>
    <row r="178" spans="1:20" ht="15" customHeight="1" x14ac:dyDescent="0.35">
      <c r="A178" s="794" t="s">
        <v>4420</v>
      </c>
      <c r="B178" s="794" t="s">
        <v>3857</v>
      </c>
      <c r="C178" s="812" t="s">
        <v>3913</v>
      </c>
      <c r="D178" s="825"/>
      <c r="E178" s="825"/>
      <c r="F178" s="825">
        <v>55000</v>
      </c>
      <c r="G178" s="814" t="s">
        <v>3858</v>
      </c>
      <c r="H178" s="813" t="s">
        <v>246</v>
      </c>
      <c r="I178" s="813" t="s">
        <v>4191</v>
      </c>
      <c r="J178" s="813" t="s">
        <v>4404</v>
      </c>
      <c r="K178" s="813" t="s">
        <v>3923</v>
      </c>
      <c r="L178" s="813" t="s">
        <v>3863</v>
      </c>
      <c r="M178" s="813" t="s">
        <v>3163</v>
      </c>
      <c r="N178" s="813" t="s">
        <v>4421</v>
      </c>
      <c r="O178" s="813" t="s">
        <v>3925</v>
      </c>
      <c r="P178" s="813" t="s">
        <v>4422</v>
      </c>
      <c r="Q178" s="813" t="s">
        <v>4423</v>
      </c>
      <c r="R178" s="813">
        <v>1</v>
      </c>
      <c r="S178" s="813" t="s">
        <v>3928</v>
      </c>
      <c r="T178" s="813" t="s">
        <v>4196</v>
      </c>
    </row>
    <row r="179" spans="1:20" ht="15" customHeight="1" x14ac:dyDescent="0.35">
      <c r="A179" s="794" t="s">
        <v>4424</v>
      </c>
      <c r="B179" s="794" t="s">
        <v>3857</v>
      </c>
      <c r="C179" s="812" t="s">
        <v>3913</v>
      </c>
      <c r="D179" s="825"/>
      <c r="E179" s="825"/>
      <c r="F179" s="825">
        <v>30000</v>
      </c>
      <c r="G179" s="814" t="s">
        <v>3858</v>
      </c>
      <c r="H179" s="813" t="s">
        <v>246</v>
      </c>
      <c r="I179" s="813" t="s">
        <v>4191</v>
      </c>
      <c r="J179" s="813" t="s">
        <v>4404</v>
      </c>
      <c r="K179" s="813" t="s">
        <v>3923</v>
      </c>
      <c r="L179" s="813" t="s">
        <v>3863</v>
      </c>
      <c r="M179" s="813" t="s">
        <v>3163</v>
      </c>
      <c r="N179" s="813" t="s">
        <v>4425</v>
      </c>
      <c r="O179" s="813" t="s">
        <v>3925</v>
      </c>
      <c r="P179" s="813" t="s">
        <v>4426</v>
      </c>
      <c r="Q179" s="813" t="s">
        <v>4427</v>
      </c>
      <c r="R179" s="813">
        <v>1</v>
      </c>
      <c r="S179" s="813" t="s">
        <v>3928</v>
      </c>
      <c r="T179" s="813" t="s">
        <v>4196</v>
      </c>
    </row>
    <row r="180" spans="1:20" ht="15" customHeight="1" x14ac:dyDescent="0.35">
      <c r="A180" s="794" t="s">
        <v>4428</v>
      </c>
      <c r="B180" s="794" t="s">
        <v>3857</v>
      </c>
      <c r="C180" s="812" t="s">
        <v>3913</v>
      </c>
      <c r="D180" s="825"/>
      <c r="E180" s="825"/>
      <c r="F180" s="825">
        <v>30000</v>
      </c>
      <c r="G180" s="814" t="s">
        <v>3858</v>
      </c>
      <c r="H180" s="813" t="s">
        <v>246</v>
      </c>
      <c r="I180" s="813" t="s">
        <v>4191</v>
      </c>
      <c r="J180" s="813" t="s">
        <v>4404</v>
      </c>
      <c r="K180" s="813" t="s">
        <v>3923</v>
      </c>
      <c r="L180" s="813" t="s">
        <v>3863</v>
      </c>
      <c r="M180" s="813" t="s">
        <v>3163</v>
      </c>
      <c r="N180" s="813" t="s">
        <v>4429</v>
      </c>
      <c r="O180" s="813" t="s">
        <v>3925</v>
      </c>
      <c r="P180" s="813" t="s">
        <v>4430</v>
      </c>
      <c r="Q180" s="813" t="s">
        <v>4431</v>
      </c>
      <c r="R180" s="813">
        <v>1</v>
      </c>
      <c r="S180" s="813" t="s">
        <v>3928</v>
      </c>
      <c r="T180" s="813" t="s">
        <v>4196</v>
      </c>
    </row>
    <row r="181" spans="1:20" ht="15" customHeight="1" x14ac:dyDescent="0.35">
      <c r="A181" s="794" t="s">
        <v>4432</v>
      </c>
      <c r="B181" s="794" t="s">
        <v>3857</v>
      </c>
      <c r="C181" s="812" t="s">
        <v>3913</v>
      </c>
      <c r="D181" s="825"/>
      <c r="E181" s="825"/>
      <c r="F181" s="825">
        <v>30000</v>
      </c>
      <c r="G181" s="814" t="s">
        <v>3858</v>
      </c>
      <c r="H181" s="813" t="s">
        <v>246</v>
      </c>
      <c r="I181" s="813" t="s">
        <v>4191</v>
      </c>
      <c r="J181" s="813" t="s">
        <v>4404</v>
      </c>
      <c r="K181" s="813" t="s">
        <v>3923</v>
      </c>
      <c r="L181" s="813" t="s">
        <v>3863</v>
      </c>
      <c r="M181" s="813" t="s">
        <v>3163</v>
      </c>
      <c r="N181" s="813" t="s">
        <v>4433</v>
      </c>
      <c r="O181" s="813" t="s">
        <v>3925</v>
      </c>
      <c r="P181" s="813" t="s">
        <v>4434</v>
      </c>
      <c r="Q181" s="813" t="s">
        <v>4435</v>
      </c>
      <c r="R181" s="813">
        <v>1</v>
      </c>
      <c r="S181" s="813" t="s">
        <v>3928</v>
      </c>
      <c r="T181" s="813" t="s">
        <v>4196</v>
      </c>
    </row>
    <row r="182" spans="1:20" ht="15" customHeight="1" x14ac:dyDescent="0.35">
      <c r="A182" s="794" t="s">
        <v>4436</v>
      </c>
      <c r="B182" s="794" t="s">
        <v>3857</v>
      </c>
      <c r="C182" s="812" t="s">
        <v>3913</v>
      </c>
      <c r="D182" s="825"/>
      <c r="E182" s="825"/>
      <c r="F182" s="825">
        <v>25000</v>
      </c>
      <c r="G182" s="814" t="s">
        <v>3858</v>
      </c>
      <c r="H182" s="813" t="s">
        <v>246</v>
      </c>
      <c r="I182" s="813" t="s">
        <v>4191</v>
      </c>
      <c r="J182" s="813" t="s">
        <v>4404</v>
      </c>
      <c r="K182" s="813" t="s">
        <v>3923</v>
      </c>
      <c r="L182" s="813" t="s">
        <v>3863</v>
      </c>
      <c r="M182" s="813" t="s">
        <v>3163</v>
      </c>
      <c r="N182" s="813" t="s">
        <v>4437</v>
      </c>
      <c r="O182" s="813" t="s">
        <v>3925</v>
      </c>
      <c r="P182" s="813" t="s">
        <v>4438</v>
      </c>
      <c r="Q182" s="813" t="s">
        <v>4439</v>
      </c>
      <c r="R182" s="813">
        <v>1</v>
      </c>
      <c r="S182" s="813" t="s">
        <v>3928</v>
      </c>
      <c r="T182" s="813" t="s">
        <v>4196</v>
      </c>
    </row>
    <row r="183" spans="1:20" ht="15" customHeight="1" x14ac:dyDescent="0.35">
      <c r="A183" s="794" t="s">
        <v>4440</v>
      </c>
      <c r="B183" s="794" t="s">
        <v>3857</v>
      </c>
      <c r="C183" s="812" t="s">
        <v>3913</v>
      </c>
      <c r="D183" s="825"/>
      <c r="E183" s="825"/>
      <c r="F183" s="825">
        <v>75000</v>
      </c>
      <c r="G183" s="814" t="s">
        <v>3858</v>
      </c>
      <c r="H183" s="813" t="s">
        <v>246</v>
      </c>
      <c r="I183" s="813" t="s">
        <v>4191</v>
      </c>
      <c r="J183" s="813" t="s">
        <v>4404</v>
      </c>
      <c r="K183" s="813" t="s">
        <v>3923</v>
      </c>
      <c r="L183" s="813" t="s">
        <v>3863</v>
      </c>
      <c r="M183" s="813" t="s">
        <v>3163</v>
      </c>
      <c r="N183" s="813" t="s">
        <v>4441</v>
      </c>
      <c r="O183" s="813" t="s">
        <v>3925</v>
      </c>
      <c r="P183" s="813" t="s">
        <v>4442</v>
      </c>
      <c r="Q183" s="813" t="s">
        <v>4443</v>
      </c>
      <c r="R183" s="813">
        <v>1</v>
      </c>
      <c r="S183" s="813" t="s">
        <v>3928</v>
      </c>
      <c r="T183" s="813" t="s">
        <v>4196</v>
      </c>
    </row>
    <row r="184" spans="1:20" ht="15" customHeight="1" x14ac:dyDescent="0.35">
      <c r="A184" s="794" t="s">
        <v>4444</v>
      </c>
      <c r="B184" s="794" t="s">
        <v>3857</v>
      </c>
      <c r="C184" s="812" t="s">
        <v>3913</v>
      </c>
      <c r="D184" s="825"/>
      <c r="E184" s="825"/>
      <c r="F184" s="825">
        <v>500000</v>
      </c>
      <c r="G184" s="814" t="s">
        <v>3858</v>
      </c>
      <c r="H184" s="813" t="s">
        <v>246</v>
      </c>
      <c r="I184" s="813" t="s">
        <v>4191</v>
      </c>
      <c r="J184" s="813" t="s">
        <v>4404</v>
      </c>
      <c r="K184" s="813" t="s">
        <v>3923</v>
      </c>
      <c r="L184" s="813" t="s">
        <v>3863</v>
      </c>
      <c r="M184" s="813" t="s">
        <v>3163</v>
      </c>
      <c r="N184" s="813" t="s">
        <v>4445</v>
      </c>
      <c r="O184" s="813" t="s">
        <v>3925</v>
      </c>
      <c r="P184" s="813" t="s">
        <v>4446</v>
      </c>
      <c r="Q184" s="813" t="s">
        <v>4447</v>
      </c>
      <c r="R184" s="813">
        <v>1</v>
      </c>
      <c r="S184" s="813" t="s">
        <v>3928</v>
      </c>
      <c r="T184" s="813" t="s">
        <v>4196</v>
      </c>
    </row>
    <row r="185" spans="1:20" ht="15" customHeight="1" x14ac:dyDescent="0.35">
      <c r="A185" s="794" t="s">
        <v>4448</v>
      </c>
      <c r="B185" s="794" t="s">
        <v>3857</v>
      </c>
      <c r="C185" s="812" t="s">
        <v>3913</v>
      </c>
      <c r="D185" s="825"/>
      <c r="E185" s="825"/>
      <c r="F185" s="825">
        <v>250000</v>
      </c>
      <c r="G185" s="814" t="s">
        <v>3858</v>
      </c>
      <c r="H185" s="813" t="s">
        <v>246</v>
      </c>
      <c r="I185" s="813" t="s">
        <v>4191</v>
      </c>
      <c r="J185" s="813" t="s">
        <v>4404</v>
      </c>
      <c r="K185" s="813" t="s">
        <v>3923</v>
      </c>
      <c r="L185" s="813" t="s">
        <v>3863</v>
      </c>
      <c r="M185" s="813" t="s">
        <v>3163</v>
      </c>
      <c r="N185" s="813" t="s">
        <v>4449</v>
      </c>
      <c r="O185" s="813" t="s">
        <v>3925</v>
      </c>
      <c r="P185" s="813" t="s">
        <v>4450</v>
      </c>
      <c r="Q185" s="813" t="s">
        <v>4451</v>
      </c>
      <c r="R185" s="813">
        <v>1</v>
      </c>
      <c r="S185" s="813" t="s">
        <v>3928</v>
      </c>
      <c r="T185" s="813" t="s">
        <v>4196</v>
      </c>
    </row>
    <row r="186" spans="1:20" ht="15" customHeight="1" x14ac:dyDescent="0.35">
      <c r="A186" s="803" t="s">
        <v>4452</v>
      </c>
      <c r="B186" s="803"/>
      <c r="C186" s="803"/>
      <c r="D186" s="803"/>
      <c r="E186" s="803"/>
      <c r="F186" s="803"/>
      <c r="G186" s="803" t="s">
        <v>3898</v>
      </c>
      <c r="H186" s="794"/>
      <c r="I186" s="794"/>
      <c r="J186" s="794"/>
      <c r="K186" s="794"/>
      <c r="L186" s="794"/>
      <c r="M186" s="794"/>
      <c r="N186" s="794"/>
      <c r="O186" s="794"/>
      <c r="P186" s="794"/>
      <c r="Q186" s="794"/>
      <c r="R186" s="794"/>
      <c r="S186" s="794"/>
      <c r="T186" s="794"/>
    </row>
    <row r="187" spans="1:20" ht="15" customHeight="1" x14ac:dyDescent="0.35">
      <c r="A187" s="794" t="s">
        <v>4453</v>
      </c>
      <c r="B187" s="794" t="s">
        <v>3857</v>
      </c>
      <c r="C187" s="812" t="s">
        <v>3913</v>
      </c>
      <c r="D187" s="825"/>
      <c r="E187" s="825"/>
      <c r="F187" s="825">
        <v>440800</v>
      </c>
      <c r="G187" s="814" t="s">
        <v>3858</v>
      </c>
      <c r="H187" s="813" t="s">
        <v>246</v>
      </c>
      <c r="I187" s="813" t="s">
        <v>4191</v>
      </c>
      <c r="J187" s="813" t="s">
        <v>4454</v>
      </c>
      <c r="K187" s="813" t="s">
        <v>3923</v>
      </c>
      <c r="L187" s="813" t="s">
        <v>3863</v>
      </c>
      <c r="M187" s="813" t="s">
        <v>3163</v>
      </c>
      <c r="N187" s="813" t="s">
        <v>4455</v>
      </c>
      <c r="O187" s="813" t="s">
        <v>4264</v>
      </c>
      <c r="P187" s="813" t="s">
        <v>4456</v>
      </c>
      <c r="Q187" s="813" t="s">
        <v>4457</v>
      </c>
      <c r="R187" s="813">
        <v>1</v>
      </c>
      <c r="S187" s="813" t="s">
        <v>3928</v>
      </c>
      <c r="T187" s="813" t="s">
        <v>4196</v>
      </c>
    </row>
    <row r="188" spans="1:20" ht="15" customHeight="1" x14ac:dyDescent="0.35">
      <c r="A188" s="794" t="s">
        <v>4458</v>
      </c>
      <c r="B188" s="794" t="s">
        <v>3857</v>
      </c>
      <c r="C188" s="812" t="s">
        <v>3913</v>
      </c>
      <c r="D188" s="825"/>
      <c r="E188" s="825"/>
      <c r="F188" s="825">
        <v>264190</v>
      </c>
      <c r="G188" s="814" t="s">
        <v>3858</v>
      </c>
      <c r="H188" s="813" t="s">
        <v>246</v>
      </c>
      <c r="I188" s="813" t="s">
        <v>4191</v>
      </c>
      <c r="J188" s="813" t="s">
        <v>4454</v>
      </c>
      <c r="K188" s="813" t="s">
        <v>3923</v>
      </c>
      <c r="L188" s="813" t="s">
        <v>3863</v>
      </c>
      <c r="M188" s="813" t="s">
        <v>3163</v>
      </c>
      <c r="N188" s="813" t="s">
        <v>4459</v>
      </c>
      <c r="O188" s="813" t="s">
        <v>3925</v>
      </c>
      <c r="P188" s="813" t="s">
        <v>4460</v>
      </c>
      <c r="Q188" s="813" t="s">
        <v>4461</v>
      </c>
      <c r="R188" s="813">
        <v>1</v>
      </c>
      <c r="S188" s="813" t="s">
        <v>3928</v>
      </c>
      <c r="T188" s="813" t="s">
        <v>4196</v>
      </c>
    </row>
    <row r="189" spans="1:20" ht="15" customHeight="1" x14ac:dyDescent="0.35">
      <c r="A189" s="794" t="s">
        <v>4453</v>
      </c>
      <c r="B189" s="794" t="s">
        <v>3857</v>
      </c>
      <c r="C189" s="812" t="s">
        <v>3913</v>
      </c>
      <c r="D189" s="825"/>
      <c r="E189" s="825"/>
      <c r="F189" s="825">
        <v>0.1</v>
      </c>
      <c r="G189" s="814" t="s">
        <v>3858</v>
      </c>
      <c r="H189" s="813" t="s">
        <v>246</v>
      </c>
      <c r="I189" s="813" t="s">
        <v>4191</v>
      </c>
      <c r="J189" s="813" t="s">
        <v>4454</v>
      </c>
      <c r="K189" s="813" t="s">
        <v>3923</v>
      </c>
      <c r="L189" s="813" t="s">
        <v>3863</v>
      </c>
      <c r="M189" s="813" t="s">
        <v>3163</v>
      </c>
      <c r="N189" s="813" t="s">
        <v>4462</v>
      </c>
      <c r="O189" s="813" t="s">
        <v>3883</v>
      </c>
      <c r="P189" s="813" t="s">
        <v>4463</v>
      </c>
      <c r="Q189" s="813" t="s">
        <v>4464</v>
      </c>
      <c r="R189" s="813">
        <v>1</v>
      </c>
      <c r="S189" s="813" t="s">
        <v>3928</v>
      </c>
      <c r="T189" s="813" t="s">
        <v>4196</v>
      </c>
    </row>
    <row r="190" spans="1:20" ht="15" customHeight="1" x14ac:dyDescent="0.35">
      <c r="A190" s="794" t="s">
        <v>4458</v>
      </c>
      <c r="B190" s="794" t="s">
        <v>3857</v>
      </c>
      <c r="C190" s="812" t="s">
        <v>3913</v>
      </c>
      <c r="D190" s="825"/>
      <c r="E190" s="825"/>
      <c r="F190" s="825">
        <v>0.05</v>
      </c>
      <c r="G190" s="814" t="s">
        <v>3858</v>
      </c>
      <c r="H190" s="813" t="s">
        <v>246</v>
      </c>
      <c r="I190" s="813" t="s">
        <v>4191</v>
      </c>
      <c r="J190" s="813" t="s">
        <v>4454</v>
      </c>
      <c r="K190" s="813" t="s">
        <v>3923</v>
      </c>
      <c r="L190" s="813" t="s">
        <v>3863</v>
      </c>
      <c r="M190" s="813" t="s">
        <v>3163</v>
      </c>
      <c r="N190" s="813" t="s">
        <v>4465</v>
      </c>
      <c r="O190" s="813" t="s">
        <v>3883</v>
      </c>
      <c r="P190" s="813" t="s">
        <v>4466</v>
      </c>
      <c r="Q190" s="813" t="s">
        <v>4467</v>
      </c>
      <c r="R190" s="813">
        <v>1</v>
      </c>
      <c r="S190" s="813" t="s">
        <v>3928</v>
      </c>
      <c r="T190" s="813" t="s">
        <v>4196</v>
      </c>
    </row>
    <row r="191" spans="1:20" ht="15" customHeight="1" x14ac:dyDescent="0.35">
      <c r="A191" s="803" t="s">
        <v>4468</v>
      </c>
      <c r="B191" s="803"/>
      <c r="C191" s="803"/>
      <c r="D191" s="803"/>
      <c r="E191" s="803"/>
      <c r="F191" s="803"/>
      <c r="G191" s="803" t="s">
        <v>3946</v>
      </c>
      <c r="H191" s="794"/>
      <c r="I191" s="794"/>
      <c r="J191" s="794"/>
      <c r="K191" s="794"/>
      <c r="L191" s="794"/>
      <c r="M191" s="794"/>
      <c r="N191" s="794"/>
      <c r="O191" s="794"/>
      <c r="P191" s="794"/>
      <c r="Q191" s="794"/>
      <c r="R191" s="794"/>
      <c r="S191" s="794"/>
      <c r="T191" s="794"/>
    </row>
    <row r="192" spans="1:20" ht="15" customHeight="1" x14ac:dyDescent="0.35">
      <c r="A192" s="794" t="s">
        <v>4469</v>
      </c>
      <c r="B192" s="794" t="s">
        <v>3857</v>
      </c>
      <c r="C192" s="812" t="s">
        <v>3913</v>
      </c>
      <c r="D192" s="825"/>
      <c r="E192" s="825">
        <v>1250000</v>
      </c>
      <c r="F192" s="826"/>
      <c r="G192" s="814" t="s">
        <v>3858</v>
      </c>
      <c r="H192" s="813" t="s">
        <v>246</v>
      </c>
      <c r="I192" s="813" t="s">
        <v>4191</v>
      </c>
      <c r="J192" s="813" t="s">
        <v>4470</v>
      </c>
      <c r="K192" s="813" t="s">
        <v>3923</v>
      </c>
      <c r="L192" s="813" t="s">
        <v>3863</v>
      </c>
      <c r="M192" s="813" t="s">
        <v>3163</v>
      </c>
      <c r="N192" s="813" t="s">
        <v>4471</v>
      </c>
      <c r="O192" s="813" t="s">
        <v>4472</v>
      </c>
      <c r="P192" s="813" t="s">
        <v>4473</v>
      </c>
      <c r="Q192" s="813" t="s">
        <v>4474</v>
      </c>
      <c r="R192" s="813">
        <v>1</v>
      </c>
      <c r="S192" s="813" t="s">
        <v>3928</v>
      </c>
      <c r="T192" s="813" t="s">
        <v>4196</v>
      </c>
    </row>
    <row r="193" spans="1:20" ht="15" customHeight="1" x14ac:dyDescent="0.35">
      <c r="A193" s="803" t="s">
        <v>4475</v>
      </c>
      <c r="B193" s="803"/>
      <c r="C193" s="803"/>
      <c r="D193" s="803"/>
      <c r="E193" s="803"/>
      <c r="F193" s="803"/>
      <c r="G193" s="803" t="s">
        <v>4476</v>
      </c>
      <c r="H193" s="794"/>
      <c r="I193" s="794"/>
      <c r="J193" s="794"/>
      <c r="K193" s="794"/>
      <c r="L193" s="794"/>
      <c r="M193" s="794"/>
      <c r="N193" s="794"/>
      <c r="O193" s="794"/>
      <c r="P193" s="794"/>
      <c r="Q193" s="794"/>
      <c r="R193" s="794"/>
      <c r="S193" s="794"/>
      <c r="T193" s="794"/>
    </row>
    <row r="194" spans="1:20" ht="15" customHeight="1" x14ac:dyDescent="0.35">
      <c r="A194" s="794" t="s">
        <v>4477</v>
      </c>
      <c r="B194" s="794" t="s">
        <v>3857</v>
      </c>
      <c r="C194" s="812" t="s">
        <v>3913</v>
      </c>
      <c r="D194" s="825"/>
      <c r="E194" s="825"/>
      <c r="F194" s="825">
        <v>1800000</v>
      </c>
      <c r="G194" s="814" t="s">
        <v>3858</v>
      </c>
      <c r="H194" s="813" t="s">
        <v>246</v>
      </c>
      <c r="I194" s="813" t="s">
        <v>4191</v>
      </c>
      <c r="J194" s="813" t="s">
        <v>4478</v>
      </c>
      <c r="K194" s="813" t="s">
        <v>3923</v>
      </c>
      <c r="L194" s="813" t="s">
        <v>3863</v>
      </c>
      <c r="M194" s="813" t="s">
        <v>3163</v>
      </c>
      <c r="N194" s="813" t="s">
        <v>4479</v>
      </c>
      <c r="O194" s="813" t="s">
        <v>4480</v>
      </c>
      <c r="P194" s="813" t="s">
        <v>4481</v>
      </c>
      <c r="Q194" s="813" t="s">
        <v>4482</v>
      </c>
      <c r="R194" s="813">
        <v>1</v>
      </c>
      <c r="S194" s="813" t="s">
        <v>3928</v>
      </c>
      <c r="T194" s="813" t="s">
        <v>4196</v>
      </c>
    </row>
    <row r="195" spans="1:20" ht="15" customHeight="1" x14ac:dyDescent="0.35">
      <c r="A195" s="794" t="s">
        <v>4477</v>
      </c>
      <c r="B195" s="794" t="s">
        <v>3857</v>
      </c>
      <c r="C195" s="812" t="s">
        <v>3913</v>
      </c>
      <c r="D195" s="825"/>
      <c r="E195" s="825"/>
      <c r="F195" s="825">
        <v>0</v>
      </c>
      <c r="G195" s="814" t="s">
        <v>3858</v>
      </c>
      <c r="H195" s="813" t="s">
        <v>246</v>
      </c>
      <c r="I195" s="813" t="s">
        <v>4191</v>
      </c>
      <c r="J195" s="813" t="s">
        <v>4478</v>
      </c>
      <c r="K195" s="813" t="s">
        <v>3923</v>
      </c>
      <c r="L195" s="813" t="s">
        <v>3863</v>
      </c>
      <c r="M195" s="813" t="s">
        <v>3163</v>
      </c>
      <c r="N195" s="813" t="s">
        <v>4483</v>
      </c>
      <c r="O195" s="813" t="s">
        <v>3883</v>
      </c>
      <c r="P195" s="813" t="s">
        <v>4484</v>
      </c>
      <c r="Q195" s="813" t="s">
        <v>4485</v>
      </c>
      <c r="R195" s="813">
        <v>1</v>
      </c>
      <c r="S195" s="813" t="s">
        <v>3928</v>
      </c>
      <c r="T195" s="813" t="s">
        <v>4196</v>
      </c>
    </row>
    <row r="196" spans="1:20" ht="15" customHeight="1" x14ac:dyDescent="0.35">
      <c r="A196" s="803" t="s">
        <v>4486</v>
      </c>
      <c r="B196" s="803"/>
      <c r="C196" s="803"/>
      <c r="D196" s="803"/>
      <c r="E196" s="803"/>
      <c r="F196" s="803"/>
      <c r="G196" s="803" t="s">
        <v>4487</v>
      </c>
      <c r="H196" s="794"/>
      <c r="I196" s="794"/>
      <c r="J196" s="794"/>
      <c r="K196" s="794"/>
      <c r="L196" s="794"/>
      <c r="M196" s="794"/>
      <c r="N196" s="794"/>
      <c r="O196" s="794"/>
      <c r="P196" s="794"/>
      <c r="Q196" s="794"/>
      <c r="R196" s="794"/>
      <c r="S196" s="794"/>
      <c r="T196" s="794"/>
    </row>
    <row r="197" spans="1:20" ht="15" customHeight="1" x14ac:dyDescent="0.35">
      <c r="A197" s="794" t="s">
        <v>4488</v>
      </c>
      <c r="B197" s="794" t="s">
        <v>3857</v>
      </c>
      <c r="C197" s="812" t="s">
        <v>3913</v>
      </c>
      <c r="D197" s="825"/>
      <c r="E197" s="825"/>
      <c r="F197" s="825">
        <v>36000000</v>
      </c>
      <c r="G197" s="814" t="s">
        <v>3858</v>
      </c>
      <c r="H197" s="813" t="s">
        <v>246</v>
      </c>
      <c r="I197" s="813" t="s">
        <v>4191</v>
      </c>
      <c r="J197" s="813" t="s">
        <v>4489</v>
      </c>
      <c r="K197" s="813" t="s">
        <v>3923</v>
      </c>
      <c r="L197" s="813" t="s">
        <v>3863</v>
      </c>
      <c r="M197" s="813" t="s">
        <v>3163</v>
      </c>
      <c r="N197" s="813" t="s">
        <v>4490</v>
      </c>
      <c r="O197" s="813" t="s">
        <v>4480</v>
      </c>
      <c r="P197" s="813" t="s">
        <v>4491</v>
      </c>
      <c r="Q197" s="813" t="s">
        <v>4492</v>
      </c>
      <c r="R197" s="813">
        <v>1</v>
      </c>
      <c r="S197" s="813" t="s">
        <v>3928</v>
      </c>
      <c r="T197" s="813" t="s">
        <v>4196</v>
      </c>
    </row>
    <row r="198" spans="1:20" ht="15" customHeight="1" x14ac:dyDescent="0.35">
      <c r="A198" s="794" t="s">
        <v>4493</v>
      </c>
      <c r="B198" s="794" t="s">
        <v>3857</v>
      </c>
      <c r="C198" s="812" t="s">
        <v>3913</v>
      </c>
      <c r="D198" s="825"/>
      <c r="E198" s="825"/>
      <c r="F198" s="825">
        <v>13500000</v>
      </c>
      <c r="G198" s="814" t="s">
        <v>3858</v>
      </c>
      <c r="H198" s="813" t="s">
        <v>246</v>
      </c>
      <c r="I198" s="813" t="s">
        <v>4191</v>
      </c>
      <c r="J198" s="813" t="s">
        <v>4489</v>
      </c>
      <c r="K198" s="813" t="s">
        <v>3923</v>
      </c>
      <c r="L198" s="813" t="s">
        <v>3863</v>
      </c>
      <c r="M198" s="813" t="s">
        <v>3163</v>
      </c>
      <c r="N198" s="813" t="s">
        <v>4494</v>
      </c>
      <c r="O198" s="813" t="s">
        <v>4480</v>
      </c>
      <c r="P198" s="813" t="s">
        <v>4495</v>
      </c>
      <c r="Q198" s="813" t="s">
        <v>4496</v>
      </c>
      <c r="R198" s="813">
        <v>1</v>
      </c>
      <c r="S198" s="813" t="s">
        <v>3928</v>
      </c>
      <c r="T198" s="813" t="s">
        <v>4196</v>
      </c>
    </row>
    <row r="199" spans="1:20" ht="15" customHeight="1" x14ac:dyDescent="0.35">
      <c r="A199" s="794" t="s">
        <v>4488</v>
      </c>
      <c r="B199" s="794" t="s">
        <v>3857</v>
      </c>
      <c r="C199" s="812" t="s">
        <v>3913</v>
      </c>
      <c r="D199" s="825"/>
      <c r="E199" s="825"/>
      <c r="F199" s="825">
        <v>0</v>
      </c>
      <c r="G199" s="814" t="s">
        <v>3858</v>
      </c>
      <c r="H199" s="813" t="s">
        <v>246</v>
      </c>
      <c r="I199" s="813" t="s">
        <v>4191</v>
      </c>
      <c r="J199" s="813" t="s">
        <v>4489</v>
      </c>
      <c r="K199" s="813" t="s">
        <v>3923</v>
      </c>
      <c r="L199" s="813" t="s">
        <v>3863</v>
      </c>
      <c r="M199" s="813" t="s">
        <v>3163</v>
      </c>
      <c r="N199" s="813" t="s">
        <v>4497</v>
      </c>
      <c r="O199" s="813" t="s">
        <v>3883</v>
      </c>
      <c r="P199" s="813" t="s">
        <v>4498</v>
      </c>
      <c r="Q199" s="813" t="s">
        <v>4499</v>
      </c>
      <c r="R199" s="813">
        <v>1</v>
      </c>
      <c r="S199" s="813" t="s">
        <v>3928</v>
      </c>
      <c r="T199" s="813" t="s">
        <v>4196</v>
      </c>
    </row>
    <row r="200" spans="1:20" ht="15" customHeight="1" x14ac:dyDescent="0.35">
      <c r="A200" s="794" t="s">
        <v>4500</v>
      </c>
      <c r="B200" s="794" t="s">
        <v>3857</v>
      </c>
      <c r="C200" s="812" t="s">
        <v>3913</v>
      </c>
      <c r="D200" s="825">
        <v>0</v>
      </c>
      <c r="E200" s="825">
        <v>0</v>
      </c>
      <c r="F200" s="825">
        <v>0</v>
      </c>
      <c r="G200" s="814" t="s">
        <v>3858</v>
      </c>
      <c r="H200" s="813" t="s">
        <v>246</v>
      </c>
      <c r="I200" s="813" t="s">
        <v>4191</v>
      </c>
      <c r="J200" s="813" t="s">
        <v>4489</v>
      </c>
      <c r="K200" s="813" t="s">
        <v>3923</v>
      </c>
      <c r="L200" s="813" t="s">
        <v>3863</v>
      </c>
      <c r="M200" s="813" t="s">
        <v>3163</v>
      </c>
      <c r="N200" s="813" t="s">
        <v>4501</v>
      </c>
      <c r="O200" s="813" t="s">
        <v>3925</v>
      </c>
      <c r="P200" s="813" t="s">
        <v>4502</v>
      </c>
      <c r="Q200" s="813" t="s">
        <v>4503</v>
      </c>
      <c r="R200" s="813">
        <v>3</v>
      </c>
      <c r="S200" s="813" t="s">
        <v>3928</v>
      </c>
      <c r="T200" s="813" t="s">
        <v>4196</v>
      </c>
    </row>
    <row r="201" spans="1:20" ht="15" customHeight="1" x14ac:dyDescent="0.35">
      <c r="A201" s="794" t="s">
        <v>4493</v>
      </c>
      <c r="B201" s="794" t="s">
        <v>3857</v>
      </c>
      <c r="C201" s="812" t="s">
        <v>3913</v>
      </c>
      <c r="D201" s="825"/>
      <c r="E201" s="825"/>
      <c r="F201" s="825">
        <v>0</v>
      </c>
      <c r="G201" s="814" t="s">
        <v>3858</v>
      </c>
      <c r="H201" s="813" t="s">
        <v>246</v>
      </c>
      <c r="I201" s="813" t="s">
        <v>4191</v>
      </c>
      <c r="J201" s="813" t="s">
        <v>4489</v>
      </c>
      <c r="K201" s="813" t="s">
        <v>3923</v>
      </c>
      <c r="L201" s="813" t="s">
        <v>3863</v>
      </c>
      <c r="M201" s="813" t="s">
        <v>3163</v>
      </c>
      <c r="N201" s="813" t="s">
        <v>4504</v>
      </c>
      <c r="O201" s="813" t="s">
        <v>3883</v>
      </c>
      <c r="P201" s="813" t="s">
        <v>4505</v>
      </c>
      <c r="Q201" s="813" t="s">
        <v>4506</v>
      </c>
      <c r="R201" s="813">
        <v>1</v>
      </c>
      <c r="S201" s="813" t="s">
        <v>3928</v>
      </c>
      <c r="T201" s="813" t="s">
        <v>4196</v>
      </c>
    </row>
    <row r="202" spans="1:20" ht="15" customHeight="1" x14ac:dyDescent="0.35">
      <c r="A202" s="794" t="s">
        <v>4507</v>
      </c>
      <c r="B202" s="794" t="s">
        <v>3857</v>
      </c>
      <c r="C202" s="812" t="s">
        <v>3913</v>
      </c>
      <c r="D202" s="825">
        <v>86538.461538461503</v>
      </c>
      <c r="E202" s="825">
        <v>56250</v>
      </c>
      <c r="F202" s="825">
        <v>150000</v>
      </c>
      <c r="G202" s="814" t="s">
        <v>3858</v>
      </c>
      <c r="H202" s="813" t="s">
        <v>246</v>
      </c>
      <c r="I202" s="813" t="s">
        <v>4191</v>
      </c>
      <c r="J202" s="813" t="s">
        <v>4489</v>
      </c>
      <c r="K202" s="813" t="s">
        <v>3923</v>
      </c>
      <c r="L202" s="813" t="s">
        <v>3863</v>
      </c>
      <c r="M202" s="813" t="s">
        <v>3163</v>
      </c>
      <c r="N202" s="813" t="s">
        <v>4508</v>
      </c>
      <c r="O202" s="813" t="s">
        <v>3925</v>
      </c>
      <c r="P202" s="813" t="s">
        <v>4509</v>
      </c>
      <c r="Q202" s="813" t="s">
        <v>4510</v>
      </c>
      <c r="R202" s="813">
        <v>3</v>
      </c>
      <c r="S202" s="813" t="s">
        <v>3928</v>
      </c>
      <c r="T202" s="813" t="s">
        <v>4196</v>
      </c>
    </row>
    <row r="203" spans="1:20" ht="15" customHeight="1" x14ac:dyDescent="0.35">
      <c r="A203" s="794" t="s">
        <v>4511</v>
      </c>
      <c r="B203" s="794" t="s">
        <v>3857</v>
      </c>
      <c r="C203" s="812" t="s">
        <v>3913</v>
      </c>
      <c r="D203" s="825">
        <v>288461.53846153797</v>
      </c>
      <c r="E203" s="825">
        <v>187500</v>
      </c>
      <c r="F203" s="825">
        <v>175000</v>
      </c>
      <c r="G203" s="814" t="s">
        <v>3858</v>
      </c>
      <c r="H203" s="813" t="s">
        <v>246</v>
      </c>
      <c r="I203" s="813" t="s">
        <v>4191</v>
      </c>
      <c r="J203" s="813" t="s">
        <v>4489</v>
      </c>
      <c r="K203" s="813" t="s">
        <v>3923</v>
      </c>
      <c r="L203" s="813" t="s">
        <v>3863</v>
      </c>
      <c r="M203" s="813" t="s">
        <v>3163</v>
      </c>
      <c r="N203" s="813" t="s">
        <v>4512</v>
      </c>
      <c r="O203" s="813" t="s">
        <v>3925</v>
      </c>
      <c r="P203" s="813" t="s">
        <v>4513</v>
      </c>
      <c r="Q203" s="813" t="s">
        <v>4514</v>
      </c>
      <c r="R203" s="813">
        <v>3</v>
      </c>
      <c r="S203" s="813" t="s">
        <v>3928</v>
      </c>
      <c r="T203" s="813" t="s">
        <v>4196</v>
      </c>
    </row>
    <row r="204" spans="1:20" ht="15" customHeight="1" x14ac:dyDescent="0.35">
      <c r="A204" s="803" t="s">
        <v>4515</v>
      </c>
      <c r="B204" s="803"/>
      <c r="C204" s="803"/>
      <c r="D204" s="803"/>
      <c r="E204" s="803"/>
      <c r="F204" s="803"/>
      <c r="G204" s="803" t="s">
        <v>4476</v>
      </c>
      <c r="H204" s="794"/>
      <c r="I204" s="794"/>
      <c r="J204" s="794"/>
      <c r="K204" s="794"/>
      <c r="L204" s="794"/>
      <c r="M204" s="794"/>
      <c r="N204" s="794"/>
      <c r="O204" s="794"/>
      <c r="P204" s="794"/>
      <c r="Q204" s="794"/>
      <c r="R204" s="794"/>
      <c r="S204" s="794"/>
      <c r="T204" s="794"/>
    </row>
    <row r="205" spans="1:20" ht="15" customHeight="1" x14ac:dyDescent="0.35">
      <c r="A205" s="794" t="s">
        <v>4516</v>
      </c>
      <c r="B205" s="794" t="s">
        <v>3857</v>
      </c>
      <c r="C205" s="812" t="s">
        <v>3913</v>
      </c>
      <c r="D205" s="825"/>
      <c r="E205" s="825"/>
      <c r="F205" s="825">
        <v>5000000</v>
      </c>
      <c r="G205" s="814" t="s">
        <v>3858</v>
      </c>
      <c r="H205" s="813" t="s">
        <v>246</v>
      </c>
      <c r="I205" s="813" t="s">
        <v>4191</v>
      </c>
      <c r="J205" s="813" t="s">
        <v>4517</v>
      </c>
      <c r="K205" s="813" t="s">
        <v>3923</v>
      </c>
      <c r="L205" s="813" t="s">
        <v>3863</v>
      </c>
      <c r="M205" s="813" t="s">
        <v>3163</v>
      </c>
      <c r="N205" s="813" t="s">
        <v>4518</v>
      </c>
      <c r="O205" s="813" t="s">
        <v>4480</v>
      </c>
      <c r="P205" s="813" t="s">
        <v>4519</v>
      </c>
      <c r="Q205" s="813" t="s">
        <v>4520</v>
      </c>
      <c r="R205" s="813">
        <v>1</v>
      </c>
      <c r="S205" s="813" t="s">
        <v>3928</v>
      </c>
      <c r="T205" s="813" t="s">
        <v>4196</v>
      </c>
    </row>
    <row r="206" spans="1:20" ht="15" customHeight="1" x14ac:dyDescent="0.35">
      <c r="A206" s="794" t="s">
        <v>4516</v>
      </c>
      <c r="B206" s="794" t="s">
        <v>3857</v>
      </c>
      <c r="C206" s="812" t="s">
        <v>3913</v>
      </c>
      <c r="D206" s="825"/>
      <c r="E206" s="825"/>
      <c r="F206" s="825">
        <v>0</v>
      </c>
      <c r="G206" s="814" t="s">
        <v>3858</v>
      </c>
      <c r="H206" s="813" t="s">
        <v>246</v>
      </c>
      <c r="I206" s="813" t="s">
        <v>4191</v>
      </c>
      <c r="J206" s="813" t="s">
        <v>4517</v>
      </c>
      <c r="K206" s="813" t="s">
        <v>3923</v>
      </c>
      <c r="L206" s="813" t="s">
        <v>3863</v>
      </c>
      <c r="M206" s="813" t="s">
        <v>3163</v>
      </c>
      <c r="N206" s="813" t="s">
        <v>4521</v>
      </c>
      <c r="O206" s="813" t="s">
        <v>3883</v>
      </c>
      <c r="P206" s="813" t="s">
        <v>4522</v>
      </c>
      <c r="Q206" s="813" t="s">
        <v>4523</v>
      </c>
      <c r="R206" s="813">
        <v>1</v>
      </c>
      <c r="S206" s="813" t="s">
        <v>3928</v>
      </c>
      <c r="T206" s="813" t="s">
        <v>4196</v>
      </c>
    </row>
    <row r="207" spans="1:20" ht="15" customHeight="1" x14ac:dyDescent="0.35">
      <c r="A207" s="803" t="s">
        <v>4524</v>
      </c>
      <c r="B207" s="803"/>
      <c r="C207" s="803"/>
      <c r="D207" s="803"/>
      <c r="E207" s="803"/>
      <c r="F207" s="803"/>
      <c r="G207" s="803" t="s">
        <v>4525</v>
      </c>
      <c r="H207" s="794"/>
      <c r="I207" s="794"/>
      <c r="J207" s="794"/>
      <c r="K207" s="794"/>
      <c r="L207" s="794"/>
      <c r="M207" s="794"/>
      <c r="N207" s="794"/>
      <c r="O207" s="794"/>
      <c r="P207" s="794"/>
      <c r="Q207" s="794"/>
      <c r="R207" s="794"/>
      <c r="S207" s="794"/>
      <c r="T207" s="794"/>
    </row>
    <row r="208" spans="1:20" ht="15" customHeight="1" x14ac:dyDescent="0.35">
      <c r="A208" s="794" t="s">
        <v>4526</v>
      </c>
      <c r="B208" s="794" t="s">
        <v>3857</v>
      </c>
      <c r="C208" s="812" t="s">
        <v>3913</v>
      </c>
      <c r="D208" s="825"/>
      <c r="E208" s="825"/>
      <c r="F208" s="825">
        <v>4250000</v>
      </c>
      <c r="G208" s="814" t="s">
        <v>3858</v>
      </c>
      <c r="H208" s="813" t="s">
        <v>246</v>
      </c>
      <c r="I208" s="813" t="s">
        <v>4191</v>
      </c>
      <c r="J208" s="813" t="s">
        <v>4527</v>
      </c>
      <c r="K208" s="813" t="s">
        <v>3923</v>
      </c>
      <c r="L208" s="813" t="s">
        <v>3863</v>
      </c>
      <c r="M208" s="813" t="s">
        <v>3163</v>
      </c>
      <c r="N208" s="813" t="s">
        <v>4528</v>
      </c>
      <c r="O208" s="813" t="s">
        <v>4264</v>
      </c>
      <c r="P208" s="813" t="s">
        <v>4529</v>
      </c>
      <c r="Q208" s="813" t="s">
        <v>4530</v>
      </c>
      <c r="R208" s="813">
        <v>1</v>
      </c>
      <c r="S208" s="813" t="s">
        <v>3928</v>
      </c>
      <c r="T208" s="813" t="s">
        <v>4196</v>
      </c>
    </row>
    <row r="209" spans="1:20" ht="15" customHeight="1" x14ac:dyDescent="0.35">
      <c r="A209" s="794" t="s">
        <v>4531</v>
      </c>
      <c r="B209" s="794" t="s">
        <v>3857</v>
      </c>
      <c r="C209" s="812" t="s">
        <v>3913</v>
      </c>
      <c r="D209" s="825">
        <v>6730769.2307692301</v>
      </c>
      <c r="E209" s="825">
        <v>4375000</v>
      </c>
      <c r="F209" s="825">
        <v>3500000</v>
      </c>
      <c r="G209" s="814" t="s">
        <v>3858</v>
      </c>
      <c r="H209" s="813" t="s">
        <v>246</v>
      </c>
      <c r="I209" s="813" t="s">
        <v>4191</v>
      </c>
      <c r="J209" s="813" t="s">
        <v>4527</v>
      </c>
      <c r="K209" s="813" t="s">
        <v>3923</v>
      </c>
      <c r="L209" s="813" t="s">
        <v>3863</v>
      </c>
      <c r="M209" s="813" t="s">
        <v>3163</v>
      </c>
      <c r="N209" s="813" t="s">
        <v>4532</v>
      </c>
      <c r="O209" s="813" t="s">
        <v>3925</v>
      </c>
      <c r="P209" s="813" t="s">
        <v>4533</v>
      </c>
      <c r="Q209" s="813" t="s">
        <v>4534</v>
      </c>
      <c r="R209" s="813">
        <v>3</v>
      </c>
      <c r="S209" s="813" t="s">
        <v>3928</v>
      </c>
      <c r="T209" s="813" t="s">
        <v>4196</v>
      </c>
    </row>
    <row r="210" spans="1:20" ht="15" customHeight="1" x14ac:dyDescent="0.35">
      <c r="A210" s="803" t="s">
        <v>4535</v>
      </c>
      <c r="B210" s="803"/>
      <c r="C210" s="803"/>
      <c r="D210" s="803"/>
      <c r="E210" s="803"/>
      <c r="F210" s="803"/>
      <c r="G210" s="803" t="s">
        <v>4536</v>
      </c>
      <c r="H210" s="794"/>
      <c r="I210" s="794"/>
      <c r="J210" s="794"/>
      <c r="K210" s="794"/>
      <c r="L210" s="794"/>
      <c r="M210" s="794"/>
      <c r="N210" s="794"/>
      <c r="O210" s="794"/>
      <c r="P210" s="794"/>
      <c r="Q210" s="794"/>
      <c r="R210" s="794"/>
      <c r="S210" s="794"/>
      <c r="T210" s="794"/>
    </row>
    <row r="211" spans="1:20" ht="15" customHeight="1" x14ac:dyDescent="0.35">
      <c r="A211" s="794" t="s">
        <v>4537</v>
      </c>
      <c r="B211" s="794" t="s">
        <v>3857</v>
      </c>
      <c r="C211" s="812" t="s">
        <v>3913</v>
      </c>
      <c r="D211" s="825"/>
      <c r="E211" s="825"/>
      <c r="F211" s="825">
        <v>800000</v>
      </c>
      <c r="G211" s="814" t="s">
        <v>3858</v>
      </c>
      <c r="H211" s="813" t="s">
        <v>246</v>
      </c>
      <c r="I211" s="813" t="s">
        <v>4191</v>
      </c>
      <c r="J211" s="813" t="s">
        <v>4538</v>
      </c>
      <c r="K211" s="813" t="s">
        <v>3923</v>
      </c>
      <c r="L211" s="813" t="s">
        <v>3863</v>
      </c>
      <c r="M211" s="813" t="s">
        <v>3163</v>
      </c>
      <c r="N211" s="813" t="s">
        <v>4539</v>
      </c>
      <c r="O211" s="813" t="s">
        <v>4264</v>
      </c>
      <c r="P211" s="813" t="s">
        <v>4540</v>
      </c>
      <c r="Q211" s="813" t="s">
        <v>4541</v>
      </c>
      <c r="R211" s="813">
        <v>1</v>
      </c>
      <c r="S211" s="813" t="s">
        <v>3928</v>
      </c>
      <c r="T211" s="813" t="s">
        <v>4196</v>
      </c>
    </row>
    <row r="212" spans="1:20" ht="15" customHeight="1" x14ac:dyDescent="0.35">
      <c r="A212" s="794" t="s">
        <v>4542</v>
      </c>
      <c r="B212" s="794" t="s">
        <v>3857</v>
      </c>
      <c r="C212" s="812" t="s">
        <v>3913</v>
      </c>
      <c r="D212" s="825">
        <v>2884615.3846153901</v>
      </c>
      <c r="E212" s="825">
        <v>1875000</v>
      </c>
      <c r="F212" s="825">
        <v>1500000</v>
      </c>
      <c r="G212" s="814" t="s">
        <v>3858</v>
      </c>
      <c r="H212" s="813" t="s">
        <v>246</v>
      </c>
      <c r="I212" s="813" t="s">
        <v>4191</v>
      </c>
      <c r="J212" s="813" t="s">
        <v>4538</v>
      </c>
      <c r="K212" s="813" t="s">
        <v>3923</v>
      </c>
      <c r="L212" s="813" t="s">
        <v>3863</v>
      </c>
      <c r="M212" s="813" t="s">
        <v>3163</v>
      </c>
      <c r="N212" s="813" t="s">
        <v>4543</v>
      </c>
      <c r="O212" s="813" t="s">
        <v>3925</v>
      </c>
      <c r="P212" s="813" t="s">
        <v>4544</v>
      </c>
      <c r="Q212" s="813" t="s">
        <v>4545</v>
      </c>
      <c r="R212" s="813">
        <v>3</v>
      </c>
      <c r="S212" s="813" t="s">
        <v>3928</v>
      </c>
      <c r="T212" s="813" t="s">
        <v>4196</v>
      </c>
    </row>
    <row r="213" spans="1:20" ht="15" customHeight="1" x14ac:dyDescent="0.35">
      <c r="A213" s="794" t="s">
        <v>4546</v>
      </c>
      <c r="B213" s="794" t="s">
        <v>3857</v>
      </c>
      <c r="C213" s="812" t="s">
        <v>3913</v>
      </c>
      <c r="D213" s="825">
        <v>480769.23076923098</v>
      </c>
      <c r="E213" s="825">
        <v>312500</v>
      </c>
      <c r="F213" s="825">
        <v>250000</v>
      </c>
      <c r="G213" s="814" t="s">
        <v>3858</v>
      </c>
      <c r="H213" s="813" t="s">
        <v>246</v>
      </c>
      <c r="I213" s="813" t="s">
        <v>4191</v>
      </c>
      <c r="J213" s="813" t="s">
        <v>4538</v>
      </c>
      <c r="K213" s="813" t="s">
        <v>3923</v>
      </c>
      <c r="L213" s="813" t="s">
        <v>3863</v>
      </c>
      <c r="M213" s="813" t="s">
        <v>3163</v>
      </c>
      <c r="N213" s="813" t="s">
        <v>4547</v>
      </c>
      <c r="O213" s="813" t="s">
        <v>3925</v>
      </c>
      <c r="P213" s="813" t="s">
        <v>4548</v>
      </c>
      <c r="Q213" s="813" t="s">
        <v>4549</v>
      </c>
      <c r="R213" s="813">
        <v>3</v>
      </c>
      <c r="S213" s="813" t="s">
        <v>3928</v>
      </c>
      <c r="T213" s="813" t="s">
        <v>4196</v>
      </c>
    </row>
    <row r="214" spans="1:20" ht="15" customHeight="1" x14ac:dyDescent="0.35">
      <c r="A214" s="794" t="s">
        <v>4550</v>
      </c>
      <c r="B214" s="794" t="s">
        <v>3857</v>
      </c>
      <c r="C214" s="812" t="s">
        <v>3913</v>
      </c>
      <c r="D214" s="825">
        <v>480769.23076923098</v>
      </c>
      <c r="E214" s="825">
        <v>312500</v>
      </c>
      <c r="F214" s="825">
        <v>250000</v>
      </c>
      <c r="G214" s="814" t="s">
        <v>3858</v>
      </c>
      <c r="H214" s="813" t="s">
        <v>246</v>
      </c>
      <c r="I214" s="813" t="s">
        <v>4191</v>
      </c>
      <c r="J214" s="813" t="s">
        <v>4538</v>
      </c>
      <c r="K214" s="813" t="s">
        <v>3923</v>
      </c>
      <c r="L214" s="813" t="s">
        <v>3863</v>
      </c>
      <c r="M214" s="813" t="s">
        <v>3163</v>
      </c>
      <c r="N214" s="813" t="s">
        <v>4551</v>
      </c>
      <c r="O214" s="813" t="s">
        <v>3925</v>
      </c>
      <c r="P214" s="813" t="s">
        <v>4552</v>
      </c>
      <c r="Q214" s="813" t="s">
        <v>4553</v>
      </c>
      <c r="R214" s="813">
        <v>3</v>
      </c>
      <c r="S214" s="813" t="s">
        <v>3928</v>
      </c>
      <c r="T214" s="813" t="s">
        <v>4196</v>
      </c>
    </row>
    <row r="215" spans="1:20" ht="15" customHeight="1" x14ac:dyDescent="0.35">
      <c r="A215" s="794" t="s">
        <v>4554</v>
      </c>
      <c r="B215" s="794" t="s">
        <v>3857</v>
      </c>
      <c r="C215" s="812" t="s">
        <v>3913</v>
      </c>
      <c r="D215" s="825">
        <v>240384.615384615</v>
      </c>
      <c r="E215" s="825">
        <v>156250</v>
      </c>
      <c r="F215" s="825">
        <v>125000</v>
      </c>
      <c r="G215" s="814" t="s">
        <v>3858</v>
      </c>
      <c r="H215" s="813" t="s">
        <v>246</v>
      </c>
      <c r="I215" s="813" t="s">
        <v>4191</v>
      </c>
      <c r="J215" s="813" t="s">
        <v>4538</v>
      </c>
      <c r="K215" s="813" t="s">
        <v>3923</v>
      </c>
      <c r="L215" s="813" t="s">
        <v>3863</v>
      </c>
      <c r="M215" s="813" t="s">
        <v>3163</v>
      </c>
      <c r="N215" s="813" t="s">
        <v>4555</v>
      </c>
      <c r="O215" s="813" t="s">
        <v>3925</v>
      </c>
      <c r="P215" s="813" t="s">
        <v>4556</v>
      </c>
      <c r="Q215" s="813" t="s">
        <v>4557</v>
      </c>
      <c r="R215" s="813">
        <v>3</v>
      </c>
      <c r="S215" s="813" t="s">
        <v>3928</v>
      </c>
      <c r="T215" s="813" t="s">
        <v>4196</v>
      </c>
    </row>
    <row r="216" spans="1:20" ht="15" customHeight="1" x14ac:dyDescent="0.35">
      <c r="A216" s="794" t="s">
        <v>4558</v>
      </c>
      <c r="B216" s="794" t="s">
        <v>3857</v>
      </c>
      <c r="C216" s="812" t="s">
        <v>3913</v>
      </c>
      <c r="D216" s="825">
        <v>673076.92307692301</v>
      </c>
      <c r="E216" s="825">
        <v>437500</v>
      </c>
      <c r="F216" s="825">
        <v>350000</v>
      </c>
      <c r="G216" s="814" t="s">
        <v>3858</v>
      </c>
      <c r="H216" s="813" t="s">
        <v>246</v>
      </c>
      <c r="I216" s="813" t="s">
        <v>4191</v>
      </c>
      <c r="J216" s="813" t="s">
        <v>4538</v>
      </c>
      <c r="K216" s="813" t="s">
        <v>3923</v>
      </c>
      <c r="L216" s="813" t="s">
        <v>3863</v>
      </c>
      <c r="M216" s="813" t="s">
        <v>3163</v>
      </c>
      <c r="N216" s="813" t="s">
        <v>4559</v>
      </c>
      <c r="O216" s="813" t="s">
        <v>3925</v>
      </c>
      <c r="P216" s="813" t="s">
        <v>4560</v>
      </c>
      <c r="Q216" s="813" t="s">
        <v>4561</v>
      </c>
      <c r="R216" s="813">
        <v>3</v>
      </c>
      <c r="S216" s="813" t="s">
        <v>3928</v>
      </c>
      <c r="T216" s="813" t="s">
        <v>4196</v>
      </c>
    </row>
    <row r="217" spans="1:20" ht="15" customHeight="1" x14ac:dyDescent="0.35">
      <c r="A217" s="794" t="s">
        <v>4562</v>
      </c>
      <c r="B217" s="794" t="s">
        <v>3857</v>
      </c>
      <c r="C217" s="812" t="s">
        <v>3913</v>
      </c>
      <c r="D217" s="825">
        <v>1442307.6923076899</v>
      </c>
      <c r="E217" s="825">
        <v>937500</v>
      </c>
      <c r="F217" s="825">
        <v>750000</v>
      </c>
      <c r="G217" s="814" t="s">
        <v>3858</v>
      </c>
      <c r="H217" s="813" t="s">
        <v>246</v>
      </c>
      <c r="I217" s="813" t="s">
        <v>4191</v>
      </c>
      <c r="J217" s="813" t="s">
        <v>4538</v>
      </c>
      <c r="K217" s="813" t="s">
        <v>3923</v>
      </c>
      <c r="L217" s="813" t="s">
        <v>3863</v>
      </c>
      <c r="M217" s="813" t="s">
        <v>3163</v>
      </c>
      <c r="N217" s="813" t="s">
        <v>4563</v>
      </c>
      <c r="O217" s="813" t="s">
        <v>3925</v>
      </c>
      <c r="P217" s="813" t="s">
        <v>4564</v>
      </c>
      <c r="Q217" s="813" t="s">
        <v>4565</v>
      </c>
      <c r="R217" s="813">
        <v>3</v>
      </c>
      <c r="S217" s="813" t="s">
        <v>3928</v>
      </c>
      <c r="T217" s="813" t="s">
        <v>4196</v>
      </c>
    </row>
    <row r="218" spans="1:20" ht="15" customHeight="1" x14ac:dyDescent="0.35">
      <c r="A218" s="794" t="s">
        <v>4566</v>
      </c>
      <c r="B218" s="794" t="s">
        <v>3857</v>
      </c>
      <c r="C218" s="812" t="s">
        <v>3913</v>
      </c>
      <c r="D218" s="825">
        <v>480769.23076923098</v>
      </c>
      <c r="E218" s="825">
        <v>312500</v>
      </c>
      <c r="F218" s="825">
        <v>250000</v>
      </c>
      <c r="G218" s="814" t="s">
        <v>3858</v>
      </c>
      <c r="H218" s="813" t="s">
        <v>246</v>
      </c>
      <c r="I218" s="813" t="s">
        <v>4191</v>
      </c>
      <c r="J218" s="813" t="s">
        <v>4538</v>
      </c>
      <c r="K218" s="813" t="s">
        <v>3923</v>
      </c>
      <c r="L218" s="813" t="s">
        <v>3863</v>
      </c>
      <c r="M218" s="813" t="s">
        <v>3163</v>
      </c>
      <c r="N218" s="813" t="s">
        <v>4567</v>
      </c>
      <c r="O218" s="813" t="s">
        <v>3925</v>
      </c>
      <c r="P218" s="813" t="s">
        <v>4568</v>
      </c>
      <c r="Q218" s="813" t="s">
        <v>4569</v>
      </c>
      <c r="R218" s="813">
        <v>3</v>
      </c>
      <c r="S218" s="813" t="s">
        <v>3928</v>
      </c>
      <c r="T218" s="813" t="s">
        <v>4196</v>
      </c>
    </row>
    <row r="219" spans="1:20" ht="15" customHeight="1" x14ac:dyDescent="0.35">
      <c r="A219" s="794" t="s">
        <v>4570</v>
      </c>
      <c r="B219" s="794" t="s">
        <v>3857</v>
      </c>
      <c r="C219" s="812" t="s">
        <v>3913</v>
      </c>
      <c r="D219" s="825">
        <v>480769.23076923098</v>
      </c>
      <c r="E219" s="825">
        <v>312500</v>
      </c>
      <c r="F219" s="825">
        <v>250000</v>
      </c>
      <c r="G219" s="814" t="s">
        <v>3858</v>
      </c>
      <c r="H219" s="813" t="s">
        <v>246</v>
      </c>
      <c r="I219" s="813" t="s">
        <v>4191</v>
      </c>
      <c r="J219" s="813" t="s">
        <v>4538</v>
      </c>
      <c r="K219" s="813" t="s">
        <v>3923</v>
      </c>
      <c r="L219" s="813" t="s">
        <v>3863</v>
      </c>
      <c r="M219" s="813" t="s">
        <v>3163</v>
      </c>
      <c r="N219" s="813" t="s">
        <v>4571</v>
      </c>
      <c r="O219" s="813" t="s">
        <v>3925</v>
      </c>
      <c r="P219" s="813" t="s">
        <v>4572</v>
      </c>
      <c r="Q219" s="813" t="s">
        <v>4573</v>
      </c>
      <c r="R219" s="813">
        <v>3</v>
      </c>
      <c r="S219" s="813" t="s">
        <v>3928</v>
      </c>
      <c r="T219" s="813" t="s">
        <v>4196</v>
      </c>
    </row>
    <row r="220" spans="1:20" ht="15" customHeight="1" x14ac:dyDescent="0.35">
      <c r="A220" s="794" t="s">
        <v>4574</v>
      </c>
      <c r="B220" s="794" t="s">
        <v>3857</v>
      </c>
      <c r="C220" s="812" t="s">
        <v>3913</v>
      </c>
      <c r="D220" s="825">
        <v>480769.23076923098</v>
      </c>
      <c r="E220" s="825">
        <v>312500</v>
      </c>
      <c r="F220" s="825">
        <v>250000</v>
      </c>
      <c r="G220" s="814" t="s">
        <v>3858</v>
      </c>
      <c r="H220" s="813" t="s">
        <v>246</v>
      </c>
      <c r="I220" s="813" t="s">
        <v>4191</v>
      </c>
      <c r="J220" s="813" t="s">
        <v>4538</v>
      </c>
      <c r="K220" s="813" t="s">
        <v>3923</v>
      </c>
      <c r="L220" s="813" t="s">
        <v>3863</v>
      </c>
      <c r="M220" s="813" t="s">
        <v>3163</v>
      </c>
      <c r="N220" s="813" t="s">
        <v>4575</v>
      </c>
      <c r="O220" s="813" t="s">
        <v>3925</v>
      </c>
      <c r="P220" s="813" t="s">
        <v>4576</v>
      </c>
      <c r="Q220" s="813" t="s">
        <v>4577</v>
      </c>
      <c r="R220" s="813">
        <v>3</v>
      </c>
      <c r="S220" s="813" t="s">
        <v>3928</v>
      </c>
      <c r="T220" s="813" t="s">
        <v>4196</v>
      </c>
    </row>
    <row r="221" spans="1:20" ht="15" customHeight="1" x14ac:dyDescent="0.35">
      <c r="A221" s="794" t="s">
        <v>4578</v>
      </c>
      <c r="B221" s="794" t="s">
        <v>3857</v>
      </c>
      <c r="C221" s="812" t="s">
        <v>3913</v>
      </c>
      <c r="D221" s="825">
        <v>480769.23076923098</v>
      </c>
      <c r="E221" s="825">
        <v>312500</v>
      </c>
      <c r="F221" s="825">
        <v>250000</v>
      </c>
      <c r="G221" s="814" t="s">
        <v>3858</v>
      </c>
      <c r="H221" s="813" t="s">
        <v>246</v>
      </c>
      <c r="I221" s="813" t="s">
        <v>4191</v>
      </c>
      <c r="J221" s="813" t="s">
        <v>4538</v>
      </c>
      <c r="K221" s="813" t="s">
        <v>3923</v>
      </c>
      <c r="L221" s="813" t="s">
        <v>3863</v>
      </c>
      <c r="M221" s="813" t="s">
        <v>3163</v>
      </c>
      <c r="N221" s="813" t="s">
        <v>4579</v>
      </c>
      <c r="O221" s="813" t="s">
        <v>3925</v>
      </c>
      <c r="P221" s="813" t="s">
        <v>4580</v>
      </c>
      <c r="Q221" s="813" t="s">
        <v>4581</v>
      </c>
      <c r="R221" s="813">
        <v>3</v>
      </c>
      <c r="S221" s="813" t="s">
        <v>3928</v>
      </c>
      <c r="T221" s="813" t="s">
        <v>4196</v>
      </c>
    </row>
    <row r="222" spans="1:20" ht="15" customHeight="1" x14ac:dyDescent="0.35">
      <c r="A222" s="794" t="s">
        <v>4582</v>
      </c>
      <c r="B222" s="794" t="s">
        <v>3857</v>
      </c>
      <c r="C222" s="812" t="s">
        <v>3913</v>
      </c>
      <c r="D222" s="825">
        <v>865384.61538461503</v>
      </c>
      <c r="E222" s="825">
        <v>562500</v>
      </c>
      <c r="F222" s="825">
        <v>450000</v>
      </c>
      <c r="G222" s="814" t="s">
        <v>3858</v>
      </c>
      <c r="H222" s="813" t="s">
        <v>246</v>
      </c>
      <c r="I222" s="813" t="s">
        <v>4191</v>
      </c>
      <c r="J222" s="813" t="s">
        <v>4538</v>
      </c>
      <c r="K222" s="813" t="s">
        <v>3923</v>
      </c>
      <c r="L222" s="813" t="s">
        <v>3863</v>
      </c>
      <c r="M222" s="813" t="s">
        <v>3163</v>
      </c>
      <c r="N222" s="813" t="s">
        <v>4583</v>
      </c>
      <c r="O222" s="813" t="s">
        <v>3925</v>
      </c>
      <c r="P222" s="813" t="s">
        <v>4584</v>
      </c>
      <c r="Q222" s="813" t="s">
        <v>4585</v>
      </c>
      <c r="R222" s="813">
        <v>3</v>
      </c>
      <c r="S222" s="813" t="s">
        <v>3928</v>
      </c>
      <c r="T222" s="813" t="s">
        <v>4196</v>
      </c>
    </row>
    <row r="223" spans="1:20" ht="15" customHeight="1" x14ac:dyDescent="0.35">
      <c r="A223" s="794" t="s">
        <v>4586</v>
      </c>
      <c r="B223" s="794" t="s">
        <v>3857</v>
      </c>
      <c r="C223" s="812" t="s">
        <v>3913</v>
      </c>
      <c r="D223" s="825">
        <v>865384.61538461503</v>
      </c>
      <c r="E223" s="825">
        <v>562500</v>
      </c>
      <c r="F223" s="825">
        <v>450000</v>
      </c>
      <c r="G223" s="814" t="s">
        <v>3858</v>
      </c>
      <c r="H223" s="813" t="s">
        <v>246</v>
      </c>
      <c r="I223" s="813" t="s">
        <v>4191</v>
      </c>
      <c r="J223" s="813" t="s">
        <v>4538</v>
      </c>
      <c r="K223" s="813" t="s">
        <v>3923</v>
      </c>
      <c r="L223" s="813" t="s">
        <v>3863</v>
      </c>
      <c r="M223" s="813" t="s">
        <v>3163</v>
      </c>
      <c r="N223" s="813" t="s">
        <v>4587</v>
      </c>
      <c r="O223" s="813" t="s">
        <v>3925</v>
      </c>
      <c r="P223" s="813" t="s">
        <v>4588</v>
      </c>
      <c r="Q223" s="813" t="s">
        <v>4589</v>
      </c>
      <c r="R223" s="813">
        <v>3</v>
      </c>
      <c r="S223" s="813" t="s">
        <v>3928</v>
      </c>
      <c r="T223" s="813" t="s">
        <v>4196</v>
      </c>
    </row>
    <row r="224" spans="1:20" ht="15" customHeight="1" x14ac:dyDescent="0.35">
      <c r="A224" s="794" t="s">
        <v>4590</v>
      </c>
      <c r="B224" s="794" t="s">
        <v>3857</v>
      </c>
      <c r="C224" s="812" t="s">
        <v>3913</v>
      </c>
      <c r="D224" s="825">
        <v>865384.61538461503</v>
      </c>
      <c r="E224" s="825">
        <v>562500</v>
      </c>
      <c r="F224" s="825">
        <v>450000</v>
      </c>
      <c r="G224" s="814" t="s">
        <v>3858</v>
      </c>
      <c r="H224" s="813" t="s">
        <v>246</v>
      </c>
      <c r="I224" s="813" t="s">
        <v>4191</v>
      </c>
      <c r="J224" s="813" t="s">
        <v>4538</v>
      </c>
      <c r="K224" s="813" t="s">
        <v>3923</v>
      </c>
      <c r="L224" s="813" t="s">
        <v>3863</v>
      </c>
      <c r="M224" s="813" t="s">
        <v>3163</v>
      </c>
      <c r="N224" s="813" t="s">
        <v>4591</v>
      </c>
      <c r="O224" s="813" t="s">
        <v>3925</v>
      </c>
      <c r="P224" s="813" t="s">
        <v>4592</v>
      </c>
      <c r="Q224" s="813" t="s">
        <v>4593</v>
      </c>
      <c r="R224" s="813">
        <v>3</v>
      </c>
      <c r="S224" s="813" t="s">
        <v>3928</v>
      </c>
      <c r="T224" s="813" t="s">
        <v>4196</v>
      </c>
    </row>
    <row r="225" spans="1:20" ht="15" customHeight="1" x14ac:dyDescent="0.35">
      <c r="A225" s="794" t="s">
        <v>4594</v>
      </c>
      <c r="B225" s="794" t="s">
        <v>3857</v>
      </c>
      <c r="C225" s="812" t="s">
        <v>3913</v>
      </c>
      <c r="D225" s="825">
        <v>288461.53846153797</v>
      </c>
      <c r="E225" s="825">
        <v>187500</v>
      </c>
      <c r="F225" s="825">
        <v>150000</v>
      </c>
      <c r="G225" s="814" t="s">
        <v>3858</v>
      </c>
      <c r="H225" s="813" t="s">
        <v>246</v>
      </c>
      <c r="I225" s="813" t="s">
        <v>4191</v>
      </c>
      <c r="J225" s="813" t="s">
        <v>4538</v>
      </c>
      <c r="K225" s="813" t="s">
        <v>3923</v>
      </c>
      <c r="L225" s="813" t="s">
        <v>3863</v>
      </c>
      <c r="M225" s="813" t="s">
        <v>3163</v>
      </c>
      <c r="N225" s="813" t="s">
        <v>4595</v>
      </c>
      <c r="O225" s="813" t="s">
        <v>3925</v>
      </c>
      <c r="P225" s="813" t="s">
        <v>4596</v>
      </c>
      <c r="Q225" s="813" t="s">
        <v>4597</v>
      </c>
      <c r="R225" s="813">
        <v>3</v>
      </c>
      <c r="S225" s="813" t="s">
        <v>3928</v>
      </c>
      <c r="T225" s="813" t="s">
        <v>4196</v>
      </c>
    </row>
    <row r="226" spans="1:20" ht="15" customHeight="1" x14ac:dyDescent="0.35">
      <c r="A226" s="794" t="s">
        <v>4598</v>
      </c>
      <c r="B226" s="794" t="s">
        <v>3857</v>
      </c>
      <c r="C226" s="812" t="s">
        <v>3913</v>
      </c>
      <c r="D226" s="825">
        <v>1153846.15384615</v>
      </c>
      <c r="E226" s="825">
        <v>750000</v>
      </c>
      <c r="F226" s="825">
        <v>600000</v>
      </c>
      <c r="G226" s="814" t="s">
        <v>3858</v>
      </c>
      <c r="H226" s="813" t="s">
        <v>246</v>
      </c>
      <c r="I226" s="813" t="s">
        <v>4191</v>
      </c>
      <c r="J226" s="813" t="s">
        <v>4538</v>
      </c>
      <c r="K226" s="813" t="s">
        <v>3923</v>
      </c>
      <c r="L226" s="813" t="s">
        <v>3863</v>
      </c>
      <c r="M226" s="813" t="s">
        <v>3163</v>
      </c>
      <c r="N226" s="813" t="s">
        <v>4599</v>
      </c>
      <c r="O226" s="813" t="s">
        <v>3925</v>
      </c>
      <c r="P226" s="813" t="s">
        <v>4600</v>
      </c>
      <c r="Q226" s="813" t="s">
        <v>4601</v>
      </c>
      <c r="R226" s="813">
        <v>3</v>
      </c>
      <c r="S226" s="813" t="s">
        <v>3928</v>
      </c>
      <c r="T226" s="813" t="s">
        <v>4196</v>
      </c>
    </row>
    <row r="227" spans="1:20" ht="15" customHeight="1" x14ac:dyDescent="0.35">
      <c r="A227" s="794" t="s">
        <v>4602</v>
      </c>
      <c r="B227" s="794" t="s">
        <v>3857</v>
      </c>
      <c r="C227" s="812" t="s">
        <v>3913</v>
      </c>
      <c r="D227" s="825">
        <v>0</v>
      </c>
      <c r="E227" s="825">
        <v>0</v>
      </c>
      <c r="F227" s="826"/>
      <c r="G227" s="814" t="s">
        <v>3858</v>
      </c>
      <c r="H227" s="813" t="s">
        <v>246</v>
      </c>
      <c r="I227" s="813" t="s">
        <v>4191</v>
      </c>
      <c r="J227" s="813" t="s">
        <v>4538</v>
      </c>
      <c r="K227" s="813" t="s">
        <v>3923</v>
      </c>
      <c r="L227" s="813" t="s">
        <v>3863</v>
      </c>
      <c r="M227" s="813" t="s">
        <v>3163</v>
      </c>
      <c r="N227" s="813" t="s">
        <v>4603</v>
      </c>
      <c r="O227" s="813" t="s">
        <v>3925</v>
      </c>
      <c r="P227" s="813" t="s">
        <v>4604</v>
      </c>
      <c r="Q227" s="813" t="s">
        <v>4605</v>
      </c>
      <c r="R227" s="813">
        <v>4</v>
      </c>
      <c r="S227" s="813" t="s">
        <v>3928</v>
      </c>
      <c r="T227" s="813" t="s">
        <v>4196</v>
      </c>
    </row>
    <row r="228" spans="1:20" ht="15" customHeight="1" x14ac:dyDescent="0.35">
      <c r="A228" s="794" t="s">
        <v>4606</v>
      </c>
      <c r="B228" s="794" t="s">
        <v>3857</v>
      </c>
      <c r="C228" s="812" t="s">
        <v>3913</v>
      </c>
      <c r="D228" s="825">
        <v>288461.53846153797</v>
      </c>
      <c r="E228" s="825">
        <v>187500</v>
      </c>
      <c r="F228" s="825">
        <v>150000</v>
      </c>
      <c r="G228" s="814" t="s">
        <v>3858</v>
      </c>
      <c r="H228" s="813" t="s">
        <v>246</v>
      </c>
      <c r="I228" s="813" t="s">
        <v>4191</v>
      </c>
      <c r="J228" s="813" t="s">
        <v>4538</v>
      </c>
      <c r="K228" s="813" t="s">
        <v>3923</v>
      </c>
      <c r="L228" s="813" t="s">
        <v>3863</v>
      </c>
      <c r="M228" s="813" t="s">
        <v>3163</v>
      </c>
      <c r="N228" s="813" t="s">
        <v>4607</v>
      </c>
      <c r="O228" s="813" t="s">
        <v>3925</v>
      </c>
      <c r="P228" s="813" t="s">
        <v>4608</v>
      </c>
      <c r="Q228" s="813" t="s">
        <v>4609</v>
      </c>
      <c r="R228" s="813">
        <v>3</v>
      </c>
      <c r="S228" s="813" t="s">
        <v>3928</v>
      </c>
      <c r="T228" s="813" t="s">
        <v>4196</v>
      </c>
    </row>
    <row r="229" spans="1:20" ht="15" customHeight="1" x14ac:dyDescent="0.35">
      <c r="A229" s="794" t="s">
        <v>4610</v>
      </c>
      <c r="B229" s="794" t="s">
        <v>3857</v>
      </c>
      <c r="C229" s="812" t="s">
        <v>3913</v>
      </c>
      <c r="D229" s="825">
        <v>961538.46153846197</v>
      </c>
      <c r="E229" s="825">
        <v>625000</v>
      </c>
      <c r="F229" s="825">
        <v>500000</v>
      </c>
      <c r="G229" s="814" t="s">
        <v>3858</v>
      </c>
      <c r="H229" s="813" t="s">
        <v>246</v>
      </c>
      <c r="I229" s="813" t="s">
        <v>4191</v>
      </c>
      <c r="J229" s="813" t="s">
        <v>4538</v>
      </c>
      <c r="K229" s="813" t="s">
        <v>3923</v>
      </c>
      <c r="L229" s="813" t="s">
        <v>3863</v>
      </c>
      <c r="M229" s="813" t="s">
        <v>3163</v>
      </c>
      <c r="N229" s="813" t="s">
        <v>4611</v>
      </c>
      <c r="O229" s="813" t="s">
        <v>3925</v>
      </c>
      <c r="P229" s="813" t="s">
        <v>4612</v>
      </c>
      <c r="Q229" s="813" t="s">
        <v>4613</v>
      </c>
      <c r="R229" s="813">
        <v>3</v>
      </c>
      <c r="S229" s="813" t="s">
        <v>3928</v>
      </c>
      <c r="T229" s="813" t="s">
        <v>4196</v>
      </c>
    </row>
    <row r="230" spans="1:20" ht="15" customHeight="1" x14ac:dyDescent="0.35">
      <c r="A230" s="794" t="s">
        <v>4614</v>
      </c>
      <c r="B230" s="794" t="s">
        <v>3857</v>
      </c>
      <c r="C230" s="812" t="s">
        <v>3913</v>
      </c>
      <c r="D230" s="825">
        <v>480769.23076923098</v>
      </c>
      <c r="E230" s="825">
        <v>312500</v>
      </c>
      <c r="F230" s="825">
        <v>250000</v>
      </c>
      <c r="G230" s="814" t="s">
        <v>3858</v>
      </c>
      <c r="H230" s="813" t="s">
        <v>246</v>
      </c>
      <c r="I230" s="813" t="s">
        <v>4191</v>
      </c>
      <c r="J230" s="813" t="s">
        <v>4538</v>
      </c>
      <c r="K230" s="813" t="s">
        <v>3923</v>
      </c>
      <c r="L230" s="813" t="s">
        <v>3863</v>
      </c>
      <c r="M230" s="813" t="s">
        <v>3163</v>
      </c>
      <c r="N230" s="813" t="s">
        <v>4615</v>
      </c>
      <c r="O230" s="813" t="s">
        <v>3925</v>
      </c>
      <c r="P230" s="813" t="s">
        <v>4616</v>
      </c>
      <c r="Q230" s="813" t="s">
        <v>4617</v>
      </c>
      <c r="R230" s="813">
        <v>3</v>
      </c>
      <c r="S230" s="813" t="s">
        <v>3928</v>
      </c>
      <c r="T230" s="813" t="s">
        <v>4196</v>
      </c>
    </row>
    <row r="231" spans="1:20" ht="15" customHeight="1" x14ac:dyDescent="0.35">
      <c r="A231" s="794" t="s">
        <v>4618</v>
      </c>
      <c r="B231" s="794" t="s">
        <v>3857</v>
      </c>
      <c r="C231" s="812" t="s">
        <v>3913</v>
      </c>
      <c r="D231" s="825">
        <v>288461.53846153797</v>
      </c>
      <c r="E231" s="825">
        <v>187500</v>
      </c>
      <c r="F231" s="825">
        <v>150000</v>
      </c>
      <c r="G231" s="814" t="s">
        <v>3858</v>
      </c>
      <c r="H231" s="813" t="s">
        <v>246</v>
      </c>
      <c r="I231" s="813" t="s">
        <v>4191</v>
      </c>
      <c r="J231" s="813" t="s">
        <v>4538</v>
      </c>
      <c r="K231" s="813" t="s">
        <v>3923</v>
      </c>
      <c r="L231" s="813" t="s">
        <v>3863</v>
      </c>
      <c r="M231" s="813" t="s">
        <v>3163</v>
      </c>
      <c r="N231" s="813" t="s">
        <v>4619</v>
      </c>
      <c r="O231" s="813" t="s">
        <v>3925</v>
      </c>
      <c r="P231" s="813" t="s">
        <v>4620</v>
      </c>
      <c r="Q231" s="813" t="s">
        <v>4621</v>
      </c>
      <c r="R231" s="813">
        <v>3</v>
      </c>
      <c r="S231" s="813" t="s">
        <v>3928</v>
      </c>
      <c r="T231" s="813" t="s">
        <v>4196</v>
      </c>
    </row>
    <row r="232" spans="1:20" ht="15" customHeight="1" x14ac:dyDescent="0.35">
      <c r="A232" s="794" t="s">
        <v>4622</v>
      </c>
      <c r="B232" s="794" t="s">
        <v>3857</v>
      </c>
      <c r="C232" s="812" t="s">
        <v>3913</v>
      </c>
      <c r="D232" s="825">
        <v>336538.46153846203</v>
      </c>
      <c r="E232" s="825">
        <v>218750</v>
      </c>
      <c r="F232" s="825">
        <v>175000</v>
      </c>
      <c r="G232" s="814" t="s">
        <v>3858</v>
      </c>
      <c r="H232" s="813" t="s">
        <v>246</v>
      </c>
      <c r="I232" s="813" t="s">
        <v>4191</v>
      </c>
      <c r="J232" s="813" t="s">
        <v>4538</v>
      </c>
      <c r="K232" s="813" t="s">
        <v>3923</v>
      </c>
      <c r="L232" s="813" t="s">
        <v>3863</v>
      </c>
      <c r="M232" s="813" t="s">
        <v>3163</v>
      </c>
      <c r="N232" s="813" t="s">
        <v>4623</v>
      </c>
      <c r="O232" s="813" t="s">
        <v>3925</v>
      </c>
      <c r="P232" s="813" t="s">
        <v>4624</v>
      </c>
      <c r="Q232" s="813" t="s">
        <v>4625</v>
      </c>
      <c r="R232" s="813">
        <v>3</v>
      </c>
      <c r="S232" s="813" t="s">
        <v>3928</v>
      </c>
      <c r="T232" s="813" t="s">
        <v>4196</v>
      </c>
    </row>
    <row r="233" spans="1:20" ht="15" customHeight="1" x14ac:dyDescent="0.35">
      <c r="A233" s="803" t="s">
        <v>4626</v>
      </c>
      <c r="B233" s="803"/>
      <c r="C233" s="803"/>
      <c r="D233" s="803"/>
      <c r="E233" s="803"/>
      <c r="F233" s="803"/>
      <c r="G233" s="803" t="s">
        <v>4627</v>
      </c>
      <c r="H233" s="794"/>
      <c r="I233" s="794"/>
      <c r="J233" s="794"/>
      <c r="K233" s="794"/>
      <c r="L233" s="794"/>
      <c r="M233" s="794"/>
      <c r="N233" s="794"/>
      <c r="O233" s="794"/>
      <c r="P233" s="794"/>
      <c r="Q233" s="794"/>
      <c r="R233" s="794"/>
      <c r="S233" s="794"/>
      <c r="T233" s="794"/>
    </row>
    <row r="234" spans="1:20" ht="15" customHeight="1" x14ac:dyDescent="0.35">
      <c r="A234" s="794" t="s">
        <v>4628</v>
      </c>
      <c r="B234" s="794" t="s">
        <v>3857</v>
      </c>
      <c r="C234" s="812" t="s">
        <v>3913</v>
      </c>
      <c r="D234" s="825"/>
      <c r="E234" s="825"/>
      <c r="F234" s="825">
        <v>23067.256016190098</v>
      </c>
      <c r="G234" s="814" t="s">
        <v>3858</v>
      </c>
      <c r="H234" s="813" t="s">
        <v>246</v>
      </c>
      <c r="I234" s="813" t="s">
        <v>4191</v>
      </c>
      <c r="J234" s="813" t="s">
        <v>4629</v>
      </c>
      <c r="K234" s="813" t="s">
        <v>3923</v>
      </c>
      <c r="L234" s="813" t="s">
        <v>3863</v>
      </c>
      <c r="M234" s="813" t="s">
        <v>3163</v>
      </c>
      <c r="N234" s="813" t="s">
        <v>4630</v>
      </c>
      <c r="O234" s="813" t="s">
        <v>4264</v>
      </c>
      <c r="P234" s="813" t="s">
        <v>4631</v>
      </c>
      <c r="Q234" s="813" t="s">
        <v>4632</v>
      </c>
      <c r="R234" s="813">
        <v>1</v>
      </c>
      <c r="S234" s="813" t="s">
        <v>3928</v>
      </c>
      <c r="T234" s="813" t="s">
        <v>4196</v>
      </c>
    </row>
    <row r="235" spans="1:20" ht="15" customHeight="1" x14ac:dyDescent="0.35">
      <c r="A235" s="794" t="s">
        <v>4633</v>
      </c>
      <c r="B235" s="794" t="s">
        <v>3857</v>
      </c>
      <c r="C235" s="812" t="s">
        <v>3913</v>
      </c>
      <c r="D235" s="825"/>
      <c r="E235" s="825">
        <v>28834.070020237599</v>
      </c>
      <c r="F235" s="826"/>
      <c r="G235" s="814" t="s">
        <v>3858</v>
      </c>
      <c r="H235" s="813" t="s">
        <v>246</v>
      </c>
      <c r="I235" s="813" t="s">
        <v>4191</v>
      </c>
      <c r="J235" s="813" t="s">
        <v>4629</v>
      </c>
      <c r="K235" s="813" t="s">
        <v>3923</v>
      </c>
      <c r="L235" s="813" t="s">
        <v>3863</v>
      </c>
      <c r="M235" s="813" t="s">
        <v>3163</v>
      </c>
      <c r="N235" s="813" t="s">
        <v>4634</v>
      </c>
      <c r="O235" s="813" t="s">
        <v>4264</v>
      </c>
      <c r="P235" s="813" t="s">
        <v>4635</v>
      </c>
      <c r="Q235" s="813" t="s">
        <v>4636</v>
      </c>
      <c r="R235" s="813">
        <v>1</v>
      </c>
      <c r="S235" s="813" t="s">
        <v>3928</v>
      </c>
      <c r="T235" s="813" t="s">
        <v>4196</v>
      </c>
    </row>
    <row r="236" spans="1:20" ht="15" customHeight="1" x14ac:dyDescent="0.35">
      <c r="A236" s="794" t="s">
        <v>4637</v>
      </c>
      <c r="B236" s="794" t="s">
        <v>3857</v>
      </c>
      <c r="C236" s="812" t="s">
        <v>3913</v>
      </c>
      <c r="D236" s="825">
        <v>44360.107723442503</v>
      </c>
      <c r="E236" s="825"/>
      <c r="F236" s="826"/>
      <c r="G236" s="814" t="s">
        <v>3858</v>
      </c>
      <c r="H236" s="813" t="s">
        <v>246</v>
      </c>
      <c r="I236" s="813" t="s">
        <v>4191</v>
      </c>
      <c r="J236" s="813" t="s">
        <v>4629</v>
      </c>
      <c r="K236" s="813" t="s">
        <v>3923</v>
      </c>
      <c r="L236" s="813" t="s">
        <v>3863</v>
      </c>
      <c r="M236" s="813" t="s">
        <v>3163</v>
      </c>
      <c r="N236" s="813" t="s">
        <v>4638</v>
      </c>
      <c r="O236" s="813" t="s">
        <v>4264</v>
      </c>
      <c r="P236" s="813" t="s">
        <v>4639</v>
      </c>
      <c r="Q236" s="813" t="s">
        <v>4640</v>
      </c>
      <c r="R236" s="813">
        <v>1</v>
      </c>
      <c r="S236" s="813" t="s">
        <v>3928</v>
      </c>
      <c r="T236" s="813" t="s">
        <v>4196</v>
      </c>
    </row>
    <row r="237" spans="1:20" ht="15" customHeight="1" x14ac:dyDescent="0.35">
      <c r="A237" s="794" t="s">
        <v>4641</v>
      </c>
      <c r="B237" s="794" t="s">
        <v>3857</v>
      </c>
      <c r="C237" s="812" t="s">
        <v>3913</v>
      </c>
      <c r="D237" s="825">
        <v>961538.46153846197</v>
      </c>
      <c r="E237" s="825">
        <v>625000</v>
      </c>
      <c r="F237" s="825">
        <v>500000</v>
      </c>
      <c r="G237" s="814" t="s">
        <v>3858</v>
      </c>
      <c r="H237" s="813" t="s">
        <v>246</v>
      </c>
      <c r="I237" s="813" t="s">
        <v>4191</v>
      </c>
      <c r="J237" s="813" t="s">
        <v>4629</v>
      </c>
      <c r="K237" s="813" t="s">
        <v>3923</v>
      </c>
      <c r="L237" s="813" t="s">
        <v>3863</v>
      </c>
      <c r="M237" s="813" t="s">
        <v>3163</v>
      </c>
      <c r="N237" s="813" t="s">
        <v>4642</v>
      </c>
      <c r="O237" s="813" t="s">
        <v>3925</v>
      </c>
      <c r="P237" s="813" t="s">
        <v>4643</v>
      </c>
      <c r="Q237" s="813" t="s">
        <v>4644</v>
      </c>
      <c r="R237" s="813">
        <v>3</v>
      </c>
      <c r="S237" s="813" t="s">
        <v>3928</v>
      </c>
      <c r="T237" s="813" t="s">
        <v>4196</v>
      </c>
    </row>
    <row r="238" spans="1:20" ht="15" customHeight="1" x14ac:dyDescent="0.35">
      <c r="A238" s="794" t="s">
        <v>4645</v>
      </c>
      <c r="B238" s="794" t="s">
        <v>3857</v>
      </c>
      <c r="C238" s="812" t="s">
        <v>3913</v>
      </c>
      <c r="D238" s="825"/>
      <c r="E238" s="825"/>
      <c r="F238" s="825">
        <v>0.2</v>
      </c>
      <c r="G238" s="814" t="s">
        <v>3858</v>
      </c>
      <c r="H238" s="813" t="s">
        <v>246</v>
      </c>
      <c r="I238" s="813" t="s">
        <v>4191</v>
      </c>
      <c r="J238" s="813" t="s">
        <v>4629</v>
      </c>
      <c r="K238" s="813" t="s">
        <v>3923</v>
      </c>
      <c r="L238" s="813" t="s">
        <v>3863</v>
      </c>
      <c r="M238" s="813" t="s">
        <v>3163</v>
      </c>
      <c r="N238" s="813" t="s">
        <v>4646</v>
      </c>
      <c r="O238" s="813" t="s">
        <v>3883</v>
      </c>
      <c r="P238" s="813" t="s">
        <v>4647</v>
      </c>
      <c r="Q238" s="813" t="s">
        <v>4648</v>
      </c>
      <c r="R238" s="813">
        <v>1</v>
      </c>
      <c r="S238" s="813" t="s">
        <v>3928</v>
      </c>
      <c r="T238" s="813" t="s">
        <v>4196</v>
      </c>
    </row>
    <row r="239" spans="1:20" ht="15" customHeight="1" x14ac:dyDescent="0.35">
      <c r="A239" s="794" t="s">
        <v>4649</v>
      </c>
      <c r="B239" s="794" t="s">
        <v>3857</v>
      </c>
      <c r="C239" s="812" t="s">
        <v>3913</v>
      </c>
      <c r="D239" s="825"/>
      <c r="E239" s="825"/>
      <c r="F239" s="825">
        <v>100000</v>
      </c>
      <c r="G239" s="814" t="s">
        <v>3858</v>
      </c>
      <c r="H239" s="813" t="s">
        <v>246</v>
      </c>
      <c r="I239" s="813" t="s">
        <v>4191</v>
      </c>
      <c r="J239" s="813" t="s">
        <v>4629</v>
      </c>
      <c r="K239" s="813" t="s">
        <v>3923</v>
      </c>
      <c r="L239" s="813" t="s">
        <v>3863</v>
      </c>
      <c r="M239" s="813" t="s">
        <v>3163</v>
      </c>
      <c r="N239" s="813" t="s">
        <v>4650</v>
      </c>
      <c r="O239" s="813" t="s">
        <v>3925</v>
      </c>
      <c r="P239" s="813" t="s">
        <v>4651</v>
      </c>
      <c r="Q239" s="813" t="s">
        <v>4652</v>
      </c>
      <c r="R239" s="813">
        <v>1</v>
      </c>
      <c r="S239" s="813" t="s">
        <v>3928</v>
      </c>
      <c r="T239" s="813" t="s">
        <v>4196</v>
      </c>
    </row>
    <row r="240" spans="1:20" ht="15" customHeight="1" x14ac:dyDescent="0.35">
      <c r="A240" s="794" t="s">
        <v>4653</v>
      </c>
      <c r="B240" s="794" t="s">
        <v>3857</v>
      </c>
      <c r="C240" s="812" t="s">
        <v>3913</v>
      </c>
      <c r="D240" s="825"/>
      <c r="E240" s="825">
        <v>125000</v>
      </c>
      <c r="F240" s="826"/>
      <c r="G240" s="814" t="s">
        <v>3858</v>
      </c>
      <c r="H240" s="813" t="s">
        <v>246</v>
      </c>
      <c r="I240" s="813" t="s">
        <v>4191</v>
      </c>
      <c r="J240" s="813" t="s">
        <v>4629</v>
      </c>
      <c r="K240" s="813" t="s">
        <v>3923</v>
      </c>
      <c r="L240" s="813" t="s">
        <v>3863</v>
      </c>
      <c r="M240" s="813" t="s">
        <v>3163</v>
      </c>
      <c r="N240" s="813" t="s">
        <v>4654</v>
      </c>
      <c r="O240" s="813" t="s">
        <v>3925</v>
      </c>
      <c r="P240" s="813" t="s">
        <v>4655</v>
      </c>
      <c r="Q240" s="813" t="s">
        <v>4656</v>
      </c>
      <c r="R240" s="813">
        <v>1</v>
      </c>
      <c r="S240" s="813" t="s">
        <v>3928</v>
      </c>
      <c r="T240" s="813" t="s">
        <v>4196</v>
      </c>
    </row>
    <row r="241" spans="1:20" ht="15" customHeight="1" x14ac:dyDescent="0.35">
      <c r="A241" s="794" t="s">
        <v>4657</v>
      </c>
      <c r="B241" s="794" t="s">
        <v>3857</v>
      </c>
      <c r="C241" s="812" t="s">
        <v>3913</v>
      </c>
      <c r="D241" s="825">
        <v>192307.69230769199</v>
      </c>
      <c r="E241" s="825"/>
      <c r="F241" s="826"/>
      <c r="G241" s="814" t="s">
        <v>3858</v>
      </c>
      <c r="H241" s="813" t="s">
        <v>246</v>
      </c>
      <c r="I241" s="813" t="s">
        <v>4191</v>
      </c>
      <c r="J241" s="813" t="s">
        <v>4629</v>
      </c>
      <c r="K241" s="813" t="s">
        <v>3923</v>
      </c>
      <c r="L241" s="813" t="s">
        <v>3863</v>
      </c>
      <c r="M241" s="813" t="s">
        <v>3163</v>
      </c>
      <c r="N241" s="813" t="s">
        <v>4658</v>
      </c>
      <c r="O241" s="813" t="s">
        <v>3925</v>
      </c>
      <c r="P241" s="813" t="s">
        <v>4659</v>
      </c>
      <c r="Q241" s="813" t="s">
        <v>4660</v>
      </c>
      <c r="R241" s="813">
        <v>1</v>
      </c>
      <c r="S241" s="813" t="s">
        <v>3928</v>
      </c>
      <c r="T241" s="813" t="s">
        <v>4196</v>
      </c>
    </row>
    <row r="242" spans="1:20" ht="15" customHeight="1" x14ac:dyDescent="0.35">
      <c r="A242" s="794" t="s">
        <v>4661</v>
      </c>
      <c r="B242" s="794" t="s">
        <v>3857</v>
      </c>
      <c r="C242" s="812" t="s">
        <v>3913</v>
      </c>
      <c r="D242" s="825">
        <v>443601.077234425</v>
      </c>
      <c r="E242" s="825">
        <v>288340.700202376</v>
      </c>
      <c r="F242" s="825">
        <v>230672.560161901</v>
      </c>
      <c r="G242" s="814" t="s">
        <v>3858</v>
      </c>
      <c r="H242" s="813" t="s">
        <v>246</v>
      </c>
      <c r="I242" s="813" t="s">
        <v>4191</v>
      </c>
      <c r="J242" s="813" t="s">
        <v>4629</v>
      </c>
      <c r="K242" s="813" t="s">
        <v>3923</v>
      </c>
      <c r="L242" s="813" t="s">
        <v>3863</v>
      </c>
      <c r="M242" s="813" t="s">
        <v>3163</v>
      </c>
      <c r="N242" s="813" t="s">
        <v>4662</v>
      </c>
      <c r="O242" s="813" t="s">
        <v>3925</v>
      </c>
      <c r="P242" s="813" t="s">
        <v>4663</v>
      </c>
      <c r="Q242" s="813" t="s">
        <v>4664</v>
      </c>
      <c r="R242" s="813">
        <v>3</v>
      </c>
      <c r="S242" s="813" t="s">
        <v>3928</v>
      </c>
      <c r="T242" s="813" t="s">
        <v>4196</v>
      </c>
    </row>
    <row r="243" spans="1:20" ht="15" customHeight="1" x14ac:dyDescent="0.35">
      <c r="A243" s="794" t="s">
        <v>4665</v>
      </c>
      <c r="B243" s="794" t="s">
        <v>3857</v>
      </c>
      <c r="C243" s="812" t="s">
        <v>3913</v>
      </c>
      <c r="D243" s="825"/>
      <c r="E243" s="825"/>
      <c r="F243" s="825">
        <v>0.1</v>
      </c>
      <c r="G243" s="814" t="s">
        <v>3858</v>
      </c>
      <c r="H243" s="813" t="s">
        <v>246</v>
      </c>
      <c r="I243" s="813" t="s">
        <v>4191</v>
      </c>
      <c r="J243" s="813" t="s">
        <v>4629</v>
      </c>
      <c r="K243" s="813" t="s">
        <v>3923</v>
      </c>
      <c r="L243" s="813" t="s">
        <v>3863</v>
      </c>
      <c r="M243" s="813" t="s">
        <v>3163</v>
      </c>
      <c r="N243" s="813" t="s">
        <v>4666</v>
      </c>
      <c r="O243" s="813" t="s">
        <v>3883</v>
      </c>
      <c r="P243" s="813" t="s">
        <v>4667</v>
      </c>
      <c r="Q243" s="813" t="s">
        <v>4668</v>
      </c>
      <c r="R243" s="813">
        <v>1</v>
      </c>
      <c r="S243" s="813" t="s">
        <v>3928</v>
      </c>
      <c r="T243" s="813" t="s">
        <v>4196</v>
      </c>
    </row>
    <row r="244" spans="1:20" ht="15" customHeight="1" x14ac:dyDescent="0.35">
      <c r="A244" s="794" t="s">
        <v>4669</v>
      </c>
      <c r="B244" s="794" t="s">
        <v>3857</v>
      </c>
      <c r="C244" s="812" t="s">
        <v>3913</v>
      </c>
      <c r="D244" s="825"/>
      <c r="E244" s="825"/>
      <c r="F244" s="825">
        <v>0.05</v>
      </c>
      <c r="G244" s="814" t="s">
        <v>3858</v>
      </c>
      <c r="H244" s="813" t="s">
        <v>246</v>
      </c>
      <c r="I244" s="813" t="s">
        <v>4191</v>
      </c>
      <c r="J244" s="813" t="s">
        <v>4629</v>
      </c>
      <c r="K244" s="813" t="s">
        <v>3923</v>
      </c>
      <c r="L244" s="813" t="s">
        <v>3863</v>
      </c>
      <c r="M244" s="813" t="s">
        <v>3163</v>
      </c>
      <c r="N244" s="813" t="s">
        <v>4670</v>
      </c>
      <c r="O244" s="813" t="s">
        <v>3883</v>
      </c>
      <c r="P244" s="813" t="s">
        <v>4671</v>
      </c>
      <c r="Q244" s="813" t="s">
        <v>4672</v>
      </c>
      <c r="R244" s="813">
        <v>1</v>
      </c>
      <c r="S244" s="813" t="s">
        <v>3928</v>
      </c>
      <c r="T244" s="813" t="s">
        <v>4196</v>
      </c>
    </row>
    <row r="245" spans="1:20" ht="15" customHeight="1" x14ac:dyDescent="0.35">
      <c r="A245" s="794" t="s">
        <v>4673</v>
      </c>
      <c r="B245" s="794" t="s">
        <v>3857</v>
      </c>
      <c r="C245" s="812" t="s">
        <v>3913</v>
      </c>
      <c r="D245" s="825"/>
      <c r="E245" s="825"/>
      <c r="F245" s="825">
        <v>44033.628008095096</v>
      </c>
      <c r="G245" s="814" t="s">
        <v>3858</v>
      </c>
      <c r="H245" s="813" t="s">
        <v>246</v>
      </c>
      <c r="I245" s="813" t="s">
        <v>4191</v>
      </c>
      <c r="J245" s="813" t="s">
        <v>4629</v>
      </c>
      <c r="K245" s="813" t="s">
        <v>3923</v>
      </c>
      <c r="L245" s="813" t="s">
        <v>3863</v>
      </c>
      <c r="M245" s="813" t="s">
        <v>3163</v>
      </c>
      <c r="N245" s="813" t="s">
        <v>4674</v>
      </c>
      <c r="O245" s="813" t="s">
        <v>3925</v>
      </c>
      <c r="P245" s="813" t="s">
        <v>4675</v>
      </c>
      <c r="Q245" s="813" t="s">
        <v>4676</v>
      </c>
      <c r="R245" s="813">
        <v>1</v>
      </c>
      <c r="S245" s="813" t="s">
        <v>3928</v>
      </c>
      <c r="T245" s="813" t="s">
        <v>4196</v>
      </c>
    </row>
    <row r="246" spans="1:20" ht="15" customHeight="1" x14ac:dyDescent="0.35">
      <c r="A246" s="794" t="s">
        <v>4677</v>
      </c>
      <c r="B246" s="794" t="s">
        <v>3857</v>
      </c>
      <c r="C246" s="812" t="s">
        <v>3913</v>
      </c>
      <c r="D246" s="825"/>
      <c r="E246" s="825">
        <v>55042.035010118801</v>
      </c>
      <c r="F246" s="826"/>
      <c r="G246" s="814" t="s">
        <v>3858</v>
      </c>
      <c r="H246" s="813" t="s">
        <v>246</v>
      </c>
      <c r="I246" s="813" t="s">
        <v>4191</v>
      </c>
      <c r="J246" s="813" t="s">
        <v>4629</v>
      </c>
      <c r="K246" s="813" t="s">
        <v>3923</v>
      </c>
      <c r="L246" s="813" t="s">
        <v>3863</v>
      </c>
      <c r="M246" s="813" t="s">
        <v>3163</v>
      </c>
      <c r="N246" s="813" t="s">
        <v>4678</v>
      </c>
      <c r="O246" s="813" t="s">
        <v>3925</v>
      </c>
      <c r="P246" s="813" t="s">
        <v>4679</v>
      </c>
      <c r="Q246" s="813" t="s">
        <v>4680</v>
      </c>
      <c r="R246" s="813">
        <v>1</v>
      </c>
      <c r="S246" s="813" t="s">
        <v>3928</v>
      </c>
      <c r="T246" s="813" t="s">
        <v>4196</v>
      </c>
    </row>
    <row r="247" spans="1:20" ht="15" customHeight="1" x14ac:dyDescent="0.35">
      <c r="A247" s="794" t="s">
        <v>4681</v>
      </c>
      <c r="B247" s="794" t="s">
        <v>3857</v>
      </c>
      <c r="C247" s="812" t="s">
        <v>3913</v>
      </c>
      <c r="D247" s="825">
        <v>84680.053861721302</v>
      </c>
      <c r="E247" s="825"/>
      <c r="F247" s="826"/>
      <c r="G247" s="814" t="s">
        <v>3858</v>
      </c>
      <c r="H247" s="813" t="s">
        <v>246</v>
      </c>
      <c r="I247" s="813" t="s">
        <v>4191</v>
      </c>
      <c r="J247" s="813" t="s">
        <v>4629</v>
      </c>
      <c r="K247" s="813" t="s">
        <v>3923</v>
      </c>
      <c r="L247" s="813" t="s">
        <v>3863</v>
      </c>
      <c r="M247" s="813" t="s">
        <v>3163</v>
      </c>
      <c r="N247" s="813" t="s">
        <v>4682</v>
      </c>
      <c r="O247" s="813" t="s">
        <v>3925</v>
      </c>
      <c r="P247" s="813" t="s">
        <v>4683</v>
      </c>
      <c r="Q247" s="813" t="s">
        <v>4684</v>
      </c>
      <c r="R247" s="813">
        <v>1</v>
      </c>
      <c r="S247" s="813" t="s">
        <v>3928</v>
      </c>
      <c r="T247" s="813" t="s">
        <v>4196</v>
      </c>
    </row>
    <row r="248" spans="1:20" ht="15" customHeight="1" x14ac:dyDescent="0.35">
      <c r="A248" s="794" t="s">
        <v>4685</v>
      </c>
      <c r="B248" s="794" t="s">
        <v>3857</v>
      </c>
      <c r="C248" s="812" t="s">
        <v>3913</v>
      </c>
      <c r="D248" s="825"/>
      <c r="E248" s="825"/>
      <c r="F248" s="825">
        <v>0.1</v>
      </c>
      <c r="G248" s="814" t="s">
        <v>3858</v>
      </c>
      <c r="H248" s="813" t="s">
        <v>246</v>
      </c>
      <c r="I248" s="813" t="s">
        <v>4191</v>
      </c>
      <c r="J248" s="813" t="s">
        <v>4629</v>
      </c>
      <c r="K248" s="813" t="s">
        <v>3923</v>
      </c>
      <c r="L248" s="813" t="s">
        <v>3863</v>
      </c>
      <c r="M248" s="813" t="s">
        <v>3163</v>
      </c>
      <c r="N248" s="813" t="s">
        <v>4686</v>
      </c>
      <c r="O248" s="813" t="s">
        <v>3883</v>
      </c>
      <c r="P248" s="813" t="s">
        <v>4687</v>
      </c>
      <c r="Q248" s="813" t="s">
        <v>4688</v>
      </c>
      <c r="R248" s="813">
        <v>1</v>
      </c>
      <c r="S248" s="813" t="s">
        <v>3928</v>
      </c>
      <c r="T248" s="813" t="s">
        <v>4196</v>
      </c>
    </row>
    <row r="249" spans="1:20" ht="15" customHeight="1" x14ac:dyDescent="0.35">
      <c r="A249" s="794" t="s">
        <v>4689</v>
      </c>
      <c r="B249" s="794" t="s">
        <v>3857</v>
      </c>
      <c r="C249" s="812" t="s">
        <v>3913</v>
      </c>
      <c r="D249" s="825"/>
      <c r="E249" s="825"/>
      <c r="F249" s="825">
        <v>50000</v>
      </c>
      <c r="G249" s="814" t="s">
        <v>3858</v>
      </c>
      <c r="H249" s="813" t="s">
        <v>246</v>
      </c>
      <c r="I249" s="813" t="s">
        <v>4191</v>
      </c>
      <c r="J249" s="813" t="s">
        <v>4629</v>
      </c>
      <c r="K249" s="813" t="s">
        <v>3923</v>
      </c>
      <c r="L249" s="813" t="s">
        <v>3863</v>
      </c>
      <c r="M249" s="813" t="s">
        <v>3163</v>
      </c>
      <c r="N249" s="813" t="s">
        <v>4690</v>
      </c>
      <c r="O249" s="813" t="s">
        <v>3925</v>
      </c>
      <c r="P249" s="813" t="s">
        <v>4691</v>
      </c>
      <c r="Q249" s="813" t="s">
        <v>4692</v>
      </c>
      <c r="R249" s="813">
        <v>1</v>
      </c>
      <c r="S249" s="813" t="s">
        <v>3928</v>
      </c>
      <c r="T249" s="813" t="s">
        <v>4196</v>
      </c>
    </row>
    <row r="250" spans="1:20" ht="15" customHeight="1" x14ac:dyDescent="0.35">
      <c r="A250" s="794" t="s">
        <v>4693</v>
      </c>
      <c r="B250" s="794" t="s">
        <v>3857</v>
      </c>
      <c r="C250" s="812" t="s">
        <v>3913</v>
      </c>
      <c r="D250" s="825"/>
      <c r="E250" s="825">
        <v>62500</v>
      </c>
      <c r="F250" s="826"/>
      <c r="G250" s="814" t="s">
        <v>3858</v>
      </c>
      <c r="H250" s="813" t="s">
        <v>246</v>
      </c>
      <c r="I250" s="813" t="s">
        <v>4191</v>
      </c>
      <c r="J250" s="813" t="s">
        <v>4629</v>
      </c>
      <c r="K250" s="813" t="s">
        <v>3923</v>
      </c>
      <c r="L250" s="813" t="s">
        <v>3863</v>
      </c>
      <c r="M250" s="813" t="s">
        <v>3163</v>
      </c>
      <c r="N250" s="813" t="s">
        <v>4694</v>
      </c>
      <c r="O250" s="813" t="s">
        <v>3925</v>
      </c>
      <c r="P250" s="813" t="s">
        <v>4695</v>
      </c>
      <c r="Q250" s="813" t="s">
        <v>4696</v>
      </c>
      <c r="R250" s="813">
        <v>1</v>
      </c>
      <c r="S250" s="813" t="s">
        <v>3928</v>
      </c>
      <c r="T250" s="813" t="s">
        <v>4196</v>
      </c>
    </row>
    <row r="251" spans="1:20" ht="15" customHeight="1" x14ac:dyDescent="0.35">
      <c r="A251" s="794" t="s">
        <v>4697</v>
      </c>
      <c r="B251" s="794" t="s">
        <v>3857</v>
      </c>
      <c r="C251" s="812" t="s">
        <v>3913</v>
      </c>
      <c r="D251" s="825">
        <v>96153.8461538462</v>
      </c>
      <c r="E251" s="825"/>
      <c r="F251" s="826"/>
      <c r="G251" s="814" t="s">
        <v>3858</v>
      </c>
      <c r="H251" s="813" t="s">
        <v>246</v>
      </c>
      <c r="I251" s="813" t="s">
        <v>4191</v>
      </c>
      <c r="J251" s="813" t="s">
        <v>4629</v>
      </c>
      <c r="K251" s="813" t="s">
        <v>3923</v>
      </c>
      <c r="L251" s="813" t="s">
        <v>3863</v>
      </c>
      <c r="M251" s="813" t="s">
        <v>3163</v>
      </c>
      <c r="N251" s="813" t="s">
        <v>4698</v>
      </c>
      <c r="O251" s="813" t="s">
        <v>3925</v>
      </c>
      <c r="P251" s="813" t="s">
        <v>4699</v>
      </c>
      <c r="Q251" s="813" t="s">
        <v>4700</v>
      </c>
      <c r="R251" s="813">
        <v>1</v>
      </c>
      <c r="S251" s="813" t="s">
        <v>3928</v>
      </c>
      <c r="T251" s="813" t="s">
        <v>4196</v>
      </c>
    </row>
    <row r="252" spans="1:20" ht="15" customHeight="1" x14ac:dyDescent="0.35">
      <c r="A252" s="803" t="s">
        <v>4701</v>
      </c>
      <c r="B252" s="803"/>
      <c r="C252" s="803"/>
      <c r="D252" s="803"/>
      <c r="E252" s="803"/>
      <c r="F252" s="803"/>
      <c r="G252" s="803" t="s">
        <v>4702</v>
      </c>
      <c r="H252" s="794"/>
      <c r="I252" s="794"/>
      <c r="J252" s="794"/>
      <c r="K252" s="794"/>
      <c r="L252" s="794"/>
      <c r="M252" s="794"/>
      <c r="N252" s="794"/>
      <c r="O252" s="794"/>
      <c r="P252" s="794"/>
      <c r="Q252" s="794"/>
      <c r="R252" s="794"/>
      <c r="S252" s="794"/>
      <c r="T252" s="794"/>
    </row>
    <row r="253" spans="1:20" ht="15" customHeight="1" x14ac:dyDescent="0.35">
      <c r="A253" s="794" t="s">
        <v>4703</v>
      </c>
      <c r="B253" s="794" t="s">
        <v>3857</v>
      </c>
      <c r="C253" s="812" t="s">
        <v>3913</v>
      </c>
      <c r="D253" s="825"/>
      <c r="E253" s="825"/>
      <c r="F253" s="825">
        <v>29500</v>
      </c>
      <c r="G253" s="814" t="s">
        <v>3858</v>
      </c>
      <c r="H253" s="813" t="s">
        <v>246</v>
      </c>
      <c r="I253" s="813" t="s">
        <v>4191</v>
      </c>
      <c r="J253" s="813" t="s">
        <v>4704</v>
      </c>
      <c r="K253" s="813" t="s">
        <v>3923</v>
      </c>
      <c r="L253" s="813" t="s">
        <v>3863</v>
      </c>
      <c r="M253" s="813" t="s">
        <v>3163</v>
      </c>
      <c r="N253" s="813" t="s">
        <v>4705</v>
      </c>
      <c r="O253" s="813" t="s">
        <v>4264</v>
      </c>
      <c r="P253" s="813" t="s">
        <v>4706</v>
      </c>
      <c r="Q253" s="813" t="s">
        <v>4707</v>
      </c>
      <c r="R253" s="813">
        <v>1</v>
      </c>
      <c r="S253" s="813" t="s">
        <v>3928</v>
      </c>
      <c r="T253" s="813" t="s">
        <v>4196</v>
      </c>
    </row>
    <row r="254" spans="1:20" ht="15" customHeight="1" x14ac:dyDescent="0.35">
      <c r="A254" s="794" t="s">
        <v>4703</v>
      </c>
      <c r="B254" s="794" t="s">
        <v>3857</v>
      </c>
      <c r="C254" s="812" t="s">
        <v>3913</v>
      </c>
      <c r="D254" s="825"/>
      <c r="E254" s="825">
        <v>36875</v>
      </c>
      <c r="F254" s="826"/>
      <c r="G254" s="814" t="s">
        <v>3858</v>
      </c>
      <c r="H254" s="813" t="s">
        <v>246</v>
      </c>
      <c r="I254" s="813" t="s">
        <v>4191</v>
      </c>
      <c r="J254" s="813" t="s">
        <v>4704</v>
      </c>
      <c r="K254" s="813" t="s">
        <v>3923</v>
      </c>
      <c r="L254" s="813" t="s">
        <v>3863</v>
      </c>
      <c r="M254" s="813" t="s">
        <v>3163</v>
      </c>
      <c r="N254" s="813" t="s">
        <v>4708</v>
      </c>
      <c r="O254" s="813" t="s">
        <v>4264</v>
      </c>
      <c r="P254" s="813" t="s">
        <v>4709</v>
      </c>
      <c r="Q254" s="813" t="s">
        <v>4710</v>
      </c>
      <c r="R254" s="813">
        <v>1</v>
      </c>
      <c r="S254" s="813" t="s">
        <v>3928</v>
      </c>
      <c r="T254" s="813" t="s">
        <v>4196</v>
      </c>
    </row>
    <row r="255" spans="1:20" ht="15" customHeight="1" x14ac:dyDescent="0.35">
      <c r="A255" s="794" t="s">
        <v>4703</v>
      </c>
      <c r="B255" s="794" t="s">
        <v>3857</v>
      </c>
      <c r="C255" s="812" t="s">
        <v>3913</v>
      </c>
      <c r="D255" s="825">
        <v>56730.769230769198</v>
      </c>
      <c r="E255" s="825"/>
      <c r="F255" s="826"/>
      <c r="G255" s="814" t="s">
        <v>3858</v>
      </c>
      <c r="H255" s="813" t="s">
        <v>246</v>
      </c>
      <c r="I255" s="813" t="s">
        <v>4191</v>
      </c>
      <c r="J255" s="813" t="s">
        <v>4704</v>
      </c>
      <c r="K255" s="813" t="s">
        <v>3923</v>
      </c>
      <c r="L255" s="813" t="s">
        <v>3863</v>
      </c>
      <c r="M255" s="813" t="s">
        <v>3163</v>
      </c>
      <c r="N255" s="813" t="s">
        <v>4711</v>
      </c>
      <c r="O255" s="813" t="s">
        <v>4264</v>
      </c>
      <c r="P255" s="813" t="s">
        <v>4712</v>
      </c>
      <c r="Q255" s="813" t="s">
        <v>4713</v>
      </c>
      <c r="R255" s="813">
        <v>1</v>
      </c>
      <c r="S255" s="813" t="s">
        <v>3928</v>
      </c>
      <c r="T255" s="813" t="s">
        <v>4196</v>
      </c>
    </row>
    <row r="256" spans="1:20" ht="15" customHeight="1" x14ac:dyDescent="0.35">
      <c r="A256" s="794" t="s">
        <v>4714</v>
      </c>
      <c r="B256" s="794" t="s">
        <v>3857</v>
      </c>
      <c r="C256" s="812" t="s">
        <v>3913</v>
      </c>
      <c r="D256" s="825">
        <v>48076.9230769231</v>
      </c>
      <c r="E256" s="825">
        <v>31250</v>
      </c>
      <c r="F256" s="825">
        <v>25000</v>
      </c>
      <c r="G256" s="814" t="s">
        <v>3858</v>
      </c>
      <c r="H256" s="813" t="s">
        <v>246</v>
      </c>
      <c r="I256" s="813" t="s">
        <v>4191</v>
      </c>
      <c r="J256" s="813" t="s">
        <v>4704</v>
      </c>
      <c r="K256" s="813" t="s">
        <v>3923</v>
      </c>
      <c r="L256" s="813" t="s">
        <v>3863</v>
      </c>
      <c r="M256" s="813" t="s">
        <v>3163</v>
      </c>
      <c r="N256" s="813" t="s">
        <v>4715</v>
      </c>
      <c r="O256" s="813" t="s">
        <v>3925</v>
      </c>
      <c r="P256" s="813" t="s">
        <v>4716</v>
      </c>
      <c r="Q256" s="813" t="s">
        <v>4717</v>
      </c>
      <c r="R256" s="813">
        <v>3</v>
      </c>
      <c r="S256" s="813" t="s">
        <v>3928</v>
      </c>
      <c r="T256" s="813" t="s">
        <v>4196</v>
      </c>
    </row>
    <row r="257" spans="1:20" ht="15" customHeight="1" x14ac:dyDescent="0.35">
      <c r="A257" s="794" t="s">
        <v>4718</v>
      </c>
      <c r="B257" s="794" t="s">
        <v>3857</v>
      </c>
      <c r="C257" s="812" t="s">
        <v>3913</v>
      </c>
      <c r="D257" s="825">
        <v>28846.1538461538</v>
      </c>
      <c r="E257" s="825">
        <v>18750</v>
      </c>
      <c r="F257" s="825">
        <v>15000</v>
      </c>
      <c r="G257" s="814" t="s">
        <v>3858</v>
      </c>
      <c r="H257" s="813" t="s">
        <v>246</v>
      </c>
      <c r="I257" s="813" t="s">
        <v>4191</v>
      </c>
      <c r="J257" s="813" t="s">
        <v>4704</v>
      </c>
      <c r="K257" s="813" t="s">
        <v>3923</v>
      </c>
      <c r="L257" s="813" t="s">
        <v>3863</v>
      </c>
      <c r="M257" s="813" t="s">
        <v>3163</v>
      </c>
      <c r="N257" s="813" t="s">
        <v>4719</v>
      </c>
      <c r="O257" s="813" t="s">
        <v>3925</v>
      </c>
      <c r="P257" s="813" t="s">
        <v>4720</v>
      </c>
      <c r="Q257" s="813" t="s">
        <v>4721</v>
      </c>
      <c r="R257" s="813">
        <v>3</v>
      </c>
      <c r="S257" s="813" t="s">
        <v>3928</v>
      </c>
      <c r="T257" s="813" t="s">
        <v>4196</v>
      </c>
    </row>
    <row r="258" spans="1:20" ht="15" customHeight="1" x14ac:dyDescent="0.35">
      <c r="A258" s="794" t="s">
        <v>4722</v>
      </c>
      <c r="B258" s="794" t="s">
        <v>3857</v>
      </c>
      <c r="C258" s="812" t="s">
        <v>3913</v>
      </c>
      <c r="D258" s="825">
        <v>48076.9230769231</v>
      </c>
      <c r="E258" s="825">
        <v>31250</v>
      </c>
      <c r="F258" s="825">
        <v>25000</v>
      </c>
      <c r="G258" s="814" t="s">
        <v>3858</v>
      </c>
      <c r="H258" s="813" t="s">
        <v>246</v>
      </c>
      <c r="I258" s="813" t="s">
        <v>4191</v>
      </c>
      <c r="J258" s="813" t="s">
        <v>4704</v>
      </c>
      <c r="K258" s="813" t="s">
        <v>3923</v>
      </c>
      <c r="L258" s="813" t="s">
        <v>3863</v>
      </c>
      <c r="M258" s="813" t="s">
        <v>3163</v>
      </c>
      <c r="N258" s="813" t="s">
        <v>4723</v>
      </c>
      <c r="O258" s="813" t="s">
        <v>3925</v>
      </c>
      <c r="P258" s="813" t="s">
        <v>4724</v>
      </c>
      <c r="Q258" s="813" t="s">
        <v>4725</v>
      </c>
      <c r="R258" s="813">
        <v>3</v>
      </c>
      <c r="S258" s="813" t="s">
        <v>3928</v>
      </c>
      <c r="T258" s="813" t="s">
        <v>4196</v>
      </c>
    </row>
    <row r="259" spans="1:20" ht="15" customHeight="1" x14ac:dyDescent="0.35">
      <c r="A259" s="794" t="s">
        <v>4726</v>
      </c>
      <c r="B259" s="794" t="s">
        <v>3857</v>
      </c>
      <c r="C259" s="812" t="s">
        <v>3913</v>
      </c>
      <c r="D259" s="825">
        <v>96153.8461538462</v>
      </c>
      <c r="E259" s="825">
        <v>62500</v>
      </c>
      <c r="F259" s="825">
        <v>50000</v>
      </c>
      <c r="G259" s="814" t="s">
        <v>3858</v>
      </c>
      <c r="H259" s="813" t="s">
        <v>246</v>
      </c>
      <c r="I259" s="813" t="s">
        <v>4191</v>
      </c>
      <c r="J259" s="813" t="s">
        <v>4704</v>
      </c>
      <c r="K259" s="813" t="s">
        <v>3923</v>
      </c>
      <c r="L259" s="813" t="s">
        <v>3863</v>
      </c>
      <c r="M259" s="813" t="s">
        <v>3163</v>
      </c>
      <c r="N259" s="813" t="s">
        <v>4727</v>
      </c>
      <c r="O259" s="813" t="s">
        <v>3925</v>
      </c>
      <c r="P259" s="813" t="s">
        <v>4728</v>
      </c>
      <c r="Q259" s="813" t="s">
        <v>4729</v>
      </c>
      <c r="R259" s="813">
        <v>3</v>
      </c>
      <c r="S259" s="813" t="s">
        <v>3928</v>
      </c>
      <c r="T259" s="813" t="s">
        <v>4196</v>
      </c>
    </row>
    <row r="260" spans="1:20" ht="15" customHeight="1" x14ac:dyDescent="0.35">
      <c r="A260" s="794" t="s">
        <v>4730</v>
      </c>
      <c r="B260" s="794" t="s">
        <v>3857</v>
      </c>
      <c r="C260" s="812" t="s">
        <v>3913</v>
      </c>
      <c r="D260" s="825">
        <v>9615.3846153846207</v>
      </c>
      <c r="E260" s="825">
        <v>6250</v>
      </c>
      <c r="F260" s="825">
        <v>5000</v>
      </c>
      <c r="G260" s="814" t="s">
        <v>3858</v>
      </c>
      <c r="H260" s="813" t="s">
        <v>246</v>
      </c>
      <c r="I260" s="813" t="s">
        <v>4191</v>
      </c>
      <c r="J260" s="813" t="s">
        <v>4704</v>
      </c>
      <c r="K260" s="813" t="s">
        <v>3923</v>
      </c>
      <c r="L260" s="813" t="s">
        <v>3863</v>
      </c>
      <c r="M260" s="813" t="s">
        <v>3163</v>
      </c>
      <c r="N260" s="813" t="s">
        <v>4731</v>
      </c>
      <c r="O260" s="813" t="s">
        <v>3925</v>
      </c>
      <c r="P260" s="813" t="s">
        <v>4732</v>
      </c>
      <c r="Q260" s="813" t="s">
        <v>4733</v>
      </c>
      <c r="R260" s="813">
        <v>3</v>
      </c>
      <c r="S260" s="813" t="s">
        <v>3928</v>
      </c>
      <c r="T260" s="813" t="s">
        <v>4196</v>
      </c>
    </row>
    <row r="261" spans="1:20" ht="15" customHeight="1" x14ac:dyDescent="0.35">
      <c r="A261" s="794" t="s">
        <v>4734</v>
      </c>
      <c r="B261" s="794" t="s">
        <v>3857</v>
      </c>
      <c r="C261" s="812" t="s">
        <v>3913</v>
      </c>
      <c r="D261" s="825">
        <v>192307.69230769199</v>
      </c>
      <c r="E261" s="825">
        <v>125000</v>
      </c>
      <c r="F261" s="825">
        <v>100000</v>
      </c>
      <c r="G261" s="814" t="s">
        <v>3858</v>
      </c>
      <c r="H261" s="813" t="s">
        <v>246</v>
      </c>
      <c r="I261" s="813" t="s">
        <v>4191</v>
      </c>
      <c r="J261" s="813" t="s">
        <v>4704</v>
      </c>
      <c r="K261" s="813" t="s">
        <v>3923</v>
      </c>
      <c r="L261" s="813" t="s">
        <v>3863</v>
      </c>
      <c r="M261" s="813" t="s">
        <v>3163</v>
      </c>
      <c r="N261" s="813" t="s">
        <v>4735</v>
      </c>
      <c r="O261" s="813" t="s">
        <v>3925</v>
      </c>
      <c r="P261" s="813" t="s">
        <v>4736</v>
      </c>
      <c r="Q261" s="813" t="s">
        <v>4737</v>
      </c>
      <c r="R261" s="813">
        <v>3</v>
      </c>
      <c r="S261" s="813" t="s">
        <v>3928</v>
      </c>
      <c r="T261" s="813" t="s">
        <v>4196</v>
      </c>
    </row>
    <row r="262" spans="1:20" ht="15" customHeight="1" x14ac:dyDescent="0.35">
      <c r="A262" s="794" t="s">
        <v>4738</v>
      </c>
      <c r="B262" s="794" t="s">
        <v>3857</v>
      </c>
      <c r="C262" s="812" t="s">
        <v>3913</v>
      </c>
      <c r="D262" s="825">
        <v>144230.76923076899</v>
      </c>
      <c r="E262" s="825">
        <v>93750</v>
      </c>
      <c r="F262" s="825">
        <v>80000</v>
      </c>
      <c r="G262" s="814" t="s">
        <v>3858</v>
      </c>
      <c r="H262" s="813" t="s">
        <v>246</v>
      </c>
      <c r="I262" s="813" t="s">
        <v>4191</v>
      </c>
      <c r="J262" s="813" t="s">
        <v>4704</v>
      </c>
      <c r="K262" s="813" t="s">
        <v>3923</v>
      </c>
      <c r="L262" s="813" t="s">
        <v>3863</v>
      </c>
      <c r="M262" s="813" t="s">
        <v>3163</v>
      </c>
      <c r="N262" s="813" t="s">
        <v>4739</v>
      </c>
      <c r="O262" s="813" t="s">
        <v>3925</v>
      </c>
      <c r="P262" s="813" t="s">
        <v>4740</v>
      </c>
      <c r="Q262" s="813" t="s">
        <v>4741</v>
      </c>
      <c r="R262" s="813">
        <v>3</v>
      </c>
      <c r="S262" s="813" t="s">
        <v>3928</v>
      </c>
      <c r="T262" s="813" t="s">
        <v>4196</v>
      </c>
    </row>
    <row r="263" spans="1:20" ht="15" customHeight="1" x14ac:dyDescent="0.35">
      <c r="A263" s="794" t="s">
        <v>4742</v>
      </c>
      <c r="B263" s="794" t="s">
        <v>3857</v>
      </c>
      <c r="C263" s="812" t="s">
        <v>3913</v>
      </c>
      <c r="D263" s="825">
        <v>57692.307692307702</v>
      </c>
      <c r="E263" s="825">
        <v>37500</v>
      </c>
      <c r="F263" s="825">
        <v>30000</v>
      </c>
      <c r="G263" s="814" t="s">
        <v>3858</v>
      </c>
      <c r="H263" s="813" t="s">
        <v>246</v>
      </c>
      <c r="I263" s="813" t="s">
        <v>4191</v>
      </c>
      <c r="J263" s="813" t="s">
        <v>4704</v>
      </c>
      <c r="K263" s="813" t="s">
        <v>3923</v>
      </c>
      <c r="L263" s="813" t="s">
        <v>3863</v>
      </c>
      <c r="M263" s="813" t="s">
        <v>3163</v>
      </c>
      <c r="N263" s="813" t="s">
        <v>4743</v>
      </c>
      <c r="O263" s="813" t="s">
        <v>3925</v>
      </c>
      <c r="P263" s="813" t="s">
        <v>4744</v>
      </c>
      <c r="Q263" s="813" t="s">
        <v>4745</v>
      </c>
      <c r="R263" s="813">
        <v>3</v>
      </c>
      <c r="S263" s="813" t="s">
        <v>3928</v>
      </c>
      <c r="T263" s="813" t="s">
        <v>4196</v>
      </c>
    </row>
    <row r="264" spans="1:20" ht="15" customHeight="1" x14ac:dyDescent="0.35">
      <c r="A264" s="794" t="s">
        <v>4746</v>
      </c>
      <c r="B264" s="794" t="s">
        <v>3857</v>
      </c>
      <c r="C264" s="812" t="s">
        <v>3913</v>
      </c>
      <c r="D264" s="825">
        <v>0</v>
      </c>
      <c r="E264" s="825">
        <v>0</v>
      </c>
      <c r="F264" s="825">
        <v>0</v>
      </c>
      <c r="G264" s="814" t="s">
        <v>3858</v>
      </c>
      <c r="H264" s="813" t="s">
        <v>246</v>
      </c>
      <c r="I264" s="813" t="s">
        <v>4191</v>
      </c>
      <c r="J264" s="813" t="s">
        <v>4704</v>
      </c>
      <c r="K264" s="813" t="s">
        <v>3923</v>
      </c>
      <c r="L264" s="813" t="s">
        <v>3863</v>
      </c>
      <c r="M264" s="813" t="s">
        <v>3163</v>
      </c>
      <c r="N264" s="813" t="s">
        <v>4747</v>
      </c>
      <c r="O264" s="813" t="s">
        <v>3925</v>
      </c>
      <c r="P264" s="813" t="s">
        <v>4748</v>
      </c>
      <c r="Q264" s="813" t="s">
        <v>4749</v>
      </c>
      <c r="R264" s="813">
        <v>3</v>
      </c>
      <c r="S264" s="813" t="s">
        <v>3928</v>
      </c>
      <c r="T264" s="813" t="s">
        <v>4196</v>
      </c>
    </row>
    <row r="265" spans="1:20" ht="15" customHeight="1" x14ac:dyDescent="0.35">
      <c r="A265" s="794" t="s">
        <v>4750</v>
      </c>
      <c r="B265" s="794" t="s">
        <v>3857</v>
      </c>
      <c r="C265" s="812" t="s">
        <v>3913</v>
      </c>
      <c r="D265" s="825">
        <v>0</v>
      </c>
      <c r="E265" s="825">
        <v>0</v>
      </c>
      <c r="F265" s="825">
        <v>0</v>
      </c>
      <c r="G265" s="814" t="s">
        <v>3858</v>
      </c>
      <c r="H265" s="813" t="s">
        <v>246</v>
      </c>
      <c r="I265" s="813" t="s">
        <v>4191</v>
      </c>
      <c r="J265" s="813" t="s">
        <v>4704</v>
      </c>
      <c r="K265" s="813" t="s">
        <v>3923</v>
      </c>
      <c r="L265" s="813" t="s">
        <v>3863</v>
      </c>
      <c r="M265" s="813" t="s">
        <v>3163</v>
      </c>
      <c r="N265" s="813" t="s">
        <v>4751</v>
      </c>
      <c r="O265" s="813" t="s">
        <v>3925</v>
      </c>
      <c r="P265" s="813" t="s">
        <v>4752</v>
      </c>
      <c r="Q265" s="813" t="s">
        <v>4753</v>
      </c>
      <c r="R265" s="813">
        <v>3</v>
      </c>
      <c r="S265" s="813" t="s">
        <v>3928</v>
      </c>
      <c r="T265" s="813" t="s">
        <v>4196</v>
      </c>
    </row>
    <row r="266" spans="1:20" ht="15" customHeight="1" x14ac:dyDescent="0.35">
      <c r="A266" s="794" t="s">
        <v>4703</v>
      </c>
      <c r="B266" s="794" t="s">
        <v>3857</v>
      </c>
      <c r="C266" s="812" t="s">
        <v>3913</v>
      </c>
      <c r="D266" s="825"/>
      <c r="E266" s="825"/>
      <c r="F266" s="825">
        <v>0.1</v>
      </c>
      <c r="G266" s="814" t="s">
        <v>3858</v>
      </c>
      <c r="H266" s="813" t="s">
        <v>246</v>
      </c>
      <c r="I266" s="813" t="s">
        <v>4191</v>
      </c>
      <c r="J266" s="813" t="s">
        <v>4704</v>
      </c>
      <c r="K266" s="813" t="s">
        <v>3923</v>
      </c>
      <c r="L266" s="813" t="s">
        <v>3863</v>
      </c>
      <c r="M266" s="813" t="s">
        <v>3163</v>
      </c>
      <c r="N266" s="813" t="s">
        <v>4754</v>
      </c>
      <c r="O266" s="813" t="s">
        <v>3883</v>
      </c>
      <c r="P266" s="813" t="s">
        <v>4755</v>
      </c>
      <c r="Q266" s="813" t="s">
        <v>4756</v>
      </c>
      <c r="R266" s="813">
        <v>1</v>
      </c>
      <c r="S266" s="813" t="s">
        <v>3928</v>
      </c>
      <c r="T266" s="813" t="s">
        <v>4196</v>
      </c>
    </row>
    <row r="267" spans="1:20" ht="15" customHeight="1" x14ac:dyDescent="0.35">
      <c r="A267" s="794" t="s">
        <v>4669</v>
      </c>
      <c r="B267" s="794" t="s">
        <v>3857</v>
      </c>
      <c r="C267" s="812" t="s">
        <v>3913</v>
      </c>
      <c r="D267" s="825"/>
      <c r="E267" s="825"/>
      <c r="F267" s="825">
        <v>0.05</v>
      </c>
      <c r="G267" s="814" t="s">
        <v>3858</v>
      </c>
      <c r="H267" s="813" t="s">
        <v>246</v>
      </c>
      <c r="I267" s="813" t="s">
        <v>4191</v>
      </c>
      <c r="J267" s="813" t="s">
        <v>4704</v>
      </c>
      <c r="K267" s="813" t="s">
        <v>3923</v>
      </c>
      <c r="L267" s="813" t="s">
        <v>3863</v>
      </c>
      <c r="M267" s="813" t="s">
        <v>3163</v>
      </c>
      <c r="N267" s="813" t="s">
        <v>4757</v>
      </c>
      <c r="O267" s="813" t="s">
        <v>3883</v>
      </c>
      <c r="P267" s="813" t="s">
        <v>4758</v>
      </c>
      <c r="Q267" s="813" t="s">
        <v>4759</v>
      </c>
      <c r="R267" s="813">
        <v>1</v>
      </c>
      <c r="S267" s="813" t="s">
        <v>3928</v>
      </c>
      <c r="T267" s="813" t="s">
        <v>4196</v>
      </c>
    </row>
    <row r="268" spans="1:20" ht="15" customHeight="1" x14ac:dyDescent="0.35">
      <c r="A268" s="794" t="s">
        <v>4669</v>
      </c>
      <c r="B268" s="794" t="s">
        <v>3857</v>
      </c>
      <c r="C268" s="812" t="s">
        <v>3913</v>
      </c>
      <c r="D268" s="825"/>
      <c r="E268" s="825"/>
      <c r="F268" s="825">
        <v>16250</v>
      </c>
      <c r="G268" s="814" t="s">
        <v>3858</v>
      </c>
      <c r="H268" s="813" t="s">
        <v>246</v>
      </c>
      <c r="I268" s="813" t="s">
        <v>4191</v>
      </c>
      <c r="J268" s="813" t="s">
        <v>4704</v>
      </c>
      <c r="K268" s="813" t="s">
        <v>3923</v>
      </c>
      <c r="L268" s="813" t="s">
        <v>3863</v>
      </c>
      <c r="M268" s="813" t="s">
        <v>3163</v>
      </c>
      <c r="N268" s="813" t="s">
        <v>4760</v>
      </c>
      <c r="O268" s="813" t="s">
        <v>3925</v>
      </c>
      <c r="P268" s="813" t="s">
        <v>4761</v>
      </c>
      <c r="Q268" s="813" t="s">
        <v>4762</v>
      </c>
      <c r="R268" s="813">
        <v>1</v>
      </c>
      <c r="S268" s="813" t="s">
        <v>3928</v>
      </c>
      <c r="T268" s="813" t="s">
        <v>4196</v>
      </c>
    </row>
    <row r="269" spans="1:20" ht="15" customHeight="1" x14ac:dyDescent="0.35">
      <c r="A269" s="794" t="s">
        <v>4669</v>
      </c>
      <c r="B269" s="794" t="s">
        <v>3857</v>
      </c>
      <c r="C269" s="812" t="s">
        <v>3913</v>
      </c>
      <c r="D269" s="825"/>
      <c r="E269" s="825">
        <v>20312.5</v>
      </c>
      <c r="F269" s="826"/>
      <c r="G269" s="814" t="s">
        <v>3858</v>
      </c>
      <c r="H269" s="813" t="s">
        <v>246</v>
      </c>
      <c r="I269" s="813" t="s">
        <v>4191</v>
      </c>
      <c r="J269" s="813" t="s">
        <v>4704</v>
      </c>
      <c r="K269" s="813" t="s">
        <v>3923</v>
      </c>
      <c r="L269" s="813" t="s">
        <v>3863</v>
      </c>
      <c r="M269" s="813" t="s">
        <v>3163</v>
      </c>
      <c r="N269" s="813" t="s">
        <v>4763</v>
      </c>
      <c r="O269" s="813" t="s">
        <v>3925</v>
      </c>
      <c r="P269" s="813" t="s">
        <v>4764</v>
      </c>
      <c r="Q269" s="813" t="s">
        <v>4765</v>
      </c>
      <c r="R269" s="813">
        <v>1</v>
      </c>
      <c r="S269" s="813" t="s">
        <v>3928</v>
      </c>
      <c r="T269" s="813" t="s">
        <v>4196</v>
      </c>
    </row>
    <row r="270" spans="1:20" ht="15" customHeight="1" x14ac:dyDescent="0.35">
      <c r="A270" s="794" t="s">
        <v>4669</v>
      </c>
      <c r="B270" s="794" t="s">
        <v>3857</v>
      </c>
      <c r="C270" s="812" t="s">
        <v>3913</v>
      </c>
      <c r="D270" s="825">
        <v>31250</v>
      </c>
      <c r="E270" s="825"/>
      <c r="F270" s="826"/>
      <c r="G270" s="814" t="s">
        <v>3858</v>
      </c>
      <c r="H270" s="813" t="s">
        <v>246</v>
      </c>
      <c r="I270" s="813" t="s">
        <v>4191</v>
      </c>
      <c r="J270" s="813" t="s">
        <v>4704</v>
      </c>
      <c r="K270" s="813" t="s">
        <v>3923</v>
      </c>
      <c r="L270" s="813" t="s">
        <v>3863</v>
      </c>
      <c r="M270" s="813" t="s">
        <v>3163</v>
      </c>
      <c r="N270" s="813" t="s">
        <v>4766</v>
      </c>
      <c r="O270" s="813" t="s">
        <v>3925</v>
      </c>
      <c r="P270" s="813" t="s">
        <v>4767</v>
      </c>
      <c r="Q270" s="813" t="s">
        <v>4768</v>
      </c>
      <c r="R270" s="813">
        <v>1</v>
      </c>
      <c r="S270" s="813" t="s">
        <v>3928</v>
      </c>
      <c r="T270" s="813" t="s">
        <v>4196</v>
      </c>
    </row>
    <row r="271" spans="1:20" ht="15" customHeight="1" x14ac:dyDescent="0.35">
      <c r="A271" s="803" t="s">
        <v>4769</v>
      </c>
      <c r="B271" s="803"/>
      <c r="C271" s="803"/>
      <c r="D271" s="803"/>
      <c r="E271" s="803"/>
      <c r="F271" s="803"/>
      <c r="G271" s="803" t="s">
        <v>4260</v>
      </c>
      <c r="H271" s="794"/>
      <c r="I271" s="794"/>
      <c r="J271" s="794"/>
      <c r="K271" s="794"/>
      <c r="L271" s="794"/>
      <c r="M271" s="794"/>
      <c r="N271" s="794"/>
      <c r="O271" s="794"/>
      <c r="P271" s="794"/>
      <c r="Q271" s="794"/>
      <c r="R271" s="794"/>
      <c r="S271" s="794"/>
      <c r="T271" s="794"/>
    </row>
    <row r="272" spans="1:20" ht="15" customHeight="1" x14ac:dyDescent="0.35">
      <c r="A272" s="794" t="s">
        <v>4770</v>
      </c>
      <c r="B272" s="794" t="s">
        <v>3857</v>
      </c>
      <c r="C272" s="812" t="s">
        <v>3913</v>
      </c>
      <c r="D272" s="825"/>
      <c r="E272" s="825"/>
      <c r="F272" s="825">
        <v>7185307.5</v>
      </c>
      <c r="G272" s="814" t="s">
        <v>3858</v>
      </c>
      <c r="H272" s="813" t="s">
        <v>246</v>
      </c>
      <c r="I272" s="813" t="s">
        <v>4191</v>
      </c>
      <c r="J272" s="813" t="s">
        <v>4771</v>
      </c>
      <c r="K272" s="813" t="s">
        <v>3923</v>
      </c>
      <c r="L272" s="813" t="s">
        <v>3863</v>
      </c>
      <c r="M272" s="813" t="s">
        <v>3163</v>
      </c>
      <c r="N272" s="813" t="s">
        <v>4772</v>
      </c>
      <c r="O272" s="813" t="s">
        <v>4264</v>
      </c>
      <c r="P272" s="813" t="s">
        <v>4773</v>
      </c>
      <c r="Q272" s="813" t="s">
        <v>4774</v>
      </c>
      <c r="R272" s="813">
        <v>1</v>
      </c>
      <c r="S272" s="813" t="s">
        <v>3928</v>
      </c>
      <c r="T272" s="813" t="s">
        <v>4196</v>
      </c>
    </row>
    <row r="273" spans="1:20" ht="15" customHeight="1" x14ac:dyDescent="0.35">
      <c r="A273" s="794" t="s">
        <v>4770</v>
      </c>
      <c r="B273" s="794" t="s">
        <v>3857</v>
      </c>
      <c r="C273" s="812" t="s">
        <v>3913</v>
      </c>
      <c r="D273" s="825"/>
      <c r="E273" s="825">
        <v>8981634.375</v>
      </c>
      <c r="F273" s="826"/>
      <c r="G273" s="814" t="s">
        <v>3858</v>
      </c>
      <c r="H273" s="813" t="s">
        <v>246</v>
      </c>
      <c r="I273" s="813" t="s">
        <v>4191</v>
      </c>
      <c r="J273" s="813" t="s">
        <v>4771</v>
      </c>
      <c r="K273" s="813" t="s">
        <v>3923</v>
      </c>
      <c r="L273" s="813" t="s">
        <v>3863</v>
      </c>
      <c r="M273" s="813" t="s">
        <v>3163</v>
      </c>
      <c r="N273" s="813" t="s">
        <v>4775</v>
      </c>
      <c r="O273" s="813" t="s">
        <v>4264</v>
      </c>
      <c r="P273" s="813" t="s">
        <v>4776</v>
      </c>
      <c r="Q273" s="813" t="s">
        <v>4777</v>
      </c>
      <c r="R273" s="813">
        <v>1</v>
      </c>
      <c r="S273" s="813" t="s">
        <v>3928</v>
      </c>
      <c r="T273" s="813" t="s">
        <v>4196</v>
      </c>
    </row>
    <row r="274" spans="1:20" ht="15" customHeight="1" x14ac:dyDescent="0.35">
      <c r="A274" s="794" t="s">
        <v>4770</v>
      </c>
      <c r="B274" s="794" t="s">
        <v>3857</v>
      </c>
      <c r="C274" s="812" t="s">
        <v>3913</v>
      </c>
      <c r="D274" s="825">
        <v>13817899.038461501</v>
      </c>
      <c r="E274" s="825"/>
      <c r="F274" s="826"/>
      <c r="G274" s="814" t="s">
        <v>3858</v>
      </c>
      <c r="H274" s="813" t="s">
        <v>246</v>
      </c>
      <c r="I274" s="813" t="s">
        <v>4191</v>
      </c>
      <c r="J274" s="813" t="s">
        <v>4771</v>
      </c>
      <c r="K274" s="813" t="s">
        <v>3923</v>
      </c>
      <c r="L274" s="813" t="s">
        <v>3863</v>
      </c>
      <c r="M274" s="813" t="s">
        <v>3163</v>
      </c>
      <c r="N274" s="813" t="s">
        <v>4778</v>
      </c>
      <c r="O274" s="813" t="s">
        <v>4264</v>
      </c>
      <c r="P274" s="813" t="s">
        <v>4779</v>
      </c>
      <c r="Q274" s="813" t="s">
        <v>4780</v>
      </c>
      <c r="R274" s="813">
        <v>1</v>
      </c>
      <c r="S274" s="813" t="s">
        <v>3928</v>
      </c>
      <c r="T274" s="813" t="s">
        <v>4196</v>
      </c>
    </row>
    <row r="275" spans="1:20" ht="15" customHeight="1" x14ac:dyDescent="0.35">
      <c r="A275" s="794" t="s">
        <v>4781</v>
      </c>
      <c r="B275" s="794" t="s">
        <v>3857</v>
      </c>
      <c r="C275" s="812" t="s">
        <v>3913</v>
      </c>
      <c r="D275" s="825"/>
      <c r="E275" s="825"/>
      <c r="F275" s="825">
        <v>0.05</v>
      </c>
      <c r="G275" s="814" t="s">
        <v>3858</v>
      </c>
      <c r="H275" s="813" t="s">
        <v>246</v>
      </c>
      <c r="I275" s="813" t="s">
        <v>4191</v>
      </c>
      <c r="J275" s="813" t="s">
        <v>4771</v>
      </c>
      <c r="K275" s="813" t="s">
        <v>3923</v>
      </c>
      <c r="L275" s="813" t="s">
        <v>3863</v>
      </c>
      <c r="M275" s="813" t="s">
        <v>3163</v>
      </c>
      <c r="N275" s="813" t="s">
        <v>4782</v>
      </c>
      <c r="O275" s="813" t="s">
        <v>3883</v>
      </c>
      <c r="P275" s="813" t="s">
        <v>4783</v>
      </c>
      <c r="Q275" s="813" t="s">
        <v>4784</v>
      </c>
      <c r="R275" s="813">
        <v>1</v>
      </c>
      <c r="S275" s="813" t="s">
        <v>3928</v>
      </c>
      <c r="T275" s="813" t="s">
        <v>4196</v>
      </c>
    </row>
    <row r="276" spans="1:20" ht="15" customHeight="1" x14ac:dyDescent="0.35">
      <c r="A276" s="794" t="s">
        <v>4781</v>
      </c>
      <c r="B276" s="794" t="s">
        <v>3857</v>
      </c>
      <c r="C276" s="812" t="s">
        <v>3913</v>
      </c>
      <c r="D276" s="825"/>
      <c r="E276" s="825"/>
      <c r="F276" s="825">
        <v>3421575</v>
      </c>
      <c r="G276" s="814" t="s">
        <v>3858</v>
      </c>
      <c r="H276" s="813" t="s">
        <v>246</v>
      </c>
      <c r="I276" s="813" t="s">
        <v>4191</v>
      </c>
      <c r="J276" s="813" t="s">
        <v>4771</v>
      </c>
      <c r="K276" s="813" t="s">
        <v>3923</v>
      </c>
      <c r="L276" s="813" t="s">
        <v>3863</v>
      </c>
      <c r="M276" s="813" t="s">
        <v>3163</v>
      </c>
      <c r="N276" s="813" t="s">
        <v>4785</v>
      </c>
      <c r="O276" s="813" t="s">
        <v>3925</v>
      </c>
      <c r="P276" s="813" t="s">
        <v>4786</v>
      </c>
      <c r="Q276" s="813" t="s">
        <v>4787</v>
      </c>
      <c r="R276" s="813">
        <v>1</v>
      </c>
      <c r="S276" s="813" t="s">
        <v>3928</v>
      </c>
      <c r="T276" s="813" t="s">
        <v>4196</v>
      </c>
    </row>
    <row r="277" spans="1:20" ht="15" customHeight="1" x14ac:dyDescent="0.35">
      <c r="A277" s="794" t="s">
        <v>4781</v>
      </c>
      <c r="B277" s="794" t="s">
        <v>3857</v>
      </c>
      <c r="C277" s="812" t="s">
        <v>3913</v>
      </c>
      <c r="D277" s="825"/>
      <c r="E277" s="825">
        <v>4276968.75</v>
      </c>
      <c r="F277" s="826"/>
      <c r="G277" s="814" t="s">
        <v>3858</v>
      </c>
      <c r="H277" s="813" t="s">
        <v>246</v>
      </c>
      <c r="I277" s="813" t="s">
        <v>4191</v>
      </c>
      <c r="J277" s="813" t="s">
        <v>4771</v>
      </c>
      <c r="K277" s="813" t="s">
        <v>3923</v>
      </c>
      <c r="L277" s="813" t="s">
        <v>3863</v>
      </c>
      <c r="M277" s="813" t="s">
        <v>3163</v>
      </c>
      <c r="N277" s="813" t="s">
        <v>4788</v>
      </c>
      <c r="O277" s="813" t="s">
        <v>3925</v>
      </c>
      <c r="P277" s="813" t="s">
        <v>4789</v>
      </c>
      <c r="Q277" s="813" t="s">
        <v>4790</v>
      </c>
      <c r="R277" s="813">
        <v>1</v>
      </c>
      <c r="S277" s="813" t="s">
        <v>3928</v>
      </c>
      <c r="T277" s="813" t="s">
        <v>4196</v>
      </c>
    </row>
    <row r="278" spans="1:20" ht="15" customHeight="1" x14ac:dyDescent="0.35">
      <c r="A278" s="794" t="s">
        <v>4781</v>
      </c>
      <c r="B278" s="794" t="s">
        <v>3857</v>
      </c>
      <c r="C278" s="812" t="s">
        <v>3913</v>
      </c>
      <c r="D278" s="825">
        <v>6579951.9230769202</v>
      </c>
      <c r="E278" s="825"/>
      <c r="F278" s="826"/>
      <c r="G278" s="814" t="s">
        <v>3858</v>
      </c>
      <c r="H278" s="813" t="s">
        <v>246</v>
      </c>
      <c r="I278" s="813" t="s">
        <v>4191</v>
      </c>
      <c r="J278" s="813" t="s">
        <v>4771</v>
      </c>
      <c r="K278" s="813" t="s">
        <v>3923</v>
      </c>
      <c r="L278" s="813" t="s">
        <v>3863</v>
      </c>
      <c r="M278" s="813" t="s">
        <v>3163</v>
      </c>
      <c r="N278" s="813" t="s">
        <v>4791</v>
      </c>
      <c r="O278" s="813" t="s">
        <v>3925</v>
      </c>
      <c r="P278" s="813" t="s">
        <v>4792</v>
      </c>
      <c r="Q278" s="813" t="s">
        <v>4793</v>
      </c>
      <c r="R278" s="813">
        <v>1</v>
      </c>
      <c r="S278" s="813" t="s">
        <v>3928</v>
      </c>
      <c r="T278" s="813" t="s">
        <v>4196</v>
      </c>
    </row>
    <row r="279" spans="1:20" ht="15" customHeight="1" x14ac:dyDescent="0.35">
      <c r="A279" s="794" t="s">
        <v>4770</v>
      </c>
      <c r="B279" s="794" t="s">
        <v>3857</v>
      </c>
      <c r="C279" s="812" t="s">
        <v>3913</v>
      </c>
      <c r="D279" s="825"/>
      <c r="E279" s="825"/>
      <c r="F279" s="825">
        <v>0.1</v>
      </c>
      <c r="G279" s="814" t="s">
        <v>3858</v>
      </c>
      <c r="H279" s="813" t="s">
        <v>246</v>
      </c>
      <c r="I279" s="813" t="s">
        <v>4191</v>
      </c>
      <c r="J279" s="813" t="s">
        <v>4771</v>
      </c>
      <c r="K279" s="813" t="s">
        <v>3923</v>
      </c>
      <c r="L279" s="813" t="s">
        <v>3863</v>
      </c>
      <c r="M279" s="813" t="s">
        <v>3163</v>
      </c>
      <c r="N279" s="813" t="s">
        <v>4794</v>
      </c>
      <c r="O279" s="813" t="s">
        <v>3883</v>
      </c>
      <c r="P279" s="813" t="s">
        <v>4795</v>
      </c>
      <c r="Q279" s="813" t="s">
        <v>4796</v>
      </c>
      <c r="R279" s="813">
        <v>1</v>
      </c>
      <c r="S279" s="813" t="s">
        <v>3928</v>
      </c>
      <c r="T279" s="813" t="s">
        <v>4196</v>
      </c>
    </row>
    <row r="280" spans="1:20" ht="15" customHeight="1" x14ac:dyDescent="0.35">
      <c r="A280" s="794" t="s">
        <v>4797</v>
      </c>
      <c r="B280" s="794" t="s">
        <v>3857</v>
      </c>
      <c r="C280" s="812" t="s">
        <v>3913</v>
      </c>
      <c r="D280" s="825"/>
      <c r="E280" s="825"/>
      <c r="F280" s="825">
        <v>0.05</v>
      </c>
      <c r="G280" s="814" t="s">
        <v>3858</v>
      </c>
      <c r="H280" s="813" t="s">
        <v>246</v>
      </c>
      <c r="I280" s="813" t="s">
        <v>4191</v>
      </c>
      <c r="J280" s="813" t="s">
        <v>4771</v>
      </c>
      <c r="K280" s="813" t="s">
        <v>3923</v>
      </c>
      <c r="L280" s="813" t="s">
        <v>3863</v>
      </c>
      <c r="M280" s="813" t="s">
        <v>3163</v>
      </c>
      <c r="N280" s="813" t="s">
        <v>4798</v>
      </c>
      <c r="O280" s="813" t="s">
        <v>3883</v>
      </c>
      <c r="P280" s="813" t="s">
        <v>4799</v>
      </c>
      <c r="Q280" s="813" t="s">
        <v>4800</v>
      </c>
      <c r="R280" s="813">
        <v>1</v>
      </c>
      <c r="S280" s="813" t="s">
        <v>3928</v>
      </c>
      <c r="T280" s="813" t="s">
        <v>4196</v>
      </c>
    </row>
    <row r="281" spans="1:20" ht="15" customHeight="1" x14ac:dyDescent="0.35">
      <c r="A281" s="794" t="s">
        <v>4797</v>
      </c>
      <c r="B281" s="794" t="s">
        <v>3857</v>
      </c>
      <c r="C281" s="812" t="s">
        <v>3913</v>
      </c>
      <c r="D281" s="825"/>
      <c r="E281" s="825"/>
      <c r="F281" s="825">
        <v>3326825</v>
      </c>
      <c r="G281" s="814" t="s">
        <v>3858</v>
      </c>
      <c r="H281" s="813" t="s">
        <v>246</v>
      </c>
      <c r="I281" s="813" t="s">
        <v>4191</v>
      </c>
      <c r="J281" s="813" t="s">
        <v>4771</v>
      </c>
      <c r="K281" s="813" t="s">
        <v>3923</v>
      </c>
      <c r="L281" s="813" t="s">
        <v>3863</v>
      </c>
      <c r="M281" s="813" t="s">
        <v>3163</v>
      </c>
      <c r="N281" s="813" t="s">
        <v>4801</v>
      </c>
      <c r="O281" s="813" t="s">
        <v>3883</v>
      </c>
      <c r="P281" s="813" t="s">
        <v>4802</v>
      </c>
      <c r="Q281" s="813" t="s">
        <v>4803</v>
      </c>
      <c r="R281" s="813">
        <v>1</v>
      </c>
      <c r="S281" s="813" t="s">
        <v>3928</v>
      </c>
      <c r="T281" s="813" t="s">
        <v>4196</v>
      </c>
    </row>
    <row r="282" spans="1:20" ht="15" customHeight="1" x14ac:dyDescent="0.35">
      <c r="A282" s="794" t="s">
        <v>4797</v>
      </c>
      <c r="B282" s="794" t="s">
        <v>3857</v>
      </c>
      <c r="C282" s="812" t="s">
        <v>3913</v>
      </c>
      <c r="D282" s="825"/>
      <c r="E282" s="825">
        <v>4158531.25</v>
      </c>
      <c r="F282" s="826"/>
      <c r="G282" s="814" t="s">
        <v>3858</v>
      </c>
      <c r="H282" s="813" t="s">
        <v>246</v>
      </c>
      <c r="I282" s="813" t="s">
        <v>4191</v>
      </c>
      <c r="J282" s="813" t="s">
        <v>4771</v>
      </c>
      <c r="K282" s="813" t="s">
        <v>3923</v>
      </c>
      <c r="L282" s="813" t="s">
        <v>3863</v>
      </c>
      <c r="M282" s="813" t="s">
        <v>3163</v>
      </c>
      <c r="N282" s="813" t="s">
        <v>4804</v>
      </c>
      <c r="O282" s="813" t="s">
        <v>3883</v>
      </c>
      <c r="P282" s="813" t="s">
        <v>4805</v>
      </c>
      <c r="Q282" s="813" t="s">
        <v>4806</v>
      </c>
      <c r="R282" s="813">
        <v>1</v>
      </c>
      <c r="S282" s="813" t="s">
        <v>3928</v>
      </c>
      <c r="T282" s="813" t="s">
        <v>4196</v>
      </c>
    </row>
    <row r="283" spans="1:20" ht="15" customHeight="1" x14ac:dyDescent="0.35">
      <c r="A283" s="794" t="s">
        <v>4797</v>
      </c>
      <c r="B283" s="794" t="s">
        <v>3857</v>
      </c>
      <c r="C283" s="812" t="s">
        <v>3913</v>
      </c>
      <c r="D283" s="825">
        <v>6397740.3846153803</v>
      </c>
      <c r="E283" s="825"/>
      <c r="F283" s="826"/>
      <c r="G283" s="814" t="s">
        <v>3858</v>
      </c>
      <c r="H283" s="813" t="s">
        <v>246</v>
      </c>
      <c r="I283" s="813" t="s">
        <v>4191</v>
      </c>
      <c r="J283" s="813" t="s">
        <v>4771</v>
      </c>
      <c r="K283" s="813" t="s">
        <v>3923</v>
      </c>
      <c r="L283" s="813" t="s">
        <v>3863</v>
      </c>
      <c r="M283" s="813" t="s">
        <v>3163</v>
      </c>
      <c r="N283" s="813" t="s">
        <v>4807</v>
      </c>
      <c r="O283" s="813" t="s">
        <v>3883</v>
      </c>
      <c r="P283" s="813" t="s">
        <v>4808</v>
      </c>
      <c r="Q283" s="813" t="s">
        <v>4809</v>
      </c>
      <c r="R283" s="813">
        <v>1</v>
      </c>
      <c r="S283" s="813" t="s">
        <v>3928</v>
      </c>
      <c r="T283" s="813" t="s">
        <v>4196</v>
      </c>
    </row>
    <row r="284" spans="1:20" ht="15" customHeight="1" x14ac:dyDescent="0.35">
      <c r="A284" s="803" t="s">
        <v>4810</v>
      </c>
      <c r="B284" s="803"/>
      <c r="C284" s="803"/>
      <c r="D284" s="803"/>
      <c r="E284" s="803"/>
      <c r="F284" s="803"/>
      <c r="G284" s="803" t="s">
        <v>4811</v>
      </c>
      <c r="H284" s="794"/>
      <c r="I284" s="794"/>
      <c r="J284" s="794"/>
      <c r="K284" s="794"/>
      <c r="L284" s="794"/>
      <c r="M284" s="794"/>
      <c r="N284" s="794"/>
      <c r="O284" s="794"/>
      <c r="P284" s="794"/>
      <c r="Q284" s="794"/>
      <c r="R284" s="794"/>
      <c r="S284" s="794"/>
      <c r="T284" s="794"/>
    </row>
    <row r="285" spans="1:20" ht="15" customHeight="1" x14ac:dyDescent="0.35">
      <c r="A285" s="794" t="s">
        <v>4812</v>
      </c>
      <c r="B285" s="794" t="s">
        <v>3857</v>
      </c>
      <c r="C285" s="812" t="s">
        <v>3913</v>
      </c>
      <c r="D285" s="825"/>
      <c r="E285" s="825"/>
      <c r="F285" s="825">
        <v>128843.6</v>
      </c>
      <c r="G285" s="814" t="s">
        <v>3858</v>
      </c>
      <c r="H285" s="813" t="s">
        <v>246</v>
      </c>
      <c r="I285" s="813" t="s">
        <v>4191</v>
      </c>
      <c r="J285" s="813" t="s">
        <v>4813</v>
      </c>
      <c r="K285" s="813" t="s">
        <v>3923</v>
      </c>
      <c r="L285" s="813" t="s">
        <v>3863</v>
      </c>
      <c r="M285" s="813" t="s">
        <v>3163</v>
      </c>
      <c r="N285" s="813" t="s">
        <v>4814</v>
      </c>
      <c r="O285" s="813" t="s">
        <v>4264</v>
      </c>
      <c r="P285" s="813" t="s">
        <v>4815</v>
      </c>
      <c r="Q285" s="813" t="s">
        <v>4816</v>
      </c>
      <c r="R285" s="813">
        <v>1</v>
      </c>
      <c r="S285" s="813" t="s">
        <v>3928</v>
      </c>
      <c r="T285" s="813" t="s">
        <v>4196</v>
      </c>
    </row>
    <row r="286" spans="1:20" ht="15" customHeight="1" x14ac:dyDescent="0.35">
      <c r="A286" s="794" t="s">
        <v>4812</v>
      </c>
      <c r="B286" s="794" t="s">
        <v>3857</v>
      </c>
      <c r="C286" s="812" t="s">
        <v>3913</v>
      </c>
      <c r="D286" s="825"/>
      <c r="E286" s="825">
        <v>161054.5</v>
      </c>
      <c r="F286" s="826"/>
      <c r="G286" s="814" t="s">
        <v>3858</v>
      </c>
      <c r="H286" s="813" t="s">
        <v>246</v>
      </c>
      <c r="I286" s="813" t="s">
        <v>4191</v>
      </c>
      <c r="J286" s="813" t="s">
        <v>4813</v>
      </c>
      <c r="K286" s="813" t="s">
        <v>3923</v>
      </c>
      <c r="L286" s="813" t="s">
        <v>3863</v>
      </c>
      <c r="M286" s="813" t="s">
        <v>3163</v>
      </c>
      <c r="N286" s="813" t="s">
        <v>4817</v>
      </c>
      <c r="O286" s="813" t="s">
        <v>4264</v>
      </c>
      <c r="P286" s="813" t="s">
        <v>4818</v>
      </c>
      <c r="Q286" s="813" t="s">
        <v>4819</v>
      </c>
      <c r="R286" s="813">
        <v>1</v>
      </c>
      <c r="S286" s="813" t="s">
        <v>3928</v>
      </c>
      <c r="T286" s="813" t="s">
        <v>4196</v>
      </c>
    </row>
    <row r="287" spans="1:20" ht="15" customHeight="1" x14ac:dyDescent="0.35">
      <c r="A287" s="794" t="s">
        <v>4812</v>
      </c>
      <c r="B287" s="794" t="s">
        <v>3857</v>
      </c>
      <c r="C287" s="812" t="s">
        <v>3913</v>
      </c>
      <c r="D287" s="825">
        <v>247776.15384615399</v>
      </c>
      <c r="E287" s="825"/>
      <c r="F287" s="826"/>
      <c r="G287" s="814" t="s">
        <v>3858</v>
      </c>
      <c r="H287" s="813" t="s">
        <v>246</v>
      </c>
      <c r="I287" s="813" t="s">
        <v>4191</v>
      </c>
      <c r="J287" s="813" t="s">
        <v>4813</v>
      </c>
      <c r="K287" s="813" t="s">
        <v>3923</v>
      </c>
      <c r="L287" s="813" t="s">
        <v>3863</v>
      </c>
      <c r="M287" s="813" t="s">
        <v>3163</v>
      </c>
      <c r="N287" s="813" t="s">
        <v>4820</v>
      </c>
      <c r="O287" s="813" t="s">
        <v>4264</v>
      </c>
      <c r="P287" s="813" t="s">
        <v>4821</v>
      </c>
      <c r="Q287" s="813" t="s">
        <v>4822</v>
      </c>
      <c r="R287" s="813">
        <v>1</v>
      </c>
      <c r="S287" s="813" t="s">
        <v>3928</v>
      </c>
      <c r="T287" s="813" t="s">
        <v>4196</v>
      </c>
    </row>
    <row r="288" spans="1:20" ht="15" customHeight="1" x14ac:dyDescent="0.35">
      <c r="A288" s="794" t="s">
        <v>4823</v>
      </c>
      <c r="B288" s="794" t="s">
        <v>3857</v>
      </c>
      <c r="C288" s="812" t="s">
        <v>3913</v>
      </c>
      <c r="D288" s="825">
        <v>961538.46153846197</v>
      </c>
      <c r="E288" s="825">
        <v>625000</v>
      </c>
      <c r="F288" s="825">
        <v>500000</v>
      </c>
      <c r="G288" s="814" t="s">
        <v>3858</v>
      </c>
      <c r="H288" s="813" t="s">
        <v>246</v>
      </c>
      <c r="I288" s="813" t="s">
        <v>4191</v>
      </c>
      <c r="J288" s="813" t="s">
        <v>4813</v>
      </c>
      <c r="K288" s="813" t="s">
        <v>3923</v>
      </c>
      <c r="L288" s="813" t="s">
        <v>3863</v>
      </c>
      <c r="M288" s="813" t="s">
        <v>3163</v>
      </c>
      <c r="N288" s="813" t="s">
        <v>4824</v>
      </c>
      <c r="O288" s="813" t="s">
        <v>3925</v>
      </c>
      <c r="P288" s="813" t="s">
        <v>4825</v>
      </c>
      <c r="Q288" s="813" t="s">
        <v>4826</v>
      </c>
      <c r="R288" s="813">
        <v>3</v>
      </c>
      <c r="S288" s="813" t="s">
        <v>3928</v>
      </c>
      <c r="T288" s="813" t="s">
        <v>4196</v>
      </c>
    </row>
    <row r="289" spans="1:20" ht="15" customHeight="1" x14ac:dyDescent="0.35">
      <c r="A289" s="794" t="s">
        <v>4827</v>
      </c>
      <c r="B289" s="794" t="s">
        <v>3857</v>
      </c>
      <c r="C289" s="812" t="s">
        <v>3913</v>
      </c>
      <c r="D289" s="825">
        <v>480769.23076923098</v>
      </c>
      <c r="E289" s="825">
        <v>312500</v>
      </c>
      <c r="F289" s="825">
        <v>250000</v>
      </c>
      <c r="G289" s="814" t="s">
        <v>3858</v>
      </c>
      <c r="H289" s="813" t="s">
        <v>246</v>
      </c>
      <c r="I289" s="813" t="s">
        <v>4191</v>
      </c>
      <c r="J289" s="813" t="s">
        <v>4813</v>
      </c>
      <c r="K289" s="813" t="s">
        <v>3923</v>
      </c>
      <c r="L289" s="813" t="s">
        <v>3863</v>
      </c>
      <c r="M289" s="813" t="s">
        <v>3163</v>
      </c>
      <c r="N289" s="813" t="s">
        <v>4828</v>
      </c>
      <c r="O289" s="813" t="s">
        <v>3925</v>
      </c>
      <c r="P289" s="813" t="s">
        <v>4829</v>
      </c>
      <c r="Q289" s="813" t="s">
        <v>4830</v>
      </c>
      <c r="R289" s="813">
        <v>3</v>
      </c>
      <c r="S289" s="813" t="s">
        <v>3928</v>
      </c>
      <c r="T289" s="813" t="s">
        <v>4196</v>
      </c>
    </row>
    <row r="290" spans="1:20" ht="15" customHeight="1" x14ac:dyDescent="0.35">
      <c r="A290" s="794" t="s">
        <v>4831</v>
      </c>
      <c r="B290" s="794" t="s">
        <v>3857</v>
      </c>
      <c r="C290" s="812" t="s">
        <v>3913</v>
      </c>
      <c r="D290" s="825">
        <v>865384.61538461503</v>
      </c>
      <c r="E290" s="825">
        <v>562500</v>
      </c>
      <c r="F290" s="825">
        <v>450000</v>
      </c>
      <c r="G290" s="814" t="s">
        <v>3858</v>
      </c>
      <c r="H290" s="813" t="s">
        <v>246</v>
      </c>
      <c r="I290" s="813" t="s">
        <v>4191</v>
      </c>
      <c r="J290" s="813" t="s">
        <v>4813</v>
      </c>
      <c r="K290" s="813" t="s">
        <v>3923</v>
      </c>
      <c r="L290" s="813" t="s">
        <v>3863</v>
      </c>
      <c r="M290" s="813" t="s">
        <v>3163</v>
      </c>
      <c r="N290" s="813" t="s">
        <v>4832</v>
      </c>
      <c r="O290" s="813" t="s">
        <v>3925</v>
      </c>
      <c r="P290" s="813" t="s">
        <v>4833</v>
      </c>
      <c r="Q290" s="813" t="s">
        <v>4834</v>
      </c>
      <c r="R290" s="813">
        <v>3</v>
      </c>
      <c r="S290" s="813" t="s">
        <v>3928</v>
      </c>
      <c r="T290" s="813" t="s">
        <v>4196</v>
      </c>
    </row>
    <row r="291" spans="1:20" ht="15" customHeight="1" x14ac:dyDescent="0.35">
      <c r="A291" s="794" t="s">
        <v>4835</v>
      </c>
      <c r="B291" s="794" t="s">
        <v>3857</v>
      </c>
      <c r="C291" s="812" t="s">
        <v>3913</v>
      </c>
      <c r="D291" s="825">
        <v>769230.76923076902</v>
      </c>
      <c r="E291" s="825">
        <v>500000</v>
      </c>
      <c r="F291" s="825">
        <v>400000</v>
      </c>
      <c r="G291" s="814" t="s">
        <v>3858</v>
      </c>
      <c r="H291" s="813" t="s">
        <v>246</v>
      </c>
      <c r="I291" s="813" t="s">
        <v>4191</v>
      </c>
      <c r="J291" s="813" t="s">
        <v>4813</v>
      </c>
      <c r="K291" s="813" t="s">
        <v>3923</v>
      </c>
      <c r="L291" s="813" t="s">
        <v>3863</v>
      </c>
      <c r="M291" s="813" t="s">
        <v>3163</v>
      </c>
      <c r="N291" s="813" t="s">
        <v>4836</v>
      </c>
      <c r="O291" s="813" t="s">
        <v>3925</v>
      </c>
      <c r="P291" s="813" t="s">
        <v>4837</v>
      </c>
      <c r="Q291" s="813" t="s">
        <v>4838</v>
      </c>
      <c r="R291" s="813">
        <v>3</v>
      </c>
      <c r="S291" s="813" t="s">
        <v>3928</v>
      </c>
      <c r="T291" s="813" t="s">
        <v>4196</v>
      </c>
    </row>
    <row r="292" spans="1:20" ht="15" customHeight="1" x14ac:dyDescent="0.35">
      <c r="A292" s="794" t="s">
        <v>4839</v>
      </c>
      <c r="B292" s="794" t="s">
        <v>3857</v>
      </c>
      <c r="C292" s="812" t="s">
        <v>3913</v>
      </c>
      <c r="D292" s="825">
        <v>480769.23076923098</v>
      </c>
      <c r="E292" s="825">
        <v>312500</v>
      </c>
      <c r="F292" s="825">
        <v>250000</v>
      </c>
      <c r="G292" s="814" t="s">
        <v>3858</v>
      </c>
      <c r="H292" s="813" t="s">
        <v>246</v>
      </c>
      <c r="I292" s="813" t="s">
        <v>4191</v>
      </c>
      <c r="J292" s="813" t="s">
        <v>4813</v>
      </c>
      <c r="K292" s="813" t="s">
        <v>3923</v>
      </c>
      <c r="L292" s="813" t="s">
        <v>3863</v>
      </c>
      <c r="M292" s="813" t="s">
        <v>3163</v>
      </c>
      <c r="N292" s="813" t="s">
        <v>4840</v>
      </c>
      <c r="O292" s="813" t="s">
        <v>3925</v>
      </c>
      <c r="P292" s="813" t="s">
        <v>4841</v>
      </c>
      <c r="Q292" s="813" t="s">
        <v>4842</v>
      </c>
      <c r="R292" s="813">
        <v>3</v>
      </c>
      <c r="S292" s="813" t="s">
        <v>3928</v>
      </c>
      <c r="T292" s="813" t="s">
        <v>4196</v>
      </c>
    </row>
    <row r="293" spans="1:20" ht="15" customHeight="1" x14ac:dyDescent="0.35">
      <c r="A293" s="794" t="s">
        <v>4843</v>
      </c>
      <c r="B293" s="794" t="s">
        <v>3857</v>
      </c>
      <c r="C293" s="812" t="s">
        <v>3913</v>
      </c>
      <c r="D293" s="825">
        <v>173076.92307692301</v>
      </c>
      <c r="E293" s="825">
        <v>112500</v>
      </c>
      <c r="F293" s="825">
        <v>90000</v>
      </c>
      <c r="G293" s="814" t="s">
        <v>3858</v>
      </c>
      <c r="H293" s="813" t="s">
        <v>246</v>
      </c>
      <c r="I293" s="813" t="s">
        <v>4191</v>
      </c>
      <c r="J293" s="813" t="s">
        <v>4813</v>
      </c>
      <c r="K293" s="813" t="s">
        <v>3923</v>
      </c>
      <c r="L293" s="813" t="s">
        <v>3863</v>
      </c>
      <c r="M293" s="813" t="s">
        <v>3163</v>
      </c>
      <c r="N293" s="813" t="s">
        <v>4844</v>
      </c>
      <c r="O293" s="813" t="s">
        <v>3925</v>
      </c>
      <c r="P293" s="813" t="s">
        <v>4845</v>
      </c>
      <c r="Q293" s="813" t="s">
        <v>4846</v>
      </c>
      <c r="R293" s="813">
        <v>3</v>
      </c>
      <c r="S293" s="813" t="s">
        <v>3928</v>
      </c>
      <c r="T293" s="813" t="s">
        <v>4196</v>
      </c>
    </row>
    <row r="294" spans="1:20" ht="15" customHeight="1" x14ac:dyDescent="0.35">
      <c r="A294" s="794" t="s">
        <v>4847</v>
      </c>
      <c r="B294" s="794" t="s">
        <v>3857</v>
      </c>
      <c r="C294" s="812" t="s">
        <v>3913</v>
      </c>
      <c r="D294" s="825">
        <v>96153.8461538462</v>
      </c>
      <c r="E294" s="825">
        <v>62500</v>
      </c>
      <c r="F294" s="825">
        <v>50000</v>
      </c>
      <c r="G294" s="814" t="s">
        <v>3858</v>
      </c>
      <c r="H294" s="813" t="s">
        <v>246</v>
      </c>
      <c r="I294" s="813" t="s">
        <v>4191</v>
      </c>
      <c r="J294" s="813" t="s">
        <v>4813</v>
      </c>
      <c r="K294" s="813" t="s">
        <v>3923</v>
      </c>
      <c r="L294" s="813" t="s">
        <v>3863</v>
      </c>
      <c r="M294" s="813" t="s">
        <v>3163</v>
      </c>
      <c r="N294" s="813" t="s">
        <v>4848</v>
      </c>
      <c r="O294" s="813" t="s">
        <v>3925</v>
      </c>
      <c r="P294" s="813" t="s">
        <v>4849</v>
      </c>
      <c r="Q294" s="813" t="s">
        <v>4850</v>
      </c>
      <c r="R294" s="813">
        <v>3</v>
      </c>
      <c r="S294" s="813" t="s">
        <v>3928</v>
      </c>
      <c r="T294" s="813" t="s">
        <v>4196</v>
      </c>
    </row>
    <row r="295" spans="1:20" ht="15" customHeight="1" x14ac:dyDescent="0.35">
      <c r="A295" s="794" t="s">
        <v>4851</v>
      </c>
      <c r="B295" s="794" t="s">
        <v>3857</v>
      </c>
      <c r="C295" s="812" t="s">
        <v>3913</v>
      </c>
      <c r="D295" s="825">
        <v>14423.0769230769</v>
      </c>
      <c r="E295" s="825">
        <v>9375</v>
      </c>
      <c r="F295" s="825">
        <v>7500</v>
      </c>
      <c r="G295" s="814" t="s">
        <v>3858</v>
      </c>
      <c r="H295" s="813" t="s">
        <v>246</v>
      </c>
      <c r="I295" s="813" t="s">
        <v>4191</v>
      </c>
      <c r="J295" s="813" t="s">
        <v>4813</v>
      </c>
      <c r="K295" s="813" t="s">
        <v>3923</v>
      </c>
      <c r="L295" s="813" t="s">
        <v>3863</v>
      </c>
      <c r="M295" s="813" t="s">
        <v>3163</v>
      </c>
      <c r="N295" s="813" t="s">
        <v>4852</v>
      </c>
      <c r="O295" s="813" t="s">
        <v>3925</v>
      </c>
      <c r="P295" s="813" t="s">
        <v>4853</v>
      </c>
      <c r="Q295" s="813" t="s">
        <v>4854</v>
      </c>
      <c r="R295" s="813">
        <v>3</v>
      </c>
      <c r="S295" s="813" t="s">
        <v>3928</v>
      </c>
      <c r="T295" s="813" t="s">
        <v>4196</v>
      </c>
    </row>
    <row r="296" spans="1:20" ht="15" customHeight="1" x14ac:dyDescent="0.35">
      <c r="A296" s="794" t="s">
        <v>4855</v>
      </c>
      <c r="B296" s="794" t="s">
        <v>3857</v>
      </c>
      <c r="C296" s="812" t="s">
        <v>83</v>
      </c>
      <c r="D296" s="825"/>
      <c r="E296" s="825"/>
      <c r="F296" s="829">
        <v>0.05</v>
      </c>
      <c r="G296" s="814" t="s">
        <v>3858</v>
      </c>
      <c r="H296" s="813" t="s">
        <v>246</v>
      </c>
      <c r="I296" s="813" t="s">
        <v>4191</v>
      </c>
      <c r="J296" s="813" t="s">
        <v>4813</v>
      </c>
      <c r="K296" s="813" t="s">
        <v>3923</v>
      </c>
      <c r="L296" s="813" t="s">
        <v>3863</v>
      </c>
      <c r="M296" s="813" t="s">
        <v>3163</v>
      </c>
      <c r="N296" s="813" t="s">
        <v>4856</v>
      </c>
      <c r="O296" s="813" t="s">
        <v>3883</v>
      </c>
      <c r="P296" s="813" t="s">
        <v>4857</v>
      </c>
      <c r="Q296" s="813" t="s">
        <v>4858</v>
      </c>
      <c r="R296" s="813">
        <v>1</v>
      </c>
      <c r="S296" s="813" t="s">
        <v>3928</v>
      </c>
      <c r="T296" s="813" t="s">
        <v>4196</v>
      </c>
    </row>
    <row r="297" spans="1:20" ht="15" customHeight="1" x14ac:dyDescent="0.35">
      <c r="A297" s="794" t="s">
        <v>4855</v>
      </c>
      <c r="B297" s="794" t="s">
        <v>3857</v>
      </c>
      <c r="C297" s="812" t="s">
        <v>3913</v>
      </c>
      <c r="D297" s="825"/>
      <c r="E297" s="825"/>
      <c r="F297" s="825">
        <v>116116</v>
      </c>
      <c r="G297" s="814" t="s">
        <v>3858</v>
      </c>
      <c r="H297" s="813" t="s">
        <v>246</v>
      </c>
      <c r="I297" s="813" t="s">
        <v>4191</v>
      </c>
      <c r="J297" s="813" t="s">
        <v>4813</v>
      </c>
      <c r="K297" s="813" t="s">
        <v>3923</v>
      </c>
      <c r="L297" s="813" t="s">
        <v>3863</v>
      </c>
      <c r="M297" s="813" t="s">
        <v>3163</v>
      </c>
      <c r="N297" s="813" t="s">
        <v>4859</v>
      </c>
      <c r="O297" s="813" t="s">
        <v>3925</v>
      </c>
      <c r="P297" s="813" t="s">
        <v>4860</v>
      </c>
      <c r="Q297" s="813" t="s">
        <v>4861</v>
      </c>
      <c r="R297" s="813">
        <v>1</v>
      </c>
      <c r="S297" s="813" t="s">
        <v>3928</v>
      </c>
      <c r="T297" s="813" t="s">
        <v>4196</v>
      </c>
    </row>
    <row r="298" spans="1:20" ht="15" customHeight="1" x14ac:dyDescent="0.35">
      <c r="A298" s="794" t="s">
        <v>4855</v>
      </c>
      <c r="B298" s="794" t="s">
        <v>3857</v>
      </c>
      <c r="C298" s="812" t="s">
        <v>3913</v>
      </c>
      <c r="D298" s="825"/>
      <c r="E298" s="825">
        <v>145145</v>
      </c>
      <c r="F298" s="826"/>
      <c r="G298" s="814" t="s">
        <v>3858</v>
      </c>
      <c r="H298" s="813" t="s">
        <v>246</v>
      </c>
      <c r="I298" s="813" t="s">
        <v>4191</v>
      </c>
      <c r="J298" s="813" t="s">
        <v>4813</v>
      </c>
      <c r="K298" s="813" t="s">
        <v>3923</v>
      </c>
      <c r="L298" s="813" t="s">
        <v>3863</v>
      </c>
      <c r="M298" s="813" t="s">
        <v>3163</v>
      </c>
      <c r="N298" s="813" t="s">
        <v>4862</v>
      </c>
      <c r="O298" s="813" t="s">
        <v>3925</v>
      </c>
      <c r="P298" s="813" t="s">
        <v>4863</v>
      </c>
      <c r="Q298" s="813" t="s">
        <v>4864</v>
      </c>
      <c r="R298" s="813">
        <v>1</v>
      </c>
      <c r="S298" s="813" t="s">
        <v>3928</v>
      </c>
      <c r="T298" s="813" t="s">
        <v>4196</v>
      </c>
    </row>
    <row r="299" spans="1:20" ht="15" customHeight="1" x14ac:dyDescent="0.35">
      <c r="A299" s="794" t="s">
        <v>4855</v>
      </c>
      <c r="B299" s="794" t="s">
        <v>3857</v>
      </c>
      <c r="C299" s="812" t="s">
        <v>3913</v>
      </c>
      <c r="D299" s="825">
        <v>223300</v>
      </c>
      <c r="E299" s="825"/>
      <c r="F299" s="826"/>
      <c r="G299" s="814" t="s">
        <v>3858</v>
      </c>
      <c r="H299" s="813" t="s">
        <v>246</v>
      </c>
      <c r="I299" s="813" t="s">
        <v>4191</v>
      </c>
      <c r="J299" s="813" t="s">
        <v>4813</v>
      </c>
      <c r="K299" s="813" t="s">
        <v>3923</v>
      </c>
      <c r="L299" s="813" t="s">
        <v>3863</v>
      </c>
      <c r="M299" s="813" t="s">
        <v>3163</v>
      </c>
      <c r="N299" s="813" t="s">
        <v>4865</v>
      </c>
      <c r="O299" s="813" t="s">
        <v>3925</v>
      </c>
      <c r="P299" s="813" t="s">
        <v>4866</v>
      </c>
      <c r="Q299" s="813" t="s">
        <v>4867</v>
      </c>
      <c r="R299" s="813">
        <v>1</v>
      </c>
      <c r="S299" s="813" t="s">
        <v>3928</v>
      </c>
      <c r="T299" s="813" t="s">
        <v>4196</v>
      </c>
    </row>
    <row r="300" spans="1:20" ht="15" customHeight="1" x14ac:dyDescent="0.35">
      <c r="A300" s="794" t="s">
        <v>4812</v>
      </c>
      <c r="B300" s="794" t="s">
        <v>3857</v>
      </c>
      <c r="C300" s="812" t="s">
        <v>83</v>
      </c>
      <c r="D300" s="825"/>
      <c r="E300" s="825"/>
      <c r="F300" s="829">
        <v>0.1</v>
      </c>
      <c r="G300" s="814" t="s">
        <v>3858</v>
      </c>
      <c r="H300" s="813" t="s">
        <v>246</v>
      </c>
      <c r="I300" s="813" t="s">
        <v>4191</v>
      </c>
      <c r="J300" s="813" t="s">
        <v>4813</v>
      </c>
      <c r="K300" s="813" t="s">
        <v>3923</v>
      </c>
      <c r="L300" s="813" t="s">
        <v>3863</v>
      </c>
      <c r="M300" s="813" t="s">
        <v>3163</v>
      </c>
      <c r="N300" s="813" t="s">
        <v>4868</v>
      </c>
      <c r="O300" s="813" t="s">
        <v>3883</v>
      </c>
      <c r="P300" s="813" t="s">
        <v>4869</v>
      </c>
      <c r="Q300" s="813" t="s">
        <v>4870</v>
      </c>
      <c r="R300" s="813">
        <v>1</v>
      </c>
      <c r="S300" s="813" t="s">
        <v>3928</v>
      </c>
      <c r="T300" s="813" t="s">
        <v>4196</v>
      </c>
    </row>
    <row r="301" spans="1:20" ht="15" customHeight="1" x14ac:dyDescent="0.35">
      <c r="A301" s="794" t="s">
        <v>4871</v>
      </c>
      <c r="B301" s="794" t="s">
        <v>3857</v>
      </c>
      <c r="C301" s="812" t="s">
        <v>3913</v>
      </c>
      <c r="D301" s="825">
        <v>144230.76923076899</v>
      </c>
      <c r="E301" s="825">
        <v>93750</v>
      </c>
      <c r="F301" s="825">
        <v>75000</v>
      </c>
      <c r="G301" s="814" t="s">
        <v>3858</v>
      </c>
      <c r="H301" s="813" t="s">
        <v>246</v>
      </c>
      <c r="I301" s="813" t="s">
        <v>4191</v>
      </c>
      <c r="J301" s="813" t="s">
        <v>4813</v>
      </c>
      <c r="K301" s="813" t="s">
        <v>3923</v>
      </c>
      <c r="L301" s="813" t="s">
        <v>3863</v>
      </c>
      <c r="M301" s="813" t="s">
        <v>3163</v>
      </c>
      <c r="N301" s="813" t="s">
        <v>4872</v>
      </c>
      <c r="O301" s="813" t="s">
        <v>3925</v>
      </c>
      <c r="P301" s="813" t="s">
        <v>4873</v>
      </c>
      <c r="Q301" s="813" t="s">
        <v>4874</v>
      </c>
      <c r="R301" s="813">
        <v>3</v>
      </c>
      <c r="S301" s="813" t="s">
        <v>3928</v>
      </c>
      <c r="T301" s="813" t="s">
        <v>4196</v>
      </c>
    </row>
    <row r="302" spans="1:20" ht="15" customHeight="1" x14ac:dyDescent="0.35">
      <c r="A302" s="803" t="s">
        <v>4875</v>
      </c>
      <c r="B302" s="803"/>
      <c r="C302" s="803"/>
      <c r="D302" s="803"/>
      <c r="E302" s="803"/>
      <c r="F302" s="803"/>
      <c r="G302" s="803" t="s">
        <v>4876</v>
      </c>
      <c r="H302" s="794"/>
      <c r="I302" s="794"/>
      <c r="J302" s="794"/>
      <c r="K302" s="794"/>
      <c r="L302" s="794"/>
      <c r="M302" s="794"/>
      <c r="N302" s="794"/>
      <c r="O302" s="794"/>
      <c r="P302" s="794"/>
      <c r="Q302" s="794"/>
      <c r="R302" s="794"/>
      <c r="S302" s="794"/>
      <c r="T302" s="794"/>
    </row>
    <row r="303" spans="1:20" ht="15" customHeight="1" x14ac:dyDescent="0.35">
      <c r="A303" s="794" t="s">
        <v>4877</v>
      </c>
      <c r="B303" s="794" t="s">
        <v>3857</v>
      </c>
      <c r="C303" s="812" t="s">
        <v>3913</v>
      </c>
      <c r="D303" s="825"/>
      <c r="E303" s="825"/>
      <c r="F303" s="825">
        <v>89355</v>
      </c>
      <c r="G303" s="814" t="s">
        <v>3858</v>
      </c>
      <c r="H303" s="813" t="s">
        <v>246</v>
      </c>
      <c r="I303" s="813" t="s">
        <v>4191</v>
      </c>
      <c r="J303" s="813" t="s">
        <v>4878</v>
      </c>
      <c r="K303" s="813" t="s">
        <v>3923</v>
      </c>
      <c r="L303" s="813" t="s">
        <v>3863</v>
      </c>
      <c r="M303" s="813" t="s">
        <v>3163</v>
      </c>
      <c r="N303" s="813" t="s">
        <v>4879</v>
      </c>
      <c r="O303" s="813" t="s">
        <v>4264</v>
      </c>
      <c r="P303" s="813" t="s">
        <v>4880</v>
      </c>
      <c r="Q303" s="813" t="s">
        <v>4881</v>
      </c>
      <c r="R303" s="813">
        <v>1</v>
      </c>
      <c r="S303" s="813" t="s">
        <v>3928</v>
      </c>
      <c r="T303" s="813" t="s">
        <v>4196</v>
      </c>
    </row>
    <row r="304" spans="1:20" ht="15" customHeight="1" x14ac:dyDescent="0.35">
      <c r="A304" s="794" t="s">
        <v>4877</v>
      </c>
      <c r="B304" s="794" t="s">
        <v>3857</v>
      </c>
      <c r="C304" s="812" t="s">
        <v>3913</v>
      </c>
      <c r="D304" s="825"/>
      <c r="E304" s="825">
        <v>111693.75</v>
      </c>
      <c r="F304" s="826"/>
      <c r="G304" s="814" t="s">
        <v>3858</v>
      </c>
      <c r="H304" s="813" t="s">
        <v>246</v>
      </c>
      <c r="I304" s="813" t="s">
        <v>4191</v>
      </c>
      <c r="J304" s="813" t="s">
        <v>4878</v>
      </c>
      <c r="K304" s="813" t="s">
        <v>3923</v>
      </c>
      <c r="L304" s="813" t="s">
        <v>3863</v>
      </c>
      <c r="M304" s="813" t="s">
        <v>3163</v>
      </c>
      <c r="N304" s="813" t="s">
        <v>4882</v>
      </c>
      <c r="O304" s="813" t="s">
        <v>4264</v>
      </c>
      <c r="P304" s="813" t="s">
        <v>4883</v>
      </c>
      <c r="Q304" s="813" t="s">
        <v>4884</v>
      </c>
      <c r="R304" s="813">
        <v>1</v>
      </c>
      <c r="S304" s="813" t="s">
        <v>3928</v>
      </c>
      <c r="T304" s="813" t="s">
        <v>4196</v>
      </c>
    </row>
    <row r="305" spans="1:20" ht="15" customHeight="1" x14ac:dyDescent="0.35">
      <c r="A305" s="794" t="s">
        <v>4877</v>
      </c>
      <c r="B305" s="794" t="s">
        <v>3857</v>
      </c>
      <c r="C305" s="812" t="s">
        <v>3913</v>
      </c>
      <c r="D305" s="825">
        <v>171836.53846153899</v>
      </c>
      <c r="E305" s="825"/>
      <c r="F305" s="826"/>
      <c r="G305" s="814" t="s">
        <v>3858</v>
      </c>
      <c r="H305" s="813" t="s">
        <v>246</v>
      </c>
      <c r="I305" s="813" t="s">
        <v>4191</v>
      </c>
      <c r="J305" s="813" t="s">
        <v>4878</v>
      </c>
      <c r="K305" s="813" t="s">
        <v>3923</v>
      </c>
      <c r="L305" s="813" t="s">
        <v>3863</v>
      </c>
      <c r="M305" s="813" t="s">
        <v>3163</v>
      </c>
      <c r="N305" s="813" t="s">
        <v>4885</v>
      </c>
      <c r="O305" s="813" t="s">
        <v>4264</v>
      </c>
      <c r="P305" s="813" t="s">
        <v>4886</v>
      </c>
      <c r="Q305" s="813" t="s">
        <v>4887</v>
      </c>
      <c r="R305" s="813">
        <v>1</v>
      </c>
      <c r="S305" s="813" t="s">
        <v>3928</v>
      </c>
      <c r="T305" s="813" t="s">
        <v>4196</v>
      </c>
    </row>
    <row r="306" spans="1:20" ht="15" customHeight="1" x14ac:dyDescent="0.35">
      <c r="A306" s="794" t="s">
        <v>4888</v>
      </c>
      <c r="B306" s="794" t="s">
        <v>3857</v>
      </c>
      <c r="C306" s="812" t="s">
        <v>3913</v>
      </c>
      <c r="D306" s="825">
        <v>28846.1538461538</v>
      </c>
      <c r="E306" s="825">
        <v>18750</v>
      </c>
      <c r="F306" s="825">
        <v>15000</v>
      </c>
      <c r="G306" s="814" t="s">
        <v>3858</v>
      </c>
      <c r="H306" s="813" t="s">
        <v>246</v>
      </c>
      <c r="I306" s="813" t="s">
        <v>4191</v>
      </c>
      <c r="J306" s="813" t="s">
        <v>4878</v>
      </c>
      <c r="K306" s="813" t="s">
        <v>3923</v>
      </c>
      <c r="L306" s="813" t="s">
        <v>3863</v>
      </c>
      <c r="M306" s="813" t="s">
        <v>3163</v>
      </c>
      <c r="N306" s="813" t="s">
        <v>4889</v>
      </c>
      <c r="O306" s="813" t="s">
        <v>3925</v>
      </c>
      <c r="P306" s="813" t="s">
        <v>4890</v>
      </c>
      <c r="Q306" s="813" t="s">
        <v>4891</v>
      </c>
      <c r="R306" s="813">
        <v>3</v>
      </c>
      <c r="S306" s="813" t="s">
        <v>3928</v>
      </c>
      <c r="T306" s="813" t="s">
        <v>4196</v>
      </c>
    </row>
    <row r="307" spans="1:20" ht="15" customHeight="1" x14ac:dyDescent="0.35">
      <c r="A307" s="794" t="s">
        <v>4892</v>
      </c>
      <c r="B307" s="794" t="s">
        <v>3857</v>
      </c>
      <c r="C307" s="812" t="s">
        <v>3913</v>
      </c>
      <c r="D307" s="825">
        <v>48076.9230769231</v>
      </c>
      <c r="E307" s="825">
        <v>31250</v>
      </c>
      <c r="F307" s="825">
        <v>25000</v>
      </c>
      <c r="G307" s="814" t="s">
        <v>3858</v>
      </c>
      <c r="H307" s="813" t="s">
        <v>246</v>
      </c>
      <c r="I307" s="813" t="s">
        <v>4191</v>
      </c>
      <c r="J307" s="813" t="s">
        <v>4878</v>
      </c>
      <c r="K307" s="813" t="s">
        <v>3923</v>
      </c>
      <c r="L307" s="813" t="s">
        <v>3863</v>
      </c>
      <c r="M307" s="813" t="s">
        <v>3163</v>
      </c>
      <c r="N307" s="813" t="s">
        <v>4893</v>
      </c>
      <c r="O307" s="813" t="s">
        <v>3925</v>
      </c>
      <c r="P307" s="813" t="s">
        <v>4894</v>
      </c>
      <c r="Q307" s="813" t="s">
        <v>4895</v>
      </c>
      <c r="R307" s="813">
        <v>3</v>
      </c>
      <c r="S307" s="813" t="s">
        <v>3928</v>
      </c>
      <c r="T307" s="813" t="s">
        <v>4196</v>
      </c>
    </row>
    <row r="308" spans="1:20" ht="15" customHeight="1" x14ac:dyDescent="0.35">
      <c r="A308" s="794" t="s">
        <v>4896</v>
      </c>
      <c r="B308" s="794" t="s">
        <v>3857</v>
      </c>
      <c r="C308" s="812" t="s">
        <v>3913</v>
      </c>
      <c r="D308" s="825">
        <v>769230.76923076902</v>
      </c>
      <c r="E308" s="825">
        <v>500000</v>
      </c>
      <c r="F308" s="825">
        <v>400000</v>
      </c>
      <c r="G308" s="814" t="s">
        <v>3858</v>
      </c>
      <c r="H308" s="813" t="s">
        <v>246</v>
      </c>
      <c r="I308" s="813" t="s">
        <v>4191</v>
      </c>
      <c r="J308" s="813" t="s">
        <v>4878</v>
      </c>
      <c r="K308" s="813" t="s">
        <v>3923</v>
      </c>
      <c r="L308" s="813" t="s">
        <v>3863</v>
      </c>
      <c r="M308" s="813" t="s">
        <v>3163</v>
      </c>
      <c r="N308" s="813" t="s">
        <v>4897</v>
      </c>
      <c r="O308" s="813" t="s">
        <v>3925</v>
      </c>
      <c r="P308" s="813" t="s">
        <v>4898</v>
      </c>
      <c r="Q308" s="813" t="s">
        <v>4899</v>
      </c>
      <c r="R308" s="813">
        <v>3</v>
      </c>
      <c r="S308" s="813" t="s">
        <v>3928</v>
      </c>
      <c r="T308" s="813" t="s">
        <v>4196</v>
      </c>
    </row>
    <row r="309" spans="1:20" ht="15" customHeight="1" x14ac:dyDescent="0.35">
      <c r="A309" s="794" t="s">
        <v>4900</v>
      </c>
      <c r="B309" s="794" t="s">
        <v>3857</v>
      </c>
      <c r="C309" s="812" t="s">
        <v>3913</v>
      </c>
      <c r="D309" s="825">
        <v>38461.538461538497</v>
      </c>
      <c r="E309" s="825">
        <v>25000</v>
      </c>
      <c r="F309" s="825">
        <v>20000</v>
      </c>
      <c r="G309" s="814" t="s">
        <v>3858</v>
      </c>
      <c r="H309" s="813" t="s">
        <v>246</v>
      </c>
      <c r="I309" s="813" t="s">
        <v>4191</v>
      </c>
      <c r="J309" s="813" t="s">
        <v>4878</v>
      </c>
      <c r="K309" s="813" t="s">
        <v>3923</v>
      </c>
      <c r="L309" s="813" t="s">
        <v>3863</v>
      </c>
      <c r="M309" s="813" t="s">
        <v>3163</v>
      </c>
      <c r="N309" s="813" t="s">
        <v>4901</v>
      </c>
      <c r="O309" s="813" t="s">
        <v>3925</v>
      </c>
      <c r="P309" s="813" t="s">
        <v>4902</v>
      </c>
      <c r="Q309" s="813" t="s">
        <v>4903</v>
      </c>
      <c r="R309" s="813">
        <v>3</v>
      </c>
      <c r="S309" s="813" t="s">
        <v>3928</v>
      </c>
      <c r="T309" s="813" t="s">
        <v>4196</v>
      </c>
    </row>
    <row r="310" spans="1:20" ht="15" customHeight="1" x14ac:dyDescent="0.35">
      <c r="A310" s="794" t="s">
        <v>4904</v>
      </c>
      <c r="B310" s="794" t="s">
        <v>3857</v>
      </c>
      <c r="C310" s="812" t="s">
        <v>3913</v>
      </c>
      <c r="D310" s="825">
        <v>17307.692307692301</v>
      </c>
      <c r="E310" s="825">
        <v>11250</v>
      </c>
      <c r="F310" s="825">
        <v>9000</v>
      </c>
      <c r="G310" s="814" t="s">
        <v>3858</v>
      </c>
      <c r="H310" s="813" t="s">
        <v>246</v>
      </c>
      <c r="I310" s="813" t="s">
        <v>4191</v>
      </c>
      <c r="J310" s="813" t="s">
        <v>4878</v>
      </c>
      <c r="K310" s="813" t="s">
        <v>3923</v>
      </c>
      <c r="L310" s="813" t="s">
        <v>3863</v>
      </c>
      <c r="M310" s="813" t="s">
        <v>3163</v>
      </c>
      <c r="N310" s="813" t="s">
        <v>4905</v>
      </c>
      <c r="O310" s="813" t="s">
        <v>3925</v>
      </c>
      <c r="P310" s="813" t="s">
        <v>4906</v>
      </c>
      <c r="Q310" s="813" t="s">
        <v>4907</v>
      </c>
      <c r="R310" s="813">
        <v>3</v>
      </c>
      <c r="S310" s="813" t="s">
        <v>3928</v>
      </c>
      <c r="T310" s="813" t="s">
        <v>4196</v>
      </c>
    </row>
    <row r="311" spans="1:20" ht="15" customHeight="1" x14ac:dyDescent="0.35">
      <c r="A311" s="794" t="s">
        <v>4908</v>
      </c>
      <c r="B311" s="794" t="s">
        <v>3857</v>
      </c>
      <c r="C311" s="812" t="s">
        <v>3913</v>
      </c>
      <c r="D311" s="825">
        <v>240384.615384615</v>
      </c>
      <c r="E311" s="825">
        <v>156250</v>
      </c>
      <c r="F311" s="825">
        <v>125000</v>
      </c>
      <c r="G311" s="814" t="s">
        <v>3858</v>
      </c>
      <c r="H311" s="813" t="s">
        <v>246</v>
      </c>
      <c r="I311" s="813" t="s">
        <v>4191</v>
      </c>
      <c r="J311" s="813" t="s">
        <v>4878</v>
      </c>
      <c r="K311" s="813" t="s">
        <v>3923</v>
      </c>
      <c r="L311" s="813" t="s">
        <v>3863</v>
      </c>
      <c r="M311" s="813" t="s">
        <v>3163</v>
      </c>
      <c r="N311" s="813" t="s">
        <v>4909</v>
      </c>
      <c r="O311" s="813" t="s">
        <v>3925</v>
      </c>
      <c r="P311" s="813" t="s">
        <v>4910</v>
      </c>
      <c r="Q311" s="813" t="s">
        <v>4911</v>
      </c>
      <c r="R311" s="813">
        <v>3</v>
      </c>
      <c r="S311" s="813" t="s">
        <v>3928</v>
      </c>
      <c r="T311" s="813" t="s">
        <v>4196</v>
      </c>
    </row>
    <row r="312" spans="1:20" ht="15" customHeight="1" x14ac:dyDescent="0.35">
      <c r="A312" s="794" t="s">
        <v>4912</v>
      </c>
      <c r="B312" s="794" t="s">
        <v>3857</v>
      </c>
      <c r="C312" s="812" t="s">
        <v>3913</v>
      </c>
      <c r="D312" s="825">
        <v>86538.461538461503</v>
      </c>
      <c r="E312" s="825">
        <v>56250</v>
      </c>
      <c r="F312" s="825">
        <v>45000</v>
      </c>
      <c r="G312" s="814" t="s">
        <v>3858</v>
      </c>
      <c r="H312" s="813" t="s">
        <v>246</v>
      </c>
      <c r="I312" s="813" t="s">
        <v>4191</v>
      </c>
      <c r="J312" s="813" t="s">
        <v>4878</v>
      </c>
      <c r="K312" s="813" t="s">
        <v>3923</v>
      </c>
      <c r="L312" s="813" t="s">
        <v>3863</v>
      </c>
      <c r="M312" s="813" t="s">
        <v>3163</v>
      </c>
      <c r="N312" s="813" t="s">
        <v>4913</v>
      </c>
      <c r="O312" s="813" t="s">
        <v>3925</v>
      </c>
      <c r="P312" s="813" t="s">
        <v>4914</v>
      </c>
      <c r="Q312" s="813" t="s">
        <v>4915</v>
      </c>
      <c r="R312" s="813">
        <v>3</v>
      </c>
      <c r="S312" s="813" t="s">
        <v>3928</v>
      </c>
      <c r="T312" s="813" t="s">
        <v>4196</v>
      </c>
    </row>
    <row r="313" spans="1:20" ht="15" customHeight="1" x14ac:dyDescent="0.35">
      <c r="A313" s="794" t="s">
        <v>4916</v>
      </c>
      <c r="B313" s="794" t="s">
        <v>3857</v>
      </c>
      <c r="C313" s="812" t="s">
        <v>3913</v>
      </c>
      <c r="D313" s="825">
        <v>123076.92307692301</v>
      </c>
      <c r="E313" s="825">
        <v>80000</v>
      </c>
      <c r="F313" s="825">
        <v>64000</v>
      </c>
      <c r="G313" s="814" t="s">
        <v>3858</v>
      </c>
      <c r="H313" s="813" t="s">
        <v>246</v>
      </c>
      <c r="I313" s="813" t="s">
        <v>4191</v>
      </c>
      <c r="J313" s="813" t="s">
        <v>4878</v>
      </c>
      <c r="K313" s="813" t="s">
        <v>3923</v>
      </c>
      <c r="L313" s="813" t="s">
        <v>3863</v>
      </c>
      <c r="M313" s="813" t="s">
        <v>3163</v>
      </c>
      <c r="N313" s="813" t="s">
        <v>4917</v>
      </c>
      <c r="O313" s="813" t="s">
        <v>3925</v>
      </c>
      <c r="P313" s="813" t="s">
        <v>4918</v>
      </c>
      <c r="Q313" s="813" t="s">
        <v>4919</v>
      </c>
      <c r="R313" s="813">
        <v>3</v>
      </c>
      <c r="S313" s="813" t="s">
        <v>3928</v>
      </c>
      <c r="T313" s="813" t="s">
        <v>4196</v>
      </c>
    </row>
    <row r="314" spans="1:20" ht="15" customHeight="1" x14ac:dyDescent="0.35">
      <c r="A314" s="794" t="s">
        <v>4920</v>
      </c>
      <c r="B314" s="794" t="s">
        <v>3857</v>
      </c>
      <c r="C314" s="812" t="s">
        <v>3913</v>
      </c>
      <c r="D314" s="825">
        <v>34615.384615384603</v>
      </c>
      <c r="E314" s="825">
        <v>22500</v>
      </c>
      <c r="F314" s="825">
        <v>18000</v>
      </c>
      <c r="G314" s="814" t="s">
        <v>3858</v>
      </c>
      <c r="H314" s="813" t="s">
        <v>246</v>
      </c>
      <c r="I314" s="813" t="s">
        <v>4191</v>
      </c>
      <c r="J314" s="813" t="s">
        <v>4878</v>
      </c>
      <c r="K314" s="813" t="s">
        <v>3923</v>
      </c>
      <c r="L314" s="813" t="s">
        <v>3863</v>
      </c>
      <c r="M314" s="813" t="s">
        <v>3163</v>
      </c>
      <c r="N314" s="813" t="s">
        <v>4921</v>
      </c>
      <c r="O314" s="813" t="s">
        <v>3925</v>
      </c>
      <c r="P314" s="813" t="s">
        <v>4922</v>
      </c>
      <c r="Q314" s="813" t="s">
        <v>4923</v>
      </c>
      <c r="R314" s="813">
        <v>3</v>
      </c>
      <c r="S314" s="813" t="s">
        <v>3928</v>
      </c>
      <c r="T314" s="813" t="s">
        <v>4196</v>
      </c>
    </row>
    <row r="315" spans="1:20" ht="15" customHeight="1" x14ac:dyDescent="0.35">
      <c r="A315" s="794" t="s">
        <v>4924</v>
      </c>
      <c r="B315" s="794" t="s">
        <v>3857</v>
      </c>
      <c r="C315" s="812" t="s">
        <v>3913</v>
      </c>
      <c r="D315" s="825">
        <v>28846.1538461538</v>
      </c>
      <c r="E315" s="825">
        <v>18750</v>
      </c>
      <c r="F315" s="825">
        <v>15000</v>
      </c>
      <c r="G315" s="814" t="s">
        <v>3858</v>
      </c>
      <c r="H315" s="813" t="s">
        <v>246</v>
      </c>
      <c r="I315" s="813" t="s">
        <v>4191</v>
      </c>
      <c r="J315" s="813" t="s">
        <v>4878</v>
      </c>
      <c r="K315" s="813" t="s">
        <v>3923</v>
      </c>
      <c r="L315" s="813" t="s">
        <v>3863</v>
      </c>
      <c r="M315" s="813" t="s">
        <v>3163</v>
      </c>
      <c r="N315" s="813" t="s">
        <v>4925</v>
      </c>
      <c r="O315" s="813" t="s">
        <v>3925</v>
      </c>
      <c r="P315" s="813" t="s">
        <v>4926</v>
      </c>
      <c r="Q315" s="813" t="s">
        <v>4927</v>
      </c>
      <c r="R315" s="813">
        <v>3</v>
      </c>
      <c r="S315" s="813" t="s">
        <v>3928</v>
      </c>
      <c r="T315" s="813" t="s">
        <v>4196</v>
      </c>
    </row>
    <row r="316" spans="1:20" ht="15" customHeight="1" x14ac:dyDescent="0.35">
      <c r="A316" s="794" t="s">
        <v>4928</v>
      </c>
      <c r="B316" s="794" t="s">
        <v>3857</v>
      </c>
      <c r="C316" s="812" t="s">
        <v>3913</v>
      </c>
      <c r="D316" s="825">
        <v>28846.1538461538</v>
      </c>
      <c r="E316" s="825">
        <v>18750</v>
      </c>
      <c r="F316" s="825">
        <v>15000</v>
      </c>
      <c r="G316" s="814" t="s">
        <v>3858</v>
      </c>
      <c r="H316" s="813" t="s">
        <v>246</v>
      </c>
      <c r="I316" s="813" t="s">
        <v>4191</v>
      </c>
      <c r="J316" s="813" t="s">
        <v>4878</v>
      </c>
      <c r="K316" s="813" t="s">
        <v>3923</v>
      </c>
      <c r="L316" s="813" t="s">
        <v>3863</v>
      </c>
      <c r="M316" s="813" t="s">
        <v>3163</v>
      </c>
      <c r="N316" s="813" t="s">
        <v>4929</v>
      </c>
      <c r="O316" s="813" t="s">
        <v>3925</v>
      </c>
      <c r="P316" s="813" t="s">
        <v>4930</v>
      </c>
      <c r="Q316" s="813" t="s">
        <v>4931</v>
      </c>
      <c r="R316" s="813">
        <v>3</v>
      </c>
      <c r="S316" s="813" t="s">
        <v>3928</v>
      </c>
      <c r="T316" s="813" t="s">
        <v>4196</v>
      </c>
    </row>
    <row r="317" spans="1:20" ht="15" customHeight="1" x14ac:dyDescent="0.35">
      <c r="A317" s="794" t="s">
        <v>4932</v>
      </c>
      <c r="B317" s="794" t="s">
        <v>3857</v>
      </c>
      <c r="C317" s="812" t="s">
        <v>3913</v>
      </c>
      <c r="D317" s="825">
        <v>28846.1538461538</v>
      </c>
      <c r="E317" s="825">
        <v>18750</v>
      </c>
      <c r="F317" s="825">
        <v>15000</v>
      </c>
      <c r="G317" s="814" t="s">
        <v>3858</v>
      </c>
      <c r="H317" s="813" t="s">
        <v>246</v>
      </c>
      <c r="I317" s="813" t="s">
        <v>4191</v>
      </c>
      <c r="J317" s="813" t="s">
        <v>4878</v>
      </c>
      <c r="K317" s="813" t="s">
        <v>3923</v>
      </c>
      <c r="L317" s="813" t="s">
        <v>3863</v>
      </c>
      <c r="M317" s="813" t="s">
        <v>3163</v>
      </c>
      <c r="N317" s="813" t="s">
        <v>4933</v>
      </c>
      <c r="O317" s="813" t="s">
        <v>3925</v>
      </c>
      <c r="P317" s="813" t="s">
        <v>4934</v>
      </c>
      <c r="Q317" s="813" t="s">
        <v>4935</v>
      </c>
      <c r="R317" s="813">
        <v>3</v>
      </c>
      <c r="S317" s="813" t="s">
        <v>3928</v>
      </c>
      <c r="T317" s="813" t="s">
        <v>4196</v>
      </c>
    </row>
    <row r="318" spans="1:20" ht="15" customHeight="1" x14ac:dyDescent="0.35">
      <c r="A318" s="794" t="s">
        <v>4936</v>
      </c>
      <c r="B318" s="794" t="s">
        <v>3857</v>
      </c>
      <c r="C318" s="812" t="s">
        <v>3913</v>
      </c>
      <c r="D318" s="825">
        <v>9615.3846153846207</v>
      </c>
      <c r="E318" s="825">
        <v>6250</v>
      </c>
      <c r="F318" s="825">
        <v>5000</v>
      </c>
      <c r="G318" s="814" t="s">
        <v>3858</v>
      </c>
      <c r="H318" s="813" t="s">
        <v>246</v>
      </c>
      <c r="I318" s="813" t="s">
        <v>4191</v>
      </c>
      <c r="J318" s="813" t="s">
        <v>4878</v>
      </c>
      <c r="K318" s="813" t="s">
        <v>3923</v>
      </c>
      <c r="L318" s="813" t="s">
        <v>3863</v>
      </c>
      <c r="M318" s="813" t="s">
        <v>3163</v>
      </c>
      <c r="N318" s="813" t="s">
        <v>4937</v>
      </c>
      <c r="O318" s="813" t="s">
        <v>3925</v>
      </c>
      <c r="P318" s="813" t="s">
        <v>4938</v>
      </c>
      <c r="Q318" s="813" t="s">
        <v>4939</v>
      </c>
      <c r="R318" s="813">
        <v>3</v>
      </c>
      <c r="S318" s="813" t="s">
        <v>3928</v>
      </c>
      <c r="T318" s="813" t="s">
        <v>4196</v>
      </c>
    </row>
    <row r="319" spans="1:20" ht="15" customHeight="1" x14ac:dyDescent="0.35">
      <c r="A319" s="794" t="s">
        <v>4940</v>
      </c>
      <c r="B319" s="794" t="s">
        <v>3857</v>
      </c>
      <c r="C319" s="812" t="s">
        <v>3913</v>
      </c>
      <c r="D319" s="825">
        <v>9615.3846153846207</v>
      </c>
      <c r="E319" s="825">
        <v>6250</v>
      </c>
      <c r="F319" s="825">
        <v>5000</v>
      </c>
      <c r="G319" s="814" t="s">
        <v>3858</v>
      </c>
      <c r="H319" s="813" t="s">
        <v>246</v>
      </c>
      <c r="I319" s="813" t="s">
        <v>4191</v>
      </c>
      <c r="J319" s="813" t="s">
        <v>4878</v>
      </c>
      <c r="K319" s="813" t="s">
        <v>3923</v>
      </c>
      <c r="L319" s="813" t="s">
        <v>3863</v>
      </c>
      <c r="M319" s="813" t="s">
        <v>3163</v>
      </c>
      <c r="N319" s="813" t="s">
        <v>4941</v>
      </c>
      <c r="O319" s="813" t="s">
        <v>3925</v>
      </c>
      <c r="P319" s="813" t="s">
        <v>4942</v>
      </c>
      <c r="Q319" s="813" t="s">
        <v>4943</v>
      </c>
      <c r="R319" s="813">
        <v>3</v>
      </c>
      <c r="S319" s="813" t="s">
        <v>3928</v>
      </c>
      <c r="T319" s="813" t="s">
        <v>4196</v>
      </c>
    </row>
    <row r="320" spans="1:20" ht="15" customHeight="1" x14ac:dyDescent="0.35">
      <c r="A320" s="794" t="s">
        <v>4944</v>
      </c>
      <c r="B320" s="794" t="s">
        <v>3857</v>
      </c>
      <c r="C320" s="812" t="s">
        <v>3913</v>
      </c>
      <c r="D320" s="825">
        <v>144230.76923076899</v>
      </c>
      <c r="E320" s="825">
        <v>93750</v>
      </c>
      <c r="F320" s="825">
        <v>75000</v>
      </c>
      <c r="G320" s="814" t="s">
        <v>3858</v>
      </c>
      <c r="H320" s="813" t="s">
        <v>246</v>
      </c>
      <c r="I320" s="813" t="s">
        <v>4191</v>
      </c>
      <c r="J320" s="813" t="s">
        <v>4878</v>
      </c>
      <c r="K320" s="813" t="s">
        <v>3923</v>
      </c>
      <c r="L320" s="813" t="s">
        <v>3863</v>
      </c>
      <c r="M320" s="813" t="s">
        <v>3163</v>
      </c>
      <c r="N320" s="813" t="s">
        <v>4945</v>
      </c>
      <c r="O320" s="813" t="s">
        <v>3925</v>
      </c>
      <c r="P320" s="813" t="s">
        <v>4946</v>
      </c>
      <c r="Q320" s="813" t="s">
        <v>4947</v>
      </c>
      <c r="R320" s="813">
        <v>3</v>
      </c>
      <c r="S320" s="813" t="s">
        <v>3928</v>
      </c>
      <c r="T320" s="813" t="s">
        <v>4196</v>
      </c>
    </row>
    <row r="321" spans="1:20" ht="15" customHeight="1" x14ac:dyDescent="0.35">
      <c r="A321" s="794" t="s">
        <v>4948</v>
      </c>
      <c r="B321" s="794" t="s">
        <v>3857</v>
      </c>
      <c r="C321" s="812" t="s">
        <v>83</v>
      </c>
      <c r="D321" s="825"/>
      <c r="E321" s="825"/>
      <c r="F321" s="829">
        <v>0.05</v>
      </c>
      <c r="G321" s="814" t="s">
        <v>3858</v>
      </c>
      <c r="H321" s="813" t="s">
        <v>246</v>
      </c>
      <c r="I321" s="813" t="s">
        <v>4191</v>
      </c>
      <c r="J321" s="813" t="s">
        <v>4878</v>
      </c>
      <c r="K321" s="813" t="s">
        <v>3923</v>
      </c>
      <c r="L321" s="813" t="s">
        <v>3863</v>
      </c>
      <c r="M321" s="813" t="s">
        <v>3163</v>
      </c>
      <c r="N321" s="813" t="s">
        <v>4949</v>
      </c>
      <c r="O321" s="813" t="s">
        <v>3883</v>
      </c>
      <c r="P321" s="813" t="s">
        <v>4950</v>
      </c>
      <c r="Q321" s="813" t="s">
        <v>4951</v>
      </c>
      <c r="R321" s="813">
        <v>1</v>
      </c>
      <c r="S321" s="813" t="s">
        <v>3928</v>
      </c>
      <c r="T321" s="813" t="s">
        <v>4196</v>
      </c>
    </row>
    <row r="322" spans="1:20" ht="15" customHeight="1" x14ac:dyDescent="0.35">
      <c r="A322" s="794" t="s">
        <v>4948</v>
      </c>
      <c r="B322" s="794" t="s">
        <v>3857</v>
      </c>
      <c r="C322" s="812" t="s">
        <v>3913</v>
      </c>
      <c r="D322" s="825"/>
      <c r="E322" s="825"/>
      <c r="F322" s="825">
        <v>42550</v>
      </c>
      <c r="G322" s="814" t="s">
        <v>3858</v>
      </c>
      <c r="H322" s="813" t="s">
        <v>246</v>
      </c>
      <c r="I322" s="813" t="s">
        <v>4191</v>
      </c>
      <c r="J322" s="813" t="s">
        <v>4878</v>
      </c>
      <c r="K322" s="813" t="s">
        <v>3923</v>
      </c>
      <c r="L322" s="813" t="s">
        <v>3863</v>
      </c>
      <c r="M322" s="813" t="s">
        <v>3163</v>
      </c>
      <c r="N322" s="813" t="s">
        <v>4952</v>
      </c>
      <c r="O322" s="813" t="s">
        <v>3925</v>
      </c>
      <c r="P322" s="813" t="s">
        <v>4953</v>
      </c>
      <c r="Q322" s="813" t="s">
        <v>4954</v>
      </c>
      <c r="R322" s="813">
        <v>1</v>
      </c>
      <c r="S322" s="813" t="s">
        <v>3928</v>
      </c>
      <c r="T322" s="813" t="s">
        <v>4196</v>
      </c>
    </row>
    <row r="323" spans="1:20" ht="15" customHeight="1" x14ac:dyDescent="0.35">
      <c r="A323" s="794" t="s">
        <v>4948</v>
      </c>
      <c r="B323" s="794" t="s">
        <v>3857</v>
      </c>
      <c r="C323" s="812" t="s">
        <v>3913</v>
      </c>
      <c r="D323" s="825"/>
      <c r="E323" s="825">
        <v>53187.5</v>
      </c>
      <c r="F323" s="826"/>
      <c r="G323" s="814" t="s">
        <v>3858</v>
      </c>
      <c r="H323" s="813" t="s">
        <v>246</v>
      </c>
      <c r="I323" s="813" t="s">
        <v>4191</v>
      </c>
      <c r="J323" s="813" t="s">
        <v>4878</v>
      </c>
      <c r="K323" s="813" t="s">
        <v>3923</v>
      </c>
      <c r="L323" s="813" t="s">
        <v>3863</v>
      </c>
      <c r="M323" s="813" t="s">
        <v>3163</v>
      </c>
      <c r="N323" s="813" t="s">
        <v>4955</v>
      </c>
      <c r="O323" s="813" t="s">
        <v>3925</v>
      </c>
      <c r="P323" s="813" t="s">
        <v>4956</v>
      </c>
      <c r="Q323" s="813" t="s">
        <v>4957</v>
      </c>
      <c r="R323" s="813">
        <v>1</v>
      </c>
      <c r="S323" s="813" t="s">
        <v>3928</v>
      </c>
      <c r="T323" s="813" t="s">
        <v>4196</v>
      </c>
    </row>
    <row r="324" spans="1:20" ht="15" customHeight="1" x14ac:dyDescent="0.35">
      <c r="A324" s="794" t="s">
        <v>4948</v>
      </c>
      <c r="B324" s="794" t="s">
        <v>3857</v>
      </c>
      <c r="C324" s="812" t="s">
        <v>3913</v>
      </c>
      <c r="D324" s="825">
        <v>81826.923076923107</v>
      </c>
      <c r="E324" s="825"/>
      <c r="F324" s="826"/>
      <c r="G324" s="814" t="s">
        <v>3858</v>
      </c>
      <c r="H324" s="813" t="s">
        <v>246</v>
      </c>
      <c r="I324" s="813" t="s">
        <v>4191</v>
      </c>
      <c r="J324" s="813" t="s">
        <v>4878</v>
      </c>
      <c r="K324" s="813" t="s">
        <v>3923</v>
      </c>
      <c r="L324" s="813" t="s">
        <v>3863</v>
      </c>
      <c r="M324" s="813" t="s">
        <v>3163</v>
      </c>
      <c r="N324" s="813" t="s">
        <v>4958</v>
      </c>
      <c r="O324" s="813" t="s">
        <v>3925</v>
      </c>
      <c r="P324" s="813" t="s">
        <v>4959</v>
      </c>
      <c r="Q324" s="813" t="s">
        <v>4960</v>
      </c>
      <c r="R324" s="813">
        <v>1</v>
      </c>
      <c r="S324" s="813" t="s">
        <v>3928</v>
      </c>
      <c r="T324" s="813" t="s">
        <v>4196</v>
      </c>
    </row>
    <row r="325" spans="1:20" ht="15" customHeight="1" x14ac:dyDescent="0.35">
      <c r="A325" s="794" t="s">
        <v>4877</v>
      </c>
      <c r="B325" s="794" t="s">
        <v>3857</v>
      </c>
      <c r="C325" s="812" t="s">
        <v>83</v>
      </c>
      <c r="D325" s="825"/>
      <c r="E325" s="825"/>
      <c r="F325" s="829">
        <v>0.1</v>
      </c>
      <c r="G325" s="814" t="s">
        <v>3858</v>
      </c>
      <c r="H325" s="813" t="s">
        <v>246</v>
      </c>
      <c r="I325" s="813" t="s">
        <v>4191</v>
      </c>
      <c r="J325" s="813" t="s">
        <v>4878</v>
      </c>
      <c r="K325" s="813" t="s">
        <v>3923</v>
      </c>
      <c r="L325" s="813" t="s">
        <v>3863</v>
      </c>
      <c r="M325" s="813" t="s">
        <v>3163</v>
      </c>
      <c r="N325" s="813" t="s">
        <v>4961</v>
      </c>
      <c r="O325" s="813" t="s">
        <v>3883</v>
      </c>
      <c r="P325" s="813" t="s">
        <v>4962</v>
      </c>
      <c r="Q325" s="813" t="s">
        <v>4963</v>
      </c>
      <c r="R325" s="813">
        <v>1</v>
      </c>
      <c r="S325" s="813" t="s">
        <v>3928</v>
      </c>
      <c r="T325" s="813" t="s">
        <v>4196</v>
      </c>
    </row>
    <row r="326" spans="1:20" ht="15" customHeight="1" x14ac:dyDescent="0.35">
      <c r="A326" s="803" t="s">
        <v>4964</v>
      </c>
      <c r="B326" s="803"/>
      <c r="C326" s="803"/>
      <c r="D326" s="803"/>
      <c r="E326" s="803"/>
      <c r="F326" s="803"/>
      <c r="G326" s="803" t="s">
        <v>4965</v>
      </c>
      <c r="H326" s="794"/>
      <c r="I326" s="794"/>
      <c r="J326" s="794"/>
      <c r="K326" s="794"/>
      <c r="L326" s="794"/>
      <c r="M326" s="794"/>
      <c r="N326" s="794"/>
      <c r="O326" s="794"/>
      <c r="P326" s="794"/>
      <c r="Q326" s="794"/>
      <c r="R326" s="794"/>
      <c r="S326" s="794"/>
      <c r="T326" s="794"/>
    </row>
    <row r="327" spans="1:20" ht="15" customHeight="1" x14ac:dyDescent="0.35">
      <c r="A327" s="794" t="s">
        <v>4966</v>
      </c>
      <c r="B327" s="794" t="s">
        <v>3857</v>
      </c>
      <c r="C327" s="812" t="s">
        <v>3913</v>
      </c>
      <c r="D327" s="825">
        <v>2704519.7076923102</v>
      </c>
      <c r="E327" s="825">
        <v>1757937.81</v>
      </c>
      <c r="F327" s="825">
        <v>1406350.2479999999</v>
      </c>
      <c r="G327" s="814" t="s">
        <v>3858</v>
      </c>
      <c r="H327" s="813" t="s">
        <v>246</v>
      </c>
      <c r="I327" s="813" t="s">
        <v>4191</v>
      </c>
      <c r="J327" s="813" t="s">
        <v>4967</v>
      </c>
      <c r="K327" s="813" t="s">
        <v>3923</v>
      </c>
      <c r="L327" s="813" t="s">
        <v>3863</v>
      </c>
      <c r="M327" s="813" t="s">
        <v>3163</v>
      </c>
      <c r="N327" s="813" t="s">
        <v>4968</v>
      </c>
      <c r="O327" s="813" t="s">
        <v>3925</v>
      </c>
      <c r="P327" s="813" t="s">
        <v>4969</v>
      </c>
      <c r="Q327" s="813" t="s">
        <v>4970</v>
      </c>
      <c r="R327" s="813">
        <v>3</v>
      </c>
      <c r="S327" s="813" t="s">
        <v>3928</v>
      </c>
      <c r="T327" s="813" t="s">
        <v>4196</v>
      </c>
    </row>
    <row r="328" spans="1:20" ht="15" customHeight="1" x14ac:dyDescent="0.35">
      <c r="A328" s="794" t="s">
        <v>4971</v>
      </c>
      <c r="B328" s="794" t="s">
        <v>3857</v>
      </c>
      <c r="C328" s="812" t="s">
        <v>3913</v>
      </c>
      <c r="D328" s="825"/>
      <c r="E328" s="825"/>
      <c r="F328" s="825">
        <v>7.4999999999999997E-2</v>
      </c>
      <c r="G328" s="814" t="s">
        <v>3858</v>
      </c>
      <c r="H328" s="813" t="s">
        <v>246</v>
      </c>
      <c r="I328" s="813" t="s">
        <v>4191</v>
      </c>
      <c r="J328" s="813" t="s">
        <v>4967</v>
      </c>
      <c r="K328" s="813" t="s">
        <v>3923</v>
      </c>
      <c r="L328" s="813" t="s">
        <v>3863</v>
      </c>
      <c r="M328" s="813" t="s">
        <v>3163</v>
      </c>
      <c r="N328" s="813" t="s">
        <v>4972</v>
      </c>
      <c r="O328" s="813" t="s">
        <v>3883</v>
      </c>
      <c r="P328" s="813" t="s">
        <v>4973</v>
      </c>
      <c r="Q328" s="813" t="s">
        <v>4974</v>
      </c>
      <c r="R328" s="813">
        <v>1</v>
      </c>
      <c r="S328" s="813" t="s">
        <v>3928</v>
      </c>
      <c r="T328" s="813" t="s">
        <v>4196</v>
      </c>
    </row>
    <row r="329" spans="1:20" ht="15" customHeight="1" x14ac:dyDescent="0.35">
      <c r="A329" s="794" t="s">
        <v>4971</v>
      </c>
      <c r="B329" s="794" t="s">
        <v>3857</v>
      </c>
      <c r="C329" s="812" t="s">
        <v>3913</v>
      </c>
      <c r="D329" s="825"/>
      <c r="E329" s="825"/>
      <c r="F329" s="825">
        <v>3908411.9331570901</v>
      </c>
      <c r="G329" s="814" t="s">
        <v>3858</v>
      </c>
      <c r="H329" s="813" t="s">
        <v>246</v>
      </c>
      <c r="I329" s="813" t="s">
        <v>4191</v>
      </c>
      <c r="J329" s="813" t="s">
        <v>4967</v>
      </c>
      <c r="K329" s="813" t="s">
        <v>3923</v>
      </c>
      <c r="L329" s="813" t="s">
        <v>3863</v>
      </c>
      <c r="M329" s="813" t="s">
        <v>3163</v>
      </c>
      <c r="N329" s="813" t="s">
        <v>4975</v>
      </c>
      <c r="O329" s="813" t="s">
        <v>3925</v>
      </c>
      <c r="P329" s="813" t="s">
        <v>4976</v>
      </c>
      <c r="Q329" s="813" t="s">
        <v>4977</v>
      </c>
      <c r="R329" s="813">
        <v>1</v>
      </c>
      <c r="S329" s="813" t="s">
        <v>3928</v>
      </c>
      <c r="T329" s="813" t="s">
        <v>4196</v>
      </c>
    </row>
    <row r="330" spans="1:20" ht="15" customHeight="1" x14ac:dyDescent="0.35">
      <c r="A330" s="794" t="s">
        <v>4971</v>
      </c>
      <c r="B330" s="794" t="s">
        <v>3857</v>
      </c>
      <c r="C330" s="812" t="s">
        <v>3913</v>
      </c>
      <c r="D330" s="825"/>
      <c r="E330" s="825">
        <v>4885514.9164463598</v>
      </c>
      <c r="F330" s="826"/>
      <c r="G330" s="814" t="s">
        <v>3858</v>
      </c>
      <c r="H330" s="813" t="s">
        <v>246</v>
      </c>
      <c r="I330" s="813" t="s">
        <v>4191</v>
      </c>
      <c r="J330" s="813" t="s">
        <v>4967</v>
      </c>
      <c r="K330" s="813" t="s">
        <v>3923</v>
      </c>
      <c r="L330" s="813" t="s">
        <v>3863</v>
      </c>
      <c r="M330" s="813" t="s">
        <v>3163</v>
      </c>
      <c r="N330" s="813" t="s">
        <v>4978</v>
      </c>
      <c r="O330" s="813" t="s">
        <v>3925</v>
      </c>
      <c r="P330" s="813" t="s">
        <v>4979</v>
      </c>
      <c r="Q330" s="813" t="s">
        <v>4980</v>
      </c>
      <c r="R330" s="813">
        <v>1</v>
      </c>
      <c r="S330" s="813" t="s">
        <v>3928</v>
      </c>
      <c r="T330" s="813" t="s">
        <v>4196</v>
      </c>
    </row>
    <row r="331" spans="1:20" ht="15" customHeight="1" x14ac:dyDescent="0.35">
      <c r="A331" s="794" t="s">
        <v>4971</v>
      </c>
      <c r="B331" s="794" t="s">
        <v>3857</v>
      </c>
      <c r="C331" s="812" t="s">
        <v>3913</v>
      </c>
      <c r="D331" s="825">
        <v>7516176.7945328597</v>
      </c>
      <c r="E331" s="825"/>
      <c r="F331" s="826"/>
      <c r="G331" s="814" t="s">
        <v>3858</v>
      </c>
      <c r="H331" s="813" t="s">
        <v>246</v>
      </c>
      <c r="I331" s="813" t="s">
        <v>4191</v>
      </c>
      <c r="J331" s="813" t="s">
        <v>4967</v>
      </c>
      <c r="K331" s="813" t="s">
        <v>3923</v>
      </c>
      <c r="L331" s="813" t="s">
        <v>3863</v>
      </c>
      <c r="M331" s="813" t="s">
        <v>3163</v>
      </c>
      <c r="N331" s="813" t="s">
        <v>4981</v>
      </c>
      <c r="O331" s="813" t="s">
        <v>3925</v>
      </c>
      <c r="P331" s="813" t="s">
        <v>4982</v>
      </c>
      <c r="Q331" s="813" t="s">
        <v>4983</v>
      </c>
      <c r="R331" s="813">
        <v>1</v>
      </c>
      <c r="S331" s="813" t="s">
        <v>3928</v>
      </c>
      <c r="T331" s="813" t="s">
        <v>4196</v>
      </c>
    </row>
    <row r="332" spans="1:20" ht="15" customHeight="1" x14ac:dyDescent="0.35">
      <c r="A332" s="794" t="s">
        <v>4984</v>
      </c>
      <c r="B332" s="794" t="s">
        <v>3857</v>
      </c>
      <c r="C332" s="812" t="s">
        <v>3913</v>
      </c>
      <c r="D332" s="825">
        <v>390875.022087891</v>
      </c>
      <c r="E332" s="825">
        <v>254068.764357129</v>
      </c>
      <c r="F332" s="825">
        <v>203255.011485703</v>
      </c>
      <c r="G332" s="814" t="s">
        <v>3858</v>
      </c>
      <c r="H332" s="813" t="s">
        <v>246</v>
      </c>
      <c r="I332" s="813" t="s">
        <v>4191</v>
      </c>
      <c r="J332" s="813" t="s">
        <v>4967</v>
      </c>
      <c r="K332" s="813" t="s">
        <v>3923</v>
      </c>
      <c r="L332" s="813" t="s">
        <v>3863</v>
      </c>
      <c r="M332" s="813" t="s">
        <v>3163</v>
      </c>
      <c r="N332" s="813" t="s">
        <v>4985</v>
      </c>
      <c r="O332" s="813" t="s">
        <v>3925</v>
      </c>
      <c r="P332" s="813" t="s">
        <v>4986</v>
      </c>
      <c r="Q332" s="813" t="s">
        <v>4987</v>
      </c>
      <c r="R332" s="813">
        <v>3</v>
      </c>
      <c r="S332" s="813" t="s">
        <v>3928</v>
      </c>
      <c r="T332" s="813" t="s">
        <v>4196</v>
      </c>
    </row>
    <row r="333" spans="1:20" ht="15" customHeight="1" x14ac:dyDescent="0.35">
      <c r="A333" s="794" t="s">
        <v>4988</v>
      </c>
      <c r="B333" s="794" t="s">
        <v>3857</v>
      </c>
      <c r="C333" s="812" t="s">
        <v>3913</v>
      </c>
      <c r="D333" s="825"/>
      <c r="E333" s="825"/>
      <c r="F333" s="825">
        <v>0.05</v>
      </c>
      <c r="G333" s="814" t="s">
        <v>3858</v>
      </c>
      <c r="H333" s="813" t="s">
        <v>246</v>
      </c>
      <c r="I333" s="813" t="s">
        <v>4191</v>
      </c>
      <c r="J333" s="813" t="s">
        <v>4967</v>
      </c>
      <c r="K333" s="813" t="s">
        <v>3923</v>
      </c>
      <c r="L333" s="813" t="s">
        <v>3863</v>
      </c>
      <c r="M333" s="813" t="s">
        <v>3163</v>
      </c>
      <c r="N333" s="813" t="s">
        <v>4989</v>
      </c>
      <c r="O333" s="813" t="s">
        <v>3883</v>
      </c>
      <c r="P333" s="813" t="s">
        <v>4990</v>
      </c>
      <c r="Q333" s="813" t="s">
        <v>4991</v>
      </c>
      <c r="R333" s="813">
        <v>1</v>
      </c>
      <c r="S333" s="813" t="s">
        <v>3928</v>
      </c>
      <c r="T333" s="813" t="s">
        <v>4196</v>
      </c>
    </row>
    <row r="334" spans="1:20" ht="15" customHeight="1" x14ac:dyDescent="0.35">
      <c r="A334" s="794" t="s">
        <v>4988</v>
      </c>
      <c r="B334" s="794" t="s">
        <v>3857</v>
      </c>
      <c r="C334" s="812" t="s">
        <v>3913</v>
      </c>
      <c r="D334" s="825"/>
      <c r="E334" s="825"/>
      <c r="F334" s="825">
        <v>265738.10905785399</v>
      </c>
      <c r="G334" s="814" t="s">
        <v>3858</v>
      </c>
      <c r="H334" s="813" t="s">
        <v>246</v>
      </c>
      <c r="I334" s="813" t="s">
        <v>4191</v>
      </c>
      <c r="J334" s="813" t="s">
        <v>4967</v>
      </c>
      <c r="K334" s="813" t="s">
        <v>3923</v>
      </c>
      <c r="L334" s="813" t="s">
        <v>3863</v>
      </c>
      <c r="M334" s="813" t="s">
        <v>3163</v>
      </c>
      <c r="N334" s="813" t="s">
        <v>4992</v>
      </c>
      <c r="O334" s="813" t="s">
        <v>3925</v>
      </c>
      <c r="P334" s="813" t="s">
        <v>4993</v>
      </c>
      <c r="Q334" s="813" t="s">
        <v>4994</v>
      </c>
      <c r="R334" s="813">
        <v>1</v>
      </c>
      <c r="S334" s="813" t="s">
        <v>3928</v>
      </c>
      <c r="T334" s="813" t="s">
        <v>4196</v>
      </c>
    </row>
    <row r="335" spans="1:20" ht="15" customHeight="1" x14ac:dyDescent="0.35">
      <c r="A335" s="794" t="s">
        <v>4988</v>
      </c>
      <c r="B335" s="794" t="s">
        <v>3857</v>
      </c>
      <c r="C335" s="812" t="s">
        <v>3913</v>
      </c>
      <c r="D335" s="825"/>
      <c r="E335" s="825">
        <v>332172.63632231799</v>
      </c>
      <c r="F335" s="826"/>
      <c r="G335" s="814" t="s">
        <v>3858</v>
      </c>
      <c r="H335" s="813" t="s">
        <v>246</v>
      </c>
      <c r="I335" s="813" t="s">
        <v>4191</v>
      </c>
      <c r="J335" s="813" t="s">
        <v>4967</v>
      </c>
      <c r="K335" s="813" t="s">
        <v>3923</v>
      </c>
      <c r="L335" s="813" t="s">
        <v>3863</v>
      </c>
      <c r="M335" s="813" t="s">
        <v>3163</v>
      </c>
      <c r="N335" s="813" t="s">
        <v>4995</v>
      </c>
      <c r="O335" s="813" t="s">
        <v>3925</v>
      </c>
      <c r="P335" s="813" t="s">
        <v>4996</v>
      </c>
      <c r="Q335" s="813" t="s">
        <v>4997</v>
      </c>
      <c r="R335" s="813">
        <v>1</v>
      </c>
      <c r="S335" s="813" t="s">
        <v>3928</v>
      </c>
      <c r="T335" s="813" t="s">
        <v>4196</v>
      </c>
    </row>
    <row r="336" spans="1:20" ht="15" customHeight="1" x14ac:dyDescent="0.35">
      <c r="A336" s="794" t="s">
        <v>4988</v>
      </c>
      <c r="B336" s="794" t="s">
        <v>3857</v>
      </c>
      <c r="C336" s="812" t="s">
        <v>3913</v>
      </c>
      <c r="D336" s="825">
        <v>511034.82511125802</v>
      </c>
      <c r="E336" s="825"/>
      <c r="F336" s="826"/>
      <c r="G336" s="814" t="s">
        <v>3858</v>
      </c>
      <c r="H336" s="813" t="s">
        <v>246</v>
      </c>
      <c r="I336" s="813" t="s">
        <v>4191</v>
      </c>
      <c r="J336" s="813" t="s">
        <v>4967</v>
      </c>
      <c r="K336" s="813" t="s">
        <v>3923</v>
      </c>
      <c r="L336" s="813" t="s">
        <v>3863</v>
      </c>
      <c r="M336" s="813" t="s">
        <v>3163</v>
      </c>
      <c r="N336" s="813" t="s">
        <v>4998</v>
      </c>
      <c r="O336" s="813" t="s">
        <v>3925</v>
      </c>
      <c r="P336" s="813" t="s">
        <v>4999</v>
      </c>
      <c r="Q336" s="813" t="s">
        <v>5000</v>
      </c>
      <c r="R336" s="813">
        <v>1</v>
      </c>
      <c r="S336" s="813" t="s">
        <v>3928</v>
      </c>
      <c r="T336" s="813" t="s">
        <v>4196</v>
      </c>
    </row>
    <row r="337" spans="1:20" ht="15" customHeight="1" x14ac:dyDescent="0.35">
      <c r="A337" s="803" t="s">
        <v>5001</v>
      </c>
      <c r="B337" s="803"/>
      <c r="C337" s="803"/>
      <c r="D337" s="803"/>
      <c r="E337" s="803"/>
      <c r="F337" s="803"/>
      <c r="G337" s="803" t="s">
        <v>5002</v>
      </c>
      <c r="H337" s="794"/>
      <c r="I337" s="794"/>
      <c r="J337" s="794"/>
      <c r="K337" s="794"/>
      <c r="L337" s="794"/>
      <c r="M337" s="794"/>
      <c r="N337" s="794"/>
      <c r="O337" s="794"/>
      <c r="P337" s="794"/>
      <c r="Q337" s="794"/>
      <c r="R337" s="794"/>
      <c r="S337" s="794"/>
      <c r="T337" s="794"/>
    </row>
    <row r="338" spans="1:20" ht="15" customHeight="1" x14ac:dyDescent="0.35">
      <c r="A338" s="794" t="s">
        <v>5003</v>
      </c>
      <c r="B338" s="794" t="s">
        <v>3857</v>
      </c>
      <c r="C338" s="812" t="s">
        <v>3880</v>
      </c>
      <c r="D338" s="825"/>
      <c r="E338" s="825"/>
      <c r="F338" s="825">
        <v>0</v>
      </c>
      <c r="G338" s="814" t="s">
        <v>3858</v>
      </c>
      <c r="H338" s="813" t="s">
        <v>246</v>
      </c>
      <c r="I338" s="813" t="s">
        <v>4191</v>
      </c>
      <c r="J338" s="813" t="s">
        <v>5004</v>
      </c>
      <c r="K338" s="813" t="s">
        <v>3923</v>
      </c>
      <c r="L338" s="813" t="s">
        <v>3863</v>
      </c>
      <c r="M338" s="813" t="s">
        <v>3163</v>
      </c>
      <c r="N338" s="813" t="s">
        <v>5005</v>
      </c>
      <c r="O338" s="813" t="s">
        <v>3925</v>
      </c>
      <c r="P338" s="813" t="s">
        <v>5006</v>
      </c>
      <c r="Q338" s="813" t="s">
        <v>5007</v>
      </c>
      <c r="R338" s="813">
        <v>1</v>
      </c>
      <c r="S338" s="813" t="s">
        <v>3928</v>
      </c>
      <c r="T338" s="813" t="s">
        <v>4196</v>
      </c>
    </row>
    <row r="339" spans="1:20" ht="15" customHeight="1" x14ac:dyDescent="0.35">
      <c r="A339" s="794" t="s">
        <v>5008</v>
      </c>
      <c r="B339" s="794" t="s">
        <v>3857</v>
      </c>
      <c r="C339" s="812" t="s">
        <v>3913</v>
      </c>
      <c r="D339" s="825"/>
      <c r="E339" s="825">
        <v>0.7</v>
      </c>
      <c r="F339" s="825">
        <v>0.6</v>
      </c>
      <c r="G339" s="814" t="s">
        <v>3858</v>
      </c>
      <c r="H339" s="813" t="s">
        <v>246</v>
      </c>
      <c r="I339" s="813" t="s">
        <v>4191</v>
      </c>
      <c r="J339" s="813" t="s">
        <v>5004</v>
      </c>
      <c r="K339" s="813" t="s">
        <v>3923</v>
      </c>
      <c r="L339" s="813" t="s">
        <v>3863</v>
      </c>
      <c r="M339" s="813" t="s">
        <v>3163</v>
      </c>
      <c r="N339" s="813" t="s">
        <v>5009</v>
      </c>
      <c r="O339" s="813" t="s">
        <v>3883</v>
      </c>
      <c r="P339" s="813" t="s">
        <v>5010</v>
      </c>
      <c r="Q339" s="813" t="s">
        <v>5011</v>
      </c>
      <c r="R339" s="813">
        <v>2</v>
      </c>
      <c r="S339" s="813" t="s">
        <v>3928</v>
      </c>
      <c r="T339" s="813" t="s">
        <v>4196</v>
      </c>
    </row>
    <row r="340" spans="1:20" ht="15" customHeight="1" x14ac:dyDescent="0.35">
      <c r="A340" s="794" t="s">
        <v>5012</v>
      </c>
      <c r="B340" s="794" t="s">
        <v>3857</v>
      </c>
      <c r="C340" s="812" t="s">
        <v>3913</v>
      </c>
      <c r="D340" s="825"/>
      <c r="E340" s="825">
        <v>0.6</v>
      </c>
      <c r="F340" s="826"/>
      <c r="G340" s="814" t="s">
        <v>3858</v>
      </c>
      <c r="H340" s="813" t="s">
        <v>246</v>
      </c>
      <c r="I340" s="813" t="s">
        <v>4191</v>
      </c>
      <c r="J340" s="813" t="s">
        <v>5004</v>
      </c>
      <c r="K340" s="813" t="s">
        <v>3923</v>
      </c>
      <c r="L340" s="813" t="s">
        <v>3863</v>
      </c>
      <c r="M340" s="813" t="s">
        <v>3163</v>
      </c>
      <c r="N340" s="813" t="s">
        <v>5013</v>
      </c>
      <c r="O340" s="813" t="s">
        <v>3883</v>
      </c>
      <c r="P340" s="813" t="s">
        <v>5014</v>
      </c>
      <c r="Q340" s="813" t="s">
        <v>5015</v>
      </c>
      <c r="R340" s="813">
        <v>1</v>
      </c>
      <c r="S340" s="813" t="s">
        <v>3928</v>
      </c>
      <c r="T340" s="813" t="s">
        <v>4196</v>
      </c>
    </row>
    <row r="341" spans="1:20" ht="15" customHeight="1" x14ac:dyDescent="0.35">
      <c r="A341" s="803" t="s">
        <v>5016</v>
      </c>
      <c r="B341" s="803"/>
      <c r="C341" s="803"/>
      <c r="D341" s="803"/>
      <c r="E341" s="803"/>
      <c r="F341" s="803"/>
      <c r="G341" s="803" t="s">
        <v>5017</v>
      </c>
      <c r="H341" s="794"/>
      <c r="I341" s="794"/>
      <c r="J341" s="794"/>
      <c r="K341" s="794"/>
      <c r="L341" s="794"/>
      <c r="M341" s="794"/>
      <c r="N341" s="794"/>
      <c r="O341" s="794"/>
      <c r="P341" s="794"/>
      <c r="Q341" s="794"/>
      <c r="R341" s="794"/>
      <c r="S341" s="794"/>
      <c r="T341" s="794"/>
    </row>
    <row r="342" spans="1:20" ht="15" customHeight="1" x14ac:dyDescent="0.35">
      <c r="A342" s="794" t="s">
        <v>5018</v>
      </c>
      <c r="B342" s="794" t="s">
        <v>3857</v>
      </c>
      <c r="C342" s="812" t="s">
        <v>3913</v>
      </c>
      <c r="D342" s="825">
        <v>7884615.3846153803</v>
      </c>
      <c r="E342" s="825">
        <v>5125000</v>
      </c>
      <c r="F342" s="825">
        <v>4100000</v>
      </c>
      <c r="G342" s="814" t="s">
        <v>3858</v>
      </c>
      <c r="H342" s="813" t="s">
        <v>246</v>
      </c>
      <c r="I342" s="813" t="s">
        <v>4191</v>
      </c>
      <c r="J342" s="813" t="s">
        <v>5019</v>
      </c>
      <c r="K342" s="813" t="s">
        <v>3923</v>
      </c>
      <c r="L342" s="813" t="s">
        <v>3863</v>
      </c>
      <c r="M342" s="813" t="s">
        <v>3163</v>
      </c>
      <c r="N342" s="813" t="s">
        <v>5020</v>
      </c>
      <c r="O342" s="813" t="s">
        <v>3925</v>
      </c>
      <c r="P342" s="813" t="s">
        <v>5021</v>
      </c>
      <c r="Q342" s="813" t="s">
        <v>5022</v>
      </c>
      <c r="R342" s="813">
        <v>3</v>
      </c>
      <c r="S342" s="813" t="s">
        <v>3928</v>
      </c>
      <c r="T342" s="813" t="s">
        <v>4196</v>
      </c>
    </row>
    <row r="343" spans="1:20" ht="15" customHeight="1" x14ac:dyDescent="0.35">
      <c r="A343" s="794" t="s">
        <v>5023</v>
      </c>
      <c r="B343" s="794" t="s">
        <v>3857</v>
      </c>
      <c r="C343" s="812" t="s">
        <v>3913</v>
      </c>
      <c r="D343" s="825">
        <v>7307692.3076923098</v>
      </c>
      <c r="E343" s="825">
        <v>4750000</v>
      </c>
      <c r="F343" s="825">
        <v>3800000</v>
      </c>
      <c r="G343" s="814" t="s">
        <v>3858</v>
      </c>
      <c r="H343" s="813" t="s">
        <v>246</v>
      </c>
      <c r="I343" s="813" t="s">
        <v>4191</v>
      </c>
      <c r="J343" s="813" t="s">
        <v>5019</v>
      </c>
      <c r="K343" s="813" t="s">
        <v>3923</v>
      </c>
      <c r="L343" s="813" t="s">
        <v>3863</v>
      </c>
      <c r="M343" s="813" t="s">
        <v>3163</v>
      </c>
      <c r="N343" s="813" t="s">
        <v>5024</v>
      </c>
      <c r="O343" s="813" t="s">
        <v>3925</v>
      </c>
      <c r="P343" s="813" t="s">
        <v>5025</v>
      </c>
      <c r="Q343" s="813" t="s">
        <v>5026</v>
      </c>
      <c r="R343" s="813">
        <v>3</v>
      </c>
      <c r="S343" s="813" t="s">
        <v>3928</v>
      </c>
      <c r="T343" s="813" t="s">
        <v>4196</v>
      </c>
    </row>
    <row r="344" spans="1:20" ht="15" customHeight="1" x14ac:dyDescent="0.35">
      <c r="A344" s="794" t="s">
        <v>5027</v>
      </c>
      <c r="B344" s="794" t="s">
        <v>3857</v>
      </c>
      <c r="C344" s="812" t="s">
        <v>3913</v>
      </c>
      <c r="D344" s="825">
        <v>3461538.4615384601</v>
      </c>
      <c r="E344" s="825">
        <v>2250000</v>
      </c>
      <c r="F344" s="825">
        <v>1800000</v>
      </c>
      <c r="G344" s="814" t="s">
        <v>3858</v>
      </c>
      <c r="H344" s="813" t="s">
        <v>246</v>
      </c>
      <c r="I344" s="813" t="s">
        <v>4191</v>
      </c>
      <c r="J344" s="813" t="s">
        <v>5019</v>
      </c>
      <c r="K344" s="813" t="s">
        <v>3923</v>
      </c>
      <c r="L344" s="813" t="s">
        <v>3863</v>
      </c>
      <c r="M344" s="813" t="s">
        <v>3163</v>
      </c>
      <c r="N344" s="813" t="s">
        <v>5028</v>
      </c>
      <c r="O344" s="813" t="s">
        <v>3925</v>
      </c>
      <c r="P344" s="813" t="s">
        <v>5029</v>
      </c>
      <c r="Q344" s="813" t="s">
        <v>5030</v>
      </c>
      <c r="R344" s="813">
        <v>3</v>
      </c>
      <c r="S344" s="813" t="s">
        <v>3928</v>
      </c>
      <c r="T344" s="813" t="s">
        <v>4196</v>
      </c>
    </row>
    <row r="345" spans="1:20" ht="15" customHeight="1" x14ac:dyDescent="0.35">
      <c r="A345" s="794" t="s">
        <v>5031</v>
      </c>
      <c r="B345" s="794" t="s">
        <v>3857</v>
      </c>
      <c r="C345" s="812" t="s">
        <v>3913</v>
      </c>
      <c r="D345" s="825">
        <v>2403846.1538461498</v>
      </c>
      <c r="E345" s="825">
        <v>1562500</v>
      </c>
      <c r="F345" s="825">
        <v>1250000</v>
      </c>
      <c r="G345" s="814" t="s">
        <v>3858</v>
      </c>
      <c r="H345" s="813" t="s">
        <v>246</v>
      </c>
      <c r="I345" s="813" t="s">
        <v>4191</v>
      </c>
      <c r="J345" s="813" t="s">
        <v>5019</v>
      </c>
      <c r="K345" s="813" t="s">
        <v>3923</v>
      </c>
      <c r="L345" s="813" t="s">
        <v>3863</v>
      </c>
      <c r="M345" s="813" t="s">
        <v>3163</v>
      </c>
      <c r="N345" s="813" t="s">
        <v>5032</v>
      </c>
      <c r="O345" s="813" t="s">
        <v>3925</v>
      </c>
      <c r="P345" s="813" t="s">
        <v>5033</v>
      </c>
      <c r="Q345" s="813" t="s">
        <v>5034</v>
      </c>
      <c r="R345" s="813">
        <v>3</v>
      </c>
      <c r="S345" s="813" t="s">
        <v>3928</v>
      </c>
      <c r="T345" s="813" t="s">
        <v>4196</v>
      </c>
    </row>
    <row r="346" spans="1:20" ht="15" customHeight="1" x14ac:dyDescent="0.35">
      <c r="A346" s="794" t="s">
        <v>5035</v>
      </c>
      <c r="B346" s="794" t="s">
        <v>3857</v>
      </c>
      <c r="C346" s="812" t="s">
        <v>3913</v>
      </c>
      <c r="D346" s="825">
        <v>2307692.3076923098</v>
      </c>
      <c r="E346" s="825">
        <v>1500000</v>
      </c>
      <c r="F346" s="825">
        <v>1200000</v>
      </c>
      <c r="G346" s="814" t="s">
        <v>3858</v>
      </c>
      <c r="H346" s="813" t="s">
        <v>246</v>
      </c>
      <c r="I346" s="813" t="s">
        <v>4191</v>
      </c>
      <c r="J346" s="813" t="s">
        <v>5019</v>
      </c>
      <c r="K346" s="813" t="s">
        <v>3923</v>
      </c>
      <c r="L346" s="813" t="s">
        <v>3863</v>
      </c>
      <c r="M346" s="813" t="s">
        <v>3163</v>
      </c>
      <c r="N346" s="813" t="s">
        <v>5036</v>
      </c>
      <c r="O346" s="813" t="s">
        <v>3925</v>
      </c>
      <c r="P346" s="813" t="s">
        <v>5037</v>
      </c>
      <c r="Q346" s="813" t="s">
        <v>5038</v>
      </c>
      <c r="R346" s="813">
        <v>3</v>
      </c>
      <c r="S346" s="813" t="s">
        <v>3928</v>
      </c>
      <c r="T346" s="813" t="s">
        <v>4196</v>
      </c>
    </row>
    <row r="347" spans="1:20" ht="15" customHeight="1" x14ac:dyDescent="0.35">
      <c r="A347" s="794" t="s">
        <v>5039</v>
      </c>
      <c r="B347" s="794" t="s">
        <v>3857</v>
      </c>
      <c r="C347" s="812" t="s">
        <v>3913</v>
      </c>
      <c r="D347" s="825">
        <v>1442307.6923076899</v>
      </c>
      <c r="E347" s="825">
        <v>937500</v>
      </c>
      <c r="F347" s="825">
        <v>750000</v>
      </c>
      <c r="G347" s="814" t="s">
        <v>3858</v>
      </c>
      <c r="H347" s="813" t="s">
        <v>246</v>
      </c>
      <c r="I347" s="813" t="s">
        <v>4191</v>
      </c>
      <c r="J347" s="813" t="s">
        <v>5019</v>
      </c>
      <c r="K347" s="813" t="s">
        <v>3923</v>
      </c>
      <c r="L347" s="813" t="s">
        <v>3863</v>
      </c>
      <c r="M347" s="813" t="s">
        <v>3163</v>
      </c>
      <c r="N347" s="813" t="s">
        <v>5040</v>
      </c>
      <c r="O347" s="813" t="s">
        <v>3925</v>
      </c>
      <c r="P347" s="813" t="s">
        <v>5041</v>
      </c>
      <c r="Q347" s="813" t="s">
        <v>5042</v>
      </c>
      <c r="R347" s="813">
        <v>3</v>
      </c>
      <c r="S347" s="813" t="s">
        <v>3928</v>
      </c>
      <c r="T347" s="813" t="s">
        <v>4196</v>
      </c>
    </row>
    <row r="348" spans="1:20" ht="15" customHeight="1" x14ac:dyDescent="0.35">
      <c r="A348" s="794" t="s">
        <v>5043</v>
      </c>
      <c r="B348" s="794" t="s">
        <v>3857</v>
      </c>
      <c r="C348" s="812" t="s">
        <v>3913</v>
      </c>
      <c r="D348" s="825">
        <v>5480769.2307692301</v>
      </c>
      <c r="E348" s="825">
        <v>3562500</v>
      </c>
      <c r="F348" s="825">
        <v>2850000</v>
      </c>
      <c r="G348" s="814" t="s">
        <v>3858</v>
      </c>
      <c r="H348" s="813" t="s">
        <v>246</v>
      </c>
      <c r="I348" s="813" t="s">
        <v>4191</v>
      </c>
      <c r="J348" s="813" t="s">
        <v>5019</v>
      </c>
      <c r="K348" s="813" t="s">
        <v>3923</v>
      </c>
      <c r="L348" s="813" t="s">
        <v>3863</v>
      </c>
      <c r="M348" s="813" t="s">
        <v>3163</v>
      </c>
      <c r="N348" s="813" t="s">
        <v>5044</v>
      </c>
      <c r="O348" s="813" t="s">
        <v>3925</v>
      </c>
      <c r="P348" s="813" t="s">
        <v>5045</v>
      </c>
      <c r="Q348" s="813" t="s">
        <v>5046</v>
      </c>
      <c r="R348" s="813">
        <v>3</v>
      </c>
      <c r="S348" s="813" t="s">
        <v>3928</v>
      </c>
      <c r="T348" s="813" t="s">
        <v>4196</v>
      </c>
    </row>
    <row r="349" spans="1:20" ht="15" customHeight="1" x14ac:dyDescent="0.35">
      <c r="A349" s="803" t="s">
        <v>5047</v>
      </c>
      <c r="B349" s="803"/>
      <c r="C349" s="803"/>
      <c r="D349" s="803"/>
      <c r="E349" s="803"/>
      <c r="F349" s="803"/>
      <c r="G349" s="803" t="s">
        <v>5048</v>
      </c>
      <c r="H349" s="794"/>
      <c r="I349" s="794"/>
      <c r="J349" s="794"/>
      <c r="K349" s="794"/>
      <c r="L349" s="794"/>
      <c r="M349" s="794"/>
      <c r="N349" s="794"/>
      <c r="O349" s="794"/>
      <c r="P349" s="794"/>
      <c r="Q349" s="794"/>
      <c r="R349" s="794"/>
      <c r="S349" s="794"/>
      <c r="T349" s="794"/>
    </row>
    <row r="350" spans="1:20" ht="15" customHeight="1" x14ac:dyDescent="0.35">
      <c r="A350" s="794" t="s">
        <v>5049</v>
      </c>
      <c r="B350" s="794" t="s">
        <v>3857</v>
      </c>
      <c r="C350" s="812" t="s">
        <v>3913</v>
      </c>
      <c r="D350" s="825">
        <v>7211538.4615384601</v>
      </c>
      <c r="E350" s="825">
        <v>4687500</v>
      </c>
      <c r="F350" s="825">
        <v>3750000</v>
      </c>
      <c r="G350" s="814" t="s">
        <v>3858</v>
      </c>
      <c r="H350" s="813" t="s">
        <v>246</v>
      </c>
      <c r="I350" s="813" t="s">
        <v>4191</v>
      </c>
      <c r="J350" s="813" t="s">
        <v>5050</v>
      </c>
      <c r="K350" s="813" t="s">
        <v>3923</v>
      </c>
      <c r="L350" s="813" t="s">
        <v>3863</v>
      </c>
      <c r="M350" s="813" t="s">
        <v>3163</v>
      </c>
      <c r="N350" s="813" t="s">
        <v>5051</v>
      </c>
      <c r="O350" s="813" t="s">
        <v>3925</v>
      </c>
      <c r="P350" s="813" t="s">
        <v>5052</v>
      </c>
      <c r="Q350" s="813" t="s">
        <v>5053</v>
      </c>
      <c r="R350" s="813">
        <v>3</v>
      </c>
      <c r="S350" s="813" t="s">
        <v>3928</v>
      </c>
      <c r="T350" s="813" t="s">
        <v>4196</v>
      </c>
    </row>
    <row r="351" spans="1:20" ht="15" customHeight="1" x14ac:dyDescent="0.35">
      <c r="A351" s="803" t="s">
        <v>5054</v>
      </c>
      <c r="B351" s="803"/>
      <c r="C351" s="803"/>
      <c r="D351" s="803"/>
      <c r="E351" s="803"/>
      <c r="F351" s="803"/>
      <c r="G351" s="803" t="s">
        <v>3855</v>
      </c>
      <c r="H351" s="794"/>
      <c r="I351" s="794"/>
      <c r="J351" s="794"/>
      <c r="K351" s="794"/>
      <c r="L351" s="794"/>
      <c r="M351" s="794"/>
      <c r="N351" s="794"/>
      <c r="O351" s="794"/>
      <c r="P351" s="794"/>
      <c r="Q351" s="794"/>
      <c r="R351" s="794"/>
      <c r="S351" s="794"/>
      <c r="T351" s="794"/>
    </row>
    <row r="352" spans="1:20" ht="15" customHeight="1" x14ac:dyDescent="0.35">
      <c r="A352" s="794" t="s">
        <v>5055</v>
      </c>
      <c r="B352" s="794" t="s">
        <v>3857</v>
      </c>
      <c r="C352" s="812" t="s">
        <v>3880</v>
      </c>
      <c r="D352" s="825"/>
      <c r="E352" s="825"/>
      <c r="F352" s="825">
        <v>1350000</v>
      </c>
      <c r="G352" s="814" t="s">
        <v>3858</v>
      </c>
      <c r="H352" s="813" t="s">
        <v>246</v>
      </c>
      <c r="I352" s="813" t="s">
        <v>4191</v>
      </c>
      <c r="J352" s="813" t="s">
        <v>5056</v>
      </c>
      <c r="K352" s="813" t="s">
        <v>3923</v>
      </c>
      <c r="L352" s="813" t="s">
        <v>3863</v>
      </c>
      <c r="M352" s="813" t="s">
        <v>3163</v>
      </c>
      <c r="N352" s="813" t="s">
        <v>5057</v>
      </c>
      <c r="O352" s="813" t="s">
        <v>3925</v>
      </c>
      <c r="P352" s="813" t="s">
        <v>5058</v>
      </c>
      <c r="Q352" s="813" t="s">
        <v>5059</v>
      </c>
      <c r="R352" s="813">
        <v>1</v>
      </c>
      <c r="S352" s="813" t="s">
        <v>3928</v>
      </c>
      <c r="T352" s="813" t="s">
        <v>4196</v>
      </c>
    </row>
    <row r="353" spans="1:20" ht="15" customHeight="1" x14ac:dyDescent="0.35">
      <c r="A353" s="794" t="s">
        <v>5055</v>
      </c>
      <c r="B353" s="794" t="s">
        <v>3857</v>
      </c>
      <c r="C353" s="812" t="s">
        <v>3880</v>
      </c>
      <c r="D353" s="825"/>
      <c r="E353" s="825"/>
      <c r="F353" s="825">
        <v>1687500</v>
      </c>
      <c r="G353" s="814" t="s">
        <v>3858</v>
      </c>
      <c r="H353" s="813" t="s">
        <v>246</v>
      </c>
      <c r="I353" s="813" t="s">
        <v>4191</v>
      </c>
      <c r="J353" s="813" t="s">
        <v>5056</v>
      </c>
      <c r="K353" s="813" t="s">
        <v>3923</v>
      </c>
      <c r="L353" s="813" t="s">
        <v>3863</v>
      </c>
      <c r="M353" s="813" t="s">
        <v>3163</v>
      </c>
      <c r="N353" s="813" t="s">
        <v>5060</v>
      </c>
      <c r="O353" s="813" t="s">
        <v>3925</v>
      </c>
      <c r="P353" s="813" t="s">
        <v>5061</v>
      </c>
      <c r="Q353" s="813" t="s">
        <v>5062</v>
      </c>
      <c r="R353" s="813">
        <v>1</v>
      </c>
      <c r="S353" s="813" t="s">
        <v>3928</v>
      </c>
      <c r="T353" s="813" t="s">
        <v>4196</v>
      </c>
    </row>
    <row r="354" spans="1:20" ht="15" customHeight="1" x14ac:dyDescent="0.35">
      <c r="A354" s="794" t="s">
        <v>5055</v>
      </c>
      <c r="B354" s="794" t="s">
        <v>3857</v>
      </c>
      <c r="C354" s="812" t="s">
        <v>3880</v>
      </c>
      <c r="D354" s="825"/>
      <c r="E354" s="825"/>
      <c r="F354" s="825">
        <v>2596153.8461538502</v>
      </c>
      <c r="G354" s="814" t="s">
        <v>3858</v>
      </c>
      <c r="H354" s="813" t="s">
        <v>246</v>
      </c>
      <c r="I354" s="813" t="s">
        <v>4191</v>
      </c>
      <c r="J354" s="813" t="s">
        <v>5056</v>
      </c>
      <c r="K354" s="813" t="s">
        <v>3923</v>
      </c>
      <c r="L354" s="813" t="s">
        <v>3863</v>
      </c>
      <c r="M354" s="813" t="s">
        <v>3163</v>
      </c>
      <c r="N354" s="813" t="s">
        <v>5063</v>
      </c>
      <c r="O354" s="813" t="s">
        <v>3925</v>
      </c>
      <c r="P354" s="813" t="s">
        <v>5064</v>
      </c>
      <c r="Q354" s="813" t="s">
        <v>5065</v>
      </c>
      <c r="R354" s="813">
        <v>1</v>
      </c>
      <c r="S354" s="813" t="s">
        <v>3928</v>
      </c>
      <c r="T354" s="813" t="s">
        <v>4196</v>
      </c>
    </row>
    <row r="355" spans="1:20" ht="15" customHeight="1" x14ac:dyDescent="0.35">
      <c r="A355" s="803" t="s">
        <v>5066</v>
      </c>
      <c r="B355" s="803"/>
      <c r="C355" s="803"/>
      <c r="D355" s="803"/>
      <c r="E355" s="803"/>
      <c r="F355" s="803"/>
      <c r="G355" s="803" t="s">
        <v>5048</v>
      </c>
      <c r="H355" s="794"/>
      <c r="I355" s="794"/>
      <c r="J355" s="794"/>
      <c r="K355" s="794"/>
      <c r="L355" s="794"/>
      <c r="M355" s="794"/>
      <c r="N355" s="794"/>
      <c r="O355" s="794"/>
      <c r="P355" s="794"/>
      <c r="Q355" s="794"/>
      <c r="R355" s="794"/>
      <c r="S355" s="794"/>
      <c r="T355" s="794"/>
    </row>
    <row r="356" spans="1:20" ht="15" customHeight="1" x14ac:dyDescent="0.35">
      <c r="A356" s="794" t="s">
        <v>5067</v>
      </c>
      <c r="B356" s="794" t="s">
        <v>3857</v>
      </c>
      <c r="C356" s="812" t="s">
        <v>3913</v>
      </c>
      <c r="D356" s="825">
        <v>673076.92307692301</v>
      </c>
      <c r="E356" s="825">
        <v>437500</v>
      </c>
      <c r="F356" s="825">
        <v>350000</v>
      </c>
      <c r="G356" s="814" t="s">
        <v>3858</v>
      </c>
      <c r="H356" s="813" t="s">
        <v>246</v>
      </c>
      <c r="I356" s="813" t="s">
        <v>4191</v>
      </c>
      <c r="J356" s="813" t="s">
        <v>5068</v>
      </c>
      <c r="K356" s="813" t="s">
        <v>3923</v>
      </c>
      <c r="L356" s="813" t="s">
        <v>3863</v>
      </c>
      <c r="M356" s="813" t="s">
        <v>3163</v>
      </c>
      <c r="N356" s="813" t="s">
        <v>5069</v>
      </c>
      <c r="O356" s="813" t="s">
        <v>3925</v>
      </c>
      <c r="P356" s="813" t="s">
        <v>5070</v>
      </c>
      <c r="Q356" s="813" t="s">
        <v>5071</v>
      </c>
      <c r="R356" s="813">
        <v>3</v>
      </c>
      <c r="S356" s="813" t="s">
        <v>3928</v>
      </c>
      <c r="T356" s="813" t="s">
        <v>4196</v>
      </c>
    </row>
    <row r="357" spans="1:20" ht="15" customHeight="1" x14ac:dyDescent="0.35">
      <c r="A357" s="803" t="s">
        <v>5072</v>
      </c>
      <c r="B357" s="803"/>
      <c r="C357" s="803"/>
      <c r="D357" s="803"/>
      <c r="E357" s="803"/>
      <c r="F357" s="803"/>
      <c r="G357" s="803" t="s">
        <v>5073</v>
      </c>
      <c r="H357" s="794"/>
      <c r="I357" s="794"/>
      <c r="J357" s="794"/>
      <c r="K357" s="794"/>
      <c r="L357" s="794"/>
      <c r="M357" s="794"/>
      <c r="N357" s="794"/>
      <c r="O357" s="794"/>
      <c r="P357" s="794"/>
      <c r="Q357" s="794"/>
      <c r="R357" s="794"/>
      <c r="S357" s="794"/>
      <c r="T357" s="794"/>
    </row>
    <row r="358" spans="1:20" ht="15" customHeight="1" x14ac:dyDescent="0.35">
      <c r="A358" s="794" t="s">
        <v>5074</v>
      </c>
      <c r="B358" s="794" t="s">
        <v>3857</v>
      </c>
      <c r="C358" s="812" t="s">
        <v>3913</v>
      </c>
      <c r="D358" s="825">
        <v>1914500</v>
      </c>
      <c r="E358" s="825">
        <v>1244425</v>
      </c>
      <c r="F358" s="825">
        <v>995540</v>
      </c>
      <c r="G358" s="814" t="s">
        <v>3858</v>
      </c>
      <c r="H358" s="813" t="s">
        <v>246</v>
      </c>
      <c r="I358" s="813" t="s">
        <v>4191</v>
      </c>
      <c r="J358" s="813" t="s">
        <v>5075</v>
      </c>
      <c r="K358" s="813" t="s">
        <v>3923</v>
      </c>
      <c r="L358" s="813" t="s">
        <v>3863</v>
      </c>
      <c r="M358" s="813" t="s">
        <v>3163</v>
      </c>
      <c r="N358" s="813" t="s">
        <v>5076</v>
      </c>
      <c r="O358" s="813" t="s">
        <v>3925</v>
      </c>
      <c r="P358" s="813" t="s">
        <v>5077</v>
      </c>
      <c r="Q358" s="813" t="s">
        <v>5078</v>
      </c>
      <c r="R358" s="813">
        <v>3</v>
      </c>
      <c r="S358" s="813" t="s">
        <v>3928</v>
      </c>
      <c r="T358" s="813" t="s">
        <v>4196</v>
      </c>
    </row>
    <row r="359" spans="1:20" ht="15" customHeight="1" x14ac:dyDescent="0.35">
      <c r="A359" s="794" t="s">
        <v>5079</v>
      </c>
      <c r="B359" s="794" t="s">
        <v>3857</v>
      </c>
      <c r="C359" s="812" t="s">
        <v>3913</v>
      </c>
      <c r="D359" s="825">
        <v>563583.33333333302</v>
      </c>
      <c r="E359" s="825">
        <v>366329.16666666698</v>
      </c>
      <c r="F359" s="825">
        <v>293063.33333333302</v>
      </c>
      <c r="G359" s="814" t="s">
        <v>3858</v>
      </c>
      <c r="H359" s="813" t="s">
        <v>246</v>
      </c>
      <c r="I359" s="813" t="s">
        <v>4191</v>
      </c>
      <c r="J359" s="813" t="s">
        <v>5075</v>
      </c>
      <c r="K359" s="813" t="s">
        <v>3923</v>
      </c>
      <c r="L359" s="813" t="s">
        <v>3863</v>
      </c>
      <c r="M359" s="813" t="s">
        <v>3163</v>
      </c>
      <c r="N359" s="813" t="s">
        <v>5080</v>
      </c>
      <c r="O359" s="813" t="s">
        <v>3925</v>
      </c>
      <c r="P359" s="813" t="s">
        <v>5081</v>
      </c>
      <c r="Q359" s="813" t="s">
        <v>5082</v>
      </c>
      <c r="R359" s="813">
        <v>3</v>
      </c>
      <c r="S359" s="813" t="s">
        <v>3928</v>
      </c>
      <c r="T359" s="813" t="s">
        <v>4196</v>
      </c>
    </row>
    <row r="360" spans="1:20" ht="15" customHeight="1" x14ac:dyDescent="0.35">
      <c r="A360" s="794" t="s">
        <v>5083</v>
      </c>
      <c r="B360" s="794" t="s">
        <v>3857</v>
      </c>
      <c r="C360" s="812" t="s">
        <v>3913</v>
      </c>
      <c r="D360" s="825">
        <v>805769.23076923098</v>
      </c>
      <c r="E360" s="825">
        <v>523750</v>
      </c>
      <c r="F360" s="825">
        <v>419000</v>
      </c>
      <c r="G360" s="814" t="s">
        <v>3858</v>
      </c>
      <c r="H360" s="813" t="s">
        <v>246</v>
      </c>
      <c r="I360" s="813" t="s">
        <v>4191</v>
      </c>
      <c r="J360" s="813" t="s">
        <v>5075</v>
      </c>
      <c r="K360" s="813" t="s">
        <v>3923</v>
      </c>
      <c r="L360" s="813" t="s">
        <v>3863</v>
      </c>
      <c r="M360" s="813" t="s">
        <v>3163</v>
      </c>
      <c r="N360" s="813" t="s">
        <v>5084</v>
      </c>
      <c r="O360" s="813" t="s">
        <v>3925</v>
      </c>
      <c r="P360" s="813" t="s">
        <v>5085</v>
      </c>
      <c r="Q360" s="813" t="s">
        <v>5086</v>
      </c>
      <c r="R360" s="813">
        <v>3</v>
      </c>
      <c r="S360" s="813" t="s">
        <v>3928</v>
      </c>
      <c r="T360" s="813" t="s">
        <v>4196</v>
      </c>
    </row>
    <row r="361" spans="1:20" ht="15" customHeight="1" x14ac:dyDescent="0.35">
      <c r="A361" s="794" t="s">
        <v>5087</v>
      </c>
      <c r="B361" s="794" t="s">
        <v>3857</v>
      </c>
      <c r="C361" s="812" t="s">
        <v>3913</v>
      </c>
      <c r="D361" s="825">
        <v>1593592.64440828</v>
      </c>
      <c r="E361" s="825">
        <v>1035835.21886538</v>
      </c>
      <c r="F361" s="825">
        <v>828668.17509230296</v>
      </c>
      <c r="G361" s="814" t="s">
        <v>3858</v>
      </c>
      <c r="H361" s="813" t="s">
        <v>246</v>
      </c>
      <c r="I361" s="813" t="s">
        <v>4191</v>
      </c>
      <c r="J361" s="813" t="s">
        <v>5075</v>
      </c>
      <c r="K361" s="813" t="s">
        <v>3923</v>
      </c>
      <c r="L361" s="813" t="s">
        <v>3863</v>
      </c>
      <c r="M361" s="813" t="s">
        <v>3163</v>
      </c>
      <c r="N361" s="813" t="s">
        <v>5088</v>
      </c>
      <c r="O361" s="813" t="s">
        <v>3925</v>
      </c>
      <c r="P361" s="813" t="s">
        <v>5089</v>
      </c>
      <c r="Q361" s="813" t="s">
        <v>5090</v>
      </c>
      <c r="R361" s="813">
        <v>3</v>
      </c>
      <c r="S361" s="813" t="s">
        <v>3928</v>
      </c>
      <c r="T361" s="813" t="s">
        <v>4196</v>
      </c>
    </row>
    <row r="362" spans="1:20" ht="15" customHeight="1" x14ac:dyDescent="0.35">
      <c r="A362" s="794" t="s">
        <v>5091</v>
      </c>
      <c r="B362" s="794" t="s">
        <v>3857</v>
      </c>
      <c r="C362" s="812" t="s">
        <v>3913</v>
      </c>
      <c r="D362" s="825">
        <v>346153.84615384601</v>
      </c>
      <c r="E362" s="825">
        <v>225000</v>
      </c>
      <c r="F362" s="825">
        <v>180000</v>
      </c>
      <c r="G362" s="814" t="s">
        <v>3858</v>
      </c>
      <c r="H362" s="813" t="s">
        <v>246</v>
      </c>
      <c r="I362" s="813" t="s">
        <v>4191</v>
      </c>
      <c r="J362" s="813" t="s">
        <v>5075</v>
      </c>
      <c r="K362" s="813" t="s">
        <v>3923</v>
      </c>
      <c r="L362" s="813" t="s">
        <v>3863</v>
      </c>
      <c r="M362" s="813" t="s">
        <v>3163</v>
      </c>
      <c r="N362" s="813" t="s">
        <v>5092</v>
      </c>
      <c r="O362" s="813" t="s">
        <v>3925</v>
      </c>
      <c r="P362" s="813" t="s">
        <v>5093</v>
      </c>
      <c r="Q362" s="813" t="s">
        <v>5094</v>
      </c>
      <c r="R362" s="813">
        <v>3</v>
      </c>
      <c r="S362" s="813" t="s">
        <v>3928</v>
      </c>
      <c r="T362" s="813" t="s">
        <v>4196</v>
      </c>
    </row>
    <row r="363" spans="1:20" ht="15" customHeight="1" x14ac:dyDescent="0.35">
      <c r="A363" s="803" t="s">
        <v>5095</v>
      </c>
      <c r="B363" s="803"/>
      <c r="C363" s="803"/>
      <c r="D363" s="803"/>
      <c r="E363" s="803"/>
      <c r="F363" s="803"/>
      <c r="G363" s="803" t="s">
        <v>5096</v>
      </c>
      <c r="H363" s="794"/>
      <c r="I363" s="794"/>
      <c r="J363" s="794"/>
      <c r="K363" s="794"/>
      <c r="L363" s="794"/>
      <c r="M363" s="794"/>
      <c r="N363" s="794"/>
      <c r="O363" s="794"/>
      <c r="P363" s="794"/>
      <c r="Q363" s="794"/>
      <c r="R363" s="794"/>
      <c r="S363" s="794"/>
      <c r="T363" s="794"/>
    </row>
    <row r="364" spans="1:20" ht="15" customHeight="1" x14ac:dyDescent="0.35">
      <c r="A364" s="794" t="s">
        <v>5097</v>
      </c>
      <c r="B364" s="794" t="s">
        <v>3857</v>
      </c>
      <c r="C364" s="812" t="s">
        <v>3913</v>
      </c>
      <c r="D364" s="825">
        <v>57692.307692307702</v>
      </c>
      <c r="E364" s="825">
        <v>37500</v>
      </c>
      <c r="F364" s="825">
        <v>30000</v>
      </c>
      <c r="G364" s="814" t="s">
        <v>3858</v>
      </c>
      <c r="H364" s="813" t="s">
        <v>246</v>
      </c>
      <c r="I364" s="813" t="s">
        <v>4191</v>
      </c>
      <c r="J364" s="813" t="s">
        <v>5098</v>
      </c>
      <c r="K364" s="813" t="s">
        <v>3923</v>
      </c>
      <c r="L364" s="813" t="s">
        <v>3863</v>
      </c>
      <c r="M364" s="813" t="s">
        <v>3163</v>
      </c>
      <c r="N364" s="813" t="s">
        <v>5099</v>
      </c>
      <c r="O364" s="813" t="s">
        <v>3925</v>
      </c>
      <c r="P364" s="813" t="s">
        <v>5100</v>
      </c>
      <c r="Q364" s="813" t="s">
        <v>5101</v>
      </c>
      <c r="R364" s="813">
        <v>3</v>
      </c>
      <c r="S364" s="813" t="s">
        <v>3928</v>
      </c>
      <c r="T364" s="813" t="s">
        <v>4196</v>
      </c>
    </row>
    <row r="365" spans="1:20" ht="15" customHeight="1" x14ac:dyDescent="0.35">
      <c r="A365" s="794" t="s">
        <v>5102</v>
      </c>
      <c r="B365" s="794" t="s">
        <v>3857</v>
      </c>
      <c r="C365" s="812" t="s">
        <v>3913</v>
      </c>
      <c r="D365" s="825">
        <v>11538.461538461501</v>
      </c>
      <c r="E365" s="825">
        <v>7500</v>
      </c>
      <c r="F365" s="825">
        <v>6000</v>
      </c>
      <c r="G365" s="814" t="s">
        <v>3858</v>
      </c>
      <c r="H365" s="813" t="s">
        <v>246</v>
      </c>
      <c r="I365" s="813" t="s">
        <v>4191</v>
      </c>
      <c r="J365" s="813" t="s">
        <v>5098</v>
      </c>
      <c r="K365" s="813" t="s">
        <v>3923</v>
      </c>
      <c r="L365" s="813" t="s">
        <v>3863</v>
      </c>
      <c r="M365" s="813" t="s">
        <v>3163</v>
      </c>
      <c r="N365" s="813" t="s">
        <v>5103</v>
      </c>
      <c r="O365" s="813" t="s">
        <v>3925</v>
      </c>
      <c r="P365" s="813" t="s">
        <v>5104</v>
      </c>
      <c r="Q365" s="813" t="s">
        <v>5105</v>
      </c>
      <c r="R365" s="813">
        <v>3</v>
      </c>
      <c r="S365" s="813" t="s">
        <v>3928</v>
      </c>
      <c r="T365" s="813" t="s">
        <v>4196</v>
      </c>
    </row>
    <row r="366" spans="1:20" ht="15" customHeight="1" x14ac:dyDescent="0.35">
      <c r="A366" s="794" t="s">
        <v>5106</v>
      </c>
      <c r="B366" s="794" t="s">
        <v>3857</v>
      </c>
      <c r="C366" s="812" t="s">
        <v>3913</v>
      </c>
      <c r="D366" s="825">
        <v>86538.461538461503</v>
      </c>
      <c r="E366" s="825">
        <v>56250</v>
      </c>
      <c r="F366" s="825">
        <v>45000</v>
      </c>
      <c r="G366" s="814" t="s">
        <v>3858</v>
      </c>
      <c r="H366" s="813" t="s">
        <v>246</v>
      </c>
      <c r="I366" s="813" t="s">
        <v>4191</v>
      </c>
      <c r="J366" s="813" t="s">
        <v>5098</v>
      </c>
      <c r="K366" s="813" t="s">
        <v>3923</v>
      </c>
      <c r="L366" s="813" t="s">
        <v>3863</v>
      </c>
      <c r="M366" s="813" t="s">
        <v>3163</v>
      </c>
      <c r="N366" s="813" t="s">
        <v>5107</v>
      </c>
      <c r="O366" s="813" t="s">
        <v>3925</v>
      </c>
      <c r="P366" s="813" t="s">
        <v>5108</v>
      </c>
      <c r="Q366" s="813" t="s">
        <v>5109</v>
      </c>
      <c r="R366" s="813">
        <v>3</v>
      </c>
      <c r="S366" s="813" t="s">
        <v>3928</v>
      </c>
      <c r="T366" s="813" t="s">
        <v>4196</v>
      </c>
    </row>
    <row r="367" spans="1:20" ht="15" customHeight="1" x14ac:dyDescent="0.35">
      <c r="A367" s="794" t="s">
        <v>5110</v>
      </c>
      <c r="B367" s="794" t="s">
        <v>3857</v>
      </c>
      <c r="C367" s="812" t="s">
        <v>3913</v>
      </c>
      <c r="D367" s="825">
        <v>76923.076923076893</v>
      </c>
      <c r="E367" s="825">
        <v>50000</v>
      </c>
      <c r="F367" s="825">
        <v>40000</v>
      </c>
      <c r="G367" s="814" t="s">
        <v>3858</v>
      </c>
      <c r="H367" s="813" t="s">
        <v>246</v>
      </c>
      <c r="I367" s="813" t="s">
        <v>4191</v>
      </c>
      <c r="J367" s="813" t="s">
        <v>5098</v>
      </c>
      <c r="K367" s="813" t="s">
        <v>3923</v>
      </c>
      <c r="L367" s="813" t="s">
        <v>3863</v>
      </c>
      <c r="M367" s="813" t="s">
        <v>3163</v>
      </c>
      <c r="N367" s="813" t="s">
        <v>5111</v>
      </c>
      <c r="O367" s="813" t="s">
        <v>3925</v>
      </c>
      <c r="P367" s="813" t="s">
        <v>5112</v>
      </c>
      <c r="Q367" s="813" t="s">
        <v>5113</v>
      </c>
      <c r="R367" s="813">
        <v>3</v>
      </c>
      <c r="S367" s="813" t="s">
        <v>3928</v>
      </c>
      <c r="T367" s="813" t="s">
        <v>4196</v>
      </c>
    </row>
    <row r="368" spans="1:20" ht="15" customHeight="1" x14ac:dyDescent="0.35">
      <c r="A368" s="794" t="s">
        <v>5114</v>
      </c>
      <c r="B368" s="794" t="s">
        <v>3857</v>
      </c>
      <c r="C368" s="812" t="s">
        <v>3913</v>
      </c>
      <c r="D368" s="825"/>
      <c r="E368" s="825"/>
      <c r="F368" s="825">
        <v>65</v>
      </c>
      <c r="G368" s="814" t="s">
        <v>3858</v>
      </c>
      <c r="H368" s="813" t="s">
        <v>246</v>
      </c>
      <c r="I368" s="813" t="s">
        <v>4191</v>
      </c>
      <c r="J368" s="813" t="s">
        <v>5098</v>
      </c>
      <c r="K368" s="813" t="s">
        <v>3923</v>
      </c>
      <c r="L368" s="813" t="s">
        <v>3863</v>
      </c>
      <c r="M368" s="813" t="s">
        <v>3163</v>
      </c>
      <c r="N368" s="813" t="s">
        <v>5115</v>
      </c>
      <c r="O368" s="813" t="s">
        <v>3883</v>
      </c>
      <c r="P368" s="813" t="s">
        <v>5116</v>
      </c>
      <c r="Q368" s="813" t="s">
        <v>5117</v>
      </c>
      <c r="R368" s="813">
        <v>1</v>
      </c>
      <c r="S368" s="813" t="s">
        <v>3928</v>
      </c>
      <c r="T368" s="813" t="s">
        <v>4196</v>
      </c>
    </row>
    <row r="369" spans="1:20" ht="15" customHeight="1" x14ac:dyDescent="0.35">
      <c r="A369" s="794" t="s">
        <v>5114</v>
      </c>
      <c r="B369" s="794" t="s">
        <v>3857</v>
      </c>
      <c r="C369" s="812" t="s">
        <v>3913</v>
      </c>
      <c r="D369" s="825"/>
      <c r="E369" s="825"/>
      <c r="F369" s="825">
        <v>8820</v>
      </c>
      <c r="G369" s="814" t="s">
        <v>3858</v>
      </c>
      <c r="H369" s="813" t="s">
        <v>246</v>
      </c>
      <c r="I369" s="813" t="s">
        <v>4191</v>
      </c>
      <c r="J369" s="813" t="s">
        <v>5098</v>
      </c>
      <c r="K369" s="813" t="s">
        <v>3923</v>
      </c>
      <c r="L369" s="813" t="s">
        <v>3863</v>
      </c>
      <c r="M369" s="813" t="s">
        <v>3163</v>
      </c>
      <c r="N369" s="813" t="s">
        <v>5118</v>
      </c>
      <c r="O369" s="813" t="s">
        <v>3925</v>
      </c>
      <c r="P369" s="813" t="s">
        <v>5119</v>
      </c>
      <c r="Q369" s="813" t="s">
        <v>5120</v>
      </c>
      <c r="R369" s="813">
        <v>1</v>
      </c>
      <c r="S369" s="813" t="s">
        <v>3928</v>
      </c>
      <c r="T369" s="813" t="s">
        <v>4196</v>
      </c>
    </row>
    <row r="370" spans="1:20" ht="15" customHeight="1" x14ac:dyDescent="0.35">
      <c r="A370" s="794" t="s">
        <v>5114</v>
      </c>
      <c r="B370" s="794" t="s">
        <v>3857</v>
      </c>
      <c r="C370" s="812" t="s">
        <v>3913</v>
      </c>
      <c r="D370" s="825"/>
      <c r="E370" s="825">
        <v>11025</v>
      </c>
      <c r="F370" s="826"/>
      <c r="G370" s="814" t="s">
        <v>3858</v>
      </c>
      <c r="H370" s="813" t="s">
        <v>246</v>
      </c>
      <c r="I370" s="813" t="s">
        <v>4191</v>
      </c>
      <c r="J370" s="813" t="s">
        <v>5098</v>
      </c>
      <c r="K370" s="813" t="s">
        <v>3923</v>
      </c>
      <c r="L370" s="813" t="s">
        <v>3863</v>
      </c>
      <c r="M370" s="813" t="s">
        <v>3163</v>
      </c>
      <c r="N370" s="813" t="s">
        <v>5121</v>
      </c>
      <c r="O370" s="813" t="s">
        <v>3925</v>
      </c>
      <c r="P370" s="813" t="s">
        <v>5122</v>
      </c>
      <c r="Q370" s="813" t="s">
        <v>5123</v>
      </c>
      <c r="R370" s="813">
        <v>1</v>
      </c>
      <c r="S370" s="813" t="s">
        <v>3928</v>
      </c>
      <c r="T370" s="813" t="s">
        <v>4196</v>
      </c>
    </row>
    <row r="371" spans="1:20" ht="15" customHeight="1" x14ac:dyDescent="0.35">
      <c r="A371" s="794" t="s">
        <v>5114</v>
      </c>
      <c r="B371" s="794" t="s">
        <v>3857</v>
      </c>
      <c r="C371" s="812" t="s">
        <v>3913</v>
      </c>
      <c r="D371" s="825">
        <v>16961.538461538501</v>
      </c>
      <c r="E371" s="825"/>
      <c r="F371" s="826"/>
      <c r="G371" s="814" t="s">
        <v>3858</v>
      </c>
      <c r="H371" s="813" t="s">
        <v>246</v>
      </c>
      <c r="I371" s="813" t="s">
        <v>4191</v>
      </c>
      <c r="J371" s="813" t="s">
        <v>5098</v>
      </c>
      <c r="K371" s="813" t="s">
        <v>3923</v>
      </c>
      <c r="L371" s="813" t="s">
        <v>3863</v>
      </c>
      <c r="M371" s="813" t="s">
        <v>3163</v>
      </c>
      <c r="N371" s="813" t="s">
        <v>5124</v>
      </c>
      <c r="O371" s="813" t="s">
        <v>3925</v>
      </c>
      <c r="P371" s="813" t="s">
        <v>5125</v>
      </c>
      <c r="Q371" s="813" t="s">
        <v>5126</v>
      </c>
      <c r="R371" s="813">
        <v>1</v>
      </c>
      <c r="S371" s="813" t="s">
        <v>3928</v>
      </c>
      <c r="T371" s="813" t="s">
        <v>4196</v>
      </c>
    </row>
    <row r="372" spans="1:20" ht="15" customHeight="1" x14ac:dyDescent="0.35">
      <c r="A372" s="794" t="s">
        <v>5127</v>
      </c>
      <c r="B372" s="794" t="s">
        <v>3857</v>
      </c>
      <c r="C372" s="812" t="s">
        <v>3913</v>
      </c>
      <c r="D372" s="825">
        <v>0</v>
      </c>
      <c r="E372" s="825">
        <v>0</v>
      </c>
      <c r="F372" s="825">
        <v>0</v>
      </c>
      <c r="G372" s="814" t="s">
        <v>3858</v>
      </c>
      <c r="H372" s="813" t="s">
        <v>246</v>
      </c>
      <c r="I372" s="813" t="s">
        <v>4191</v>
      </c>
      <c r="J372" s="813" t="s">
        <v>5098</v>
      </c>
      <c r="K372" s="813" t="s">
        <v>3923</v>
      </c>
      <c r="L372" s="813" t="s">
        <v>3863</v>
      </c>
      <c r="M372" s="813" t="s">
        <v>3163</v>
      </c>
      <c r="N372" s="813" t="s">
        <v>5128</v>
      </c>
      <c r="O372" s="813" t="s">
        <v>3925</v>
      </c>
      <c r="P372" s="813" t="s">
        <v>5129</v>
      </c>
      <c r="Q372" s="813" t="s">
        <v>5130</v>
      </c>
      <c r="R372" s="813">
        <v>3</v>
      </c>
      <c r="S372" s="813" t="s">
        <v>3928</v>
      </c>
      <c r="T372" s="813" t="s">
        <v>4196</v>
      </c>
    </row>
    <row r="373" spans="1:20" ht="15" customHeight="1" x14ac:dyDescent="0.35">
      <c r="A373" s="794" t="s">
        <v>5131</v>
      </c>
      <c r="B373" s="794" t="s">
        <v>3857</v>
      </c>
      <c r="C373" s="812" t="s">
        <v>3913</v>
      </c>
      <c r="D373" s="825">
        <v>57692.307692307702</v>
      </c>
      <c r="E373" s="825">
        <v>37500</v>
      </c>
      <c r="F373" s="825">
        <v>30000</v>
      </c>
      <c r="G373" s="814" t="s">
        <v>3858</v>
      </c>
      <c r="H373" s="813" t="s">
        <v>246</v>
      </c>
      <c r="I373" s="813" t="s">
        <v>4191</v>
      </c>
      <c r="J373" s="813" t="s">
        <v>5098</v>
      </c>
      <c r="K373" s="813" t="s">
        <v>3923</v>
      </c>
      <c r="L373" s="813" t="s">
        <v>3863</v>
      </c>
      <c r="M373" s="813" t="s">
        <v>3163</v>
      </c>
      <c r="N373" s="813" t="s">
        <v>5132</v>
      </c>
      <c r="O373" s="813" t="s">
        <v>3925</v>
      </c>
      <c r="P373" s="813" t="s">
        <v>5133</v>
      </c>
      <c r="Q373" s="813" t="s">
        <v>5134</v>
      </c>
      <c r="R373" s="813">
        <v>3</v>
      </c>
      <c r="S373" s="813" t="s">
        <v>3928</v>
      </c>
      <c r="T373" s="813" t="s">
        <v>4196</v>
      </c>
    </row>
    <row r="374" spans="1:20" ht="15" customHeight="1" x14ac:dyDescent="0.35">
      <c r="A374" s="794" t="s">
        <v>5135</v>
      </c>
      <c r="B374" s="794" t="s">
        <v>3857</v>
      </c>
      <c r="C374" s="812" t="s">
        <v>3913</v>
      </c>
      <c r="D374" s="825">
        <v>103846.153846154</v>
      </c>
      <c r="E374" s="825">
        <v>67500</v>
      </c>
      <c r="F374" s="825">
        <v>54000</v>
      </c>
      <c r="G374" s="814" t="s">
        <v>3858</v>
      </c>
      <c r="H374" s="813" t="s">
        <v>246</v>
      </c>
      <c r="I374" s="813" t="s">
        <v>4191</v>
      </c>
      <c r="J374" s="813" t="s">
        <v>5098</v>
      </c>
      <c r="K374" s="813" t="s">
        <v>3923</v>
      </c>
      <c r="L374" s="813" t="s">
        <v>3863</v>
      </c>
      <c r="M374" s="813" t="s">
        <v>3163</v>
      </c>
      <c r="N374" s="813" t="s">
        <v>5136</v>
      </c>
      <c r="O374" s="813" t="s">
        <v>3925</v>
      </c>
      <c r="P374" s="813" t="s">
        <v>5137</v>
      </c>
      <c r="Q374" s="813" t="s">
        <v>5138</v>
      </c>
      <c r="R374" s="813">
        <v>3</v>
      </c>
      <c r="S374" s="813" t="s">
        <v>3928</v>
      </c>
      <c r="T374" s="813" t="s">
        <v>4196</v>
      </c>
    </row>
    <row r="375" spans="1:20" ht="15" customHeight="1" x14ac:dyDescent="0.35">
      <c r="A375" s="794" t="s">
        <v>5139</v>
      </c>
      <c r="B375" s="794" t="s">
        <v>3857</v>
      </c>
      <c r="C375" s="812" t="s">
        <v>3913</v>
      </c>
      <c r="D375" s="825"/>
      <c r="E375" s="825"/>
      <c r="F375" s="825">
        <v>20</v>
      </c>
      <c r="G375" s="814" t="s">
        <v>3858</v>
      </c>
      <c r="H375" s="813" t="s">
        <v>246</v>
      </c>
      <c r="I375" s="813" t="s">
        <v>4191</v>
      </c>
      <c r="J375" s="813" t="s">
        <v>5098</v>
      </c>
      <c r="K375" s="813" t="s">
        <v>3923</v>
      </c>
      <c r="L375" s="813" t="s">
        <v>3863</v>
      </c>
      <c r="M375" s="813" t="s">
        <v>3163</v>
      </c>
      <c r="N375" s="813" t="s">
        <v>5140</v>
      </c>
      <c r="O375" s="813" t="s">
        <v>3883</v>
      </c>
      <c r="P375" s="813" t="s">
        <v>5141</v>
      </c>
      <c r="Q375" s="813" t="s">
        <v>5142</v>
      </c>
      <c r="R375" s="813">
        <v>1</v>
      </c>
      <c r="S375" s="813" t="s">
        <v>3928</v>
      </c>
      <c r="T375" s="813" t="s">
        <v>4196</v>
      </c>
    </row>
    <row r="376" spans="1:20" ht="15" customHeight="1" x14ac:dyDescent="0.35">
      <c r="A376" s="794" t="s">
        <v>5139</v>
      </c>
      <c r="B376" s="794" t="s">
        <v>3857</v>
      </c>
      <c r="C376" s="812" t="s">
        <v>3913</v>
      </c>
      <c r="D376" s="825"/>
      <c r="E376" s="825"/>
      <c r="F376" s="825">
        <v>50000</v>
      </c>
      <c r="G376" s="814" t="s">
        <v>3858</v>
      </c>
      <c r="H376" s="813" t="s">
        <v>246</v>
      </c>
      <c r="I376" s="813" t="s">
        <v>4191</v>
      </c>
      <c r="J376" s="813" t="s">
        <v>5098</v>
      </c>
      <c r="K376" s="813" t="s">
        <v>3923</v>
      </c>
      <c r="L376" s="813" t="s">
        <v>3863</v>
      </c>
      <c r="M376" s="813" t="s">
        <v>3163</v>
      </c>
      <c r="N376" s="813" t="s">
        <v>5143</v>
      </c>
      <c r="O376" s="813" t="s">
        <v>3925</v>
      </c>
      <c r="P376" s="813" t="s">
        <v>5144</v>
      </c>
      <c r="Q376" s="813" t="s">
        <v>5145</v>
      </c>
      <c r="R376" s="813">
        <v>1</v>
      </c>
      <c r="S376" s="813" t="s">
        <v>3928</v>
      </c>
      <c r="T376" s="813" t="s">
        <v>4196</v>
      </c>
    </row>
    <row r="377" spans="1:20" ht="15" customHeight="1" x14ac:dyDescent="0.35">
      <c r="A377" s="794" t="s">
        <v>5139</v>
      </c>
      <c r="B377" s="794" t="s">
        <v>3857</v>
      </c>
      <c r="C377" s="812" t="s">
        <v>3913</v>
      </c>
      <c r="D377" s="825"/>
      <c r="E377" s="825">
        <v>62500</v>
      </c>
      <c r="F377" s="826"/>
      <c r="G377" s="814" t="s">
        <v>3858</v>
      </c>
      <c r="H377" s="813" t="s">
        <v>246</v>
      </c>
      <c r="I377" s="813" t="s">
        <v>4191</v>
      </c>
      <c r="J377" s="813" t="s">
        <v>5098</v>
      </c>
      <c r="K377" s="813" t="s">
        <v>3923</v>
      </c>
      <c r="L377" s="813" t="s">
        <v>3863</v>
      </c>
      <c r="M377" s="813" t="s">
        <v>3163</v>
      </c>
      <c r="N377" s="813" t="s">
        <v>5146</v>
      </c>
      <c r="O377" s="813" t="s">
        <v>3925</v>
      </c>
      <c r="P377" s="813" t="s">
        <v>5147</v>
      </c>
      <c r="Q377" s="813" t="s">
        <v>5148</v>
      </c>
      <c r="R377" s="813">
        <v>1</v>
      </c>
      <c r="S377" s="813" t="s">
        <v>3928</v>
      </c>
      <c r="T377" s="813" t="s">
        <v>4196</v>
      </c>
    </row>
    <row r="378" spans="1:20" ht="15" customHeight="1" x14ac:dyDescent="0.35">
      <c r="A378" s="794" t="s">
        <v>5139</v>
      </c>
      <c r="B378" s="794" t="s">
        <v>3857</v>
      </c>
      <c r="C378" s="812" t="s">
        <v>3913</v>
      </c>
      <c r="D378" s="825">
        <v>96153.8461538462</v>
      </c>
      <c r="E378" s="825"/>
      <c r="F378" s="826"/>
      <c r="G378" s="814" t="s">
        <v>3858</v>
      </c>
      <c r="H378" s="813" t="s">
        <v>246</v>
      </c>
      <c r="I378" s="813" t="s">
        <v>4191</v>
      </c>
      <c r="J378" s="813" t="s">
        <v>5098</v>
      </c>
      <c r="K378" s="813" t="s">
        <v>3923</v>
      </c>
      <c r="L378" s="813" t="s">
        <v>3863</v>
      </c>
      <c r="M378" s="813" t="s">
        <v>3163</v>
      </c>
      <c r="N378" s="813" t="s">
        <v>5149</v>
      </c>
      <c r="O378" s="813" t="s">
        <v>3925</v>
      </c>
      <c r="P378" s="813" t="s">
        <v>5150</v>
      </c>
      <c r="Q378" s="813" t="s">
        <v>5151</v>
      </c>
      <c r="R378" s="813">
        <v>1</v>
      </c>
      <c r="S378" s="813" t="s">
        <v>3928</v>
      </c>
      <c r="T378" s="813" t="s">
        <v>4196</v>
      </c>
    </row>
    <row r="379" spans="1:20" ht="15" customHeight="1" x14ac:dyDescent="0.35">
      <c r="A379" s="794" t="s">
        <v>5152</v>
      </c>
      <c r="B379" s="794" t="s">
        <v>3857</v>
      </c>
      <c r="C379" s="812" t="s">
        <v>3913</v>
      </c>
      <c r="D379" s="825">
        <v>69230.769230769205</v>
      </c>
      <c r="E379" s="825">
        <v>45000</v>
      </c>
      <c r="F379" s="825">
        <v>36000</v>
      </c>
      <c r="G379" s="814" t="s">
        <v>3858</v>
      </c>
      <c r="H379" s="813" t="s">
        <v>246</v>
      </c>
      <c r="I379" s="813" t="s">
        <v>4191</v>
      </c>
      <c r="J379" s="813" t="s">
        <v>5098</v>
      </c>
      <c r="K379" s="813" t="s">
        <v>3923</v>
      </c>
      <c r="L379" s="813" t="s">
        <v>3863</v>
      </c>
      <c r="M379" s="813" t="s">
        <v>3163</v>
      </c>
      <c r="N379" s="813" t="s">
        <v>5153</v>
      </c>
      <c r="O379" s="813" t="s">
        <v>3925</v>
      </c>
      <c r="P379" s="813" t="s">
        <v>5154</v>
      </c>
      <c r="Q379" s="813" t="s">
        <v>5155</v>
      </c>
      <c r="R379" s="813">
        <v>3</v>
      </c>
      <c r="S379" s="813" t="s">
        <v>3928</v>
      </c>
      <c r="T379" s="813" t="s">
        <v>4196</v>
      </c>
    </row>
    <row r="380" spans="1:20" ht="15" customHeight="1" x14ac:dyDescent="0.35">
      <c r="A380" s="794" t="s">
        <v>5156</v>
      </c>
      <c r="B380" s="794" t="s">
        <v>3857</v>
      </c>
      <c r="C380" s="812" t="s">
        <v>3913</v>
      </c>
      <c r="D380" s="825">
        <v>430769.23076923098</v>
      </c>
      <c r="E380" s="825">
        <v>280000</v>
      </c>
      <c r="F380" s="825">
        <v>224000</v>
      </c>
      <c r="G380" s="814" t="s">
        <v>3858</v>
      </c>
      <c r="H380" s="813" t="s">
        <v>246</v>
      </c>
      <c r="I380" s="813" t="s">
        <v>4191</v>
      </c>
      <c r="J380" s="813" t="s">
        <v>5098</v>
      </c>
      <c r="K380" s="813" t="s">
        <v>3923</v>
      </c>
      <c r="L380" s="813" t="s">
        <v>3863</v>
      </c>
      <c r="M380" s="813" t="s">
        <v>3163</v>
      </c>
      <c r="N380" s="813" t="s">
        <v>5157</v>
      </c>
      <c r="O380" s="813" t="s">
        <v>3925</v>
      </c>
      <c r="P380" s="813" t="s">
        <v>5158</v>
      </c>
      <c r="Q380" s="813" t="s">
        <v>5159</v>
      </c>
      <c r="R380" s="813">
        <v>3</v>
      </c>
      <c r="S380" s="813" t="s">
        <v>3928</v>
      </c>
      <c r="T380" s="813" t="s">
        <v>4196</v>
      </c>
    </row>
    <row r="381" spans="1:20" ht="15" customHeight="1" x14ac:dyDescent="0.35">
      <c r="A381" s="794" t="s">
        <v>5160</v>
      </c>
      <c r="B381" s="794" t="s">
        <v>3857</v>
      </c>
      <c r="C381" s="812" t="s">
        <v>3913</v>
      </c>
      <c r="D381" s="825">
        <v>2345250.1325273402</v>
      </c>
      <c r="E381" s="825">
        <v>1524412.58614277</v>
      </c>
      <c r="F381" s="825">
        <v>1219530.06891422</v>
      </c>
      <c r="G381" s="814" t="s">
        <v>3858</v>
      </c>
      <c r="H381" s="813" t="s">
        <v>246</v>
      </c>
      <c r="I381" s="813" t="s">
        <v>4191</v>
      </c>
      <c r="J381" s="813" t="s">
        <v>5098</v>
      </c>
      <c r="K381" s="813" t="s">
        <v>3923</v>
      </c>
      <c r="L381" s="813" t="s">
        <v>3863</v>
      </c>
      <c r="M381" s="813" t="s">
        <v>3163</v>
      </c>
      <c r="N381" s="813" t="s">
        <v>5161</v>
      </c>
      <c r="O381" s="813" t="s">
        <v>3925</v>
      </c>
      <c r="P381" s="813" t="s">
        <v>5162</v>
      </c>
      <c r="Q381" s="813" t="s">
        <v>5163</v>
      </c>
      <c r="R381" s="813">
        <v>3</v>
      </c>
      <c r="S381" s="813" t="s">
        <v>3928</v>
      </c>
      <c r="T381" s="813" t="s">
        <v>4196</v>
      </c>
    </row>
    <row r="382" spans="1:20" ht="15" customHeight="1" x14ac:dyDescent="0.35">
      <c r="A382" s="794" t="s">
        <v>5164</v>
      </c>
      <c r="B382" s="794" t="s">
        <v>3857</v>
      </c>
      <c r="C382" s="812" t="s">
        <v>3913</v>
      </c>
      <c r="D382" s="825">
        <v>0</v>
      </c>
      <c r="E382" s="825"/>
      <c r="F382" s="825">
        <v>0</v>
      </c>
      <c r="G382" s="814" t="s">
        <v>3858</v>
      </c>
      <c r="H382" s="813" t="s">
        <v>246</v>
      </c>
      <c r="I382" s="813" t="s">
        <v>4191</v>
      </c>
      <c r="J382" s="813" t="s">
        <v>5098</v>
      </c>
      <c r="K382" s="813" t="s">
        <v>3923</v>
      </c>
      <c r="L382" s="813" t="s">
        <v>3863</v>
      </c>
      <c r="M382" s="813" t="s">
        <v>3163</v>
      </c>
      <c r="N382" s="813" t="s">
        <v>5165</v>
      </c>
      <c r="O382" s="813" t="s">
        <v>3925</v>
      </c>
      <c r="P382" s="813" t="s">
        <v>5166</v>
      </c>
      <c r="Q382" s="813" t="s">
        <v>5167</v>
      </c>
      <c r="R382" s="813">
        <v>2</v>
      </c>
      <c r="S382" s="813" t="s">
        <v>3928</v>
      </c>
      <c r="T382" s="813" t="s">
        <v>4196</v>
      </c>
    </row>
    <row r="383" spans="1:20" ht="15" customHeight="1" x14ac:dyDescent="0.35">
      <c r="A383" s="794" t="s">
        <v>5168</v>
      </c>
      <c r="B383" s="794" t="s">
        <v>3857</v>
      </c>
      <c r="C383" s="812" t="s">
        <v>3913</v>
      </c>
      <c r="D383" s="825">
        <v>0</v>
      </c>
      <c r="E383" s="825"/>
      <c r="F383" s="826"/>
      <c r="G383" s="814" t="s">
        <v>3858</v>
      </c>
      <c r="H383" s="813" t="s">
        <v>246</v>
      </c>
      <c r="I383" s="813" t="s">
        <v>4191</v>
      </c>
      <c r="J383" s="813" t="s">
        <v>5098</v>
      </c>
      <c r="K383" s="813" t="s">
        <v>3923</v>
      </c>
      <c r="L383" s="813" t="s">
        <v>3863</v>
      </c>
      <c r="M383" s="813" t="s">
        <v>3163</v>
      </c>
      <c r="N383" s="813" t="s">
        <v>5169</v>
      </c>
      <c r="O383" s="813" t="s">
        <v>3925</v>
      </c>
      <c r="P383" s="813" t="s">
        <v>5170</v>
      </c>
      <c r="Q383" s="813" t="s">
        <v>5171</v>
      </c>
      <c r="R383" s="813">
        <v>1</v>
      </c>
      <c r="S383" s="813" t="s">
        <v>3928</v>
      </c>
      <c r="T383" s="813" t="s">
        <v>4196</v>
      </c>
    </row>
    <row r="384" spans="1:20" ht="15" customHeight="1" x14ac:dyDescent="0.35">
      <c r="A384" s="794" t="s">
        <v>5172</v>
      </c>
      <c r="B384" s="794" t="s">
        <v>3857</v>
      </c>
      <c r="C384" s="812" t="s">
        <v>3913</v>
      </c>
      <c r="D384" s="825"/>
      <c r="E384" s="825"/>
      <c r="F384" s="825">
        <v>4.4999999999999998E-2</v>
      </c>
      <c r="G384" s="814" t="s">
        <v>3858</v>
      </c>
      <c r="H384" s="813" t="s">
        <v>246</v>
      </c>
      <c r="I384" s="813" t="s">
        <v>4191</v>
      </c>
      <c r="J384" s="813" t="s">
        <v>5098</v>
      </c>
      <c r="K384" s="813" t="s">
        <v>3923</v>
      </c>
      <c r="L384" s="813" t="s">
        <v>3863</v>
      </c>
      <c r="M384" s="813" t="s">
        <v>3163</v>
      </c>
      <c r="N384" s="813" t="s">
        <v>5173</v>
      </c>
      <c r="O384" s="813" t="s">
        <v>3883</v>
      </c>
      <c r="P384" s="813" t="s">
        <v>5174</v>
      </c>
      <c r="Q384" s="813" t="s">
        <v>5175</v>
      </c>
      <c r="R384" s="813">
        <v>1</v>
      </c>
      <c r="S384" s="813" t="s">
        <v>3928</v>
      </c>
      <c r="T384" s="813" t="s">
        <v>4196</v>
      </c>
    </row>
    <row r="385" spans="1:20" ht="15" customHeight="1" x14ac:dyDescent="0.35">
      <c r="A385" s="794" t="s">
        <v>5172</v>
      </c>
      <c r="B385" s="794" t="s">
        <v>3857</v>
      </c>
      <c r="C385" s="812" t="s">
        <v>3913</v>
      </c>
      <c r="D385" s="825"/>
      <c r="E385" s="825"/>
      <c r="F385" s="825">
        <v>439030.82480911899</v>
      </c>
      <c r="G385" s="814" t="s">
        <v>3858</v>
      </c>
      <c r="H385" s="813" t="s">
        <v>246</v>
      </c>
      <c r="I385" s="813" t="s">
        <v>4191</v>
      </c>
      <c r="J385" s="813" t="s">
        <v>5098</v>
      </c>
      <c r="K385" s="813" t="s">
        <v>3923</v>
      </c>
      <c r="L385" s="813" t="s">
        <v>3863</v>
      </c>
      <c r="M385" s="813" t="s">
        <v>3163</v>
      </c>
      <c r="N385" s="813" t="s">
        <v>5176</v>
      </c>
      <c r="O385" s="813" t="s">
        <v>3925</v>
      </c>
      <c r="P385" s="813" t="s">
        <v>5177</v>
      </c>
      <c r="Q385" s="813" t="s">
        <v>5178</v>
      </c>
      <c r="R385" s="813">
        <v>1</v>
      </c>
      <c r="S385" s="813" t="s">
        <v>3928</v>
      </c>
      <c r="T385" s="813" t="s">
        <v>4196</v>
      </c>
    </row>
    <row r="386" spans="1:20" ht="15" customHeight="1" x14ac:dyDescent="0.35">
      <c r="A386" s="794" t="s">
        <v>5172</v>
      </c>
      <c r="B386" s="794" t="s">
        <v>3857</v>
      </c>
      <c r="C386" s="812" t="s">
        <v>3913</v>
      </c>
      <c r="D386" s="825"/>
      <c r="E386" s="825">
        <v>548788.53101139795</v>
      </c>
      <c r="F386" s="826"/>
      <c r="G386" s="814" t="s">
        <v>3858</v>
      </c>
      <c r="H386" s="813" t="s">
        <v>246</v>
      </c>
      <c r="I386" s="813" t="s">
        <v>4191</v>
      </c>
      <c r="J386" s="813" t="s">
        <v>5098</v>
      </c>
      <c r="K386" s="813" t="s">
        <v>3923</v>
      </c>
      <c r="L386" s="813" t="s">
        <v>3863</v>
      </c>
      <c r="M386" s="813" t="s">
        <v>3163</v>
      </c>
      <c r="N386" s="813" t="s">
        <v>5179</v>
      </c>
      <c r="O386" s="813" t="s">
        <v>3925</v>
      </c>
      <c r="P386" s="813" t="s">
        <v>5180</v>
      </c>
      <c r="Q386" s="813" t="s">
        <v>5181</v>
      </c>
      <c r="R386" s="813">
        <v>1</v>
      </c>
      <c r="S386" s="813" t="s">
        <v>3928</v>
      </c>
      <c r="T386" s="813" t="s">
        <v>4196</v>
      </c>
    </row>
    <row r="387" spans="1:20" ht="15" customHeight="1" x14ac:dyDescent="0.35">
      <c r="A387" s="794" t="s">
        <v>5172</v>
      </c>
      <c r="B387" s="794" t="s">
        <v>3857</v>
      </c>
      <c r="C387" s="812" t="s">
        <v>3913</v>
      </c>
      <c r="D387" s="825">
        <v>844290.04770984303</v>
      </c>
      <c r="E387" s="825"/>
      <c r="F387" s="826"/>
      <c r="G387" s="814" t="s">
        <v>3858</v>
      </c>
      <c r="H387" s="813" t="s">
        <v>246</v>
      </c>
      <c r="I387" s="813" t="s">
        <v>4191</v>
      </c>
      <c r="J387" s="813" t="s">
        <v>5098</v>
      </c>
      <c r="K387" s="813" t="s">
        <v>3923</v>
      </c>
      <c r="L387" s="813" t="s">
        <v>3863</v>
      </c>
      <c r="M387" s="813" t="s">
        <v>3163</v>
      </c>
      <c r="N387" s="813" t="s">
        <v>5182</v>
      </c>
      <c r="O387" s="813" t="s">
        <v>3925</v>
      </c>
      <c r="P387" s="813" t="s">
        <v>5183</v>
      </c>
      <c r="Q387" s="813" t="s">
        <v>5184</v>
      </c>
      <c r="R387" s="813">
        <v>1</v>
      </c>
      <c r="S387" s="813" t="s">
        <v>3928</v>
      </c>
      <c r="T387" s="813" t="s">
        <v>4196</v>
      </c>
    </row>
    <row r="388" spans="1:20" ht="15" customHeight="1" x14ac:dyDescent="0.35">
      <c r="A388" s="803" t="s">
        <v>5185</v>
      </c>
      <c r="B388" s="803"/>
      <c r="C388" s="803"/>
      <c r="D388" s="803"/>
      <c r="E388" s="803"/>
      <c r="F388" s="803"/>
      <c r="G388" s="803" t="s">
        <v>5186</v>
      </c>
      <c r="H388" s="794"/>
      <c r="I388" s="794"/>
      <c r="J388" s="794"/>
      <c r="K388" s="794"/>
      <c r="L388" s="794"/>
      <c r="M388" s="794"/>
      <c r="N388" s="794"/>
      <c r="O388" s="794"/>
      <c r="P388" s="794"/>
      <c r="Q388" s="794"/>
      <c r="R388" s="794"/>
      <c r="S388" s="794"/>
      <c r="T388" s="794"/>
    </row>
    <row r="389" spans="1:20" ht="15" customHeight="1" x14ac:dyDescent="0.35">
      <c r="A389" s="794" t="s">
        <v>5187</v>
      </c>
      <c r="B389" s="794" t="s">
        <v>3857</v>
      </c>
      <c r="C389" s="812" t="s">
        <v>3913</v>
      </c>
      <c r="D389" s="825">
        <v>0</v>
      </c>
      <c r="E389" s="825"/>
      <c r="F389" s="825">
        <v>0</v>
      </c>
      <c r="G389" s="814" t="s">
        <v>3858</v>
      </c>
      <c r="H389" s="813" t="s">
        <v>246</v>
      </c>
      <c r="I389" s="813" t="s">
        <v>4191</v>
      </c>
      <c r="J389" s="813" t="s">
        <v>5188</v>
      </c>
      <c r="K389" s="813" t="s">
        <v>3923</v>
      </c>
      <c r="L389" s="813" t="s">
        <v>3863</v>
      </c>
      <c r="M389" s="813" t="s">
        <v>3163</v>
      </c>
      <c r="N389" s="813" t="s">
        <v>5189</v>
      </c>
      <c r="O389" s="813" t="s">
        <v>3883</v>
      </c>
      <c r="P389" s="813" t="s">
        <v>5190</v>
      </c>
      <c r="Q389" s="813" t="s">
        <v>5191</v>
      </c>
      <c r="R389" s="813">
        <v>2</v>
      </c>
      <c r="S389" s="813" t="s">
        <v>3928</v>
      </c>
      <c r="T389" s="813" t="s">
        <v>4196</v>
      </c>
    </row>
    <row r="390" spans="1:20" ht="15" customHeight="1" x14ac:dyDescent="0.35">
      <c r="A390" s="794" t="s">
        <v>5192</v>
      </c>
      <c r="B390" s="794" t="s">
        <v>3857</v>
      </c>
      <c r="C390" s="812" t="s">
        <v>83</v>
      </c>
      <c r="D390" s="825"/>
      <c r="E390" s="825"/>
      <c r="F390" s="829">
        <v>0.05</v>
      </c>
      <c r="G390" s="814" t="s">
        <v>3858</v>
      </c>
      <c r="H390" s="813" t="s">
        <v>246</v>
      </c>
      <c r="I390" s="813" t="s">
        <v>4191</v>
      </c>
      <c r="J390" s="813" t="s">
        <v>5188</v>
      </c>
      <c r="K390" s="813" t="s">
        <v>3923</v>
      </c>
      <c r="L390" s="813" t="s">
        <v>3863</v>
      </c>
      <c r="M390" s="813" t="s">
        <v>3163</v>
      </c>
      <c r="N390" s="813" t="s">
        <v>5193</v>
      </c>
      <c r="O390" s="813" t="s">
        <v>3883</v>
      </c>
      <c r="P390" s="813" t="s">
        <v>5194</v>
      </c>
      <c r="Q390" s="813" t="s">
        <v>5195</v>
      </c>
      <c r="R390" s="813">
        <v>1</v>
      </c>
      <c r="S390" s="813" t="s">
        <v>3928</v>
      </c>
      <c r="T390" s="813" t="s">
        <v>4196</v>
      </c>
    </row>
    <row r="391" spans="1:20" ht="15" customHeight="1" x14ac:dyDescent="0.35">
      <c r="A391" s="794" t="s">
        <v>5192</v>
      </c>
      <c r="B391" s="794" t="s">
        <v>3857</v>
      </c>
      <c r="C391" s="812" t="s">
        <v>3913</v>
      </c>
      <c r="D391" s="825"/>
      <c r="E391" s="825"/>
      <c r="F391" s="825">
        <v>0</v>
      </c>
      <c r="G391" s="814" t="s">
        <v>3858</v>
      </c>
      <c r="H391" s="813" t="s">
        <v>246</v>
      </c>
      <c r="I391" s="813" t="s">
        <v>4191</v>
      </c>
      <c r="J391" s="813" t="s">
        <v>5188</v>
      </c>
      <c r="K391" s="813" t="s">
        <v>3923</v>
      </c>
      <c r="L391" s="813" t="s">
        <v>3863</v>
      </c>
      <c r="M391" s="813" t="s">
        <v>3163</v>
      </c>
      <c r="N391" s="813" t="s">
        <v>5196</v>
      </c>
      <c r="O391" s="813" t="s">
        <v>3883</v>
      </c>
      <c r="P391" s="813" t="s">
        <v>5197</v>
      </c>
      <c r="Q391" s="813" t="s">
        <v>5198</v>
      </c>
      <c r="R391" s="813">
        <v>1</v>
      </c>
      <c r="S391" s="813" t="s">
        <v>3928</v>
      </c>
      <c r="T391" s="813" t="s">
        <v>4196</v>
      </c>
    </row>
    <row r="392" spans="1:20" ht="15" customHeight="1" x14ac:dyDescent="0.35">
      <c r="A392" s="794" t="s">
        <v>5192</v>
      </c>
      <c r="B392" s="794" t="s">
        <v>3857</v>
      </c>
      <c r="C392" s="812" t="s">
        <v>3913</v>
      </c>
      <c r="D392" s="825"/>
      <c r="E392" s="825">
        <v>0</v>
      </c>
      <c r="F392" s="826"/>
      <c r="G392" s="814" t="s">
        <v>3858</v>
      </c>
      <c r="H392" s="813" t="s">
        <v>246</v>
      </c>
      <c r="I392" s="813" t="s">
        <v>4191</v>
      </c>
      <c r="J392" s="813" t="s">
        <v>5188</v>
      </c>
      <c r="K392" s="813" t="s">
        <v>3923</v>
      </c>
      <c r="L392" s="813" t="s">
        <v>3863</v>
      </c>
      <c r="M392" s="813" t="s">
        <v>3163</v>
      </c>
      <c r="N392" s="813" t="s">
        <v>5199</v>
      </c>
      <c r="O392" s="813" t="s">
        <v>3883</v>
      </c>
      <c r="P392" s="813" t="s">
        <v>5200</v>
      </c>
      <c r="Q392" s="813" t="s">
        <v>5201</v>
      </c>
      <c r="R392" s="813">
        <v>1</v>
      </c>
      <c r="S392" s="813" t="s">
        <v>3928</v>
      </c>
      <c r="T392" s="813" t="s">
        <v>4196</v>
      </c>
    </row>
    <row r="393" spans="1:20" ht="15" customHeight="1" x14ac:dyDescent="0.35">
      <c r="A393" s="794" t="s">
        <v>5192</v>
      </c>
      <c r="B393" s="794" t="s">
        <v>3857</v>
      </c>
      <c r="C393" s="812" t="s">
        <v>3913</v>
      </c>
      <c r="D393" s="825">
        <v>0</v>
      </c>
      <c r="E393" s="825"/>
      <c r="F393" s="826"/>
      <c r="G393" s="814" t="s">
        <v>3858</v>
      </c>
      <c r="H393" s="813" t="s">
        <v>246</v>
      </c>
      <c r="I393" s="813" t="s">
        <v>4191</v>
      </c>
      <c r="J393" s="813" t="s">
        <v>5188</v>
      </c>
      <c r="K393" s="813" t="s">
        <v>3923</v>
      </c>
      <c r="L393" s="813" t="s">
        <v>3863</v>
      </c>
      <c r="M393" s="813" t="s">
        <v>3163</v>
      </c>
      <c r="N393" s="813" t="s">
        <v>5202</v>
      </c>
      <c r="O393" s="813" t="s">
        <v>3883</v>
      </c>
      <c r="P393" s="813" t="s">
        <v>5203</v>
      </c>
      <c r="Q393" s="813" t="s">
        <v>5204</v>
      </c>
      <c r="R393" s="813">
        <v>1</v>
      </c>
      <c r="S393" s="813" t="s">
        <v>3928</v>
      </c>
      <c r="T393" s="813" t="s">
        <v>4196</v>
      </c>
    </row>
    <row r="394" spans="1:20" ht="15" customHeight="1" x14ac:dyDescent="0.35">
      <c r="A394" s="802" t="s">
        <v>5205</v>
      </c>
      <c r="B394" s="802"/>
      <c r="C394" s="802"/>
      <c r="D394" s="802"/>
      <c r="E394" s="802"/>
      <c r="F394" s="802"/>
      <c r="G394" s="802" t="s">
        <v>5206</v>
      </c>
      <c r="H394" s="794"/>
      <c r="I394" s="794"/>
      <c r="J394" s="794"/>
      <c r="K394" s="794"/>
      <c r="L394" s="794"/>
      <c r="M394" s="794"/>
      <c r="N394" s="794"/>
      <c r="O394" s="794"/>
      <c r="P394" s="794"/>
      <c r="Q394" s="794"/>
      <c r="R394" s="794"/>
      <c r="S394" s="794"/>
      <c r="T394" s="794"/>
    </row>
    <row r="395" spans="1:20" ht="15" customHeight="1" x14ac:dyDescent="0.35">
      <c r="A395" s="803" t="s">
        <v>5207</v>
      </c>
      <c r="B395" s="803"/>
      <c r="C395" s="803"/>
      <c r="D395" s="803"/>
      <c r="E395" s="803"/>
      <c r="F395" s="803"/>
      <c r="G395" s="803" t="s">
        <v>3855</v>
      </c>
      <c r="H395" s="794"/>
      <c r="I395" s="794"/>
      <c r="J395" s="794"/>
      <c r="K395" s="794"/>
      <c r="L395" s="794"/>
      <c r="M395" s="794"/>
      <c r="N395" s="794"/>
      <c r="O395" s="794"/>
      <c r="P395" s="794"/>
      <c r="Q395" s="794"/>
      <c r="R395" s="794"/>
      <c r="S395" s="794"/>
      <c r="T395" s="794"/>
    </row>
    <row r="396" spans="1:20" ht="15" customHeight="1" x14ac:dyDescent="0.35">
      <c r="A396" s="794" t="s">
        <v>5208</v>
      </c>
      <c r="B396" s="794" t="s">
        <v>3857</v>
      </c>
      <c r="C396" s="812" t="s">
        <v>3880</v>
      </c>
      <c r="D396" s="825"/>
      <c r="E396" s="825"/>
      <c r="F396" s="825">
        <v>4000</v>
      </c>
      <c r="G396" s="814" t="s">
        <v>3858</v>
      </c>
      <c r="H396" s="813" t="s">
        <v>1343</v>
      </c>
      <c r="I396" s="813" t="s">
        <v>4191</v>
      </c>
      <c r="J396" s="813" t="s">
        <v>4246</v>
      </c>
      <c r="K396" s="813" t="s">
        <v>4072</v>
      </c>
      <c r="L396" s="813" t="s">
        <v>3863</v>
      </c>
      <c r="M396" s="813" t="s">
        <v>1818</v>
      </c>
      <c r="N396" s="813" t="s">
        <v>5209</v>
      </c>
      <c r="O396" s="813" t="s">
        <v>4248</v>
      </c>
      <c r="P396" s="813" t="s">
        <v>5210</v>
      </c>
      <c r="Q396" s="813" t="s">
        <v>5211</v>
      </c>
      <c r="R396" s="813">
        <v>1</v>
      </c>
      <c r="S396" s="813" t="s">
        <v>4237</v>
      </c>
      <c r="T396" s="813" t="s">
        <v>4196</v>
      </c>
    </row>
    <row r="397" spans="1:20" ht="15" customHeight="1" x14ac:dyDescent="0.35">
      <c r="A397" s="794" t="s">
        <v>5212</v>
      </c>
      <c r="B397" s="794" t="s">
        <v>3857</v>
      </c>
      <c r="C397" s="812" t="s">
        <v>3880</v>
      </c>
      <c r="D397" s="825"/>
      <c r="E397" s="825"/>
      <c r="F397" s="825">
        <v>200</v>
      </c>
      <c r="G397" s="814" t="s">
        <v>3858</v>
      </c>
      <c r="H397" s="813" t="s">
        <v>1343</v>
      </c>
      <c r="I397" s="813" t="s">
        <v>4191</v>
      </c>
      <c r="J397" s="813" t="s">
        <v>4246</v>
      </c>
      <c r="K397" s="813" t="s">
        <v>4072</v>
      </c>
      <c r="L397" s="813" t="s">
        <v>3863</v>
      </c>
      <c r="M397" s="813" t="s">
        <v>1818</v>
      </c>
      <c r="N397" s="813" t="s">
        <v>5213</v>
      </c>
      <c r="O397" s="813" t="s">
        <v>4234</v>
      </c>
      <c r="P397" s="813" t="s">
        <v>5214</v>
      </c>
      <c r="Q397" s="813" t="s">
        <v>5215</v>
      </c>
      <c r="R397" s="813">
        <v>1</v>
      </c>
      <c r="S397" s="813" t="s">
        <v>4237</v>
      </c>
      <c r="T397" s="813" t="s">
        <v>4196</v>
      </c>
    </row>
    <row r="398" spans="1:20" ht="15" customHeight="1" x14ac:dyDescent="0.35">
      <c r="A398" s="794" t="s">
        <v>5216</v>
      </c>
      <c r="B398" s="794" t="s">
        <v>3857</v>
      </c>
      <c r="C398" s="812" t="s">
        <v>3880</v>
      </c>
      <c r="D398" s="825"/>
      <c r="E398" s="825"/>
      <c r="F398" s="825">
        <v>4000</v>
      </c>
      <c r="G398" s="814" t="s">
        <v>3858</v>
      </c>
      <c r="H398" s="813" t="s">
        <v>1343</v>
      </c>
      <c r="I398" s="813" t="s">
        <v>4191</v>
      </c>
      <c r="J398" s="813" t="s">
        <v>4246</v>
      </c>
      <c r="K398" s="813" t="s">
        <v>4072</v>
      </c>
      <c r="L398" s="813" t="s">
        <v>3863</v>
      </c>
      <c r="M398" s="813" t="s">
        <v>1818</v>
      </c>
      <c r="N398" s="813" t="s">
        <v>5217</v>
      </c>
      <c r="O398" s="813" t="s">
        <v>4248</v>
      </c>
      <c r="P398" s="813" t="s">
        <v>5218</v>
      </c>
      <c r="Q398" s="813" t="s">
        <v>5219</v>
      </c>
      <c r="R398" s="813">
        <v>1</v>
      </c>
      <c r="S398" s="813" t="s">
        <v>4237</v>
      </c>
      <c r="T398" s="813" t="s">
        <v>4196</v>
      </c>
    </row>
    <row r="399" spans="1:20" ht="15" customHeight="1" x14ac:dyDescent="0.35">
      <c r="A399" s="803" t="s">
        <v>5220</v>
      </c>
      <c r="B399" s="803"/>
      <c r="C399" s="803"/>
      <c r="D399" s="803"/>
      <c r="E399" s="803"/>
      <c r="F399" s="803"/>
      <c r="G399" s="803" t="s">
        <v>3855</v>
      </c>
      <c r="H399" s="794"/>
      <c r="I399" s="794"/>
      <c r="J399" s="794"/>
      <c r="K399" s="794"/>
      <c r="L399" s="794"/>
      <c r="M399" s="794"/>
      <c r="N399" s="794"/>
      <c r="O399" s="794"/>
      <c r="P399" s="794"/>
      <c r="Q399" s="794"/>
      <c r="R399" s="794"/>
      <c r="S399" s="794"/>
      <c r="T399" s="794"/>
    </row>
    <row r="400" spans="1:20" ht="15" customHeight="1" x14ac:dyDescent="0.35">
      <c r="A400" s="794" t="s">
        <v>5221</v>
      </c>
      <c r="B400" s="794" t="s">
        <v>3857</v>
      </c>
      <c r="C400" s="812" t="s">
        <v>3880</v>
      </c>
      <c r="D400" s="825">
        <v>3200</v>
      </c>
      <c r="E400" s="825"/>
      <c r="F400" s="826"/>
      <c r="G400" s="814" t="s">
        <v>3858</v>
      </c>
      <c r="H400" s="813" t="s">
        <v>1343</v>
      </c>
      <c r="I400" s="813" t="s">
        <v>4191</v>
      </c>
      <c r="J400" s="813" t="s">
        <v>5222</v>
      </c>
      <c r="K400" s="813" t="s">
        <v>5223</v>
      </c>
      <c r="L400" s="813" t="s">
        <v>3863</v>
      </c>
      <c r="M400" s="813" t="s">
        <v>3227</v>
      </c>
      <c r="N400" s="813" t="s">
        <v>5224</v>
      </c>
      <c r="O400" s="813" t="s">
        <v>3883</v>
      </c>
      <c r="P400" s="813" t="s">
        <v>5225</v>
      </c>
      <c r="Q400" s="813" t="s">
        <v>5226</v>
      </c>
      <c r="R400" s="813">
        <v>1</v>
      </c>
      <c r="S400" s="813" t="s">
        <v>3928</v>
      </c>
      <c r="T400" s="813" t="s">
        <v>4196</v>
      </c>
    </row>
    <row r="401" spans="1:20" ht="15" customHeight="1" x14ac:dyDescent="0.35">
      <c r="A401" s="794" t="s">
        <v>5227</v>
      </c>
      <c r="B401" s="794" t="s">
        <v>3857</v>
      </c>
      <c r="C401" s="812" t="s">
        <v>3880</v>
      </c>
      <c r="D401" s="825">
        <v>3700</v>
      </c>
      <c r="E401" s="825"/>
      <c r="F401" s="826"/>
      <c r="G401" s="814" t="s">
        <v>3858</v>
      </c>
      <c r="H401" s="813" t="s">
        <v>1343</v>
      </c>
      <c r="I401" s="813" t="s">
        <v>4191</v>
      </c>
      <c r="J401" s="813" t="s">
        <v>5222</v>
      </c>
      <c r="K401" s="813" t="s">
        <v>5223</v>
      </c>
      <c r="L401" s="813" t="s">
        <v>3863</v>
      </c>
      <c r="M401" s="813" t="s">
        <v>3227</v>
      </c>
      <c r="N401" s="813" t="s">
        <v>5228</v>
      </c>
      <c r="O401" s="813" t="s">
        <v>3883</v>
      </c>
      <c r="P401" s="813" t="s">
        <v>5229</v>
      </c>
      <c r="Q401" s="813" t="s">
        <v>5230</v>
      </c>
      <c r="R401" s="813">
        <v>1</v>
      </c>
      <c r="S401" s="813" t="s">
        <v>3928</v>
      </c>
      <c r="T401" s="813" t="s">
        <v>4196</v>
      </c>
    </row>
    <row r="402" spans="1:20" ht="15" customHeight="1" x14ac:dyDescent="0.35">
      <c r="A402" s="794" t="s">
        <v>5231</v>
      </c>
      <c r="B402" s="794" t="s">
        <v>3857</v>
      </c>
      <c r="C402" s="812" t="s">
        <v>3880</v>
      </c>
      <c r="D402" s="825">
        <v>4300</v>
      </c>
      <c r="E402" s="825"/>
      <c r="F402" s="826"/>
      <c r="G402" s="814" t="s">
        <v>3858</v>
      </c>
      <c r="H402" s="813" t="s">
        <v>1343</v>
      </c>
      <c r="I402" s="813" t="s">
        <v>4191</v>
      </c>
      <c r="J402" s="813" t="s">
        <v>5222</v>
      </c>
      <c r="K402" s="813" t="s">
        <v>5223</v>
      </c>
      <c r="L402" s="813" t="s">
        <v>3863</v>
      </c>
      <c r="M402" s="813" t="s">
        <v>3227</v>
      </c>
      <c r="N402" s="813" t="s">
        <v>5232</v>
      </c>
      <c r="O402" s="813" t="s">
        <v>3883</v>
      </c>
      <c r="P402" s="813" t="s">
        <v>5233</v>
      </c>
      <c r="Q402" s="813" t="s">
        <v>5234</v>
      </c>
      <c r="R402" s="813">
        <v>1</v>
      </c>
      <c r="S402" s="813" t="s">
        <v>3928</v>
      </c>
      <c r="T402" s="813" t="s">
        <v>4196</v>
      </c>
    </row>
    <row r="403" spans="1:20" ht="15" customHeight="1" x14ac:dyDescent="0.35">
      <c r="A403" s="803" t="s">
        <v>5235</v>
      </c>
      <c r="B403" s="803"/>
      <c r="C403" s="803"/>
      <c r="D403" s="803"/>
      <c r="E403" s="803"/>
      <c r="F403" s="803"/>
      <c r="G403" s="803" t="s">
        <v>3946</v>
      </c>
      <c r="H403" s="794"/>
      <c r="I403" s="794"/>
      <c r="J403" s="794"/>
      <c r="K403" s="794"/>
      <c r="L403" s="794"/>
      <c r="M403" s="794"/>
      <c r="N403" s="794"/>
      <c r="O403" s="794"/>
      <c r="P403" s="794"/>
      <c r="Q403" s="794"/>
      <c r="R403" s="794"/>
      <c r="S403" s="794"/>
      <c r="T403" s="794"/>
    </row>
    <row r="404" spans="1:20" ht="15" customHeight="1" x14ac:dyDescent="0.35">
      <c r="A404" s="794" t="s">
        <v>5236</v>
      </c>
      <c r="B404" s="794" t="s">
        <v>3857</v>
      </c>
      <c r="C404" s="812" t="s">
        <v>5237</v>
      </c>
      <c r="D404" s="825">
        <v>13.3</v>
      </c>
      <c r="E404" s="825"/>
      <c r="F404" s="826"/>
      <c r="G404" s="814" t="s">
        <v>3858</v>
      </c>
      <c r="H404" s="813" t="s">
        <v>1343</v>
      </c>
      <c r="I404" s="813" t="s">
        <v>4191</v>
      </c>
      <c r="J404" s="813" t="s">
        <v>5238</v>
      </c>
      <c r="K404" s="813" t="s">
        <v>5223</v>
      </c>
      <c r="L404" s="813" t="s">
        <v>3863</v>
      </c>
      <c r="M404" s="813" t="s">
        <v>3227</v>
      </c>
      <c r="N404" s="813" t="s">
        <v>5239</v>
      </c>
      <c r="O404" s="813" t="s">
        <v>3883</v>
      </c>
      <c r="P404" s="813" t="s">
        <v>5240</v>
      </c>
      <c r="Q404" s="813" t="s">
        <v>5241</v>
      </c>
      <c r="R404" s="813">
        <v>1</v>
      </c>
      <c r="S404" s="813" t="s">
        <v>3928</v>
      </c>
      <c r="T404" s="813" t="s">
        <v>4196</v>
      </c>
    </row>
    <row r="405" spans="1:20" ht="15" customHeight="1" x14ac:dyDescent="0.35">
      <c r="A405" s="802" t="s">
        <v>5242</v>
      </c>
      <c r="B405" s="802"/>
      <c r="C405" s="802"/>
      <c r="D405" s="802"/>
      <c r="E405" s="802"/>
      <c r="F405" s="802"/>
      <c r="G405" s="802" t="s">
        <v>5243</v>
      </c>
      <c r="H405" s="794"/>
      <c r="I405" s="794"/>
      <c r="J405" s="794"/>
      <c r="K405" s="794"/>
      <c r="L405" s="794"/>
      <c r="M405" s="794"/>
      <c r="N405" s="794"/>
      <c r="O405" s="794"/>
      <c r="P405" s="794"/>
      <c r="Q405" s="794"/>
      <c r="R405" s="794"/>
      <c r="S405" s="794"/>
      <c r="T405" s="794"/>
    </row>
    <row r="406" spans="1:20" ht="15" customHeight="1" x14ac:dyDescent="0.35">
      <c r="A406" s="803" t="s">
        <v>5244</v>
      </c>
      <c r="B406" s="803"/>
      <c r="C406" s="803"/>
      <c r="D406" s="803"/>
      <c r="E406" s="803"/>
      <c r="F406" s="803"/>
      <c r="G406" s="803" t="s">
        <v>3855</v>
      </c>
      <c r="H406" s="794"/>
      <c r="I406" s="794"/>
      <c r="J406" s="794"/>
      <c r="K406" s="794"/>
      <c r="L406" s="794"/>
      <c r="M406" s="794"/>
      <c r="N406" s="794"/>
      <c r="O406" s="794"/>
      <c r="P406" s="794"/>
      <c r="Q406" s="794"/>
      <c r="R406" s="794"/>
      <c r="S406" s="794"/>
      <c r="T406" s="794"/>
    </row>
    <row r="407" spans="1:20" ht="15" customHeight="1" x14ac:dyDescent="0.35">
      <c r="A407" s="794" t="s">
        <v>5245</v>
      </c>
      <c r="B407" s="794" t="s">
        <v>3857</v>
      </c>
      <c r="C407" s="812" t="s">
        <v>3880</v>
      </c>
      <c r="D407" s="825"/>
      <c r="E407" s="825"/>
      <c r="F407" s="825">
        <v>1400</v>
      </c>
      <c r="G407" s="814" t="s">
        <v>3858</v>
      </c>
      <c r="H407" s="813" t="s">
        <v>5246</v>
      </c>
      <c r="I407" s="813" t="s">
        <v>4191</v>
      </c>
      <c r="J407" s="813" t="s">
        <v>4246</v>
      </c>
      <c r="K407" s="813" t="s">
        <v>4072</v>
      </c>
      <c r="L407" s="813" t="s">
        <v>3863</v>
      </c>
      <c r="M407" s="813" t="s">
        <v>1818</v>
      </c>
      <c r="N407" s="813" t="s">
        <v>5247</v>
      </c>
      <c r="O407" s="813" t="s">
        <v>4248</v>
      </c>
      <c r="P407" s="813" t="s">
        <v>5248</v>
      </c>
      <c r="Q407" s="813" t="s">
        <v>5249</v>
      </c>
      <c r="R407" s="813">
        <v>1</v>
      </c>
      <c r="S407" s="813" t="s">
        <v>4237</v>
      </c>
      <c r="T407" s="813" t="s">
        <v>4196</v>
      </c>
    </row>
    <row r="408" spans="1:20" ht="15" customHeight="1" x14ac:dyDescent="0.35">
      <c r="A408" s="794" t="s">
        <v>5250</v>
      </c>
      <c r="B408" s="794" t="s">
        <v>3857</v>
      </c>
      <c r="C408" s="812" t="s">
        <v>3880</v>
      </c>
      <c r="D408" s="825"/>
      <c r="E408" s="825"/>
      <c r="F408" s="825">
        <v>0</v>
      </c>
      <c r="G408" s="814" t="s">
        <v>3858</v>
      </c>
      <c r="H408" s="813" t="s">
        <v>5246</v>
      </c>
      <c r="I408" s="813" t="s">
        <v>4191</v>
      </c>
      <c r="J408" s="813" t="s">
        <v>4246</v>
      </c>
      <c r="K408" s="813" t="s">
        <v>4072</v>
      </c>
      <c r="L408" s="813" t="s">
        <v>3863</v>
      </c>
      <c r="M408" s="813" t="s">
        <v>1818</v>
      </c>
      <c r="N408" s="813" t="s">
        <v>5251</v>
      </c>
      <c r="O408" s="813" t="s">
        <v>4234</v>
      </c>
      <c r="P408" s="813" t="s">
        <v>5252</v>
      </c>
      <c r="Q408" s="813" t="s">
        <v>5253</v>
      </c>
      <c r="R408" s="813">
        <v>1</v>
      </c>
      <c r="S408" s="813" t="s">
        <v>4237</v>
      </c>
      <c r="T408" s="813" t="s">
        <v>4196</v>
      </c>
    </row>
    <row r="409" spans="1:20" ht="15" customHeight="1" x14ac:dyDescent="0.35">
      <c r="A409" s="794" t="s">
        <v>5254</v>
      </c>
      <c r="B409" s="794" t="s">
        <v>3857</v>
      </c>
      <c r="C409" s="812" t="s">
        <v>3880</v>
      </c>
      <c r="D409" s="825"/>
      <c r="E409" s="825"/>
      <c r="F409" s="825">
        <v>20000</v>
      </c>
      <c r="G409" s="814" t="s">
        <v>3858</v>
      </c>
      <c r="H409" s="813" t="s">
        <v>5246</v>
      </c>
      <c r="I409" s="813" t="s">
        <v>4191</v>
      </c>
      <c r="J409" s="813" t="s">
        <v>4246</v>
      </c>
      <c r="K409" s="813" t="s">
        <v>4072</v>
      </c>
      <c r="L409" s="813" t="s">
        <v>3863</v>
      </c>
      <c r="M409" s="813" t="s">
        <v>1818</v>
      </c>
      <c r="N409" s="813" t="s">
        <v>5255</v>
      </c>
      <c r="O409" s="813" t="s">
        <v>4248</v>
      </c>
      <c r="P409" s="813" t="s">
        <v>5256</v>
      </c>
      <c r="Q409" s="813" t="s">
        <v>5257</v>
      </c>
      <c r="R409" s="813">
        <v>1</v>
      </c>
      <c r="S409" s="813" t="s">
        <v>4237</v>
      </c>
      <c r="T409" s="813" t="s">
        <v>4196</v>
      </c>
    </row>
    <row r="410" spans="1:20" ht="15" customHeight="1" x14ac:dyDescent="0.35">
      <c r="A410" s="803" t="s">
        <v>5258</v>
      </c>
      <c r="B410" s="803"/>
      <c r="C410" s="803"/>
      <c r="D410" s="803"/>
      <c r="E410" s="803"/>
      <c r="F410" s="803"/>
      <c r="G410" s="803" t="s">
        <v>3898</v>
      </c>
      <c r="H410" s="794"/>
      <c r="I410" s="794"/>
      <c r="J410" s="794"/>
      <c r="K410" s="794"/>
      <c r="L410" s="794"/>
      <c r="M410" s="794"/>
      <c r="N410" s="794"/>
      <c r="O410" s="794"/>
      <c r="P410" s="794"/>
      <c r="Q410" s="794"/>
      <c r="R410" s="794"/>
      <c r="S410" s="794"/>
      <c r="T410" s="794"/>
    </row>
    <row r="411" spans="1:20" ht="15" customHeight="1" x14ac:dyDescent="0.35">
      <c r="A411" s="794" t="s">
        <v>5259</v>
      </c>
      <c r="B411" s="794" t="s">
        <v>3857</v>
      </c>
      <c r="C411" s="812" t="s">
        <v>5237</v>
      </c>
      <c r="D411" s="825">
        <v>9500000</v>
      </c>
      <c r="E411" s="825"/>
      <c r="F411" s="826"/>
      <c r="G411" s="814" t="s">
        <v>3858</v>
      </c>
      <c r="H411" s="813" t="s">
        <v>5246</v>
      </c>
      <c r="I411" s="813" t="s">
        <v>4191</v>
      </c>
      <c r="J411" s="813" t="s">
        <v>5260</v>
      </c>
      <c r="K411" s="813" t="s">
        <v>3181</v>
      </c>
      <c r="L411" s="813" t="s">
        <v>3863</v>
      </c>
      <c r="M411" s="813" t="s">
        <v>3181</v>
      </c>
      <c r="N411" s="813" t="s">
        <v>5261</v>
      </c>
      <c r="O411" s="813" t="s">
        <v>4480</v>
      </c>
      <c r="P411" s="813" t="s">
        <v>5262</v>
      </c>
      <c r="Q411" s="813" t="s">
        <v>5263</v>
      </c>
      <c r="R411" s="813">
        <v>1</v>
      </c>
      <c r="S411" s="813" t="s">
        <v>3928</v>
      </c>
      <c r="T411" s="813" t="s">
        <v>4196</v>
      </c>
    </row>
    <row r="412" spans="1:20" ht="15" customHeight="1" x14ac:dyDescent="0.35">
      <c r="A412" s="794" t="s">
        <v>5264</v>
      </c>
      <c r="B412" s="794" t="s">
        <v>3857</v>
      </c>
      <c r="C412" s="812" t="s">
        <v>5237</v>
      </c>
      <c r="D412" s="825">
        <v>9200000</v>
      </c>
      <c r="E412" s="825"/>
      <c r="F412" s="826"/>
      <c r="G412" s="814" t="s">
        <v>3858</v>
      </c>
      <c r="H412" s="813" t="s">
        <v>5246</v>
      </c>
      <c r="I412" s="813" t="s">
        <v>4191</v>
      </c>
      <c r="J412" s="813" t="s">
        <v>5260</v>
      </c>
      <c r="K412" s="813" t="s">
        <v>3181</v>
      </c>
      <c r="L412" s="813" t="s">
        <v>3863</v>
      </c>
      <c r="M412" s="813" t="s">
        <v>3181</v>
      </c>
      <c r="N412" s="813" t="s">
        <v>5265</v>
      </c>
      <c r="O412" s="813" t="s">
        <v>3925</v>
      </c>
      <c r="P412" s="813" t="s">
        <v>5266</v>
      </c>
      <c r="Q412" s="813" t="s">
        <v>5267</v>
      </c>
      <c r="R412" s="813">
        <v>1</v>
      </c>
      <c r="S412" s="813" t="s">
        <v>3928</v>
      </c>
      <c r="T412" s="813" t="s">
        <v>4196</v>
      </c>
    </row>
    <row r="413" spans="1:20" ht="28" customHeight="1" x14ac:dyDescent="0.35">
      <c r="A413" s="830" t="s">
        <v>5268</v>
      </c>
      <c r="B413" s="794" t="s">
        <v>3857</v>
      </c>
      <c r="C413" s="812" t="s">
        <v>5237</v>
      </c>
      <c r="D413" s="825">
        <v>39500000</v>
      </c>
      <c r="E413" s="825"/>
      <c r="F413" s="826"/>
      <c r="G413" s="814" t="s">
        <v>3858</v>
      </c>
      <c r="H413" s="813" t="s">
        <v>5246</v>
      </c>
      <c r="I413" s="813" t="s">
        <v>4191</v>
      </c>
      <c r="J413" s="813" t="s">
        <v>5260</v>
      </c>
      <c r="K413" s="813" t="s">
        <v>3181</v>
      </c>
      <c r="L413" s="813" t="s">
        <v>3863</v>
      </c>
      <c r="M413" s="813" t="s">
        <v>3181</v>
      </c>
      <c r="N413" s="813" t="s">
        <v>5269</v>
      </c>
      <c r="O413" s="813" t="s">
        <v>3925</v>
      </c>
      <c r="P413" s="813" t="s">
        <v>5270</v>
      </c>
      <c r="Q413" s="813" t="s">
        <v>5271</v>
      </c>
      <c r="R413" s="813">
        <v>1</v>
      </c>
      <c r="S413" s="813" t="s">
        <v>3928</v>
      </c>
      <c r="T413" s="813" t="s">
        <v>4196</v>
      </c>
    </row>
    <row r="414" spans="1:20" ht="15" customHeight="1" x14ac:dyDescent="0.35">
      <c r="A414" s="794" t="s">
        <v>5272</v>
      </c>
      <c r="B414" s="794" t="s">
        <v>3857</v>
      </c>
      <c r="C414" s="812" t="s">
        <v>5237</v>
      </c>
      <c r="D414" s="825">
        <v>56000000</v>
      </c>
      <c r="E414" s="825"/>
      <c r="F414" s="826"/>
      <c r="G414" s="814" t="s">
        <v>3858</v>
      </c>
      <c r="H414" s="813" t="s">
        <v>5246</v>
      </c>
      <c r="I414" s="813" t="s">
        <v>4191</v>
      </c>
      <c r="J414" s="813" t="s">
        <v>5260</v>
      </c>
      <c r="K414" s="813" t="s">
        <v>3181</v>
      </c>
      <c r="L414" s="813" t="s">
        <v>3863</v>
      </c>
      <c r="M414" s="813" t="s">
        <v>3181</v>
      </c>
      <c r="N414" s="813" t="s">
        <v>5273</v>
      </c>
      <c r="O414" s="813" t="s">
        <v>3925</v>
      </c>
      <c r="P414" s="813" t="s">
        <v>5274</v>
      </c>
      <c r="Q414" s="813" t="s">
        <v>5275</v>
      </c>
      <c r="R414" s="813">
        <v>1</v>
      </c>
      <c r="S414" s="813" t="s">
        <v>3928</v>
      </c>
      <c r="T414" s="813" t="s">
        <v>4196</v>
      </c>
    </row>
    <row r="415" spans="1:20" ht="15" customHeight="1" x14ac:dyDescent="0.35">
      <c r="A415" s="803" t="s">
        <v>5276</v>
      </c>
      <c r="B415" s="803"/>
      <c r="C415" s="803"/>
      <c r="D415" s="803"/>
      <c r="E415" s="803"/>
      <c r="F415" s="803"/>
      <c r="G415" s="803" t="s">
        <v>3946</v>
      </c>
      <c r="H415" s="794"/>
      <c r="I415" s="794"/>
      <c r="J415" s="794"/>
      <c r="K415" s="794"/>
      <c r="L415" s="794"/>
      <c r="M415" s="794"/>
      <c r="N415" s="794"/>
      <c r="O415" s="794"/>
      <c r="P415" s="794"/>
      <c r="Q415" s="794"/>
      <c r="R415" s="794"/>
      <c r="S415" s="794"/>
      <c r="T415" s="794"/>
    </row>
    <row r="416" spans="1:20" ht="28" customHeight="1" x14ac:dyDescent="0.35">
      <c r="A416" s="830" t="s">
        <v>5277</v>
      </c>
      <c r="B416" s="794" t="s">
        <v>3857</v>
      </c>
      <c r="C416" s="812" t="s">
        <v>3880</v>
      </c>
      <c r="D416" s="825"/>
      <c r="E416" s="825"/>
      <c r="F416" s="825">
        <v>180</v>
      </c>
      <c r="G416" s="814" t="s">
        <v>3858</v>
      </c>
      <c r="H416" s="813" t="s">
        <v>5246</v>
      </c>
      <c r="I416" s="813" t="s">
        <v>4191</v>
      </c>
      <c r="J416" s="813" t="s">
        <v>5278</v>
      </c>
      <c r="K416" s="813" t="s">
        <v>3181</v>
      </c>
      <c r="L416" s="813" t="s">
        <v>3863</v>
      </c>
      <c r="M416" s="813" t="s">
        <v>3181</v>
      </c>
      <c r="N416" s="813" t="s">
        <v>5279</v>
      </c>
      <c r="O416" s="813" t="s">
        <v>3883</v>
      </c>
      <c r="P416" s="813" t="s">
        <v>5280</v>
      </c>
      <c r="Q416" s="813" t="s">
        <v>5281</v>
      </c>
      <c r="R416" s="813">
        <v>1</v>
      </c>
      <c r="S416" s="813" t="s">
        <v>3928</v>
      </c>
      <c r="T416" s="813" t="s">
        <v>4196</v>
      </c>
    </row>
    <row r="417" spans="1:20" ht="15" customHeight="1" x14ac:dyDescent="0.35">
      <c r="A417" s="802" t="s">
        <v>5282</v>
      </c>
      <c r="B417" s="802"/>
      <c r="C417" s="802"/>
      <c r="D417" s="802"/>
      <c r="E417" s="802"/>
      <c r="F417" s="802"/>
      <c r="G417" s="802" t="s">
        <v>5283</v>
      </c>
      <c r="H417" s="794"/>
      <c r="I417" s="794"/>
      <c r="J417" s="794"/>
      <c r="K417" s="794"/>
      <c r="L417" s="794"/>
      <c r="M417" s="794"/>
      <c r="N417" s="794"/>
      <c r="O417" s="794"/>
      <c r="P417" s="794"/>
      <c r="Q417" s="794"/>
      <c r="R417" s="794"/>
      <c r="S417" s="794"/>
      <c r="T417" s="794"/>
    </row>
    <row r="418" spans="1:20" ht="15" customHeight="1" x14ac:dyDescent="0.35">
      <c r="A418" s="803" t="s">
        <v>5284</v>
      </c>
      <c r="B418" s="803"/>
      <c r="C418" s="803"/>
      <c r="D418" s="803"/>
      <c r="E418" s="803"/>
      <c r="F418" s="803"/>
      <c r="G418" s="803" t="s">
        <v>3855</v>
      </c>
      <c r="H418" s="794"/>
      <c r="I418" s="794"/>
      <c r="J418" s="794"/>
      <c r="K418" s="794"/>
      <c r="L418" s="794"/>
      <c r="M418" s="794"/>
      <c r="N418" s="794"/>
      <c r="O418" s="794"/>
      <c r="P418" s="794"/>
      <c r="Q418" s="794"/>
      <c r="R418" s="794"/>
      <c r="S418" s="794"/>
      <c r="T418" s="794"/>
    </row>
    <row r="419" spans="1:20" ht="15" customHeight="1" x14ac:dyDescent="0.35">
      <c r="A419" s="794" t="s">
        <v>5285</v>
      </c>
      <c r="B419" s="794" t="s">
        <v>3857</v>
      </c>
      <c r="C419" s="812" t="s">
        <v>3880</v>
      </c>
      <c r="D419" s="825"/>
      <c r="E419" s="825"/>
      <c r="F419" s="825">
        <v>4000</v>
      </c>
      <c r="G419" s="814" t="s">
        <v>3858</v>
      </c>
      <c r="H419" s="813" t="s">
        <v>254</v>
      </c>
      <c r="I419" s="813" t="s">
        <v>4191</v>
      </c>
      <c r="J419" s="813" t="s">
        <v>4246</v>
      </c>
      <c r="K419" s="813" t="s">
        <v>4072</v>
      </c>
      <c r="L419" s="813" t="s">
        <v>3863</v>
      </c>
      <c r="M419" s="813" t="s">
        <v>1818</v>
      </c>
      <c r="N419" s="813" t="s">
        <v>5286</v>
      </c>
      <c r="O419" s="813" t="s">
        <v>4248</v>
      </c>
      <c r="P419" s="813" t="s">
        <v>5287</v>
      </c>
      <c r="Q419" s="813" t="s">
        <v>5288</v>
      </c>
      <c r="R419" s="813">
        <v>1</v>
      </c>
      <c r="S419" s="813" t="s">
        <v>4237</v>
      </c>
      <c r="T419" s="813" t="s">
        <v>4196</v>
      </c>
    </row>
    <row r="420" spans="1:20" ht="15" customHeight="1" x14ac:dyDescent="0.35">
      <c r="A420" s="794" t="s">
        <v>5289</v>
      </c>
      <c r="B420" s="794" t="s">
        <v>3857</v>
      </c>
      <c r="C420" s="812" t="s">
        <v>3880</v>
      </c>
      <c r="D420" s="825"/>
      <c r="E420" s="825"/>
      <c r="F420" s="825">
        <v>4200</v>
      </c>
      <c r="G420" s="814" t="s">
        <v>3858</v>
      </c>
      <c r="H420" s="813" t="s">
        <v>254</v>
      </c>
      <c r="I420" s="813" t="s">
        <v>4191</v>
      </c>
      <c r="J420" s="813" t="s">
        <v>4246</v>
      </c>
      <c r="K420" s="813" t="s">
        <v>4072</v>
      </c>
      <c r="L420" s="813" t="s">
        <v>3863</v>
      </c>
      <c r="M420" s="813" t="s">
        <v>1818</v>
      </c>
      <c r="N420" s="813" t="s">
        <v>5290</v>
      </c>
      <c r="O420" s="813" t="s">
        <v>4234</v>
      </c>
      <c r="P420" s="813" t="s">
        <v>5291</v>
      </c>
      <c r="Q420" s="813" t="s">
        <v>5292</v>
      </c>
      <c r="R420" s="813">
        <v>1</v>
      </c>
      <c r="S420" s="813" t="s">
        <v>4237</v>
      </c>
      <c r="T420" s="813" t="s">
        <v>4196</v>
      </c>
    </row>
    <row r="421" spans="1:20" ht="15" customHeight="1" x14ac:dyDescent="0.35">
      <c r="A421" s="794" t="s">
        <v>5293</v>
      </c>
      <c r="B421" s="794" t="s">
        <v>3857</v>
      </c>
      <c r="C421" s="812" t="s">
        <v>3880</v>
      </c>
      <c r="D421" s="825"/>
      <c r="E421" s="825"/>
      <c r="F421" s="825">
        <v>19500.38</v>
      </c>
      <c r="G421" s="814" t="s">
        <v>3858</v>
      </c>
      <c r="H421" s="813" t="s">
        <v>254</v>
      </c>
      <c r="I421" s="813" t="s">
        <v>4191</v>
      </c>
      <c r="J421" s="813" t="s">
        <v>4246</v>
      </c>
      <c r="K421" s="813" t="s">
        <v>4072</v>
      </c>
      <c r="L421" s="813" t="s">
        <v>3863</v>
      </c>
      <c r="M421" s="813" t="s">
        <v>1818</v>
      </c>
      <c r="N421" s="813" t="s">
        <v>5294</v>
      </c>
      <c r="O421" s="813" t="s">
        <v>4248</v>
      </c>
      <c r="P421" s="813" t="s">
        <v>5295</v>
      </c>
      <c r="Q421" s="813" t="s">
        <v>5296</v>
      </c>
      <c r="R421" s="813">
        <v>1</v>
      </c>
      <c r="S421" s="813" t="s">
        <v>4237</v>
      </c>
      <c r="T421" s="813" t="s">
        <v>4196</v>
      </c>
    </row>
    <row r="422" spans="1:20" ht="15" customHeight="1" x14ac:dyDescent="0.35">
      <c r="A422" s="803" t="s">
        <v>5297</v>
      </c>
      <c r="B422" s="803"/>
      <c r="C422" s="803"/>
      <c r="D422" s="803"/>
      <c r="E422" s="803"/>
      <c r="F422" s="803"/>
      <c r="G422" s="803" t="s">
        <v>3920</v>
      </c>
      <c r="H422" s="794"/>
      <c r="I422" s="794"/>
      <c r="J422" s="794"/>
      <c r="K422" s="794"/>
      <c r="L422" s="794"/>
      <c r="M422" s="794"/>
      <c r="N422" s="794"/>
      <c r="O422" s="794"/>
      <c r="P422" s="794"/>
      <c r="Q422" s="794"/>
      <c r="R422" s="794"/>
      <c r="S422" s="794"/>
      <c r="T422" s="794"/>
    </row>
    <row r="423" spans="1:20" ht="28" customHeight="1" x14ac:dyDescent="0.35">
      <c r="A423" s="830" t="s">
        <v>5298</v>
      </c>
      <c r="B423" s="794" t="s">
        <v>3857</v>
      </c>
      <c r="C423" s="812" t="s">
        <v>5237</v>
      </c>
      <c r="D423" s="825">
        <v>27980000</v>
      </c>
      <c r="E423" s="825"/>
      <c r="F423" s="826"/>
      <c r="G423" s="814" t="s">
        <v>3858</v>
      </c>
      <c r="H423" s="813" t="s">
        <v>254</v>
      </c>
      <c r="I423" s="813" t="s">
        <v>4191</v>
      </c>
      <c r="J423" s="813" t="s">
        <v>5299</v>
      </c>
      <c r="K423" s="813" t="s">
        <v>5300</v>
      </c>
      <c r="L423" s="813" t="s">
        <v>3863</v>
      </c>
      <c r="M423" s="813" t="s">
        <v>3193</v>
      </c>
      <c r="N423" s="813" t="s">
        <v>5301</v>
      </c>
      <c r="O423" s="813" t="s">
        <v>3925</v>
      </c>
      <c r="P423" s="813" t="s">
        <v>5302</v>
      </c>
      <c r="Q423" s="813" t="s">
        <v>5303</v>
      </c>
      <c r="R423" s="813">
        <v>1</v>
      </c>
      <c r="S423" s="813" t="s">
        <v>3928</v>
      </c>
      <c r="T423" s="813" t="s">
        <v>4196</v>
      </c>
    </row>
    <row r="424" spans="1:20" ht="28" customHeight="1" x14ac:dyDescent="0.35">
      <c r="A424" s="830" t="s">
        <v>5304</v>
      </c>
      <c r="B424" s="794" t="s">
        <v>3857</v>
      </c>
      <c r="C424" s="812" t="s">
        <v>5237</v>
      </c>
      <c r="D424" s="825">
        <v>1260000</v>
      </c>
      <c r="E424" s="825"/>
      <c r="F424" s="826"/>
      <c r="G424" s="814" t="s">
        <v>3858</v>
      </c>
      <c r="H424" s="813" t="s">
        <v>254</v>
      </c>
      <c r="I424" s="813" t="s">
        <v>4191</v>
      </c>
      <c r="J424" s="813" t="s">
        <v>5299</v>
      </c>
      <c r="K424" s="813" t="s">
        <v>5300</v>
      </c>
      <c r="L424" s="813" t="s">
        <v>3863</v>
      </c>
      <c r="M424" s="813" t="s">
        <v>3193</v>
      </c>
      <c r="N424" s="813" t="s">
        <v>5305</v>
      </c>
      <c r="O424" s="813" t="s">
        <v>4264</v>
      </c>
      <c r="P424" s="813" t="s">
        <v>5306</v>
      </c>
      <c r="Q424" s="813" t="s">
        <v>5307</v>
      </c>
      <c r="R424" s="813">
        <v>1</v>
      </c>
      <c r="S424" s="813" t="s">
        <v>3928</v>
      </c>
      <c r="T424" s="813" t="s">
        <v>4196</v>
      </c>
    </row>
    <row r="425" spans="1:20" ht="28" customHeight="1" x14ac:dyDescent="0.35">
      <c r="A425" s="830" t="s">
        <v>5308</v>
      </c>
      <c r="B425" s="794" t="s">
        <v>3857</v>
      </c>
      <c r="C425" s="812" t="s">
        <v>5237</v>
      </c>
      <c r="D425" s="825">
        <v>980000</v>
      </c>
      <c r="E425" s="825"/>
      <c r="F425" s="826"/>
      <c r="G425" s="814" t="s">
        <v>3858</v>
      </c>
      <c r="H425" s="813" t="s">
        <v>254</v>
      </c>
      <c r="I425" s="813" t="s">
        <v>4191</v>
      </c>
      <c r="J425" s="813" t="s">
        <v>5299</v>
      </c>
      <c r="K425" s="813" t="s">
        <v>5300</v>
      </c>
      <c r="L425" s="813" t="s">
        <v>3863</v>
      </c>
      <c r="M425" s="813" t="s">
        <v>3193</v>
      </c>
      <c r="N425" s="813" t="s">
        <v>5309</v>
      </c>
      <c r="O425" s="813" t="s">
        <v>4264</v>
      </c>
      <c r="P425" s="813" t="s">
        <v>5310</v>
      </c>
      <c r="Q425" s="813" t="s">
        <v>5311</v>
      </c>
      <c r="R425" s="813">
        <v>1</v>
      </c>
      <c r="S425" s="813" t="s">
        <v>3928</v>
      </c>
      <c r="T425" s="813" t="s">
        <v>4196</v>
      </c>
    </row>
    <row r="426" spans="1:20" ht="15" customHeight="1" x14ac:dyDescent="0.35">
      <c r="A426" s="794" t="s">
        <v>5312</v>
      </c>
      <c r="B426" s="794" t="s">
        <v>3857</v>
      </c>
      <c r="C426" s="812" t="s">
        <v>5237</v>
      </c>
      <c r="D426" s="825">
        <v>5650000</v>
      </c>
      <c r="E426" s="825"/>
      <c r="F426" s="826"/>
      <c r="G426" s="814" t="s">
        <v>3858</v>
      </c>
      <c r="H426" s="813" t="s">
        <v>254</v>
      </c>
      <c r="I426" s="813" t="s">
        <v>4191</v>
      </c>
      <c r="J426" s="813" t="s">
        <v>5299</v>
      </c>
      <c r="K426" s="813" t="s">
        <v>5300</v>
      </c>
      <c r="L426" s="813" t="s">
        <v>3863</v>
      </c>
      <c r="M426" s="813" t="s">
        <v>3193</v>
      </c>
      <c r="N426" s="813" t="s">
        <v>5313</v>
      </c>
      <c r="O426" s="813" t="s">
        <v>3925</v>
      </c>
      <c r="P426" s="813" t="s">
        <v>5314</v>
      </c>
      <c r="Q426" s="813" t="s">
        <v>5315</v>
      </c>
      <c r="R426" s="813">
        <v>1</v>
      </c>
      <c r="S426" s="813" t="s">
        <v>3928</v>
      </c>
      <c r="T426" s="813" t="s">
        <v>4196</v>
      </c>
    </row>
    <row r="427" spans="1:20" ht="15" customHeight="1" x14ac:dyDescent="0.35">
      <c r="A427" s="794" t="s">
        <v>5316</v>
      </c>
      <c r="B427" s="794" t="s">
        <v>3857</v>
      </c>
      <c r="C427" s="812" t="s">
        <v>5237</v>
      </c>
      <c r="D427" s="825">
        <v>5650000</v>
      </c>
      <c r="E427" s="825"/>
      <c r="F427" s="826"/>
      <c r="G427" s="814" t="s">
        <v>3858</v>
      </c>
      <c r="H427" s="813" t="s">
        <v>254</v>
      </c>
      <c r="I427" s="813" t="s">
        <v>4191</v>
      </c>
      <c r="J427" s="813" t="s">
        <v>5299</v>
      </c>
      <c r="K427" s="813" t="s">
        <v>5300</v>
      </c>
      <c r="L427" s="813" t="s">
        <v>3863</v>
      </c>
      <c r="M427" s="813" t="s">
        <v>3193</v>
      </c>
      <c r="N427" s="813" t="s">
        <v>5317</v>
      </c>
      <c r="O427" s="813" t="s">
        <v>3883</v>
      </c>
      <c r="P427" s="813" t="s">
        <v>5318</v>
      </c>
      <c r="Q427" s="813" t="s">
        <v>5319</v>
      </c>
      <c r="R427" s="813">
        <v>1</v>
      </c>
      <c r="S427" s="813" t="s">
        <v>3928</v>
      </c>
      <c r="T427" s="813" t="s">
        <v>4196</v>
      </c>
    </row>
    <row r="428" spans="1:20" ht="15" customHeight="1" x14ac:dyDescent="0.35">
      <c r="A428" s="803" t="s">
        <v>5320</v>
      </c>
      <c r="B428" s="803"/>
      <c r="C428" s="803"/>
      <c r="D428" s="803"/>
      <c r="E428" s="803"/>
      <c r="F428" s="803"/>
      <c r="G428" s="803" t="s">
        <v>5321</v>
      </c>
      <c r="H428" s="794"/>
      <c r="I428" s="794"/>
      <c r="J428" s="794"/>
      <c r="K428" s="794"/>
      <c r="L428" s="794"/>
      <c r="M428" s="794"/>
      <c r="N428" s="794"/>
      <c r="O428" s="794"/>
      <c r="P428" s="794"/>
      <c r="Q428" s="794"/>
      <c r="R428" s="794"/>
      <c r="S428" s="794"/>
      <c r="T428" s="794"/>
    </row>
    <row r="429" spans="1:20" ht="15" customHeight="1" x14ac:dyDescent="0.35">
      <c r="A429" s="794" t="s">
        <v>5322</v>
      </c>
      <c r="B429" s="794" t="s">
        <v>3857</v>
      </c>
      <c r="C429" s="812" t="s">
        <v>4144</v>
      </c>
      <c r="D429" s="825"/>
      <c r="E429" s="825"/>
      <c r="F429" s="825">
        <v>12</v>
      </c>
      <c r="G429" s="814" t="s">
        <v>3858</v>
      </c>
      <c r="H429" s="813" t="s">
        <v>254</v>
      </c>
      <c r="I429" s="813" t="s">
        <v>4191</v>
      </c>
      <c r="J429" s="813" t="s">
        <v>5323</v>
      </c>
      <c r="K429" s="813" t="s">
        <v>5300</v>
      </c>
      <c r="L429" s="813" t="s">
        <v>3863</v>
      </c>
      <c r="M429" s="813" t="s">
        <v>3193</v>
      </c>
      <c r="N429" s="813" t="s">
        <v>5324</v>
      </c>
      <c r="O429" s="813" t="s">
        <v>4264</v>
      </c>
      <c r="P429" s="813" t="s">
        <v>5325</v>
      </c>
      <c r="Q429" s="813" t="s">
        <v>5326</v>
      </c>
      <c r="R429" s="813">
        <v>1</v>
      </c>
      <c r="S429" s="813" t="s">
        <v>3928</v>
      </c>
      <c r="T429" s="813" t="s">
        <v>4196</v>
      </c>
    </row>
    <row r="430" spans="1:20" ht="15" customHeight="1" x14ac:dyDescent="0.35">
      <c r="A430" s="794" t="s">
        <v>5327</v>
      </c>
      <c r="B430" s="794" t="s">
        <v>3857</v>
      </c>
      <c r="C430" s="812" t="s">
        <v>4144</v>
      </c>
      <c r="D430" s="825"/>
      <c r="E430" s="825"/>
      <c r="F430" s="825">
        <v>124</v>
      </c>
      <c r="G430" s="814" t="s">
        <v>3858</v>
      </c>
      <c r="H430" s="813" t="s">
        <v>254</v>
      </c>
      <c r="I430" s="813" t="s">
        <v>4191</v>
      </c>
      <c r="J430" s="813" t="s">
        <v>5323</v>
      </c>
      <c r="K430" s="813" t="s">
        <v>5300</v>
      </c>
      <c r="L430" s="813" t="s">
        <v>3863</v>
      </c>
      <c r="M430" s="813" t="s">
        <v>3193</v>
      </c>
      <c r="N430" s="813" t="s">
        <v>5328</v>
      </c>
      <c r="O430" s="813" t="s">
        <v>3925</v>
      </c>
      <c r="P430" s="813" t="s">
        <v>5329</v>
      </c>
      <c r="Q430" s="813" t="s">
        <v>5330</v>
      </c>
      <c r="R430" s="813">
        <v>1</v>
      </c>
      <c r="S430" s="813" t="s">
        <v>3928</v>
      </c>
      <c r="T430" s="813" t="s">
        <v>4196</v>
      </c>
    </row>
    <row r="431" spans="1:20" ht="15" customHeight="1" x14ac:dyDescent="0.35">
      <c r="A431" s="794" t="s">
        <v>5331</v>
      </c>
      <c r="B431" s="794" t="s">
        <v>3857</v>
      </c>
      <c r="C431" s="812" t="s">
        <v>4144</v>
      </c>
      <c r="D431" s="825"/>
      <c r="E431" s="825"/>
      <c r="F431" s="825">
        <v>18</v>
      </c>
      <c r="G431" s="814" t="s">
        <v>3858</v>
      </c>
      <c r="H431" s="813" t="s">
        <v>254</v>
      </c>
      <c r="I431" s="813" t="s">
        <v>4191</v>
      </c>
      <c r="J431" s="813" t="s">
        <v>5323</v>
      </c>
      <c r="K431" s="813" t="s">
        <v>5300</v>
      </c>
      <c r="L431" s="813" t="s">
        <v>3863</v>
      </c>
      <c r="M431" s="813" t="s">
        <v>3193</v>
      </c>
      <c r="N431" s="813" t="s">
        <v>5332</v>
      </c>
      <c r="O431" s="813" t="s">
        <v>3925</v>
      </c>
      <c r="P431" s="813" t="s">
        <v>5333</v>
      </c>
      <c r="Q431" s="813" t="s">
        <v>5334</v>
      </c>
      <c r="R431" s="813">
        <v>1</v>
      </c>
      <c r="S431" s="813" t="s">
        <v>3928</v>
      </c>
      <c r="T431" s="813" t="s">
        <v>4196</v>
      </c>
    </row>
    <row r="432" spans="1:20" ht="15" customHeight="1" x14ac:dyDescent="0.35">
      <c r="A432" s="794" t="s">
        <v>5335</v>
      </c>
      <c r="B432" s="794" t="s">
        <v>3857</v>
      </c>
      <c r="C432" s="812" t="s">
        <v>4144</v>
      </c>
      <c r="D432" s="825"/>
      <c r="E432" s="825"/>
      <c r="F432" s="825">
        <v>8</v>
      </c>
      <c r="G432" s="814" t="s">
        <v>3858</v>
      </c>
      <c r="H432" s="813" t="s">
        <v>254</v>
      </c>
      <c r="I432" s="813" t="s">
        <v>4191</v>
      </c>
      <c r="J432" s="813" t="s">
        <v>5323</v>
      </c>
      <c r="K432" s="813" t="s">
        <v>5300</v>
      </c>
      <c r="L432" s="813" t="s">
        <v>3863</v>
      </c>
      <c r="M432" s="813" t="s">
        <v>3193</v>
      </c>
      <c r="N432" s="813" t="s">
        <v>5336</v>
      </c>
      <c r="O432" s="813" t="s">
        <v>3925</v>
      </c>
      <c r="P432" s="813" t="s">
        <v>5337</v>
      </c>
      <c r="Q432" s="813" t="s">
        <v>5338</v>
      </c>
      <c r="R432" s="813">
        <v>1</v>
      </c>
      <c r="S432" s="813" t="s">
        <v>3928</v>
      </c>
      <c r="T432" s="813" t="s">
        <v>4196</v>
      </c>
    </row>
    <row r="433" spans="1:20" ht="15" customHeight="1" x14ac:dyDescent="0.35">
      <c r="A433" s="794" t="s">
        <v>5339</v>
      </c>
      <c r="B433" s="794" t="s">
        <v>3857</v>
      </c>
      <c r="C433" s="812" t="s">
        <v>3913</v>
      </c>
      <c r="D433" s="825"/>
      <c r="E433" s="825"/>
      <c r="F433" s="825">
        <v>1140</v>
      </c>
      <c r="G433" s="814" t="s">
        <v>3858</v>
      </c>
      <c r="H433" s="813" t="s">
        <v>254</v>
      </c>
      <c r="I433" s="813" t="s">
        <v>4191</v>
      </c>
      <c r="J433" s="813" t="s">
        <v>5323</v>
      </c>
      <c r="K433" s="813" t="s">
        <v>5300</v>
      </c>
      <c r="L433" s="813" t="s">
        <v>3863</v>
      </c>
      <c r="M433" s="813" t="s">
        <v>3193</v>
      </c>
      <c r="N433" s="813" t="s">
        <v>5340</v>
      </c>
      <c r="O433" s="813" t="s">
        <v>3883</v>
      </c>
      <c r="P433" s="813" t="s">
        <v>5341</v>
      </c>
      <c r="Q433" s="813" t="s">
        <v>5342</v>
      </c>
      <c r="R433" s="813">
        <v>1</v>
      </c>
      <c r="S433" s="813" t="s">
        <v>3928</v>
      </c>
      <c r="T433" s="813" t="s">
        <v>4196</v>
      </c>
    </row>
    <row r="434" spans="1:20" ht="15" customHeight="1" x14ac:dyDescent="0.35">
      <c r="A434" s="794" t="s">
        <v>5343</v>
      </c>
      <c r="B434" s="794" t="s">
        <v>3857</v>
      </c>
      <c r="C434" s="812" t="s">
        <v>3913</v>
      </c>
      <c r="D434" s="825"/>
      <c r="E434" s="825"/>
      <c r="F434" s="825">
        <v>1</v>
      </c>
      <c r="G434" s="814" t="s">
        <v>3858</v>
      </c>
      <c r="H434" s="813" t="s">
        <v>254</v>
      </c>
      <c r="I434" s="813" t="s">
        <v>4191</v>
      </c>
      <c r="J434" s="813" t="s">
        <v>5323</v>
      </c>
      <c r="K434" s="813" t="s">
        <v>5300</v>
      </c>
      <c r="L434" s="813" t="s">
        <v>3863</v>
      </c>
      <c r="M434" s="813" t="s">
        <v>3193</v>
      </c>
      <c r="N434" s="813" t="s">
        <v>5344</v>
      </c>
      <c r="O434" s="813" t="s">
        <v>3883</v>
      </c>
      <c r="P434" s="813" t="s">
        <v>5345</v>
      </c>
      <c r="Q434" s="813" t="s">
        <v>5346</v>
      </c>
      <c r="R434" s="813">
        <v>1</v>
      </c>
      <c r="S434" s="813" t="s">
        <v>3928</v>
      </c>
      <c r="T434" s="813" t="s">
        <v>4196</v>
      </c>
    </row>
    <row r="435" spans="1:20" ht="15" customHeight="1" x14ac:dyDescent="0.35">
      <c r="A435" s="794" t="s">
        <v>5347</v>
      </c>
      <c r="B435" s="794" t="s">
        <v>3857</v>
      </c>
      <c r="C435" s="812" t="s">
        <v>3913</v>
      </c>
      <c r="D435" s="825"/>
      <c r="E435" s="825"/>
      <c r="F435" s="825">
        <v>280</v>
      </c>
      <c r="G435" s="814" t="s">
        <v>3858</v>
      </c>
      <c r="H435" s="813" t="s">
        <v>254</v>
      </c>
      <c r="I435" s="813" t="s">
        <v>4191</v>
      </c>
      <c r="J435" s="813" t="s">
        <v>5323</v>
      </c>
      <c r="K435" s="813" t="s">
        <v>5300</v>
      </c>
      <c r="L435" s="813" t="s">
        <v>3863</v>
      </c>
      <c r="M435" s="813" t="s">
        <v>3193</v>
      </c>
      <c r="N435" s="813" t="s">
        <v>5348</v>
      </c>
      <c r="O435" s="813" t="s">
        <v>3883</v>
      </c>
      <c r="P435" s="813" t="s">
        <v>5349</v>
      </c>
      <c r="Q435" s="813" t="s">
        <v>5350</v>
      </c>
      <c r="R435" s="813">
        <v>1</v>
      </c>
      <c r="S435" s="813" t="s">
        <v>3928</v>
      </c>
      <c r="T435" s="813" t="s">
        <v>4196</v>
      </c>
    </row>
    <row r="436" spans="1:20" ht="15" customHeight="1" x14ac:dyDescent="0.35">
      <c r="A436" s="794" t="s">
        <v>5351</v>
      </c>
      <c r="B436" s="794" t="s">
        <v>3857</v>
      </c>
      <c r="C436" s="812" t="s">
        <v>3913</v>
      </c>
      <c r="D436" s="825"/>
      <c r="E436" s="825"/>
      <c r="F436" s="825">
        <v>1</v>
      </c>
      <c r="G436" s="814" t="s">
        <v>3858</v>
      </c>
      <c r="H436" s="813" t="s">
        <v>254</v>
      </c>
      <c r="I436" s="813" t="s">
        <v>4191</v>
      </c>
      <c r="J436" s="813" t="s">
        <v>5323</v>
      </c>
      <c r="K436" s="813" t="s">
        <v>5300</v>
      </c>
      <c r="L436" s="813" t="s">
        <v>3863</v>
      </c>
      <c r="M436" s="813" t="s">
        <v>3193</v>
      </c>
      <c r="N436" s="813" t="s">
        <v>5352</v>
      </c>
      <c r="O436" s="813" t="s">
        <v>3883</v>
      </c>
      <c r="P436" s="813" t="s">
        <v>5353</v>
      </c>
      <c r="Q436" s="813" t="s">
        <v>5354</v>
      </c>
      <c r="R436" s="813">
        <v>1</v>
      </c>
      <c r="S436" s="813" t="s">
        <v>3928</v>
      </c>
      <c r="T436" s="813" t="s">
        <v>4196</v>
      </c>
    </row>
    <row r="437" spans="1:20" ht="15" customHeight="1" x14ac:dyDescent="0.35">
      <c r="A437" s="794" t="s">
        <v>5355</v>
      </c>
      <c r="B437" s="794" t="s">
        <v>3857</v>
      </c>
      <c r="C437" s="812" t="s">
        <v>3913</v>
      </c>
      <c r="D437" s="825"/>
      <c r="E437" s="825"/>
      <c r="F437" s="825">
        <v>9</v>
      </c>
      <c r="G437" s="814" t="s">
        <v>3858</v>
      </c>
      <c r="H437" s="813" t="s">
        <v>254</v>
      </c>
      <c r="I437" s="813" t="s">
        <v>4191</v>
      </c>
      <c r="J437" s="813" t="s">
        <v>5323</v>
      </c>
      <c r="K437" s="813" t="s">
        <v>5300</v>
      </c>
      <c r="L437" s="813" t="s">
        <v>3863</v>
      </c>
      <c r="M437" s="813" t="s">
        <v>3193</v>
      </c>
      <c r="N437" s="813" t="s">
        <v>5356</v>
      </c>
      <c r="O437" s="813" t="s">
        <v>3883</v>
      </c>
      <c r="P437" s="813" t="s">
        <v>5357</v>
      </c>
      <c r="Q437" s="813" t="s">
        <v>5358</v>
      </c>
      <c r="R437" s="813">
        <v>1</v>
      </c>
      <c r="S437" s="813" t="s">
        <v>3928</v>
      </c>
      <c r="T437" s="813" t="s">
        <v>4196</v>
      </c>
    </row>
    <row r="438" spans="1:20" ht="15" customHeight="1" x14ac:dyDescent="0.35">
      <c r="A438" s="794" t="s">
        <v>5359</v>
      </c>
      <c r="B438" s="794" t="s">
        <v>3857</v>
      </c>
      <c r="C438" s="812" t="s">
        <v>3913</v>
      </c>
      <c r="D438" s="825"/>
      <c r="E438" s="825"/>
      <c r="F438" s="825">
        <v>4</v>
      </c>
      <c r="G438" s="814" t="s">
        <v>3858</v>
      </c>
      <c r="H438" s="813" t="s">
        <v>254</v>
      </c>
      <c r="I438" s="813" t="s">
        <v>4191</v>
      </c>
      <c r="J438" s="813" t="s">
        <v>5323</v>
      </c>
      <c r="K438" s="813" t="s">
        <v>5300</v>
      </c>
      <c r="L438" s="813" t="s">
        <v>3863</v>
      </c>
      <c r="M438" s="813" t="s">
        <v>3193</v>
      </c>
      <c r="N438" s="813" t="s">
        <v>5360</v>
      </c>
      <c r="O438" s="813" t="s">
        <v>3883</v>
      </c>
      <c r="P438" s="813" t="s">
        <v>5361</v>
      </c>
      <c r="Q438" s="813" t="s">
        <v>5362</v>
      </c>
      <c r="R438" s="813">
        <v>1</v>
      </c>
      <c r="S438" s="813" t="s">
        <v>3928</v>
      </c>
      <c r="T438" s="813" t="s">
        <v>4196</v>
      </c>
    </row>
    <row r="439" spans="1:20" ht="15" customHeight="1" x14ac:dyDescent="0.35">
      <c r="A439" s="794" t="s">
        <v>5363</v>
      </c>
      <c r="B439" s="794" t="s">
        <v>3857</v>
      </c>
      <c r="C439" s="812" t="s">
        <v>3913</v>
      </c>
      <c r="D439" s="825"/>
      <c r="E439" s="825"/>
      <c r="F439" s="825">
        <v>48</v>
      </c>
      <c r="G439" s="814" t="s">
        <v>3858</v>
      </c>
      <c r="H439" s="813" t="s">
        <v>254</v>
      </c>
      <c r="I439" s="813" t="s">
        <v>4191</v>
      </c>
      <c r="J439" s="813" t="s">
        <v>5323</v>
      </c>
      <c r="K439" s="813" t="s">
        <v>5300</v>
      </c>
      <c r="L439" s="813" t="s">
        <v>3863</v>
      </c>
      <c r="M439" s="813" t="s">
        <v>3193</v>
      </c>
      <c r="N439" s="813" t="s">
        <v>5364</v>
      </c>
      <c r="O439" s="813" t="s">
        <v>3883</v>
      </c>
      <c r="P439" s="813" t="s">
        <v>5365</v>
      </c>
      <c r="Q439" s="813" t="s">
        <v>5366</v>
      </c>
      <c r="R439" s="813">
        <v>1</v>
      </c>
      <c r="S439" s="813" t="s">
        <v>3928</v>
      </c>
      <c r="T439" s="813" t="s">
        <v>4196</v>
      </c>
    </row>
    <row r="440" spans="1:20" ht="15" customHeight="1" x14ac:dyDescent="0.35">
      <c r="A440" s="794" t="s">
        <v>5367</v>
      </c>
      <c r="B440" s="794" t="s">
        <v>3857</v>
      </c>
      <c r="C440" s="812" t="s">
        <v>3913</v>
      </c>
      <c r="D440" s="825"/>
      <c r="E440" s="825"/>
      <c r="F440" s="825">
        <v>2</v>
      </c>
      <c r="G440" s="814" t="s">
        <v>3858</v>
      </c>
      <c r="H440" s="813" t="s">
        <v>254</v>
      </c>
      <c r="I440" s="813" t="s">
        <v>4191</v>
      </c>
      <c r="J440" s="813" t="s">
        <v>5323</v>
      </c>
      <c r="K440" s="813" t="s">
        <v>5300</v>
      </c>
      <c r="L440" s="813" t="s">
        <v>3863</v>
      </c>
      <c r="M440" s="813" t="s">
        <v>3193</v>
      </c>
      <c r="N440" s="813" t="s">
        <v>5368</v>
      </c>
      <c r="O440" s="813" t="s">
        <v>3883</v>
      </c>
      <c r="P440" s="813" t="s">
        <v>5369</v>
      </c>
      <c r="Q440" s="813" t="s">
        <v>5370</v>
      </c>
      <c r="R440" s="813">
        <v>1</v>
      </c>
      <c r="S440" s="813" t="s">
        <v>3928</v>
      </c>
      <c r="T440" s="813" t="s">
        <v>4196</v>
      </c>
    </row>
    <row r="441" spans="1:20" ht="15" customHeight="1" x14ac:dyDescent="0.35">
      <c r="A441" s="794" t="s">
        <v>5371</v>
      </c>
      <c r="B441" s="794" t="s">
        <v>3857</v>
      </c>
      <c r="C441" s="812" t="s">
        <v>3913</v>
      </c>
      <c r="D441" s="825"/>
      <c r="E441" s="825"/>
      <c r="F441" s="825">
        <v>9</v>
      </c>
      <c r="G441" s="814" t="s">
        <v>3858</v>
      </c>
      <c r="H441" s="813" t="s">
        <v>254</v>
      </c>
      <c r="I441" s="813" t="s">
        <v>4191</v>
      </c>
      <c r="J441" s="813" t="s">
        <v>5323</v>
      </c>
      <c r="K441" s="813" t="s">
        <v>5300</v>
      </c>
      <c r="L441" s="813" t="s">
        <v>3863</v>
      </c>
      <c r="M441" s="813" t="s">
        <v>3193</v>
      </c>
      <c r="N441" s="813" t="s">
        <v>5372</v>
      </c>
      <c r="O441" s="813" t="s">
        <v>3883</v>
      </c>
      <c r="P441" s="813" t="s">
        <v>5373</v>
      </c>
      <c r="Q441" s="813" t="s">
        <v>5374</v>
      </c>
      <c r="R441" s="813">
        <v>1</v>
      </c>
      <c r="S441" s="813" t="s">
        <v>3928</v>
      </c>
      <c r="T441" s="813" t="s">
        <v>4196</v>
      </c>
    </row>
    <row r="442" spans="1:20" ht="15" customHeight="1" x14ac:dyDescent="0.35">
      <c r="A442" s="794" t="s">
        <v>5375</v>
      </c>
      <c r="B442" s="794" t="s">
        <v>3857</v>
      </c>
      <c r="C442" s="812" t="s">
        <v>3913</v>
      </c>
      <c r="D442" s="825"/>
      <c r="E442" s="825"/>
      <c r="F442" s="825">
        <v>2</v>
      </c>
      <c r="G442" s="814" t="s">
        <v>3858</v>
      </c>
      <c r="H442" s="813" t="s">
        <v>254</v>
      </c>
      <c r="I442" s="813" t="s">
        <v>4191</v>
      </c>
      <c r="J442" s="813" t="s">
        <v>5323</v>
      </c>
      <c r="K442" s="813" t="s">
        <v>5300</v>
      </c>
      <c r="L442" s="813" t="s">
        <v>3863</v>
      </c>
      <c r="M442" s="813" t="s">
        <v>3193</v>
      </c>
      <c r="N442" s="813" t="s">
        <v>5376</v>
      </c>
      <c r="O442" s="813" t="s">
        <v>3883</v>
      </c>
      <c r="P442" s="813" t="s">
        <v>5377</v>
      </c>
      <c r="Q442" s="813" t="s">
        <v>5378</v>
      </c>
      <c r="R442" s="813">
        <v>1</v>
      </c>
      <c r="S442" s="813" t="s">
        <v>3928</v>
      </c>
      <c r="T442" s="813" t="s">
        <v>4196</v>
      </c>
    </row>
    <row r="443" spans="1:20" ht="15" customHeight="1" x14ac:dyDescent="0.35">
      <c r="A443" s="794" t="s">
        <v>5379</v>
      </c>
      <c r="B443" s="794" t="s">
        <v>3857</v>
      </c>
      <c r="C443" s="812" t="s">
        <v>3913</v>
      </c>
      <c r="D443" s="825"/>
      <c r="E443" s="825"/>
      <c r="F443" s="825">
        <v>4</v>
      </c>
      <c r="G443" s="814" t="s">
        <v>3858</v>
      </c>
      <c r="H443" s="813" t="s">
        <v>254</v>
      </c>
      <c r="I443" s="813" t="s">
        <v>4191</v>
      </c>
      <c r="J443" s="813" t="s">
        <v>5323</v>
      </c>
      <c r="K443" s="813" t="s">
        <v>5300</v>
      </c>
      <c r="L443" s="813" t="s">
        <v>3863</v>
      </c>
      <c r="M443" s="813" t="s">
        <v>3193</v>
      </c>
      <c r="N443" s="813" t="s">
        <v>5380</v>
      </c>
      <c r="O443" s="813" t="s">
        <v>3883</v>
      </c>
      <c r="P443" s="813" t="s">
        <v>5381</v>
      </c>
      <c r="Q443" s="813" t="s">
        <v>5382</v>
      </c>
      <c r="R443" s="813">
        <v>1</v>
      </c>
      <c r="S443" s="813" t="s">
        <v>3928</v>
      </c>
      <c r="T443" s="813" t="s">
        <v>4196</v>
      </c>
    </row>
    <row r="444" spans="1:20" ht="15" customHeight="1" x14ac:dyDescent="0.35">
      <c r="A444" s="794" t="s">
        <v>5383</v>
      </c>
      <c r="B444" s="794" t="s">
        <v>3857</v>
      </c>
      <c r="C444" s="812" t="s">
        <v>3913</v>
      </c>
      <c r="D444" s="825"/>
      <c r="E444" s="825"/>
      <c r="F444" s="825">
        <v>2</v>
      </c>
      <c r="G444" s="814" t="s">
        <v>3858</v>
      </c>
      <c r="H444" s="813" t="s">
        <v>254</v>
      </c>
      <c r="I444" s="813" t="s">
        <v>4191</v>
      </c>
      <c r="J444" s="813" t="s">
        <v>5323</v>
      </c>
      <c r="K444" s="813" t="s">
        <v>5300</v>
      </c>
      <c r="L444" s="813" t="s">
        <v>3863</v>
      </c>
      <c r="M444" s="813" t="s">
        <v>3193</v>
      </c>
      <c r="N444" s="813" t="s">
        <v>5384</v>
      </c>
      <c r="O444" s="813" t="s">
        <v>3883</v>
      </c>
      <c r="P444" s="813" t="s">
        <v>5385</v>
      </c>
      <c r="Q444" s="813" t="s">
        <v>5386</v>
      </c>
      <c r="R444" s="813">
        <v>1</v>
      </c>
      <c r="S444" s="813" t="s">
        <v>3928</v>
      </c>
      <c r="T444" s="813" t="s">
        <v>4196</v>
      </c>
    </row>
    <row r="445" spans="1:20" ht="15" customHeight="1" x14ac:dyDescent="0.35">
      <c r="A445" s="794" t="s">
        <v>5387</v>
      </c>
      <c r="B445" s="794" t="s">
        <v>3857</v>
      </c>
      <c r="C445" s="812" t="s">
        <v>3913</v>
      </c>
      <c r="D445" s="825"/>
      <c r="E445" s="825"/>
      <c r="F445" s="825">
        <v>16</v>
      </c>
      <c r="G445" s="814" t="s">
        <v>3858</v>
      </c>
      <c r="H445" s="813" t="s">
        <v>254</v>
      </c>
      <c r="I445" s="813" t="s">
        <v>4191</v>
      </c>
      <c r="J445" s="813" t="s">
        <v>5323</v>
      </c>
      <c r="K445" s="813" t="s">
        <v>5300</v>
      </c>
      <c r="L445" s="813" t="s">
        <v>3863</v>
      </c>
      <c r="M445" s="813" t="s">
        <v>3193</v>
      </c>
      <c r="N445" s="813" t="s">
        <v>5388</v>
      </c>
      <c r="O445" s="813" t="s">
        <v>3883</v>
      </c>
      <c r="P445" s="813" t="s">
        <v>5389</v>
      </c>
      <c r="Q445" s="813" t="s">
        <v>5390</v>
      </c>
      <c r="R445" s="813">
        <v>1</v>
      </c>
      <c r="S445" s="813" t="s">
        <v>3928</v>
      </c>
      <c r="T445" s="813" t="s">
        <v>4196</v>
      </c>
    </row>
    <row r="446" spans="1:20" ht="15" customHeight="1" x14ac:dyDescent="0.35">
      <c r="A446" s="794" t="s">
        <v>5387</v>
      </c>
      <c r="B446" s="794" t="s">
        <v>3857</v>
      </c>
      <c r="C446" s="812" t="s">
        <v>3913</v>
      </c>
      <c r="D446" s="825"/>
      <c r="E446" s="825"/>
      <c r="F446" s="825">
        <v>2</v>
      </c>
      <c r="G446" s="814" t="s">
        <v>3858</v>
      </c>
      <c r="H446" s="813" t="s">
        <v>254</v>
      </c>
      <c r="I446" s="813" t="s">
        <v>4191</v>
      </c>
      <c r="J446" s="813" t="s">
        <v>5323</v>
      </c>
      <c r="K446" s="813" t="s">
        <v>5300</v>
      </c>
      <c r="L446" s="813" t="s">
        <v>3863</v>
      </c>
      <c r="M446" s="813" t="s">
        <v>3193</v>
      </c>
      <c r="N446" s="813" t="s">
        <v>5391</v>
      </c>
      <c r="O446" s="813" t="s">
        <v>3883</v>
      </c>
      <c r="P446" s="813" t="s">
        <v>5392</v>
      </c>
      <c r="Q446" s="813" t="s">
        <v>5393</v>
      </c>
      <c r="R446" s="813">
        <v>1</v>
      </c>
      <c r="S446" s="813" t="s">
        <v>3928</v>
      </c>
      <c r="T446" s="813" t="s">
        <v>4196</v>
      </c>
    </row>
    <row r="447" spans="1:20" ht="15" customHeight="1" x14ac:dyDescent="0.35">
      <c r="A447" s="794" t="s">
        <v>5394</v>
      </c>
      <c r="B447" s="794" t="s">
        <v>3857</v>
      </c>
      <c r="C447" s="812" t="s">
        <v>3913</v>
      </c>
      <c r="D447" s="825"/>
      <c r="E447" s="825"/>
      <c r="F447" s="825">
        <v>0.36</v>
      </c>
      <c r="G447" s="814" t="s">
        <v>3858</v>
      </c>
      <c r="H447" s="813" t="s">
        <v>254</v>
      </c>
      <c r="I447" s="813" t="s">
        <v>4191</v>
      </c>
      <c r="J447" s="813" t="s">
        <v>5323</v>
      </c>
      <c r="K447" s="813" t="s">
        <v>5300</v>
      </c>
      <c r="L447" s="813" t="s">
        <v>3863</v>
      </c>
      <c r="M447" s="813" t="s">
        <v>3193</v>
      </c>
      <c r="N447" s="813" t="s">
        <v>5395</v>
      </c>
      <c r="O447" s="813" t="s">
        <v>3883</v>
      </c>
      <c r="P447" s="813" t="s">
        <v>5396</v>
      </c>
      <c r="Q447" s="813" t="s">
        <v>5397</v>
      </c>
      <c r="R447" s="813">
        <v>1</v>
      </c>
      <c r="S447" s="813" t="s">
        <v>3928</v>
      </c>
      <c r="T447" s="813" t="s">
        <v>4196</v>
      </c>
    </row>
    <row r="448" spans="1:20" ht="15" customHeight="1" x14ac:dyDescent="0.35">
      <c r="A448" s="794" t="s">
        <v>5394</v>
      </c>
      <c r="B448" s="794" t="s">
        <v>3857</v>
      </c>
      <c r="C448" s="812" t="s">
        <v>3913</v>
      </c>
      <c r="D448" s="825"/>
      <c r="E448" s="825"/>
      <c r="F448" s="825">
        <v>60</v>
      </c>
      <c r="G448" s="814" t="s">
        <v>3858</v>
      </c>
      <c r="H448" s="813" t="s">
        <v>254</v>
      </c>
      <c r="I448" s="813" t="s">
        <v>4191</v>
      </c>
      <c r="J448" s="813" t="s">
        <v>5323</v>
      </c>
      <c r="K448" s="813" t="s">
        <v>5300</v>
      </c>
      <c r="L448" s="813" t="s">
        <v>3863</v>
      </c>
      <c r="M448" s="813" t="s">
        <v>3193</v>
      </c>
      <c r="N448" s="813" t="s">
        <v>5398</v>
      </c>
      <c r="O448" s="813" t="s">
        <v>3883</v>
      </c>
      <c r="P448" s="813" t="s">
        <v>5399</v>
      </c>
      <c r="Q448" s="813" t="s">
        <v>5400</v>
      </c>
      <c r="R448" s="813">
        <v>1</v>
      </c>
      <c r="S448" s="813" t="s">
        <v>3928</v>
      </c>
      <c r="T448" s="813" t="s">
        <v>4196</v>
      </c>
    </row>
    <row r="449" spans="1:20" ht="15" customHeight="1" x14ac:dyDescent="0.35">
      <c r="A449" s="794" t="s">
        <v>5401</v>
      </c>
      <c r="B449" s="794" t="s">
        <v>3857</v>
      </c>
      <c r="C449" s="812" t="s">
        <v>3913</v>
      </c>
      <c r="D449" s="825"/>
      <c r="E449" s="825"/>
      <c r="F449" s="825">
        <v>51</v>
      </c>
      <c r="G449" s="814" t="s">
        <v>3858</v>
      </c>
      <c r="H449" s="813" t="s">
        <v>254</v>
      </c>
      <c r="I449" s="813" t="s">
        <v>4191</v>
      </c>
      <c r="J449" s="813" t="s">
        <v>5323</v>
      </c>
      <c r="K449" s="813" t="s">
        <v>5300</v>
      </c>
      <c r="L449" s="813" t="s">
        <v>3863</v>
      </c>
      <c r="M449" s="813" t="s">
        <v>3193</v>
      </c>
      <c r="N449" s="813" t="s">
        <v>5402</v>
      </c>
      <c r="O449" s="813" t="s">
        <v>3883</v>
      </c>
      <c r="P449" s="813" t="s">
        <v>5403</v>
      </c>
      <c r="Q449" s="813" t="s">
        <v>5404</v>
      </c>
      <c r="R449" s="813">
        <v>1</v>
      </c>
      <c r="S449" s="813" t="s">
        <v>3928</v>
      </c>
      <c r="T449" s="813" t="s">
        <v>4196</v>
      </c>
    </row>
    <row r="450" spans="1:20" ht="15" customHeight="1" x14ac:dyDescent="0.35">
      <c r="A450" s="794" t="s">
        <v>5401</v>
      </c>
      <c r="B450" s="794" t="s">
        <v>3857</v>
      </c>
      <c r="C450" s="812" t="s">
        <v>3913</v>
      </c>
      <c r="D450" s="825"/>
      <c r="E450" s="825"/>
      <c r="F450" s="825">
        <v>2</v>
      </c>
      <c r="G450" s="814" t="s">
        <v>3858</v>
      </c>
      <c r="H450" s="813" t="s">
        <v>254</v>
      </c>
      <c r="I450" s="813" t="s">
        <v>4191</v>
      </c>
      <c r="J450" s="813" t="s">
        <v>5323</v>
      </c>
      <c r="K450" s="813" t="s">
        <v>5300</v>
      </c>
      <c r="L450" s="813" t="s">
        <v>3863</v>
      </c>
      <c r="M450" s="813" t="s">
        <v>3193</v>
      </c>
      <c r="N450" s="813" t="s">
        <v>5405</v>
      </c>
      <c r="O450" s="813" t="s">
        <v>3883</v>
      </c>
      <c r="P450" s="813" t="s">
        <v>5406</v>
      </c>
      <c r="Q450" s="813" t="s">
        <v>5407</v>
      </c>
      <c r="R450" s="813">
        <v>1</v>
      </c>
      <c r="S450" s="813" t="s">
        <v>3928</v>
      </c>
      <c r="T450" s="813" t="s">
        <v>4196</v>
      </c>
    </row>
    <row r="451" spans="1:20" ht="15" customHeight="1" x14ac:dyDescent="0.35">
      <c r="A451" s="794" t="s">
        <v>5408</v>
      </c>
      <c r="B451" s="794" t="s">
        <v>3857</v>
      </c>
      <c r="C451" s="812" t="s">
        <v>3913</v>
      </c>
      <c r="D451" s="825"/>
      <c r="E451" s="825"/>
      <c r="F451" s="825">
        <v>1.1759999999999999</v>
      </c>
      <c r="G451" s="814" t="s">
        <v>3858</v>
      </c>
      <c r="H451" s="813" t="s">
        <v>254</v>
      </c>
      <c r="I451" s="813" t="s">
        <v>4191</v>
      </c>
      <c r="J451" s="813" t="s">
        <v>5323</v>
      </c>
      <c r="K451" s="813" t="s">
        <v>5300</v>
      </c>
      <c r="L451" s="813" t="s">
        <v>3863</v>
      </c>
      <c r="M451" s="813" t="s">
        <v>3193</v>
      </c>
      <c r="N451" s="813" t="s">
        <v>5409</v>
      </c>
      <c r="O451" s="813" t="s">
        <v>3883</v>
      </c>
      <c r="P451" s="813" t="s">
        <v>5410</v>
      </c>
      <c r="Q451" s="813" t="s">
        <v>5411</v>
      </c>
      <c r="R451" s="813">
        <v>1</v>
      </c>
      <c r="S451" s="813" t="s">
        <v>3928</v>
      </c>
      <c r="T451" s="813" t="s">
        <v>4196</v>
      </c>
    </row>
    <row r="452" spans="1:20" ht="15" customHeight="1" x14ac:dyDescent="0.35">
      <c r="A452" s="794" t="s">
        <v>5408</v>
      </c>
      <c r="B452" s="794" t="s">
        <v>3857</v>
      </c>
      <c r="C452" s="812" t="s">
        <v>3913</v>
      </c>
      <c r="D452" s="825"/>
      <c r="E452" s="825"/>
      <c r="F452" s="825">
        <v>10</v>
      </c>
      <c r="G452" s="814" t="s">
        <v>3858</v>
      </c>
      <c r="H452" s="813" t="s">
        <v>254</v>
      </c>
      <c r="I452" s="813" t="s">
        <v>4191</v>
      </c>
      <c r="J452" s="813" t="s">
        <v>5323</v>
      </c>
      <c r="K452" s="813" t="s">
        <v>5300</v>
      </c>
      <c r="L452" s="813" t="s">
        <v>3863</v>
      </c>
      <c r="M452" s="813" t="s">
        <v>3193</v>
      </c>
      <c r="N452" s="813" t="s">
        <v>5412</v>
      </c>
      <c r="O452" s="813" t="s">
        <v>3883</v>
      </c>
      <c r="P452" s="813" t="s">
        <v>5413</v>
      </c>
      <c r="Q452" s="813" t="s">
        <v>5414</v>
      </c>
      <c r="R452" s="813">
        <v>1</v>
      </c>
      <c r="S452" s="813" t="s">
        <v>3928</v>
      </c>
      <c r="T452" s="813" t="s">
        <v>4196</v>
      </c>
    </row>
    <row r="453" spans="1:20" ht="15" customHeight="1" x14ac:dyDescent="0.35">
      <c r="A453" s="794" t="s">
        <v>5415</v>
      </c>
      <c r="B453" s="794" t="s">
        <v>3857</v>
      </c>
      <c r="C453" s="812" t="s">
        <v>3913</v>
      </c>
      <c r="D453" s="825"/>
      <c r="E453" s="825"/>
      <c r="F453" s="825">
        <v>25</v>
      </c>
      <c r="G453" s="814" t="s">
        <v>3858</v>
      </c>
      <c r="H453" s="813" t="s">
        <v>254</v>
      </c>
      <c r="I453" s="813" t="s">
        <v>4191</v>
      </c>
      <c r="J453" s="813" t="s">
        <v>5323</v>
      </c>
      <c r="K453" s="813" t="s">
        <v>5300</v>
      </c>
      <c r="L453" s="813" t="s">
        <v>3863</v>
      </c>
      <c r="M453" s="813" t="s">
        <v>3193</v>
      </c>
      <c r="N453" s="813" t="s">
        <v>5416</v>
      </c>
      <c r="O453" s="813" t="s">
        <v>3883</v>
      </c>
      <c r="P453" s="813" t="s">
        <v>5417</v>
      </c>
      <c r="Q453" s="813" t="s">
        <v>5418</v>
      </c>
      <c r="R453" s="813">
        <v>1</v>
      </c>
      <c r="S453" s="813" t="s">
        <v>3928</v>
      </c>
      <c r="T453" s="813" t="s">
        <v>4196</v>
      </c>
    </row>
    <row r="454" spans="1:20" ht="15" customHeight="1" x14ac:dyDescent="0.35">
      <c r="A454" s="794" t="s">
        <v>5415</v>
      </c>
      <c r="B454" s="794" t="s">
        <v>3857</v>
      </c>
      <c r="C454" s="812" t="s">
        <v>3913</v>
      </c>
      <c r="D454" s="825"/>
      <c r="E454" s="825"/>
      <c r="F454" s="825">
        <v>1</v>
      </c>
      <c r="G454" s="814" t="s">
        <v>3858</v>
      </c>
      <c r="H454" s="813" t="s">
        <v>254</v>
      </c>
      <c r="I454" s="813" t="s">
        <v>4191</v>
      </c>
      <c r="J454" s="813" t="s">
        <v>5323</v>
      </c>
      <c r="K454" s="813" t="s">
        <v>5300</v>
      </c>
      <c r="L454" s="813" t="s">
        <v>3863</v>
      </c>
      <c r="M454" s="813" t="s">
        <v>3193</v>
      </c>
      <c r="N454" s="813" t="s">
        <v>5419</v>
      </c>
      <c r="O454" s="813" t="s">
        <v>3883</v>
      </c>
      <c r="P454" s="813" t="s">
        <v>5420</v>
      </c>
      <c r="Q454" s="813" t="s">
        <v>5421</v>
      </c>
      <c r="R454" s="813">
        <v>1</v>
      </c>
      <c r="S454" s="813" t="s">
        <v>3928</v>
      </c>
      <c r="T454" s="813" t="s">
        <v>4196</v>
      </c>
    </row>
    <row r="455" spans="1:20" ht="15" customHeight="1" x14ac:dyDescent="0.35">
      <c r="A455" s="794" t="s">
        <v>5422</v>
      </c>
      <c r="B455" s="794" t="s">
        <v>3857</v>
      </c>
      <c r="C455" s="812" t="s">
        <v>3913</v>
      </c>
      <c r="D455" s="825"/>
      <c r="E455" s="825"/>
      <c r="F455" s="825">
        <v>26.35</v>
      </c>
      <c r="G455" s="814" t="s">
        <v>3858</v>
      </c>
      <c r="H455" s="813" t="s">
        <v>254</v>
      </c>
      <c r="I455" s="813" t="s">
        <v>4191</v>
      </c>
      <c r="J455" s="813" t="s">
        <v>5323</v>
      </c>
      <c r="K455" s="813" t="s">
        <v>5300</v>
      </c>
      <c r="L455" s="813" t="s">
        <v>3863</v>
      </c>
      <c r="M455" s="813" t="s">
        <v>3193</v>
      </c>
      <c r="N455" s="813" t="s">
        <v>5423</v>
      </c>
      <c r="O455" s="813" t="s">
        <v>3883</v>
      </c>
      <c r="P455" s="813" t="s">
        <v>5424</v>
      </c>
      <c r="Q455" s="813" t="s">
        <v>5425</v>
      </c>
      <c r="R455" s="813">
        <v>1</v>
      </c>
      <c r="S455" s="813" t="s">
        <v>3928</v>
      </c>
      <c r="T455" s="813" t="s">
        <v>4196</v>
      </c>
    </row>
    <row r="456" spans="1:20" ht="15" customHeight="1" x14ac:dyDescent="0.35">
      <c r="A456" s="803" t="s">
        <v>5426</v>
      </c>
      <c r="B456" s="803"/>
      <c r="C456" s="803"/>
      <c r="D456" s="803"/>
      <c r="E456" s="803"/>
      <c r="F456" s="803"/>
      <c r="G456" s="803" t="s">
        <v>5427</v>
      </c>
      <c r="H456" s="794"/>
      <c r="I456" s="794"/>
      <c r="J456" s="794"/>
      <c r="K456" s="794"/>
      <c r="L456" s="794"/>
      <c r="M456" s="794"/>
      <c r="N456" s="794"/>
      <c r="O456" s="794"/>
      <c r="P456" s="794"/>
      <c r="Q456" s="794"/>
      <c r="R456" s="794"/>
      <c r="S456" s="794"/>
      <c r="T456" s="794"/>
    </row>
    <row r="457" spans="1:20" ht="15" customHeight="1" x14ac:dyDescent="0.35">
      <c r="A457" s="794" t="s">
        <v>5428</v>
      </c>
      <c r="B457" s="794" t="s">
        <v>3857</v>
      </c>
      <c r="C457" s="812" t="s">
        <v>4144</v>
      </c>
      <c r="D457" s="825"/>
      <c r="E457" s="825"/>
      <c r="F457" s="825">
        <v>12</v>
      </c>
      <c r="G457" s="814" t="s">
        <v>3858</v>
      </c>
      <c r="H457" s="813" t="s">
        <v>254</v>
      </c>
      <c r="I457" s="813" t="s">
        <v>4191</v>
      </c>
      <c r="J457" s="813" t="s">
        <v>5429</v>
      </c>
      <c r="K457" s="813" t="s">
        <v>5300</v>
      </c>
      <c r="L457" s="813" t="s">
        <v>3863</v>
      </c>
      <c r="M457" s="813" t="s">
        <v>3193</v>
      </c>
      <c r="N457" s="813" t="s">
        <v>5430</v>
      </c>
      <c r="O457" s="813" t="s">
        <v>4264</v>
      </c>
      <c r="P457" s="813" t="s">
        <v>5431</v>
      </c>
      <c r="Q457" s="813" t="s">
        <v>5432</v>
      </c>
      <c r="R457" s="813">
        <v>1</v>
      </c>
      <c r="S457" s="813" t="s">
        <v>3928</v>
      </c>
      <c r="T457" s="813" t="s">
        <v>4196</v>
      </c>
    </row>
    <row r="458" spans="1:20" ht="15" customHeight="1" x14ac:dyDescent="0.35">
      <c r="A458" s="794" t="s">
        <v>5433</v>
      </c>
      <c r="B458" s="794" t="s">
        <v>3857</v>
      </c>
      <c r="C458" s="812" t="s">
        <v>4144</v>
      </c>
      <c r="D458" s="825"/>
      <c r="E458" s="825"/>
      <c r="F458" s="825">
        <v>130</v>
      </c>
      <c r="G458" s="814" t="s">
        <v>3858</v>
      </c>
      <c r="H458" s="813" t="s">
        <v>254</v>
      </c>
      <c r="I458" s="813" t="s">
        <v>4191</v>
      </c>
      <c r="J458" s="813" t="s">
        <v>5429</v>
      </c>
      <c r="K458" s="813" t="s">
        <v>5300</v>
      </c>
      <c r="L458" s="813" t="s">
        <v>3863</v>
      </c>
      <c r="M458" s="813" t="s">
        <v>3193</v>
      </c>
      <c r="N458" s="813" t="s">
        <v>5434</v>
      </c>
      <c r="O458" s="813" t="s">
        <v>3925</v>
      </c>
      <c r="P458" s="813" t="s">
        <v>5435</v>
      </c>
      <c r="Q458" s="813" t="s">
        <v>5436</v>
      </c>
      <c r="R458" s="813">
        <v>1</v>
      </c>
      <c r="S458" s="813" t="s">
        <v>3928</v>
      </c>
      <c r="T458" s="813" t="s">
        <v>4196</v>
      </c>
    </row>
    <row r="459" spans="1:20" ht="15" customHeight="1" x14ac:dyDescent="0.35">
      <c r="A459" s="794" t="s">
        <v>5437</v>
      </c>
      <c r="B459" s="794" t="s">
        <v>3857</v>
      </c>
      <c r="C459" s="812" t="s">
        <v>4144</v>
      </c>
      <c r="D459" s="825"/>
      <c r="E459" s="825"/>
      <c r="F459" s="825">
        <v>18</v>
      </c>
      <c r="G459" s="814" t="s">
        <v>3858</v>
      </c>
      <c r="H459" s="813" t="s">
        <v>254</v>
      </c>
      <c r="I459" s="813" t="s">
        <v>4191</v>
      </c>
      <c r="J459" s="813" t="s">
        <v>5429</v>
      </c>
      <c r="K459" s="813" t="s">
        <v>5300</v>
      </c>
      <c r="L459" s="813" t="s">
        <v>3863</v>
      </c>
      <c r="M459" s="813" t="s">
        <v>3193</v>
      </c>
      <c r="N459" s="813" t="s">
        <v>5438</v>
      </c>
      <c r="O459" s="813" t="s">
        <v>3925</v>
      </c>
      <c r="P459" s="813" t="s">
        <v>5439</v>
      </c>
      <c r="Q459" s="813" t="s">
        <v>5440</v>
      </c>
      <c r="R459" s="813">
        <v>1</v>
      </c>
      <c r="S459" s="813" t="s">
        <v>3928</v>
      </c>
      <c r="T459" s="813" t="s">
        <v>4196</v>
      </c>
    </row>
    <row r="460" spans="1:20" ht="15" customHeight="1" x14ac:dyDescent="0.35">
      <c r="A460" s="794" t="s">
        <v>5441</v>
      </c>
      <c r="B460" s="794" t="s">
        <v>3857</v>
      </c>
      <c r="C460" s="812" t="s">
        <v>4144</v>
      </c>
      <c r="D460" s="825"/>
      <c r="E460" s="825"/>
      <c r="F460" s="825">
        <v>0</v>
      </c>
      <c r="G460" s="814" t="s">
        <v>3858</v>
      </c>
      <c r="H460" s="813" t="s">
        <v>254</v>
      </c>
      <c r="I460" s="813" t="s">
        <v>4191</v>
      </c>
      <c r="J460" s="813" t="s">
        <v>5429</v>
      </c>
      <c r="K460" s="813" t="s">
        <v>5300</v>
      </c>
      <c r="L460" s="813" t="s">
        <v>3863</v>
      </c>
      <c r="M460" s="813" t="s">
        <v>3193</v>
      </c>
      <c r="N460" s="813" t="s">
        <v>5442</v>
      </c>
      <c r="O460" s="813" t="s">
        <v>3925</v>
      </c>
      <c r="P460" s="813" t="s">
        <v>5443</v>
      </c>
      <c r="Q460" s="813" t="s">
        <v>5444</v>
      </c>
      <c r="R460" s="813">
        <v>1</v>
      </c>
      <c r="S460" s="813" t="s">
        <v>3928</v>
      </c>
      <c r="T460" s="813" t="s">
        <v>4196</v>
      </c>
    </row>
    <row r="461" spans="1:20" ht="15" customHeight="1" x14ac:dyDescent="0.35">
      <c r="A461" s="794" t="s">
        <v>5445</v>
      </c>
      <c r="B461" s="794" t="s">
        <v>3857</v>
      </c>
      <c r="C461" s="812" t="s">
        <v>3913</v>
      </c>
      <c r="D461" s="825"/>
      <c r="E461" s="825"/>
      <c r="F461" s="825">
        <v>1140</v>
      </c>
      <c r="G461" s="814" t="s">
        <v>3858</v>
      </c>
      <c r="H461" s="813" t="s">
        <v>254</v>
      </c>
      <c r="I461" s="813" t="s">
        <v>4191</v>
      </c>
      <c r="J461" s="813" t="s">
        <v>5429</v>
      </c>
      <c r="K461" s="813" t="s">
        <v>5300</v>
      </c>
      <c r="L461" s="813" t="s">
        <v>3863</v>
      </c>
      <c r="M461" s="813" t="s">
        <v>3193</v>
      </c>
      <c r="N461" s="813" t="s">
        <v>5446</v>
      </c>
      <c r="O461" s="813" t="s">
        <v>3883</v>
      </c>
      <c r="P461" s="813" t="s">
        <v>5447</v>
      </c>
      <c r="Q461" s="813" t="s">
        <v>5448</v>
      </c>
      <c r="R461" s="813">
        <v>1</v>
      </c>
      <c r="S461" s="813" t="s">
        <v>3928</v>
      </c>
      <c r="T461" s="813" t="s">
        <v>4196</v>
      </c>
    </row>
    <row r="462" spans="1:20" ht="15" customHeight="1" x14ac:dyDescent="0.35">
      <c r="A462" s="794" t="s">
        <v>5445</v>
      </c>
      <c r="B462" s="794" t="s">
        <v>3857</v>
      </c>
      <c r="C462" s="812" t="s">
        <v>3913</v>
      </c>
      <c r="D462" s="825"/>
      <c r="E462" s="825"/>
      <c r="F462" s="825">
        <v>1</v>
      </c>
      <c r="G462" s="814" t="s">
        <v>3858</v>
      </c>
      <c r="H462" s="813" t="s">
        <v>254</v>
      </c>
      <c r="I462" s="813" t="s">
        <v>4191</v>
      </c>
      <c r="J462" s="813" t="s">
        <v>5429</v>
      </c>
      <c r="K462" s="813" t="s">
        <v>5300</v>
      </c>
      <c r="L462" s="813" t="s">
        <v>3863</v>
      </c>
      <c r="M462" s="813" t="s">
        <v>3193</v>
      </c>
      <c r="N462" s="813" t="s">
        <v>5449</v>
      </c>
      <c r="O462" s="813" t="s">
        <v>3883</v>
      </c>
      <c r="P462" s="813" t="s">
        <v>5450</v>
      </c>
      <c r="Q462" s="813" t="s">
        <v>5451</v>
      </c>
      <c r="R462" s="813">
        <v>1</v>
      </c>
      <c r="S462" s="813" t="s">
        <v>3928</v>
      </c>
      <c r="T462" s="813" t="s">
        <v>4196</v>
      </c>
    </row>
    <row r="463" spans="1:20" ht="15" customHeight="1" x14ac:dyDescent="0.35">
      <c r="A463" s="794" t="s">
        <v>5452</v>
      </c>
      <c r="B463" s="794" t="s">
        <v>3857</v>
      </c>
      <c r="C463" s="812" t="s">
        <v>3913</v>
      </c>
      <c r="D463" s="825"/>
      <c r="E463" s="825"/>
      <c r="F463" s="825">
        <v>280</v>
      </c>
      <c r="G463" s="814" t="s">
        <v>3858</v>
      </c>
      <c r="H463" s="813" t="s">
        <v>254</v>
      </c>
      <c r="I463" s="813" t="s">
        <v>4191</v>
      </c>
      <c r="J463" s="813" t="s">
        <v>5429</v>
      </c>
      <c r="K463" s="813" t="s">
        <v>5300</v>
      </c>
      <c r="L463" s="813" t="s">
        <v>3863</v>
      </c>
      <c r="M463" s="813" t="s">
        <v>3193</v>
      </c>
      <c r="N463" s="813" t="s">
        <v>5453</v>
      </c>
      <c r="O463" s="813" t="s">
        <v>3883</v>
      </c>
      <c r="P463" s="813" t="s">
        <v>5454</v>
      </c>
      <c r="Q463" s="813" t="s">
        <v>5455</v>
      </c>
      <c r="R463" s="813">
        <v>1</v>
      </c>
      <c r="S463" s="813" t="s">
        <v>3928</v>
      </c>
      <c r="T463" s="813" t="s">
        <v>4196</v>
      </c>
    </row>
    <row r="464" spans="1:20" ht="15" customHeight="1" x14ac:dyDescent="0.35">
      <c r="A464" s="794" t="s">
        <v>5452</v>
      </c>
      <c r="B464" s="794" t="s">
        <v>3857</v>
      </c>
      <c r="C464" s="812" t="s">
        <v>3913</v>
      </c>
      <c r="D464" s="825"/>
      <c r="E464" s="825"/>
      <c r="F464" s="825">
        <v>1</v>
      </c>
      <c r="G464" s="814" t="s">
        <v>3858</v>
      </c>
      <c r="H464" s="813" t="s">
        <v>254</v>
      </c>
      <c r="I464" s="813" t="s">
        <v>4191</v>
      </c>
      <c r="J464" s="813" t="s">
        <v>5429</v>
      </c>
      <c r="K464" s="813" t="s">
        <v>5300</v>
      </c>
      <c r="L464" s="813" t="s">
        <v>3863</v>
      </c>
      <c r="M464" s="813" t="s">
        <v>3193</v>
      </c>
      <c r="N464" s="813" t="s">
        <v>5456</v>
      </c>
      <c r="O464" s="813" t="s">
        <v>3883</v>
      </c>
      <c r="P464" s="813" t="s">
        <v>5457</v>
      </c>
      <c r="Q464" s="813" t="s">
        <v>5458</v>
      </c>
      <c r="R464" s="813">
        <v>1</v>
      </c>
      <c r="S464" s="813" t="s">
        <v>3928</v>
      </c>
      <c r="T464" s="813" t="s">
        <v>4196</v>
      </c>
    </row>
    <row r="465" spans="1:20" ht="15" customHeight="1" x14ac:dyDescent="0.35">
      <c r="A465" s="794" t="s">
        <v>5459</v>
      </c>
      <c r="B465" s="794" t="s">
        <v>3857</v>
      </c>
      <c r="C465" s="812" t="s">
        <v>3913</v>
      </c>
      <c r="D465" s="825"/>
      <c r="E465" s="825"/>
      <c r="F465" s="825">
        <v>9</v>
      </c>
      <c r="G465" s="814" t="s">
        <v>3858</v>
      </c>
      <c r="H465" s="813" t="s">
        <v>254</v>
      </c>
      <c r="I465" s="813" t="s">
        <v>4191</v>
      </c>
      <c r="J465" s="813" t="s">
        <v>5429</v>
      </c>
      <c r="K465" s="813" t="s">
        <v>5300</v>
      </c>
      <c r="L465" s="813" t="s">
        <v>3863</v>
      </c>
      <c r="M465" s="813" t="s">
        <v>3193</v>
      </c>
      <c r="N465" s="813" t="s">
        <v>5460</v>
      </c>
      <c r="O465" s="813" t="s">
        <v>3883</v>
      </c>
      <c r="P465" s="813" t="s">
        <v>5461</v>
      </c>
      <c r="Q465" s="813" t="s">
        <v>5462</v>
      </c>
      <c r="R465" s="813">
        <v>1</v>
      </c>
      <c r="S465" s="813" t="s">
        <v>3928</v>
      </c>
      <c r="T465" s="813" t="s">
        <v>4196</v>
      </c>
    </row>
    <row r="466" spans="1:20" ht="15" customHeight="1" x14ac:dyDescent="0.35">
      <c r="A466" s="794" t="s">
        <v>5459</v>
      </c>
      <c r="B466" s="794" t="s">
        <v>3857</v>
      </c>
      <c r="C466" s="812" t="s">
        <v>3913</v>
      </c>
      <c r="D466" s="825"/>
      <c r="E466" s="825"/>
      <c r="F466" s="825">
        <v>6</v>
      </c>
      <c r="G466" s="814" t="s">
        <v>3858</v>
      </c>
      <c r="H466" s="813" t="s">
        <v>254</v>
      </c>
      <c r="I466" s="813" t="s">
        <v>4191</v>
      </c>
      <c r="J466" s="813" t="s">
        <v>5429</v>
      </c>
      <c r="K466" s="813" t="s">
        <v>5300</v>
      </c>
      <c r="L466" s="813" t="s">
        <v>3863</v>
      </c>
      <c r="M466" s="813" t="s">
        <v>3193</v>
      </c>
      <c r="N466" s="813" t="s">
        <v>5463</v>
      </c>
      <c r="O466" s="813" t="s">
        <v>3883</v>
      </c>
      <c r="P466" s="813" t="s">
        <v>5464</v>
      </c>
      <c r="Q466" s="813" t="s">
        <v>5465</v>
      </c>
      <c r="R466" s="813">
        <v>1</v>
      </c>
      <c r="S466" s="813" t="s">
        <v>3928</v>
      </c>
      <c r="T466" s="813" t="s">
        <v>4196</v>
      </c>
    </row>
    <row r="467" spans="1:20" ht="15" customHeight="1" x14ac:dyDescent="0.35">
      <c r="A467" s="794" t="s">
        <v>5466</v>
      </c>
      <c r="B467" s="794" t="s">
        <v>3857</v>
      </c>
      <c r="C467" s="812" t="s">
        <v>3913</v>
      </c>
      <c r="D467" s="825"/>
      <c r="E467" s="825"/>
      <c r="F467" s="825">
        <v>48</v>
      </c>
      <c r="G467" s="814" t="s">
        <v>3858</v>
      </c>
      <c r="H467" s="813" t="s">
        <v>254</v>
      </c>
      <c r="I467" s="813" t="s">
        <v>4191</v>
      </c>
      <c r="J467" s="813" t="s">
        <v>5429</v>
      </c>
      <c r="K467" s="813" t="s">
        <v>5300</v>
      </c>
      <c r="L467" s="813" t="s">
        <v>3863</v>
      </c>
      <c r="M467" s="813" t="s">
        <v>3193</v>
      </c>
      <c r="N467" s="813" t="s">
        <v>5467</v>
      </c>
      <c r="O467" s="813" t="s">
        <v>3883</v>
      </c>
      <c r="P467" s="813" t="s">
        <v>5468</v>
      </c>
      <c r="Q467" s="813" t="s">
        <v>5469</v>
      </c>
      <c r="R467" s="813">
        <v>1</v>
      </c>
      <c r="S467" s="813" t="s">
        <v>3928</v>
      </c>
      <c r="T467" s="813" t="s">
        <v>4196</v>
      </c>
    </row>
    <row r="468" spans="1:20" ht="15" customHeight="1" x14ac:dyDescent="0.35">
      <c r="A468" s="794" t="s">
        <v>5466</v>
      </c>
      <c r="B468" s="794" t="s">
        <v>3857</v>
      </c>
      <c r="C468" s="812" t="s">
        <v>3913</v>
      </c>
      <c r="D468" s="825"/>
      <c r="E468" s="825"/>
      <c r="F468" s="825">
        <v>2</v>
      </c>
      <c r="G468" s="814" t="s">
        <v>3858</v>
      </c>
      <c r="H468" s="813" t="s">
        <v>254</v>
      </c>
      <c r="I468" s="813" t="s">
        <v>4191</v>
      </c>
      <c r="J468" s="813" t="s">
        <v>5429</v>
      </c>
      <c r="K468" s="813" t="s">
        <v>5300</v>
      </c>
      <c r="L468" s="813" t="s">
        <v>3863</v>
      </c>
      <c r="M468" s="813" t="s">
        <v>3193</v>
      </c>
      <c r="N468" s="813" t="s">
        <v>5470</v>
      </c>
      <c r="O468" s="813" t="s">
        <v>3883</v>
      </c>
      <c r="P468" s="813" t="s">
        <v>5471</v>
      </c>
      <c r="Q468" s="813" t="s">
        <v>5472</v>
      </c>
      <c r="R468" s="813">
        <v>1</v>
      </c>
      <c r="S468" s="813" t="s">
        <v>3928</v>
      </c>
      <c r="T468" s="813" t="s">
        <v>4196</v>
      </c>
    </row>
    <row r="469" spans="1:20" ht="15" customHeight="1" x14ac:dyDescent="0.35">
      <c r="A469" s="794" t="s">
        <v>5473</v>
      </c>
      <c r="B469" s="794" t="s">
        <v>3857</v>
      </c>
      <c r="C469" s="812" t="s">
        <v>3913</v>
      </c>
      <c r="D469" s="825"/>
      <c r="E469" s="825"/>
      <c r="F469" s="825">
        <v>9</v>
      </c>
      <c r="G469" s="814" t="s">
        <v>3858</v>
      </c>
      <c r="H469" s="813" t="s">
        <v>254</v>
      </c>
      <c r="I469" s="813" t="s">
        <v>4191</v>
      </c>
      <c r="J469" s="813" t="s">
        <v>5429</v>
      </c>
      <c r="K469" s="813" t="s">
        <v>5300</v>
      </c>
      <c r="L469" s="813" t="s">
        <v>3863</v>
      </c>
      <c r="M469" s="813" t="s">
        <v>3193</v>
      </c>
      <c r="N469" s="813" t="s">
        <v>5474</v>
      </c>
      <c r="O469" s="813" t="s">
        <v>3883</v>
      </c>
      <c r="P469" s="813" t="s">
        <v>5475</v>
      </c>
      <c r="Q469" s="813" t="s">
        <v>5476</v>
      </c>
      <c r="R469" s="813">
        <v>1</v>
      </c>
      <c r="S469" s="813" t="s">
        <v>3928</v>
      </c>
      <c r="T469" s="813" t="s">
        <v>4196</v>
      </c>
    </row>
    <row r="470" spans="1:20" ht="15" customHeight="1" x14ac:dyDescent="0.35">
      <c r="A470" s="794" t="s">
        <v>5473</v>
      </c>
      <c r="B470" s="794" t="s">
        <v>3857</v>
      </c>
      <c r="C470" s="812" t="s">
        <v>3913</v>
      </c>
      <c r="D470" s="825"/>
      <c r="E470" s="825"/>
      <c r="F470" s="825">
        <v>2</v>
      </c>
      <c r="G470" s="814" t="s">
        <v>3858</v>
      </c>
      <c r="H470" s="813" t="s">
        <v>254</v>
      </c>
      <c r="I470" s="813" t="s">
        <v>4191</v>
      </c>
      <c r="J470" s="813" t="s">
        <v>5429</v>
      </c>
      <c r="K470" s="813" t="s">
        <v>5300</v>
      </c>
      <c r="L470" s="813" t="s">
        <v>3863</v>
      </c>
      <c r="M470" s="813" t="s">
        <v>3193</v>
      </c>
      <c r="N470" s="813" t="s">
        <v>5477</v>
      </c>
      <c r="O470" s="813" t="s">
        <v>3883</v>
      </c>
      <c r="P470" s="813" t="s">
        <v>5478</v>
      </c>
      <c r="Q470" s="813" t="s">
        <v>5479</v>
      </c>
      <c r="R470" s="813">
        <v>1</v>
      </c>
      <c r="S470" s="813" t="s">
        <v>3928</v>
      </c>
      <c r="T470" s="813" t="s">
        <v>4196</v>
      </c>
    </row>
    <row r="471" spans="1:20" ht="15" customHeight="1" x14ac:dyDescent="0.35">
      <c r="A471" s="794" t="s">
        <v>5480</v>
      </c>
      <c r="B471" s="794" t="s">
        <v>3857</v>
      </c>
      <c r="C471" s="812" t="s">
        <v>3913</v>
      </c>
      <c r="D471" s="825"/>
      <c r="E471" s="825"/>
      <c r="F471" s="825">
        <v>4</v>
      </c>
      <c r="G471" s="814" t="s">
        <v>3858</v>
      </c>
      <c r="H471" s="813" t="s">
        <v>254</v>
      </c>
      <c r="I471" s="813" t="s">
        <v>4191</v>
      </c>
      <c r="J471" s="813" t="s">
        <v>5429</v>
      </c>
      <c r="K471" s="813" t="s">
        <v>5300</v>
      </c>
      <c r="L471" s="813" t="s">
        <v>3863</v>
      </c>
      <c r="M471" s="813" t="s">
        <v>3193</v>
      </c>
      <c r="N471" s="813" t="s">
        <v>5481</v>
      </c>
      <c r="O471" s="813" t="s">
        <v>3883</v>
      </c>
      <c r="P471" s="813" t="s">
        <v>5482</v>
      </c>
      <c r="Q471" s="813" t="s">
        <v>5483</v>
      </c>
      <c r="R471" s="813">
        <v>1</v>
      </c>
      <c r="S471" s="813" t="s">
        <v>3928</v>
      </c>
      <c r="T471" s="813" t="s">
        <v>4196</v>
      </c>
    </row>
    <row r="472" spans="1:20" ht="15" customHeight="1" x14ac:dyDescent="0.35">
      <c r="A472" s="794" t="s">
        <v>5480</v>
      </c>
      <c r="B472" s="794" t="s">
        <v>3857</v>
      </c>
      <c r="C472" s="812" t="s">
        <v>3913</v>
      </c>
      <c r="D472" s="825"/>
      <c r="E472" s="825"/>
      <c r="F472" s="825">
        <v>2</v>
      </c>
      <c r="G472" s="814" t="s">
        <v>3858</v>
      </c>
      <c r="H472" s="813" t="s">
        <v>254</v>
      </c>
      <c r="I472" s="813" t="s">
        <v>4191</v>
      </c>
      <c r="J472" s="813" t="s">
        <v>5429</v>
      </c>
      <c r="K472" s="813" t="s">
        <v>5300</v>
      </c>
      <c r="L472" s="813" t="s">
        <v>3863</v>
      </c>
      <c r="M472" s="813" t="s">
        <v>3193</v>
      </c>
      <c r="N472" s="813" t="s">
        <v>5484</v>
      </c>
      <c r="O472" s="813" t="s">
        <v>3883</v>
      </c>
      <c r="P472" s="813" t="s">
        <v>5485</v>
      </c>
      <c r="Q472" s="813" t="s">
        <v>5486</v>
      </c>
      <c r="R472" s="813">
        <v>1</v>
      </c>
      <c r="S472" s="813" t="s">
        <v>3928</v>
      </c>
      <c r="T472" s="813" t="s">
        <v>4196</v>
      </c>
    </row>
    <row r="473" spans="1:20" ht="15" customHeight="1" x14ac:dyDescent="0.35">
      <c r="A473" s="794" t="s">
        <v>5387</v>
      </c>
      <c r="B473" s="794" t="s">
        <v>3857</v>
      </c>
      <c r="C473" s="812" t="s">
        <v>3913</v>
      </c>
      <c r="D473" s="825"/>
      <c r="E473" s="825"/>
      <c r="F473" s="825">
        <v>16</v>
      </c>
      <c r="G473" s="814" t="s">
        <v>3858</v>
      </c>
      <c r="H473" s="813" t="s">
        <v>254</v>
      </c>
      <c r="I473" s="813" t="s">
        <v>4191</v>
      </c>
      <c r="J473" s="813" t="s">
        <v>5429</v>
      </c>
      <c r="K473" s="813" t="s">
        <v>5300</v>
      </c>
      <c r="L473" s="813" t="s">
        <v>3863</v>
      </c>
      <c r="M473" s="813" t="s">
        <v>3193</v>
      </c>
      <c r="N473" s="813" t="s">
        <v>5487</v>
      </c>
      <c r="O473" s="813" t="s">
        <v>3883</v>
      </c>
      <c r="P473" s="813" t="s">
        <v>5488</v>
      </c>
      <c r="Q473" s="813" t="s">
        <v>5489</v>
      </c>
      <c r="R473" s="813">
        <v>1</v>
      </c>
      <c r="S473" s="813" t="s">
        <v>3928</v>
      </c>
      <c r="T473" s="813" t="s">
        <v>4196</v>
      </c>
    </row>
    <row r="474" spans="1:20" ht="15" customHeight="1" x14ac:dyDescent="0.35">
      <c r="A474" s="794" t="s">
        <v>5387</v>
      </c>
      <c r="B474" s="794" t="s">
        <v>3857</v>
      </c>
      <c r="C474" s="812" t="s">
        <v>3913</v>
      </c>
      <c r="D474" s="825"/>
      <c r="E474" s="825"/>
      <c r="F474" s="825">
        <v>2</v>
      </c>
      <c r="G474" s="814" t="s">
        <v>3858</v>
      </c>
      <c r="H474" s="813" t="s">
        <v>254</v>
      </c>
      <c r="I474" s="813" t="s">
        <v>4191</v>
      </c>
      <c r="J474" s="813" t="s">
        <v>5429</v>
      </c>
      <c r="K474" s="813" t="s">
        <v>5300</v>
      </c>
      <c r="L474" s="813" t="s">
        <v>3863</v>
      </c>
      <c r="M474" s="813" t="s">
        <v>3193</v>
      </c>
      <c r="N474" s="813" t="s">
        <v>5490</v>
      </c>
      <c r="O474" s="813" t="s">
        <v>3883</v>
      </c>
      <c r="P474" s="813" t="s">
        <v>5491</v>
      </c>
      <c r="Q474" s="813" t="s">
        <v>5492</v>
      </c>
      <c r="R474" s="813">
        <v>1</v>
      </c>
      <c r="S474" s="813" t="s">
        <v>3928</v>
      </c>
      <c r="T474" s="813" t="s">
        <v>4196</v>
      </c>
    </row>
    <row r="475" spans="1:20" ht="15" customHeight="1" x14ac:dyDescent="0.35">
      <c r="A475" s="794" t="s">
        <v>5394</v>
      </c>
      <c r="B475" s="794" t="s">
        <v>3857</v>
      </c>
      <c r="C475" s="812" t="s">
        <v>3913</v>
      </c>
      <c r="D475" s="825"/>
      <c r="E475" s="825"/>
      <c r="F475" s="825">
        <v>0.25</v>
      </c>
      <c r="G475" s="814" t="s">
        <v>3858</v>
      </c>
      <c r="H475" s="813" t="s">
        <v>254</v>
      </c>
      <c r="I475" s="813" t="s">
        <v>4191</v>
      </c>
      <c r="J475" s="813" t="s">
        <v>5429</v>
      </c>
      <c r="K475" s="813" t="s">
        <v>5300</v>
      </c>
      <c r="L475" s="813" t="s">
        <v>3863</v>
      </c>
      <c r="M475" s="813" t="s">
        <v>3193</v>
      </c>
      <c r="N475" s="813" t="s">
        <v>5493</v>
      </c>
      <c r="O475" s="813" t="s">
        <v>3883</v>
      </c>
      <c r="P475" s="813" t="s">
        <v>5494</v>
      </c>
      <c r="Q475" s="813" t="s">
        <v>5495</v>
      </c>
      <c r="R475" s="813">
        <v>1</v>
      </c>
      <c r="S475" s="813" t="s">
        <v>3928</v>
      </c>
      <c r="T475" s="813" t="s">
        <v>4196</v>
      </c>
    </row>
    <row r="476" spans="1:20" ht="15" customHeight="1" x14ac:dyDescent="0.35">
      <c r="A476" s="794" t="s">
        <v>5394</v>
      </c>
      <c r="B476" s="794" t="s">
        <v>3857</v>
      </c>
      <c r="C476" s="812" t="s">
        <v>3913</v>
      </c>
      <c r="D476" s="825"/>
      <c r="E476" s="825"/>
      <c r="F476" s="825">
        <v>60</v>
      </c>
      <c r="G476" s="814" t="s">
        <v>3858</v>
      </c>
      <c r="H476" s="813" t="s">
        <v>254</v>
      </c>
      <c r="I476" s="813" t="s">
        <v>4191</v>
      </c>
      <c r="J476" s="813" t="s">
        <v>5429</v>
      </c>
      <c r="K476" s="813" t="s">
        <v>5300</v>
      </c>
      <c r="L476" s="813" t="s">
        <v>3863</v>
      </c>
      <c r="M476" s="813" t="s">
        <v>3193</v>
      </c>
      <c r="N476" s="813" t="s">
        <v>5496</v>
      </c>
      <c r="O476" s="813" t="s">
        <v>3883</v>
      </c>
      <c r="P476" s="813" t="s">
        <v>5497</v>
      </c>
      <c r="Q476" s="813" t="s">
        <v>5498</v>
      </c>
      <c r="R476" s="813">
        <v>1</v>
      </c>
      <c r="S476" s="813" t="s">
        <v>3928</v>
      </c>
      <c r="T476" s="813" t="s">
        <v>4196</v>
      </c>
    </row>
    <row r="477" spans="1:20" ht="15" customHeight="1" x14ac:dyDescent="0.35">
      <c r="A477" s="794" t="s">
        <v>5401</v>
      </c>
      <c r="B477" s="794" t="s">
        <v>3857</v>
      </c>
      <c r="C477" s="812" t="s">
        <v>3913</v>
      </c>
      <c r="D477" s="825"/>
      <c r="E477" s="825"/>
      <c r="F477" s="825">
        <v>57</v>
      </c>
      <c r="G477" s="814" t="s">
        <v>3858</v>
      </c>
      <c r="H477" s="813" t="s">
        <v>254</v>
      </c>
      <c r="I477" s="813" t="s">
        <v>4191</v>
      </c>
      <c r="J477" s="813" t="s">
        <v>5429</v>
      </c>
      <c r="K477" s="813" t="s">
        <v>5300</v>
      </c>
      <c r="L477" s="813" t="s">
        <v>3863</v>
      </c>
      <c r="M477" s="813" t="s">
        <v>3193</v>
      </c>
      <c r="N477" s="813" t="s">
        <v>5499</v>
      </c>
      <c r="O477" s="813" t="s">
        <v>3883</v>
      </c>
      <c r="P477" s="813" t="s">
        <v>5500</v>
      </c>
      <c r="Q477" s="813" t="s">
        <v>5501</v>
      </c>
      <c r="R477" s="813">
        <v>1</v>
      </c>
      <c r="S477" s="813" t="s">
        <v>3928</v>
      </c>
      <c r="T477" s="813" t="s">
        <v>4196</v>
      </c>
    </row>
    <row r="478" spans="1:20" ht="15" customHeight="1" x14ac:dyDescent="0.35">
      <c r="A478" s="794" t="s">
        <v>5401</v>
      </c>
      <c r="B478" s="794" t="s">
        <v>3857</v>
      </c>
      <c r="C478" s="812" t="s">
        <v>3913</v>
      </c>
      <c r="D478" s="825"/>
      <c r="E478" s="825"/>
      <c r="F478" s="825">
        <v>2</v>
      </c>
      <c r="G478" s="814" t="s">
        <v>3858</v>
      </c>
      <c r="H478" s="813" t="s">
        <v>254</v>
      </c>
      <c r="I478" s="813" t="s">
        <v>4191</v>
      </c>
      <c r="J478" s="813" t="s">
        <v>5429</v>
      </c>
      <c r="K478" s="813" t="s">
        <v>5300</v>
      </c>
      <c r="L478" s="813" t="s">
        <v>3863</v>
      </c>
      <c r="M478" s="813" t="s">
        <v>3193</v>
      </c>
      <c r="N478" s="813" t="s">
        <v>5502</v>
      </c>
      <c r="O478" s="813" t="s">
        <v>3883</v>
      </c>
      <c r="P478" s="813" t="s">
        <v>5503</v>
      </c>
      <c r="Q478" s="813" t="s">
        <v>5504</v>
      </c>
      <c r="R478" s="813">
        <v>1</v>
      </c>
      <c r="S478" s="813" t="s">
        <v>3928</v>
      </c>
      <c r="T478" s="813" t="s">
        <v>4196</v>
      </c>
    </row>
    <row r="479" spans="1:20" ht="15" customHeight="1" x14ac:dyDescent="0.35">
      <c r="A479" s="794" t="s">
        <v>5408</v>
      </c>
      <c r="B479" s="794" t="s">
        <v>3857</v>
      </c>
      <c r="C479" s="812" t="s">
        <v>3913</v>
      </c>
      <c r="D479" s="825"/>
      <c r="E479" s="825"/>
      <c r="F479" s="825">
        <v>1.1255999999999999</v>
      </c>
      <c r="G479" s="814" t="s">
        <v>3858</v>
      </c>
      <c r="H479" s="813" t="s">
        <v>254</v>
      </c>
      <c r="I479" s="813" t="s">
        <v>4191</v>
      </c>
      <c r="J479" s="813" t="s">
        <v>5429</v>
      </c>
      <c r="K479" s="813" t="s">
        <v>5300</v>
      </c>
      <c r="L479" s="813" t="s">
        <v>3863</v>
      </c>
      <c r="M479" s="813" t="s">
        <v>3193</v>
      </c>
      <c r="N479" s="813" t="s">
        <v>5505</v>
      </c>
      <c r="O479" s="813" t="s">
        <v>3883</v>
      </c>
      <c r="P479" s="813" t="s">
        <v>5506</v>
      </c>
      <c r="Q479" s="813" t="s">
        <v>5507</v>
      </c>
      <c r="R479" s="813">
        <v>1</v>
      </c>
      <c r="S479" s="813" t="s">
        <v>3928</v>
      </c>
      <c r="T479" s="813" t="s">
        <v>4196</v>
      </c>
    </row>
    <row r="480" spans="1:20" ht="15" customHeight="1" x14ac:dyDescent="0.35">
      <c r="A480" s="794" t="s">
        <v>5408</v>
      </c>
      <c r="B480" s="794" t="s">
        <v>3857</v>
      </c>
      <c r="C480" s="812" t="s">
        <v>3913</v>
      </c>
      <c r="D480" s="825"/>
      <c r="E480" s="825"/>
      <c r="F480" s="825">
        <v>8</v>
      </c>
      <c r="G480" s="814" t="s">
        <v>3858</v>
      </c>
      <c r="H480" s="813" t="s">
        <v>254</v>
      </c>
      <c r="I480" s="813" t="s">
        <v>4191</v>
      </c>
      <c r="J480" s="813" t="s">
        <v>5429</v>
      </c>
      <c r="K480" s="813" t="s">
        <v>5300</v>
      </c>
      <c r="L480" s="813" t="s">
        <v>3863</v>
      </c>
      <c r="M480" s="813" t="s">
        <v>3193</v>
      </c>
      <c r="N480" s="813" t="s">
        <v>5508</v>
      </c>
      <c r="O480" s="813" t="s">
        <v>3883</v>
      </c>
      <c r="P480" s="813" t="s">
        <v>5509</v>
      </c>
      <c r="Q480" s="813" t="s">
        <v>5510</v>
      </c>
      <c r="R480" s="813">
        <v>1</v>
      </c>
      <c r="S480" s="813" t="s">
        <v>3928</v>
      </c>
      <c r="T480" s="813" t="s">
        <v>4196</v>
      </c>
    </row>
    <row r="481" spans="1:20" ht="15" customHeight="1" x14ac:dyDescent="0.35">
      <c r="A481" s="794" t="s">
        <v>5511</v>
      </c>
      <c r="B481" s="794" t="s">
        <v>3857</v>
      </c>
      <c r="C481" s="812" t="s">
        <v>3913</v>
      </c>
      <c r="D481" s="825"/>
      <c r="E481" s="825"/>
      <c r="F481" s="825">
        <v>0</v>
      </c>
      <c r="G481" s="814" t="s">
        <v>3858</v>
      </c>
      <c r="H481" s="813" t="s">
        <v>254</v>
      </c>
      <c r="I481" s="813" t="s">
        <v>4191</v>
      </c>
      <c r="J481" s="813" t="s">
        <v>5429</v>
      </c>
      <c r="K481" s="813" t="s">
        <v>5300</v>
      </c>
      <c r="L481" s="813" t="s">
        <v>3863</v>
      </c>
      <c r="M481" s="813" t="s">
        <v>3193</v>
      </c>
      <c r="N481" s="813" t="s">
        <v>5512</v>
      </c>
      <c r="O481" s="813" t="s">
        <v>3925</v>
      </c>
      <c r="P481" s="813" t="s">
        <v>5513</v>
      </c>
      <c r="Q481" s="813" t="s">
        <v>5514</v>
      </c>
      <c r="R481" s="813">
        <v>1</v>
      </c>
      <c r="S481" s="813" t="s">
        <v>3928</v>
      </c>
      <c r="T481" s="813" t="s">
        <v>4196</v>
      </c>
    </row>
    <row r="482" spans="1:20" ht="15" customHeight="1" x14ac:dyDescent="0.35">
      <c r="A482" s="803" t="s">
        <v>5515</v>
      </c>
      <c r="B482" s="803"/>
      <c r="C482" s="803"/>
      <c r="D482" s="803"/>
      <c r="E482" s="803"/>
      <c r="F482" s="803"/>
      <c r="G482" s="803" t="s">
        <v>5427</v>
      </c>
      <c r="H482" s="794"/>
      <c r="I482" s="794"/>
      <c r="J482" s="794"/>
      <c r="K482" s="794"/>
      <c r="L482" s="794"/>
      <c r="M482" s="794"/>
      <c r="N482" s="794"/>
      <c r="O482" s="794"/>
      <c r="P482" s="794"/>
      <c r="Q482" s="794"/>
      <c r="R482" s="794"/>
      <c r="S482" s="794"/>
      <c r="T482" s="794"/>
    </row>
    <row r="483" spans="1:20" ht="15" customHeight="1" x14ac:dyDescent="0.35">
      <c r="A483" s="794" t="s">
        <v>5428</v>
      </c>
      <c r="B483" s="794" t="s">
        <v>3857</v>
      </c>
      <c r="C483" s="812" t="s">
        <v>4144</v>
      </c>
      <c r="D483" s="825"/>
      <c r="E483" s="825"/>
      <c r="F483" s="825">
        <v>12</v>
      </c>
      <c r="G483" s="814" t="s">
        <v>3858</v>
      </c>
      <c r="H483" s="813" t="s">
        <v>254</v>
      </c>
      <c r="I483" s="813" t="s">
        <v>4191</v>
      </c>
      <c r="J483" s="813" t="s">
        <v>5516</v>
      </c>
      <c r="K483" s="813" t="s">
        <v>5300</v>
      </c>
      <c r="L483" s="813" t="s">
        <v>3863</v>
      </c>
      <c r="M483" s="813" t="s">
        <v>3193</v>
      </c>
      <c r="N483" s="813" t="s">
        <v>5517</v>
      </c>
      <c r="O483" s="813" t="s">
        <v>4264</v>
      </c>
      <c r="P483" s="813" t="s">
        <v>5518</v>
      </c>
      <c r="Q483" s="813" t="s">
        <v>5519</v>
      </c>
      <c r="R483" s="813">
        <v>1</v>
      </c>
      <c r="S483" s="813" t="s">
        <v>3928</v>
      </c>
      <c r="T483" s="813" t="s">
        <v>4196</v>
      </c>
    </row>
    <row r="484" spans="1:20" ht="15" customHeight="1" x14ac:dyDescent="0.35">
      <c r="A484" s="794" t="s">
        <v>5433</v>
      </c>
      <c r="B484" s="794" t="s">
        <v>3857</v>
      </c>
      <c r="C484" s="812" t="s">
        <v>4144</v>
      </c>
      <c r="D484" s="825"/>
      <c r="E484" s="825"/>
      <c r="F484" s="825">
        <v>130</v>
      </c>
      <c r="G484" s="814" t="s">
        <v>3858</v>
      </c>
      <c r="H484" s="813" t="s">
        <v>254</v>
      </c>
      <c r="I484" s="813" t="s">
        <v>4191</v>
      </c>
      <c r="J484" s="813" t="s">
        <v>5516</v>
      </c>
      <c r="K484" s="813" t="s">
        <v>5300</v>
      </c>
      <c r="L484" s="813" t="s">
        <v>3863</v>
      </c>
      <c r="M484" s="813" t="s">
        <v>3193</v>
      </c>
      <c r="N484" s="813" t="s">
        <v>5520</v>
      </c>
      <c r="O484" s="813" t="s">
        <v>3925</v>
      </c>
      <c r="P484" s="813" t="s">
        <v>5521</v>
      </c>
      <c r="Q484" s="813" t="s">
        <v>5522</v>
      </c>
      <c r="R484" s="813">
        <v>1</v>
      </c>
      <c r="S484" s="813" t="s">
        <v>3928</v>
      </c>
      <c r="T484" s="813" t="s">
        <v>4196</v>
      </c>
    </row>
    <row r="485" spans="1:20" ht="15" customHeight="1" x14ac:dyDescent="0.35">
      <c r="A485" s="794" t="s">
        <v>5437</v>
      </c>
      <c r="B485" s="794" t="s">
        <v>3857</v>
      </c>
      <c r="C485" s="812" t="s">
        <v>4144</v>
      </c>
      <c r="D485" s="825"/>
      <c r="E485" s="825"/>
      <c r="F485" s="825">
        <v>18</v>
      </c>
      <c r="G485" s="814" t="s">
        <v>3858</v>
      </c>
      <c r="H485" s="813" t="s">
        <v>254</v>
      </c>
      <c r="I485" s="813" t="s">
        <v>4191</v>
      </c>
      <c r="J485" s="813" t="s">
        <v>5516</v>
      </c>
      <c r="K485" s="813" t="s">
        <v>5300</v>
      </c>
      <c r="L485" s="813" t="s">
        <v>3863</v>
      </c>
      <c r="M485" s="813" t="s">
        <v>3193</v>
      </c>
      <c r="N485" s="813" t="s">
        <v>5523</v>
      </c>
      <c r="O485" s="813" t="s">
        <v>3925</v>
      </c>
      <c r="P485" s="813" t="s">
        <v>5524</v>
      </c>
      <c r="Q485" s="813" t="s">
        <v>5525</v>
      </c>
      <c r="R485" s="813">
        <v>1</v>
      </c>
      <c r="S485" s="813" t="s">
        <v>3928</v>
      </c>
      <c r="T485" s="813" t="s">
        <v>4196</v>
      </c>
    </row>
    <row r="486" spans="1:20" ht="15" customHeight="1" x14ac:dyDescent="0.35">
      <c r="A486" s="794" t="s">
        <v>5441</v>
      </c>
      <c r="B486" s="794" t="s">
        <v>3857</v>
      </c>
      <c r="C486" s="812" t="s">
        <v>4144</v>
      </c>
      <c r="D486" s="825"/>
      <c r="E486" s="825"/>
      <c r="F486" s="825">
        <v>0</v>
      </c>
      <c r="G486" s="814" t="s">
        <v>3858</v>
      </c>
      <c r="H486" s="813" t="s">
        <v>254</v>
      </c>
      <c r="I486" s="813" t="s">
        <v>4191</v>
      </c>
      <c r="J486" s="813" t="s">
        <v>5516</v>
      </c>
      <c r="K486" s="813" t="s">
        <v>5300</v>
      </c>
      <c r="L486" s="813" t="s">
        <v>3863</v>
      </c>
      <c r="M486" s="813" t="s">
        <v>3193</v>
      </c>
      <c r="N486" s="813" t="s">
        <v>5526</v>
      </c>
      <c r="O486" s="813" t="s">
        <v>3925</v>
      </c>
      <c r="P486" s="813" t="s">
        <v>5527</v>
      </c>
      <c r="Q486" s="813" t="s">
        <v>5528</v>
      </c>
      <c r="R486" s="813">
        <v>1</v>
      </c>
      <c r="S486" s="813" t="s">
        <v>3928</v>
      </c>
      <c r="T486" s="813" t="s">
        <v>4196</v>
      </c>
    </row>
    <row r="487" spans="1:20" ht="15" customHeight="1" x14ac:dyDescent="0.35">
      <c r="A487" s="794" t="s">
        <v>5445</v>
      </c>
      <c r="B487" s="794" t="s">
        <v>3857</v>
      </c>
      <c r="C487" s="812" t="s">
        <v>3913</v>
      </c>
      <c r="D487" s="825"/>
      <c r="E487" s="825"/>
      <c r="F487" s="825">
        <v>1140</v>
      </c>
      <c r="G487" s="814" t="s">
        <v>3858</v>
      </c>
      <c r="H487" s="813" t="s">
        <v>254</v>
      </c>
      <c r="I487" s="813" t="s">
        <v>4191</v>
      </c>
      <c r="J487" s="813" t="s">
        <v>5516</v>
      </c>
      <c r="K487" s="813" t="s">
        <v>5300</v>
      </c>
      <c r="L487" s="813" t="s">
        <v>3863</v>
      </c>
      <c r="M487" s="813" t="s">
        <v>3193</v>
      </c>
      <c r="N487" s="813" t="s">
        <v>5529</v>
      </c>
      <c r="O487" s="813" t="s">
        <v>3883</v>
      </c>
      <c r="P487" s="813" t="s">
        <v>5530</v>
      </c>
      <c r="Q487" s="813" t="s">
        <v>5531</v>
      </c>
      <c r="R487" s="813">
        <v>1</v>
      </c>
      <c r="S487" s="813" t="s">
        <v>3928</v>
      </c>
      <c r="T487" s="813" t="s">
        <v>4196</v>
      </c>
    </row>
    <row r="488" spans="1:20" ht="15" customHeight="1" x14ac:dyDescent="0.35">
      <c r="A488" s="794" t="s">
        <v>5445</v>
      </c>
      <c r="B488" s="794" t="s">
        <v>3857</v>
      </c>
      <c r="C488" s="812" t="s">
        <v>3913</v>
      </c>
      <c r="D488" s="825"/>
      <c r="E488" s="825"/>
      <c r="F488" s="825">
        <v>1</v>
      </c>
      <c r="G488" s="814" t="s">
        <v>3858</v>
      </c>
      <c r="H488" s="813" t="s">
        <v>254</v>
      </c>
      <c r="I488" s="813" t="s">
        <v>4191</v>
      </c>
      <c r="J488" s="813" t="s">
        <v>5516</v>
      </c>
      <c r="K488" s="813" t="s">
        <v>5300</v>
      </c>
      <c r="L488" s="813" t="s">
        <v>3863</v>
      </c>
      <c r="M488" s="813" t="s">
        <v>3193</v>
      </c>
      <c r="N488" s="813" t="s">
        <v>5532</v>
      </c>
      <c r="O488" s="813" t="s">
        <v>3883</v>
      </c>
      <c r="P488" s="813" t="s">
        <v>5533</v>
      </c>
      <c r="Q488" s="813" t="s">
        <v>5534</v>
      </c>
      <c r="R488" s="813">
        <v>1</v>
      </c>
      <c r="S488" s="813" t="s">
        <v>3928</v>
      </c>
      <c r="T488" s="813" t="s">
        <v>4196</v>
      </c>
    </row>
    <row r="489" spans="1:20" ht="15" customHeight="1" x14ac:dyDescent="0.35">
      <c r="A489" s="794" t="s">
        <v>5452</v>
      </c>
      <c r="B489" s="794" t="s">
        <v>3857</v>
      </c>
      <c r="C489" s="812" t="s">
        <v>3913</v>
      </c>
      <c r="D489" s="825"/>
      <c r="E489" s="825"/>
      <c r="F489" s="825">
        <v>280</v>
      </c>
      <c r="G489" s="814" t="s">
        <v>3858</v>
      </c>
      <c r="H489" s="813" t="s">
        <v>254</v>
      </c>
      <c r="I489" s="813" t="s">
        <v>4191</v>
      </c>
      <c r="J489" s="813" t="s">
        <v>5516</v>
      </c>
      <c r="K489" s="813" t="s">
        <v>5300</v>
      </c>
      <c r="L489" s="813" t="s">
        <v>3863</v>
      </c>
      <c r="M489" s="813" t="s">
        <v>3193</v>
      </c>
      <c r="N489" s="813" t="s">
        <v>5535</v>
      </c>
      <c r="O489" s="813" t="s">
        <v>3883</v>
      </c>
      <c r="P489" s="813" t="s">
        <v>5536</v>
      </c>
      <c r="Q489" s="813" t="s">
        <v>5537</v>
      </c>
      <c r="R489" s="813">
        <v>1</v>
      </c>
      <c r="S489" s="813" t="s">
        <v>3928</v>
      </c>
      <c r="T489" s="813" t="s">
        <v>4196</v>
      </c>
    </row>
    <row r="490" spans="1:20" ht="15" customHeight="1" x14ac:dyDescent="0.35">
      <c r="A490" s="794" t="s">
        <v>5452</v>
      </c>
      <c r="B490" s="794" t="s">
        <v>3857</v>
      </c>
      <c r="C490" s="812" t="s">
        <v>3913</v>
      </c>
      <c r="D490" s="825"/>
      <c r="E490" s="825"/>
      <c r="F490" s="825">
        <v>1</v>
      </c>
      <c r="G490" s="814" t="s">
        <v>3858</v>
      </c>
      <c r="H490" s="813" t="s">
        <v>254</v>
      </c>
      <c r="I490" s="813" t="s">
        <v>4191</v>
      </c>
      <c r="J490" s="813" t="s">
        <v>5516</v>
      </c>
      <c r="K490" s="813" t="s">
        <v>5300</v>
      </c>
      <c r="L490" s="813" t="s">
        <v>3863</v>
      </c>
      <c r="M490" s="813" t="s">
        <v>3193</v>
      </c>
      <c r="N490" s="813" t="s">
        <v>5538</v>
      </c>
      <c r="O490" s="813" t="s">
        <v>3883</v>
      </c>
      <c r="P490" s="813" t="s">
        <v>5539</v>
      </c>
      <c r="Q490" s="813" t="s">
        <v>5540</v>
      </c>
      <c r="R490" s="813">
        <v>1</v>
      </c>
      <c r="S490" s="813" t="s">
        <v>3928</v>
      </c>
      <c r="T490" s="813" t="s">
        <v>4196</v>
      </c>
    </row>
    <row r="491" spans="1:20" ht="15" customHeight="1" x14ac:dyDescent="0.35">
      <c r="A491" s="794" t="s">
        <v>5459</v>
      </c>
      <c r="B491" s="794" t="s">
        <v>3857</v>
      </c>
      <c r="C491" s="812" t="s">
        <v>3913</v>
      </c>
      <c r="D491" s="825"/>
      <c r="E491" s="825"/>
      <c r="F491" s="825">
        <v>9</v>
      </c>
      <c r="G491" s="814" t="s">
        <v>3858</v>
      </c>
      <c r="H491" s="813" t="s">
        <v>254</v>
      </c>
      <c r="I491" s="813" t="s">
        <v>4191</v>
      </c>
      <c r="J491" s="813" t="s">
        <v>5516</v>
      </c>
      <c r="K491" s="813" t="s">
        <v>5300</v>
      </c>
      <c r="L491" s="813" t="s">
        <v>3863</v>
      </c>
      <c r="M491" s="813" t="s">
        <v>3193</v>
      </c>
      <c r="N491" s="813" t="s">
        <v>5541</v>
      </c>
      <c r="O491" s="813" t="s">
        <v>3883</v>
      </c>
      <c r="P491" s="813" t="s">
        <v>5542</v>
      </c>
      <c r="Q491" s="813" t="s">
        <v>5543</v>
      </c>
      <c r="R491" s="813">
        <v>1</v>
      </c>
      <c r="S491" s="813" t="s">
        <v>3928</v>
      </c>
      <c r="T491" s="813" t="s">
        <v>4196</v>
      </c>
    </row>
    <row r="492" spans="1:20" ht="15" customHeight="1" x14ac:dyDescent="0.35">
      <c r="A492" s="794" t="s">
        <v>5459</v>
      </c>
      <c r="B492" s="794" t="s">
        <v>3857</v>
      </c>
      <c r="C492" s="812" t="s">
        <v>3913</v>
      </c>
      <c r="D492" s="825"/>
      <c r="E492" s="825"/>
      <c r="F492" s="825">
        <v>6</v>
      </c>
      <c r="G492" s="814" t="s">
        <v>3858</v>
      </c>
      <c r="H492" s="813" t="s">
        <v>254</v>
      </c>
      <c r="I492" s="813" t="s">
        <v>4191</v>
      </c>
      <c r="J492" s="813" t="s">
        <v>5516</v>
      </c>
      <c r="K492" s="813" t="s">
        <v>5300</v>
      </c>
      <c r="L492" s="813" t="s">
        <v>3863</v>
      </c>
      <c r="M492" s="813" t="s">
        <v>3193</v>
      </c>
      <c r="N492" s="813" t="s">
        <v>5544</v>
      </c>
      <c r="O492" s="813" t="s">
        <v>3883</v>
      </c>
      <c r="P492" s="813" t="s">
        <v>5545</v>
      </c>
      <c r="Q492" s="813" t="s">
        <v>5546</v>
      </c>
      <c r="R492" s="813">
        <v>1</v>
      </c>
      <c r="S492" s="813" t="s">
        <v>3928</v>
      </c>
      <c r="T492" s="813" t="s">
        <v>4196</v>
      </c>
    </row>
    <row r="493" spans="1:20" ht="15" customHeight="1" x14ac:dyDescent="0.35">
      <c r="A493" s="794" t="s">
        <v>5466</v>
      </c>
      <c r="B493" s="794" t="s">
        <v>3857</v>
      </c>
      <c r="C493" s="812" t="s">
        <v>3913</v>
      </c>
      <c r="D493" s="825"/>
      <c r="E493" s="825"/>
      <c r="F493" s="825">
        <v>48</v>
      </c>
      <c r="G493" s="814" t="s">
        <v>3858</v>
      </c>
      <c r="H493" s="813" t="s">
        <v>254</v>
      </c>
      <c r="I493" s="813" t="s">
        <v>4191</v>
      </c>
      <c r="J493" s="813" t="s">
        <v>5516</v>
      </c>
      <c r="K493" s="813" t="s">
        <v>5300</v>
      </c>
      <c r="L493" s="813" t="s">
        <v>3863</v>
      </c>
      <c r="M493" s="813" t="s">
        <v>3193</v>
      </c>
      <c r="N493" s="813" t="s">
        <v>5547</v>
      </c>
      <c r="O493" s="813" t="s">
        <v>3883</v>
      </c>
      <c r="P493" s="813" t="s">
        <v>5548</v>
      </c>
      <c r="Q493" s="813" t="s">
        <v>5549</v>
      </c>
      <c r="R493" s="813">
        <v>1</v>
      </c>
      <c r="S493" s="813" t="s">
        <v>3928</v>
      </c>
      <c r="T493" s="813" t="s">
        <v>4196</v>
      </c>
    </row>
    <row r="494" spans="1:20" ht="15" customHeight="1" x14ac:dyDescent="0.35">
      <c r="A494" s="794" t="s">
        <v>5466</v>
      </c>
      <c r="B494" s="794" t="s">
        <v>3857</v>
      </c>
      <c r="C494" s="812" t="s">
        <v>3913</v>
      </c>
      <c r="D494" s="825"/>
      <c r="E494" s="825"/>
      <c r="F494" s="825">
        <v>2</v>
      </c>
      <c r="G494" s="814" t="s">
        <v>3858</v>
      </c>
      <c r="H494" s="813" t="s">
        <v>254</v>
      </c>
      <c r="I494" s="813" t="s">
        <v>4191</v>
      </c>
      <c r="J494" s="813" t="s">
        <v>5516</v>
      </c>
      <c r="K494" s="813" t="s">
        <v>5300</v>
      </c>
      <c r="L494" s="813" t="s">
        <v>3863</v>
      </c>
      <c r="M494" s="813" t="s">
        <v>3193</v>
      </c>
      <c r="N494" s="813" t="s">
        <v>5550</v>
      </c>
      <c r="O494" s="813" t="s">
        <v>3883</v>
      </c>
      <c r="P494" s="813" t="s">
        <v>5551</v>
      </c>
      <c r="Q494" s="813" t="s">
        <v>5552</v>
      </c>
      <c r="R494" s="813">
        <v>1</v>
      </c>
      <c r="S494" s="813" t="s">
        <v>3928</v>
      </c>
      <c r="T494" s="813" t="s">
        <v>4196</v>
      </c>
    </row>
    <row r="495" spans="1:20" ht="15" customHeight="1" x14ac:dyDescent="0.35">
      <c r="A495" s="794" t="s">
        <v>5473</v>
      </c>
      <c r="B495" s="794" t="s">
        <v>3857</v>
      </c>
      <c r="C495" s="812" t="s">
        <v>3913</v>
      </c>
      <c r="D495" s="825"/>
      <c r="E495" s="825"/>
      <c r="F495" s="825">
        <v>9</v>
      </c>
      <c r="G495" s="814" t="s">
        <v>3858</v>
      </c>
      <c r="H495" s="813" t="s">
        <v>254</v>
      </c>
      <c r="I495" s="813" t="s">
        <v>4191</v>
      </c>
      <c r="J495" s="813" t="s">
        <v>5516</v>
      </c>
      <c r="K495" s="813" t="s">
        <v>5300</v>
      </c>
      <c r="L495" s="813" t="s">
        <v>3863</v>
      </c>
      <c r="M495" s="813" t="s">
        <v>3193</v>
      </c>
      <c r="N495" s="813" t="s">
        <v>5553</v>
      </c>
      <c r="O495" s="813" t="s">
        <v>3883</v>
      </c>
      <c r="P495" s="813" t="s">
        <v>5554</v>
      </c>
      <c r="Q495" s="813" t="s">
        <v>5555</v>
      </c>
      <c r="R495" s="813">
        <v>1</v>
      </c>
      <c r="S495" s="813" t="s">
        <v>3928</v>
      </c>
      <c r="T495" s="813" t="s">
        <v>4196</v>
      </c>
    </row>
    <row r="496" spans="1:20" ht="15" customHeight="1" x14ac:dyDescent="0.35">
      <c r="A496" s="794" t="s">
        <v>5473</v>
      </c>
      <c r="B496" s="794" t="s">
        <v>3857</v>
      </c>
      <c r="C496" s="812" t="s">
        <v>3913</v>
      </c>
      <c r="D496" s="825"/>
      <c r="E496" s="825"/>
      <c r="F496" s="825">
        <v>2</v>
      </c>
      <c r="G496" s="814" t="s">
        <v>3858</v>
      </c>
      <c r="H496" s="813" t="s">
        <v>254</v>
      </c>
      <c r="I496" s="813" t="s">
        <v>4191</v>
      </c>
      <c r="J496" s="813" t="s">
        <v>5516</v>
      </c>
      <c r="K496" s="813" t="s">
        <v>5300</v>
      </c>
      <c r="L496" s="813" t="s">
        <v>3863</v>
      </c>
      <c r="M496" s="813" t="s">
        <v>3193</v>
      </c>
      <c r="N496" s="813" t="s">
        <v>5556</v>
      </c>
      <c r="O496" s="813" t="s">
        <v>3883</v>
      </c>
      <c r="P496" s="813" t="s">
        <v>5557</v>
      </c>
      <c r="Q496" s="813" t="s">
        <v>5558</v>
      </c>
      <c r="R496" s="813">
        <v>1</v>
      </c>
      <c r="S496" s="813" t="s">
        <v>3928</v>
      </c>
      <c r="T496" s="813" t="s">
        <v>4196</v>
      </c>
    </row>
    <row r="497" spans="1:20" ht="15" customHeight="1" x14ac:dyDescent="0.35">
      <c r="A497" s="794" t="s">
        <v>5480</v>
      </c>
      <c r="B497" s="794" t="s">
        <v>3857</v>
      </c>
      <c r="C497" s="812" t="s">
        <v>3913</v>
      </c>
      <c r="D497" s="825"/>
      <c r="E497" s="825"/>
      <c r="F497" s="825">
        <v>4</v>
      </c>
      <c r="G497" s="814" t="s">
        <v>3858</v>
      </c>
      <c r="H497" s="813" t="s">
        <v>254</v>
      </c>
      <c r="I497" s="813" t="s">
        <v>4191</v>
      </c>
      <c r="J497" s="813" t="s">
        <v>5516</v>
      </c>
      <c r="K497" s="813" t="s">
        <v>5300</v>
      </c>
      <c r="L497" s="813" t="s">
        <v>3863</v>
      </c>
      <c r="M497" s="813" t="s">
        <v>3193</v>
      </c>
      <c r="N497" s="813" t="s">
        <v>5559</v>
      </c>
      <c r="O497" s="813" t="s">
        <v>3883</v>
      </c>
      <c r="P497" s="813" t="s">
        <v>5560</v>
      </c>
      <c r="Q497" s="813" t="s">
        <v>5561</v>
      </c>
      <c r="R497" s="813">
        <v>1</v>
      </c>
      <c r="S497" s="813" t="s">
        <v>3928</v>
      </c>
      <c r="T497" s="813" t="s">
        <v>4196</v>
      </c>
    </row>
    <row r="498" spans="1:20" ht="15" customHeight="1" x14ac:dyDescent="0.35">
      <c r="A498" s="794" t="s">
        <v>5480</v>
      </c>
      <c r="B498" s="794" t="s">
        <v>3857</v>
      </c>
      <c r="C498" s="812" t="s">
        <v>3913</v>
      </c>
      <c r="D498" s="825"/>
      <c r="E498" s="825"/>
      <c r="F498" s="825">
        <v>2</v>
      </c>
      <c r="G498" s="814" t="s">
        <v>3858</v>
      </c>
      <c r="H498" s="813" t="s">
        <v>254</v>
      </c>
      <c r="I498" s="813" t="s">
        <v>4191</v>
      </c>
      <c r="J498" s="813" t="s">
        <v>5516</v>
      </c>
      <c r="K498" s="813" t="s">
        <v>5300</v>
      </c>
      <c r="L498" s="813" t="s">
        <v>3863</v>
      </c>
      <c r="M498" s="813" t="s">
        <v>3193</v>
      </c>
      <c r="N498" s="813" t="s">
        <v>5562</v>
      </c>
      <c r="O498" s="813" t="s">
        <v>3883</v>
      </c>
      <c r="P498" s="813" t="s">
        <v>5563</v>
      </c>
      <c r="Q498" s="813" t="s">
        <v>5564</v>
      </c>
      <c r="R498" s="813">
        <v>1</v>
      </c>
      <c r="S498" s="813" t="s">
        <v>3928</v>
      </c>
      <c r="T498" s="813" t="s">
        <v>4196</v>
      </c>
    </row>
    <row r="499" spans="1:20" ht="15" customHeight="1" x14ac:dyDescent="0.35">
      <c r="A499" s="794" t="s">
        <v>5387</v>
      </c>
      <c r="B499" s="794" t="s">
        <v>3857</v>
      </c>
      <c r="C499" s="812" t="s">
        <v>3913</v>
      </c>
      <c r="D499" s="825"/>
      <c r="E499" s="825"/>
      <c r="F499" s="825">
        <v>16</v>
      </c>
      <c r="G499" s="814" t="s">
        <v>3858</v>
      </c>
      <c r="H499" s="813" t="s">
        <v>254</v>
      </c>
      <c r="I499" s="813" t="s">
        <v>4191</v>
      </c>
      <c r="J499" s="813" t="s">
        <v>5516</v>
      </c>
      <c r="K499" s="813" t="s">
        <v>5300</v>
      </c>
      <c r="L499" s="813" t="s">
        <v>3863</v>
      </c>
      <c r="M499" s="813" t="s">
        <v>3193</v>
      </c>
      <c r="N499" s="813" t="s">
        <v>5565</v>
      </c>
      <c r="O499" s="813" t="s">
        <v>3883</v>
      </c>
      <c r="P499" s="813" t="s">
        <v>5566</v>
      </c>
      <c r="Q499" s="813" t="s">
        <v>5567</v>
      </c>
      <c r="R499" s="813">
        <v>1</v>
      </c>
      <c r="S499" s="813" t="s">
        <v>3928</v>
      </c>
      <c r="T499" s="813" t="s">
        <v>4196</v>
      </c>
    </row>
    <row r="500" spans="1:20" ht="15" customHeight="1" x14ac:dyDescent="0.35">
      <c r="A500" s="794" t="s">
        <v>5387</v>
      </c>
      <c r="B500" s="794" t="s">
        <v>3857</v>
      </c>
      <c r="C500" s="812" t="s">
        <v>3913</v>
      </c>
      <c r="D500" s="825"/>
      <c r="E500" s="825"/>
      <c r="F500" s="825">
        <v>2</v>
      </c>
      <c r="G500" s="814" t="s">
        <v>3858</v>
      </c>
      <c r="H500" s="813" t="s">
        <v>254</v>
      </c>
      <c r="I500" s="813" t="s">
        <v>4191</v>
      </c>
      <c r="J500" s="813" t="s">
        <v>5516</v>
      </c>
      <c r="K500" s="813" t="s">
        <v>5300</v>
      </c>
      <c r="L500" s="813" t="s">
        <v>3863</v>
      </c>
      <c r="M500" s="813" t="s">
        <v>3193</v>
      </c>
      <c r="N500" s="813" t="s">
        <v>5568</v>
      </c>
      <c r="O500" s="813" t="s">
        <v>3883</v>
      </c>
      <c r="P500" s="813" t="s">
        <v>5569</v>
      </c>
      <c r="Q500" s="813" t="s">
        <v>5570</v>
      </c>
      <c r="R500" s="813">
        <v>1</v>
      </c>
      <c r="S500" s="813" t="s">
        <v>3928</v>
      </c>
      <c r="T500" s="813" t="s">
        <v>4196</v>
      </c>
    </row>
    <row r="501" spans="1:20" ht="15" customHeight="1" x14ac:dyDescent="0.35">
      <c r="A501" s="794" t="s">
        <v>5394</v>
      </c>
      <c r="B501" s="794" t="s">
        <v>3857</v>
      </c>
      <c r="C501" s="812" t="s">
        <v>3913</v>
      </c>
      <c r="D501" s="825"/>
      <c r="E501" s="825"/>
      <c r="F501" s="825">
        <v>0.25</v>
      </c>
      <c r="G501" s="814" t="s">
        <v>3858</v>
      </c>
      <c r="H501" s="813" t="s">
        <v>254</v>
      </c>
      <c r="I501" s="813" t="s">
        <v>4191</v>
      </c>
      <c r="J501" s="813" t="s">
        <v>5516</v>
      </c>
      <c r="K501" s="813" t="s">
        <v>5300</v>
      </c>
      <c r="L501" s="813" t="s">
        <v>3863</v>
      </c>
      <c r="M501" s="813" t="s">
        <v>3193</v>
      </c>
      <c r="N501" s="813" t="s">
        <v>5571</v>
      </c>
      <c r="O501" s="813" t="s">
        <v>3883</v>
      </c>
      <c r="P501" s="813" t="s">
        <v>5572</v>
      </c>
      <c r="Q501" s="813" t="s">
        <v>5573</v>
      </c>
      <c r="R501" s="813">
        <v>1</v>
      </c>
      <c r="S501" s="813" t="s">
        <v>3928</v>
      </c>
      <c r="T501" s="813" t="s">
        <v>4196</v>
      </c>
    </row>
    <row r="502" spans="1:20" ht="15" customHeight="1" x14ac:dyDescent="0.35">
      <c r="A502" s="794" t="s">
        <v>5394</v>
      </c>
      <c r="B502" s="794" t="s">
        <v>3857</v>
      </c>
      <c r="C502" s="812" t="s">
        <v>3913</v>
      </c>
      <c r="D502" s="825"/>
      <c r="E502" s="825"/>
      <c r="F502" s="825">
        <v>60</v>
      </c>
      <c r="G502" s="814" t="s">
        <v>3858</v>
      </c>
      <c r="H502" s="813" t="s">
        <v>254</v>
      </c>
      <c r="I502" s="813" t="s">
        <v>4191</v>
      </c>
      <c r="J502" s="813" t="s">
        <v>5516</v>
      </c>
      <c r="K502" s="813" t="s">
        <v>5300</v>
      </c>
      <c r="L502" s="813" t="s">
        <v>3863</v>
      </c>
      <c r="M502" s="813" t="s">
        <v>3193</v>
      </c>
      <c r="N502" s="813" t="s">
        <v>5574</v>
      </c>
      <c r="O502" s="813" t="s">
        <v>3883</v>
      </c>
      <c r="P502" s="813" t="s">
        <v>5575</v>
      </c>
      <c r="Q502" s="813" t="s">
        <v>5576</v>
      </c>
      <c r="R502" s="813">
        <v>1</v>
      </c>
      <c r="S502" s="813" t="s">
        <v>3928</v>
      </c>
      <c r="T502" s="813" t="s">
        <v>4196</v>
      </c>
    </row>
    <row r="503" spans="1:20" ht="15" customHeight="1" x14ac:dyDescent="0.35">
      <c r="A503" s="794" t="s">
        <v>5401</v>
      </c>
      <c r="B503" s="794" t="s">
        <v>3857</v>
      </c>
      <c r="C503" s="812" t="s">
        <v>3913</v>
      </c>
      <c r="D503" s="825"/>
      <c r="E503" s="825"/>
      <c r="F503" s="825">
        <v>57</v>
      </c>
      <c r="G503" s="814" t="s">
        <v>3858</v>
      </c>
      <c r="H503" s="813" t="s">
        <v>254</v>
      </c>
      <c r="I503" s="813" t="s">
        <v>4191</v>
      </c>
      <c r="J503" s="813" t="s">
        <v>5516</v>
      </c>
      <c r="K503" s="813" t="s">
        <v>5300</v>
      </c>
      <c r="L503" s="813" t="s">
        <v>3863</v>
      </c>
      <c r="M503" s="813" t="s">
        <v>3193</v>
      </c>
      <c r="N503" s="813" t="s">
        <v>5577</v>
      </c>
      <c r="O503" s="813" t="s">
        <v>3883</v>
      </c>
      <c r="P503" s="813" t="s">
        <v>5578</v>
      </c>
      <c r="Q503" s="813" t="s">
        <v>5579</v>
      </c>
      <c r="R503" s="813">
        <v>1</v>
      </c>
      <c r="S503" s="813" t="s">
        <v>3928</v>
      </c>
      <c r="T503" s="813" t="s">
        <v>4196</v>
      </c>
    </row>
    <row r="504" spans="1:20" ht="15" customHeight="1" x14ac:dyDescent="0.35">
      <c r="A504" s="794" t="s">
        <v>5401</v>
      </c>
      <c r="B504" s="794" t="s">
        <v>3857</v>
      </c>
      <c r="C504" s="812" t="s">
        <v>3913</v>
      </c>
      <c r="D504" s="825"/>
      <c r="E504" s="825"/>
      <c r="F504" s="825">
        <v>2</v>
      </c>
      <c r="G504" s="814" t="s">
        <v>3858</v>
      </c>
      <c r="H504" s="813" t="s">
        <v>254</v>
      </c>
      <c r="I504" s="813" t="s">
        <v>4191</v>
      </c>
      <c r="J504" s="813" t="s">
        <v>5516</v>
      </c>
      <c r="K504" s="813" t="s">
        <v>5300</v>
      </c>
      <c r="L504" s="813" t="s">
        <v>3863</v>
      </c>
      <c r="M504" s="813" t="s">
        <v>3193</v>
      </c>
      <c r="N504" s="813" t="s">
        <v>5580</v>
      </c>
      <c r="O504" s="813" t="s">
        <v>3883</v>
      </c>
      <c r="P504" s="813" t="s">
        <v>5581</v>
      </c>
      <c r="Q504" s="813" t="s">
        <v>5582</v>
      </c>
      <c r="R504" s="813">
        <v>1</v>
      </c>
      <c r="S504" s="813" t="s">
        <v>3928</v>
      </c>
      <c r="T504" s="813" t="s">
        <v>4196</v>
      </c>
    </row>
    <row r="505" spans="1:20" ht="15" customHeight="1" x14ac:dyDescent="0.35">
      <c r="A505" s="794" t="s">
        <v>5408</v>
      </c>
      <c r="B505" s="794" t="s">
        <v>3857</v>
      </c>
      <c r="C505" s="812" t="s">
        <v>3913</v>
      </c>
      <c r="D505" s="825"/>
      <c r="E505" s="825"/>
      <c r="F505" s="825">
        <v>1.1255999999999999</v>
      </c>
      <c r="G505" s="814" t="s">
        <v>3858</v>
      </c>
      <c r="H505" s="813" t="s">
        <v>254</v>
      </c>
      <c r="I505" s="813" t="s">
        <v>4191</v>
      </c>
      <c r="J505" s="813" t="s">
        <v>5516</v>
      </c>
      <c r="K505" s="813" t="s">
        <v>5300</v>
      </c>
      <c r="L505" s="813" t="s">
        <v>3863</v>
      </c>
      <c r="M505" s="813" t="s">
        <v>3193</v>
      </c>
      <c r="N505" s="813" t="s">
        <v>5583</v>
      </c>
      <c r="O505" s="813" t="s">
        <v>3883</v>
      </c>
      <c r="P505" s="813" t="s">
        <v>5584</v>
      </c>
      <c r="Q505" s="813" t="s">
        <v>5585</v>
      </c>
      <c r="R505" s="813">
        <v>1</v>
      </c>
      <c r="S505" s="813" t="s">
        <v>3928</v>
      </c>
      <c r="T505" s="813" t="s">
        <v>4196</v>
      </c>
    </row>
    <row r="506" spans="1:20" ht="15" customHeight="1" x14ac:dyDescent="0.35">
      <c r="A506" s="794" t="s">
        <v>5408</v>
      </c>
      <c r="B506" s="794" t="s">
        <v>3857</v>
      </c>
      <c r="C506" s="812" t="s">
        <v>3913</v>
      </c>
      <c r="D506" s="825"/>
      <c r="E506" s="825"/>
      <c r="F506" s="825">
        <v>8</v>
      </c>
      <c r="G506" s="814" t="s">
        <v>3858</v>
      </c>
      <c r="H506" s="813" t="s">
        <v>254</v>
      </c>
      <c r="I506" s="813" t="s">
        <v>4191</v>
      </c>
      <c r="J506" s="813" t="s">
        <v>5516</v>
      </c>
      <c r="K506" s="813" t="s">
        <v>5300</v>
      </c>
      <c r="L506" s="813" t="s">
        <v>3863</v>
      </c>
      <c r="M506" s="813" t="s">
        <v>3193</v>
      </c>
      <c r="N506" s="813" t="s">
        <v>5586</v>
      </c>
      <c r="O506" s="813" t="s">
        <v>3883</v>
      </c>
      <c r="P506" s="813" t="s">
        <v>5587</v>
      </c>
      <c r="Q506" s="813" t="s">
        <v>5588</v>
      </c>
      <c r="R506" s="813">
        <v>1</v>
      </c>
      <c r="S506" s="813" t="s">
        <v>3928</v>
      </c>
      <c r="T506" s="813" t="s">
        <v>4196</v>
      </c>
    </row>
    <row r="507" spans="1:20" ht="15" customHeight="1" x14ac:dyDescent="0.35">
      <c r="A507" s="794" t="s">
        <v>5511</v>
      </c>
      <c r="B507" s="794" t="s">
        <v>3857</v>
      </c>
      <c r="C507" s="812" t="s">
        <v>3913</v>
      </c>
      <c r="D507" s="825"/>
      <c r="E507" s="825"/>
      <c r="F507" s="825">
        <v>0</v>
      </c>
      <c r="G507" s="814" t="s">
        <v>3858</v>
      </c>
      <c r="H507" s="813" t="s">
        <v>254</v>
      </c>
      <c r="I507" s="813" t="s">
        <v>4191</v>
      </c>
      <c r="J507" s="813" t="s">
        <v>5516</v>
      </c>
      <c r="K507" s="813" t="s">
        <v>5300</v>
      </c>
      <c r="L507" s="813" t="s">
        <v>3863</v>
      </c>
      <c r="M507" s="813" t="s">
        <v>3193</v>
      </c>
      <c r="N507" s="813" t="s">
        <v>5589</v>
      </c>
      <c r="O507" s="813" t="s">
        <v>3925</v>
      </c>
      <c r="P507" s="813" t="s">
        <v>5590</v>
      </c>
      <c r="Q507" s="813" t="s">
        <v>5591</v>
      </c>
      <c r="R507" s="813">
        <v>1</v>
      </c>
      <c r="S507" s="813" t="s">
        <v>3928</v>
      </c>
      <c r="T507" s="813" t="s">
        <v>4196</v>
      </c>
    </row>
    <row r="508" spans="1:20" ht="15" customHeight="1" x14ac:dyDescent="0.35">
      <c r="A508" s="803" t="s">
        <v>5592</v>
      </c>
      <c r="B508" s="803"/>
      <c r="C508" s="803"/>
      <c r="D508" s="803"/>
      <c r="E508" s="803"/>
      <c r="F508" s="803"/>
      <c r="G508" s="803" t="s">
        <v>5427</v>
      </c>
      <c r="H508" s="794"/>
      <c r="I508" s="794"/>
      <c r="J508" s="794"/>
      <c r="K508" s="794"/>
      <c r="L508" s="794"/>
      <c r="M508" s="794"/>
      <c r="N508" s="794"/>
      <c r="O508" s="794"/>
      <c r="P508" s="794"/>
      <c r="Q508" s="794"/>
      <c r="R508" s="794"/>
      <c r="S508" s="794"/>
      <c r="T508" s="794"/>
    </row>
    <row r="509" spans="1:20" ht="15" customHeight="1" x14ac:dyDescent="0.35">
      <c r="A509" s="794" t="s">
        <v>5428</v>
      </c>
      <c r="B509" s="794" t="s">
        <v>3857</v>
      </c>
      <c r="C509" s="812" t="s">
        <v>4144</v>
      </c>
      <c r="D509" s="825"/>
      <c r="E509" s="825"/>
      <c r="F509" s="825">
        <v>12</v>
      </c>
      <c r="G509" s="814" t="s">
        <v>3858</v>
      </c>
      <c r="H509" s="813" t="s">
        <v>254</v>
      </c>
      <c r="I509" s="813" t="s">
        <v>4191</v>
      </c>
      <c r="J509" s="813" t="s">
        <v>5593</v>
      </c>
      <c r="K509" s="813" t="s">
        <v>5300</v>
      </c>
      <c r="L509" s="813" t="s">
        <v>3863</v>
      </c>
      <c r="M509" s="813" t="s">
        <v>3193</v>
      </c>
      <c r="N509" s="813" t="s">
        <v>5594</v>
      </c>
      <c r="O509" s="813" t="s">
        <v>4264</v>
      </c>
      <c r="P509" s="813" t="s">
        <v>5595</v>
      </c>
      <c r="Q509" s="813" t="s">
        <v>5596</v>
      </c>
      <c r="R509" s="813">
        <v>1</v>
      </c>
      <c r="S509" s="813" t="s">
        <v>3928</v>
      </c>
      <c r="T509" s="813" t="s">
        <v>4196</v>
      </c>
    </row>
    <row r="510" spans="1:20" ht="15" customHeight="1" x14ac:dyDescent="0.35">
      <c r="A510" s="794" t="s">
        <v>5433</v>
      </c>
      <c r="B510" s="794" t="s">
        <v>3857</v>
      </c>
      <c r="C510" s="812" t="s">
        <v>4144</v>
      </c>
      <c r="D510" s="825"/>
      <c r="E510" s="825"/>
      <c r="F510" s="825">
        <v>130</v>
      </c>
      <c r="G510" s="814" t="s">
        <v>3858</v>
      </c>
      <c r="H510" s="813" t="s">
        <v>254</v>
      </c>
      <c r="I510" s="813" t="s">
        <v>4191</v>
      </c>
      <c r="J510" s="813" t="s">
        <v>5593</v>
      </c>
      <c r="K510" s="813" t="s">
        <v>5300</v>
      </c>
      <c r="L510" s="813" t="s">
        <v>3863</v>
      </c>
      <c r="M510" s="813" t="s">
        <v>3193</v>
      </c>
      <c r="N510" s="813" t="s">
        <v>5597</v>
      </c>
      <c r="O510" s="813" t="s">
        <v>3925</v>
      </c>
      <c r="P510" s="813" t="s">
        <v>5598</v>
      </c>
      <c r="Q510" s="813" t="s">
        <v>5599</v>
      </c>
      <c r="R510" s="813">
        <v>1</v>
      </c>
      <c r="S510" s="813" t="s">
        <v>3928</v>
      </c>
      <c r="T510" s="813" t="s">
        <v>4196</v>
      </c>
    </row>
    <row r="511" spans="1:20" ht="15" customHeight="1" x14ac:dyDescent="0.35">
      <c r="A511" s="794" t="s">
        <v>5437</v>
      </c>
      <c r="B511" s="794" t="s">
        <v>3857</v>
      </c>
      <c r="C511" s="812" t="s">
        <v>4144</v>
      </c>
      <c r="D511" s="825"/>
      <c r="E511" s="825"/>
      <c r="F511" s="825">
        <v>18</v>
      </c>
      <c r="G511" s="814" t="s">
        <v>3858</v>
      </c>
      <c r="H511" s="813" t="s">
        <v>254</v>
      </c>
      <c r="I511" s="813" t="s">
        <v>4191</v>
      </c>
      <c r="J511" s="813" t="s">
        <v>5593</v>
      </c>
      <c r="K511" s="813" t="s">
        <v>5300</v>
      </c>
      <c r="L511" s="813" t="s">
        <v>3863</v>
      </c>
      <c r="M511" s="813" t="s">
        <v>3193</v>
      </c>
      <c r="N511" s="813" t="s">
        <v>5600</v>
      </c>
      <c r="O511" s="813" t="s">
        <v>3925</v>
      </c>
      <c r="P511" s="813" t="s">
        <v>5601</v>
      </c>
      <c r="Q511" s="813" t="s">
        <v>5602</v>
      </c>
      <c r="R511" s="813">
        <v>1</v>
      </c>
      <c r="S511" s="813" t="s">
        <v>3928</v>
      </c>
      <c r="T511" s="813" t="s">
        <v>4196</v>
      </c>
    </row>
    <row r="512" spans="1:20" ht="15" customHeight="1" x14ac:dyDescent="0.35">
      <c r="A512" s="794" t="s">
        <v>5441</v>
      </c>
      <c r="B512" s="794" t="s">
        <v>3857</v>
      </c>
      <c r="C512" s="812" t="s">
        <v>4144</v>
      </c>
      <c r="D512" s="825"/>
      <c r="E512" s="825"/>
      <c r="F512" s="825">
        <v>0</v>
      </c>
      <c r="G512" s="814" t="s">
        <v>3858</v>
      </c>
      <c r="H512" s="813" t="s">
        <v>254</v>
      </c>
      <c r="I512" s="813" t="s">
        <v>4191</v>
      </c>
      <c r="J512" s="813" t="s">
        <v>5593</v>
      </c>
      <c r="K512" s="813" t="s">
        <v>5300</v>
      </c>
      <c r="L512" s="813" t="s">
        <v>3863</v>
      </c>
      <c r="M512" s="813" t="s">
        <v>3193</v>
      </c>
      <c r="N512" s="813" t="s">
        <v>5603</v>
      </c>
      <c r="O512" s="813" t="s">
        <v>3925</v>
      </c>
      <c r="P512" s="813" t="s">
        <v>5604</v>
      </c>
      <c r="Q512" s="813" t="s">
        <v>5605</v>
      </c>
      <c r="R512" s="813">
        <v>1</v>
      </c>
      <c r="S512" s="813" t="s">
        <v>3928</v>
      </c>
      <c r="T512" s="813" t="s">
        <v>4196</v>
      </c>
    </row>
    <row r="513" spans="1:20" ht="15" customHeight="1" x14ac:dyDescent="0.35">
      <c r="A513" s="794" t="s">
        <v>5445</v>
      </c>
      <c r="B513" s="794" t="s">
        <v>3857</v>
      </c>
      <c r="C513" s="812" t="s">
        <v>3913</v>
      </c>
      <c r="D513" s="825"/>
      <c r="E513" s="825"/>
      <c r="F513" s="825">
        <v>1140</v>
      </c>
      <c r="G513" s="814" t="s">
        <v>3858</v>
      </c>
      <c r="H513" s="813" t="s">
        <v>254</v>
      </c>
      <c r="I513" s="813" t="s">
        <v>4191</v>
      </c>
      <c r="J513" s="813" t="s">
        <v>5593</v>
      </c>
      <c r="K513" s="813" t="s">
        <v>5300</v>
      </c>
      <c r="L513" s="813" t="s">
        <v>3863</v>
      </c>
      <c r="M513" s="813" t="s">
        <v>3193</v>
      </c>
      <c r="N513" s="813" t="s">
        <v>5606</v>
      </c>
      <c r="O513" s="813" t="s">
        <v>3883</v>
      </c>
      <c r="P513" s="813" t="s">
        <v>5607</v>
      </c>
      <c r="Q513" s="813" t="s">
        <v>5608</v>
      </c>
      <c r="R513" s="813">
        <v>1</v>
      </c>
      <c r="S513" s="813" t="s">
        <v>3928</v>
      </c>
      <c r="T513" s="813" t="s">
        <v>4196</v>
      </c>
    </row>
    <row r="514" spans="1:20" ht="15" customHeight="1" x14ac:dyDescent="0.35">
      <c r="A514" s="794" t="s">
        <v>5445</v>
      </c>
      <c r="B514" s="794" t="s">
        <v>3857</v>
      </c>
      <c r="C514" s="812" t="s">
        <v>3913</v>
      </c>
      <c r="D514" s="825"/>
      <c r="E514" s="825"/>
      <c r="F514" s="825">
        <v>1</v>
      </c>
      <c r="G514" s="814" t="s">
        <v>3858</v>
      </c>
      <c r="H514" s="813" t="s">
        <v>254</v>
      </c>
      <c r="I514" s="813" t="s">
        <v>4191</v>
      </c>
      <c r="J514" s="813" t="s">
        <v>5593</v>
      </c>
      <c r="K514" s="813" t="s">
        <v>5300</v>
      </c>
      <c r="L514" s="813" t="s">
        <v>3863</v>
      </c>
      <c r="M514" s="813" t="s">
        <v>3193</v>
      </c>
      <c r="N514" s="813" t="s">
        <v>5609</v>
      </c>
      <c r="O514" s="813" t="s">
        <v>3883</v>
      </c>
      <c r="P514" s="813" t="s">
        <v>5610</v>
      </c>
      <c r="Q514" s="813" t="s">
        <v>5611</v>
      </c>
      <c r="R514" s="813">
        <v>1</v>
      </c>
      <c r="S514" s="813" t="s">
        <v>3928</v>
      </c>
      <c r="T514" s="813" t="s">
        <v>4196</v>
      </c>
    </row>
    <row r="515" spans="1:20" ht="15" customHeight="1" x14ac:dyDescent="0.35">
      <c r="A515" s="794" t="s">
        <v>5452</v>
      </c>
      <c r="B515" s="794" t="s">
        <v>3857</v>
      </c>
      <c r="C515" s="812" t="s">
        <v>3913</v>
      </c>
      <c r="D515" s="825"/>
      <c r="E515" s="825"/>
      <c r="F515" s="825">
        <v>280</v>
      </c>
      <c r="G515" s="814" t="s">
        <v>3858</v>
      </c>
      <c r="H515" s="813" t="s">
        <v>254</v>
      </c>
      <c r="I515" s="813" t="s">
        <v>4191</v>
      </c>
      <c r="J515" s="813" t="s">
        <v>5593</v>
      </c>
      <c r="K515" s="813" t="s">
        <v>5300</v>
      </c>
      <c r="L515" s="813" t="s">
        <v>3863</v>
      </c>
      <c r="M515" s="813" t="s">
        <v>3193</v>
      </c>
      <c r="N515" s="813" t="s">
        <v>5612</v>
      </c>
      <c r="O515" s="813" t="s">
        <v>3883</v>
      </c>
      <c r="P515" s="813" t="s">
        <v>5613</v>
      </c>
      <c r="Q515" s="813" t="s">
        <v>5614</v>
      </c>
      <c r="R515" s="813">
        <v>1</v>
      </c>
      <c r="S515" s="813" t="s">
        <v>3928</v>
      </c>
      <c r="T515" s="813" t="s">
        <v>4196</v>
      </c>
    </row>
    <row r="516" spans="1:20" ht="15" customHeight="1" x14ac:dyDescent="0.35">
      <c r="A516" s="794" t="s">
        <v>5452</v>
      </c>
      <c r="B516" s="794" t="s">
        <v>3857</v>
      </c>
      <c r="C516" s="812" t="s">
        <v>3913</v>
      </c>
      <c r="D516" s="825"/>
      <c r="E516" s="825"/>
      <c r="F516" s="825">
        <v>1</v>
      </c>
      <c r="G516" s="814" t="s">
        <v>3858</v>
      </c>
      <c r="H516" s="813" t="s">
        <v>254</v>
      </c>
      <c r="I516" s="813" t="s">
        <v>4191</v>
      </c>
      <c r="J516" s="813" t="s">
        <v>5593</v>
      </c>
      <c r="K516" s="813" t="s">
        <v>5300</v>
      </c>
      <c r="L516" s="813" t="s">
        <v>3863</v>
      </c>
      <c r="M516" s="813" t="s">
        <v>3193</v>
      </c>
      <c r="N516" s="813" t="s">
        <v>5615</v>
      </c>
      <c r="O516" s="813" t="s">
        <v>3883</v>
      </c>
      <c r="P516" s="813" t="s">
        <v>5616</v>
      </c>
      <c r="Q516" s="813" t="s">
        <v>5617</v>
      </c>
      <c r="R516" s="813">
        <v>1</v>
      </c>
      <c r="S516" s="813" t="s">
        <v>3928</v>
      </c>
      <c r="T516" s="813" t="s">
        <v>4196</v>
      </c>
    </row>
    <row r="517" spans="1:20" ht="15" customHeight="1" x14ac:dyDescent="0.35">
      <c r="A517" s="794" t="s">
        <v>5459</v>
      </c>
      <c r="B517" s="794" t="s">
        <v>3857</v>
      </c>
      <c r="C517" s="812" t="s">
        <v>3913</v>
      </c>
      <c r="D517" s="825"/>
      <c r="E517" s="825"/>
      <c r="F517" s="825">
        <v>9</v>
      </c>
      <c r="G517" s="814" t="s">
        <v>3858</v>
      </c>
      <c r="H517" s="813" t="s">
        <v>254</v>
      </c>
      <c r="I517" s="813" t="s">
        <v>4191</v>
      </c>
      <c r="J517" s="813" t="s">
        <v>5593</v>
      </c>
      <c r="K517" s="813" t="s">
        <v>5300</v>
      </c>
      <c r="L517" s="813" t="s">
        <v>3863</v>
      </c>
      <c r="M517" s="813" t="s">
        <v>3193</v>
      </c>
      <c r="N517" s="813" t="s">
        <v>5618</v>
      </c>
      <c r="O517" s="813" t="s">
        <v>3883</v>
      </c>
      <c r="P517" s="813" t="s">
        <v>5619</v>
      </c>
      <c r="Q517" s="813" t="s">
        <v>5620</v>
      </c>
      <c r="R517" s="813">
        <v>1</v>
      </c>
      <c r="S517" s="813" t="s">
        <v>3928</v>
      </c>
      <c r="T517" s="813" t="s">
        <v>4196</v>
      </c>
    </row>
    <row r="518" spans="1:20" ht="15" customHeight="1" x14ac:dyDescent="0.35">
      <c r="A518" s="794" t="s">
        <v>5459</v>
      </c>
      <c r="B518" s="794" t="s">
        <v>3857</v>
      </c>
      <c r="C518" s="812" t="s">
        <v>3913</v>
      </c>
      <c r="D518" s="825"/>
      <c r="E518" s="825"/>
      <c r="F518" s="825">
        <v>6</v>
      </c>
      <c r="G518" s="814" t="s">
        <v>3858</v>
      </c>
      <c r="H518" s="813" t="s">
        <v>254</v>
      </c>
      <c r="I518" s="813" t="s">
        <v>4191</v>
      </c>
      <c r="J518" s="813" t="s">
        <v>5593</v>
      </c>
      <c r="K518" s="813" t="s">
        <v>5300</v>
      </c>
      <c r="L518" s="813" t="s">
        <v>3863</v>
      </c>
      <c r="M518" s="813" t="s">
        <v>3193</v>
      </c>
      <c r="N518" s="813" t="s">
        <v>5621</v>
      </c>
      <c r="O518" s="813" t="s">
        <v>3883</v>
      </c>
      <c r="P518" s="813" t="s">
        <v>5622</v>
      </c>
      <c r="Q518" s="813" t="s">
        <v>5623</v>
      </c>
      <c r="R518" s="813">
        <v>1</v>
      </c>
      <c r="S518" s="813" t="s">
        <v>3928</v>
      </c>
      <c r="T518" s="813" t="s">
        <v>4196</v>
      </c>
    </row>
    <row r="519" spans="1:20" ht="15" customHeight="1" x14ac:dyDescent="0.35">
      <c r="A519" s="794" t="s">
        <v>5466</v>
      </c>
      <c r="B519" s="794" t="s">
        <v>3857</v>
      </c>
      <c r="C519" s="812" t="s">
        <v>3913</v>
      </c>
      <c r="D519" s="825"/>
      <c r="E519" s="825"/>
      <c r="F519" s="825">
        <v>48</v>
      </c>
      <c r="G519" s="814" t="s">
        <v>3858</v>
      </c>
      <c r="H519" s="813" t="s">
        <v>254</v>
      </c>
      <c r="I519" s="813" t="s">
        <v>4191</v>
      </c>
      <c r="J519" s="813" t="s">
        <v>5593</v>
      </c>
      <c r="K519" s="813" t="s">
        <v>5300</v>
      </c>
      <c r="L519" s="813" t="s">
        <v>3863</v>
      </c>
      <c r="M519" s="813" t="s">
        <v>3193</v>
      </c>
      <c r="N519" s="813" t="s">
        <v>5624</v>
      </c>
      <c r="O519" s="813" t="s">
        <v>3883</v>
      </c>
      <c r="P519" s="813" t="s">
        <v>5625</v>
      </c>
      <c r="Q519" s="813" t="s">
        <v>5626</v>
      </c>
      <c r="R519" s="813">
        <v>1</v>
      </c>
      <c r="S519" s="813" t="s">
        <v>3928</v>
      </c>
      <c r="T519" s="813" t="s">
        <v>4196</v>
      </c>
    </row>
    <row r="520" spans="1:20" ht="15" customHeight="1" x14ac:dyDescent="0.35">
      <c r="A520" s="794" t="s">
        <v>5466</v>
      </c>
      <c r="B520" s="794" t="s">
        <v>3857</v>
      </c>
      <c r="C520" s="812" t="s">
        <v>3913</v>
      </c>
      <c r="D520" s="825"/>
      <c r="E520" s="825"/>
      <c r="F520" s="825">
        <v>2</v>
      </c>
      <c r="G520" s="814" t="s">
        <v>3858</v>
      </c>
      <c r="H520" s="813" t="s">
        <v>254</v>
      </c>
      <c r="I520" s="813" t="s">
        <v>4191</v>
      </c>
      <c r="J520" s="813" t="s">
        <v>5593</v>
      </c>
      <c r="K520" s="813" t="s">
        <v>5300</v>
      </c>
      <c r="L520" s="813" t="s">
        <v>3863</v>
      </c>
      <c r="M520" s="813" t="s">
        <v>3193</v>
      </c>
      <c r="N520" s="813" t="s">
        <v>5627</v>
      </c>
      <c r="O520" s="813" t="s">
        <v>3883</v>
      </c>
      <c r="P520" s="813" t="s">
        <v>5628</v>
      </c>
      <c r="Q520" s="813" t="s">
        <v>5629</v>
      </c>
      <c r="R520" s="813">
        <v>1</v>
      </c>
      <c r="S520" s="813" t="s">
        <v>3928</v>
      </c>
      <c r="T520" s="813" t="s">
        <v>4196</v>
      </c>
    </row>
    <row r="521" spans="1:20" ht="15" customHeight="1" x14ac:dyDescent="0.35">
      <c r="A521" s="794" t="s">
        <v>5473</v>
      </c>
      <c r="B521" s="794" t="s">
        <v>3857</v>
      </c>
      <c r="C521" s="812" t="s">
        <v>3913</v>
      </c>
      <c r="D521" s="825"/>
      <c r="E521" s="825"/>
      <c r="F521" s="825">
        <v>9</v>
      </c>
      <c r="G521" s="814" t="s">
        <v>3858</v>
      </c>
      <c r="H521" s="813" t="s">
        <v>254</v>
      </c>
      <c r="I521" s="813" t="s">
        <v>4191</v>
      </c>
      <c r="J521" s="813" t="s">
        <v>5593</v>
      </c>
      <c r="K521" s="813" t="s">
        <v>5300</v>
      </c>
      <c r="L521" s="813" t="s">
        <v>3863</v>
      </c>
      <c r="M521" s="813" t="s">
        <v>3193</v>
      </c>
      <c r="N521" s="813" t="s">
        <v>5630</v>
      </c>
      <c r="O521" s="813" t="s">
        <v>3883</v>
      </c>
      <c r="P521" s="813" t="s">
        <v>5631</v>
      </c>
      <c r="Q521" s="813" t="s">
        <v>5632</v>
      </c>
      <c r="R521" s="813">
        <v>1</v>
      </c>
      <c r="S521" s="813" t="s">
        <v>3928</v>
      </c>
      <c r="T521" s="813" t="s">
        <v>4196</v>
      </c>
    </row>
    <row r="522" spans="1:20" ht="15" customHeight="1" x14ac:dyDescent="0.35">
      <c r="A522" s="794" t="s">
        <v>5473</v>
      </c>
      <c r="B522" s="794" t="s">
        <v>3857</v>
      </c>
      <c r="C522" s="812" t="s">
        <v>3913</v>
      </c>
      <c r="D522" s="825"/>
      <c r="E522" s="825"/>
      <c r="F522" s="825">
        <v>2</v>
      </c>
      <c r="G522" s="814" t="s">
        <v>3858</v>
      </c>
      <c r="H522" s="813" t="s">
        <v>254</v>
      </c>
      <c r="I522" s="813" t="s">
        <v>4191</v>
      </c>
      <c r="J522" s="813" t="s">
        <v>5593</v>
      </c>
      <c r="K522" s="813" t="s">
        <v>5300</v>
      </c>
      <c r="L522" s="813" t="s">
        <v>3863</v>
      </c>
      <c r="M522" s="813" t="s">
        <v>3193</v>
      </c>
      <c r="N522" s="813" t="s">
        <v>5633</v>
      </c>
      <c r="O522" s="813" t="s">
        <v>3883</v>
      </c>
      <c r="P522" s="813" t="s">
        <v>5634</v>
      </c>
      <c r="Q522" s="813" t="s">
        <v>5635</v>
      </c>
      <c r="R522" s="813">
        <v>1</v>
      </c>
      <c r="S522" s="813" t="s">
        <v>3928</v>
      </c>
      <c r="T522" s="813" t="s">
        <v>4196</v>
      </c>
    </row>
    <row r="523" spans="1:20" ht="15" customHeight="1" x14ac:dyDescent="0.35">
      <c r="A523" s="794" t="s">
        <v>5480</v>
      </c>
      <c r="B523" s="794" t="s">
        <v>3857</v>
      </c>
      <c r="C523" s="812" t="s">
        <v>3913</v>
      </c>
      <c r="D523" s="825"/>
      <c r="E523" s="825"/>
      <c r="F523" s="825">
        <v>4</v>
      </c>
      <c r="G523" s="814" t="s">
        <v>3858</v>
      </c>
      <c r="H523" s="813" t="s">
        <v>254</v>
      </c>
      <c r="I523" s="813" t="s">
        <v>4191</v>
      </c>
      <c r="J523" s="813" t="s">
        <v>5593</v>
      </c>
      <c r="K523" s="813" t="s">
        <v>5300</v>
      </c>
      <c r="L523" s="813" t="s">
        <v>3863</v>
      </c>
      <c r="M523" s="813" t="s">
        <v>3193</v>
      </c>
      <c r="N523" s="813" t="s">
        <v>5636</v>
      </c>
      <c r="O523" s="813" t="s">
        <v>3883</v>
      </c>
      <c r="P523" s="813" t="s">
        <v>5637</v>
      </c>
      <c r="Q523" s="813" t="s">
        <v>5638</v>
      </c>
      <c r="R523" s="813">
        <v>1</v>
      </c>
      <c r="S523" s="813" t="s">
        <v>3928</v>
      </c>
      <c r="T523" s="813" t="s">
        <v>4196</v>
      </c>
    </row>
    <row r="524" spans="1:20" ht="15" customHeight="1" x14ac:dyDescent="0.35">
      <c r="A524" s="794" t="s">
        <v>5480</v>
      </c>
      <c r="B524" s="794" t="s">
        <v>3857</v>
      </c>
      <c r="C524" s="812" t="s">
        <v>3913</v>
      </c>
      <c r="D524" s="825"/>
      <c r="E524" s="825"/>
      <c r="F524" s="825">
        <v>2</v>
      </c>
      <c r="G524" s="814" t="s">
        <v>3858</v>
      </c>
      <c r="H524" s="813" t="s">
        <v>254</v>
      </c>
      <c r="I524" s="813" t="s">
        <v>4191</v>
      </c>
      <c r="J524" s="813" t="s">
        <v>5593</v>
      </c>
      <c r="K524" s="813" t="s">
        <v>5300</v>
      </c>
      <c r="L524" s="813" t="s">
        <v>3863</v>
      </c>
      <c r="M524" s="813" t="s">
        <v>3193</v>
      </c>
      <c r="N524" s="813" t="s">
        <v>5639</v>
      </c>
      <c r="O524" s="813" t="s">
        <v>3883</v>
      </c>
      <c r="P524" s="813" t="s">
        <v>5640</v>
      </c>
      <c r="Q524" s="813" t="s">
        <v>5641</v>
      </c>
      <c r="R524" s="813">
        <v>1</v>
      </c>
      <c r="S524" s="813" t="s">
        <v>3928</v>
      </c>
      <c r="T524" s="813" t="s">
        <v>4196</v>
      </c>
    </row>
    <row r="525" spans="1:20" ht="15" customHeight="1" x14ac:dyDescent="0.35">
      <c r="A525" s="794" t="s">
        <v>5387</v>
      </c>
      <c r="B525" s="794" t="s">
        <v>3857</v>
      </c>
      <c r="C525" s="812" t="s">
        <v>3913</v>
      </c>
      <c r="D525" s="825"/>
      <c r="E525" s="825"/>
      <c r="F525" s="825">
        <v>16</v>
      </c>
      <c r="G525" s="814" t="s">
        <v>3858</v>
      </c>
      <c r="H525" s="813" t="s">
        <v>254</v>
      </c>
      <c r="I525" s="813" t="s">
        <v>4191</v>
      </c>
      <c r="J525" s="813" t="s">
        <v>5593</v>
      </c>
      <c r="K525" s="813" t="s">
        <v>5300</v>
      </c>
      <c r="L525" s="813" t="s">
        <v>3863</v>
      </c>
      <c r="M525" s="813" t="s">
        <v>3193</v>
      </c>
      <c r="N525" s="813" t="s">
        <v>5642</v>
      </c>
      <c r="O525" s="813" t="s">
        <v>3883</v>
      </c>
      <c r="P525" s="813" t="s">
        <v>5643</v>
      </c>
      <c r="Q525" s="813" t="s">
        <v>5644</v>
      </c>
      <c r="R525" s="813">
        <v>1</v>
      </c>
      <c r="S525" s="813" t="s">
        <v>3928</v>
      </c>
      <c r="T525" s="813" t="s">
        <v>4196</v>
      </c>
    </row>
    <row r="526" spans="1:20" ht="15" customHeight="1" x14ac:dyDescent="0.35">
      <c r="A526" s="794" t="s">
        <v>5387</v>
      </c>
      <c r="B526" s="794" t="s">
        <v>3857</v>
      </c>
      <c r="C526" s="812" t="s">
        <v>3913</v>
      </c>
      <c r="D526" s="825"/>
      <c r="E526" s="825"/>
      <c r="F526" s="825">
        <v>2</v>
      </c>
      <c r="G526" s="814" t="s">
        <v>3858</v>
      </c>
      <c r="H526" s="813" t="s">
        <v>254</v>
      </c>
      <c r="I526" s="813" t="s">
        <v>4191</v>
      </c>
      <c r="J526" s="813" t="s">
        <v>5593</v>
      </c>
      <c r="K526" s="813" t="s">
        <v>5300</v>
      </c>
      <c r="L526" s="813" t="s">
        <v>3863</v>
      </c>
      <c r="M526" s="813" t="s">
        <v>3193</v>
      </c>
      <c r="N526" s="813" t="s">
        <v>5645</v>
      </c>
      <c r="O526" s="813" t="s">
        <v>3883</v>
      </c>
      <c r="P526" s="813" t="s">
        <v>5646</v>
      </c>
      <c r="Q526" s="813" t="s">
        <v>5647</v>
      </c>
      <c r="R526" s="813">
        <v>1</v>
      </c>
      <c r="S526" s="813" t="s">
        <v>3928</v>
      </c>
      <c r="T526" s="813" t="s">
        <v>4196</v>
      </c>
    </row>
    <row r="527" spans="1:20" ht="15" customHeight="1" x14ac:dyDescent="0.35">
      <c r="A527" s="794" t="s">
        <v>5394</v>
      </c>
      <c r="B527" s="794" t="s">
        <v>3857</v>
      </c>
      <c r="C527" s="812" t="s">
        <v>3913</v>
      </c>
      <c r="D527" s="825"/>
      <c r="E527" s="825"/>
      <c r="F527" s="825">
        <v>0.25</v>
      </c>
      <c r="G527" s="814" t="s">
        <v>3858</v>
      </c>
      <c r="H527" s="813" t="s">
        <v>254</v>
      </c>
      <c r="I527" s="813" t="s">
        <v>4191</v>
      </c>
      <c r="J527" s="813" t="s">
        <v>5593</v>
      </c>
      <c r="K527" s="813" t="s">
        <v>5300</v>
      </c>
      <c r="L527" s="813" t="s">
        <v>3863</v>
      </c>
      <c r="M527" s="813" t="s">
        <v>3193</v>
      </c>
      <c r="N527" s="813" t="s">
        <v>5648</v>
      </c>
      <c r="O527" s="813" t="s">
        <v>3883</v>
      </c>
      <c r="P527" s="813" t="s">
        <v>5649</v>
      </c>
      <c r="Q527" s="813" t="s">
        <v>5650</v>
      </c>
      <c r="R527" s="813">
        <v>1</v>
      </c>
      <c r="S527" s="813" t="s">
        <v>3928</v>
      </c>
      <c r="T527" s="813" t="s">
        <v>4196</v>
      </c>
    </row>
    <row r="528" spans="1:20" ht="15" customHeight="1" x14ac:dyDescent="0.35">
      <c r="A528" s="794" t="s">
        <v>5394</v>
      </c>
      <c r="B528" s="794" t="s">
        <v>3857</v>
      </c>
      <c r="C528" s="812" t="s">
        <v>3913</v>
      </c>
      <c r="D528" s="825"/>
      <c r="E528" s="825"/>
      <c r="F528" s="825">
        <v>60</v>
      </c>
      <c r="G528" s="814" t="s">
        <v>3858</v>
      </c>
      <c r="H528" s="813" t="s">
        <v>254</v>
      </c>
      <c r="I528" s="813" t="s">
        <v>4191</v>
      </c>
      <c r="J528" s="813" t="s">
        <v>5593</v>
      </c>
      <c r="K528" s="813" t="s">
        <v>5300</v>
      </c>
      <c r="L528" s="813" t="s">
        <v>3863</v>
      </c>
      <c r="M528" s="813" t="s">
        <v>3193</v>
      </c>
      <c r="N528" s="813" t="s">
        <v>5651</v>
      </c>
      <c r="O528" s="813" t="s">
        <v>3883</v>
      </c>
      <c r="P528" s="813" t="s">
        <v>5652</v>
      </c>
      <c r="Q528" s="813" t="s">
        <v>5653</v>
      </c>
      <c r="R528" s="813">
        <v>1</v>
      </c>
      <c r="S528" s="813" t="s">
        <v>3928</v>
      </c>
      <c r="T528" s="813" t="s">
        <v>4196</v>
      </c>
    </row>
    <row r="529" spans="1:20" ht="15" customHeight="1" x14ac:dyDescent="0.35">
      <c r="A529" s="794" t="s">
        <v>5401</v>
      </c>
      <c r="B529" s="794" t="s">
        <v>3857</v>
      </c>
      <c r="C529" s="812" t="s">
        <v>3913</v>
      </c>
      <c r="D529" s="825"/>
      <c r="E529" s="825"/>
      <c r="F529" s="825">
        <v>57</v>
      </c>
      <c r="G529" s="814" t="s">
        <v>3858</v>
      </c>
      <c r="H529" s="813" t="s">
        <v>254</v>
      </c>
      <c r="I529" s="813" t="s">
        <v>4191</v>
      </c>
      <c r="J529" s="813" t="s">
        <v>5593</v>
      </c>
      <c r="K529" s="813" t="s">
        <v>5300</v>
      </c>
      <c r="L529" s="813" t="s">
        <v>3863</v>
      </c>
      <c r="M529" s="813" t="s">
        <v>3193</v>
      </c>
      <c r="N529" s="813" t="s">
        <v>5654</v>
      </c>
      <c r="O529" s="813" t="s">
        <v>3883</v>
      </c>
      <c r="P529" s="813" t="s">
        <v>5655</v>
      </c>
      <c r="Q529" s="813" t="s">
        <v>5656</v>
      </c>
      <c r="R529" s="813">
        <v>1</v>
      </c>
      <c r="S529" s="813" t="s">
        <v>3928</v>
      </c>
      <c r="T529" s="813" t="s">
        <v>4196</v>
      </c>
    </row>
    <row r="530" spans="1:20" ht="15" customHeight="1" x14ac:dyDescent="0.35">
      <c r="A530" s="794" t="s">
        <v>5401</v>
      </c>
      <c r="B530" s="794" t="s">
        <v>3857</v>
      </c>
      <c r="C530" s="812" t="s">
        <v>3913</v>
      </c>
      <c r="D530" s="825"/>
      <c r="E530" s="825"/>
      <c r="F530" s="825">
        <v>2</v>
      </c>
      <c r="G530" s="814" t="s">
        <v>3858</v>
      </c>
      <c r="H530" s="813" t="s">
        <v>254</v>
      </c>
      <c r="I530" s="813" t="s">
        <v>4191</v>
      </c>
      <c r="J530" s="813" t="s">
        <v>5593</v>
      </c>
      <c r="K530" s="813" t="s">
        <v>5300</v>
      </c>
      <c r="L530" s="813" t="s">
        <v>3863</v>
      </c>
      <c r="M530" s="813" t="s">
        <v>3193</v>
      </c>
      <c r="N530" s="813" t="s">
        <v>5657</v>
      </c>
      <c r="O530" s="813" t="s">
        <v>3883</v>
      </c>
      <c r="P530" s="813" t="s">
        <v>5658</v>
      </c>
      <c r="Q530" s="813" t="s">
        <v>5659</v>
      </c>
      <c r="R530" s="813">
        <v>1</v>
      </c>
      <c r="S530" s="813" t="s">
        <v>3928</v>
      </c>
      <c r="T530" s="813" t="s">
        <v>4196</v>
      </c>
    </row>
    <row r="531" spans="1:20" ht="15" customHeight="1" x14ac:dyDescent="0.35">
      <c r="A531" s="794" t="s">
        <v>5660</v>
      </c>
      <c r="B531" s="794" t="s">
        <v>3857</v>
      </c>
      <c r="C531" s="812" t="s">
        <v>3913</v>
      </c>
      <c r="D531" s="825"/>
      <c r="E531" s="825"/>
      <c r="F531" s="825">
        <v>1.1255999999999999</v>
      </c>
      <c r="G531" s="814" t="s">
        <v>3858</v>
      </c>
      <c r="H531" s="813" t="s">
        <v>254</v>
      </c>
      <c r="I531" s="813" t="s">
        <v>4191</v>
      </c>
      <c r="J531" s="813" t="s">
        <v>5593</v>
      </c>
      <c r="K531" s="813" t="s">
        <v>5300</v>
      </c>
      <c r="L531" s="813" t="s">
        <v>3863</v>
      </c>
      <c r="M531" s="813" t="s">
        <v>3193</v>
      </c>
      <c r="N531" s="813" t="s">
        <v>5661</v>
      </c>
      <c r="O531" s="813" t="s">
        <v>3883</v>
      </c>
      <c r="P531" s="813" t="s">
        <v>5662</v>
      </c>
      <c r="Q531" s="813" t="s">
        <v>5663</v>
      </c>
      <c r="R531" s="813">
        <v>1</v>
      </c>
      <c r="S531" s="813" t="s">
        <v>3928</v>
      </c>
      <c r="T531" s="813" t="s">
        <v>4196</v>
      </c>
    </row>
    <row r="532" spans="1:20" ht="15" customHeight="1" x14ac:dyDescent="0.35">
      <c r="A532" s="794" t="s">
        <v>5660</v>
      </c>
      <c r="B532" s="794" t="s">
        <v>3857</v>
      </c>
      <c r="C532" s="812" t="s">
        <v>3913</v>
      </c>
      <c r="D532" s="825"/>
      <c r="E532" s="825"/>
      <c r="F532" s="825">
        <v>8</v>
      </c>
      <c r="G532" s="814" t="s">
        <v>3858</v>
      </c>
      <c r="H532" s="813" t="s">
        <v>254</v>
      </c>
      <c r="I532" s="813" t="s">
        <v>4191</v>
      </c>
      <c r="J532" s="813" t="s">
        <v>5593</v>
      </c>
      <c r="K532" s="813" t="s">
        <v>5300</v>
      </c>
      <c r="L532" s="813" t="s">
        <v>3863</v>
      </c>
      <c r="M532" s="813" t="s">
        <v>3193</v>
      </c>
      <c r="N532" s="813" t="s">
        <v>5664</v>
      </c>
      <c r="O532" s="813" t="s">
        <v>3883</v>
      </c>
      <c r="P532" s="813" t="s">
        <v>5665</v>
      </c>
      <c r="Q532" s="813" t="s">
        <v>5666</v>
      </c>
      <c r="R532" s="813">
        <v>1</v>
      </c>
      <c r="S532" s="813" t="s">
        <v>3928</v>
      </c>
      <c r="T532" s="813" t="s">
        <v>4196</v>
      </c>
    </row>
    <row r="533" spans="1:20" ht="15" customHeight="1" x14ac:dyDescent="0.35">
      <c r="A533" s="794" t="s">
        <v>5511</v>
      </c>
      <c r="B533" s="794" t="s">
        <v>3857</v>
      </c>
      <c r="C533" s="812" t="s">
        <v>3913</v>
      </c>
      <c r="D533" s="825"/>
      <c r="E533" s="825"/>
      <c r="F533" s="825">
        <v>0</v>
      </c>
      <c r="G533" s="814" t="s">
        <v>3858</v>
      </c>
      <c r="H533" s="813" t="s">
        <v>254</v>
      </c>
      <c r="I533" s="813" t="s">
        <v>4191</v>
      </c>
      <c r="J533" s="813" t="s">
        <v>5593</v>
      </c>
      <c r="K533" s="813" t="s">
        <v>5300</v>
      </c>
      <c r="L533" s="813" t="s">
        <v>3863</v>
      </c>
      <c r="M533" s="813" t="s">
        <v>3193</v>
      </c>
      <c r="N533" s="813" t="s">
        <v>5667</v>
      </c>
      <c r="O533" s="813" t="s">
        <v>3925</v>
      </c>
      <c r="P533" s="813" t="s">
        <v>5668</v>
      </c>
      <c r="Q533" s="813" t="s">
        <v>5669</v>
      </c>
      <c r="R533" s="813">
        <v>1</v>
      </c>
      <c r="S533" s="813" t="s">
        <v>3928</v>
      </c>
      <c r="T533" s="813" t="s">
        <v>4196</v>
      </c>
    </row>
    <row r="534" spans="1:20" ht="15" customHeight="1" x14ac:dyDescent="0.35">
      <c r="A534" s="803" t="s">
        <v>5670</v>
      </c>
      <c r="B534" s="803"/>
      <c r="C534" s="803"/>
      <c r="D534" s="803"/>
      <c r="E534" s="803"/>
      <c r="F534" s="803"/>
      <c r="G534" s="803" t="s">
        <v>5427</v>
      </c>
      <c r="H534" s="794"/>
      <c r="I534" s="794"/>
      <c r="J534" s="794"/>
      <c r="K534" s="794"/>
      <c r="L534" s="794"/>
      <c r="M534" s="794"/>
      <c r="N534" s="794"/>
      <c r="O534" s="794"/>
      <c r="P534" s="794"/>
      <c r="Q534" s="794"/>
      <c r="R534" s="794"/>
      <c r="S534" s="794"/>
      <c r="T534" s="794"/>
    </row>
    <row r="535" spans="1:20" ht="15" customHeight="1" x14ac:dyDescent="0.35">
      <c r="A535" s="794" t="s">
        <v>5428</v>
      </c>
      <c r="B535" s="794" t="s">
        <v>3857</v>
      </c>
      <c r="C535" s="812" t="s">
        <v>4144</v>
      </c>
      <c r="D535" s="825"/>
      <c r="E535" s="825"/>
      <c r="F535" s="825">
        <v>10</v>
      </c>
      <c r="G535" s="814" t="s">
        <v>3858</v>
      </c>
      <c r="H535" s="813" t="s">
        <v>254</v>
      </c>
      <c r="I535" s="813" t="s">
        <v>4191</v>
      </c>
      <c r="J535" s="813" t="s">
        <v>5671</v>
      </c>
      <c r="K535" s="813" t="s">
        <v>5300</v>
      </c>
      <c r="L535" s="813" t="s">
        <v>3863</v>
      </c>
      <c r="M535" s="813" t="s">
        <v>3193</v>
      </c>
      <c r="N535" s="813" t="s">
        <v>5672</v>
      </c>
      <c r="O535" s="813" t="s">
        <v>4264</v>
      </c>
      <c r="P535" s="813" t="s">
        <v>5673</v>
      </c>
      <c r="Q535" s="813" t="s">
        <v>5674</v>
      </c>
      <c r="R535" s="813">
        <v>1</v>
      </c>
      <c r="S535" s="813" t="s">
        <v>3928</v>
      </c>
      <c r="T535" s="813" t="s">
        <v>4196</v>
      </c>
    </row>
    <row r="536" spans="1:20" ht="15" customHeight="1" x14ac:dyDescent="0.35">
      <c r="A536" s="794" t="s">
        <v>5433</v>
      </c>
      <c r="B536" s="794" t="s">
        <v>3857</v>
      </c>
      <c r="C536" s="812" t="s">
        <v>4144</v>
      </c>
      <c r="D536" s="825"/>
      <c r="E536" s="825"/>
      <c r="F536" s="825">
        <v>130</v>
      </c>
      <c r="G536" s="814" t="s">
        <v>3858</v>
      </c>
      <c r="H536" s="813" t="s">
        <v>254</v>
      </c>
      <c r="I536" s="813" t="s">
        <v>4191</v>
      </c>
      <c r="J536" s="813" t="s">
        <v>5671</v>
      </c>
      <c r="K536" s="813" t="s">
        <v>5300</v>
      </c>
      <c r="L536" s="813" t="s">
        <v>3863</v>
      </c>
      <c r="M536" s="813" t="s">
        <v>3193</v>
      </c>
      <c r="N536" s="813" t="s">
        <v>5675</v>
      </c>
      <c r="O536" s="813" t="s">
        <v>3925</v>
      </c>
      <c r="P536" s="813" t="s">
        <v>5676</v>
      </c>
      <c r="Q536" s="813" t="s">
        <v>5677</v>
      </c>
      <c r="R536" s="813">
        <v>1</v>
      </c>
      <c r="S536" s="813" t="s">
        <v>3928</v>
      </c>
      <c r="T536" s="813" t="s">
        <v>4196</v>
      </c>
    </row>
    <row r="537" spans="1:20" ht="15" customHeight="1" x14ac:dyDescent="0.35">
      <c r="A537" s="794" t="s">
        <v>5437</v>
      </c>
      <c r="B537" s="794" t="s">
        <v>3857</v>
      </c>
      <c r="C537" s="812" t="s">
        <v>4144</v>
      </c>
      <c r="D537" s="825"/>
      <c r="E537" s="825"/>
      <c r="F537" s="825">
        <v>18</v>
      </c>
      <c r="G537" s="814" t="s">
        <v>3858</v>
      </c>
      <c r="H537" s="813" t="s">
        <v>254</v>
      </c>
      <c r="I537" s="813" t="s">
        <v>4191</v>
      </c>
      <c r="J537" s="813" t="s">
        <v>5671</v>
      </c>
      <c r="K537" s="813" t="s">
        <v>5300</v>
      </c>
      <c r="L537" s="813" t="s">
        <v>3863</v>
      </c>
      <c r="M537" s="813" t="s">
        <v>3193</v>
      </c>
      <c r="N537" s="813" t="s">
        <v>5678</v>
      </c>
      <c r="O537" s="813" t="s">
        <v>3925</v>
      </c>
      <c r="P537" s="813" t="s">
        <v>5679</v>
      </c>
      <c r="Q537" s="813" t="s">
        <v>5680</v>
      </c>
      <c r="R537" s="813">
        <v>1</v>
      </c>
      <c r="S537" s="813" t="s">
        <v>3928</v>
      </c>
      <c r="T537" s="813" t="s">
        <v>4196</v>
      </c>
    </row>
    <row r="538" spans="1:20" ht="15" customHeight="1" x14ac:dyDescent="0.35">
      <c r="A538" s="794" t="s">
        <v>5441</v>
      </c>
      <c r="B538" s="794" t="s">
        <v>3857</v>
      </c>
      <c r="C538" s="812" t="s">
        <v>4144</v>
      </c>
      <c r="D538" s="825"/>
      <c r="E538" s="825"/>
      <c r="F538" s="825">
        <v>0</v>
      </c>
      <c r="G538" s="814" t="s">
        <v>3858</v>
      </c>
      <c r="H538" s="813" t="s">
        <v>254</v>
      </c>
      <c r="I538" s="813" t="s">
        <v>4191</v>
      </c>
      <c r="J538" s="813" t="s">
        <v>5671</v>
      </c>
      <c r="K538" s="813" t="s">
        <v>5300</v>
      </c>
      <c r="L538" s="813" t="s">
        <v>3863</v>
      </c>
      <c r="M538" s="813" t="s">
        <v>3193</v>
      </c>
      <c r="N538" s="813" t="s">
        <v>5681</v>
      </c>
      <c r="O538" s="813" t="s">
        <v>3925</v>
      </c>
      <c r="P538" s="813" t="s">
        <v>5682</v>
      </c>
      <c r="Q538" s="813" t="s">
        <v>5683</v>
      </c>
      <c r="R538" s="813">
        <v>1</v>
      </c>
      <c r="S538" s="813" t="s">
        <v>3928</v>
      </c>
      <c r="T538" s="813" t="s">
        <v>4196</v>
      </c>
    </row>
    <row r="539" spans="1:20" ht="15" customHeight="1" x14ac:dyDescent="0.35">
      <c r="A539" s="794" t="s">
        <v>5445</v>
      </c>
      <c r="B539" s="794" t="s">
        <v>3857</v>
      </c>
      <c r="C539" s="812" t="s">
        <v>3913</v>
      </c>
      <c r="D539" s="825"/>
      <c r="E539" s="825"/>
      <c r="F539" s="825">
        <v>1140</v>
      </c>
      <c r="G539" s="814" t="s">
        <v>3858</v>
      </c>
      <c r="H539" s="813" t="s">
        <v>254</v>
      </c>
      <c r="I539" s="813" t="s">
        <v>4191</v>
      </c>
      <c r="J539" s="813" t="s">
        <v>5671</v>
      </c>
      <c r="K539" s="813" t="s">
        <v>5300</v>
      </c>
      <c r="L539" s="813" t="s">
        <v>3863</v>
      </c>
      <c r="M539" s="813" t="s">
        <v>3193</v>
      </c>
      <c r="N539" s="813" t="s">
        <v>5684</v>
      </c>
      <c r="O539" s="813" t="s">
        <v>3883</v>
      </c>
      <c r="P539" s="813" t="s">
        <v>5685</v>
      </c>
      <c r="Q539" s="813" t="s">
        <v>5686</v>
      </c>
      <c r="R539" s="813">
        <v>1</v>
      </c>
      <c r="S539" s="813" t="s">
        <v>3928</v>
      </c>
      <c r="T539" s="813" t="s">
        <v>4196</v>
      </c>
    </row>
    <row r="540" spans="1:20" ht="15" customHeight="1" x14ac:dyDescent="0.35">
      <c r="A540" s="794" t="s">
        <v>5445</v>
      </c>
      <c r="B540" s="794" t="s">
        <v>3857</v>
      </c>
      <c r="C540" s="812" t="s">
        <v>3913</v>
      </c>
      <c r="D540" s="825"/>
      <c r="E540" s="825"/>
      <c r="F540" s="825">
        <v>1</v>
      </c>
      <c r="G540" s="814" t="s">
        <v>3858</v>
      </c>
      <c r="H540" s="813" t="s">
        <v>254</v>
      </c>
      <c r="I540" s="813" t="s">
        <v>4191</v>
      </c>
      <c r="J540" s="813" t="s">
        <v>5671</v>
      </c>
      <c r="K540" s="813" t="s">
        <v>5300</v>
      </c>
      <c r="L540" s="813" t="s">
        <v>3863</v>
      </c>
      <c r="M540" s="813" t="s">
        <v>3193</v>
      </c>
      <c r="N540" s="813" t="s">
        <v>5687</v>
      </c>
      <c r="O540" s="813" t="s">
        <v>3883</v>
      </c>
      <c r="P540" s="813" t="s">
        <v>5688</v>
      </c>
      <c r="Q540" s="813" t="s">
        <v>5689</v>
      </c>
      <c r="R540" s="813">
        <v>1</v>
      </c>
      <c r="S540" s="813" t="s">
        <v>3928</v>
      </c>
      <c r="T540" s="813" t="s">
        <v>4196</v>
      </c>
    </row>
    <row r="541" spans="1:20" ht="15" customHeight="1" x14ac:dyDescent="0.35">
      <c r="A541" s="794" t="s">
        <v>5452</v>
      </c>
      <c r="B541" s="794" t="s">
        <v>3857</v>
      </c>
      <c r="C541" s="812" t="s">
        <v>3913</v>
      </c>
      <c r="D541" s="825"/>
      <c r="E541" s="825"/>
      <c r="F541" s="825">
        <v>280</v>
      </c>
      <c r="G541" s="814" t="s">
        <v>3858</v>
      </c>
      <c r="H541" s="813" t="s">
        <v>254</v>
      </c>
      <c r="I541" s="813" t="s">
        <v>4191</v>
      </c>
      <c r="J541" s="813" t="s">
        <v>5671</v>
      </c>
      <c r="K541" s="813" t="s">
        <v>5300</v>
      </c>
      <c r="L541" s="813" t="s">
        <v>3863</v>
      </c>
      <c r="M541" s="813" t="s">
        <v>3193</v>
      </c>
      <c r="N541" s="813" t="s">
        <v>5690</v>
      </c>
      <c r="O541" s="813" t="s">
        <v>3883</v>
      </c>
      <c r="P541" s="813" t="s">
        <v>5691</v>
      </c>
      <c r="Q541" s="813" t="s">
        <v>5692</v>
      </c>
      <c r="R541" s="813">
        <v>1</v>
      </c>
      <c r="S541" s="813" t="s">
        <v>3928</v>
      </c>
      <c r="T541" s="813" t="s">
        <v>4196</v>
      </c>
    </row>
    <row r="542" spans="1:20" ht="15" customHeight="1" x14ac:dyDescent="0.35">
      <c r="A542" s="794" t="s">
        <v>5452</v>
      </c>
      <c r="B542" s="794" t="s">
        <v>3857</v>
      </c>
      <c r="C542" s="812" t="s">
        <v>3913</v>
      </c>
      <c r="D542" s="825"/>
      <c r="E542" s="825"/>
      <c r="F542" s="825">
        <v>1</v>
      </c>
      <c r="G542" s="814" t="s">
        <v>3858</v>
      </c>
      <c r="H542" s="813" t="s">
        <v>254</v>
      </c>
      <c r="I542" s="813" t="s">
        <v>4191</v>
      </c>
      <c r="J542" s="813" t="s">
        <v>5671</v>
      </c>
      <c r="K542" s="813" t="s">
        <v>5300</v>
      </c>
      <c r="L542" s="813" t="s">
        <v>3863</v>
      </c>
      <c r="M542" s="813" t="s">
        <v>3193</v>
      </c>
      <c r="N542" s="813" t="s">
        <v>5693</v>
      </c>
      <c r="O542" s="813" t="s">
        <v>3883</v>
      </c>
      <c r="P542" s="813" t="s">
        <v>5694</v>
      </c>
      <c r="Q542" s="813" t="s">
        <v>5695</v>
      </c>
      <c r="R542" s="813">
        <v>1</v>
      </c>
      <c r="S542" s="813" t="s">
        <v>3928</v>
      </c>
      <c r="T542" s="813" t="s">
        <v>4196</v>
      </c>
    </row>
    <row r="543" spans="1:20" ht="15" customHeight="1" x14ac:dyDescent="0.35">
      <c r="A543" s="794" t="s">
        <v>5459</v>
      </c>
      <c r="B543" s="794" t="s">
        <v>3857</v>
      </c>
      <c r="C543" s="812" t="s">
        <v>3913</v>
      </c>
      <c r="D543" s="825"/>
      <c r="E543" s="825"/>
      <c r="F543" s="825">
        <v>9</v>
      </c>
      <c r="G543" s="814" t="s">
        <v>3858</v>
      </c>
      <c r="H543" s="813" t="s">
        <v>254</v>
      </c>
      <c r="I543" s="813" t="s">
        <v>4191</v>
      </c>
      <c r="J543" s="813" t="s">
        <v>5671</v>
      </c>
      <c r="K543" s="813" t="s">
        <v>5300</v>
      </c>
      <c r="L543" s="813" t="s">
        <v>3863</v>
      </c>
      <c r="M543" s="813" t="s">
        <v>3193</v>
      </c>
      <c r="N543" s="813" t="s">
        <v>5696</v>
      </c>
      <c r="O543" s="813" t="s">
        <v>3883</v>
      </c>
      <c r="P543" s="813" t="s">
        <v>5697</v>
      </c>
      <c r="Q543" s="813" t="s">
        <v>5698</v>
      </c>
      <c r="R543" s="813">
        <v>1</v>
      </c>
      <c r="S543" s="813" t="s">
        <v>3928</v>
      </c>
      <c r="T543" s="813" t="s">
        <v>4196</v>
      </c>
    </row>
    <row r="544" spans="1:20" ht="15" customHeight="1" x14ac:dyDescent="0.35">
      <c r="A544" s="794" t="s">
        <v>5459</v>
      </c>
      <c r="B544" s="794" t="s">
        <v>3857</v>
      </c>
      <c r="C544" s="812" t="s">
        <v>3913</v>
      </c>
      <c r="D544" s="825"/>
      <c r="E544" s="825"/>
      <c r="F544" s="825">
        <v>6</v>
      </c>
      <c r="G544" s="814" t="s">
        <v>3858</v>
      </c>
      <c r="H544" s="813" t="s">
        <v>254</v>
      </c>
      <c r="I544" s="813" t="s">
        <v>4191</v>
      </c>
      <c r="J544" s="813" t="s">
        <v>5671</v>
      </c>
      <c r="K544" s="813" t="s">
        <v>5300</v>
      </c>
      <c r="L544" s="813" t="s">
        <v>3863</v>
      </c>
      <c r="M544" s="813" t="s">
        <v>3193</v>
      </c>
      <c r="N544" s="813" t="s">
        <v>5699</v>
      </c>
      <c r="O544" s="813" t="s">
        <v>3883</v>
      </c>
      <c r="P544" s="813" t="s">
        <v>5700</v>
      </c>
      <c r="Q544" s="813" t="s">
        <v>5701</v>
      </c>
      <c r="R544" s="813">
        <v>1</v>
      </c>
      <c r="S544" s="813" t="s">
        <v>3928</v>
      </c>
      <c r="T544" s="813" t="s">
        <v>4196</v>
      </c>
    </row>
    <row r="545" spans="1:20" ht="15" customHeight="1" x14ac:dyDescent="0.35">
      <c r="A545" s="794" t="s">
        <v>5466</v>
      </c>
      <c r="B545" s="794" t="s">
        <v>3857</v>
      </c>
      <c r="C545" s="812" t="s">
        <v>3913</v>
      </c>
      <c r="D545" s="825"/>
      <c r="E545" s="825"/>
      <c r="F545" s="825">
        <v>48</v>
      </c>
      <c r="G545" s="814" t="s">
        <v>3858</v>
      </c>
      <c r="H545" s="813" t="s">
        <v>254</v>
      </c>
      <c r="I545" s="813" t="s">
        <v>4191</v>
      </c>
      <c r="J545" s="813" t="s">
        <v>5671</v>
      </c>
      <c r="K545" s="813" t="s">
        <v>5300</v>
      </c>
      <c r="L545" s="813" t="s">
        <v>3863</v>
      </c>
      <c r="M545" s="813" t="s">
        <v>3193</v>
      </c>
      <c r="N545" s="813" t="s">
        <v>5702</v>
      </c>
      <c r="O545" s="813" t="s">
        <v>3883</v>
      </c>
      <c r="P545" s="813" t="s">
        <v>5703</v>
      </c>
      <c r="Q545" s="813" t="s">
        <v>5704</v>
      </c>
      <c r="R545" s="813">
        <v>1</v>
      </c>
      <c r="S545" s="813" t="s">
        <v>3928</v>
      </c>
      <c r="T545" s="813" t="s">
        <v>4196</v>
      </c>
    </row>
    <row r="546" spans="1:20" ht="15" customHeight="1" x14ac:dyDescent="0.35">
      <c r="A546" s="794" t="s">
        <v>5466</v>
      </c>
      <c r="B546" s="794" t="s">
        <v>3857</v>
      </c>
      <c r="C546" s="812" t="s">
        <v>3913</v>
      </c>
      <c r="D546" s="825"/>
      <c r="E546" s="825"/>
      <c r="F546" s="825">
        <v>2</v>
      </c>
      <c r="G546" s="814" t="s">
        <v>3858</v>
      </c>
      <c r="H546" s="813" t="s">
        <v>254</v>
      </c>
      <c r="I546" s="813" t="s">
        <v>4191</v>
      </c>
      <c r="J546" s="813" t="s">
        <v>5671</v>
      </c>
      <c r="K546" s="813" t="s">
        <v>5300</v>
      </c>
      <c r="L546" s="813" t="s">
        <v>3863</v>
      </c>
      <c r="M546" s="813" t="s">
        <v>3193</v>
      </c>
      <c r="N546" s="813" t="s">
        <v>5705</v>
      </c>
      <c r="O546" s="813" t="s">
        <v>3883</v>
      </c>
      <c r="P546" s="813" t="s">
        <v>5706</v>
      </c>
      <c r="Q546" s="813" t="s">
        <v>5707</v>
      </c>
      <c r="R546" s="813">
        <v>1</v>
      </c>
      <c r="S546" s="813" t="s">
        <v>3928</v>
      </c>
      <c r="T546" s="813" t="s">
        <v>4196</v>
      </c>
    </row>
    <row r="547" spans="1:20" ht="15" customHeight="1" x14ac:dyDescent="0.35">
      <c r="A547" s="794" t="s">
        <v>5473</v>
      </c>
      <c r="B547" s="794" t="s">
        <v>3857</v>
      </c>
      <c r="C547" s="812" t="s">
        <v>3913</v>
      </c>
      <c r="D547" s="825"/>
      <c r="E547" s="825"/>
      <c r="F547" s="825">
        <v>9</v>
      </c>
      <c r="G547" s="814" t="s">
        <v>3858</v>
      </c>
      <c r="H547" s="813" t="s">
        <v>254</v>
      </c>
      <c r="I547" s="813" t="s">
        <v>4191</v>
      </c>
      <c r="J547" s="813" t="s">
        <v>5671</v>
      </c>
      <c r="K547" s="813" t="s">
        <v>5300</v>
      </c>
      <c r="L547" s="813" t="s">
        <v>3863</v>
      </c>
      <c r="M547" s="813" t="s">
        <v>3193</v>
      </c>
      <c r="N547" s="813" t="s">
        <v>5708</v>
      </c>
      <c r="O547" s="813" t="s">
        <v>3883</v>
      </c>
      <c r="P547" s="813" t="s">
        <v>5709</v>
      </c>
      <c r="Q547" s="813" t="s">
        <v>5710</v>
      </c>
      <c r="R547" s="813">
        <v>1</v>
      </c>
      <c r="S547" s="813" t="s">
        <v>3928</v>
      </c>
      <c r="T547" s="813" t="s">
        <v>4196</v>
      </c>
    </row>
    <row r="548" spans="1:20" ht="15" customHeight="1" x14ac:dyDescent="0.35">
      <c r="A548" s="794" t="s">
        <v>5473</v>
      </c>
      <c r="B548" s="794" t="s">
        <v>3857</v>
      </c>
      <c r="C548" s="812" t="s">
        <v>3913</v>
      </c>
      <c r="D548" s="825"/>
      <c r="E548" s="825"/>
      <c r="F548" s="825">
        <v>2</v>
      </c>
      <c r="G548" s="814" t="s">
        <v>3858</v>
      </c>
      <c r="H548" s="813" t="s">
        <v>254</v>
      </c>
      <c r="I548" s="813" t="s">
        <v>4191</v>
      </c>
      <c r="J548" s="813" t="s">
        <v>5671</v>
      </c>
      <c r="K548" s="813" t="s">
        <v>5300</v>
      </c>
      <c r="L548" s="813" t="s">
        <v>3863</v>
      </c>
      <c r="M548" s="813" t="s">
        <v>3193</v>
      </c>
      <c r="N548" s="813" t="s">
        <v>5711</v>
      </c>
      <c r="O548" s="813" t="s">
        <v>3883</v>
      </c>
      <c r="P548" s="813" t="s">
        <v>5712</v>
      </c>
      <c r="Q548" s="813" t="s">
        <v>5713</v>
      </c>
      <c r="R548" s="813">
        <v>1</v>
      </c>
      <c r="S548" s="813" t="s">
        <v>3928</v>
      </c>
      <c r="T548" s="813" t="s">
        <v>4196</v>
      </c>
    </row>
    <row r="549" spans="1:20" ht="15" customHeight="1" x14ac:dyDescent="0.35">
      <c r="A549" s="794" t="s">
        <v>5480</v>
      </c>
      <c r="B549" s="794" t="s">
        <v>3857</v>
      </c>
      <c r="C549" s="812" t="s">
        <v>3913</v>
      </c>
      <c r="D549" s="825"/>
      <c r="E549" s="825"/>
      <c r="F549" s="825">
        <v>4</v>
      </c>
      <c r="G549" s="814" t="s">
        <v>3858</v>
      </c>
      <c r="H549" s="813" t="s">
        <v>254</v>
      </c>
      <c r="I549" s="813" t="s">
        <v>4191</v>
      </c>
      <c r="J549" s="813" t="s">
        <v>5671</v>
      </c>
      <c r="K549" s="813" t="s">
        <v>5300</v>
      </c>
      <c r="L549" s="813" t="s">
        <v>3863</v>
      </c>
      <c r="M549" s="813" t="s">
        <v>3193</v>
      </c>
      <c r="N549" s="813" t="s">
        <v>5714</v>
      </c>
      <c r="O549" s="813" t="s">
        <v>3883</v>
      </c>
      <c r="P549" s="813" t="s">
        <v>5715</v>
      </c>
      <c r="Q549" s="813" t="s">
        <v>5716</v>
      </c>
      <c r="R549" s="813">
        <v>1</v>
      </c>
      <c r="S549" s="813" t="s">
        <v>3928</v>
      </c>
      <c r="T549" s="813" t="s">
        <v>4196</v>
      </c>
    </row>
    <row r="550" spans="1:20" ht="15" customHeight="1" x14ac:dyDescent="0.35">
      <c r="A550" s="794" t="s">
        <v>5480</v>
      </c>
      <c r="B550" s="794" t="s">
        <v>3857</v>
      </c>
      <c r="C550" s="812" t="s">
        <v>3913</v>
      </c>
      <c r="D550" s="825"/>
      <c r="E550" s="825"/>
      <c r="F550" s="825">
        <v>2</v>
      </c>
      <c r="G550" s="814" t="s">
        <v>3858</v>
      </c>
      <c r="H550" s="813" t="s">
        <v>254</v>
      </c>
      <c r="I550" s="813" t="s">
        <v>4191</v>
      </c>
      <c r="J550" s="813" t="s">
        <v>5671</v>
      </c>
      <c r="K550" s="813" t="s">
        <v>5300</v>
      </c>
      <c r="L550" s="813" t="s">
        <v>3863</v>
      </c>
      <c r="M550" s="813" t="s">
        <v>3193</v>
      </c>
      <c r="N550" s="813" t="s">
        <v>5717</v>
      </c>
      <c r="O550" s="813" t="s">
        <v>3883</v>
      </c>
      <c r="P550" s="813" t="s">
        <v>5718</v>
      </c>
      <c r="Q550" s="813" t="s">
        <v>5719</v>
      </c>
      <c r="R550" s="813">
        <v>1</v>
      </c>
      <c r="S550" s="813" t="s">
        <v>3928</v>
      </c>
      <c r="T550" s="813" t="s">
        <v>4196</v>
      </c>
    </row>
    <row r="551" spans="1:20" ht="15" customHeight="1" x14ac:dyDescent="0.35">
      <c r="A551" s="794" t="s">
        <v>5387</v>
      </c>
      <c r="B551" s="794" t="s">
        <v>3857</v>
      </c>
      <c r="C551" s="812" t="s">
        <v>3913</v>
      </c>
      <c r="D551" s="825"/>
      <c r="E551" s="825"/>
      <c r="F551" s="825">
        <v>16</v>
      </c>
      <c r="G551" s="814" t="s">
        <v>3858</v>
      </c>
      <c r="H551" s="813" t="s">
        <v>254</v>
      </c>
      <c r="I551" s="813" t="s">
        <v>4191</v>
      </c>
      <c r="J551" s="813" t="s">
        <v>5671</v>
      </c>
      <c r="K551" s="813" t="s">
        <v>5300</v>
      </c>
      <c r="L551" s="813" t="s">
        <v>3863</v>
      </c>
      <c r="M551" s="813" t="s">
        <v>3193</v>
      </c>
      <c r="N551" s="813" t="s">
        <v>5720</v>
      </c>
      <c r="O551" s="813" t="s">
        <v>3883</v>
      </c>
      <c r="P551" s="813" t="s">
        <v>5721</v>
      </c>
      <c r="Q551" s="813" t="s">
        <v>5722</v>
      </c>
      <c r="R551" s="813">
        <v>1</v>
      </c>
      <c r="S551" s="813" t="s">
        <v>3928</v>
      </c>
      <c r="T551" s="813" t="s">
        <v>4196</v>
      </c>
    </row>
    <row r="552" spans="1:20" ht="15" customHeight="1" x14ac:dyDescent="0.35">
      <c r="A552" s="794" t="s">
        <v>5387</v>
      </c>
      <c r="B552" s="794" t="s">
        <v>3857</v>
      </c>
      <c r="C552" s="812" t="s">
        <v>3913</v>
      </c>
      <c r="D552" s="825"/>
      <c r="E552" s="825"/>
      <c r="F552" s="825">
        <v>2</v>
      </c>
      <c r="G552" s="814" t="s">
        <v>3858</v>
      </c>
      <c r="H552" s="813" t="s">
        <v>254</v>
      </c>
      <c r="I552" s="813" t="s">
        <v>4191</v>
      </c>
      <c r="J552" s="813" t="s">
        <v>5671</v>
      </c>
      <c r="K552" s="813" t="s">
        <v>5300</v>
      </c>
      <c r="L552" s="813" t="s">
        <v>3863</v>
      </c>
      <c r="M552" s="813" t="s">
        <v>3193</v>
      </c>
      <c r="N552" s="813" t="s">
        <v>5723</v>
      </c>
      <c r="O552" s="813" t="s">
        <v>3883</v>
      </c>
      <c r="P552" s="813" t="s">
        <v>5724</v>
      </c>
      <c r="Q552" s="813" t="s">
        <v>5725</v>
      </c>
      <c r="R552" s="813">
        <v>1</v>
      </c>
      <c r="S552" s="813" t="s">
        <v>3928</v>
      </c>
      <c r="T552" s="813" t="s">
        <v>4196</v>
      </c>
    </row>
    <row r="553" spans="1:20" ht="15" customHeight="1" x14ac:dyDescent="0.35">
      <c r="A553" s="794" t="s">
        <v>5394</v>
      </c>
      <c r="B553" s="794" t="s">
        <v>3857</v>
      </c>
      <c r="C553" s="812" t="s">
        <v>3913</v>
      </c>
      <c r="D553" s="825"/>
      <c r="E553" s="825"/>
      <c r="F553" s="825">
        <v>0.25</v>
      </c>
      <c r="G553" s="814" t="s">
        <v>3858</v>
      </c>
      <c r="H553" s="813" t="s">
        <v>254</v>
      </c>
      <c r="I553" s="813" t="s">
        <v>4191</v>
      </c>
      <c r="J553" s="813" t="s">
        <v>5671</v>
      </c>
      <c r="K553" s="813" t="s">
        <v>5300</v>
      </c>
      <c r="L553" s="813" t="s">
        <v>3863</v>
      </c>
      <c r="M553" s="813" t="s">
        <v>3193</v>
      </c>
      <c r="N553" s="813" t="s">
        <v>5726</v>
      </c>
      <c r="O553" s="813" t="s">
        <v>3883</v>
      </c>
      <c r="P553" s="813" t="s">
        <v>5727</v>
      </c>
      <c r="Q553" s="813" t="s">
        <v>5728</v>
      </c>
      <c r="R553" s="813">
        <v>1</v>
      </c>
      <c r="S553" s="813" t="s">
        <v>3928</v>
      </c>
      <c r="T553" s="813" t="s">
        <v>4196</v>
      </c>
    </row>
    <row r="554" spans="1:20" ht="15" customHeight="1" x14ac:dyDescent="0.35">
      <c r="A554" s="794" t="s">
        <v>5394</v>
      </c>
      <c r="B554" s="794" t="s">
        <v>3857</v>
      </c>
      <c r="C554" s="812" t="s">
        <v>3913</v>
      </c>
      <c r="D554" s="825"/>
      <c r="E554" s="825"/>
      <c r="F554" s="825">
        <v>60</v>
      </c>
      <c r="G554" s="814" t="s">
        <v>3858</v>
      </c>
      <c r="H554" s="813" t="s">
        <v>254</v>
      </c>
      <c r="I554" s="813" t="s">
        <v>4191</v>
      </c>
      <c r="J554" s="813" t="s">
        <v>5671</v>
      </c>
      <c r="K554" s="813" t="s">
        <v>5300</v>
      </c>
      <c r="L554" s="813" t="s">
        <v>3863</v>
      </c>
      <c r="M554" s="813" t="s">
        <v>3193</v>
      </c>
      <c r="N554" s="813" t="s">
        <v>5729</v>
      </c>
      <c r="O554" s="813" t="s">
        <v>3883</v>
      </c>
      <c r="P554" s="813" t="s">
        <v>5730</v>
      </c>
      <c r="Q554" s="813" t="s">
        <v>5731</v>
      </c>
      <c r="R554" s="813">
        <v>1</v>
      </c>
      <c r="S554" s="813" t="s">
        <v>3928</v>
      </c>
      <c r="T554" s="813" t="s">
        <v>4196</v>
      </c>
    </row>
    <row r="555" spans="1:20" ht="15" customHeight="1" x14ac:dyDescent="0.35">
      <c r="A555" s="794" t="s">
        <v>5401</v>
      </c>
      <c r="B555" s="794" t="s">
        <v>3857</v>
      </c>
      <c r="C555" s="812" t="s">
        <v>3913</v>
      </c>
      <c r="D555" s="825"/>
      <c r="E555" s="825"/>
      <c r="F555" s="825">
        <v>57</v>
      </c>
      <c r="G555" s="814" t="s">
        <v>3858</v>
      </c>
      <c r="H555" s="813" t="s">
        <v>254</v>
      </c>
      <c r="I555" s="813" t="s">
        <v>4191</v>
      </c>
      <c r="J555" s="813" t="s">
        <v>5671</v>
      </c>
      <c r="K555" s="813" t="s">
        <v>5300</v>
      </c>
      <c r="L555" s="813" t="s">
        <v>3863</v>
      </c>
      <c r="M555" s="813" t="s">
        <v>3193</v>
      </c>
      <c r="N555" s="813" t="s">
        <v>5732</v>
      </c>
      <c r="O555" s="813" t="s">
        <v>3883</v>
      </c>
      <c r="P555" s="813" t="s">
        <v>5733</v>
      </c>
      <c r="Q555" s="813" t="s">
        <v>5734</v>
      </c>
      <c r="R555" s="813">
        <v>1</v>
      </c>
      <c r="S555" s="813" t="s">
        <v>3928</v>
      </c>
      <c r="T555" s="813" t="s">
        <v>4196</v>
      </c>
    </row>
    <row r="556" spans="1:20" ht="15" customHeight="1" x14ac:dyDescent="0.35">
      <c r="A556" s="794" t="s">
        <v>5401</v>
      </c>
      <c r="B556" s="794" t="s">
        <v>3857</v>
      </c>
      <c r="C556" s="812" t="s">
        <v>3913</v>
      </c>
      <c r="D556" s="825"/>
      <c r="E556" s="825"/>
      <c r="F556" s="825">
        <v>2</v>
      </c>
      <c r="G556" s="814" t="s">
        <v>3858</v>
      </c>
      <c r="H556" s="813" t="s">
        <v>254</v>
      </c>
      <c r="I556" s="813" t="s">
        <v>4191</v>
      </c>
      <c r="J556" s="813" t="s">
        <v>5671</v>
      </c>
      <c r="K556" s="813" t="s">
        <v>5300</v>
      </c>
      <c r="L556" s="813" t="s">
        <v>3863</v>
      </c>
      <c r="M556" s="813" t="s">
        <v>3193</v>
      </c>
      <c r="N556" s="813" t="s">
        <v>5735</v>
      </c>
      <c r="O556" s="813" t="s">
        <v>3883</v>
      </c>
      <c r="P556" s="813" t="s">
        <v>5736</v>
      </c>
      <c r="Q556" s="813" t="s">
        <v>5737</v>
      </c>
      <c r="R556" s="813">
        <v>1</v>
      </c>
      <c r="S556" s="813" t="s">
        <v>3928</v>
      </c>
      <c r="T556" s="813" t="s">
        <v>4196</v>
      </c>
    </row>
    <row r="557" spans="1:20" ht="15" customHeight="1" x14ac:dyDescent="0.35">
      <c r="A557" s="794" t="s">
        <v>5660</v>
      </c>
      <c r="B557" s="794" t="s">
        <v>3857</v>
      </c>
      <c r="C557" s="812" t="s">
        <v>3913</v>
      </c>
      <c r="D557" s="825"/>
      <c r="E557" s="825"/>
      <c r="F557" s="825">
        <v>1.1255999999999999</v>
      </c>
      <c r="G557" s="814" t="s">
        <v>3858</v>
      </c>
      <c r="H557" s="813" t="s">
        <v>254</v>
      </c>
      <c r="I557" s="813" t="s">
        <v>4191</v>
      </c>
      <c r="J557" s="813" t="s">
        <v>5671</v>
      </c>
      <c r="K557" s="813" t="s">
        <v>5300</v>
      </c>
      <c r="L557" s="813" t="s">
        <v>3863</v>
      </c>
      <c r="M557" s="813" t="s">
        <v>3193</v>
      </c>
      <c r="N557" s="813" t="s">
        <v>5738</v>
      </c>
      <c r="O557" s="813" t="s">
        <v>3883</v>
      </c>
      <c r="P557" s="813" t="s">
        <v>5739</v>
      </c>
      <c r="Q557" s="813" t="s">
        <v>5740</v>
      </c>
      <c r="R557" s="813">
        <v>1</v>
      </c>
      <c r="S557" s="813" t="s">
        <v>3928</v>
      </c>
      <c r="T557" s="813" t="s">
        <v>4196</v>
      </c>
    </row>
    <row r="558" spans="1:20" ht="15" customHeight="1" x14ac:dyDescent="0.35">
      <c r="A558" s="794" t="s">
        <v>5660</v>
      </c>
      <c r="B558" s="794" t="s">
        <v>3857</v>
      </c>
      <c r="C558" s="812" t="s">
        <v>3913</v>
      </c>
      <c r="D558" s="825"/>
      <c r="E558" s="825"/>
      <c r="F558" s="825">
        <v>8</v>
      </c>
      <c r="G558" s="814" t="s">
        <v>3858</v>
      </c>
      <c r="H558" s="813" t="s">
        <v>254</v>
      </c>
      <c r="I558" s="813" t="s">
        <v>4191</v>
      </c>
      <c r="J558" s="813" t="s">
        <v>5671</v>
      </c>
      <c r="K558" s="813" t="s">
        <v>5300</v>
      </c>
      <c r="L558" s="813" t="s">
        <v>3863</v>
      </c>
      <c r="M558" s="813" t="s">
        <v>3193</v>
      </c>
      <c r="N558" s="813" t="s">
        <v>5741</v>
      </c>
      <c r="O558" s="813" t="s">
        <v>3883</v>
      </c>
      <c r="P558" s="813" t="s">
        <v>5742</v>
      </c>
      <c r="Q558" s="813" t="s">
        <v>5743</v>
      </c>
      <c r="R558" s="813">
        <v>1</v>
      </c>
      <c r="S558" s="813" t="s">
        <v>3928</v>
      </c>
      <c r="T558" s="813" t="s">
        <v>4196</v>
      </c>
    </row>
    <row r="559" spans="1:20" ht="15" customHeight="1" x14ac:dyDescent="0.35">
      <c r="A559" s="794" t="s">
        <v>5744</v>
      </c>
      <c r="B559" s="794" t="s">
        <v>3857</v>
      </c>
      <c r="C559" s="812" t="s">
        <v>3913</v>
      </c>
      <c r="D559" s="825"/>
      <c r="E559" s="825"/>
      <c r="F559" s="825">
        <v>0</v>
      </c>
      <c r="G559" s="814" t="s">
        <v>3858</v>
      </c>
      <c r="H559" s="813" t="s">
        <v>254</v>
      </c>
      <c r="I559" s="813" t="s">
        <v>4191</v>
      </c>
      <c r="J559" s="813" t="s">
        <v>5671</v>
      </c>
      <c r="K559" s="813" t="s">
        <v>5300</v>
      </c>
      <c r="L559" s="813" t="s">
        <v>3863</v>
      </c>
      <c r="M559" s="813" t="s">
        <v>3193</v>
      </c>
      <c r="N559" s="813" t="s">
        <v>5745</v>
      </c>
      <c r="O559" s="813" t="s">
        <v>3925</v>
      </c>
      <c r="P559" s="813" t="s">
        <v>5746</v>
      </c>
      <c r="Q559" s="813" t="s">
        <v>5747</v>
      </c>
      <c r="R559" s="813">
        <v>1</v>
      </c>
      <c r="S559" s="813" t="s">
        <v>3928</v>
      </c>
      <c r="T559" s="813" t="s">
        <v>4196</v>
      </c>
    </row>
    <row r="560" spans="1:20" ht="15" customHeight="1" x14ac:dyDescent="0.35">
      <c r="A560" s="803" t="s">
        <v>5748</v>
      </c>
      <c r="B560" s="803"/>
      <c r="C560" s="803"/>
      <c r="D560" s="803"/>
      <c r="E560" s="803"/>
      <c r="F560" s="803"/>
      <c r="G560" s="803" t="s">
        <v>4476</v>
      </c>
      <c r="H560" s="794"/>
      <c r="I560" s="794"/>
      <c r="J560" s="794"/>
      <c r="K560" s="794"/>
      <c r="L560" s="794"/>
      <c r="M560" s="794"/>
      <c r="N560" s="794"/>
      <c r="O560" s="794"/>
      <c r="P560" s="794"/>
      <c r="Q560" s="794"/>
      <c r="R560" s="794"/>
      <c r="S560" s="794"/>
      <c r="T560" s="794"/>
    </row>
    <row r="561" spans="1:20" ht="15" customHeight="1" x14ac:dyDescent="0.35">
      <c r="A561" s="794" t="s">
        <v>3728</v>
      </c>
      <c r="B561" s="794" t="s">
        <v>3857</v>
      </c>
      <c r="C561" s="812" t="s">
        <v>3913</v>
      </c>
      <c r="D561" s="825">
        <v>800</v>
      </c>
      <c r="E561" s="825"/>
      <c r="F561" s="826"/>
      <c r="G561" s="814" t="s">
        <v>3858</v>
      </c>
      <c r="H561" s="813" t="s">
        <v>254</v>
      </c>
      <c r="I561" s="813" t="s">
        <v>4191</v>
      </c>
      <c r="J561" s="813" t="s">
        <v>5749</v>
      </c>
      <c r="K561" s="813" t="s">
        <v>5300</v>
      </c>
      <c r="L561" s="813" t="s">
        <v>3863</v>
      </c>
      <c r="M561" s="813" t="s">
        <v>3193</v>
      </c>
      <c r="N561" s="813" t="s">
        <v>5750</v>
      </c>
      <c r="O561" s="813" t="s">
        <v>3925</v>
      </c>
      <c r="P561" s="813" t="s">
        <v>5751</v>
      </c>
      <c r="Q561" s="813" t="s">
        <v>5752</v>
      </c>
      <c r="R561" s="813">
        <v>1</v>
      </c>
      <c r="S561" s="813" t="s">
        <v>3928</v>
      </c>
      <c r="T561" s="813" t="s">
        <v>4196</v>
      </c>
    </row>
    <row r="562" spans="1:20" ht="15" customHeight="1" x14ac:dyDescent="0.35">
      <c r="A562" s="794" t="s">
        <v>3728</v>
      </c>
      <c r="B562" s="794" t="s">
        <v>3857</v>
      </c>
      <c r="C562" s="812" t="s">
        <v>5237</v>
      </c>
      <c r="D562" s="825">
        <v>34700</v>
      </c>
      <c r="E562" s="825"/>
      <c r="F562" s="826"/>
      <c r="G562" s="814" t="s">
        <v>3858</v>
      </c>
      <c r="H562" s="813" t="s">
        <v>254</v>
      </c>
      <c r="I562" s="813" t="s">
        <v>4191</v>
      </c>
      <c r="J562" s="813" t="s">
        <v>5749</v>
      </c>
      <c r="K562" s="813" t="s">
        <v>5300</v>
      </c>
      <c r="L562" s="813" t="s">
        <v>3863</v>
      </c>
      <c r="M562" s="813" t="s">
        <v>3193</v>
      </c>
      <c r="N562" s="813" t="s">
        <v>5753</v>
      </c>
      <c r="O562" s="813" t="s">
        <v>3925</v>
      </c>
      <c r="P562" s="813" t="s">
        <v>5754</v>
      </c>
      <c r="Q562" s="813" t="s">
        <v>5755</v>
      </c>
      <c r="R562" s="813">
        <v>1</v>
      </c>
      <c r="S562" s="813" t="s">
        <v>3928</v>
      </c>
      <c r="T562" s="813" t="s">
        <v>4196</v>
      </c>
    </row>
    <row r="563" spans="1:20" ht="15" customHeight="1" x14ac:dyDescent="0.35">
      <c r="A563" s="803" t="s">
        <v>5756</v>
      </c>
      <c r="B563" s="803"/>
      <c r="C563" s="803"/>
      <c r="D563" s="803"/>
      <c r="E563" s="803"/>
      <c r="F563" s="803"/>
      <c r="G563" s="803" t="s">
        <v>3898</v>
      </c>
      <c r="H563" s="794"/>
      <c r="I563" s="794"/>
      <c r="J563" s="794"/>
      <c r="K563" s="794"/>
      <c r="L563" s="794"/>
      <c r="M563" s="794"/>
      <c r="N563" s="794"/>
      <c r="O563" s="794"/>
      <c r="P563" s="794"/>
      <c r="Q563" s="794"/>
      <c r="R563" s="794"/>
      <c r="S563" s="794"/>
      <c r="T563" s="794"/>
    </row>
    <row r="564" spans="1:20" ht="38" customHeight="1" x14ac:dyDescent="0.35">
      <c r="A564" s="830" t="s">
        <v>5757</v>
      </c>
      <c r="B564" s="794" t="s">
        <v>3857</v>
      </c>
      <c r="C564" s="812" t="s">
        <v>5237</v>
      </c>
      <c r="D564" s="825"/>
      <c r="E564" s="825"/>
      <c r="F564" s="825">
        <v>180000</v>
      </c>
      <c r="G564" s="814" t="s">
        <v>3858</v>
      </c>
      <c r="H564" s="813" t="s">
        <v>254</v>
      </c>
      <c r="I564" s="813" t="s">
        <v>4191</v>
      </c>
      <c r="J564" s="813" t="s">
        <v>5758</v>
      </c>
      <c r="K564" s="813" t="s">
        <v>5300</v>
      </c>
      <c r="L564" s="813" t="s">
        <v>3863</v>
      </c>
      <c r="M564" s="813" t="s">
        <v>3193</v>
      </c>
      <c r="N564" s="813" t="s">
        <v>5759</v>
      </c>
      <c r="O564" s="813" t="s">
        <v>3925</v>
      </c>
      <c r="P564" s="813" t="s">
        <v>5760</v>
      </c>
      <c r="Q564" s="813" t="s">
        <v>5761</v>
      </c>
      <c r="R564" s="813">
        <v>1</v>
      </c>
      <c r="S564" s="813" t="s">
        <v>3928</v>
      </c>
      <c r="T564" s="813" t="s">
        <v>4196</v>
      </c>
    </row>
    <row r="565" spans="1:20" ht="38" customHeight="1" x14ac:dyDescent="0.35">
      <c r="A565" s="830" t="s">
        <v>5762</v>
      </c>
      <c r="B565" s="794" t="s">
        <v>3857</v>
      </c>
      <c r="C565" s="812" t="s">
        <v>4144</v>
      </c>
      <c r="D565" s="825"/>
      <c r="E565" s="825"/>
      <c r="F565" s="825">
        <v>570000</v>
      </c>
      <c r="G565" s="814" t="s">
        <v>3858</v>
      </c>
      <c r="H565" s="813" t="s">
        <v>254</v>
      </c>
      <c r="I565" s="813" t="s">
        <v>4191</v>
      </c>
      <c r="J565" s="813" t="s">
        <v>5758</v>
      </c>
      <c r="K565" s="813" t="s">
        <v>5300</v>
      </c>
      <c r="L565" s="813" t="s">
        <v>3863</v>
      </c>
      <c r="M565" s="813" t="s">
        <v>3193</v>
      </c>
      <c r="N565" s="813" t="s">
        <v>5763</v>
      </c>
      <c r="O565" s="813" t="s">
        <v>3925</v>
      </c>
      <c r="P565" s="813" t="s">
        <v>5764</v>
      </c>
      <c r="Q565" s="813" t="s">
        <v>5765</v>
      </c>
      <c r="R565" s="813">
        <v>1</v>
      </c>
      <c r="S565" s="813" t="s">
        <v>3928</v>
      </c>
      <c r="T565" s="813" t="s">
        <v>4196</v>
      </c>
    </row>
    <row r="566" spans="1:20" ht="28" customHeight="1" x14ac:dyDescent="0.35">
      <c r="A566" s="830" t="s">
        <v>5766</v>
      </c>
      <c r="B566" s="794" t="s">
        <v>3857</v>
      </c>
      <c r="C566" s="812" t="s">
        <v>4144</v>
      </c>
      <c r="D566" s="825"/>
      <c r="E566" s="825"/>
      <c r="F566" s="825">
        <v>165000</v>
      </c>
      <c r="G566" s="814" t="s">
        <v>3858</v>
      </c>
      <c r="H566" s="813" t="s">
        <v>254</v>
      </c>
      <c r="I566" s="813" t="s">
        <v>4191</v>
      </c>
      <c r="J566" s="813" t="s">
        <v>5758</v>
      </c>
      <c r="K566" s="813" t="s">
        <v>5300</v>
      </c>
      <c r="L566" s="813" t="s">
        <v>3863</v>
      </c>
      <c r="M566" s="813" t="s">
        <v>3193</v>
      </c>
      <c r="N566" s="813" t="s">
        <v>5767</v>
      </c>
      <c r="O566" s="813" t="s">
        <v>3925</v>
      </c>
      <c r="P566" s="813" t="s">
        <v>5768</v>
      </c>
      <c r="Q566" s="813" t="s">
        <v>5769</v>
      </c>
      <c r="R566" s="813">
        <v>1</v>
      </c>
      <c r="S566" s="813" t="s">
        <v>3928</v>
      </c>
      <c r="T566" s="813" t="s">
        <v>4196</v>
      </c>
    </row>
    <row r="567" spans="1:20" ht="38" customHeight="1" x14ac:dyDescent="0.35">
      <c r="A567" s="830" t="s">
        <v>5770</v>
      </c>
      <c r="B567" s="794" t="s">
        <v>3857</v>
      </c>
      <c r="C567" s="812" t="s">
        <v>5237</v>
      </c>
      <c r="D567" s="825"/>
      <c r="E567" s="825"/>
      <c r="F567" s="825">
        <v>205000</v>
      </c>
      <c r="G567" s="814" t="s">
        <v>3858</v>
      </c>
      <c r="H567" s="813" t="s">
        <v>254</v>
      </c>
      <c r="I567" s="813" t="s">
        <v>4191</v>
      </c>
      <c r="J567" s="813" t="s">
        <v>5758</v>
      </c>
      <c r="K567" s="813" t="s">
        <v>5300</v>
      </c>
      <c r="L567" s="813" t="s">
        <v>3863</v>
      </c>
      <c r="M567" s="813" t="s">
        <v>3193</v>
      </c>
      <c r="N567" s="813" t="s">
        <v>5771</v>
      </c>
      <c r="O567" s="813" t="s">
        <v>3925</v>
      </c>
      <c r="P567" s="813" t="s">
        <v>5772</v>
      </c>
      <c r="Q567" s="813" t="s">
        <v>5773</v>
      </c>
      <c r="R567" s="813">
        <v>1</v>
      </c>
      <c r="S567" s="813" t="s">
        <v>3928</v>
      </c>
      <c r="T567" s="813" t="s">
        <v>4196</v>
      </c>
    </row>
    <row r="568" spans="1:20" ht="15" customHeight="1" x14ac:dyDescent="0.35">
      <c r="A568" s="803" t="s">
        <v>5774</v>
      </c>
      <c r="B568" s="803"/>
      <c r="C568" s="803"/>
      <c r="D568" s="803"/>
      <c r="E568" s="803"/>
      <c r="F568" s="803"/>
      <c r="G568" s="803" t="s">
        <v>3898</v>
      </c>
      <c r="H568" s="794"/>
      <c r="I568" s="794"/>
      <c r="J568" s="794"/>
      <c r="K568" s="794"/>
      <c r="L568" s="794"/>
      <c r="M568" s="794"/>
      <c r="N568" s="794"/>
      <c r="O568" s="794"/>
      <c r="P568" s="794"/>
      <c r="Q568" s="794"/>
      <c r="R568" s="794"/>
      <c r="S568" s="794"/>
      <c r="T568" s="794"/>
    </row>
    <row r="569" spans="1:20" ht="38" customHeight="1" x14ac:dyDescent="0.35">
      <c r="A569" s="830" t="s">
        <v>5775</v>
      </c>
      <c r="B569" s="794" t="s">
        <v>3857</v>
      </c>
      <c r="C569" s="812" t="s">
        <v>3880</v>
      </c>
      <c r="D569" s="825"/>
      <c r="E569" s="825"/>
      <c r="F569" s="825">
        <v>620000</v>
      </c>
      <c r="G569" s="814" t="s">
        <v>3858</v>
      </c>
      <c r="H569" s="813" t="s">
        <v>254</v>
      </c>
      <c r="I569" s="813" t="s">
        <v>4191</v>
      </c>
      <c r="J569" s="813" t="s">
        <v>5776</v>
      </c>
      <c r="K569" s="813" t="s">
        <v>5300</v>
      </c>
      <c r="L569" s="813" t="s">
        <v>3863</v>
      </c>
      <c r="M569" s="813" t="s">
        <v>3193</v>
      </c>
      <c r="N569" s="813" t="s">
        <v>5777</v>
      </c>
      <c r="O569" s="813" t="s">
        <v>3925</v>
      </c>
      <c r="P569" s="813" t="s">
        <v>5778</v>
      </c>
      <c r="Q569" s="813" t="s">
        <v>5779</v>
      </c>
      <c r="R569" s="813">
        <v>1</v>
      </c>
      <c r="S569" s="813" t="s">
        <v>3928</v>
      </c>
      <c r="T569" s="813" t="s">
        <v>4196</v>
      </c>
    </row>
    <row r="570" spans="1:20" ht="38" customHeight="1" x14ac:dyDescent="0.35">
      <c r="A570" s="830" t="s">
        <v>5780</v>
      </c>
      <c r="B570" s="794" t="s">
        <v>3857</v>
      </c>
      <c r="C570" s="812" t="s">
        <v>5237</v>
      </c>
      <c r="D570" s="825"/>
      <c r="E570" s="825"/>
      <c r="F570" s="825">
        <v>380000</v>
      </c>
      <c r="G570" s="814" t="s">
        <v>3858</v>
      </c>
      <c r="H570" s="813" t="s">
        <v>254</v>
      </c>
      <c r="I570" s="813" t="s">
        <v>4191</v>
      </c>
      <c r="J570" s="813" t="s">
        <v>5776</v>
      </c>
      <c r="K570" s="813" t="s">
        <v>5300</v>
      </c>
      <c r="L570" s="813" t="s">
        <v>3863</v>
      </c>
      <c r="M570" s="813" t="s">
        <v>3193</v>
      </c>
      <c r="N570" s="813" t="s">
        <v>5781</v>
      </c>
      <c r="O570" s="813" t="s">
        <v>3925</v>
      </c>
      <c r="P570" s="813" t="s">
        <v>5782</v>
      </c>
      <c r="Q570" s="813" t="s">
        <v>5783</v>
      </c>
      <c r="R570" s="813">
        <v>1</v>
      </c>
      <c r="S570" s="813" t="s">
        <v>3928</v>
      </c>
      <c r="T570" s="813" t="s">
        <v>4196</v>
      </c>
    </row>
    <row r="571" spans="1:20" ht="38" customHeight="1" x14ac:dyDescent="0.35">
      <c r="A571" s="830" t="s">
        <v>5784</v>
      </c>
      <c r="B571" s="794" t="s">
        <v>3857</v>
      </c>
      <c r="C571" s="812" t="s">
        <v>5237</v>
      </c>
      <c r="D571" s="825"/>
      <c r="E571" s="825"/>
      <c r="F571" s="825">
        <v>220000</v>
      </c>
      <c r="G571" s="814" t="s">
        <v>3858</v>
      </c>
      <c r="H571" s="813" t="s">
        <v>254</v>
      </c>
      <c r="I571" s="813" t="s">
        <v>4191</v>
      </c>
      <c r="J571" s="813" t="s">
        <v>5776</v>
      </c>
      <c r="K571" s="813" t="s">
        <v>5300</v>
      </c>
      <c r="L571" s="813" t="s">
        <v>3863</v>
      </c>
      <c r="M571" s="813" t="s">
        <v>3193</v>
      </c>
      <c r="N571" s="813" t="s">
        <v>5785</v>
      </c>
      <c r="O571" s="813" t="s">
        <v>3925</v>
      </c>
      <c r="P571" s="813" t="s">
        <v>5786</v>
      </c>
      <c r="Q571" s="813" t="s">
        <v>5787</v>
      </c>
      <c r="R571" s="813">
        <v>1</v>
      </c>
      <c r="S571" s="813" t="s">
        <v>3928</v>
      </c>
      <c r="T571" s="813" t="s">
        <v>4196</v>
      </c>
    </row>
    <row r="572" spans="1:20" ht="28" customHeight="1" x14ac:dyDescent="0.35">
      <c r="A572" s="830" t="s">
        <v>5788</v>
      </c>
      <c r="B572" s="794" t="s">
        <v>3857</v>
      </c>
      <c r="C572" s="812" t="s">
        <v>5237</v>
      </c>
      <c r="D572" s="825"/>
      <c r="E572" s="825"/>
      <c r="F572" s="825">
        <v>260000</v>
      </c>
      <c r="G572" s="814" t="s">
        <v>3858</v>
      </c>
      <c r="H572" s="813" t="s">
        <v>254</v>
      </c>
      <c r="I572" s="813" t="s">
        <v>4191</v>
      </c>
      <c r="J572" s="813" t="s">
        <v>5776</v>
      </c>
      <c r="K572" s="813" t="s">
        <v>5300</v>
      </c>
      <c r="L572" s="813" t="s">
        <v>3863</v>
      </c>
      <c r="M572" s="813" t="s">
        <v>3193</v>
      </c>
      <c r="N572" s="813" t="s">
        <v>5789</v>
      </c>
      <c r="O572" s="813" t="s">
        <v>3925</v>
      </c>
      <c r="P572" s="813" t="s">
        <v>5790</v>
      </c>
      <c r="Q572" s="813" t="s">
        <v>5791</v>
      </c>
      <c r="R572" s="813">
        <v>1</v>
      </c>
      <c r="S572" s="813" t="s">
        <v>3928</v>
      </c>
      <c r="T572" s="813" t="s">
        <v>4196</v>
      </c>
    </row>
    <row r="573" spans="1:20" ht="15" customHeight="1" x14ac:dyDescent="0.35">
      <c r="A573" s="803" t="s">
        <v>5792</v>
      </c>
      <c r="B573" s="803"/>
      <c r="C573" s="803"/>
      <c r="D573" s="803"/>
      <c r="E573" s="803"/>
      <c r="F573" s="803"/>
      <c r="G573" s="803" t="s">
        <v>3898</v>
      </c>
      <c r="H573" s="794"/>
      <c r="I573" s="794"/>
      <c r="J573" s="794"/>
      <c r="K573" s="794"/>
      <c r="L573" s="794"/>
      <c r="M573" s="794"/>
      <c r="N573" s="794"/>
      <c r="O573" s="794"/>
      <c r="P573" s="794"/>
      <c r="Q573" s="794"/>
      <c r="R573" s="794"/>
      <c r="S573" s="794"/>
      <c r="T573" s="794"/>
    </row>
    <row r="574" spans="1:20" ht="28" customHeight="1" x14ac:dyDescent="0.35">
      <c r="A574" s="830" t="s">
        <v>5793</v>
      </c>
      <c r="B574" s="794" t="s">
        <v>3857</v>
      </c>
      <c r="C574" s="812" t="s">
        <v>5237</v>
      </c>
      <c r="D574" s="825"/>
      <c r="E574" s="825"/>
      <c r="F574" s="825">
        <v>680000</v>
      </c>
      <c r="G574" s="814" t="s">
        <v>3858</v>
      </c>
      <c r="H574" s="813" t="s">
        <v>254</v>
      </c>
      <c r="I574" s="813" t="s">
        <v>4191</v>
      </c>
      <c r="J574" s="813" t="s">
        <v>5794</v>
      </c>
      <c r="K574" s="813" t="s">
        <v>5300</v>
      </c>
      <c r="L574" s="813" t="s">
        <v>3863</v>
      </c>
      <c r="M574" s="813" t="s">
        <v>3193</v>
      </c>
      <c r="N574" s="813" t="s">
        <v>5795</v>
      </c>
      <c r="O574" s="813" t="s">
        <v>3925</v>
      </c>
      <c r="P574" s="813" t="s">
        <v>5796</v>
      </c>
      <c r="Q574" s="813" t="s">
        <v>5797</v>
      </c>
      <c r="R574" s="813">
        <v>1</v>
      </c>
      <c r="S574" s="813" t="s">
        <v>3928</v>
      </c>
      <c r="T574" s="813" t="s">
        <v>4196</v>
      </c>
    </row>
    <row r="575" spans="1:20" ht="28" customHeight="1" x14ac:dyDescent="0.35">
      <c r="A575" s="830" t="s">
        <v>5798</v>
      </c>
      <c r="B575" s="794" t="s">
        <v>3857</v>
      </c>
      <c r="C575" s="812" t="s">
        <v>5237</v>
      </c>
      <c r="D575" s="825"/>
      <c r="E575" s="825"/>
      <c r="F575" s="825">
        <v>390000</v>
      </c>
      <c r="G575" s="814" t="s">
        <v>3858</v>
      </c>
      <c r="H575" s="813" t="s">
        <v>254</v>
      </c>
      <c r="I575" s="813" t="s">
        <v>4191</v>
      </c>
      <c r="J575" s="813" t="s">
        <v>5794</v>
      </c>
      <c r="K575" s="813" t="s">
        <v>5300</v>
      </c>
      <c r="L575" s="813" t="s">
        <v>3863</v>
      </c>
      <c r="M575" s="813" t="s">
        <v>3193</v>
      </c>
      <c r="N575" s="813" t="s">
        <v>5799</v>
      </c>
      <c r="O575" s="813" t="s">
        <v>3925</v>
      </c>
      <c r="P575" s="813" t="s">
        <v>5800</v>
      </c>
      <c r="Q575" s="813" t="s">
        <v>5801</v>
      </c>
      <c r="R575" s="813">
        <v>1</v>
      </c>
      <c r="S575" s="813" t="s">
        <v>3928</v>
      </c>
      <c r="T575" s="813" t="s">
        <v>4196</v>
      </c>
    </row>
    <row r="576" spans="1:20" ht="38" customHeight="1" x14ac:dyDescent="0.35">
      <c r="A576" s="830" t="s">
        <v>5802</v>
      </c>
      <c r="B576" s="794" t="s">
        <v>3857</v>
      </c>
      <c r="C576" s="812" t="s">
        <v>5237</v>
      </c>
      <c r="D576" s="825"/>
      <c r="E576" s="825"/>
      <c r="F576" s="825">
        <v>195000</v>
      </c>
      <c r="G576" s="814" t="s">
        <v>3858</v>
      </c>
      <c r="H576" s="813" t="s">
        <v>254</v>
      </c>
      <c r="I576" s="813" t="s">
        <v>4191</v>
      </c>
      <c r="J576" s="813" t="s">
        <v>5794</v>
      </c>
      <c r="K576" s="813" t="s">
        <v>5300</v>
      </c>
      <c r="L576" s="813" t="s">
        <v>3863</v>
      </c>
      <c r="M576" s="813" t="s">
        <v>3193</v>
      </c>
      <c r="N576" s="813" t="s">
        <v>5803</v>
      </c>
      <c r="O576" s="813" t="s">
        <v>3925</v>
      </c>
      <c r="P576" s="813" t="s">
        <v>5804</v>
      </c>
      <c r="Q576" s="813" t="s">
        <v>5805</v>
      </c>
      <c r="R576" s="813">
        <v>1</v>
      </c>
      <c r="S576" s="813" t="s">
        <v>3928</v>
      </c>
      <c r="T576" s="813" t="s">
        <v>4196</v>
      </c>
    </row>
    <row r="577" spans="1:20" ht="28" customHeight="1" x14ac:dyDescent="0.35">
      <c r="A577" s="830" t="s">
        <v>5806</v>
      </c>
      <c r="B577" s="794" t="s">
        <v>3857</v>
      </c>
      <c r="C577" s="812" t="s">
        <v>5237</v>
      </c>
      <c r="D577" s="825"/>
      <c r="E577" s="825"/>
      <c r="F577" s="825">
        <v>145000</v>
      </c>
      <c r="G577" s="814" t="s">
        <v>3858</v>
      </c>
      <c r="H577" s="813" t="s">
        <v>254</v>
      </c>
      <c r="I577" s="813" t="s">
        <v>4191</v>
      </c>
      <c r="J577" s="813" t="s">
        <v>5794</v>
      </c>
      <c r="K577" s="813" t="s">
        <v>5300</v>
      </c>
      <c r="L577" s="813" t="s">
        <v>3863</v>
      </c>
      <c r="M577" s="813" t="s">
        <v>3193</v>
      </c>
      <c r="N577" s="813" t="s">
        <v>5807</v>
      </c>
      <c r="O577" s="813" t="s">
        <v>3925</v>
      </c>
      <c r="P577" s="813" t="s">
        <v>5808</v>
      </c>
      <c r="Q577" s="813" t="s">
        <v>5809</v>
      </c>
      <c r="R577" s="813">
        <v>1</v>
      </c>
      <c r="S577" s="813" t="s">
        <v>3928</v>
      </c>
      <c r="T577" s="813" t="s">
        <v>4196</v>
      </c>
    </row>
    <row r="578" spans="1:20" ht="15" customHeight="1" x14ac:dyDescent="0.35">
      <c r="A578" s="803" t="s">
        <v>5810</v>
      </c>
      <c r="B578" s="803"/>
      <c r="C578" s="803"/>
      <c r="D578" s="803"/>
      <c r="E578" s="803"/>
      <c r="F578" s="803"/>
      <c r="G578" s="803" t="s">
        <v>3898</v>
      </c>
      <c r="H578" s="794"/>
      <c r="I578" s="794"/>
      <c r="J578" s="794"/>
      <c r="K578" s="794"/>
      <c r="L578" s="794"/>
      <c r="M578" s="794"/>
      <c r="N578" s="794"/>
      <c r="O578" s="794"/>
      <c r="P578" s="794"/>
      <c r="Q578" s="794"/>
      <c r="R578" s="794"/>
      <c r="S578" s="794"/>
      <c r="T578" s="794"/>
    </row>
    <row r="579" spans="1:20" ht="38" customHeight="1" x14ac:dyDescent="0.35">
      <c r="A579" s="830" t="s">
        <v>5811</v>
      </c>
      <c r="B579" s="794" t="s">
        <v>3857</v>
      </c>
      <c r="C579" s="812" t="s">
        <v>5237</v>
      </c>
      <c r="D579" s="825"/>
      <c r="E579" s="825"/>
      <c r="F579" s="825">
        <v>315000</v>
      </c>
      <c r="G579" s="814" t="s">
        <v>3858</v>
      </c>
      <c r="H579" s="813" t="s">
        <v>254</v>
      </c>
      <c r="I579" s="813" t="s">
        <v>4191</v>
      </c>
      <c r="J579" s="813" t="s">
        <v>5812</v>
      </c>
      <c r="K579" s="813" t="s">
        <v>5300</v>
      </c>
      <c r="L579" s="813" t="s">
        <v>3863</v>
      </c>
      <c r="M579" s="813" t="s">
        <v>3193</v>
      </c>
      <c r="N579" s="813" t="s">
        <v>5813</v>
      </c>
      <c r="O579" s="813" t="s">
        <v>3925</v>
      </c>
      <c r="P579" s="813" t="s">
        <v>5814</v>
      </c>
      <c r="Q579" s="813" t="s">
        <v>5815</v>
      </c>
      <c r="R579" s="813">
        <v>1</v>
      </c>
      <c r="S579" s="813" t="s">
        <v>3928</v>
      </c>
      <c r="T579" s="813" t="s">
        <v>4196</v>
      </c>
    </row>
    <row r="580" spans="1:20" ht="38" customHeight="1" x14ac:dyDescent="0.35">
      <c r="A580" s="830" t="s">
        <v>5816</v>
      </c>
      <c r="B580" s="794" t="s">
        <v>3857</v>
      </c>
      <c r="C580" s="812" t="s">
        <v>5237</v>
      </c>
      <c r="D580" s="825"/>
      <c r="E580" s="825"/>
      <c r="F580" s="825">
        <v>115000</v>
      </c>
      <c r="G580" s="814" t="s">
        <v>3858</v>
      </c>
      <c r="H580" s="813" t="s">
        <v>254</v>
      </c>
      <c r="I580" s="813" t="s">
        <v>4191</v>
      </c>
      <c r="J580" s="813" t="s">
        <v>5812</v>
      </c>
      <c r="K580" s="813" t="s">
        <v>5300</v>
      </c>
      <c r="L580" s="813" t="s">
        <v>3863</v>
      </c>
      <c r="M580" s="813" t="s">
        <v>3193</v>
      </c>
      <c r="N580" s="813" t="s">
        <v>5817</v>
      </c>
      <c r="O580" s="813" t="s">
        <v>3925</v>
      </c>
      <c r="P580" s="813" t="s">
        <v>5818</v>
      </c>
      <c r="Q580" s="813" t="s">
        <v>5819</v>
      </c>
      <c r="R580" s="813">
        <v>1</v>
      </c>
      <c r="S580" s="813" t="s">
        <v>3928</v>
      </c>
      <c r="T580" s="813" t="s">
        <v>4196</v>
      </c>
    </row>
    <row r="581" spans="1:20" ht="38" customHeight="1" x14ac:dyDescent="0.35">
      <c r="A581" s="830" t="s">
        <v>5820</v>
      </c>
      <c r="B581" s="794" t="s">
        <v>3857</v>
      </c>
      <c r="C581" s="812" t="s">
        <v>4107</v>
      </c>
      <c r="D581" s="825"/>
      <c r="E581" s="825"/>
      <c r="F581" s="825">
        <v>90000</v>
      </c>
      <c r="G581" s="814" t="s">
        <v>3858</v>
      </c>
      <c r="H581" s="813" t="s">
        <v>254</v>
      </c>
      <c r="I581" s="813" t="s">
        <v>4191</v>
      </c>
      <c r="J581" s="813" t="s">
        <v>5812</v>
      </c>
      <c r="K581" s="813" t="s">
        <v>5300</v>
      </c>
      <c r="L581" s="813" t="s">
        <v>3863</v>
      </c>
      <c r="M581" s="813" t="s">
        <v>3193</v>
      </c>
      <c r="N581" s="813" t="s">
        <v>5821</v>
      </c>
      <c r="O581" s="813" t="s">
        <v>3925</v>
      </c>
      <c r="P581" s="813" t="s">
        <v>5822</v>
      </c>
      <c r="Q581" s="813" t="s">
        <v>5823</v>
      </c>
      <c r="R581" s="813">
        <v>1</v>
      </c>
      <c r="S581" s="813" t="s">
        <v>3928</v>
      </c>
      <c r="T581" s="813" t="s">
        <v>4196</v>
      </c>
    </row>
    <row r="582" spans="1:20" ht="38" customHeight="1" x14ac:dyDescent="0.35">
      <c r="A582" s="830" t="s">
        <v>5824</v>
      </c>
      <c r="B582" s="794" t="s">
        <v>3857</v>
      </c>
      <c r="C582" s="812" t="s">
        <v>5237</v>
      </c>
      <c r="D582" s="825"/>
      <c r="E582" s="825"/>
      <c r="F582" s="825">
        <v>170000</v>
      </c>
      <c r="G582" s="814" t="s">
        <v>3858</v>
      </c>
      <c r="H582" s="813" t="s">
        <v>254</v>
      </c>
      <c r="I582" s="813" t="s">
        <v>4191</v>
      </c>
      <c r="J582" s="813" t="s">
        <v>5812</v>
      </c>
      <c r="K582" s="813" t="s">
        <v>5300</v>
      </c>
      <c r="L582" s="813" t="s">
        <v>3863</v>
      </c>
      <c r="M582" s="813" t="s">
        <v>3193</v>
      </c>
      <c r="N582" s="813" t="s">
        <v>5825</v>
      </c>
      <c r="O582" s="813" t="s">
        <v>3925</v>
      </c>
      <c r="P582" s="813" t="s">
        <v>5826</v>
      </c>
      <c r="Q582" s="813" t="s">
        <v>5827</v>
      </c>
      <c r="R582" s="813">
        <v>1</v>
      </c>
      <c r="S582" s="813" t="s">
        <v>3928</v>
      </c>
      <c r="T582" s="813" t="s">
        <v>4196</v>
      </c>
    </row>
    <row r="583" spans="1:20" ht="15" customHeight="1" x14ac:dyDescent="0.35">
      <c r="A583" s="803" t="s">
        <v>5828</v>
      </c>
      <c r="B583" s="803"/>
      <c r="C583" s="803"/>
      <c r="D583" s="803"/>
      <c r="E583" s="803"/>
      <c r="F583" s="803"/>
      <c r="G583" s="803" t="s">
        <v>4476</v>
      </c>
      <c r="H583" s="794"/>
      <c r="I583" s="794"/>
      <c r="J583" s="794"/>
      <c r="K583" s="794"/>
      <c r="L583" s="794"/>
      <c r="M583" s="794"/>
      <c r="N583" s="794"/>
      <c r="O583" s="794"/>
      <c r="P583" s="794"/>
      <c r="Q583" s="794"/>
      <c r="R583" s="794"/>
      <c r="S583" s="794"/>
      <c r="T583" s="794"/>
    </row>
    <row r="584" spans="1:20" ht="15" customHeight="1" x14ac:dyDescent="0.35">
      <c r="A584" s="794" t="s">
        <v>5829</v>
      </c>
      <c r="B584" s="794" t="s">
        <v>3857</v>
      </c>
      <c r="C584" s="812" t="s">
        <v>5237</v>
      </c>
      <c r="D584" s="825"/>
      <c r="E584" s="825"/>
      <c r="F584" s="825">
        <v>950000</v>
      </c>
      <c r="G584" s="814" t="s">
        <v>3858</v>
      </c>
      <c r="H584" s="813" t="s">
        <v>254</v>
      </c>
      <c r="I584" s="813" t="s">
        <v>4191</v>
      </c>
      <c r="J584" s="813" t="s">
        <v>5830</v>
      </c>
      <c r="K584" s="813" t="s">
        <v>5300</v>
      </c>
      <c r="L584" s="813" t="s">
        <v>3863</v>
      </c>
      <c r="M584" s="813" t="s">
        <v>3193</v>
      </c>
      <c r="N584" s="813" t="s">
        <v>5831</v>
      </c>
      <c r="O584" s="813" t="s">
        <v>3883</v>
      </c>
      <c r="P584" s="813" t="s">
        <v>5832</v>
      </c>
      <c r="Q584" s="813" t="s">
        <v>5833</v>
      </c>
      <c r="R584" s="813">
        <v>1</v>
      </c>
      <c r="S584" s="813" t="s">
        <v>3928</v>
      </c>
      <c r="T584" s="813" t="s">
        <v>4196</v>
      </c>
    </row>
    <row r="585" spans="1:20" ht="28" customHeight="1" x14ac:dyDescent="0.35">
      <c r="A585" s="830" t="s">
        <v>5834</v>
      </c>
      <c r="B585" s="794" t="s">
        <v>3857</v>
      </c>
      <c r="C585" s="812" t="s">
        <v>5237</v>
      </c>
      <c r="D585" s="825"/>
      <c r="E585" s="825"/>
      <c r="F585" s="825">
        <v>780000</v>
      </c>
      <c r="G585" s="814" t="s">
        <v>3858</v>
      </c>
      <c r="H585" s="813" t="s">
        <v>254</v>
      </c>
      <c r="I585" s="813" t="s">
        <v>4191</v>
      </c>
      <c r="J585" s="813" t="s">
        <v>5830</v>
      </c>
      <c r="K585" s="813" t="s">
        <v>5300</v>
      </c>
      <c r="L585" s="813" t="s">
        <v>3863</v>
      </c>
      <c r="M585" s="813" t="s">
        <v>3193</v>
      </c>
      <c r="N585" s="813" t="s">
        <v>5835</v>
      </c>
      <c r="O585" s="813" t="s">
        <v>3883</v>
      </c>
      <c r="P585" s="813" t="s">
        <v>5836</v>
      </c>
      <c r="Q585" s="813" t="s">
        <v>5837</v>
      </c>
      <c r="R585" s="813">
        <v>1</v>
      </c>
      <c r="S585" s="813" t="s">
        <v>3928</v>
      </c>
      <c r="T585" s="813" t="s">
        <v>4196</v>
      </c>
    </row>
    <row r="586" spans="1:20" ht="15" customHeight="1" x14ac:dyDescent="0.35">
      <c r="A586" s="803" t="s">
        <v>5838</v>
      </c>
      <c r="B586" s="803"/>
      <c r="C586" s="803"/>
      <c r="D586" s="803"/>
      <c r="E586" s="803"/>
      <c r="F586" s="803"/>
      <c r="G586" s="803" t="s">
        <v>3898</v>
      </c>
      <c r="H586" s="794"/>
      <c r="I586" s="794"/>
      <c r="J586" s="794"/>
      <c r="K586" s="794"/>
      <c r="L586" s="794"/>
      <c r="M586" s="794"/>
      <c r="N586" s="794"/>
      <c r="O586" s="794"/>
      <c r="P586" s="794"/>
      <c r="Q586" s="794"/>
      <c r="R586" s="794"/>
      <c r="S586" s="794"/>
      <c r="T586" s="794"/>
    </row>
    <row r="587" spans="1:20" ht="15" customHeight="1" x14ac:dyDescent="0.35">
      <c r="A587" s="794" t="s">
        <v>5839</v>
      </c>
      <c r="B587" s="794" t="s">
        <v>3857</v>
      </c>
      <c r="C587" s="812" t="s">
        <v>5237</v>
      </c>
      <c r="D587" s="825">
        <v>3025000</v>
      </c>
      <c r="E587" s="825"/>
      <c r="F587" s="826"/>
      <c r="G587" s="814" t="s">
        <v>3858</v>
      </c>
      <c r="H587" s="813" t="s">
        <v>254</v>
      </c>
      <c r="I587" s="813" t="s">
        <v>4191</v>
      </c>
      <c r="J587" s="813" t="s">
        <v>5840</v>
      </c>
      <c r="K587" s="813" t="s">
        <v>5300</v>
      </c>
      <c r="L587" s="813" t="s">
        <v>3863</v>
      </c>
      <c r="M587" s="813" t="s">
        <v>3193</v>
      </c>
      <c r="N587" s="813" t="s">
        <v>5841</v>
      </c>
      <c r="O587" s="813" t="s">
        <v>3883</v>
      </c>
      <c r="P587" s="813" t="s">
        <v>5842</v>
      </c>
      <c r="Q587" s="813" t="s">
        <v>5843</v>
      </c>
      <c r="R587" s="813">
        <v>1</v>
      </c>
      <c r="S587" s="813" t="s">
        <v>3928</v>
      </c>
      <c r="T587" s="813" t="s">
        <v>4196</v>
      </c>
    </row>
    <row r="588" spans="1:20" ht="15" customHeight="1" x14ac:dyDescent="0.35">
      <c r="A588" s="794" t="s">
        <v>5844</v>
      </c>
      <c r="B588" s="794" t="s">
        <v>3857</v>
      </c>
      <c r="C588" s="812" t="s">
        <v>5237</v>
      </c>
      <c r="D588" s="825">
        <v>2354000</v>
      </c>
      <c r="E588" s="825"/>
      <c r="F588" s="826"/>
      <c r="G588" s="814" t="s">
        <v>3858</v>
      </c>
      <c r="H588" s="813" t="s">
        <v>254</v>
      </c>
      <c r="I588" s="813" t="s">
        <v>4191</v>
      </c>
      <c r="J588" s="813" t="s">
        <v>5840</v>
      </c>
      <c r="K588" s="813" t="s">
        <v>5300</v>
      </c>
      <c r="L588" s="813" t="s">
        <v>3863</v>
      </c>
      <c r="M588" s="813" t="s">
        <v>3193</v>
      </c>
      <c r="N588" s="813" t="s">
        <v>5845</v>
      </c>
      <c r="O588" s="813" t="s">
        <v>3883</v>
      </c>
      <c r="P588" s="813" t="s">
        <v>5846</v>
      </c>
      <c r="Q588" s="813" t="s">
        <v>5847</v>
      </c>
      <c r="R588" s="813">
        <v>1</v>
      </c>
      <c r="S588" s="813" t="s">
        <v>3928</v>
      </c>
      <c r="T588" s="813" t="s">
        <v>4196</v>
      </c>
    </row>
    <row r="589" spans="1:20" ht="15" customHeight="1" x14ac:dyDescent="0.35">
      <c r="A589" s="794" t="s">
        <v>5848</v>
      </c>
      <c r="B589" s="794" t="s">
        <v>3857</v>
      </c>
      <c r="C589" s="812" t="s">
        <v>5237</v>
      </c>
      <c r="D589" s="825">
        <v>420000</v>
      </c>
      <c r="E589" s="825"/>
      <c r="F589" s="826"/>
      <c r="G589" s="814" t="s">
        <v>3858</v>
      </c>
      <c r="H589" s="813" t="s">
        <v>254</v>
      </c>
      <c r="I589" s="813" t="s">
        <v>4191</v>
      </c>
      <c r="J589" s="813" t="s">
        <v>5840</v>
      </c>
      <c r="K589" s="813" t="s">
        <v>5300</v>
      </c>
      <c r="L589" s="813" t="s">
        <v>3863</v>
      </c>
      <c r="M589" s="813" t="s">
        <v>3193</v>
      </c>
      <c r="N589" s="813" t="s">
        <v>5849</v>
      </c>
      <c r="O589" s="813" t="s">
        <v>3883</v>
      </c>
      <c r="P589" s="813" t="s">
        <v>5850</v>
      </c>
      <c r="Q589" s="813" t="s">
        <v>5851</v>
      </c>
      <c r="R589" s="813">
        <v>1</v>
      </c>
      <c r="S589" s="813" t="s">
        <v>3928</v>
      </c>
      <c r="T589" s="813" t="s">
        <v>4196</v>
      </c>
    </row>
    <row r="590" spans="1:20" ht="15" customHeight="1" x14ac:dyDescent="0.35">
      <c r="A590" s="794" t="s">
        <v>5852</v>
      </c>
      <c r="B590" s="794" t="s">
        <v>3857</v>
      </c>
      <c r="C590" s="812" t="s">
        <v>5237</v>
      </c>
      <c r="D590" s="825">
        <v>1850000</v>
      </c>
      <c r="E590" s="825"/>
      <c r="F590" s="826"/>
      <c r="G590" s="814" t="s">
        <v>3858</v>
      </c>
      <c r="H590" s="813" t="s">
        <v>254</v>
      </c>
      <c r="I590" s="813" t="s">
        <v>4191</v>
      </c>
      <c r="J590" s="813" t="s">
        <v>5840</v>
      </c>
      <c r="K590" s="813" t="s">
        <v>5300</v>
      </c>
      <c r="L590" s="813" t="s">
        <v>3863</v>
      </c>
      <c r="M590" s="813" t="s">
        <v>3193</v>
      </c>
      <c r="N590" s="813" t="s">
        <v>5853</v>
      </c>
      <c r="O590" s="813" t="s">
        <v>3883</v>
      </c>
      <c r="P590" s="813" t="s">
        <v>5854</v>
      </c>
      <c r="Q590" s="813" t="s">
        <v>5855</v>
      </c>
      <c r="R590" s="813">
        <v>1</v>
      </c>
      <c r="S590" s="813" t="s">
        <v>3928</v>
      </c>
      <c r="T590" s="813" t="s">
        <v>4196</v>
      </c>
    </row>
    <row r="591" spans="1:20" ht="15" customHeight="1" x14ac:dyDescent="0.35">
      <c r="A591" s="802" t="s">
        <v>5856</v>
      </c>
      <c r="B591" s="802"/>
      <c r="C591" s="802"/>
      <c r="D591" s="802"/>
      <c r="E591" s="802"/>
      <c r="F591" s="802"/>
      <c r="G591" s="802" t="s">
        <v>3898</v>
      </c>
      <c r="H591" s="794"/>
      <c r="I591" s="794"/>
      <c r="J591" s="794"/>
      <c r="K591" s="794"/>
      <c r="L591" s="794"/>
      <c r="M591" s="794"/>
      <c r="N591" s="794"/>
      <c r="O591" s="794"/>
      <c r="P591" s="794"/>
      <c r="Q591" s="794"/>
      <c r="R591" s="794"/>
      <c r="S591" s="794"/>
      <c r="T591" s="794"/>
    </row>
    <row r="592" spans="1:20" ht="15" customHeight="1" x14ac:dyDescent="0.35">
      <c r="A592" s="803" t="s">
        <v>5857</v>
      </c>
      <c r="B592" s="803"/>
      <c r="C592" s="803"/>
      <c r="D592" s="803"/>
      <c r="E592" s="803"/>
      <c r="F592" s="803"/>
      <c r="G592" s="803" t="s">
        <v>3855</v>
      </c>
      <c r="H592" s="794"/>
      <c r="I592" s="794"/>
      <c r="J592" s="794"/>
      <c r="K592" s="794"/>
      <c r="L592" s="794"/>
      <c r="M592" s="794"/>
      <c r="N592" s="794"/>
      <c r="O592" s="794"/>
      <c r="P592" s="794"/>
      <c r="Q592" s="794"/>
      <c r="R592" s="794"/>
      <c r="S592" s="794"/>
      <c r="T592" s="794"/>
    </row>
    <row r="593" spans="1:20" ht="15" customHeight="1" x14ac:dyDescent="0.35">
      <c r="A593" s="794" t="s">
        <v>5858</v>
      </c>
      <c r="B593" s="794" t="s">
        <v>3857</v>
      </c>
      <c r="C593" s="812" t="s">
        <v>3880</v>
      </c>
      <c r="D593" s="825"/>
      <c r="E593" s="825"/>
      <c r="F593" s="825">
        <v>9000</v>
      </c>
      <c r="G593" s="814" t="s">
        <v>3858</v>
      </c>
      <c r="H593" s="813" t="s">
        <v>250</v>
      </c>
      <c r="I593" s="813" t="s">
        <v>4191</v>
      </c>
      <c r="J593" s="813" t="s">
        <v>4246</v>
      </c>
      <c r="K593" s="813" t="s">
        <v>4072</v>
      </c>
      <c r="L593" s="813" t="s">
        <v>3863</v>
      </c>
      <c r="M593" s="813" t="s">
        <v>1818</v>
      </c>
      <c r="N593" s="813" t="s">
        <v>5859</v>
      </c>
      <c r="O593" s="813" t="s">
        <v>4248</v>
      </c>
      <c r="P593" s="813" t="s">
        <v>5860</v>
      </c>
      <c r="Q593" s="813" t="s">
        <v>5861</v>
      </c>
      <c r="R593" s="813">
        <v>1</v>
      </c>
      <c r="S593" s="813" t="s">
        <v>4237</v>
      </c>
      <c r="T593" s="813" t="s">
        <v>4196</v>
      </c>
    </row>
    <row r="594" spans="1:20" ht="15" customHeight="1" x14ac:dyDescent="0.35">
      <c r="A594" s="794" t="s">
        <v>5862</v>
      </c>
      <c r="B594" s="794" t="s">
        <v>3857</v>
      </c>
      <c r="C594" s="812" t="s">
        <v>3880</v>
      </c>
      <c r="D594" s="825"/>
      <c r="E594" s="825"/>
      <c r="F594" s="825">
        <v>9000</v>
      </c>
      <c r="G594" s="814" t="s">
        <v>3858</v>
      </c>
      <c r="H594" s="813" t="s">
        <v>250</v>
      </c>
      <c r="I594" s="813" t="s">
        <v>4191</v>
      </c>
      <c r="J594" s="813" t="s">
        <v>4246</v>
      </c>
      <c r="K594" s="813" t="s">
        <v>4072</v>
      </c>
      <c r="L594" s="813" t="s">
        <v>3863</v>
      </c>
      <c r="M594" s="813" t="s">
        <v>1818</v>
      </c>
      <c r="N594" s="813" t="s">
        <v>5863</v>
      </c>
      <c r="O594" s="813" t="s">
        <v>4234</v>
      </c>
      <c r="P594" s="813" t="s">
        <v>5864</v>
      </c>
      <c r="Q594" s="813" t="s">
        <v>5865</v>
      </c>
      <c r="R594" s="813">
        <v>1</v>
      </c>
      <c r="S594" s="813" t="s">
        <v>4237</v>
      </c>
      <c r="T594" s="813" t="s">
        <v>4196</v>
      </c>
    </row>
    <row r="595" spans="1:20" ht="15" customHeight="1" x14ac:dyDescent="0.35">
      <c r="A595" s="794" t="s">
        <v>5866</v>
      </c>
      <c r="B595" s="794" t="s">
        <v>3857</v>
      </c>
      <c r="C595" s="812" t="s">
        <v>3880</v>
      </c>
      <c r="D595" s="825"/>
      <c r="E595" s="825"/>
      <c r="F595" s="825">
        <v>6500</v>
      </c>
      <c r="G595" s="814" t="s">
        <v>3858</v>
      </c>
      <c r="H595" s="813" t="s">
        <v>250</v>
      </c>
      <c r="I595" s="813" t="s">
        <v>4191</v>
      </c>
      <c r="J595" s="813" t="s">
        <v>4246</v>
      </c>
      <c r="K595" s="813" t="s">
        <v>4072</v>
      </c>
      <c r="L595" s="813" t="s">
        <v>3863</v>
      </c>
      <c r="M595" s="813" t="s">
        <v>1818</v>
      </c>
      <c r="N595" s="813" t="s">
        <v>5867</v>
      </c>
      <c r="O595" s="813" t="s">
        <v>4248</v>
      </c>
      <c r="P595" s="813" t="s">
        <v>5868</v>
      </c>
      <c r="Q595" s="813" t="s">
        <v>5869</v>
      </c>
      <c r="R595" s="813">
        <v>1</v>
      </c>
      <c r="S595" s="813" t="s">
        <v>4237</v>
      </c>
      <c r="T595" s="813" t="s">
        <v>4196</v>
      </c>
    </row>
    <row r="596" spans="1:20" ht="15" customHeight="1" x14ac:dyDescent="0.35">
      <c r="A596" s="803" t="s">
        <v>5870</v>
      </c>
      <c r="B596" s="803"/>
      <c r="C596" s="803"/>
      <c r="D596" s="803"/>
      <c r="E596" s="803"/>
      <c r="F596" s="803"/>
      <c r="G596" s="803" t="s">
        <v>3946</v>
      </c>
      <c r="H596" s="794"/>
      <c r="I596" s="794"/>
      <c r="J596" s="794"/>
      <c r="K596" s="794"/>
      <c r="L596" s="794"/>
      <c r="M596" s="794"/>
      <c r="N596" s="794"/>
      <c r="O596" s="794"/>
      <c r="P596" s="794"/>
      <c r="Q596" s="794"/>
      <c r="R596" s="794"/>
      <c r="S596" s="794"/>
      <c r="T596" s="794"/>
    </row>
    <row r="597" spans="1:20" ht="15" customHeight="1" x14ac:dyDescent="0.35">
      <c r="A597" s="794" t="s">
        <v>5871</v>
      </c>
      <c r="B597" s="794" t="s">
        <v>3857</v>
      </c>
      <c r="C597" s="812" t="s">
        <v>5237</v>
      </c>
      <c r="D597" s="825">
        <v>19761525</v>
      </c>
      <c r="E597" s="825"/>
      <c r="F597" s="826"/>
      <c r="G597" s="814" t="s">
        <v>3858</v>
      </c>
      <c r="H597" s="813" t="s">
        <v>250</v>
      </c>
      <c r="I597" s="813" t="s">
        <v>4191</v>
      </c>
      <c r="J597" s="813" t="s">
        <v>5872</v>
      </c>
      <c r="K597" s="813" t="s">
        <v>250</v>
      </c>
      <c r="L597" s="813" t="s">
        <v>3863</v>
      </c>
      <c r="M597" s="813" t="s">
        <v>3211</v>
      </c>
      <c r="N597" s="813" t="s">
        <v>5873</v>
      </c>
      <c r="O597" s="813" t="s">
        <v>4264</v>
      </c>
      <c r="P597" s="813" t="s">
        <v>5874</v>
      </c>
      <c r="Q597" s="813" t="s">
        <v>5875</v>
      </c>
      <c r="R597" s="813">
        <v>1</v>
      </c>
      <c r="S597" s="813" t="s">
        <v>3928</v>
      </c>
      <c r="T597" s="813" t="s">
        <v>4196</v>
      </c>
    </row>
    <row r="598" spans="1:20" ht="15" customHeight="1" x14ac:dyDescent="0.35">
      <c r="A598" s="802" t="s">
        <v>5876</v>
      </c>
      <c r="B598" s="802"/>
      <c r="C598" s="802"/>
      <c r="D598" s="802"/>
      <c r="E598" s="802"/>
      <c r="F598" s="802"/>
      <c r="G598" s="802" t="s">
        <v>3918</v>
      </c>
      <c r="H598" s="794"/>
      <c r="I598" s="794"/>
      <c r="J598" s="794"/>
      <c r="K598" s="794"/>
      <c r="L598" s="794"/>
      <c r="M598" s="794"/>
      <c r="N598" s="794"/>
      <c r="O598" s="794"/>
      <c r="P598" s="794"/>
      <c r="Q598" s="794"/>
      <c r="R598" s="794"/>
      <c r="S598" s="794"/>
      <c r="T598" s="794"/>
    </row>
    <row r="599" spans="1:20" ht="15" customHeight="1" x14ac:dyDescent="0.35">
      <c r="A599" s="803" t="s">
        <v>5877</v>
      </c>
      <c r="B599" s="803"/>
      <c r="C599" s="803"/>
      <c r="D599" s="803"/>
      <c r="E599" s="803"/>
      <c r="F599" s="803"/>
      <c r="G599" s="803" t="s">
        <v>3855</v>
      </c>
      <c r="H599" s="794"/>
      <c r="I599" s="794"/>
      <c r="J599" s="794"/>
      <c r="K599" s="794"/>
      <c r="L599" s="794"/>
      <c r="M599" s="794"/>
      <c r="N599" s="794"/>
      <c r="O599" s="794"/>
      <c r="P599" s="794"/>
      <c r="Q599" s="794"/>
      <c r="R599" s="794"/>
      <c r="S599" s="794"/>
      <c r="T599" s="794"/>
    </row>
    <row r="600" spans="1:20" ht="15" customHeight="1" x14ac:dyDescent="0.35">
      <c r="A600" s="794" t="s">
        <v>5878</v>
      </c>
      <c r="B600" s="794" t="s">
        <v>3857</v>
      </c>
      <c r="C600" s="812" t="s">
        <v>3880</v>
      </c>
      <c r="D600" s="825"/>
      <c r="E600" s="825"/>
      <c r="F600" s="825">
        <v>3800</v>
      </c>
      <c r="G600" s="814" t="s">
        <v>3858</v>
      </c>
      <c r="H600" s="813" t="s">
        <v>256</v>
      </c>
      <c r="I600" s="813" t="s">
        <v>4191</v>
      </c>
      <c r="J600" s="813" t="s">
        <v>4246</v>
      </c>
      <c r="K600" s="813" t="s">
        <v>4072</v>
      </c>
      <c r="L600" s="813" t="s">
        <v>3863</v>
      </c>
      <c r="M600" s="813" t="s">
        <v>1818</v>
      </c>
      <c r="N600" s="813" t="s">
        <v>5879</v>
      </c>
      <c r="O600" s="813" t="s">
        <v>4248</v>
      </c>
      <c r="P600" s="813" t="s">
        <v>5880</v>
      </c>
      <c r="Q600" s="813" t="s">
        <v>5881</v>
      </c>
      <c r="R600" s="813">
        <v>1</v>
      </c>
      <c r="S600" s="813" t="s">
        <v>4237</v>
      </c>
      <c r="T600" s="813" t="s">
        <v>4196</v>
      </c>
    </row>
    <row r="601" spans="1:20" ht="15" customHeight="1" x14ac:dyDescent="0.35">
      <c r="A601" s="794" t="s">
        <v>5882</v>
      </c>
      <c r="B601" s="794" t="s">
        <v>3857</v>
      </c>
      <c r="C601" s="812" t="s">
        <v>3880</v>
      </c>
      <c r="D601" s="825"/>
      <c r="E601" s="825"/>
      <c r="F601" s="825">
        <v>300</v>
      </c>
      <c r="G601" s="814" t="s">
        <v>3858</v>
      </c>
      <c r="H601" s="813" t="s">
        <v>256</v>
      </c>
      <c r="I601" s="813" t="s">
        <v>4191</v>
      </c>
      <c r="J601" s="813" t="s">
        <v>4246</v>
      </c>
      <c r="K601" s="813" t="s">
        <v>4072</v>
      </c>
      <c r="L601" s="813" t="s">
        <v>3863</v>
      </c>
      <c r="M601" s="813" t="s">
        <v>1818</v>
      </c>
      <c r="N601" s="813" t="s">
        <v>5883</v>
      </c>
      <c r="O601" s="813" t="s">
        <v>4234</v>
      </c>
      <c r="P601" s="813" t="s">
        <v>5884</v>
      </c>
      <c r="Q601" s="813" t="s">
        <v>5885</v>
      </c>
      <c r="R601" s="813">
        <v>1</v>
      </c>
      <c r="S601" s="813" t="s">
        <v>4237</v>
      </c>
      <c r="T601" s="813" t="s">
        <v>4196</v>
      </c>
    </row>
    <row r="602" spans="1:20" ht="15" customHeight="1" x14ac:dyDescent="0.35">
      <c r="A602" s="794" t="s">
        <v>5886</v>
      </c>
      <c r="B602" s="794" t="s">
        <v>3857</v>
      </c>
      <c r="C602" s="812" t="s">
        <v>3880</v>
      </c>
      <c r="D602" s="825"/>
      <c r="E602" s="825"/>
      <c r="F602" s="825">
        <v>3800</v>
      </c>
      <c r="G602" s="814" t="s">
        <v>3858</v>
      </c>
      <c r="H602" s="813" t="s">
        <v>256</v>
      </c>
      <c r="I602" s="813" t="s">
        <v>4191</v>
      </c>
      <c r="J602" s="813" t="s">
        <v>4246</v>
      </c>
      <c r="K602" s="813" t="s">
        <v>4072</v>
      </c>
      <c r="L602" s="813" t="s">
        <v>3863</v>
      </c>
      <c r="M602" s="813" t="s">
        <v>1818</v>
      </c>
      <c r="N602" s="813" t="s">
        <v>5887</v>
      </c>
      <c r="O602" s="813" t="s">
        <v>4248</v>
      </c>
      <c r="P602" s="813" t="s">
        <v>5888</v>
      </c>
      <c r="Q602" s="813" t="s">
        <v>5889</v>
      </c>
      <c r="R602" s="813">
        <v>1</v>
      </c>
      <c r="S602" s="813" t="s">
        <v>4237</v>
      </c>
      <c r="T602" s="813" t="s">
        <v>4196</v>
      </c>
    </row>
    <row r="603" spans="1:20" ht="15" customHeight="1" x14ac:dyDescent="0.35">
      <c r="A603" s="803" t="s">
        <v>5890</v>
      </c>
      <c r="B603" s="803"/>
      <c r="C603" s="803"/>
      <c r="D603" s="803"/>
      <c r="E603" s="803"/>
      <c r="F603" s="803"/>
      <c r="G603" s="803" t="s">
        <v>3855</v>
      </c>
      <c r="H603" s="794"/>
      <c r="I603" s="794"/>
      <c r="J603" s="794"/>
      <c r="K603" s="794"/>
      <c r="L603" s="794"/>
      <c r="M603" s="794"/>
      <c r="N603" s="794"/>
      <c r="O603" s="794"/>
      <c r="P603" s="794"/>
      <c r="Q603" s="794"/>
      <c r="R603" s="794"/>
      <c r="S603" s="794"/>
      <c r="T603" s="794"/>
    </row>
    <row r="604" spans="1:20" ht="15" customHeight="1" x14ac:dyDescent="0.35">
      <c r="A604" s="794" t="s">
        <v>5891</v>
      </c>
      <c r="B604" s="794" t="s">
        <v>3857</v>
      </c>
      <c r="C604" s="812" t="s">
        <v>3913</v>
      </c>
      <c r="D604" s="825">
        <v>13</v>
      </c>
      <c r="E604" s="825"/>
      <c r="F604" s="826"/>
      <c r="G604" s="814" t="s">
        <v>3858</v>
      </c>
      <c r="H604" s="813" t="s">
        <v>256</v>
      </c>
      <c r="I604" s="813" t="s">
        <v>4191</v>
      </c>
      <c r="J604" s="813" t="s">
        <v>5892</v>
      </c>
      <c r="K604" s="813" t="s">
        <v>256</v>
      </c>
      <c r="L604" s="813" t="s">
        <v>3863</v>
      </c>
      <c r="M604" s="813" t="s">
        <v>3175</v>
      </c>
      <c r="N604" s="813" t="s">
        <v>5893</v>
      </c>
      <c r="O604" s="813" t="s">
        <v>3925</v>
      </c>
      <c r="P604" s="813" t="s">
        <v>5894</v>
      </c>
      <c r="Q604" s="813" t="s">
        <v>5895</v>
      </c>
      <c r="R604" s="813">
        <v>1</v>
      </c>
      <c r="S604" s="813" t="s">
        <v>3928</v>
      </c>
      <c r="T604" s="813" t="s">
        <v>4196</v>
      </c>
    </row>
    <row r="605" spans="1:20" ht="15" customHeight="1" x14ac:dyDescent="0.35">
      <c r="A605" s="794" t="s">
        <v>5896</v>
      </c>
      <c r="B605" s="794" t="s">
        <v>3857</v>
      </c>
      <c r="C605" s="812" t="s">
        <v>3913</v>
      </c>
      <c r="D605" s="825"/>
      <c r="E605" s="825"/>
      <c r="F605" s="825">
        <v>1</v>
      </c>
      <c r="G605" s="814" t="s">
        <v>3858</v>
      </c>
      <c r="H605" s="813" t="s">
        <v>256</v>
      </c>
      <c r="I605" s="813" t="s">
        <v>4191</v>
      </c>
      <c r="J605" s="813" t="s">
        <v>5892</v>
      </c>
      <c r="K605" s="813" t="s">
        <v>256</v>
      </c>
      <c r="L605" s="813" t="s">
        <v>3863</v>
      </c>
      <c r="M605" s="813" t="s">
        <v>3175</v>
      </c>
      <c r="N605" s="813" t="s">
        <v>5897</v>
      </c>
      <c r="O605" s="813" t="s">
        <v>3925</v>
      </c>
      <c r="P605" s="813" t="s">
        <v>5898</v>
      </c>
      <c r="Q605" s="813" t="s">
        <v>5899</v>
      </c>
      <c r="R605" s="813">
        <v>1</v>
      </c>
      <c r="S605" s="813" t="s">
        <v>3928</v>
      </c>
      <c r="T605" s="813" t="s">
        <v>4196</v>
      </c>
    </row>
    <row r="606" spans="1:20" ht="15" customHeight="1" x14ac:dyDescent="0.35">
      <c r="A606" s="794" t="s">
        <v>5900</v>
      </c>
      <c r="B606" s="794" t="s">
        <v>3857</v>
      </c>
      <c r="C606" s="812" t="s">
        <v>3913</v>
      </c>
      <c r="D606" s="825">
        <v>12</v>
      </c>
      <c r="E606" s="825"/>
      <c r="F606" s="826"/>
      <c r="G606" s="814" t="s">
        <v>3858</v>
      </c>
      <c r="H606" s="813" t="s">
        <v>256</v>
      </c>
      <c r="I606" s="813" t="s">
        <v>4191</v>
      </c>
      <c r="J606" s="813" t="s">
        <v>5892</v>
      </c>
      <c r="K606" s="813" t="s">
        <v>256</v>
      </c>
      <c r="L606" s="813" t="s">
        <v>3863</v>
      </c>
      <c r="M606" s="813" t="s">
        <v>3175</v>
      </c>
      <c r="N606" s="813" t="s">
        <v>5901</v>
      </c>
      <c r="O606" s="813" t="s">
        <v>3883</v>
      </c>
      <c r="P606" s="813" t="s">
        <v>5902</v>
      </c>
      <c r="Q606" s="813" t="s">
        <v>5903</v>
      </c>
      <c r="R606" s="813">
        <v>1</v>
      </c>
      <c r="S606" s="813" t="s">
        <v>3928</v>
      </c>
      <c r="T606" s="813" t="s">
        <v>4196</v>
      </c>
    </row>
    <row r="607" spans="1:20" ht="15" customHeight="1" x14ac:dyDescent="0.35">
      <c r="A607" s="802" t="s">
        <v>5904</v>
      </c>
      <c r="B607" s="802"/>
      <c r="C607" s="802"/>
      <c r="D607" s="802"/>
      <c r="E607" s="802"/>
      <c r="F607" s="802"/>
      <c r="G607" s="802" t="s">
        <v>3898</v>
      </c>
      <c r="H607" s="794"/>
      <c r="I607" s="794"/>
      <c r="J607" s="794"/>
      <c r="K607" s="794"/>
      <c r="L607" s="794"/>
      <c r="M607" s="794"/>
      <c r="N607" s="794"/>
      <c r="O607" s="794"/>
      <c r="P607" s="794"/>
      <c r="Q607" s="794"/>
      <c r="R607" s="794"/>
      <c r="S607" s="794"/>
      <c r="T607" s="794"/>
    </row>
    <row r="608" spans="1:20" ht="15" customHeight="1" x14ac:dyDescent="0.35">
      <c r="A608" s="803" t="s">
        <v>5905</v>
      </c>
      <c r="B608" s="803"/>
      <c r="C608" s="803"/>
      <c r="D608" s="803"/>
      <c r="E608" s="803"/>
      <c r="F608" s="803"/>
      <c r="G608" s="803" t="s">
        <v>3855</v>
      </c>
      <c r="H608" s="794"/>
      <c r="I608" s="794"/>
      <c r="J608" s="794"/>
      <c r="K608" s="794"/>
      <c r="L608" s="794"/>
      <c r="M608" s="794"/>
      <c r="N608" s="794"/>
      <c r="O608" s="794"/>
      <c r="P608" s="794"/>
      <c r="Q608" s="794"/>
      <c r="R608" s="794"/>
      <c r="S608" s="794"/>
      <c r="T608" s="794"/>
    </row>
    <row r="609" spans="1:20" ht="15" customHeight="1" x14ac:dyDescent="0.35">
      <c r="A609" s="794" t="s">
        <v>5906</v>
      </c>
      <c r="B609" s="794" t="s">
        <v>3857</v>
      </c>
      <c r="C609" s="812" t="s">
        <v>3880</v>
      </c>
      <c r="D609" s="825"/>
      <c r="E609" s="825"/>
      <c r="F609" s="825">
        <v>150</v>
      </c>
      <c r="G609" s="814" t="s">
        <v>3858</v>
      </c>
      <c r="H609" s="813" t="s">
        <v>5907</v>
      </c>
      <c r="I609" s="813" t="s">
        <v>4191</v>
      </c>
      <c r="J609" s="813" t="s">
        <v>4246</v>
      </c>
      <c r="K609" s="813" t="s">
        <v>4072</v>
      </c>
      <c r="L609" s="813" t="s">
        <v>3863</v>
      </c>
      <c r="M609" s="813" t="s">
        <v>1818</v>
      </c>
      <c r="N609" s="813" t="s">
        <v>5908</v>
      </c>
      <c r="O609" s="813" t="s">
        <v>4248</v>
      </c>
      <c r="P609" s="813" t="s">
        <v>5909</v>
      </c>
      <c r="Q609" s="813" t="s">
        <v>5910</v>
      </c>
      <c r="R609" s="813">
        <v>1</v>
      </c>
      <c r="S609" s="813" t="s">
        <v>4237</v>
      </c>
      <c r="T609" s="813" t="s">
        <v>4196</v>
      </c>
    </row>
    <row r="610" spans="1:20" ht="15" customHeight="1" x14ac:dyDescent="0.35">
      <c r="A610" s="794" t="s">
        <v>5911</v>
      </c>
      <c r="B610" s="794" t="s">
        <v>3857</v>
      </c>
      <c r="C610" s="812" t="s">
        <v>3880</v>
      </c>
      <c r="D610" s="825"/>
      <c r="E610" s="825"/>
      <c r="F610" s="825">
        <v>200</v>
      </c>
      <c r="G610" s="814" t="s">
        <v>3858</v>
      </c>
      <c r="H610" s="813" t="s">
        <v>5907</v>
      </c>
      <c r="I610" s="813" t="s">
        <v>4191</v>
      </c>
      <c r="J610" s="813" t="s">
        <v>4246</v>
      </c>
      <c r="K610" s="813" t="s">
        <v>4072</v>
      </c>
      <c r="L610" s="813" t="s">
        <v>3863</v>
      </c>
      <c r="M610" s="813" t="s">
        <v>1818</v>
      </c>
      <c r="N610" s="813" t="s">
        <v>5912</v>
      </c>
      <c r="O610" s="813" t="s">
        <v>4234</v>
      </c>
      <c r="P610" s="813" t="s">
        <v>5913</v>
      </c>
      <c r="Q610" s="813" t="s">
        <v>5914</v>
      </c>
      <c r="R610" s="813">
        <v>1</v>
      </c>
      <c r="S610" s="813" t="s">
        <v>4237</v>
      </c>
      <c r="T610" s="813" t="s">
        <v>4196</v>
      </c>
    </row>
    <row r="611" spans="1:20" ht="15" customHeight="1" x14ac:dyDescent="0.35">
      <c r="A611" s="794" t="s">
        <v>5915</v>
      </c>
      <c r="B611" s="794" t="s">
        <v>3857</v>
      </c>
      <c r="C611" s="812" t="s">
        <v>3880</v>
      </c>
      <c r="D611" s="825"/>
      <c r="E611" s="825"/>
      <c r="F611" s="825">
        <v>150</v>
      </c>
      <c r="G611" s="814" t="s">
        <v>3858</v>
      </c>
      <c r="H611" s="813" t="s">
        <v>5907</v>
      </c>
      <c r="I611" s="813" t="s">
        <v>4191</v>
      </c>
      <c r="J611" s="813" t="s">
        <v>4246</v>
      </c>
      <c r="K611" s="813" t="s">
        <v>4072</v>
      </c>
      <c r="L611" s="813" t="s">
        <v>3863</v>
      </c>
      <c r="M611" s="813" t="s">
        <v>1818</v>
      </c>
      <c r="N611" s="813" t="s">
        <v>5916</v>
      </c>
      <c r="O611" s="813" t="s">
        <v>4248</v>
      </c>
      <c r="P611" s="813" t="s">
        <v>5917</v>
      </c>
      <c r="Q611" s="813" t="s">
        <v>5918</v>
      </c>
      <c r="R611" s="813">
        <v>1</v>
      </c>
      <c r="S611" s="813" t="s">
        <v>4237</v>
      </c>
      <c r="T611" s="813" t="s">
        <v>4196</v>
      </c>
    </row>
    <row r="612" spans="1:20" ht="15" customHeight="1" x14ac:dyDescent="0.35">
      <c r="A612" s="803" t="s">
        <v>5919</v>
      </c>
      <c r="B612" s="803"/>
      <c r="C612" s="803"/>
      <c r="D612" s="803"/>
      <c r="E612" s="803"/>
      <c r="F612" s="803"/>
      <c r="G612" s="803" t="s">
        <v>3946</v>
      </c>
      <c r="H612" s="794"/>
      <c r="I612" s="794"/>
      <c r="J612" s="794"/>
      <c r="K612" s="794"/>
      <c r="L612" s="794"/>
      <c r="M612" s="794"/>
      <c r="N612" s="794"/>
      <c r="O612" s="794"/>
      <c r="P612" s="794"/>
      <c r="Q612" s="794"/>
      <c r="R612" s="794"/>
      <c r="S612" s="794"/>
      <c r="T612" s="794"/>
    </row>
    <row r="613" spans="1:20" ht="15" customHeight="1" x14ac:dyDescent="0.35">
      <c r="A613" s="794" t="s">
        <v>5920</v>
      </c>
      <c r="B613" s="794" t="s">
        <v>3857</v>
      </c>
      <c r="C613" s="812" t="s">
        <v>5237</v>
      </c>
      <c r="D613" s="825">
        <v>0.5</v>
      </c>
      <c r="E613" s="825"/>
      <c r="F613" s="826"/>
      <c r="G613" s="814" t="s">
        <v>3858</v>
      </c>
      <c r="H613" s="813" t="s">
        <v>5907</v>
      </c>
      <c r="I613" s="813" t="s">
        <v>4191</v>
      </c>
      <c r="J613" s="813" t="s">
        <v>5921</v>
      </c>
      <c r="K613" s="813" t="s">
        <v>4072</v>
      </c>
      <c r="L613" s="813" t="s">
        <v>3863</v>
      </c>
      <c r="M613" s="813" t="s">
        <v>1818</v>
      </c>
      <c r="N613" s="813" t="s">
        <v>5922</v>
      </c>
      <c r="O613" s="813" t="s">
        <v>4212</v>
      </c>
      <c r="P613" s="813" t="s">
        <v>5923</v>
      </c>
      <c r="Q613" s="813" t="s">
        <v>5924</v>
      </c>
      <c r="R613" s="813">
        <v>1</v>
      </c>
      <c r="S613" s="813" t="s">
        <v>4237</v>
      </c>
      <c r="T613" s="813" t="s">
        <v>4196</v>
      </c>
    </row>
    <row r="614" spans="1:20" ht="15" customHeight="1" x14ac:dyDescent="0.35">
      <c r="A614" s="802" t="s">
        <v>5925</v>
      </c>
      <c r="B614" s="802"/>
      <c r="C614" s="802"/>
      <c r="D614" s="802"/>
      <c r="E614" s="802"/>
      <c r="F614" s="802"/>
      <c r="G614" s="802" t="s">
        <v>3920</v>
      </c>
      <c r="H614" s="794"/>
      <c r="I614" s="794"/>
      <c r="J614" s="794"/>
      <c r="K614" s="794"/>
      <c r="L614" s="794"/>
      <c r="M614" s="794"/>
      <c r="N614" s="794"/>
      <c r="O614" s="794"/>
      <c r="P614" s="794"/>
      <c r="Q614" s="794"/>
      <c r="R614" s="794"/>
      <c r="S614" s="794"/>
      <c r="T614" s="794"/>
    </row>
    <row r="615" spans="1:20" ht="15" customHeight="1" x14ac:dyDescent="0.35">
      <c r="A615" s="803" t="s">
        <v>5926</v>
      </c>
      <c r="B615" s="803"/>
      <c r="C615" s="803"/>
      <c r="D615" s="803"/>
      <c r="E615" s="803"/>
      <c r="F615" s="803"/>
      <c r="G615" s="803" t="s">
        <v>3855</v>
      </c>
      <c r="H615" s="794"/>
      <c r="I615" s="794"/>
      <c r="J615" s="794"/>
      <c r="K615" s="794"/>
      <c r="L615" s="794"/>
      <c r="M615" s="794"/>
      <c r="N615" s="794"/>
      <c r="O615" s="794"/>
      <c r="P615" s="794"/>
      <c r="Q615" s="794"/>
      <c r="R615" s="794"/>
      <c r="S615" s="794"/>
      <c r="T615" s="794"/>
    </row>
    <row r="616" spans="1:20" ht="15" customHeight="1" x14ac:dyDescent="0.35">
      <c r="A616" s="794" t="s">
        <v>5927</v>
      </c>
      <c r="B616" s="794" t="s">
        <v>3857</v>
      </c>
      <c r="C616" s="812" t="s">
        <v>3880</v>
      </c>
      <c r="D616" s="825"/>
      <c r="E616" s="825"/>
      <c r="F616" s="825">
        <v>600</v>
      </c>
      <c r="G616" s="814" t="s">
        <v>3858</v>
      </c>
      <c r="H616" s="813" t="s">
        <v>5928</v>
      </c>
      <c r="I616" s="813" t="s">
        <v>4191</v>
      </c>
      <c r="J616" s="813" t="s">
        <v>4246</v>
      </c>
      <c r="K616" s="813" t="s">
        <v>4072</v>
      </c>
      <c r="L616" s="813" t="s">
        <v>3863</v>
      </c>
      <c r="M616" s="813" t="s">
        <v>1818</v>
      </c>
      <c r="N616" s="813" t="s">
        <v>5929</v>
      </c>
      <c r="O616" s="813" t="s">
        <v>4248</v>
      </c>
      <c r="P616" s="813" t="s">
        <v>5930</v>
      </c>
      <c r="Q616" s="813" t="s">
        <v>5931</v>
      </c>
      <c r="R616" s="813">
        <v>1</v>
      </c>
      <c r="S616" s="813" t="s">
        <v>4237</v>
      </c>
      <c r="T616" s="813" t="s">
        <v>4196</v>
      </c>
    </row>
    <row r="617" spans="1:20" ht="15" customHeight="1" x14ac:dyDescent="0.35">
      <c r="A617" s="794" t="s">
        <v>5932</v>
      </c>
      <c r="B617" s="794" t="s">
        <v>3857</v>
      </c>
      <c r="C617" s="812" t="s">
        <v>3880</v>
      </c>
      <c r="D617" s="825"/>
      <c r="E617" s="825"/>
      <c r="F617" s="825">
        <v>0</v>
      </c>
      <c r="G617" s="814" t="s">
        <v>3858</v>
      </c>
      <c r="H617" s="813" t="s">
        <v>5928</v>
      </c>
      <c r="I617" s="813" t="s">
        <v>4191</v>
      </c>
      <c r="J617" s="813" t="s">
        <v>4246</v>
      </c>
      <c r="K617" s="813" t="s">
        <v>4072</v>
      </c>
      <c r="L617" s="813" t="s">
        <v>3863</v>
      </c>
      <c r="M617" s="813" t="s">
        <v>1818</v>
      </c>
      <c r="N617" s="813" t="s">
        <v>5933</v>
      </c>
      <c r="O617" s="813" t="s">
        <v>4234</v>
      </c>
      <c r="P617" s="813" t="s">
        <v>5934</v>
      </c>
      <c r="Q617" s="813" t="s">
        <v>5935</v>
      </c>
      <c r="R617" s="813">
        <v>1</v>
      </c>
      <c r="S617" s="813" t="s">
        <v>4237</v>
      </c>
      <c r="T617" s="813" t="s">
        <v>4196</v>
      </c>
    </row>
    <row r="618" spans="1:20" ht="15" customHeight="1" x14ac:dyDescent="0.35">
      <c r="A618" s="794" t="s">
        <v>5936</v>
      </c>
      <c r="B618" s="794" t="s">
        <v>3857</v>
      </c>
      <c r="C618" s="812" t="s">
        <v>3880</v>
      </c>
      <c r="D618" s="825"/>
      <c r="E618" s="825"/>
      <c r="F618" s="825">
        <v>600</v>
      </c>
      <c r="G618" s="814" t="s">
        <v>3858</v>
      </c>
      <c r="H618" s="813" t="s">
        <v>5928</v>
      </c>
      <c r="I618" s="813" t="s">
        <v>4191</v>
      </c>
      <c r="J618" s="813" t="s">
        <v>4246</v>
      </c>
      <c r="K618" s="813" t="s">
        <v>4072</v>
      </c>
      <c r="L618" s="813" t="s">
        <v>3863</v>
      </c>
      <c r="M618" s="813" t="s">
        <v>1818</v>
      </c>
      <c r="N618" s="813" t="s">
        <v>5937</v>
      </c>
      <c r="O618" s="813" t="s">
        <v>4248</v>
      </c>
      <c r="P618" s="813" t="s">
        <v>5938</v>
      </c>
      <c r="Q618" s="813" t="s">
        <v>5939</v>
      </c>
      <c r="R618" s="813">
        <v>1</v>
      </c>
      <c r="S618" s="813" t="s">
        <v>4237</v>
      </c>
      <c r="T618" s="813" t="s">
        <v>4196</v>
      </c>
    </row>
    <row r="619" spans="1:20" ht="15" customHeight="1" x14ac:dyDescent="0.35">
      <c r="A619" s="803" t="s">
        <v>5940</v>
      </c>
      <c r="B619" s="803"/>
      <c r="C619" s="803"/>
      <c r="D619" s="803"/>
      <c r="E619" s="803"/>
      <c r="F619" s="803"/>
      <c r="G619" s="803" t="s">
        <v>4476</v>
      </c>
      <c r="H619" s="794"/>
      <c r="I619" s="794"/>
      <c r="J619" s="794"/>
      <c r="K619" s="794"/>
      <c r="L619" s="794"/>
      <c r="M619" s="794"/>
      <c r="N619" s="794"/>
      <c r="O619" s="794"/>
      <c r="P619" s="794"/>
      <c r="Q619" s="794"/>
      <c r="R619" s="794"/>
      <c r="S619" s="794"/>
      <c r="T619" s="794"/>
    </row>
    <row r="620" spans="1:20" ht="15" customHeight="1" x14ac:dyDescent="0.35">
      <c r="A620" s="794" t="s">
        <v>5941</v>
      </c>
      <c r="B620" s="794" t="s">
        <v>3857</v>
      </c>
      <c r="C620" s="812" t="s">
        <v>3913</v>
      </c>
      <c r="D620" s="825">
        <v>1</v>
      </c>
      <c r="E620" s="825"/>
      <c r="F620" s="826"/>
      <c r="G620" s="814" t="s">
        <v>3858</v>
      </c>
      <c r="H620" s="813" t="s">
        <v>5928</v>
      </c>
      <c r="I620" s="813" t="s">
        <v>4191</v>
      </c>
      <c r="J620" s="813" t="s">
        <v>5942</v>
      </c>
      <c r="K620" s="813" t="s">
        <v>5928</v>
      </c>
      <c r="L620" s="813" t="s">
        <v>3863</v>
      </c>
      <c r="M620" s="813" t="s">
        <v>3205</v>
      </c>
      <c r="N620" s="813" t="s">
        <v>5943</v>
      </c>
      <c r="O620" s="813" t="s">
        <v>3925</v>
      </c>
      <c r="P620" s="813" t="s">
        <v>5944</v>
      </c>
      <c r="Q620" s="813" t="s">
        <v>5945</v>
      </c>
      <c r="R620" s="813">
        <v>1</v>
      </c>
      <c r="S620" s="813" t="s">
        <v>3928</v>
      </c>
      <c r="T620" s="813" t="s">
        <v>4196</v>
      </c>
    </row>
    <row r="621" spans="1:20" ht="15" customHeight="1" x14ac:dyDescent="0.35">
      <c r="A621" s="794" t="s">
        <v>5946</v>
      </c>
      <c r="B621" s="794" t="s">
        <v>3857</v>
      </c>
      <c r="C621" s="812" t="s">
        <v>3913</v>
      </c>
      <c r="D621" s="825">
        <v>0.5</v>
      </c>
      <c r="E621" s="825"/>
      <c r="F621" s="826"/>
      <c r="G621" s="814" t="s">
        <v>3858</v>
      </c>
      <c r="H621" s="813" t="s">
        <v>5928</v>
      </c>
      <c r="I621" s="813" t="s">
        <v>4191</v>
      </c>
      <c r="J621" s="813" t="s">
        <v>5942</v>
      </c>
      <c r="K621" s="813" t="s">
        <v>5928</v>
      </c>
      <c r="L621" s="813" t="s">
        <v>3863</v>
      </c>
      <c r="M621" s="813" t="s">
        <v>3205</v>
      </c>
      <c r="N621" s="813" t="s">
        <v>5947</v>
      </c>
      <c r="O621" s="813" t="s">
        <v>3925</v>
      </c>
      <c r="P621" s="813" t="s">
        <v>5948</v>
      </c>
      <c r="Q621" s="813" t="s">
        <v>5949</v>
      </c>
      <c r="R621" s="813">
        <v>1</v>
      </c>
      <c r="S621" s="813" t="s">
        <v>3928</v>
      </c>
      <c r="T621" s="813" t="s">
        <v>4196</v>
      </c>
    </row>
    <row r="622" spans="1:20" ht="15" customHeight="1" x14ac:dyDescent="0.35">
      <c r="A622" s="802" t="s">
        <v>5950</v>
      </c>
      <c r="B622" s="802"/>
      <c r="C622" s="802"/>
      <c r="D622" s="802"/>
      <c r="E622" s="802"/>
      <c r="F622" s="802"/>
      <c r="G622" s="802" t="s">
        <v>3898</v>
      </c>
      <c r="H622" s="794"/>
      <c r="I622" s="794"/>
      <c r="J622" s="794"/>
      <c r="K622" s="794"/>
      <c r="L622" s="794"/>
      <c r="M622" s="794"/>
      <c r="N622" s="794"/>
      <c r="O622" s="794"/>
      <c r="P622" s="794"/>
      <c r="Q622" s="794"/>
      <c r="R622" s="794"/>
      <c r="S622" s="794"/>
      <c r="T622" s="794"/>
    </row>
    <row r="623" spans="1:20" ht="15" customHeight="1" x14ac:dyDescent="0.35">
      <c r="A623" s="803" t="s">
        <v>5951</v>
      </c>
      <c r="B623" s="803"/>
      <c r="C623" s="803"/>
      <c r="D623" s="803"/>
      <c r="E623" s="803"/>
      <c r="F623" s="803"/>
      <c r="G623" s="803" t="s">
        <v>3855</v>
      </c>
      <c r="H623" s="794"/>
      <c r="I623" s="794"/>
      <c r="J623" s="794"/>
      <c r="K623" s="794"/>
      <c r="L623" s="794"/>
      <c r="M623" s="794"/>
      <c r="N623" s="794"/>
      <c r="O623" s="794"/>
      <c r="P623" s="794"/>
      <c r="Q623" s="794"/>
      <c r="R623" s="794"/>
      <c r="S623" s="794"/>
      <c r="T623" s="794"/>
    </row>
    <row r="624" spans="1:20" ht="15" customHeight="1" x14ac:dyDescent="0.35">
      <c r="A624" s="794" t="s">
        <v>5952</v>
      </c>
      <c r="B624" s="794" t="s">
        <v>3857</v>
      </c>
      <c r="C624" s="812" t="s">
        <v>3880</v>
      </c>
      <c r="D624" s="825"/>
      <c r="E624" s="825"/>
      <c r="F624" s="825">
        <v>600</v>
      </c>
      <c r="G624" s="814" t="s">
        <v>3858</v>
      </c>
      <c r="H624" s="813" t="s">
        <v>5953</v>
      </c>
      <c r="I624" s="813" t="s">
        <v>4191</v>
      </c>
      <c r="J624" s="813" t="s">
        <v>4246</v>
      </c>
      <c r="K624" s="813" t="s">
        <v>4072</v>
      </c>
      <c r="L624" s="813" t="s">
        <v>3863</v>
      </c>
      <c r="M624" s="813" t="s">
        <v>1818</v>
      </c>
      <c r="N624" s="813" t="s">
        <v>5954</v>
      </c>
      <c r="O624" s="813" t="s">
        <v>4248</v>
      </c>
      <c r="P624" s="813" t="s">
        <v>5955</v>
      </c>
      <c r="Q624" s="813" t="s">
        <v>5956</v>
      </c>
      <c r="R624" s="813">
        <v>1</v>
      </c>
      <c r="S624" s="813" t="s">
        <v>4237</v>
      </c>
      <c r="T624" s="813" t="s">
        <v>4196</v>
      </c>
    </row>
    <row r="625" spans="1:20" ht="15" customHeight="1" x14ac:dyDescent="0.35">
      <c r="A625" s="794" t="s">
        <v>5957</v>
      </c>
      <c r="B625" s="794" t="s">
        <v>3857</v>
      </c>
      <c r="C625" s="812" t="s">
        <v>3880</v>
      </c>
      <c r="D625" s="825"/>
      <c r="E625" s="825"/>
      <c r="F625" s="825">
        <v>300</v>
      </c>
      <c r="G625" s="814" t="s">
        <v>3858</v>
      </c>
      <c r="H625" s="813" t="s">
        <v>5953</v>
      </c>
      <c r="I625" s="813" t="s">
        <v>4191</v>
      </c>
      <c r="J625" s="813" t="s">
        <v>4246</v>
      </c>
      <c r="K625" s="813" t="s">
        <v>4072</v>
      </c>
      <c r="L625" s="813" t="s">
        <v>3863</v>
      </c>
      <c r="M625" s="813" t="s">
        <v>1818</v>
      </c>
      <c r="N625" s="813" t="s">
        <v>5958</v>
      </c>
      <c r="O625" s="813" t="s">
        <v>4234</v>
      </c>
      <c r="P625" s="813" t="s">
        <v>5959</v>
      </c>
      <c r="Q625" s="813" t="s">
        <v>5960</v>
      </c>
      <c r="R625" s="813">
        <v>1</v>
      </c>
      <c r="S625" s="813" t="s">
        <v>4237</v>
      </c>
      <c r="T625" s="813" t="s">
        <v>4196</v>
      </c>
    </row>
    <row r="626" spans="1:20" ht="15" customHeight="1" x14ac:dyDescent="0.35">
      <c r="A626" s="794" t="s">
        <v>5961</v>
      </c>
      <c r="B626" s="794" t="s">
        <v>3857</v>
      </c>
      <c r="C626" s="812" t="s">
        <v>3880</v>
      </c>
      <c r="D626" s="825"/>
      <c r="E626" s="825"/>
      <c r="F626" s="825">
        <v>150</v>
      </c>
      <c r="G626" s="814" t="s">
        <v>3858</v>
      </c>
      <c r="H626" s="813" t="s">
        <v>5953</v>
      </c>
      <c r="I626" s="813" t="s">
        <v>4191</v>
      </c>
      <c r="J626" s="813" t="s">
        <v>4246</v>
      </c>
      <c r="K626" s="813" t="s">
        <v>4072</v>
      </c>
      <c r="L626" s="813" t="s">
        <v>3863</v>
      </c>
      <c r="M626" s="813" t="s">
        <v>1818</v>
      </c>
      <c r="N626" s="813" t="s">
        <v>5962</v>
      </c>
      <c r="O626" s="813" t="s">
        <v>4248</v>
      </c>
      <c r="P626" s="813" t="s">
        <v>5963</v>
      </c>
      <c r="Q626" s="813" t="s">
        <v>5964</v>
      </c>
      <c r="R626" s="813">
        <v>1</v>
      </c>
      <c r="S626" s="813" t="s">
        <v>4237</v>
      </c>
      <c r="T626" s="813" t="s">
        <v>4196</v>
      </c>
    </row>
    <row r="627" spans="1:20" ht="15" customHeight="1" x14ac:dyDescent="0.35">
      <c r="A627" s="803" t="s">
        <v>5965</v>
      </c>
      <c r="B627" s="803"/>
      <c r="C627" s="803"/>
      <c r="D627" s="803"/>
      <c r="E627" s="803"/>
      <c r="F627" s="803"/>
      <c r="G627" s="803" t="s">
        <v>3946</v>
      </c>
      <c r="H627" s="794"/>
      <c r="I627" s="794"/>
      <c r="J627" s="794"/>
      <c r="K627" s="794"/>
      <c r="L627" s="794"/>
      <c r="M627" s="794"/>
      <c r="N627" s="794"/>
      <c r="O627" s="794"/>
      <c r="P627" s="794"/>
      <c r="Q627" s="794"/>
      <c r="R627" s="794"/>
      <c r="S627" s="794"/>
      <c r="T627" s="794"/>
    </row>
    <row r="628" spans="1:20" ht="28" customHeight="1" x14ac:dyDescent="0.35">
      <c r="A628" s="830" t="s">
        <v>5966</v>
      </c>
      <c r="B628" s="794" t="s">
        <v>3857</v>
      </c>
      <c r="C628" s="812" t="s">
        <v>5237</v>
      </c>
      <c r="D628" s="825">
        <v>2700000</v>
      </c>
      <c r="E628" s="825"/>
      <c r="F628" s="826"/>
      <c r="G628" s="814" t="s">
        <v>3858</v>
      </c>
      <c r="H628" s="813" t="s">
        <v>5953</v>
      </c>
      <c r="I628" s="813" t="s">
        <v>4191</v>
      </c>
      <c r="J628" s="813" t="s">
        <v>5967</v>
      </c>
      <c r="K628" s="813" t="s">
        <v>5968</v>
      </c>
      <c r="L628" s="813" t="s">
        <v>3863</v>
      </c>
      <c r="M628" s="813" t="s">
        <v>2897</v>
      </c>
      <c r="N628" s="813" t="s">
        <v>5969</v>
      </c>
      <c r="O628" s="813" t="s">
        <v>4264</v>
      </c>
      <c r="P628" s="813" t="s">
        <v>5970</v>
      </c>
      <c r="Q628" s="813" t="s">
        <v>5971</v>
      </c>
      <c r="R628" s="813">
        <v>1</v>
      </c>
      <c r="S628" s="813" t="s">
        <v>3928</v>
      </c>
      <c r="T628" s="813" t="s">
        <v>4196</v>
      </c>
    </row>
    <row r="629" spans="1:20" ht="15" customHeight="1" x14ac:dyDescent="0.35">
      <c r="A629" s="802" t="s">
        <v>5972</v>
      </c>
      <c r="B629" s="802"/>
      <c r="C629" s="802"/>
      <c r="D629" s="802"/>
      <c r="E629" s="802"/>
      <c r="F629" s="802"/>
      <c r="G629" s="802" t="s">
        <v>5973</v>
      </c>
      <c r="H629" s="794"/>
      <c r="I629" s="794"/>
      <c r="J629" s="794"/>
      <c r="K629" s="794"/>
      <c r="L629" s="794"/>
      <c r="M629" s="794"/>
      <c r="N629" s="794"/>
      <c r="O629" s="794"/>
      <c r="P629" s="794"/>
      <c r="Q629" s="794"/>
      <c r="R629" s="794"/>
      <c r="S629" s="794"/>
      <c r="T629" s="794"/>
    </row>
    <row r="630" spans="1:20" ht="15" customHeight="1" x14ac:dyDescent="0.35">
      <c r="A630" s="803" t="s">
        <v>5974</v>
      </c>
      <c r="B630" s="803"/>
      <c r="C630" s="803"/>
      <c r="D630" s="803"/>
      <c r="E630" s="803"/>
      <c r="F630" s="803"/>
      <c r="G630" s="803" t="s">
        <v>5975</v>
      </c>
      <c r="H630" s="794"/>
      <c r="I630" s="794"/>
      <c r="J630" s="794"/>
      <c r="K630" s="794"/>
      <c r="L630" s="794"/>
      <c r="M630" s="794"/>
      <c r="N630" s="794"/>
      <c r="O630" s="794"/>
      <c r="P630" s="794"/>
      <c r="Q630" s="794"/>
      <c r="R630" s="794"/>
      <c r="S630" s="794"/>
      <c r="T630" s="794"/>
    </row>
    <row r="631" spans="1:20" ht="15" customHeight="1" x14ac:dyDescent="0.35">
      <c r="A631" s="794" t="s">
        <v>5976</v>
      </c>
      <c r="B631" s="794" t="s">
        <v>3857</v>
      </c>
      <c r="C631" s="812" t="s">
        <v>3880</v>
      </c>
      <c r="D631" s="825"/>
      <c r="E631" s="825"/>
      <c r="F631" s="825">
        <v>2000</v>
      </c>
      <c r="G631" s="814" t="s">
        <v>3858</v>
      </c>
      <c r="H631" s="813" t="s">
        <v>5977</v>
      </c>
      <c r="I631" s="813" t="s">
        <v>4191</v>
      </c>
      <c r="J631" s="813" t="s">
        <v>4246</v>
      </c>
      <c r="K631" s="813" t="s">
        <v>4072</v>
      </c>
      <c r="L631" s="813" t="s">
        <v>3863</v>
      </c>
      <c r="M631" s="813" t="s">
        <v>1818</v>
      </c>
      <c r="N631" s="813" t="s">
        <v>5978</v>
      </c>
      <c r="O631" s="813" t="s">
        <v>4248</v>
      </c>
      <c r="P631" s="813" t="s">
        <v>5979</v>
      </c>
      <c r="Q631" s="813" t="s">
        <v>5980</v>
      </c>
      <c r="R631" s="813">
        <v>1</v>
      </c>
      <c r="S631" s="813" t="s">
        <v>4237</v>
      </c>
      <c r="T631" s="813" t="s">
        <v>4196</v>
      </c>
    </row>
    <row r="632" spans="1:20" ht="15" customHeight="1" x14ac:dyDescent="0.35">
      <c r="A632" s="794" t="s">
        <v>5981</v>
      </c>
      <c r="B632" s="794" t="s">
        <v>3857</v>
      </c>
      <c r="C632" s="812" t="s">
        <v>3880</v>
      </c>
      <c r="D632" s="825"/>
      <c r="E632" s="825"/>
      <c r="F632" s="825">
        <v>2000</v>
      </c>
      <c r="G632" s="814" t="s">
        <v>3858</v>
      </c>
      <c r="H632" s="813" t="s">
        <v>5977</v>
      </c>
      <c r="I632" s="813" t="s">
        <v>4191</v>
      </c>
      <c r="J632" s="813" t="s">
        <v>4246</v>
      </c>
      <c r="K632" s="813" t="s">
        <v>4072</v>
      </c>
      <c r="L632" s="813" t="s">
        <v>3863</v>
      </c>
      <c r="M632" s="813" t="s">
        <v>1818</v>
      </c>
      <c r="N632" s="813" t="s">
        <v>5982</v>
      </c>
      <c r="O632" s="813" t="s">
        <v>4248</v>
      </c>
      <c r="P632" s="813" t="s">
        <v>5983</v>
      </c>
      <c r="Q632" s="813" t="s">
        <v>5984</v>
      </c>
      <c r="R632" s="813">
        <v>1</v>
      </c>
      <c r="S632" s="813" t="s">
        <v>4237</v>
      </c>
      <c r="T632" s="813" t="s">
        <v>4196</v>
      </c>
    </row>
    <row r="633" spans="1:20" ht="15" customHeight="1" x14ac:dyDescent="0.35">
      <c r="A633" s="794" t="s">
        <v>5985</v>
      </c>
      <c r="B633" s="794" t="s">
        <v>3857</v>
      </c>
      <c r="C633" s="812" t="s">
        <v>3913</v>
      </c>
      <c r="D633" s="825"/>
      <c r="E633" s="825"/>
      <c r="F633" s="825">
        <v>120</v>
      </c>
      <c r="G633" s="814" t="s">
        <v>3858</v>
      </c>
      <c r="H633" s="813" t="s">
        <v>5977</v>
      </c>
      <c r="I633" s="813" t="s">
        <v>4191</v>
      </c>
      <c r="J633" s="813" t="s">
        <v>4246</v>
      </c>
      <c r="K633" s="813" t="s">
        <v>4072</v>
      </c>
      <c r="L633" s="813" t="s">
        <v>3863</v>
      </c>
      <c r="M633" s="813" t="s">
        <v>1818</v>
      </c>
      <c r="N633" s="813" t="s">
        <v>5986</v>
      </c>
      <c r="O633" s="813" t="s">
        <v>4248</v>
      </c>
      <c r="P633" s="813" t="s">
        <v>5987</v>
      </c>
      <c r="Q633" s="813" t="s">
        <v>5988</v>
      </c>
      <c r="R633" s="813">
        <v>2</v>
      </c>
      <c r="S633" s="813" t="s">
        <v>4237</v>
      </c>
      <c r="T633" s="813" t="s">
        <v>4196</v>
      </c>
    </row>
    <row r="634" spans="1:20" ht="15" customHeight="1" x14ac:dyDescent="0.35">
      <c r="A634" s="794" t="s">
        <v>5989</v>
      </c>
      <c r="B634" s="794" t="s">
        <v>3857</v>
      </c>
      <c r="C634" s="812" t="s">
        <v>3880</v>
      </c>
      <c r="D634" s="825"/>
      <c r="E634" s="825"/>
      <c r="F634" s="825">
        <v>0</v>
      </c>
      <c r="G634" s="814" t="s">
        <v>3858</v>
      </c>
      <c r="H634" s="813" t="s">
        <v>5977</v>
      </c>
      <c r="I634" s="813" t="s">
        <v>4191</v>
      </c>
      <c r="J634" s="813" t="s">
        <v>4246</v>
      </c>
      <c r="K634" s="813" t="s">
        <v>4072</v>
      </c>
      <c r="L634" s="813" t="s">
        <v>3863</v>
      </c>
      <c r="M634" s="813" t="s">
        <v>1818</v>
      </c>
      <c r="N634" s="813" t="s">
        <v>5990</v>
      </c>
      <c r="O634" s="813" t="s">
        <v>4234</v>
      </c>
      <c r="P634" s="813" t="s">
        <v>5991</v>
      </c>
      <c r="Q634" s="813" t="s">
        <v>5992</v>
      </c>
      <c r="R634" s="813">
        <v>1</v>
      </c>
      <c r="S634" s="813" t="s">
        <v>4237</v>
      </c>
      <c r="T634" s="813" t="s">
        <v>4196</v>
      </c>
    </row>
    <row r="635" spans="1:20" ht="15" customHeight="1" x14ac:dyDescent="0.35">
      <c r="A635" s="803" t="s">
        <v>5993</v>
      </c>
      <c r="B635" s="803"/>
      <c r="C635" s="803"/>
      <c r="D635" s="803"/>
      <c r="E635" s="803"/>
      <c r="F635" s="803"/>
      <c r="G635" s="803" t="s">
        <v>3946</v>
      </c>
      <c r="H635" s="794"/>
      <c r="I635" s="794"/>
      <c r="J635" s="794"/>
      <c r="K635" s="794"/>
      <c r="L635" s="794"/>
      <c r="M635" s="794"/>
      <c r="N635" s="794"/>
      <c r="O635" s="794"/>
      <c r="P635" s="794"/>
      <c r="Q635" s="794"/>
      <c r="R635" s="794"/>
      <c r="S635" s="794"/>
      <c r="T635" s="794"/>
    </row>
    <row r="636" spans="1:20" ht="15" customHeight="1" x14ac:dyDescent="0.35">
      <c r="A636" s="794" t="s">
        <v>5994</v>
      </c>
      <c r="B636" s="794" t="s">
        <v>3857</v>
      </c>
      <c r="C636" s="812" t="s">
        <v>5237</v>
      </c>
      <c r="D636" s="825">
        <v>153000</v>
      </c>
      <c r="E636" s="825"/>
      <c r="F636" s="826"/>
      <c r="G636" s="814" t="s">
        <v>3858</v>
      </c>
      <c r="H636" s="813" t="s">
        <v>5977</v>
      </c>
      <c r="I636" s="813" t="s">
        <v>4191</v>
      </c>
      <c r="J636" s="813" t="s">
        <v>5995</v>
      </c>
      <c r="K636" s="813" t="s">
        <v>5968</v>
      </c>
      <c r="L636" s="813" t="s">
        <v>3863</v>
      </c>
      <c r="M636" s="813" t="s">
        <v>2897</v>
      </c>
      <c r="N636" s="813" t="s">
        <v>5996</v>
      </c>
      <c r="O636" s="813" t="s">
        <v>3925</v>
      </c>
      <c r="P636" s="813" t="s">
        <v>5997</v>
      </c>
      <c r="Q636" s="813" t="s">
        <v>5998</v>
      </c>
      <c r="R636" s="813">
        <v>1</v>
      </c>
      <c r="S636" s="813" t="s">
        <v>3928</v>
      </c>
      <c r="T636" s="813" t="s">
        <v>4196</v>
      </c>
    </row>
    <row r="637" spans="1:20" ht="15" customHeight="1" x14ac:dyDescent="0.35">
      <c r="A637" s="803" t="s">
        <v>5999</v>
      </c>
      <c r="B637" s="803"/>
      <c r="C637" s="803"/>
      <c r="D637" s="803"/>
      <c r="E637" s="803"/>
      <c r="F637" s="803"/>
      <c r="G637" s="803" t="s">
        <v>6000</v>
      </c>
      <c r="H637" s="794"/>
      <c r="I637" s="794"/>
      <c r="J637" s="794"/>
      <c r="K637" s="794"/>
      <c r="L637" s="794"/>
      <c r="M637" s="794"/>
      <c r="N637" s="794"/>
      <c r="O637" s="794"/>
      <c r="P637" s="794"/>
      <c r="Q637" s="794"/>
      <c r="R637" s="794"/>
      <c r="S637" s="794"/>
      <c r="T637" s="794"/>
    </row>
    <row r="638" spans="1:20" ht="15" customHeight="1" x14ac:dyDescent="0.35">
      <c r="A638" s="794" t="s">
        <v>6001</v>
      </c>
      <c r="B638" s="794" t="s">
        <v>3857</v>
      </c>
      <c r="C638" s="812" t="s">
        <v>5237</v>
      </c>
      <c r="D638" s="825">
        <v>800000</v>
      </c>
      <c r="E638" s="825"/>
      <c r="F638" s="826"/>
      <c r="G638" s="814" t="s">
        <v>3858</v>
      </c>
      <c r="H638" s="813" t="s">
        <v>5977</v>
      </c>
      <c r="I638" s="813" t="s">
        <v>4191</v>
      </c>
      <c r="J638" s="813" t="s">
        <v>6002</v>
      </c>
      <c r="K638" s="813" t="s">
        <v>5968</v>
      </c>
      <c r="L638" s="813" t="s">
        <v>3863</v>
      </c>
      <c r="M638" s="813" t="s">
        <v>2897</v>
      </c>
      <c r="N638" s="813" t="s">
        <v>6003</v>
      </c>
      <c r="O638" s="813" t="s">
        <v>4264</v>
      </c>
      <c r="P638" s="813" t="s">
        <v>6004</v>
      </c>
      <c r="Q638" s="813" t="s">
        <v>6005</v>
      </c>
      <c r="R638" s="813">
        <v>1</v>
      </c>
      <c r="S638" s="813" t="s">
        <v>3928</v>
      </c>
      <c r="T638" s="813" t="s">
        <v>4196</v>
      </c>
    </row>
    <row r="639" spans="1:20" ht="15" customHeight="1" x14ac:dyDescent="0.35">
      <c r="A639" s="794" t="s">
        <v>6006</v>
      </c>
      <c r="B639" s="794" t="s">
        <v>3857</v>
      </c>
      <c r="C639" s="812" t="s">
        <v>5237</v>
      </c>
      <c r="D639" s="825">
        <v>335000</v>
      </c>
      <c r="E639" s="825"/>
      <c r="F639" s="826"/>
      <c r="G639" s="814" t="s">
        <v>3858</v>
      </c>
      <c r="H639" s="813" t="s">
        <v>5977</v>
      </c>
      <c r="I639" s="813" t="s">
        <v>4191</v>
      </c>
      <c r="J639" s="813" t="s">
        <v>6002</v>
      </c>
      <c r="K639" s="813" t="s">
        <v>5968</v>
      </c>
      <c r="L639" s="813" t="s">
        <v>3863</v>
      </c>
      <c r="M639" s="813" t="s">
        <v>2897</v>
      </c>
      <c r="N639" s="813" t="s">
        <v>6007</v>
      </c>
      <c r="O639" s="813" t="s">
        <v>3883</v>
      </c>
      <c r="P639" s="813" t="s">
        <v>6008</v>
      </c>
      <c r="Q639" s="813" t="s">
        <v>6009</v>
      </c>
      <c r="R639" s="813">
        <v>1</v>
      </c>
      <c r="S639" s="813" t="s">
        <v>3928</v>
      </c>
      <c r="T639" s="813" t="s">
        <v>4196</v>
      </c>
    </row>
    <row r="640" spans="1:20" ht="15" customHeight="1" x14ac:dyDescent="0.35">
      <c r="A640" s="794" t="s">
        <v>6010</v>
      </c>
      <c r="B640" s="794" t="s">
        <v>3857</v>
      </c>
      <c r="C640" s="812" t="s">
        <v>5237</v>
      </c>
      <c r="D640" s="825">
        <v>35000</v>
      </c>
      <c r="E640" s="825"/>
      <c r="F640" s="826"/>
      <c r="G640" s="814" t="s">
        <v>3858</v>
      </c>
      <c r="H640" s="813" t="s">
        <v>5977</v>
      </c>
      <c r="I640" s="813" t="s">
        <v>4191</v>
      </c>
      <c r="J640" s="813" t="s">
        <v>6002</v>
      </c>
      <c r="K640" s="813" t="s">
        <v>5968</v>
      </c>
      <c r="L640" s="813" t="s">
        <v>3863</v>
      </c>
      <c r="M640" s="813" t="s">
        <v>2897</v>
      </c>
      <c r="N640" s="813" t="s">
        <v>6011</v>
      </c>
      <c r="O640" s="813" t="s">
        <v>3883</v>
      </c>
      <c r="P640" s="813" t="s">
        <v>6012</v>
      </c>
      <c r="Q640" s="813" t="s">
        <v>6013</v>
      </c>
      <c r="R640" s="813">
        <v>1</v>
      </c>
      <c r="S640" s="813" t="s">
        <v>3928</v>
      </c>
      <c r="T640" s="813" t="s">
        <v>4196</v>
      </c>
    </row>
    <row r="641" spans="1:20" ht="15" customHeight="1" x14ac:dyDescent="0.35">
      <c r="A641" s="794" t="s">
        <v>6014</v>
      </c>
      <c r="B641" s="794" t="s">
        <v>3857</v>
      </c>
      <c r="C641" s="812" t="s">
        <v>3913</v>
      </c>
      <c r="D641" s="825"/>
      <c r="E641" s="825"/>
      <c r="F641" s="825">
        <v>14</v>
      </c>
      <c r="G641" s="814" t="s">
        <v>3858</v>
      </c>
      <c r="H641" s="813" t="s">
        <v>5977</v>
      </c>
      <c r="I641" s="813" t="s">
        <v>4191</v>
      </c>
      <c r="J641" s="813" t="s">
        <v>6002</v>
      </c>
      <c r="K641" s="813" t="s">
        <v>5968</v>
      </c>
      <c r="L641" s="813" t="s">
        <v>3863</v>
      </c>
      <c r="M641" s="813" t="s">
        <v>2897</v>
      </c>
      <c r="N641" s="813" t="s">
        <v>6015</v>
      </c>
      <c r="O641" s="813" t="s">
        <v>3883</v>
      </c>
      <c r="P641" s="813" t="s">
        <v>6016</v>
      </c>
      <c r="Q641" s="813" t="s">
        <v>6017</v>
      </c>
      <c r="R641" s="813">
        <v>1</v>
      </c>
      <c r="S641" s="813" t="s">
        <v>3928</v>
      </c>
      <c r="T641" s="813" t="s">
        <v>4196</v>
      </c>
    </row>
    <row r="642" spans="1:20" ht="15" customHeight="1" x14ac:dyDescent="0.35">
      <c r="A642" s="794" t="s">
        <v>6018</v>
      </c>
      <c r="B642" s="794" t="s">
        <v>3857</v>
      </c>
      <c r="C642" s="812" t="s">
        <v>5237</v>
      </c>
      <c r="D642" s="825">
        <v>135000</v>
      </c>
      <c r="E642" s="825"/>
      <c r="F642" s="826"/>
      <c r="G642" s="814" t="s">
        <v>3858</v>
      </c>
      <c r="H642" s="813" t="s">
        <v>5977</v>
      </c>
      <c r="I642" s="813" t="s">
        <v>4191</v>
      </c>
      <c r="J642" s="813" t="s">
        <v>6002</v>
      </c>
      <c r="K642" s="813" t="s">
        <v>5968</v>
      </c>
      <c r="L642" s="813" t="s">
        <v>3863</v>
      </c>
      <c r="M642" s="813" t="s">
        <v>2897</v>
      </c>
      <c r="N642" s="813" t="s">
        <v>6019</v>
      </c>
      <c r="O642" s="813" t="s">
        <v>3883</v>
      </c>
      <c r="P642" s="813" t="s">
        <v>6020</v>
      </c>
      <c r="Q642" s="813" t="s">
        <v>6021</v>
      </c>
      <c r="R642" s="813">
        <v>1</v>
      </c>
      <c r="S642" s="813" t="s">
        <v>3928</v>
      </c>
      <c r="T642" s="813" t="s">
        <v>4196</v>
      </c>
    </row>
    <row r="643" spans="1:20" ht="15" customHeight="1" x14ac:dyDescent="0.35">
      <c r="A643" s="794" t="s">
        <v>6022</v>
      </c>
      <c r="B643" s="794" t="s">
        <v>3857</v>
      </c>
      <c r="C643" s="812" t="s">
        <v>3913</v>
      </c>
      <c r="D643" s="825"/>
      <c r="E643" s="825"/>
      <c r="F643" s="825">
        <v>8</v>
      </c>
      <c r="G643" s="814" t="s">
        <v>3858</v>
      </c>
      <c r="H643" s="813" t="s">
        <v>5977</v>
      </c>
      <c r="I643" s="813" t="s">
        <v>4191</v>
      </c>
      <c r="J643" s="813" t="s">
        <v>6002</v>
      </c>
      <c r="K643" s="813" t="s">
        <v>5968</v>
      </c>
      <c r="L643" s="813" t="s">
        <v>3863</v>
      </c>
      <c r="M643" s="813" t="s">
        <v>2897</v>
      </c>
      <c r="N643" s="813" t="s">
        <v>6023</v>
      </c>
      <c r="O643" s="813" t="s">
        <v>3883</v>
      </c>
      <c r="P643" s="813" t="s">
        <v>6024</v>
      </c>
      <c r="Q643" s="813" t="s">
        <v>6025</v>
      </c>
      <c r="R643" s="813">
        <v>1</v>
      </c>
      <c r="S643" s="813" t="s">
        <v>3928</v>
      </c>
      <c r="T643" s="813" t="s">
        <v>4196</v>
      </c>
    </row>
    <row r="644" spans="1:20" ht="15" customHeight="1" x14ac:dyDescent="0.35">
      <c r="A644" s="794" t="s">
        <v>6026</v>
      </c>
      <c r="B644" s="794" t="s">
        <v>3857</v>
      </c>
      <c r="C644" s="812" t="s">
        <v>5237</v>
      </c>
      <c r="D644" s="825">
        <v>175000</v>
      </c>
      <c r="E644" s="825"/>
      <c r="F644" s="826"/>
      <c r="G644" s="814" t="s">
        <v>3858</v>
      </c>
      <c r="H644" s="813" t="s">
        <v>5977</v>
      </c>
      <c r="I644" s="813" t="s">
        <v>4191</v>
      </c>
      <c r="J644" s="813" t="s">
        <v>6002</v>
      </c>
      <c r="K644" s="813" t="s">
        <v>5968</v>
      </c>
      <c r="L644" s="813" t="s">
        <v>3863</v>
      </c>
      <c r="M644" s="813" t="s">
        <v>2897</v>
      </c>
      <c r="N644" s="813" t="s">
        <v>6027</v>
      </c>
      <c r="O644" s="813" t="s">
        <v>3883</v>
      </c>
      <c r="P644" s="813" t="s">
        <v>6028</v>
      </c>
      <c r="Q644" s="813" t="s">
        <v>6029</v>
      </c>
      <c r="R644" s="813">
        <v>1</v>
      </c>
      <c r="S644" s="813" t="s">
        <v>3928</v>
      </c>
      <c r="T644" s="813" t="s">
        <v>4196</v>
      </c>
    </row>
    <row r="645" spans="1:20" ht="15" customHeight="1" x14ac:dyDescent="0.35">
      <c r="A645" s="794" t="s">
        <v>6030</v>
      </c>
      <c r="B645" s="794" t="s">
        <v>3857</v>
      </c>
      <c r="C645" s="812" t="s">
        <v>5237</v>
      </c>
      <c r="D645" s="825">
        <v>18000</v>
      </c>
      <c r="E645" s="825"/>
      <c r="F645" s="826"/>
      <c r="G645" s="814" t="s">
        <v>3858</v>
      </c>
      <c r="H645" s="813" t="s">
        <v>5977</v>
      </c>
      <c r="I645" s="813" t="s">
        <v>4191</v>
      </c>
      <c r="J645" s="813" t="s">
        <v>6002</v>
      </c>
      <c r="K645" s="813" t="s">
        <v>5968</v>
      </c>
      <c r="L645" s="813" t="s">
        <v>3863</v>
      </c>
      <c r="M645" s="813" t="s">
        <v>2897</v>
      </c>
      <c r="N645" s="813" t="s">
        <v>6031</v>
      </c>
      <c r="O645" s="813" t="s">
        <v>3883</v>
      </c>
      <c r="P645" s="813" t="s">
        <v>6032</v>
      </c>
      <c r="Q645" s="813" t="s">
        <v>6033</v>
      </c>
      <c r="R645" s="813">
        <v>1</v>
      </c>
      <c r="S645" s="813" t="s">
        <v>3928</v>
      </c>
      <c r="T645" s="813" t="s">
        <v>4196</v>
      </c>
    </row>
    <row r="646" spans="1:20" ht="15" customHeight="1" x14ac:dyDescent="0.35">
      <c r="A646" s="794" t="s">
        <v>6034</v>
      </c>
      <c r="B646" s="794" t="s">
        <v>3857</v>
      </c>
      <c r="C646" s="812" t="s">
        <v>3913</v>
      </c>
      <c r="D646" s="825"/>
      <c r="E646" s="825"/>
      <c r="F646" s="825">
        <v>2028</v>
      </c>
      <c r="G646" s="814" t="s">
        <v>3858</v>
      </c>
      <c r="H646" s="813" t="s">
        <v>5977</v>
      </c>
      <c r="I646" s="813" t="s">
        <v>4191</v>
      </c>
      <c r="J646" s="813" t="s">
        <v>6002</v>
      </c>
      <c r="K646" s="813" t="s">
        <v>5968</v>
      </c>
      <c r="L646" s="813" t="s">
        <v>3863</v>
      </c>
      <c r="M646" s="813" t="s">
        <v>2897</v>
      </c>
      <c r="N646" s="813" t="s">
        <v>6035</v>
      </c>
      <c r="O646" s="813" t="s">
        <v>3883</v>
      </c>
      <c r="P646" s="813" t="s">
        <v>6036</v>
      </c>
      <c r="Q646" s="813" t="s">
        <v>6037</v>
      </c>
      <c r="R646" s="813">
        <v>1</v>
      </c>
      <c r="S646" s="813" t="s">
        <v>3928</v>
      </c>
      <c r="T646" s="813" t="s">
        <v>4196</v>
      </c>
    </row>
    <row r="647" spans="1:20" ht="15" customHeight="1" x14ac:dyDescent="0.35">
      <c r="A647" s="794" t="s">
        <v>6038</v>
      </c>
      <c r="B647" s="794" t="s">
        <v>3857</v>
      </c>
      <c r="C647" s="812" t="s">
        <v>5237</v>
      </c>
      <c r="D647" s="825">
        <v>20000</v>
      </c>
      <c r="E647" s="825"/>
      <c r="F647" s="826"/>
      <c r="G647" s="814" t="s">
        <v>3858</v>
      </c>
      <c r="H647" s="813" t="s">
        <v>5977</v>
      </c>
      <c r="I647" s="813" t="s">
        <v>4191</v>
      </c>
      <c r="J647" s="813" t="s">
        <v>6002</v>
      </c>
      <c r="K647" s="813" t="s">
        <v>5968</v>
      </c>
      <c r="L647" s="813" t="s">
        <v>3863</v>
      </c>
      <c r="M647" s="813" t="s">
        <v>2897</v>
      </c>
      <c r="N647" s="813" t="s">
        <v>6039</v>
      </c>
      <c r="O647" s="813" t="s">
        <v>3883</v>
      </c>
      <c r="P647" s="813" t="s">
        <v>6040</v>
      </c>
      <c r="Q647" s="813" t="s">
        <v>6041</v>
      </c>
      <c r="R647" s="813">
        <v>1</v>
      </c>
      <c r="S647" s="813" t="s">
        <v>3928</v>
      </c>
      <c r="T647" s="813" t="s">
        <v>4196</v>
      </c>
    </row>
    <row r="648" spans="1:20" ht="15" customHeight="1" x14ac:dyDescent="0.35">
      <c r="A648" s="794" t="s">
        <v>6042</v>
      </c>
      <c r="B648" s="794" t="s">
        <v>3857</v>
      </c>
      <c r="C648" s="812" t="s">
        <v>5237</v>
      </c>
      <c r="D648" s="825">
        <v>15000</v>
      </c>
      <c r="E648" s="825"/>
      <c r="F648" s="826"/>
      <c r="G648" s="814" t="s">
        <v>3858</v>
      </c>
      <c r="H648" s="813" t="s">
        <v>5977</v>
      </c>
      <c r="I648" s="813" t="s">
        <v>4191</v>
      </c>
      <c r="J648" s="813" t="s">
        <v>6002</v>
      </c>
      <c r="K648" s="813" t="s">
        <v>5968</v>
      </c>
      <c r="L648" s="813" t="s">
        <v>3863</v>
      </c>
      <c r="M648" s="813" t="s">
        <v>2897</v>
      </c>
      <c r="N648" s="813" t="s">
        <v>6043</v>
      </c>
      <c r="O648" s="813" t="s">
        <v>3883</v>
      </c>
      <c r="P648" s="813" t="s">
        <v>6044</v>
      </c>
      <c r="Q648" s="813" t="s">
        <v>6045</v>
      </c>
      <c r="R648" s="813">
        <v>1</v>
      </c>
      <c r="S648" s="813" t="s">
        <v>3928</v>
      </c>
      <c r="T648" s="813" t="s">
        <v>4196</v>
      </c>
    </row>
    <row r="649" spans="1:20" ht="15" customHeight="1" x14ac:dyDescent="0.35">
      <c r="A649" s="794" t="s">
        <v>6046</v>
      </c>
      <c r="B649" s="794" t="s">
        <v>3857</v>
      </c>
      <c r="C649" s="812" t="s">
        <v>5237</v>
      </c>
      <c r="D649" s="825">
        <v>12000</v>
      </c>
      <c r="E649" s="825"/>
      <c r="F649" s="826"/>
      <c r="G649" s="814" t="s">
        <v>3858</v>
      </c>
      <c r="H649" s="813" t="s">
        <v>5977</v>
      </c>
      <c r="I649" s="813" t="s">
        <v>4191</v>
      </c>
      <c r="J649" s="813" t="s">
        <v>6002</v>
      </c>
      <c r="K649" s="813" t="s">
        <v>5968</v>
      </c>
      <c r="L649" s="813" t="s">
        <v>3863</v>
      </c>
      <c r="M649" s="813" t="s">
        <v>2897</v>
      </c>
      <c r="N649" s="813" t="s">
        <v>6047</v>
      </c>
      <c r="O649" s="813" t="s">
        <v>3883</v>
      </c>
      <c r="P649" s="813" t="s">
        <v>6048</v>
      </c>
      <c r="Q649" s="813" t="s">
        <v>6049</v>
      </c>
      <c r="R649" s="813">
        <v>1</v>
      </c>
      <c r="S649" s="813" t="s">
        <v>3928</v>
      </c>
      <c r="T649" s="813" t="s">
        <v>4196</v>
      </c>
    </row>
    <row r="650" spans="1:20" ht="15" customHeight="1" x14ac:dyDescent="0.35">
      <c r="A650" s="794" t="s">
        <v>6050</v>
      </c>
      <c r="B650" s="794" t="s">
        <v>3857</v>
      </c>
      <c r="C650" s="812" t="s">
        <v>5237</v>
      </c>
      <c r="D650" s="825">
        <v>55000</v>
      </c>
      <c r="E650" s="825"/>
      <c r="F650" s="826"/>
      <c r="G650" s="814" t="s">
        <v>3858</v>
      </c>
      <c r="H650" s="813" t="s">
        <v>5977</v>
      </c>
      <c r="I650" s="813" t="s">
        <v>4191</v>
      </c>
      <c r="J650" s="813" t="s">
        <v>6002</v>
      </c>
      <c r="K650" s="813" t="s">
        <v>5968</v>
      </c>
      <c r="L650" s="813" t="s">
        <v>3863</v>
      </c>
      <c r="M650" s="813" t="s">
        <v>2897</v>
      </c>
      <c r="N650" s="813" t="s">
        <v>6051</v>
      </c>
      <c r="O650" s="813" t="s">
        <v>3883</v>
      </c>
      <c r="P650" s="813" t="s">
        <v>6052</v>
      </c>
      <c r="Q650" s="813" t="s">
        <v>6053</v>
      </c>
      <c r="R650" s="813">
        <v>1</v>
      </c>
      <c r="S650" s="813" t="s">
        <v>3928</v>
      </c>
      <c r="T650" s="813" t="s">
        <v>4196</v>
      </c>
    </row>
    <row r="651" spans="1:20" ht="15" customHeight="1" x14ac:dyDescent="0.35">
      <c r="A651" s="802" t="s">
        <v>6054</v>
      </c>
      <c r="B651" s="802"/>
      <c r="C651" s="802"/>
      <c r="D651" s="802"/>
      <c r="E651" s="802"/>
      <c r="F651" s="802"/>
      <c r="G651" s="802" t="s">
        <v>6055</v>
      </c>
      <c r="H651" s="794"/>
      <c r="I651" s="794"/>
      <c r="J651" s="794"/>
      <c r="K651" s="794"/>
      <c r="L651" s="794"/>
      <c r="M651" s="794"/>
      <c r="N651" s="794"/>
      <c r="O651" s="794"/>
      <c r="P651" s="794"/>
      <c r="Q651" s="794"/>
      <c r="R651" s="794"/>
      <c r="S651" s="794"/>
      <c r="T651" s="794"/>
    </row>
    <row r="652" spans="1:20" ht="15" customHeight="1" x14ac:dyDescent="0.35">
      <c r="A652" s="803" t="s">
        <v>6056</v>
      </c>
      <c r="B652" s="803"/>
      <c r="C652" s="803"/>
      <c r="D652" s="803"/>
      <c r="E652" s="803"/>
      <c r="F652" s="803"/>
      <c r="G652" s="803" t="s">
        <v>3855</v>
      </c>
      <c r="H652" s="794"/>
      <c r="I652" s="794"/>
      <c r="J652" s="794"/>
      <c r="K652" s="794"/>
      <c r="L652" s="794"/>
      <c r="M652" s="794"/>
      <c r="N652" s="794"/>
      <c r="O652" s="794"/>
      <c r="P652" s="794"/>
      <c r="Q652" s="794"/>
      <c r="R652" s="794"/>
      <c r="S652" s="794"/>
      <c r="T652" s="794"/>
    </row>
    <row r="653" spans="1:20" ht="15" customHeight="1" x14ac:dyDescent="0.35">
      <c r="A653" s="794" t="s">
        <v>6057</v>
      </c>
      <c r="B653" s="794" t="s">
        <v>3857</v>
      </c>
      <c r="C653" s="812" t="s">
        <v>3880</v>
      </c>
      <c r="D653" s="825"/>
      <c r="E653" s="825"/>
      <c r="F653" s="825">
        <v>300</v>
      </c>
      <c r="G653" s="814" t="s">
        <v>3858</v>
      </c>
      <c r="H653" s="813" t="s">
        <v>6058</v>
      </c>
      <c r="I653" s="813" t="s">
        <v>4191</v>
      </c>
      <c r="J653" s="813" t="s">
        <v>4246</v>
      </c>
      <c r="K653" s="813" t="s">
        <v>4072</v>
      </c>
      <c r="L653" s="813" t="s">
        <v>3863</v>
      </c>
      <c r="M653" s="813" t="s">
        <v>1818</v>
      </c>
      <c r="N653" s="813" t="s">
        <v>6059</v>
      </c>
      <c r="O653" s="813" t="s">
        <v>4248</v>
      </c>
      <c r="P653" s="813" t="s">
        <v>6060</v>
      </c>
      <c r="Q653" s="813" t="s">
        <v>6061</v>
      </c>
      <c r="R653" s="813">
        <v>1</v>
      </c>
      <c r="S653" s="813" t="s">
        <v>4237</v>
      </c>
      <c r="T653" s="813" t="s">
        <v>4196</v>
      </c>
    </row>
    <row r="654" spans="1:20" ht="15" customHeight="1" x14ac:dyDescent="0.35">
      <c r="A654" s="794" t="s">
        <v>6062</v>
      </c>
      <c r="B654" s="794" t="s">
        <v>3857</v>
      </c>
      <c r="C654" s="812" t="s">
        <v>3880</v>
      </c>
      <c r="D654" s="825"/>
      <c r="E654" s="825"/>
      <c r="F654" s="825">
        <v>300</v>
      </c>
      <c r="G654" s="814" t="s">
        <v>3858</v>
      </c>
      <c r="H654" s="813" t="s">
        <v>6058</v>
      </c>
      <c r="I654" s="813" t="s">
        <v>4191</v>
      </c>
      <c r="J654" s="813" t="s">
        <v>4246</v>
      </c>
      <c r="K654" s="813" t="s">
        <v>4072</v>
      </c>
      <c r="L654" s="813" t="s">
        <v>3863</v>
      </c>
      <c r="M654" s="813" t="s">
        <v>1818</v>
      </c>
      <c r="N654" s="813" t="s">
        <v>6063</v>
      </c>
      <c r="O654" s="813" t="s">
        <v>4234</v>
      </c>
      <c r="P654" s="813" t="s">
        <v>6064</v>
      </c>
      <c r="Q654" s="813" t="s">
        <v>6065</v>
      </c>
      <c r="R654" s="813">
        <v>1</v>
      </c>
      <c r="S654" s="813" t="s">
        <v>4237</v>
      </c>
      <c r="T654" s="813" t="s">
        <v>4196</v>
      </c>
    </row>
    <row r="655" spans="1:20" ht="15" customHeight="1" x14ac:dyDescent="0.35">
      <c r="A655" s="794" t="s">
        <v>6066</v>
      </c>
      <c r="B655" s="794" t="s">
        <v>3857</v>
      </c>
      <c r="C655" s="812" t="s">
        <v>3880</v>
      </c>
      <c r="D655" s="825"/>
      <c r="E655" s="825"/>
      <c r="F655" s="825">
        <v>150</v>
      </c>
      <c r="G655" s="814" t="s">
        <v>3858</v>
      </c>
      <c r="H655" s="813" t="s">
        <v>6058</v>
      </c>
      <c r="I655" s="813" t="s">
        <v>4191</v>
      </c>
      <c r="J655" s="813" t="s">
        <v>4246</v>
      </c>
      <c r="K655" s="813" t="s">
        <v>4072</v>
      </c>
      <c r="L655" s="813" t="s">
        <v>3863</v>
      </c>
      <c r="M655" s="813" t="s">
        <v>1818</v>
      </c>
      <c r="N655" s="813" t="s">
        <v>6067</v>
      </c>
      <c r="O655" s="813" t="s">
        <v>4248</v>
      </c>
      <c r="P655" s="813" t="s">
        <v>6068</v>
      </c>
      <c r="Q655" s="813" t="s">
        <v>6069</v>
      </c>
      <c r="R655" s="813">
        <v>1</v>
      </c>
      <c r="S655" s="813" t="s">
        <v>4237</v>
      </c>
      <c r="T655" s="813" t="s">
        <v>4196</v>
      </c>
    </row>
    <row r="656" spans="1:20" ht="15" customHeight="1" x14ac:dyDescent="0.35">
      <c r="A656" s="803" t="s">
        <v>6070</v>
      </c>
      <c r="B656" s="803"/>
      <c r="C656" s="803"/>
      <c r="D656" s="803"/>
      <c r="E656" s="803"/>
      <c r="F656" s="803"/>
      <c r="G656" s="803" t="s">
        <v>6071</v>
      </c>
      <c r="H656" s="794"/>
      <c r="I656" s="794"/>
      <c r="J656" s="794"/>
      <c r="K656" s="794"/>
      <c r="L656" s="794"/>
      <c r="M656" s="794"/>
      <c r="N656" s="794"/>
      <c r="O656" s="794"/>
      <c r="P656" s="794"/>
      <c r="Q656" s="794"/>
      <c r="R656" s="794"/>
      <c r="S656" s="794"/>
      <c r="T656" s="794"/>
    </row>
    <row r="657" spans="1:20" ht="15" customHeight="1" x14ac:dyDescent="0.35">
      <c r="A657" s="794" t="s">
        <v>6072</v>
      </c>
      <c r="B657" s="794" t="s">
        <v>3857</v>
      </c>
      <c r="C657" s="812" t="s">
        <v>5237</v>
      </c>
      <c r="D657" s="825">
        <v>20000</v>
      </c>
      <c r="E657" s="825"/>
      <c r="F657" s="826"/>
      <c r="G657" s="814" t="s">
        <v>3858</v>
      </c>
      <c r="H657" s="813" t="s">
        <v>6058</v>
      </c>
      <c r="I657" s="813" t="s">
        <v>4191</v>
      </c>
      <c r="J657" s="813" t="s">
        <v>6073</v>
      </c>
      <c r="K657" s="813" t="s">
        <v>5968</v>
      </c>
      <c r="L657" s="813" t="s">
        <v>3863</v>
      </c>
      <c r="M657" s="813" t="s">
        <v>2897</v>
      </c>
      <c r="N657" s="813" t="s">
        <v>6074</v>
      </c>
      <c r="O657" s="813" t="s">
        <v>3883</v>
      </c>
      <c r="P657" s="813" t="s">
        <v>6075</v>
      </c>
      <c r="Q657" s="813" t="s">
        <v>6076</v>
      </c>
      <c r="R657" s="813">
        <v>1</v>
      </c>
      <c r="S657" s="813" t="s">
        <v>3928</v>
      </c>
      <c r="T657" s="813" t="s">
        <v>4196</v>
      </c>
    </row>
    <row r="658" spans="1:20" ht="15" customHeight="1" x14ac:dyDescent="0.35">
      <c r="A658" s="794" t="s">
        <v>6077</v>
      </c>
      <c r="B658" s="794" t="s">
        <v>3857</v>
      </c>
      <c r="C658" s="812" t="s">
        <v>5237</v>
      </c>
      <c r="D658" s="825">
        <v>35000</v>
      </c>
      <c r="E658" s="825"/>
      <c r="F658" s="826"/>
      <c r="G658" s="814" t="s">
        <v>3858</v>
      </c>
      <c r="H658" s="813" t="s">
        <v>6058</v>
      </c>
      <c r="I658" s="813" t="s">
        <v>4191</v>
      </c>
      <c r="J658" s="813" t="s">
        <v>6073</v>
      </c>
      <c r="K658" s="813" t="s">
        <v>5968</v>
      </c>
      <c r="L658" s="813" t="s">
        <v>3863</v>
      </c>
      <c r="M658" s="813" t="s">
        <v>2897</v>
      </c>
      <c r="N658" s="813" t="s">
        <v>6078</v>
      </c>
      <c r="O658" s="813" t="s">
        <v>3883</v>
      </c>
      <c r="P658" s="813" t="s">
        <v>6079</v>
      </c>
      <c r="Q658" s="813" t="s">
        <v>6080</v>
      </c>
      <c r="R658" s="813">
        <v>1</v>
      </c>
      <c r="S658" s="813" t="s">
        <v>3928</v>
      </c>
      <c r="T658" s="813" t="s">
        <v>4196</v>
      </c>
    </row>
    <row r="659" spans="1:20" ht="15" customHeight="1" x14ac:dyDescent="0.35">
      <c r="A659" s="794" t="s">
        <v>6081</v>
      </c>
      <c r="B659" s="794" t="s">
        <v>3857</v>
      </c>
      <c r="C659" s="812" t="s">
        <v>3880</v>
      </c>
      <c r="D659" s="825">
        <v>45000</v>
      </c>
      <c r="E659" s="825"/>
      <c r="F659" s="826"/>
      <c r="G659" s="814" t="s">
        <v>3858</v>
      </c>
      <c r="H659" s="813" t="s">
        <v>6058</v>
      </c>
      <c r="I659" s="813" t="s">
        <v>4191</v>
      </c>
      <c r="J659" s="813" t="s">
        <v>6073</v>
      </c>
      <c r="K659" s="813" t="s">
        <v>5968</v>
      </c>
      <c r="L659" s="813" t="s">
        <v>3863</v>
      </c>
      <c r="M659" s="813" t="s">
        <v>2897</v>
      </c>
      <c r="N659" s="813" t="s">
        <v>6082</v>
      </c>
      <c r="O659" s="813" t="s">
        <v>3883</v>
      </c>
      <c r="P659" s="813" t="s">
        <v>6083</v>
      </c>
      <c r="Q659" s="813" t="s">
        <v>6084</v>
      </c>
      <c r="R659" s="813">
        <v>1</v>
      </c>
      <c r="S659" s="813" t="s">
        <v>3928</v>
      </c>
      <c r="T659" s="813" t="s">
        <v>4196</v>
      </c>
    </row>
    <row r="660" spans="1:20" ht="15" customHeight="1" x14ac:dyDescent="0.35">
      <c r="A660" s="794" t="s">
        <v>6085</v>
      </c>
      <c r="B660" s="794" t="s">
        <v>3857</v>
      </c>
      <c r="C660" s="812" t="s">
        <v>5237</v>
      </c>
      <c r="D660" s="825">
        <v>15000</v>
      </c>
      <c r="E660" s="825"/>
      <c r="F660" s="826"/>
      <c r="G660" s="814" t="s">
        <v>3858</v>
      </c>
      <c r="H660" s="813" t="s">
        <v>6058</v>
      </c>
      <c r="I660" s="813" t="s">
        <v>4191</v>
      </c>
      <c r="J660" s="813" t="s">
        <v>6073</v>
      </c>
      <c r="K660" s="813" t="s">
        <v>5968</v>
      </c>
      <c r="L660" s="813" t="s">
        <v>3863</v>
      </c>
      <c r="M660" s="813" t="s">
        <v>2897</v>
      </c>
      <c r="N660" s="813" t="s">
        <v>6086</v>
      </c>
      <c r="O660" s="813" t="s">
        <v>3883</v>
      </c>
      <c r="P660" s="813" t="s">
        <v>6087</v>
      </c>
      <c r="Q660" s="813" t="s">
        <v>6088</v>
      </c>
      <c r="R660" s="813">
        <v>1</v>
      </c>
      <c r="S660" s="813" t="s">
        <v>3928</v>
      </c>
      <c r="T660" s="813" t="s">
        <v>4196</v>
      </c>
    </row>
    <row r="661" spans="1:20" ht="15" customHeight="1" x14ac:dyDescent="0.35">
      <c r="A661" s="794" t="s">
        <v>6089</v>
      </c>
      <c r="B661" s="794" t="s">
        <v>3857</v>
      </c>
      <c r="C661" s="812" t="s">
        <v>5237</v>
      </c>
      <c r="D661" s="825">
        <v>18000</v>
      </c>
      <c r="E661" s="825"/>
      <c r="F661" s="826"/>
      <c r="G661" s="814" t="s">
        <v>3858</v>
      </c>
      <c r="H661" s="813" t="s">
        <v>6058</v>
      </c>
      <c r="I661" s="813" t="s">
        <v>4191</v>
      </c>
      <c r="J661" s="813" t="s">
        <v>6073</v>
      </c>
      <c r="K661" s="813" t="s">
        <v>5968</v>
      </c>
      <c r="L661" s="813" t="s">
        <v>3863</v>
      </c>
      <c r="M661" s="813" t="s">
        <v>2897</v>
      </c>
      <c r="N661" s="813" t="s">
        <v>6090</v>
      </c>
      <c r="O661" s="813" t="s">
        <v>3883</v>
      </c>
      <c r="P661" s="813" t="s">
        <v>6091</v>
      </c>
      <c r="Q661" s="813" t="s">
        <v>6092</v>
      </c>
      <c r="R661" s="813">
        <v>1</v>
      </c>
      <c r="S661" s="813" t="s">
        <v>3928</v>
      </c>
      <c r="T661" s="813" t="s">
        <v>4196</v>
      </c>
    </row>
    <row r="662" spans="1:20" ht="15" customHeight="1" x14ac:dyDescent="0.35">
      <c r="A662" s="794" t="s">
        <v>6093</v>
      </c>
      <c r="B662" s="794" t="s">
        <v>3857</v>
      </c>
      <c r="C662" s="812" t="s">
        <v>5237</v>
      </c>
      <c r="D662" s="825">
        <v>35000</v>
      </c>
      <c r="E662" s="825"/>
      <c r="F662" s="826"/>
      <c r="G662" s="814" t="s">
        <v>3858</v>
      </c>
      <c r="H662" s="813" t="s">
        <v>6058</v>
      </c>
      <c r="I662" s="813" t="s">
        <v>4191</v>
      </c>
      <c r="J662" s="813" t="s">
        <v>6073</v>
      </c>
      <c r="K662" s="813" t="s">
        <v>5968</v>
      </c>
      <c r="L662" s="813" t="s">
        <v>3863</v>
      </c>
      <c r="M662" s="813" t="s">
        <v>2897</v>
      </c>
      <c r="N662" s="813" t="s">
        <v>6094</v>
      </c>
      <c r="O662" s="813" t="s">
        <v>3883</v>
      </c>
      <c r="P662" s="813" t="s">
        <v>6095</v>
      </c>
      <c r="Q662" s="813" t="s">
        <v>6096</v>
      </c>
      <c r="R662" s="813">
        <v>1</v>
      </c>
      <c r="S662" s="813" t="s">
        <v>3928</v>
      </c>
      <c r="T662" s="813" t="s">
        <v>4196</v>
      </c>
    </row>
    <row r="663" spans="1:20" ht="15" customHeight="1" x14ac:dyDescent="0.35">
      <c r="A663" s="794" t="s">
        <v>6097</v>
      </c>
      <c r="B663" s="794" t="s">
        <v>3857</v>
      </c>
      <c r="C663" s="812" t="s">
        <v>5237</v>
      </c>
      <c r="D663" s="825">
        <v>25000</v>
      </c>
      <c r="E663" s="825"/>
      <c r="F663" s="826"/>
      <c r="G663" s="814" t="s">
        <v>3858</v>
      </c>
      <c r="H663" s="813" t="s">
        <v>6058</v>
      </c>
      <c r="I663" s="813" t="s">
        <v>4191</v>
      </c>
      <c r="J663" s="813" t="s">
        <v>6073</v>
      </c>
      <c r="K663" s="813" t="s">
        <v>5968</v>
      </c>
      <c r="L663" s="813" t="s">
        <v>3863</v>
      </c>
      <c r="M663" s="813" t="s">
        <v>2897</v>
      </c>
      <c r="N663" s="813" t="s">
        <v>6098</v>
      </c>
      <c r="O663" s="813" t="s">
        <v>3883</v>
      </c>
      <c r="P663" s="813" t="s">
        <v>6099</v>
      </c>
      <c r="Q663" s="813" t="s">
        <v>6100</v>
      </c>
      <c r="R663" s="813">
        <v>1</v>
      </c>
      <c r="S663" s="813" t="s">
        <v>3928</v>
      </c>
      <c r="T663" s="813" t="s">
        <v>4196</v>
      </c>
    </row>
    <row r="664" spans="1:20" ht="15" customHeight="1" x14ac:dyDescent="0.35">
      <c r="A664" s="794" t="s">
        <v>6101</v>
      </c>
      <c r="B664" s="794" t="s">
        <v>3857</v>
      </c>
      <c r="C664" s="812" t="s">
        <v>5237</v>
      </c>
      <c r="D664" s="825">
        <v>18000</v>
      </c>
      <c r="E664" s="825"/>
      <c r="F664" s="826"/>
      <c r="G664" s="814" t="s">
        <v>3858</v>
      </c>
      <c r="H664" s="813" t="s">
        <v>6058</v>
      </c>
      <c r="I664" s="813" t="s">
        <v>4191</v>
      </c>
      <c r="J664" s="813" t="s">
        <v>6073</v>
      </c>
      <c r="K664" s="813" t="s">
        <v>5968</v>
      </c>
      <c r="L664" s="813" t="s">
        <v>3863</v>
      </c>
      <c r="M664" s="813" t="s">
        <v>2897</v>
      </c>
      <c r="N664" s="813" t="s">
        <v>6102</v>
      </c>
      <c r="O664" s="813" t="s">
        <v>3883</v>
      </c>
      <c r="P664" s="813" t="s">
        <v>6103</v>
      </c>
      <c r="Q664" s="813" t="s">
        <v>6104</v>
      </c>
      <c r="R664" s="813">
        <v>1</v>
      </c>
      <c r="S664" s="813" t="s">
        <v>3928</v>
      </c>
      <c r="T664" s="813" t="s">
        <v>4196</v>
      </c>
    </row>
    <row r="665" spans="1:20" ht="15" customHeight="1" x14ac:dyDescent="0.35">
      <c r="A665" s="794" t="s">
        <v>6105</v>
      </c>
      <c r="B665" s="794" t="s">
        <v>3857</v>
      </c>
      <c r="C665" s="812" t="s">
        <v>5237</v>
      </c>
      <c r="D665" s="825">
        <v>12000</v>
      </c>
      <c r="E665" s="825"/>
      <c r="F665" s="826"/>
      <c r="G665" s="814" t="s">
        <v>3858</v>
      </c>
      <c r="H665" s="813" t="s">
        <v>6058</v>
      </c>
      <c r="I665" s="813" t="s">
        <v>4191</v>
      </c>
      <c r="J665" s="813" t="s">
        <v>6073</v>
      </c>
      <c r="K665" s="813" t="s">
        <v>5968</v>
      </c>
      <c r="L665" s="813" t="s">
        <v>3863</v>
      </c>
      <c r="M665" s="813" t="s">
        <v>2897</v>
      </c>
      <c r="N665" s="813" t="s">
        <v>6106</v>
      </c>
      <c r="O665" s="813" t="s">
        <v>3883</v>
      </c>
      <c r="P665" s="813" t="s">
        <v>6107</v>
      </c>
      <c r="Q665" s="813" t="s">
        <v>6108</v>
      </c>
      <c r="R665" s="813">
        <v>1</v>
      </c>
      <c r="S665" s="813" t="s">
        <v>3928</v>
      </c>
      <c r="T665" s="813" t="s">
        <v>4196</v>
      </c>
    </row>
    <row r="666" spans="1:20" ht="15" customHeight="1" x14ac:dyDescent="0.35">
      <c r="A666" s="803" t="s">
        <v>6109</v>
      </c>
      <c r="B666" s="803"/>
      <c r="C666" s="803"/>
      <c r="D666" s="803"/>
      <c r="E666" s="803"/>
      <c r="F666" s="803"/>
      <c r="G666" s="803" t="s">
        <v>4260</v>
      </c>
      <c r="H666" s="794"/>
      <c r="I666" s="794"/>
      <c r="J666" s="794"/>
      <c r="K666" s="794"/>
      <c r="L666" s="794"/>
      <c r="M666" s="794"/>
      <c r="N666" s="794"/>
      <c r="O666" s="794"/>
      <c r="P666" s="794"/>
      <c r="Q666" s="794"/>
      <c r="R666" s="794"/>
      <c r="S666" s="794"/>
      <c r="T666" s="794"/>
    </row>
    <row r="667" spans="1:20" ht="15" customHeight="1" x14ac:dyDescent="0.35">
      <c r="A667" s="794" t="s">
        <v>6110</v>
      </c>
      <c r="B667" s="794" t="s">
        <v>3857</v>
      </c>
      <c r="C667" s="812" t="s">
        <v>4144</v>
      </c>
      <c r="D667" s="825">
        <v>24000</v>
      </c>
      <c r="E667" s="825"/>
      <c r="F667" s="826"/>
      <c r="G667" s="814" t="s">
        <v>3858</v>
      </c>
      <c r="H667" s="813" t="s">
        <v>6058</v>
      </c>
      <c r="I667" s="813" t="s">
        <v>4191</v>
      </c>
      <c r="J667" s="813" t="s">
        <v>6111</v>
      </c>
      <c r="K667" s="813" t="s">
        <v>5968</v>
      </c>
      <c r="L667" s="813" t="s">
        <v>3863</v>
      </c>
      <c r="M667" s="813" t="s">
        <v>2897</v>
      </c>
      <c r="N667" s="813" t="s">
        <v>6112</v>
      </c>
      <c r="O667" s="813" t="s">
        <v>3883</v>
      </c>
      <c r="P667" s="813" t="s">
        <v>6113</v>
      </c>
      <c r="Q667" s="813" t="s">
        <v>6114</v>
      </c>
      <c r="R667" s="813">
        <v>1</v>
      </c>
      <c r="S667" s="813" t="s">
        <v>3928</v>
      </c>
      <c r="T667" s="813" t="s">
        <v>4196</v>
      </c>
    </row>
    <row r="668" spans="1:20" ht="15" customHeight="1" x14ac:dyDescent="0.35">
      <c r="A668" s="794" t="s">
        <v>6115</v>
      </c>
      <c r="B668" s="794" t="s">
        <v>3857</v>
      </c>
      <c r="C668" s="812" t="s">
        <v>5237</v>
      </c>
      <c r="D668" s="825">
        <v>22000</v>
      </c>
      <c r="E668" s="825"/>
      <c r="F668" s="826"/>
      <c r="G668" s="814" t="s">
        <v>3858</v>
      </c>
      <c r="H668" s="813" t="s">
        <v>6058</v>
      </c>
      <c r="I668" s="813" t="s">
        <v>4191</v>
      </c>
      <c r="J668" s="813" t="s">
        <v>6111</v>
      </c>
      <c r="K668" s="813" t="s">
        <v>5968</v>
      </c>
      <c r="L668" s="813" t="s">
        <v>3863</v>
      </c>
      <c r="M668" s="813" t="s">
        <v>2897</v>
      </c>
      <c r="N668" s="813" t="s">
        <v>6116</v>
      </c>
      <c r="O668" s="813" t="s">
        <v>3883</v>
      </c>
      <c r="P668" s="813" t="s">
        <v>6117</v>
      </c>
      <c r="Q668" s="813" t="s">
        <v>6118</v>
      </c>
      <c r="R668" s="813">
        <v>1</v>
      </c>
      <c r="S668" s="813" t="s">
        <v>3928</v>
      </c>
      <c r="T668" s="813" t="s">
        <v>4196</v>
      </c>
    </row>
    <row r="669" spans="1:20" ht="15" customHeight="1" x14ac:dyDescent="0.35">
      <c r="A669" s="794" t="s">
        <v>6119</v>
      </c>
      <c r="B669" s="794" t="s">
        <v>3857</v>
      </c>
      <c r="C669" s="812" t="s">
        <v>5237</v>
      </c>
      <c r="D669" s="825">
        <v>16000</v>
      </c>
      <c r="E669" s="825"/>
      <c r="F669" s="826"/>
      <c r="G669" s="814" t="s">
        <v>3858</v>
      </c>
      <c r="H669" s="813" t="s">
        <v>6058</v>
      </c>
      <c r="I669" s="813" t="s">
        <v>4191</v>
      </c>
      <c r="J669" s="813" t="s">
        <v>6111</v>
      </c>
      <c r="K669" s="813" t="s">
        <v>5968</v>
      </c>
      <c r="L669" s="813" t="s">
        <v>3863</v>
      </c>
      <c r="M669" s="813" t="s">
        <v>2897</v>
      </c>
      <c r="N669" s="813" t="s">
        <v>6120</v>
      </c>
      <c r="O669" s="813" t="s">
        <v>3883</v>
      </c>
      <c r="P669" s="813" t="s">
        <v>6121</v>
      </c>
      <c r="Q669" s="813" t="s">
        <v>6122</v>
      </c>
      <c r="R669" s="813">
        <v>1</v>
      </c>
      <c r="S669" s="813" t="s">
        <v>3928</v>
      </c>
      <c r="T669" s="813" t="s">
        <v>4196</v>
      </c>
    </row>
    <row r="670" spans="1:20" ht="15" customHeight="1" x14ac:dyDescent="0.35">
      <c r="A670" s="794" t="s">
        <v>6123</v>
      </c>
      <c r="B670" s="794" t="s">
        <v>3857</v>
      </c>
      <c r="C670" s="812" t="s">
        <v>5237</v>
      </c>
      <c r="D670" s="825">
        <v>18000</v>
      </c>
      <c r="E670" s="825"/>
      <c r="F670" s="826"/>
      <c r="G670" s="814" t="s">
        <v>3858</v>
      </c>
      <c r="H670" s="813" t="s">
        <v>6058</v>
      </c>
      <c r="I670" s="813" t="s">
        <v>4191</v>
      </c>
      <c r="J670" s="813" t="s">
        <v>6111</v>
      </c>
      <c r="K670" s="813" t="s">
        <v>5968</v>
      </c>
      <c r="L670" s="813" t="s">
        <v>3863</v>
      </c>
      <c r="M670" s="813" t="s">
        <v>2897</v>
      </c>
      <c r="N670" s="813" t="s">
        <v>6124</v>
      </c>
      <c r="O670" s="813" t="s">
        <v>3883</v>
      </c>
      <c r="P670" s="813" t="s">
        <v>6125</v>
      </c>
      <c r="Q670" s="813" t="s">
        <v>6126</v>
      </c>
      <c r="R670" s="813">
        <v>1</v>
      </c>
      <c r="S670" s="813" t="s">
        <v>3928</v>
      </c>
      <c r="T670" s="813" t="s">
        <v>4196</v>
      </c>
    </row>
    <row r="671" spans="1:20" ht="15" customHeight="1" x14ac:dyDescent="0.35">
      <c r="A671" s="794" t="s">
        <v>6127</v>
      </c>
      <c r="B671" s="794" t="s">
        <v>3857</v>
      </c>
      <c r="C671" s="812" t="s">
        <v>5237</v>
      </c>
      <c r="D671" s="825">
        <v>5000</v>
      </c>
      <c r="E671" s="825"/>
      <c r="F671" s="826"/>
      <c r="G671" s="814" t="s">
        <v>3858</v>
      </c>
      <c r="H671" s="813" t="s">
        <v>6058</v>
      </c>
      <c r="I671" s="813" t="s">
        <v>4191</v>
      </c>
      <c r="J671" s="813" t="s">
        <v>6111</v>
      </c>
      <c r="K671" s="813" t="s">
        <v>5968</v>
      </c>
      <c r="L671" s="813" t="s">
        <v>3863</v>
      </c>
      <c r="M671" s="813" t="s">
        <v>2897</v>
      </c>
      <c r="N671" s="813" t="s">
        <v>6128</v>
      </c>
      <c r="O671" s="813" t="s">
        <v>3883</v>
      </c>
      <c r="P671" s="813" t="s">
        <v>6129</v>
      </c>
      <c r="Q671" s="813" t="s">
        <v>6130</v>
      </c>
      <c r="R671" s="813">
        <v>1</v>
      </c>
      <c r="S671" s="813" t="s">
        <v>3928</v>
      </c>
      <c r="T671" s="813" t="s">
        <v>4196</v>
      </c>
    </row>
    <row r="672" spans="1:20" ht="15" customHeight="1" x14ac:dyDescent="0.35">
      <c r="A672" s="794" t="s">
        <v>6131</v>
      </c>
      <c r="B672" s="794" t="s">
        <v>3857</v>
      </c>
      <c r="C672" s="812" t="s">
        <v>5237</v>
      </c>
      <c r="D672" s="825">
        <v>15000</v>
      </c>
      <c r="E672" s="825"/>
      <c r="F672" s="826"/>
      <c r="G672" s="814" t="s">
        <v>3858</v>
      </c>
      <c r="H672" s="813" t="s">
        <v>6058</v>
      </c>
      <c r="I672" s="813" t="s">
        <v>4191</v>
      </c>
      <c r="J672" s="813" t="s">
        <v>6111</v>
      </c>
      <c r="K672" s="813" t="s">
        <v>5968</v>
      </c>
      <c r="L672" s="813" t="s">
        <v>3863</v>
      </c>
      <c r="M672" s="813" t="s">
        <v>2897</v>
      </c>
      <c r="N672" s="813" t="s">
        <v>6132</v>
      </c>
      <c r="O672" s="813" t="s">
        <v>3883</v>
      </c>
      <c r="P672" s="813" t="s">
        <v>6133</v>
      </c>
      <c r="Q672" s="813" t="s">
        <v>6134</v>
      </c>
      <c r="R672" s="813">
        <v>1</v>
      </c>
      <c r="S672" s="813" t="s">
        <v>3928</v>
      </c>
      <c r="T672" s="813" t="s">
        <v>4196</v>
      </c>
    </row>
    <row r="673" spans="1:20" ht="15" customHeight="1" x14ac:dyDescent="0.35">
      <c r="A673" s="794" t="s">
        <v>6135</v>
      </c>
      <c r="B673" s="794" t="s">
        <v>3857</v>
      </c>
      <c r="C673" s="812" t="s">
        <v>5237</v>
      </c>
      <c r="D673" s="825">
        <v>15000</v>
      </c>
      <c r="E673" s="825"/>
      <c r="F673" s="826"/>
      <c r="G673" s="814" t="s">
        <v>3858</v>
      </c>
      <c r="H673" s="813" t="s">
        <v>6058</v>
      </c>
      <c r="I673" s="813" t="s">
        <v>4191</v>
      </c>
      <c r="J673" s="813" t="s">
        <v>6111</v>
      </c>
      <c r="K673" s="813" t="s">
        <v>5968</v>
      </c>
      <c r="L673" s="813" t="s">
        <v>3863</v>
      </c>
      <c r="M673" s="813" t="s">
        <v>2897</v>
      </c>
      <c r="N673" s="813" t="s">
        <v>6136</v>
      </c>
      <c r="O673" s="813" t="s">
        <v>3883</v>
      </c>
      <c r="P673" s="813" t="s">
        <v>6137</v>
      </c>
      <c r="Q673" s="813" t="s">
        <v>6138</v>
      </c>
      <c r="R673" s="813">
        <v>1</v>
      </c>
      <c r="S673" s="813" t="s">
        <v>3928</v>
      </c>
      <c r="T673" s="813" t="s">
        <v>4196</v>
      </c>
    </row>
    <row r="674" spans="1:20" ht="15" customHeight="1" x14ac:dyDescent="0.35">
      <c r="A674" s="794" t="s">
        <v>6139</v>
      </c>
      <c r="B674" s="794" t="s">
        <v>3857</v>
      </c>
      <c r="C674" s="812" t="s">
        <v>5237</v>
      </c>
      <c r="D674" s="825">
        <v>5000</v>
      </c>
      <c r="E674" s="825"/>
      <c r="F674" s="826"/>
      <c r="G674" s="814" t="s">
        <v>3858</v>
      </c>
      <c r="H674" s="813" t="s">
        <v>6058</v>
      </c>
      <c r="I674" s="813" t="s">
        <v>4191</v>
      </c>
      <c r="J674" s="813" t="s">
        <v>6111</v>
      </c>
      <c r="K674" s="813" t="s">
        <v>5968</v>
      </c>
      <c r="L674" s="813" t="s">
        <v>3863</v>
      </c>
      <c r="M674" s="813" t="s">
        <v>2897</v>
      </c>
      <c r="N674" s="813" t="s">
        <v>6140</v>
      </c>
      <c r="O674" s="813" t="s">
        <v>3883</v>
      </c>
      <c r="P674" s="813" t="s">
        <v>6141</v>
      </c>
      <c r="Q674" s="813" t="s">
        <v>6142</v>
      </c>
      <c r="R674" s="813">
        <v>1</v>
      </c>
      <c r="S674" s="813" t="s">
        <v>3928</v>
      </c>
      <c r="T674" s="813" t="s">
        <v>4196</v>
      </c>
    </row>
    <row r="675" spans="1:20" ht="15" customHeight="1" x14ac:dyDescent="0.35">
      <c r="A675" s="794" t="s">
        <v>6143</v>
      </c>
      <c r="B675" s="794" t="s">
        <v>3857</v>
      </c>
      <c r="C675" s="812" t="s">
        <v>5237</v>
      </c>
      <c r="D675" s="825">
        <v>12000</v>
      </c>
      <c r="E675" s="825"/>
      <c r="F675" s="826"/>
      <c r="G675" s="814" t="s">
        <v>3858</v>
      </c>
      <c r="H675" s="813" t="s">
        <v>6058</v>
      </c>
      <c r="I675" s="813" t="s">
        <v>4191</v>
      </c>
      <c r="J675" s="813" t="s">
        <v>6111</v>
      </c>
      <c r="K675" s="813" t="s">
        <v>5968</v>
      </c>
      <c r="L675" s="813" t="s">
        <v>3863</v>
      </c>
      <c r="M675" s="813" t="s">
        <v>2897</v>
      </c>
      <c r="N675" s="813" t="s">
        <v>6144</v>
      </c>
      <c r="O675" s="813" t="s">
        <v>3883</v>
      </c>
      <c r="P675" s="813" t="s">
        <v>6145</v>
      </c>
      <c r="Q675" s="813" t="s">
        <v>6146</v>
      </c>
      <c r="R675" s="813">
        <v>1</v>
      </c>
      <c r="S675" s="813" t="s">
        <v>3928</v>
      </c>
      <c r="T675" s="813" t="s">
        <v>4196</v>
      </c>
    </row>
    <row r="676" spans="1:20" ht="15" customHeight="1" x14ac:dyDescent="0.35">
      <c r="A676" s="794" t="s">
        <v>6147</v>
      </c>
      <c r="B676" s="794" t="s">
        <v>3857</v>
      </c>
      <c r="C676" s="812" t="s">
        <v>5237</v>
      </c>
      <c r="D676" s="825">
        <v>6000</v>
      </c>
      <c r="E676" s="825"/>
      <c r="F676" s="826"/>
      <c r="G676" s="814" t="s">
        <v>3858</v>
      </c>
      <c r="H676" s="813" t="s">
        <v>6058</v>
      </c>
      <c r="I676" s="813" t="s">
        <v>4191</v>
      </c>
      <c r="J676" s="813" t="s">
        <v>6111</v>
      </c>
      <c r="K676" s="813" t="s">
        <v>5968</v>
      </c>
      <c r="L676" s="813" t="s">
        <v>3863</v>
      </c>
      <c r="M676" s="813" t="s">
        <v>2897</v>
      </c>
      <c r="N676" s="813" t="s">
        <v>6148</v>
      </c>
      <c r="O676" s="813" t="s">
        <v>3883</v>
      </c>
      <c r="P676" s="813" t="s">
        <v>6149</v>
      </c>
      <c r="Q676" s="813" t="s">
        <v>6150</v>
      </c>
      <c r="R676" s="813">
        <v>1</v>
      </c>
      <c r="S676" s="813" t="s">
        <v>3928</v>
      </c>
      <c r="T676" s="813" t="s">
        <v>4196</v>
      </c>
    </row>
    <row r="677" spans="1:20" ht="15" customHeight="1" x14ac:dyDescent="0.35">
      <c r="A677" s="794" t="s">
        <v>6151</v>
      </c>
      <c r="B677" s="794" t="s">
        <v>3857</v>
      </c>
      <c r="C677" s="812" t="s">
        <v>5237</v>
      </c>
      <c r="D677" s="825">
        <v>2500</v>
      </c>
      <c r="E677" s="825"/>
      <c r="F677" s="826"/>
      <c r="G677" s="814" t="s">
        <v>3858</v>
      </c>
      <c r="H677" s="813" t="s">
        <v>6058</v>
      </c>
      <c r="I677" s="813" t="s">
        <v>4191</v>
      </c>
      <c r="J677" s="813" t="s">
        <v>6111</v>
      </c>
      <c r="K677" s="813" t="s">
        <v>5968</v>
      </c>
      <c r="L677" s="813" t="s">
        <v>3863</v>
      </c>
      <c r="M677" s="813" t="s">
        <v>2897</v>
      </c>
      <c r="N677" s="813" t="s">
        <v>6152</v>
      </c>
      <c r="O677" s="813" t="s">
        <v>3883</v>
      </c>
      <c r="P677" s="813" t="s">
        <v>6153</v>
      </c>
      <c r="Q677" s="813" t="s">
        <v>6154</v>
      </c>
      <c r="R677" s="813">
        <v>1</v>
      </c>
      <c r="S677" s="813" t="s">
        <v>3928</v>
      </c>
      <c r="T677" s="813" t="s">
        <v>4196</v>
      </c>
    </row>
    <row r="678" spans="1:20" ht="15" customHeight="1" x14ac:dyDescent="0.35">
      <c r="A678" s="794" t="s">
        <v>6155</v>
      </c>
      <c r="B678" s="794" t="s">
        <v>3857</v>
      </c>
      <c r="C678" s="812" t="s">
        <v>5237</v>
      </c>
      <c r="D678" s="825">
        <v>8000</v>
      </c>
      <c r="E678" s="825"/>
      <c r="F678" s="826"/>
      <c r="G678" s="814" t="s">
        <v>3858</v>
      </c>
      <c r="H678" s="813" t="s">
        <v>6058</v>
      </c>
      <c r="I678" s="813" t="s">
        <v>4191</v>
      </c>
      <c r="J678" s="813" t="s">
        <v>6111</v>
      </c>
      <c r="K678" s="813" t="s">
        <v>5968</v>
      </c>
      <c r="L678" s="813" t="s">
        <v>3863</v>
      </c>
      <c r="M678" s="813" t="s">
        <v>2897</v>
      </c>
      <c r="N678" s="813" t="s">
        <v>6156</v>
      </c>
      <c r="O678" s="813" t="s">
        <v>3883</v>
      </c>
      <c r="P678" s="813" t="s">
        <v>6157</v>
      </c>
      <c r="Q678" s="813" t="s">
        <v>6158</v>
      </c>
      <c r="R678" s="813">
        <v>1</v>
      </c>
      <c r="S678" s="813" t="s">
        <v>3928</v>
      </c>
      <c r="T678" s="813" t="s">
        <v>4196</v>
      </c>
    </row>
    <row r="679" spans="1:20" ht="15" customHeight="1" x14ac:dyDescent="0.35">
      <c r="A679" s="803" t="s">
        <v>6159</v>
      </c>
      <c r="B679" s="803"/>
      <c r="C679" s="803"/>
      <c r="D679" s="803"/>
      <c r="E679" s="803"/>
      <c r="F679" s="803"/>
      <c r="G679" s="803" t="s">
        <v>3898</v>
      </c>
      <c r="H679" s="794"/>
      <c r="I679" s="794"/>
      <c r="J679" s="794"/>
      <c r="K679" s="794"/>
      <c r="L679" s="794"/>
      <c r="M679" s="794"/>
      <c r="N679" s="794"/>
      <c r="O679" s="794"/>
      <c r="P679" s="794"/>
      <c r="Q679" s="794"/>
      <c r="R679" s="794"/>
      <c r="S679" s="794"/>
      <c r="T679" s="794"/>
    </row>
    <row r="680" spans="1:20" ht="15" customHeight="1" x14ac:dyDescent="0.35">
      <c r="A680" s="794" t="s">
        <v>6160</v>
      </c>
      <c r="B680" s="794" t="s">
        <v>3857</v>
      </c>
      <c r="C680" s="812" t="s">
        <v>5237</v>
      </c>
      <c r="D680" s="825">
        <v>15000</v>
      </c>
      <c r="E680" s="825"/>
      <c r="F680" s="826"/>
      <c r="G680" s="814" t="s">
        <v>3858</v>
      </c>
      <c r="H680" s="813" t="s">
        <v>6058</v>
      </c>
      <c r="I680" s="813" t="s">
        <v>4191</v>
      </c>
      <c r="J680" s="813" t="s">
        <v>6161</v>
      </c>
      <c r="K680" s="813" t="s">
        <v>5968</v>
      </c>
      <c r="L680" s="813" t="s">
        <v>3863</v>
      </c>
      <c r="M680" s="813" t="s">
        <v>2897</v>
      </c>
      <c r="N680" s="813" t="s">
        <v>6162</v>
      </c>
      <c r="O680" s="813" t="s">
        <v>3883</v>
      </c>
      <c r="P680" s="813" t="s">
        <v>6163</v>
      </c>
      <c r="Q680" s="813" t="s">
        <v>6164</v>
      </c>
      <c r="R680" s="813">
        <v>1</v>
      </c>
      <c r="S680" s="813" t="s">
        <v>3928</v>
      </c>
      <c r="T680" s="813" t="s">
        <v>4196</v>
      </c>
    </row>
    <row r="681" spans="1:20" ht="15" customHeight="1" x14ac:dyDescent="0.35">
      <c r="A681" s="794" t="s">
        <v>6165</v>
      </c>
      <c r="B681" s="794" t="s">
        <v>3857</v>
      </c>
      <c r="C681" s="812" t="s">
        <v>5237</v>
      </c>
      <c r="D681" s="825">
        <v>10000</v>
      </c>
      <c r="E681" s="825"/>
      <c r="F681" s="826"/>
      <c r="G681" s="814" t="s">
        <v>3858</v>
      </c>
      <c r="H681" s="813" t="s">
        <v>6058</v>
      </c>
      <c r="I681" s="813" t="s">
        <v>4191</v>
      </c>
      <c r="J681" s="813" t="s">
        <v>6161</v>
      </c>
      <c r="K681" s="813" t="s">
        <v>5968</v>
      </c>
      <c r="L681" s="813" t="s">
        <v>3863</v>
      </c>
      <c r="M681" s="813" t="s">
        <v>2897</v>
      </c>
      <c r="N681" s="813" t="s">
        <v>6166</v>
      </c>
      <c r="O681" s="813" t="s">
        <v>3883</v>
      </c>
      <c r="P681" s="813" t="s">
        <v>6167</v>
      </c>
      <c r="Q681" s="813" t="s">
        <v>6168</v>
      </c>
      <c r="R681" s="813">
        <v>1</v>
      </c>
      <c r="S681" s="813" t="s">
        <v>3928</v>
      </c>
      <c r="T681" s="813" t="s">
        <v>4196</v>
      </c>
    </row>
    <row r="682" spans="1:20" ht="15" customHeight="1" x14ac:dyDescent="0.35">
      <c r="A682" s="794" t="s">
        <v>6169</v>
      </c>
      <c r="B682" s="794" t="s">
        <v>3857</v>
      </c>
      <c r="C682" s="812" t="s">
        <v>5237</v>
      </c>
      <c r="D682" s="825">
        <v>8000</v>
      </c>
      <c r="E682" s="825"/>
      <c r="F682" s="826"/>
      <c r="G682" s="814" t="s">
        <v>3858</v>
      </c>
      <c r="H682" s="813" t="s">
        <v>6058</v>
      </c>
      <c r="I682" s="813" t="s">
        <v>4191</v>
      </c>
      <c r="J682" s="813" t="s">
        <v>6161</v>
      </c>
      <c r="K682" s="813" t="s">
        <v>5968</v>
      </c>
      <c r="L682" s="813" t="s">
        <v>3863</v>
      </c>
      <c r="M682" s="813" t="s">
        <v>2897</v>
      </c>
      <c r="N682" s="813" t="s">
        <v>6170</v>
      </c>
      <c r="O682" s="813" t="s">
        <v>3883</v>
      </c>
      <c r="P682" s="813" t="s">
        <v>6171</v>
      </c>
      <c r="Q682" s="813" t="s">
        <v>6172</v>
      </c>
      <c r="R682" s="813">
        <v>1</v>
      </c>
      <c r="S682" s="813" t="s">
        <v>3928</v>
      </c>
      <c r="T682" s="813" t="s">
        <v>4196</v>
      </c>
    </row>
    <row r="683" spans="1:20" ht="15" customHeight="1" x14ac:dyDescent="0.35">
      <c r="A683" s="794" t="s">
        <v>6173</v>
      </c>
      <c r="B683" s="794" t="s">
        <v>3857</v>
      </c>
      <c r="C683" s="812" t="s">
        <v>5237</v>
      </c>
      <c r="D683" s="825">
        <v>5000</v>
      </c>
      <c r="E683" s="825"/>
      <c r="F683" s="826"/>
      <c r="G683" s="814" t="s">
        <v>3858</v>
      </c>
      <c r="H683" s="813" t="s">
        <v>6058</v>
      </c>
      <c r="I683" s="813" t="s">
        <v>4191</v>
      </c>
      <c r="J683" s="813" t="s">
        <v>6161</v>
      </c>
      <c r="K683" s="813" t="s">
        <v>5968</v>
      </c>
      <c r="L683" s="813" t="s">
        <v>3863</v>
      </c>
      <c r="M683" s="813" t="s">
        <v>2897</v>
      </c>
      <c r="N683" s="813" t="s">
        <v>6174</v>
      </c>
      <c r="O683" s="813" t="s">
        <v>3883</v>
      </c>
      <c r="P683" s="813" t="s">
        <v>6175</v>
      </c>
      <c r="Q683" s="813" t="s">
        <v>6176</v>
      </c>
      <c r="R683" s="813">
        <v>1</v>
      </c>
      <c r="S683" s="813" t="s">
        <v>3928</v>
      </c>
      <c r="T683" s="813" t="s">
        <v>4196</v>
      </c>
    </row>
    <row r="684" spans="1:20" ht="15" customHeight="1" x14ac:dyDescent="0.35">
      <c r="A684" s="803" t="s">
        <v>6177</v>
      </c>
      <c r="B684" s="803"/>
      <c r="C684" s="803"/>
      <c r="D684" s="803"/>
      <c r="E684" s="803"/>
      <c r="F684" s="803"/>
      <c r="G684" s="803" t="s">
        <v>3920</v>
      </c>
      <c r="H684" s="794"/>
      <c r="I684" s="794"/>
      <c r="J684" s="794"/>
      <c r="K684" s="794"/>
      <c r="L684" s="794"/>
      <c r="M684" s="794"/>
      <c r="N684" s="794"/>
      <c r="O684" s="794"/>
      <c r="P684" s="794"/>
      <c r="Q684" s="794"/>
      <c r="R684" s="794"/>
      <c r="S684" s="794"/>
      <c r="T684" s="794"/>
    </row>
    <row r="685" spans="1:20" ht="15" customHeight="1" x14ac:dyDescent="0.35">
      <c r="A685" s="794" t="s">
        <v>6178</v>
      </c>
      <c r="B685" s="794" t="s">
        <v>3857</v>
      </c>
      <c r="C685" s="812" t="s">
        <v>5237</v>
      </c>
      <c r="D685" s="825">
        <v>41000</v>
      </c>
      <c r="E685" s="825"/>
      <c r="F685" s="826"/>
      <c r="G685" s="814" t="s">
        <v>3858</v>
      </c>
      <c r="H685" s="813" t="s">
        <v>6058</v>
      </c>
      <c r="I685" s="813" t="s">
        <v>4191</v>
      </c>
      <c r="J685" s="813" t="s">
        <v>6179</v>
      </c>
      <c r="K685" s="813" t="s">
        <v>5968</v>
      </c>
      <c r="L685" s="813" t="s">
        <v>3863</v>
      </c>
      <c r="M685" s="813" t="s">
        <v>2897</v>
      </c>
      <c r="N685" s="813" t="s">
        <v>6180</v>
      </c>
      <c r="O685" s="813" t="s">
        <v>3883</v>
      </c>
      <c r="P685" s="813" t="s">
        <v>6181</v>
      </c>
      <c r="Q685" s="813" t="s">
        <v>6182</v>
      </c>
      <c r="R685" s="813">
        <v>1</v>
      </c>
      <c r="S685" s="813" t="s">
        <v>3928</v>
      </c>
      <c r="T685" s="813" t="s">
        <v>4196</v>
      </c>
    </row>
    <row r="686" spans="1:20" ht="15" customHeight="1" x14ac:dyDescent="0.35">
      <c r="A686" s="794" t="s">
        <v>6183</v>
      </c>
      <c r="B686" s="794" t="s">
        <v>3857</v>
      </c>
      <c r="C686" s="812" t="s">
        <v>5237</v>
      </c>
      <c r="D686" s="825">
        <v>223000</v>
      </c>
      <c r="E686" s="825"/>
      <c r="F686" s="826"/>
      <c r="G686" s="814" t="s">
        <v>3858</v>
      </c>
      <c r="H686" s="813" t="s">
        <v>6058</v>
      </c>
      <c r="I686" s="813" t="s">
        <v>4191</v>
      </c>
      <c r="J686" s="813" t="s">
        <v>6179</v>
      </c>
      <c r="K686" s="813" t="s">
        <v>5968</v>
      </c>
      <c r="L686" s="813" t="s">
        <v>3863</v>
      </c>
      <c r="M686" s="813" t="s">
        <v>2897</v>
      </c>
      <c r="N686" s="813" t="s">
        <v>6184</v>
      </c>
      <c r="O686" s="813" t="s">
        <v>3883</v>
      </c>
      <c r="P686" s="813" t="s">
        <v>6185</v>
      </c>
      <c r="Q686" s="813" t="s">
        <v>6186</v>
      </c>
      <c r="R686" s="813">
        <v>1</v>
      </c>
      <c r="S686" s="813" t="s">
        <v>3928</v>
      </c>
      <c r="T686" s="813" t="s">
        <v>4196</v>
      </c>
    </row>
    <row r="687" spans="1:20" ht="15" customHeight="1" x14ac:dyDescent="0.35">
      <c r="A687" s="794" t="s">
        <v>6187</v>
      </c>
      <c r="B687" s="794" t="s">
        <v>3857</v>
      </c>
      <c r="C687" s="812" t="s">
        <v>5237</v>
      </c>
      <c r="D687" s="825">
        <v>148500</v>
      </c>
      <c r="E687" s="825"/>
      <c r="F687" s="826"/>
      <c r="G687" s="814" t="s">
        <v>3858</v>
      </c>
      <c r="H687" s="813" t="s">
        <v>6058</v>
      </c>
      <c r="I687" s="813" t="s">
        <v>4191</v>
      </c>
      <c r="J687" s="813" t="s">
        <v>6179</v>
      </c>
      <c r="K687" s="813" t="s">
        <v>5968</v>
      </c>
      <c r="L687" s="813" t="s">
        <v>3863</v>
      </c>
      <c r="M687" s="813" t="s">
        <v>2897</v>
      </c>
      <c r="N687" s="813" t="s">
        <v>6188</v>
      </c>
      <c r="O687" s="813" t="s">
        <v>3883</v>
      </c>
      <c r="P687" s="813" t="s">
        <v>6189</v>
      </c>
      <c r="Q687" s="813" t="s">
        <v>6190</v>
      </c>
      <c r="R687" s="813">
        <v>1</v>
      </c>
      <c r="S687" s="813" t="s">
        <v>3928</v>
      </c>
      <c r="T687" s="813" t="s">
        <v>4196</v>
      </c>
    </row>
    <row r="688" spans="1:20" ht="15" customHeight="1" x14ac:dyDescent="0.35">
      <c r="A688" s="794" t="s">
        <v>6191</v>
      </c>
      <c r="B688" s="794" t="s">
        <v>3857</v>
      </c>
      <c r="C688" s="812" t="s">
        <v>5237</v>
      </c>
      <c r="D688" s="825">
        <v>38000</v>
      </c>
      <c r="E688" s="825"/>
      <c r="F688" s="826"/>
      <c r="G688" s="814" t="s">
        <v>3858</v>
      </c>
      <c r="H688" s="813" t="s">
        <v>6058</v>
      </c>
      <c r="I688" s="813" t="s">
        <v>4191</v>
      </c>
      <c r="J688" s="813" t="s">
        <v>6179</v>
      </c>
      <c r="K688" s="813" t="s">
        <v>5968</v>
      </c>
      <c r="L688" s="813" t="s">
        <v>3863</v>
      </c>
      <c r="M688" s="813" t="s">
        <v>2897</v>
      </c>
      <c r="N688" s="813" t="s">
        <v>6192</v>
      </c>
      <c r="O688" s="813" t="s">
        <v>3883</v>
      </c>
      <c r="P688" s="813" t="s">
        <v>6193</v>
      </c>
      <c r="Q688" s="813" t="s">
        <v>6194</v>
      </c>
      <c r="R688" s="813">
        <v>1</v>
      </c>
      <c r="S688" s="813" t="s">
        <v>3928</v>
      </c>
      <c r="T688" s="813" t="s">
        <v>4196</v>
      </c>
    </row>
    <row r="689" spans="1:20" ht="15" customHeight="1" x14ac:dyDescent="0.35">
      <c r="A689" s="794" t="s">
        <v>6195</v>
      </c>
      <c r="B689" s="794" t="s">
        <v>3857</v>
      </c>
      <c r="C689" s="812" t="s">
        <v>5237</v>
      </c>
      <c r="D689" s="825">
        <v>41000</v>
      </c>
      <c r="E689" s="825"/>
      <c r="F689" s="826"/>
      <c r="G689" s="814" t="s">
        <v>3858</v>
      </c>
      <c r="H689" s="813" t="s">
        <v>6058</v>
      </c>
      <c r="I689" s="813" t="s">
        <v>4191</v>
      </c>
      <c r="J689" s="813" t="s">
        <v>6179</v>
      </c>
      <c r="K689" s="813" t="s">
        <v>5968</v>
      </c>
      <c r="L689" s="813" t="s">
        <v>3863</v>
      </c>
      <c r="M689" s="813" t="s">
        <v>2897</v>
      </c>
      <c r="N689" s="813" t="s">
        <v>6196</v>
      </c>
      <c r="O689" s="813" t="s">
        <v>3883</v>
      </c>
      <c r="P689" s="813" t="s">
        <v>6197</v>
      </c>
      <c r="Q689" s="813" t="s">
        <v>6198</v>
      </c>
      <c r="R689" s="813">
        <v>1</v>
      </c>
      <c r="S689" s="813" t="s">
        <v>3928</v>
      </c>
      <c r="T689" s="813" t="s">
        <v>4196</v>
      </c>
    </row>
    <row r="690" spans="1:20" ht="15" customHeight="1" x14ac:dyDescent="0.35">
      <c r="A690" s="802" t="s">
        <v>6199</v>
      </c>
      <c r="B690" s="802"/>
      <c r="C690" s="802"/>
      <c r="D690" s="802"/>
      <c r="E690" s="802"/>
      <c r="F690" s="802"/>
      <c r="G690" s="802" t="s">
        <v>6200</v>
      </c>
      <c r="H690" s="794"/>
      <c r="I690" s="794"/>
      <c r="J690" s="794"/>
      <c r="K690" s="794"/>
      <c r="L690" s="794"/>
      <c r="M690" s="794"/>
      <c r="N690" s="794"/>
      <c r="O690" s="794"/>
      <c r="P690" s="794"/>
      <c r="Q690" s="794"/>
      <c r="R690" s="794"/>
      <c r="S690" s="794"/>
      <c r="T690" s="794"/>
    </row>
    <row r="691" spans="1:20" ht="15" customHeight="1" x14ac:dyDescent="0.35">
      <c r="A691" s="803" t="s">
        <v>6201</v>
      </c>
      <c r="B691" s="803"/>
      <c r="C691" s="803"/>
      <c r="D691" s="803"/>
      <c r="E691" s="803"/>
      <c r="F691" s="803"/>
      <c r="G691" s="803" t="s">
        <v>3853</v>
      </c>
      <c r="H691" s="794"/>
      <c r="I691" s="794"/>
      <c r="J691" s="794"/>
      <c r="K691" s="794"/>
      <c r="L691" s="794"/>
      <c r="M691" s="794"/>
      <c r="N691" s="794"/>
      <c r="O691" s="794"/>
      <c r="P691" s="794"/>
      <c r="Q691" s="794"/>
      <c r="R691" s="794"/>
      <c r="S691" s="794"/>
      <c r="T691" s="794"/>
    </row>
    <row r="692" spans="1:20" ht="15" customHeight="1" x14ac:dyDescent="0.35">
      <c r="A692" s="794" t="s">
        <v>6202</v>
      </c>
      <c r="B692" s="794" t="s">
        <v>3857</v>
      </c>
      <c r="C692" s="812" t="s">
        <v>3913</v>
      </c>
      <c r="D692" s="825"/>
      <c r="E692" s="825"/>
      <c r="F692" s="825">
        <v>4500</v>
      </c>
      <c r="G692" s="814" t="s">
        <v>3858</v>
      </c>
      <c r="H692" s="813" t="s">
        <v>6203</v>
      </c>
      <c r="I692" s="813" t="s">
        <v>4191</v>
      </c>
      <c r="J692" s="813" t="s">
        <v>4246</v>
      </c>
      <c r="K692" s="813" t="s">
        <v>4072</v>
      </c>
      <c r="L692" s="813" t="s">
        <v>3863</v>
      </c>
      <c r="M692" s="813" t="s">
        <v>1818</v>
      </c>
      <c r="N692" s="813" t="s">
        <v>6204</v>
      </c>
      <c r="O692" s="813" t="s">
        <v>4248</v>
      </c>
      <c r="P692" s="813" t="s">
        <v>6205</v>
      </c>
      <c r="Q692" s="813" t="s">
        <v>6206</v>
      </c>
      <c r="R692" s="813">
        <v>1</v>
      </c>
      <c r="S692" s="813" t="s">
        <v>4237</v>
      </c>
      <c r="T692" s="813" t="s">
        <v>4196</v>
      </c>
    </row>
    <row r="693" spans="1:20" ht="15" customHeight="1" x14ac:dyDescent="0.35">
      <c r="A693" s="794" t="s">
        <v>6207</v>
      </c>
      <c r="B693" s="794" t="s">
        <v>3857</v>
      </c>
      <c r="C693" s="812" t="s">
        <v>3880</v>
      </c>
      <c r="D693" s="825"/>
      <c r="E693" s="825"/>
      <c r="F693" s="825">
        <v>6000</v>
      </c>
      <c r="G693" s="814" t="s">
        <v>3858</v>
      </c>
      <c r="H693" s="813" t="s">
        <v>6203</v>
      </c>
      <c r="I693" s="813" t="s">
        <v>4191</v>
      </c>
      <c r="J693" s="813" t="s">
        <v>4246</v>
      </c>
      <c r="K693" s="813" t="s">
        <v>4072</v>
      </c>
      <c r="L693" s="813" t="s">
        <v>3863</v>
      </c>
      <c r="M693" s="813" t="s">
        <v>1818</v>
      </c>
      <c r="N693" s="813" t="s">
        <v>6208</v>
      </c>
      <c r="O693" s="813" t="s">
        <v>4234</v>
      </c>
      <c r="P693" s="813" t="s">
        <v>6209</v>
      </c>
      <c r="Q693" s="813" t="s">
        <v>6210</v>
      </c>
      <c r="R693" s="813">
        <v>1</v>
      </c>
      <c r="S693" s="813" t="s">
        <v>4237</v>
      </c>
      <c r="T693" s="813" t="s">
        <v>4196</v>
      </c>
    </row>
    <row r="694" spans="1:20" ht="15" customHeight="1" x14ac:dyDescent="0.35">
      <c r="A694" s="794" t="s">
        <v>6211</v>
      </c>
      <c r="B694" s="794" t="s">
        <v>3857</v>
      </c>
      <c r="C694" s="812" t="s">
        <v>3913</v>
      </c>
      <c r="D694" s="825"/>
      <c r="E694" s="825"/>
      <c r="F694" s="825">
        <v>2400</v>
      </c>
      <c r="G694" s="814" t="s">
        <v>3858</v>
      </c>
      <c r="H694" s="813" t="s">
        <v>6203</v>
      </c>
      <c r="I694" s="813" t="s">
        <v>4191</v>
      </c>
      <c r="J694" s="813" t="s">
        <v>4246</v>
      </c>
      <c r="K694" s="813" t="s">
        <v>4072</v>
      </c>
      <c r="L694" s="813" t="s">
        <v>3863</v>
      </c>
      <c r="M694" s="813" t="s">
        <v>1818</v>
      </c>
      <c r="N694" s="813" t="s">
        <v>6212</v>
      </c>
      <c r="O694" s="813" t="s">
        <v>4248</v>
      </c>
      <c r="P694" s="813" t="s">
        <v>6213</v>
      </c>
      <c r="Q694" s="813" t="s">
        <v>6214</v>
      </c>
      <c r="R694" s="813">
        <v>1</v>
      </c>
      <c r="S694" s="813" t="s">
        <v>4237</v>
      </c>
      <c r="T694" s="813" t="s">
        <v>4196</v>
      </c>
    </row>
    <row r="695" spans="1:20" ht="15" customHeight="1" x14ac:dyDescent="0.35">
      <c r="A695" s="794" t="s">
        <v>6215</v>
      </c>
      <c r="B695" s="794" t="s">
        <v>3857</v>
      </c>
      <c r="C695" s="812" t="s">
        <v>3913</v>
      </c>
      <c r="D695" s="825"/>
      <c r="E695" s="825"/>
      <c r="F695" s="825">
        <v>2400</v>
      </c>
      <c r="G695" s="814" t="s">
        <v>3858</v>
      </c>
      <c r="H695" s="813" t="s">
        <v>6203</v>
      </c>
      <c r="I695" s="813" t="s">
        <v>4191</v>
      </c>
      <c r="J695" s="813" t="s">
        <v>4246</v>
      </c>
      <c r="K695" s="813" t="s">
        <v>4072</v>
      </c>
      <c r="L695" s="813" t="s">
        <v>3863</v>
      </c>
      <c r="M695" s="813" t="s">
        <v>1818</v>
      </c>
      <c r="N695" s="813" t="s">
        <v>6216</v>
      </c>
      <c r="O695" s="813" t="s">
        <v>4234</v>
      </c>
      <c r="P695" s="813" t="s">
        <v>6217</v>
      </c>
      <c r="Q695" s="813" t="s">
        <v>6218</v>
      </c>
      <c r="R695" s="813">
        <v>1</v>
      </c>
      <c r="S695" s="813" t="s">
        <v>4237</v>
      </c>
      <c r="T695" s="813" t="s">
        <v>4196</v>
      </c>
    </row>
    <row r="696" spans="1:20" ht="15" customHeight="1" x14ac:dyDescent="0.35">
      <c r="A696" s="794" t="s">
        <v>6219</v>
      </c>
      <c r="B696" s="794" t="s">
        <v>3857</v>
      </c>
      <c r="C696" s="812" t="s">
        <v>3913</v>
      </c>
      <c r="D696" s="825"/>
      <c r="E696" s="825"/>
      <c r="F696" s="825">
        <v>400</v>
      </c>
      <c r="G696" s="814" t="s">
        <v>3858</v>
      </c>
      <c r="H696" s="813" t="s">
        <v>6203</v>
      </c>
      <c r="I696" s="813" t="s">
        <v>4191</v>
      </c>
      <c r="J696" s="813" t="s">
        <v>4246</v>
      </c>
      <c r="K696" s="813" t="s">
        <v>4072</v>
      </c>
      <c r="L696" s="813" t="s">
        <v>3863</v>
      </c>
      <c r="M696" s="813" t="s">
        <v>1818</v>
      </c>
      <c r="N696" s="813" t="s">
        <v>6220</v>
      </c>
      <c r="O696" s="813" t="s">
        <v>4248</v>
      </c>
      <c r="P696" s="813" t="s">
        <v>6221</v>
      </c>
      <c r="Q696" s="813" t="s">
        <v>6222</v>
      </c>
      <c r="R696" s="813">
        <v>1</v>
      </c>
      <c r="S696" s="813" t="s">
        <v>4237</v>
      </c>
      <c r="T696" s="813" t="s">
        <v>4196</v>
      </c>
    </row>
    <row r="697" spans="1:20" ht="15" customHeight="1" x14ac:dyDescent="0.35">
      <c r="A697" s="794" t="s">
        <v>6223</v>
      </c>
      <c r="B697" s="794" t="s">
        <v>3857</v>
      </c>
      <c r="C697" s="812" t="s">
        <v>3913</v>
      </c>
      <c r="D697" s="825"/>
      <c r="E697" s="825"/>
      <c r="F697" s="825">
        <v>400</v>
      </c>
      <c r="G697" s="814" t="s">
        <v>3858</v>
      </c>
      <c r="H697" s="813" t="s">
        <v>6203</v>
      </c>
      <c r="I697" s="813" t="s">
        <v>4191</v>
      </c>
      <c r="J697" s="813" t="s">
        <v>4246</v>
      </c>
      <c r="K697" s="813" t="s">
        <v>4072</v>
      </c>
      <c r="L697" s="813" t="s">
        <v>3863</v>
      </c>
      <c r="M697" s="813" t="s">
        <v>1818</v>
      </c>
      <c r="N697" s="813" t="s">
        <v>6224</v>
      </c>
      <c r="O697" s="813" t="s">
        <v>4234</v>
      </c>
      <c r="P697" s="813" t="s">
        <v>6225</v>
      </c>
      <c r="Q697" s="813" t="s">
        <v>6226</v>
      </c>
      <c r="R697" s="813">
        <v>1</v>
      </c>
      <c r="S697" s="813" t="s">
        <v>4237</v>
      </c>
      <c r="T697" s="813" t="s">
        <v>4196</v>
      </c>
    </row>
    <row r="698" spans="1:20" ht="15" customHeight="1" x14ac:dyDescent="0.35">
      <c r="A698" s="794" t="s">
        <v>6219</v>
      </c>
      <c r="B698" s="794" t="s">
        <v>3857</v>
      </c>
      <c r="C698" s="812" t="s">
        <v>3913</v>
      </c>
      <c r="D698" s="825"/>
      <c r="E698" s="825"/>
      <c r="F698" s="825">
        <v>0</v>
      </c>
      <c r="G698" s="814" t="s">
        <v>3858</v>
      </c>
      <c r="H698" s="813" t="s">
        <v>6203</v>
      </c>
      <c r="I698" s="813" t="s">
        <v>4191</v>
      </c>
      <c r="J698" s="813" t="s">
        <v>4246</v>
      </c>
      <c r="K698" s="813" t="s">
        <v>4072</v>
      </c>
      <c r="L698" s="813" t="s">
        <v>3863</v>
      </c>
      <c r="M698" s="813" t="s">
        <v>1818</v>
      </c>
      <c r="N698" s="813" t="s">
        <v>6227</v>
      </c>
      <c r="O698" s="813" t="s">
        <v>4234</v>
      </c>
      <c r="P698" s="813" t="s">
        <v>6228</v>
      </c>
      <c r="Q698" s="813" t="s">
        <v>6229</v>
      </c>
      <c r="R698" s="813">
        <v>1</v>
      </c>
      <c r="S698" s="813" t="s">
        <v>4237</v>
      </c>
      <c r="T698" s="813" t="s">
        <v>4196</v>
      </c>
    </row>
    <row r="699" spans="1:20" ht="15" customHeight="1" x14ac:dyDescent="0.35">
      <c r="A699" s="794" t="s">
        <v>6230</v>
      </c>
      <c r="B699" s="794" t="s">
        <v>3857</v>
      </c>
      <c r="C699" s="812" t="s">
        <v>3913</v>
      </c>
      <c r="D699" s="825"/>
      <c r="E699" s="825"/>
      <c r="F699" s="825">
        <v>600</v>
      </c>
      <c r="G699" s="814" t="s">
        <v>3858</v>
      </c>
      <c r="H699" s="813" t="s">
        <v>6203</v>
      </c>
      <c r="I699" s="813" t="s">
        <v>4191</v>
      </c>
      <c r="J699" s="813" t="s">
        <v>4246</v>
      </c>
      <c r="K699" s="813" t="s">
        <v>4072</v>
      </c>
      <c r="L699" s="813" t="s">
        <v>3863</v>
      </c>
      <c r="M699" s="813" t="s">
        <v>1818</v>
      </c>
      <c r="N699" s="813" t="s">
        <v>6231</v>
      </c>
      <c r="O699" s="813" t="s">
        <v>4248</v>
      </c>
      <c r="P699" s="813" t="s">
        <v>6232</v>
      </c>
      <c r="Q699" s="813" t="s">
        <v>6233</v>
      </c>
      <c r="R699" s="813">
        <v>1</v>
      </c>
      <c r="S699" s="813" t="s">
        <v>4237</v>
      </c>
      <c r="T699" s="813" t="s">
        <v>4196</v>
      </c>
    </row>
    <row r="700" spans="1:20" ht="15" customHeight="1" x14ac:dyDescent="0.35">
      <c r="A700" s="794" t="s">
        <v>6234</v>
      </c>
      <c r="B700" s="794" t="s">
        <v>3857</v>
      </c>
      <c r="C700" s="812" t="s">
        <v>3913</v>
      </c>
      <c r="D700" s="825"/>
      <c r="E700" s="825"/>
      <c r="F700" s="825">
        <v>600</v>
      </c>
      <c r="G700" s="814" t="s">
        <v>3858</v>
      </c>
      <c r="H700" s="813" t="s">
        <v>6203</v>
      </c>
      <c r="I700" s="813" t="s">
        <v>4191</v>
      </c>
      <c r="J700" s="813" t="s">
        <v>4246</v>
      </c>
      <c r="K700" s="813" t="s">
        <v>4072</v>
      </c>
      <c r="L700" s="813" t="s">
        <v>3863</v>
      </c>
      <c r="M700" s="813" t="s">
        <v>1818</v>
      </c>
      <c r="N700" s="813" t="s">
        <v>6235</v>
      </c>
      <c r="O700" s="813" t="s">
        <v>4234</v>
      </c>
      <c r="P700" s="813" t="s">
        <v>6236</v>
      </c>
      <c r="Q700" s="813" t="s">
        <v>6237</v>
      </c>
      <c r="R700" s="813">
        <v>1</v>
      </c>
      <c r="S700" s="813" t="s">
        <v>4237</v>
      </c>
      <c r="T700" s="813" t="s">
        <v>4196</v>
      </c>
    </row>
    <row r="701" spans="1:20" ht="15" customHeight="1" x14ac:dyDescent="0.35">
      <c r="A701" s="794" t="s">
        <v>6238</v>
      </c>
      <c r="B701" s="794" t="s">
        <v>3857</v>
      </c>
      <c r="C701" s="812" t="s">
        <v>3913</v>
      </c>
      <c r="D701" s="825"/>
      <c r="E701" s="825"/>
      <c r="F701" s="825">
        <v>5000</v>
      </c>
      <c r="G701" s="814" t="s">
        <v>3858</v>
      </c>
      <c r="H701" s="813" t="s">
        <v>6203</v>
      </c>
      <c r="I701" s="813" t="s">
        <v>4191</v>
      </c>
      <c r="J701" s="813" t="s">
        <v>4246</v>
      </c>
      <c r="K701" s="813" t="s">
        <v>4072</v>
      </c>
      <c r="L701" s="813" t="s">
        <v>3863</v>
      </c>
      <c r="M701" s="813" t="s">
        <v>1818</v>
      </c>
      <c r="N701" s="813" t="s">
        <v>6239</v>
      </c>
      <c r="O701" s="813" t="s">
        <v>4248</v>
      </c>
      <c r="P701" s="813" t="s">
        <v>6240</v>
      </c>
      <c r="Q701" s="813" t="s">
        <v>6241</v>
      </c>
      <c r="R701" s="813">
        <v>1</v>
      </c>
      <c r="S701" s="813" t="s">
        <v>4237</v>
      </c>
      <c r="T701" s="813" t="s">
        <v>4196</v>
      </c>
    </row>
    <row r="702" spans="1:20" ht="15" customHeight="1" x14ac:dyDescent="0.35">
      <c r="A702" s="803" t="s">
        <v>6242</v>
      </c>
      <c r="B702" s="803"/>
      <c r="C702" s="803"/>
      <c r="D702" s="803"/>
      <c r="E702" s="803"/>
      <c r="F702" s="803"/>
      <c r="G702" s="803" t="s">
        <v>3898</v>
      </c>
      <c r="H702" s="794"/>
      <c r="I702" s="794"/>
      <c r="J702" s="794"/>
      <c r="K702" s="794"/>
      <c r="L702" s="794"/>
      <c r="M702" s="794"/>
      <c r="N702" s="794"/>
      <c r="O702" s="794"/>
      <c r="P702" s="794"/>
      <c r="Q702" s="794"/>
      <c r="R702" s="794"/>
      <c r="S702" s="794"/>
      <c r="T702" s="794"/>
    </row>
    <row r="703" spans="1:20" ht="15" customHeight="1" x14ac:dyDescent="0.35">
      <c r="A703" s="794" t="s">
        <v>6243</v>
      </c>
      <c r="B703" s="794" t="s">
        <v>3857</v>
      </c>
      <c r="C703" s="812" t="s">
        <v>5237</v>
      </c>
      <c r="D703" s="825">
        <v>6</v>
      </c>
      <c r="E703" s="825"/>
      <c r="F703" s="826"/>
      <c r="G703" s="814" t="s">
        <v>3858</v>
      </c>
      <c r="H703" s="813" t="s">
        <v>6203</v>
      </c>
      <c r="I703" s="813" t="s">
        <v>4191</v>
      </c>
      <c r="J703" s="813" t="s">
        <v>5921</v>
      </c>
      <c r="K703" s="813" t="s">
        <v>4072</v>
      </c>
      <c r="L703" s="813" t="s">
        <v>3863</v>
      </c>
      <c r="M703" s="813" t="s">
        <v>1818</v>
      </c>
      <c r="N703" s="813" t="s">
        <v>6244</v>
      </c>
      <c r="O703" s="813" t="s">
        <v>4226</v>
      </c>
      <c r="P703" s="813" t="s">
        <v>6245</v>
      </c>
      <c r="Q703" s="813" t="s">
        <v>6246</v>
      </c>
      <c r="R703" s="813">
        <v>1</v>
      </c>
      <c r="S703" s="813" t="s">
        <v>4237</v>
      </c>
      <c r="T703" s="813" t="s">
        <v>4196</v>
      </c>
    </row>
    <row r="704" spans="1:20" ht="15" customHeight="1" x14ac:dyDescent="0.35">
      <c r="A704" s="794" t="s">
        <v>6215</v>
      </c>
      <c r="B704" s="794" t="s">
        <v>3857</v>
      </c>
      <c r="C704" s="812" t="s">
        <v>3913</v>
      </c>
      <c r="D704" s="825">
        <v>2</v>
      </c>
      <c r="E704" s="825"/>
      <c r="F704" s="826"/>
      <c r="G704" s="814" t="s">
        <v>3858</v>
      </c>
      <c r="H704" s="813" t="s">
        <v>6203</v>
      </c>
      <c r="I704" s="813" t="s">
        <v>4191</v>
      </c>
      <c r="J704" s="813" t="s">
        <v>5921</v>
      </c>
      <c r="K704" s="813" t="s">
        <v>4072</v>
      </c>
      <c r="L704" s="813" t="s">
        <v>3863</v>
      </c>
      <c r="M704" s="813" t="s">
        <v>1818</v>
      </c>
      <c r="N704" s="813" t="s">
        <v>6247</v>
      </c>
      <c r="O704" s="813" t="s">
        <v>4212</v>
      </c>
      <c r="P704" s="813" t="s">
        <v>6248</v>
      </c>
      <c r="Q704" s="813" t="s">
        <v>6249</v>
      </c>
      <c r="R704" s="813">
        <v>1</v>
      </c>
      <c r="S704" s="813" t="s">
        <v>4237</v>
      </c>
      <c r="T704" s="813" t="s">
        <v>4196</v>
      </c>
    </row>
    <row r="705" spans="1:20" ht="15" customHeight="1" x14ac:dyDescent="0.35">
      <c r="A705" s="794" t="s">
        <v>6223</v>
      </c>
      <c r="B705" s="794" t="s">
        <v>3857</v>
      </c>
      <c r="C705" s="812" t="s">
        <v>3913</v>
      </c>
      <c r="D705" s="825">
        <v>2.1</v>
      </c>
      <c r="E705" s="825"/>
      <c r="F705" s="826"/>
      <c r="G705" s="814" t="s">
        <v>3858</v>
      </c>
      <c r="H705" s="813" t="s">
        <v>6203</v>
      </c>
      <c r="I705" s="813" t="s">
        <v>4191</v>
      </c>
      <c r="J705" s="813" t="s">
        <v>5921</v>
      </c>
      <c r="K705" s="813" t="s">
        <v>4072</v>
      </c>
      <c r="L705" s="813" t="s">
        <v>3863</v>
      </c>
      <c r="M705" s="813" t="s">
        <v>1818</v>
      </c>
      <c r="N705" s="813" t="s">
        <v>6250</v>
      </c>
      <c r="O705" s="813" t="s">
        <v>4212</v>
      </c>
      <c r="P705" s="813" t="s">
        <v>6251</v>
      </c>
      <c r="Q705" s="813" t="s">
        <v>6252</v>
      </c>
      <c r="R705" s="813">
        <v>1</v>
      </c>
      <c r="S705" s="813" t="s">
        <v>4237</v>
      </c>
      <c r="T705" s="813" t="s">
        <v>4196</v>
      </c>
    </row>
    <row r="706" spans="1:20" ht="15" customHeight="1" x14ac:dyDescent="0.35">
      <c r="A706" s="794" t="s">
        <v>6234</v>
      </c>
      <c r="B706" s="794" t="s">
        <v>3857</v>
      </c>
      <c r="C706" s="812" t="s">
        <v>3913</v>
      </c>
      <c r="D706" s="825">
        <v>12</v>
      </c>
      <c r="E706" s="825"/>
      <c r="F706" s="826"/>
      <c r="G706" s="814" t="s">
        <v>3858</v>
      </c>
      <c r="H706" s="813" t="s">
        <v>6203</v>
      </c>
      <c r="I706" s="813" t="s">
        <v>4191</v>
      </c>
      <c r="J706" s="813" t="s">
        <v>5921</v>
      </c>
      <c r="K706" s="813" t="s">
        <v>4072</v>
      </c>
      <c r="L706" s="813" t="s">
        <v>3863</v>
      </c>
      <c r="M706" s="813" t="s">
        <v>1818</v>
      </c>
      <c r="N706" s="813" t="s">
        <v>6253</v>
      </c>
      <c r="O706" s="813" t="s">
        <v>4074</v>
      </c>
      <c r="P706" s="813" t="s">
        <v>6254</v>
      </c>
      <c r="Q706" s="813" t="s">
        <v>6255</v>
      </c>
      <c r="R706" s="813">
        <v>1</v>
      </c>
      <c r="S706" s="813" t="s">
        <v>4237</v>
      </c>
      <c r="T706" s="813" t="s">
        <v>4196</v>
      </c>
    </row>
    <row r="707" spans="1:20" ht="15" customHeight="1" x14ac:dyDescent="0.35">
      <c r="A707" s="803" t="s">
        <v>6256</v>
      </c>
      <c r="B707" s="803"/>
      <c r="C707" s="803"/>
      <c r="D707" s="803"/>
      <c r="E707" s="803"/>
      <c r="F707" s="803"/>
      <c r="G707" s="803" t="s">
        <v>5243</v>
      </c>
      <c r="H707" s="794"/>
      <c r="I707" s="794"/>
      <c r="J707" s="794"/>
      <c r="K707" s="794"/>
      <c r="L707" s="794"/>
      <c r="M707" s="794"/>
      <c r="N707" s="794"/>
      <c r="O707" s="794"/>
      <c r="P707" s="794"/>
      <c r="Q707" s="794"/>
      <c r="R707" s="794"/>
      <c r="S707" s="794"/>
      <c r="T707" s="794"/>
    </row>
    <row r="708" spans="1:20" ht="15" customHeight="1" x14ac:dyDescent="0.35">
      <c r="A708" s="794" t="s">
        <v>6257</v>
      </c>
      <c r="B708" s="794" t="s">
        <v>3857</v>
      </c>
      <c r="C708" s="812" t="s">
        <v>3913</v>
      </c>
      <c r="D708" s="825"/>
      <c r="E708" s="825"/>
      <c r="F708" s="825">
        <v>1</v>
      </c>
      <c r="G708" s="814" t="s">
        <v>3858</v>
      </c>
      <c r="H708" s="813" t="s">
        <v>6203</v>
      </c>
      <c r="I708" s="813" t="s">
        <v>4191</v>
      </c>
      <c r="J708" s="813" t="s">
        <v>6258</v>
      </c>
      <c r="K708" s="813" t="s">
        <v>5968</v>
      </c>
      <c r="L708" s="813" t="s">
        <v>3863</v>
      </c>
      <c r="M708" s="813" t="s">
        <v>2897</v>
      </c>
      <c r="N708" s="813" t="s">
        <v>6259</v>
      </c>
      <c r="O708" s="813" t="s">
        <v>3883</v>
      </c>
      <c r="P708" s="813" t="s">
        <v>6260</v>
      </c>
      <c r="Q708" s="813" t="s">
        <v>6261</v>
      </c>
      <c r="R708" s="813">
        <v>1</v>
      </c>
      <c r="S708" s="813" t="s">
        <v>3928</v>
      </c>
      <c r="T708" s="813" t="s">
        <v>4196</v>
      </c>
    </row>
    <row r="709" spans="1:20" ht="28" customHeight="1" x14ac:dyDescent="0.35">
      <c r="A709" s="830" t="s">
        <v>6262</v>
      </c>
      <c r="B709" s="794" t="s">
        <v>3857</v>
      </c>
      <c r="C709" s="812" t="s">
        <v>5237</v>
      </c>
      <c r="D709" s="825">
        <v>950000</v>
      </c>
      <c r="E709" s="825"/>
      <c r="F709" s="826"/>
      <c r="G709" s="814" t="s">
        <v>3858</v>
      </c>
      <c r="H709" s="813" t="s">
        <v>6203</v>
      </c>
      <c r="I709" s="813" t="s">
        <v>4191</v>
      </c>
      <c r="J709" s="813" t="s">
        <v>6258</v>
      </c>
      <c r="K709" s="813" t="s">
        <v>5968</v>
      </c>
      <c r="L709" s="813" t="s">
        <v>3863</v>
      </c>
      <c r="M709" s="813" t="s">
        <v>2897</v>
      </c>
      <c r="N709" s="813" t="s">
        <v>6263</v>
      </c>
      <c r="O709" s="813" t="s">
        <v>3925</v>
      </c>
      <c r="P709" s="813" t="s">
        <v>6264</v>
      </c>
      <c r="Q709" s="813" t="s">
        <v>6265</v>
      </c>
      <c r="R709" s="813">
        <v>1</v>
      </c>
      <c r="S709" s="813" t="s">
        <v>3928</v>
      </c>
      <c r="T709" s="813" t="s">
        <v>4196</v>
      </c>
    </row>
    <row r="710" spans="1:20" ht="15" customHeight="1" x14ac:dyDescent="0.35">
      <c r="A710" s="794" t="s">
        <v>6266</v>
      </c>
      <c r="B710" s="794" t="s">
        <v>3857</v>
      </c>
      <c r="C710" s="812" t="s">
        <v>3913</v>
      </c>
      <c r="D710" s="825"/>
      <c r="E710" s="825"/>
      <c r="F710" s="825">
        <v>2</v>
      </c>
      <c r="G710" s="814" t="s">
        <v>3858</v>
      </c>
      <c r="H710" s="813" t="s">
        <v>6203</v>
      </c>
      <c r="I710" s="813" t="s">
        <v>4191</v>
      </c>
      <c r="J710" s="813" t="s">
        <v>6258</v>
      </c>
      <c r="K710" s="813" t="s">
        <v>5968</v>
      </c>
      <c r="L710" s="813" t="s">
        <v>3863</v>
      </c>
      <c r="M710" s="813" t="s">
        <v>2897</v>
      </c>
      <c r="N710" s="813" t="s">
        <v>6267</v>
      </c>
      <c r="O710" s="813" t="s">
        <v>3883</v>
      </c>
      <c r="P710" s="813" t="s">
        <v>6268</v>
      </c>
      <c r="Q710" s="813" t="s">
        <v>6269</v>
      </c>
      <c r="R710" s="813">
        <v>1</v>
      </c>
      <c r="S710" s="813" t="s">
        <v>3928</v>
      </c>
      <c r="T710" s="813" t="s">
        <v>4196</v>
      </c>
    </row>
    <row r="711" spans="1:20" ht="15" customHeight="1" x14ac:dyDescent="0.35">
      <c r="A711" s="794" t="s">
        <v>6270</v>
      </c>
      <c r="B711" s="794" t="s">
        <v>3857</v>
      </c>
      <c r="C711" s="812" t="s">
        <v>3913</v>
      </c>
      <c r="D711" s="825"/>
      <c r="E711" s="825"/>
      <c r="F711" s="825">
        <v>3</v>
      </c>
      <c r="G711" s="814" t="s">
        <v>3858</v>
      </c>
      <c r="H711" s="813" t="s">
        <v>6203</v>
      </c>
      <c r="I711" s="813" t="s">
        <v>4191</v>
      </c>
      <c r="J711" s="813" t="s">
        <v>6258</v>
      </c>
      <c r="K711" s="813" t="s">
        <v>5968</v>
      </c>
      <c r="L711" s="813" t="s">
        <v>3863</v>
      </c>
      <c r="M711" s="813" t="s">
        <v>2897</v>
      </c>
      <c r="N711" s="813" t="s">
        <v>6271</v>
      </c>
      <c r="O711" s="813" t="s">
        <v>3883</v>
      </c>
      <c r="P711" s="813" t="s">
        <v>6272</v>
      </c>
      <c r="Q711" s="813" t="s">
        <v>6273</v>
      </c>
      <c r="R711" s="813">
        <v>1</v>
      </c>
      <c r="S711" s="813" t="s">
        <v>3928</v>
      </c>
      <c r="T711" s="813" t="s">
        <v>4196</v>
      </c>
    </row>
    <row r="712" spans="1:20" ht="28" customHeight="1" x14ac:dyDescent="0.35">
      <c r="A712" s="830" t="s">
        <v>6274</v>
      </c>
      <c r="B712" s="794" t="s">
        <v>3857</v>
      </c>
      <c r="C712" s="812" t="s">
        <v>5237</v>
      </c>
      <c r="D712" s="825">
        <v>1100000</v>
      </c>
      <c r="E712" s="825"/>
      <c r="F712" s="826"/>
      <c r="G712" s="814" t="s">
        <v>3858</v>
      </c>
      <c r="H712" s="813" t="s">
        <v>6203</v>
      </c>
      <c r="I712" s="813" t="s">
        <v>4191</v>
      </c>
      <c r="J712" s="813" t="s">
        <v>6258</v>
      </c>
      <c r="K712" s="813" t="s">
        <v>5968</v>
      </c>
      <c r="L712" s="813" t="s">
        <v>3863</v>
      </c>
      <c r="M712" s="813" t="s">
        <v>2897</v>
      </c>
      <c r="N712" s="813" t="s">
        <v>6275</v>
      </c>
      <c r="O712" s="813" t="s">
        <v>3925</v>
      </c>
      <c r="P712" s="813" t="s">
        <v>6276</v>
      </c>
      <c r="Q712" s="813" t="s">
        <v>6277</v>
      </c>
      <c r="R712" s="813">
        <v>1</v>
      </c>
      <c r="S712" s="813" t="s">
        <v>3928</v>
      </c>
      <c r="T712" s="813" t="s">
        <v>4196</v>
      </c>
    </row>
    <row r="713" spans="1:20" ht="15" customHeight="1" x14ac:dyDescent="0.35">
      <c r="A713" s="794" t="s">
        <v>6278</v>
      </c>
      <c r="B713" s="794" t="s">
        <v>3857</v>
      </c>
      <c r="C713" s="812" t="s">
        <v>3913</v>
      </c>
      <c r="D713" s="825"/>
      <c r="E713" s="825"/>
      <c r="F713" s="825">
        <v>4</v>
      </c>
      <c r="G713" s="814" t="s">
        <v>3858</v>
      </c>
      <c r="H713" s="813" t="s">
        <v>6203</v>
      </c>
      <c r="I713" s="813" t="s">
        <v>4191</v>
      </c>
      <c r="J713" s="813" t="s">
        <v>6258</v>
      </c>
      <c r="K713" s="813" t="s">
        <v>5968</v>
      </c>
      <c r="L713" s="813" t="s">
        <v>3863</v>
      </c>
      <c r="M713" s="813" t="s">
        <v>2897</v>
      </c>
      <c r="N713" s="813" t="s">
        <v>6279</v>
      </c>
      <c r="O713" s="813" t="s">
        <v>3883</v>
      </c>
      <c r="P713" s="813" t="s">
        <v>6280</v>
      </c>
      <c r="Q713" s="813" t="s">
        <v>6281</v>
      </c>
      <c r="R713" s="813">
        <v>1</v>
      </c>
      <c r="S713" s="813" t="s">
        <v>3928</v>
      </c>
      <c r="T713" s="813" t="s">
        <v>4196</v>
      </c>
    </row>
    <row r="714" spans="1:20" ht="28" customHeight="1" x14ac:dyDescent="0.35">
      <c r="A714" s="830" t="s">
        <v>6282</v>
      </c>
      <c r="B714" s="794" t="s">
        <v>3857</v>
      </c>
      <c r="C714" s="812" t="s">
        <v>5237</v>
      </c>
      <c r="D714" s="825">
        <v>1400000</v>
      </c>
      <c r="E714" s="825"/>
      <c r="F714" s="826"/>
      <c r="G714" s="814" t="s">
        <v>3858</v>
      </c>
      <c r="H714" s="813" t="s">
        <v>6203</v>
      </c>
      <c r="I714" s="813" t="s">
        <v>4191</v>
      </c>
      <c r="J714" s="813" t="s">
        <v>6258</v>
      </c>
      <c r="K714" s="813" t="s">
        <v>5968</v>
      </c>
      <c r="L714" s="813" t="s">
        <v>3863</v>
      </c>
      <c r="M714" s="813" t="s">
        <v>2897</v>
      </c>
      <c r="N714" s="813" t="s">
        <v>6283</v>
      </c>
      <c r="O714" s="813" t="s">
        <v>3925</v>
      </c>
      <c r="P714" s="813" t="s">
        <v>6284</v>
      </c>
      <c r="Q714" s="813" t="s">
        <v>6285</v>
      </c>
      <c r="R714" s="813">
        <v>1</v>
      </c>
      <c r="S714" s="813" t="s">
        <v>3928</v>
      </c>
      <c r="T714" s="813" t="s">
        <v>4196</v>
      </c>
    </row>
    <row r="715" spans="1:20" ht="28" customHeight="1" x14ac:dyDescent="0.35">
      <c r="A715" s="830" t="s">
        <v>6286</v>
      </c>
      <c r="B715" s="794" t="s">
        <v>3857</v>
      </c>
      <c r="C715" s="812" t="s">
        <v>5237</v>
      </c>
      <c r="D715" s="825">
        <v>1550000</v>
      </c>
      <c r="E715" s="825"/>
      <c r="F715" s="826"/>
      <c r="G715" s="814" t="s">
        <v>3858</v>
      </c>
      <c r="H715" s="813" t="s">
        <v>6203</v>
      </c>
      <c r="I715" s="813" t="s">
        <v>4191</v>
      </c>
      <c r="J715" s="813" t="s">
        <v>6258</v>
      </c>
      <c r="K715" s="813" t="s">
        <v>5968</v>
      </c>
      <c r="L715" s="813" t="s">
        <v>3863</v>
      </c>
      <c r="M715" s="813" t="s">
        <v>2897</v>
      </c>
      <c r="N715" s="813" t="s">
        <v>6287</v>
      </c>
      <c r="O715" s="813" t="s">
        <v>3925</v>
      </c>
      <c r="P715" s="813" t="s">
        <v>6288</v>
      </c>
      <c r="Q715" s="813" t="s">
        <v>6289</v>
      </c>
      <c r="R715" s="813">
        <v>1</v>
      </c>
      <c r="S715" s="813" t="s">
        <v>3928</v>
      </c>
      <c r="T715" s="813" t="s">
        <v>4196</v>
      </c>
    </row>
    <row r="716" spans="1:20" ht="15" customHeight="1" x14ac:dyDescent="0.35">
      <c r="A716" s="803" t="s">
        <v>6290</v>
      </c>
      <c r="B716" s="803"/>
      <c r="C716" s="803"/>
      <c r="D716" s="803"/>
      <c r="E716" s="803"/>
      <c r="F716" s="803"/>
      <c r="G716" s="803" t="s">
        <v>5243</v>
      </c>
      <c r="H716" s="794"/>
      <c r="I716" s="794"/>
      <c r="J716" s="794"/>
      <c r="K716" s="794"/>
      <c r="L716" s="794"/>
      <c r="M716" s="794"/>
      <c r="N716" s="794"/>
      <c r="O716" s="794"/>
      <c r="P716" s="794"/>
      <c r="Q716" s="794"/>
      <c r="R716" s="794"/>
      <c r="S716" s="794"/>
      <c r="T716" s="794"/>
    </row>
    <row r="717" spans="1:20" ht="15" customHeight="1" x14ac:dyDescent="0.35">
      <c r="A717" s="794" t="s">
        <v>6291</v>
      </c>
      <c r="B717" s="794" t="s">
        <v>3857</v>
      </c>
      <c r="C717" s="812" t="s">
        <v>3913</v>
      </c>
      <c r="D717" s="825"/>
      <c r="E717" s="825"/>
      <c r="F717" s="825">
        <v>5</v>
      </c>
      <c r="G717" s="814" t="s">
        <v>3858</v>
      </c>
      <c r="H717" s="813" t="s">
        <v>6203</v>
      </c>
      <c r="I717" s="813" t="s">
        <v>4191</v>
      </c>
      <c r="J717" s="813" t="s">
        <v>6292</v>
      </c>
      <c r="K717" s="813" t="s">
        <v>5968</v>
      </c>
      <c r="L717" s="813" t="s">
        <v>3863</v>
      </c>
      <c r="M717" s="813" t="s">
        <v>2897</v>
      </c>
      <c r="N717" s="813" t="s">
        <v>6293</v>
      </c>
      <c r="O717" s="813" t="s">
        <v>3883</v>
      </c>
      <c r="P717" s="813" t="s">
        <v>6294</v>
      </c>
      <c r="Q717" s="813" t="s">
        <v>6295</v>
      </c>
      <c r="R717" s="813">
        <v>1</v>
      </c>
      <c r="S717" s="813" t="s">
        <v>3928</v>
      </c>
      <c r="T717" s="813" t="s">
        <v>4196</v>
      </c>
    </row>
    <row r="718" spans="1:20" ht="28" customHeight="1" x14ac:dyDescent="0.35">
      <c r="A718" s="830" t="s">
        <v>6296</v>
      </c>
      <c r="B718" s="794" t="s">
        <v>3857</v>
      </c>
      <c r="C718" s="812" t="s">
        <v>5237</v>
      </c>
      <c r="D718" s="825">
        <v>2250000</v>
      </c>
      <c r="E718" s="825"/>
      <c r="F718" s="826"/>
      <c r="G718" s="814" t="s">
        <v>3858</v>
      </c>
      <c r="H718" s="813" t="s">
        <v>6203</v>
      </c>
      <c r="I718" s="813" t="s">
        <v>4191</v>
      </c>
      <c r="J718" s="813" t="s">
        <v>6292</v>
      </c>
      <c r="K718" s="813" t="s">
        <v>5968</v>
      </c>
      <c r="L718" s="813" t="s">
        <v>3863</v>
      </c>
      <c r="M718" s="813" t="s">
        <v>2897</v>
      </c>
      <c r="N718" s="813" t="s">
        <v>6297</v>
      </c>
      <c r="O718" s="813" t="s">
        <v>3925</v>
      </c>
      <c r="P718" s="813" t="s">
        <v>6298</v>
      </c>
      <c r="Q718" s="813" t="s">
        <v>6299</v>
      </c>
      <c r="R718" s="813">
        <v>1</v>
      </c>
      <c r="S718" s="813" t="s">
        <v>3928</v>
      </c>
      <c r="T718" s="813" t="s">
        <v>4196</v>
      </c>
    </row>
    <row r="719" spans="1:20" ht="15" customHeight="1" x14ac:dyDescent="0.35">
      <c r="A719" s="794" t="s">
        <v>6300</v>
      </c>
      <c r="B719" s="794" t="s">
        <v>3857</v>
      </c>
      <c r="C719" s="812" t="s">
        <v>3913</v>
      </c>
      <c r="D719" s="825"/>
      <c r="E719" s="825"/>
      <c r="F719" s="825">
        <v>6</v>
      </c>
      <c r="G719" s="814" t="s">
        <v>3858</v>
      </c>
      <c r="H719" s="813" t="s">
        <v>6203</v>
      </c>
      <c r="I719" s="813" t="s">
        <v>4191</v>
      </c>
      <c r="J719" s="813" t="s">
        <v>6292</v>
      </c>
      <c r="K719" s="813" t="s">
        <v>5968</v>
      </c>
      <c r="L719" s="813" t="s">
        <v>3863</v>
      </c>
      <c r="M719" s="813" t="s">
        <v>2897</v>
      </c>
      <c r="N719" s="813" t="s">
        <v>6301</v>
      </c>
      <c r="O719" s="813" t="s">
        <v>3883</v>
      </c>
      <c r="P719" s="813" t="s">
        <v>6302</v>
      </c>
      <c r="Q719" s="813" t="s">
        <v>6303</v>
      </c>
      <c r="R719" s="813">
        <v>1</v>
      </c>
      <c r="S719" s="813" t="s">
        <v>3928</v>
      </c>
      <c r="T719" s="813" t="s">
        <v>4196</v>
      </c>
    </row>
    <row r="720" spans="1:20" ht="28" customHeight="1" x14ac:dyDescent="0.35">
      <c r="A720" s="830" t="s">
        <v>6304</v>
      </c>
      <c r="B720" s="794" t="s">
        <v>3857</v>
      </c>
      <c r="C720" s="812" t="s">
        <v>5237</v>
      </c>
      <c r="D720" s="825">
        <v>1500000</v>
      </c>
      <c r="E720" s="825"/>
      <c r="F720" s="826"/>
      <c r="G720" s="814" t="s">
        <v>3858</v>
      </c>
      <c r="H720" s="813" t="s">
        <v>6203</v>
      </c>
      <c r="I720" s="813" t="s">
        <v>4191</v>
      </c>
      <c r="J720" s="813" t="s">
        <v>6292</v>
      </c>
      <c r="K720" s="813" t="s">
        <v>5968</v>
      </c>
      <c r="L720" s="813" t="s">
        <v>3863</v>
      </c>
      <c r="M720" s="813" t="s">
        <v>2897</v>
      </c>
      <c r="N720" s="813" t="s">
        <v>6305</v>
      </c>
      <c r="O720" s="813" t="s">
        <v>3925</v>
      </c>
      <c r="P720" s="813" t="s">
        <v>6306</v>
      </c>
      <c r="Q720" s="813" t="s">
        <v>6307</v>
      </c>
      <c r="R720" s="813">
        <v>1</v>
      </c>
      <c r="S720" s="813" t="s">
        <v>3928</v>
      </c>
      <c r="T720" s="813" t="s">
        <v>4196</v>
      </c>
    </row>
    <row r="721" spans="1:20" ht="15" customHeight="1" x14ac:dyDescent="0.35">
      <c r="A721" s="794" t="s">
        <v>6308</v>
      </c>
      <c r="B721" s="794" t="s">
        <v>3857</v>
      </c>
      <c r="C721" s="812" t="s">
        <v>3913</v>
      </c>
      <c r="D721" s="825"/>
      <c r="E721" s="825"/>
      <c r="F721" s="825">
        <v>7</v>
      </c>
      <c r="G721" s="814" t="s">
        <v>3858</v>
      </c>
      <c r="H721" s="813" t="s">
        <v>6203</v>
      </c>
      <c r="I721" s="813" t="s">
        <v>4191</v>
      </c>
      <c r="J721" s="813" t="s">
        <v>6292</v>
      </c>
      <c r="K721" s="813" t="s">
        <v>5968</v>
      </c>
      <c r="L721" s="813" t="s">
        <v>3863</v>
      </c>
      <c r="M721" s="813" t="s">
        <v>2897</v>
      </c>
      <c r="N721" s="813" t="s">
        <v>6309</v>
      </c>
      <c r="O721" s="813" t="s">
        <v>3883</v>
      </c>
      <c r="P721" s="813" t="s">
        <v>6310</v>
      </c>
      <c r="Q721" s="813" t="s">
        <v>6311</v>
      </c>
      <c r="R721" s="813">
        <v>1</v>
      </c>
      <c r="S721" s="813" t="s">
        <v>3928</v>
      </c>
      <c r="T721" s="813" t="s">
        <v>4196</v>
      </c>
    </row>
    <row r="722" spans="1:20" ht="15" customHeight="1" x14ac:dyDescent="0.35">
      <c r="A722" s="794" t="s">
        <v>6312</v>
      </c>
      <c r="B722" s="794" t="s">
        <v>3857</v>
      </c>
      <c r="C722" s="812" t="s">
        <v>5237</v>
      </c>
      <c r="D722" s="825">
        <v>900000</v>
      </c>
      <c r="E722" s="825"/>
      <c r="F722" s="826"/>
      <c r="G722" s="814" t="s">
        <v>3858</v>
      </c>
      <c r="H722" s="813" t="s">
        <v>6203</v>
      </c>
      <c r="I722" s="813" t="s">
        <v>4191</v>
      </c>
      <c r="J722" s="813" t="s">
        <v>6292</v>
      </c>
      <c r="K722" s="813" t="s">
        <v>5968</v>
      </c>
      <c r="L722" s="813" t="s">
        <v>3863</v>
      </c>
      <c r="M722" s="813" t="s">
        <v>2897</v>
      </c>
      <c r="N722" s="813" t="s">
        <v>6313</v>
      </c>
      <c r="O722" s="813" t="s">
        <v>3925</v>
      </c>
      <c r="P722" s="813" t="s">
        <v>6314</v>
      </c>
      <c r="Q722" s="813" t="s">
        <v>6315</v>
      </c>
      <c r="R722" s="813">
        <v>1</v>
      </c>
      <c r="S722" s="813" t="s">
        <v>3928</v>
      </c>
      <c r="T722" s="813" t="s">
        <v>4196</v>
      </c>
    </row>
    <row r="723" spans="1:20" ht="15" customHeight="1" x14ac:dyDescent="0.35">
      <c r="A723" s="794" t="s">
        <v>6316</v>
      </c>
      <c r="B723" s="794" t="s">
        <v>3857</v>
      </c>
      <c r="C723" s="812" t="s">
        <v>3913</v>
      </c>
      <c r="D723" s="825"/>
      <c r="E723" s="825"/>
      <c r="F723" s="825">
        <v>8</v>
      </c>
      <c r="G723" s="814" t="s">
        <v>3858</v>
      </c>
      <c r="H723" s="813" t="s">
        <v>6203</v>
      </c>
      <c r="I723" s="813" t="s">
        <v>4191</v>
      </c>
      <c r="J723" s="813" t="s">
        <v>6292</v>
      </c>
      <c r="K723" s="813" t="s">
        <v>5968</v>
      </c>
      <c r="L723" s="813" t="s">
        <v>3863</v>
      </c>
      <c r="M723" s="813" t="s">
        <v>2897</v>
      </c>
      <c r="N723" s="813" t="s">
        <v>6317</v>
      </c>
      <c r="O723" s="813" t="s">
        <v>3883</v>
      </c>
      <c r="P723" s="813" t="s">
        <v>6318</v>
      </c>
      <c r="Q723" s="813" t="s">
        <v>6319</v>
      </c>
      <c r="R723" s="813">
        <v>1</v>
      </c>
      <c r="S723" s="813" t="s">
        <v>3928</v>
      </c>
      <c r="T723" s="813" t="s">
        <v>4196</v>
      </c>
    </row>
    <row r="724" spans="1:20" ht="28" customHeight="1" x14ac:dyDescent="0.35">
      <c r="A724" s="830" t="s">
        <v>6320</v>
      </c>
      <c r="B724" s="794" t="s">
        <v>3857</v>
      </c>
      <c r="C724" s="812" t="s">
        <v>5237</v>
      </c>
      <c r="D724" s="825">
        <v>1350000</v>
      </c>
      <c r="E724" s="825"/>
      <c r="F724" s="826"/>
      <c r="G724" s="814" t="s">
        <v>3858</v>
      </c>
      <c r="H724" s="813" t="s">
        <v>6203</v>
      </c>
      <c r="I724" s="813" t="s">
        <v>4191</v>
      </c>
      <c r="J724" s="813" t="s">
        <v>6292</v>
      </c>
      <c r="K724" s="813" t="s">
        <v>5968</v>
      </c>
      <c r="L724" s="813" t="s">
        <v>3863</v>
      </c>
      <c r="M724" s="813" t="s">
        <v>2897</v>
      </c>
      <c r="N724" s="813" t="s">
        <v>6321</v>
      </c>
      <c r="O724" s="813" t="s">
        <v>3925</v>
      </c>
      <c r="P724" s="813" t="s">
        <v>6322</v>
      </c>
      <c r="Q724" s="813" t="s">
        <v>6323</v>
      </c>
      <c r="R724" s="813">
        <v>1</v>
      </c>
      <c r="S724" s="813" t="s">
        <v>3928</v>
      </c>
      <c r="T724" s="813" t="s">
        <v>4196</v>
      </c>
    </row>
    <row r="725" spans="1:20" ht="15" customHeight="1" x14ac:dyDescent="0.35">
      <c r="A725" s="803" t="s">
        <v>6324</v>
      </c>
      <c r="B725" s="803"/>
      <c r="C725" s="803"/>
      <c r="D725" s="803"/>
      <c r="E725" s="803"/>
      <c r="F725" s="803"/>
      <c r="G725" s="803" t="s">
        <v>6325</v>
      </c>
      <c r="H725" s="794"/>
      <c r="I725" s="794"/>
      <c r="J725" s="794"/>
      <c r="K725" s="794"/>
      <c r="L725" s="794"/>
      <c r="M725" s="794"/>
      <c r="N725" s="794"/>
      <c r="O725" s="794"/>
      <c r="P725" s="794"/>
      <c r="Q725" s="794"/>
      <c r="R725" s="794"/>
      <c r="S725" s="794"/>
      <c r="T725" s="794"/>
    </row>
    <row r="726" spans="1:20" ht="15" customHeight="1" x14ac:dyDescent="0.35">
      <c r="A726" s="794" t="s">
        <v>6326</v>
      </c>
      <c r="B726" s="794" t="s">
        <v>3857</v>
      </c>
      <c r="C726" s="812" t="s">
        <v>3913</v>
      </c>
      <c r="D726" s="825"/>
      <c r="E726" s="825"/>
      <c r="F726" s="825">
        <v>10</v>
      </c>
      <c r="G726" s="814" t="s">
        <v>3858</v>
      </c>
      <c r="H726" s="813" t="s">
        <v>6203</v>
      </c>
      <c r="I726" s="813" t="s">
        <v>4191</v>
      </c>
      <c r="J726" s="813" t="s">
        <v>6327</v>
      </c>
      <c r="K726" s="813" t="s">
        <v>5968</v>
      </c>
      <c r="L726" s="813" t="s">
        <v>3863</v>
      </c>
      <c r="M726" s="813" t="s">
        <v>2897</v>
      </c>
      <c r="N726" s="813" t="s">
        <v>6328</v>
      </c>
      <c r="O726" s="813" t="s">
        <v>3883</v>
      </c>
      <c r="P726" s="813" t="s">
        <v>6329</v>
      </c>
      <c r="Q726" s="813" t="s">
        <v>6330</v>
      </c>
      <c r="R726" s="813">
        <v>1</v>
      </c>
      <c r="S726" s="813" t="s">
        <v>3928</v>
      </c>
      <c r="T726" s="813" t="s">
        <v>4196</v>
      </c>
    </row>
    <row r="727" spans="1:20" ht="28" customHeight="1" x14ac:dyDescent="0.35">
      <c r="A727" s="830" t="s">
        <v>6331</v>
      </c>
      <c r="B727" s="794" t="s">
        <v>3857</v>
      </c>
      <c r="C727" s="812" t="s">
        <v>5237</v>
      </c>
      <c r="D727" s="825">
        <v>1000000</v>
      </c>
      <c r="E727" s="825"/>
      <c r="F727" s="826"/>
      <c r="G727" s="814" t="s">
        <v>3858</v>
      </c>
      <c r="H727" s="813" t="s">
        <v>6203</v>
      </c>
      <c r="I727" s="813" t="s">
        <v>4191</v>
      </c>
      <c r="J727" s="813" t="s">
        <v>6327</v>
      </c>
      <c r="K727" s="813" t="s">
        <v>5968</v>
      </c>
      <c r="L727" s="813" t="s">
        <v>3863</v>
      </c>
      <c r="M727" s="813" t="s">
        <v>2897</v>
      </c>
      <c r="N727" s="813" t="s">
        <v>6332</v>
      </c>
      <c r="O727" s="813" t="s">
        <v>3925</v>
      </c>
      <c r="P727" s="813" t="s">
        <v>6333</v>
      </c>
      <c r="Q727" s="813" t="s">
        <v>6334</v>
      </c>
      <c r="R727" s="813">
        <v>1</v>
      </c>
      <c r="S727" s="813" t="s">
        <v>3928</v>
      </c>
      <c r="T727" s="813" t="s">
        <v>4196</v>
      </c>
    </row>
    <row r="728" spans="1:20" ht="15" customHeight="1" x14ac:dyDescent="0.35">
      <c r="A728" s="794" t="s">
        <v>6335</v>
      </c>
      <c r="B728" s="794" t="s">
        <v>3857</v>
      </c>
      <c r="C728" s="812" t="s">
        <v>3913</v>
      </c>
      <c r="D728" s="825"/>
      <c r="E728" s="825"/>
      <c r="F728" s="825">
        <v>11</v>
      </c>
      <c r="G728" s="814" t="s">
        <v>3858</v>
      </c>
      <c r="H728" s="813" t="s">
        <v>6203</v>
      </c>
      <c r="I728" s="813" t="s">
        <v>4191</v>
      </c>
      <c r="J728" s="813" t="s">
        <v>6327</v>
      </c>
      <c r="K728" s="813" t="s">
        <v>5968</v>
      </c>
      <c r="L728" s="813" t="s">
        <v>3863</v>
      </c>
      <c r="M728" s="813" t="s">
        <v>2897</v>
      </c>
      <c r="N728" s="813" t="s">
        <v>6336</v>
      </c>
      <c r="O728" s="813" t="s">
        <v>3883</v>
      </c>
      <c r="P728" s="813" t="s">
        <v>6337</v>
      </c>
      <c r="Q728" s="813" t="s">
        <v>6338</v>
      </c>
      <c r="R728" s="813">
        <v>1</v>
      </c>
      <c r="S728" s="813" t="s">
        <v>3928</v>
      </c>
      <c r="T728" s="813" t="s">
        <v>4196</v>
      </c>
    </row>
    <row r="729" spans="1:20" ht="28" customHeight="1" x14ac:dyDescent="0.35">
      <c r="A729" s="830" t="s">
        <v>6339</v>
      </c>
      <c r="B729" s="794" t="s">
        <v>3857</v>
      </c>
      <c r="C729" s="812" t="s">
        <v>5237</v>
      </c>
      <c r="D729" s="825">
        <v>650000</v>
      </c>
      <c r="E729" s="825"/>
      <c r="F729" s="826"/>
      <c r="G729" s="814" t="s">
        <v>3858</v>
      </c>
      <c r="H729" s="813" t="s">
        <v>6203</v>
      </c>
      <c r="I729" s="813" t="s">
        <v>4191</v>
      </c>
      <c r="J729" s="813" t="s">
        <v>6327</v>
      </c>
      <c r="K729" s="813" t="s">
        <v>5968</v>
      </c>
      <c r="L729" s="813" t="s">
        <v>3863</v>
      </c>
      <c r="M729" s="813" t="s">
        <v>2897</v>
      </c>
      <c r="N729" s="813" t="s">
        <v>6340</v>
      </c>
      <c r="O729" s="813" t="s">
        <v>3925</v>
      </c>
      <c r="P729" s="813" t="s">
        <v>6341</v>
      </c>
      <c r="Q729" s="813" t="s">
        <v>6342</v>
      </c>
      <c r="R729" s="813">
        <v>1</v>
      </c>
      <c r="S729" s="813" t="s">
        <v>3928</v>
      </c>
      <c r="T729" s="813" t="s">
        <v>4196</v>
      </c>
    </row>
    <row r="730" spans="1:20" ht="15" customHeight="1" x14ac:dyDescent="0.35">
      <c r="A730" s="794" t="s">
        <v>6343</v>
      </c>
      <c r="B730" s="794" t="s">
        <v>3857</v>
      </c>
      <c r="C730" s="812" t="s">
        <v>3913</v>
      </c>
      <c r="D730" s="825"/>
      <c r="E730" s="825"/>
      <c r="F730" s="825">
        <v>12</v>
      </c>
      <c r="G730" s="814" t="s">
        <v>3858</v>
      </c>
      <c r="H730" s="813" t="s">
        <v>6203</v>
      </c>
      <c r="I730" s="813" t="s">
        <v>4191</v>
      </c>
      <c r="J730" s="813" t="s">
        <v>6327</v>
      </c>
      <c r="K730" s="813" t="s">
        <v>5968</v>
      </c>
      <c r="L730" s="813" t="s">
        <v>3863</v>
      </c>
      <c r="M730" s="813" t="s">
        <v>2897</v>
      </c>
      <c r="N730" s="813" t="s">
        <v>6344</v>
      </c>
      <c r="O730" s="813" t="s">
        <v>3883</v>
      </c>
      <c r="P730" s="813" t="s">
        <v>6345</v>
      </c>
      <c r="Q730" s="813" t="s">
        <v>6346</v>
      </c>
      <c r="R730" s="813">
        <v>1</v>
      </c>
      <c r="S730" s="813" t="s">
        <v>3928</v>
      </c>
      <c r="T730" s="813" t="s">
        <v>4196</v>
      </c>
    </row>
    <row r="731" spans="1:20" ht="28" customHeight="1" x14ac:dyDescent="0.35">
      <c r="A731" s="830" t="s">
        <v>6347</v>
      </c>
      <c r="B731" s="794" t="s">
        <v>3857</v>
      </c>
      <c r="C731" s="812" t="s">
        <v>5237</v>
      </c>
      <c r="D731" s="825">
        <v>900000</v>
      </c>
      <c r="E731" s="825"/>
      <c r="F731" s="826"/>
      <c r="G731" s="814" t="s">
        <v>3858</v>
      </c>
      <c r="H731" s="813" t="s">
        <v>6203</v>
      </c>
      <c r="I731" s="813" t="s">
        <v>4191</v>
      </c>
      <c r="J731" s="813" t="s">
        <v>6327</v>
      </c>
      <c r="K731" s="813" t="s">
        <v>5968</v>
      </c>
      <c r="L731" s="813" t="s">
        <v>3863</v>
      </c>
      <c r="M731" s="813" t="s">
        <v>2897</v>
      </c>
      <c r="N731" s="813" t="s">
        <v>6348</v>
      </c>
      <c r="O731" s="813" t="s">
        <v>3925</v>
      </c>
      <c r="P731" s="813" t="s">
        <v>6349</v>
      </c>
      <c r="Q731" s="813" t="s">
        <v>6350</v>
      </c>
      <c r="R731" s="813">
        <v>1</v>
      </c>
      <c r="S731" s="813" t="s">
        <v>3928</v>
      </c>
      <c r="T731" s="813" t="s">
        <v>4196</v>
      </c>
    </row>
    <row r="732" spans="1:20" ht="15" customHeight="1" x14ac:dyDescent="0.35">
      <c r="A732" s="794" t="s">
        <v>6351</v>
      </c>
      <c r="B732" s="794" t="s">
        <v>3857</v>
      </c>
      <c r="C732" s="812" t="s">
        <v>3913</v>
      </c>
      <c r="D732" s="825"/>
      <c r="E732" s="825"/>
      <c r="F732" s="825">
        <v>13</v>
      </c>
      <c r="G732" s="814" t="s">
        <v>3858</v>
      </c>
      <c r="H732" s="813" t="s">
        <v>6203</v>
      </c>
      <c r="I732" s="813" t="s">
        <v>4191</v>
      </c>
      <c r="J732" s="813" t="s">
        <v>6327</v>
      </c>
      <c r="K732" s="813" t="s">
        <v>5968</v>
      </c>
      <c r="L732" s="813" t="s">
        <v>3863</v>
      </c>
      <c r="M732" s="813" t="s">
        <v>2897</v>
      </c>
      <c r="N732" s="813" t="s">
        <v>6352</v>
      </c>
      <c r="O732" s="813" t="s">
        <v>3883</v>
      </c>
      <c r="P732" s="813" t="s">
        <v>6353</v>
      </c>
      <c r="Q732" s="813" t="s">
        <v>6354</v>
      </c>
      <c r="R732" s="813">
        <v>1</v>
      </c>
      <c r="S732" s="813" t="s">
        <v>3928</v>
      </c>
      <c r="T732" s="813" t="s">
        <v>4196</v>
      </c>
    </row>
    <row r="733" spans="1:20" ht="28" customHeight="1" x14ac:dyDescent="0.35">
      <c r="A733" s="830" t="s">
        <v>6355</v>
      </c>
      <c r="B733" s="794" t="s">
        <v>3857</v>
      </c>
      <c r="C733" s="812" t="s">
        <v>5237</v>
      </c>
      <c r="D733" s="825">
        <v>1100000</v>
      </c>
      <c r="E733" s="825"/>
      <c r="F733" s="826"/>
      <c r="G733" s="814" t="s">
        <v>3858</v>
      </c>
      <c r="H733" s="813" t="s">
        <v>6203</v>
      </c>
      <c r="I733" s="813" t="s">
        <v>4191</v>
      </c>
      <c r="J733" s="813" t="s">
        <v>6327</v>
      </c>
      <c r="K733" s="813" t="s">
        <v>5968</v>
      </c>
      <c r="L733" s="813" t="s">
        <v>3863</v>
      </c>
      <c r="M733" s="813" t="s">
        <v>2897</v>
      </c>
      <c r="N733" s="813" t="s">
        <v>6356</v>
      </c>
      <c r="O733" s="813" t="s">
        <v>3925</v>
      </c>
      <c r="P733" s="813" t="s">
        <v>6357</v>
      </c>
      <c r="Q733" s="813" t="s">
        <v>6358</v>
      </c>
      <c r="R733" s="813">
        <v>1</v>
      </c>
      <c r="S733" s="813" t="s">
        <v>3928</v>
      </c>
      <c r="T733" s="813" t="s">
        <v>4196</v>
      </c>
    </row>
    <row r="734" spans="1:20" ht="15" customHeight="1" x14ac:dyDescent="0.35">
      <c r="A734" s="794" t="s">
        <v>6359</v>
      </c>
      <c r="B734" s="794" t="s">
        <v>3857</v>
      </c>
      <c r="C734" s="812" t="s">
        <v>3913</v>
      </c>
      <c r="D734" s="825"/>
      <c r="E734" s="825"/>
      <c r="F734" s="825">
        <v>14</v>
      </c>
      <c r="G734" s="814" t="s">
        <v>3858</v>
      </c>
      <c r="H734" s="813" t="s">
        <v>6203</v>
      </c>
      <c r="I734" s="813" t="s">
        <v>4191</v>
      </c>
      <c r="J734" s="813" t="s">
        <v>6327</v>
      </c>
      <c r="K734" s="813" t="s">
        <v>5968</v>
      </c>
      <c r="L734" s="813" t="s">
        <v>3863</v>
      </c>
      <c r="M734" s="813" t="s">
        <v>2897</v>
      </c>
      <c r="N734" s="813" t="s">
        <v>6360</v>
      </c>
      <c r="O734" s="813" t="s">
        <v>3883</v>
      </c>
      <c r="P734" s="813" t="s">
        <v>6361</v>
      </c>
      <c r="Q734" s="813" t="s">
        <v>6362</v>
      </c>
      <c r="R734" s="813">
        <v>1</v>
      </c>
      <c r="S734" s="813" t="s">
        <v>3928</v>
      </c>
      <c r="T734" s="813" t="s">
        <v>4196</v>
      </c>
    </row>
    <row r="735" spans="1:20" ht="15" customHeight="1" x14ac:dyDescent="0.35">
      <c r="A735" s="794" t="s">
        <v>6363</v>
      </c>
      <c r="B735" s="794" t="s">
        <v>3857</v>
      </c>
      <c r="C735" s="812" t="s">
        <v>3913</v>
      </c>
      <c r="D735" s="825"/>
      <c r="E735" s="825"/>
      <c r="F735" s="825">
        <v>15</v>
      </c>
      <c r="G735" s="814" t="s">
        <v>3858</v>
      </c>
      <c r="H735" s="813" t="s">
        <v>6203</v>
      </c>
      <c r="I735" s="813" t="s">
        <v>4191</v>
      </c>
      <c r="J735" s="813" t="s">
        <v>6327</v>
      </c>
      <c r="K735" s="813" t="s">
        <v>5968</v>
      </c>
      <c r="L735" s="813" t="s">
        <v>3863</v>
      </c>
      <c r="M735" s="813" t="s">
        <v>2897</v>
      </c>
      <c r="N735" s="813" t="s">
        <v>6364</v>
      </c>
      <c r="O735" s="813" t="s">
        <v>3883</v>
      </c>
      <c r="P735" s="813" t="s">
        <v>6365</v>
      </c>
      <c r="Q735" s="813" t="s">
        <v>6366</v>
      </c>
      <c r="R735" s="813">
        <v>1</v>
      </c>
      <c r="S735" s="813" t="s">
        <v>3928</v>
      </c>
      <c r="T735" s="813" t="s">
        <v>4196</v>
      </c>
    </row>
    <row r="736" spans="1:20" ht="15" customHeight="1" x14ac:dyDescent="0.35">
      <c r="A736" s="794" t="s">
        <v>6367</v>
      </c>
      <c r="B736" s="794" t="s">
        <v>3857</v>
      </c>
      <c r="C736" s="812" t="s">
        <v>5237</v>
      </c>
      <c r="D736" s="825">
        <v>950000</v>
      </c>
      <c r="E736" s="825"/>
      <c r="F736" s="826"/>
      <c r="G736" s="814" t="s">
        <v>3858</v>
      </c>
      <c r="H736" s="813" t="s">
        <v>6203</v>
      </c>
      <c r="I736" s="813" t="s">
        <v>4191</v>
      </c>
      <c r="J736" s="813" t="s">
        <v>6327</v>
      </c>
      <c r="K736" s="813" t="s">
        <v>5968</v>
      </c>
      <c r="L736" s="813" t="s">
        <v>3863</v>
      </c>
      <c r="M736" s="813" t="s">
        <v>2897</v>
      </c>
      <c r="N736" s="813" t="s">
        <v>6368</v>
      </c>
      <c r="O736" s="813" t="s">
        <v>3925</v>
      </c>
      <c r="P736" s="813" t="s">
        <v>6369</v>
      </c>
      <c r="Q736" s="813" t="s">
        <v>6370</v>
      </c>
      <c r="R736" s="813">
        <v>1</v>
      </c>
      <c r="S736" s="813" t="s">
        <v>3928</v>
      </c>
      <c r="T736" s="813" t="s">
        <v>4196</v>
      </c>
    </row>
    <row r="737" spans="1:20" ht="15" customHeight="1" x14ac:dyDescent="0.35">
      <c r="A737" s="803" t="s">
        <v>6371</v>
      </c>
      <c r="B737" s="803"/>
      <c r="C737" s="803"/>
      <c r="D737" s="803"/>
      <c r="E737" s="803"/>
      <c r="F737" s="803"/>
      <c r="G737" s="803" t="s">
        <v>6071</v>
      </c>
      <c r="H737" s="794"/>
      <c r="I737" s="794"/>
      <c r="J737" s="794"/>
      <c r="K737" s="794"/>
      <c r="L737" s="794"/>
      <c r="M737" s="794"/>
      <c r="N737" s="794"/>
      <c r="O737" s="794"/>
      <c r="P737" s="794"/>
      <c r="Q737" s="794"/>
      <c r="R737" s="794"/>
      <c r="S737" s="794"/>
      <c r="T737" s="794"/>
    </row>
    <row r="738" spans="1:20" ht="15" customHeight="1" x14ac:dyDescent="0.35">
      <c r="A738" s="794" t="s">
        <v>6372</v>
      </c>
      <c r="B738" s="794" t="s">
        <v>3857</v>
      </c>
      <c r="C738" s="812" t="s">
        <v>5237</v>
      </c>
      <c r="D738" s="825">
        <v>400000</v>
      </c>
      <c r="E738" s="825"/>
      <c r="F738" s="826"/>
      <c r="G738" s="814" t="s">
        <v>3858</v>
      </c>
      <c r="H738" s="813" t="s">
        <v>6203</v>
      </c>
      <c r="I738" s="813" t="s">
        <v>4191</v>
      </c>
      <c r="J738" s="813" t="s">
        <v>6373</v>
      </c>
      <c r="K738" s="813" t="s">
        <v>5968</v>
      </c>
      <c r="L738" s="813" t="s">
        <v>3863</v>
      </c>
      <c r="M738" s="813" t="s">
        <v>2897</v>
      </c>
      <c r="N738" s="813" t="s">
        <v>6374</v>
      </c>
      <c r="O738" s="813" t="s">
        <v>3883</v>
      </c>
      <c r="P738" s="813" t="s">
        <v>6375</v>
      </c>
      <c r="Q738" s="813" t="s">
        <v>6376</v>
      </c>
      <c r="R738" s="813">
        <v>1</v>
      </c>
      <c r="S738" s="813" t="s">
        <v>3928</v>
      </c>
      <c r="T738" s="813" t="s">
        <v>4196</v>
      </c>
    </row>
    <row r="739" spans="1:20" ht="15" customHeight="1" x14ac:dyDescent="0.35">
      <c r="A739" s="794" t="s">
        <v>6377</v>
      </c>
      <c r="B739" s="794" t="s">
        <v>3857</v>
      </c>
      <c r="C739" s="812" t="s">
        <v>5237</v>
      </c>
      <c r="D739" s="825">
        <v>1600000</v>
      </c>
      <c r="E739" s="825"/>
      <c r="F739" s="826"/>
      <c r="G739" s="814" t="s">
        <v>3858</v>
      </c>
      <c r="H739" s="813" t="s">
        <v>6203</v>
      </c>
      <c r="I739" s="813" t="s">
        <v>4191</v>
      </c>
      <c r="J739" s="813" t="s">
        <v>6373</v>
      </c>
      <c r="K739" s="813" t="s">
        <v>5968</v>
      </c>
      <c r="L739" s="813" t="s">
        <v>3863</v>
      </c>
      <c r="M739" s="813" t="s">
        <v>2897</v>
      </c>
      <c r="N739" s="813" t="s">
        <v>6378</v>
      </c>
      <c r="O739" s="813" t="s">
        <v>3883</v>
      </c>
      <c r="P739" s="813" t="s">
        <v>6379</v>
      </c>
      <c r="Q739" s="813" t="s">
        <v>6380</v>
      </c>
      <c r="R739" s="813">
        <v>1</v>
      </c>
      <c r="S739" s="813" t="s">
        <v>3928</v>
      </c>
      <c r="T739" s="813" t="s">
        <v>4196</v>
      </c>
    </row>
    <row r="740" spans="1:20" ht="15" customHeight="1" x14ac:dyDescent="0.35">
      <c r="A740" s="794" t="s">
        <v>6381</v>
      </c>
      <c r="B740" s="794" t="s">
        <v>3857</v>
      </c>
      <c r="C740" s="812" t="s">
        <v>5237</v>
      </c>
      <c r="D740" s="825">
        <v>700000</v>
      </c>
      <c r="E740" s="825"/>
      <c r="F740" s="826"/>
      <c r="G740" s="814" t="s">
        <v>3858</v>
      </c>
      <c r="H740" s="813" t="s">
        <v>6203</v>
      </c>
      <c r="I740" s="813" t="s">
        <v>4191</v>
      </c>
      <c r="J740" s="813" t="s">
        <v>6373</v>
      </c>
      <c r="K740" s="813" t="s">
        <v>5968</v>
      </c>
      <c r="L740" s="813" t="s">
        <v>3863</v>
      </c>
      <c r="M740" s="813" t="s">
        <v>2897</v>
      </c>
      <c r="N740" s="813" t="s">
        <v>6382</v>
      </c>
      <c r="O740" s="813" t="s">
        <v>3883</v>
      </c>
      <c r="P740" s="813" t="s">
        <v>6383</v>
      </c>
      <c r="Q740" s="813" t="s">
        <v>6384</v>
      </c>
      <c r="R740" s="813">
        <v>1</v>
      </c>
      <c r="S740" s="813" t="s">
        <v>3928</v>
      </c>
      <c r="T740" s="813" t="s">
        <v>4196</v>
      </c>
    </row>
    <row r="741" spans="1:20" ht="15" customHeight="1" x14ac:dyDescent="0.35">
      <c r="A741" s="794" t="s">
        <v>6385</v>
      </c>
      <c r="B741" s="794" t="s">
        <v>3857</v>
      </c>
      <c r="C741" s="812" t="s">
        <v>5237</v>
      </c>
      <c r="D741" s="825">
        <v>1200000</v>
      </c>
      <c r="E741" s="825"/>
      <c r="F741" s="826"/>
      <c r="G741" s="814" t="s">
        <v>3858</v>
      </c>
      <c r="H741" s="813" t="s">
        <v>6203</v>
      </c>
      <c r="I741" s="813" t="s">
        <v>4191</v>
      </c>
      <c r="J741" s="813" t="s">
        <v>6373</v>
      </c>
      <c r="K741" s="813" t="s">
        <v>5968</v>
      </c>
      <c r="L741" s="813" t="s">
        <v>3863</v>
      </c>
      <c r="M741" s="813" t="s">
        <v>2897</v>
      </c>
      <c r="N741" s="813" t="s">
        <v>6386</v>
      </c>
      <c r="O741" s="813" t="s">
        <v>3883</v>
      </c>
      <c r="P741" s="813" t="s">
        <v>6387</v>
      </c>
      <c r="Q741" s="813" t="s">
        <v>6388</v>
      </c>
      <c r="R741" s="813">
        <v>1</v>
      </c>
      <c r="S741" s="813" t="s">
        <v>3928</v>
      </c>
      <c r="T741" s="813" t="s">
        <v>4196</v>
      </c>
    </row>
    <row r="742" spans="1:20" ht="15" customHeight="1" x14ac:dyDescent="0.35">
      <c r="A742" s="794" t="s">
        <v>6389</v>
      </c>
      <c r="B742" s="794" t="s">
        <v>3857</v>
      </c>
      <c r="C742" s="812" t="s">
        <v>5237</v>
      </c>
      <c r="D742" s="825">
        <v>1350000</v>
      </c>
      <c r="E742" s="825"/>
      <c r="F742" s="826"/>
      <c r="G742" s="814" t="s">
        <v>3858</v>
      </c>
      <c r="H742" s="813" t="s">
        <v>6203</v>
      </c>
      <c r="I742" s="813" t="s">
        <v>4191</v>
      </c>
      <c r="J742" s="813" t="s">
        <v>6373</v>
      </c>
      <c r="K742" s="813" t="s">
        <v>5968</v>
      </c>
      <c r="L742" s="813" t="s">
        <v>3863</v>
      </c>
      <c r="M742" s="813" t="s">
        <v>2897</v>
      </c>
      <c r="N742" s="813" t="s">
        <v>6390</v>
      </c>
      <c r="O742" s="813" t="s">
        <v>3883</v>
      </c>
      <c r="P742" s="813" t="s">
        <v>6391</v>
      </c>
      <c r="Q742" s="813" t="s">
        <v>6392</v>
      </c>
      <c r="R742" s="813">
        <v>1</v>
      </c>
      <c r="S742" s="813" t="s">
        <v>3928</v>
      </c>
      <c r="T742" s="813" t="s">
        <v>4196</v>
      </c>
    </row>
    <row r="743" spans="1:20" ht="15" customHeight="1" x14ac:dyDescent="0.35">
      <c r="A743" s="794" t="s">
        <v>6393</v>
      </c>
      <c r="B743" s="794" t="s">
        <v>3857</v>
      </c>
      <c r="C743" s="812" t="s">
        <v>5237</v>
      </c>
      <c r="D743" s="825">
        <v>450000</v>
      </c>
      <c r="E743" s="825"/>
      <c r="F743" s="826"/>
      <c r="G743" s="814" t="s">
        <v>3858</v>
      </c>
      <c r="H743" s="813" t="s">
        <v>6203</v>
      </c>
      <c r="I743" s="813" t="s">
        <v>4191</v>
      </c>
      <c r="J743" s="813" t="s">
        <v>6373</v>
      </c>
      <c r="K743" s="813" t="s">
        <v>5968</v>
      </c>
      <c r="L743" s="813" t="s">
        <v>3863</v>
      </c>
      <c r="M743" s="813" t="s">
        <v>2897</v>
      </c>
      <c r="N743" s="813" t="s">
        <v>6394</v>
      </c>
      <c r="O743" s="813" t="s">
        <v>3883</v>
      </c>
      <c r="P743" s="813" t="s">
        <v>6395</v>
      </c>
      <c r="Q743" s="813" t="s">
        <v>6396</v>
      </c>
      <c r="R743" s="813">
        <v>1</v>
      </c>
      <c r="S743" s="813" t="s">
        <v>3928</v>
      </c>
      <c r="T743" s="813" t="s">
        <v>4196</v>
      </c>
    </row>
    <row r="744" spans="1:20" ht="15" customHeight="1" x14ac:dyDescent="0.35">
      <c r="A744" s="794" t="s">
        <v>6397</v>
      </c>
      <c r="B744" s="794" t="s">
        <v>3857</v>
      </c>
      <c r="C744" s="812" t="s">
        <v>5237</v>
      </c>
      <c r="D744" s="825">
        <v>900000</v>
      </c>
      <c r="E744" s="825"/>
      <c r="F744" s="826"/>
      <c r="G744" s="814" t="s">
        <v>3858</v>
      </c>
      <c r="H744" s="813" t="s">
        <v>6203</v>
      </c>
      <c r="I744" s="813" t="s">
        <v>4191</v>
      </c>
      <c r="J744" s="813" t="s">
        <v>6373</v>
      </c>
      <c r="K744" s="813" t="s">
        <v>5968</v>
      </c>
      <c r="L744" s="813" t="s">
        <v>3863</v>
      </c>
      <c r="M744" s="813" t="s">
        <v>2897</v>
      </c>
      <c r="N744" s="813" t="s">
        <v>6398</v>
      </c>
      <c r="O744" s="813" t="s">
        <v>3883</v>
      </c>
      <c r="P744" s="813" t="s">
        <v>6399</v>
      </c>
      <c r="Q744" s="813" t="s">
        <v>6400</v>
      </c>
      <c r="R744" s="813">
        <v>1</v>
      </c>
      <c r="S744" s="813" t="s">
        <v>3928</v>
      </c>
      <c r="T744" s="813" t="s">
        <v>4196</v>
      </c>
    </row>
    <row r="745" spans="1:20" ht="15" customHeight="1" x14ac:dyDescent="0.35">
      <c r="A745" s="794" t="s">
        <v>6401</v>
      </c>
      <c r="B745" s="794" t="s">
        <v>3857</v>
      </c>
      <c r="C745" s="812" t="s">
        <v>5237</v>
      </c>
      <c r="D745" s="825">
        <v>300000</v>
      </c>
      <c r="E745" s="825"/>
      <c r="F745" s="826"/>
      <c r="G745" s="814" t="s">
        <v>3858</v>
      </c>
      <c r="H745" s="813" t="s">
        <v>6203</v>
      </c>
      <c r="I745" s="813" t="s">
        <v>4191</v>
      </c>
      <c r="J745" s="813" t="s">
        <v>6373</v>
      </c>
      <c r="K745" s="813" t="s">
        <v>5968</v>
      </c>
      <c r="L745" s="813" t="s">
        <v>3863</v>
      </c>
      <c r="M745" s="813" t="s">
        <v>2897</v>
      </c>
      <c r="N745" s="813" t="s">
        <v>6402</v>
      </c>
      <c r="O745" s="813" t="s">
        <v>3883</v>
      </c>
      <c r="P745" s="813" t="s">
        <v>6403</v>
      </c>
      <c r="Q745" s="813" t="s">
        <v>6404</v>
      </c>
      <c r="R745" s="813">
        <v>1</v>
      </c>
      <c r="S745" s="813" t="s">
        <v>3928</v>
      </c>
      <c r="T745" s="813" t="s">
        <v>4196</v>
      </c>
    </row>
    <row r="746" spans="1:20" ht="15" customHeight="1" x14ac:dyDescent="0.35">
      <c r="A746" s="794" t="s">
        <v>6405</v>
      </c>
      <c r="B746" s="794" t="s">
        <v>3857</v>
      </c>
      <c r="C746" s="812" t="s">
        <v>5237</v>
      </c>
      <c r="D746" s="825">
        <v>1100000</v>
      </c>
      <c r="E746" s="825"/>
      <c r="F746" s="826"/>
      <c r="G746" s="814" t="s">
        <v>3858</v>
      </c>
      <c r="H746" s="813" t="s">
        <v>6203</v>
      </c>
      <c r="I746" s="813" t="s">
        <v>4191</v>
      </c>
      <c r="J746" s="813" t="s">
        <v>6373</v>
      </c>
      <c r="K746" s="813" t="s">
        <v>5968</v>
      </c>
      <c r="L746" s="813" t="s">
        <v>3863</v>
      </c>
      <c r="M746" s="813" t="s">
        <v>2897</v>
      </c>
      <c r="N746" s="813" t="s">
        <v>6406</v>
      </c>
      <c r="O746" s="813" t="s">
        <v>3883</v>
      </c>
      <c r="P746" s="813" t="s">
        <v>6407</v>
      </c>
      <c r="Q746" s="813" t="s">
        <v>6408</v>
      </c>
      <c r="R746" s="813">
        <v>1</v>
      </c>
      <c r="S746" s="813" t="s">
        <v>3928</v>
      </c>
      <c r="T746" s="813" t="s">
        <v>4196</v>
      </c>
    </row>
    <row r="747" spans="1:20" ht="21" customHeight="1" x14ac:dyDescent="0.35">
      <c r="A747" s="801" t="s">
        <v>6409</v>
      </c>
      <c r="B747" s="801" t="s">
        <v>6410</v>
      </c>
      <c r="C747" s="801"/>
      <c r="D747" s="801"/>
      <c r="E747" s="801"/>
      <c r="F747" s="801"/>
      <c r="G747" s="801" t="s">
        <v>3745</v>
      </c>
      <c r="H747" s="794"/>
      <c r="I747" s="794"/>
      <c r="J747" s="794"/>
      <c r="K747" s="794"/>
      <c r="L747" s="794"/>
      <c r="M747" s="794"/>
      <c r="N747" s="794"/>
      <c r="O747" s="794"/>
      <c r="P747" s="794"/>
      <c r="Q747" s="794"/>
      <c r="R747" s="794"/>
      <c r="S747" s="794"/>
      <c r="T747" s="794"/>
    </row>
    <row r="748" spans="1:20" ht="15" customHeight="1" x14ac:dyDescent="0.35">
      <c r="A748" s="802" t="s">
        <v>6411</v>
      </c>
      <c r="B748" s="802"/>
      <c r="C748" s="802"/>
      <c r="D748" s="802"/>
      <c r="E748" s="802"/>
      <c r="F748" s="802"/>
      <c r="G748" s="802" t="s">
        <v>5243</v>
      </c>
      <c r="H748" s="794"/>
      <c r="I748" s="794"/>
      <c r="J748" s="794"/>
      <c r="K748" s="794"/>
      <c r="L748" s="794"/>
      <c r="M748" s="794"/>
      <c r="N748" s="794"/>
      <c r="O748" s="794"/>
      <c r="P748" s="794"/>
      <c r="Q748" s="794"/>
      <c r="R748" s="794"/>
      <c r="S748" s="794"/>
      <c r="T748" s="794"/>
    </row>
    <row r="749" spans="1:20" ht="15" customHeight="1" x14ac:dyDescent="0.35">
      <c r="A749" s="803" t="s">
        <v>6412</v>
      </c>
      <c r="B749" s="803"/>
      <c r="C749" s="803"/>
      <c r="D749" s="803"/>
      <c r="E749" s="803"/>
      <c r="F749" s="803"/>
      <c r="G749" s="803" t="s">
        <v>3946</v>
      </c>
      <c r="H749" s="794"/>
      <c r="I749" s="794"/>
      <c r="J749" s="794"/>
      <c r="K749" s="794"/>
      <c r="L749" s="794"/>
      <c r="M749" s="794"/>
      <c r="N749" s="794"/>
      <c r="O749" s="794"/>
      <c r="P749" s="794"/>
      <c r="Q749" s="794"/>
      <c r="R749" s="794"/>
      <c r="S749" s="794"/>
      <c r="T749" s="794"/>
    </row>
    <row r="750" spans="1:20" ht="15" customHeight="1" x14ac:dyDescent="0.35">
      <c r="A750" s="794" t="s">
        <v>6413</v>
      </c>
      <c r="B750" s="794" t="s">
        <v>3857</v>
      </c>
      <c r="C750" s="812" t="s">
        <v>3913</v>
      </c>
      <c r="D750" s="825">
        <v>-5</v>
      </c>
      <c r="E750" s="825"/>
      <c r="F750" s="826"/>
      <c r="G750" s="814" t="s">
        <v>3858</v>
      </c>
      <c r="H750" s="813" t="s">
        <v>3859</v>
      </c>
      <c r="I750" s="813" t="s">
        <v>6414</v>
      </c>
      <c r="J750" s="813" t="s">
        <v>6415</v>
      </c>
      <c r="K750" s="813" t="s">
        <v>4072</v>
      </c>
      <c r="L750" s="813" t="s">
        <v>3863</v>
      </c>
      <c r="M750" s="813" t="s">
        <v>1818</v>
      </c>
      <c r="N750" s="813" t="s">
        <v>6416</v>
      </c>
      <c r="O750" s="813" t="s">
        <v>6417</v>
      </c>
      <c r="P750" s="813" t="s">
        <v>6418</v>
      </c>
      <c r="Q750" s="813" t="s">
        <v>6419</v>
      </c>
      <c r="R750" s="813">
        <v>1</v>
      </c>
      <c r="S750" s="813" t="s">
        <v>4077</v>
      </c>
      <c r="T750" s="813" t="s">
        <v>6420</v>
      </c>
    </row>
    <row r="751" spans="1:20" ht="15" customHeight="1" x14ac:dyDescent="0.35">
      <c r="A751" s="803" t="s">
        <v>6421</v>
      </c>
      <c r="B751" s="803"/>
      <c r="C751" s="803"/>
      <c r="D751" s="803"/>
      <c r="E751" s="803"/>
      <c r="F751" s="803"/>
      <c r="G751" s="803" t="s">
        <v>5206</v>
      </c>
      <c r="H751" s="794"/>
      <c r="I751" s="794"/>
      <c r="J751" s="794"/>
      <c r="K751" s="794"/>
      <c r="L751" s="794"/>
      <c r="M751" s="794"/>
      <c r="N751" s="794"/>
      <c r="O751" s="794"/>
      <c r="P751" s="794"/>
      <c r="Q751" s="794"/>
      <c r="R751" s="794"/>
      <c r="S751" s="794"/>
      <c r="T751" s="794"/>
    </row>
    <row r="752" spans="1:20" ht="15" customHeight="1" x14ac:dyDescent="0.35">
      <c r="A752" s="794" t="s">
        <v>6422</v>
      </c>
      <c r="B752" s="794" t="s">
        <v>3857</v>
      </c>
      <c r="C752" s="812" t="s">
        <v>3913</v>
      </c>
      <c r="D752" s="825"/>
      <c r="E752" s="825"/>
      <c r="F752" s="825">
        <v>15.000999999999999</v>
      </c>
      <c r="G752" s="814" t="s">
        <v>3858</v>
      </c>
      <c r="H752" s="813" t="s">
        <v>3859</v>
      </c>
      <c r="I752" s="813" t="s">
        <v>6414</v>
      </c>
      <c r="J752" s="813" t="s">
        <v>6423</v>
      </c>
      <c r="K752" s="813" t="s">
        <v>4072</v>
      </c>
      <c r="L752" s="813" t="s">
        <v>3863</v>
      </c>
      <c r="M752" s="813" t="s">
        <v>1818</v>
      </c>
      <c r="N752" s="813" t="s">
        <v>6424</v>
      </c>
      <c r="O752" s="813" t="s">
        <v>6425</v>
      </c>
      <c r="P752" s="813" t="s">
        <v>6426</v>
      </c>
      <c r="Q752" s="813" t="s">
        <v>6427</v>
      </c>
      <c r="R752" s="813">
        <v>1</v>
      </c>
      <c r="S752" s="813" t="s">
        <v>6428</v>
      </c>
      <c r="T752" s="813" t="s">
        <v>6420</v>
      </c>
    </row>
    <row r="753" spans="1:20" ht="15" customHeight="1" x14ac:dyDescent="0.35">
      <c r="A753" s="794" t="s">
        <v>3661</v>
      </c>
      <c r="B753" s="794" t="s">
        <v>3857</v>
      </c>
      <c r="C753" s="812" t="s">
        <v>3913</v>
      </c>
      <c r="D753" s="825"/>
      <c r="E753" s="825"/>
      <c r="F753" s="825">
        <v>10</v>
      </c>
      <c r="G753" s="814" t="s">
        <v>3858</v>
      </c>
      <c r="H753" s="813" t="s">
        <v>3859</v>
      </c>
      <c r="I753" s="813" t="s">
        <v>6414</v>
      </c>
      <c r="J753" s="813" t="s">
        <v>6423</v>
      </c>
      <c r="K753" s="813" t="s">
        <v>4072</v>
      </c>
      <c r="L753" s="813" t="s">
        <v>3863</v>
      </c>
      <c r="M753" s="813" t="s">
        <v>1818</v>
      </c>
      <c r="N753" s="813" t="s">
        <v>6429</v>
      </c>
      <c r="O753" s="813" t="s">
        <v>6417</v>
      </c>
      <c r="P753" s="813" t="s">
        <v>6430</v>
      </c>
      <c r="Q753" s="813" t="s">
        <v>6431</v>
      </c>
      <c r="R753" s="813">
        <v>1</v>
      </c>
      <c r="S753" s="813" t="s">
        <v>6428</v>
      </c>
      <c r="T753" s="813" t="s">
        <v>6420</v>
      </c>
    </row>
    <row r="754" spans="1:20" ht="15" customHeight="1" x14ac:dyDescent="0.35">
      <c r="A754" s="794" t="s">
        <v>3663</v>
      </c>
      <c r="B754" s="794" t="s">
        <v>3857</v>
      </c>
      <c r="C754" s="812" t="s">
        <v>3913</v>
      </c>
      <c r="D754" s="825"/>
      <c r="E754" s="825"/>
      <c r="F754" s="825">
        <v>5</v>
      </c>
      <c r="G754" s="814" t="s">
        <v>3858</v>
      </c>
      <c r="H754" s="813" t="s">
        <v>3859</v>
      </c>
      <c r="I754" s="813" t="s">
        <v>6414</v>
      </c>
      <c r="J754" s="813" t="s">
        <v>6423</v>
      </c>
      <c r="K754" s="813" t="s">
        <v>4072</v>
      </c>
      <c r="L754" s="813" t="s">
        <v>3863</v>
      </c>
      <c r="M754" s="813" t="s">
        <v>1818</v>
      </c>
      <c r="N754" s="813" t="s">
        <v>6432</v>
      </c>
      <c r="O754" s="813" t="s">
        <v>6417</v>
      </c>
      <c r="P754" s="813" t="s">
        <v>6433</v>
      </c>
      <c r="Q754" s="813" t="s">
        <v>6434</v>
      </c>
      <c r="R754" s="813">
        <v>1</v>
      </c>
      <c r="S754" s="813" t="s">
        <v>6428</v>
      </c>
      <c r="T754" s="813" t="s">
        <v>6420</v>
      </c>
    </row>
    <row r="755" spans="1:20" ht="15" customHeight="1" x14ac:dyDescent="0.35">
      <c r="A755" s="794" t="s">
        <v>3666</v>
      </c>
      <c r="B755" s="794" t="s">
        <v>3857</v>
      </c>
      <c r="C755" s="812" t="s">
        <v>3913</v>
      </c>
      <c r="D755" s="825"/>
      <c r="E755" s="825"/>
      <c r="F755" s="825">
        <v>2</v>
      </c>
      <c r="G755" s="814" t="s">
        <v>3858</v>
      </c>
      <c r="H755" s="813" t="s">
        <v>3859</v>
      </c>
      <c r="I755" s="813" t="s">
        <v>6414</v>
      </c>
      <c r="J755" s="813" t="s">
        <v>6423</v>
      </c>
      <c r="K755" s="813" t="s">
        <v>4072</v>
      </c>
      <c r="L755" s="813" t="s">
        <v>3863</v>
      </c>
      <c r="M755" s="813" t="s">
        <v>1818</v>
      </c>
      <c r="N755" s="813" t="s">
        <v>6435</v>
      </c>
      <c r="O755" s="813" t="s">
        <v>6417</v>
      </c>
      <c r="P755" s="813" t="s">
        <v>6436</v>
      </c>
      <c r="Q755" s="813" t="s">
        <v>6437</v>
      </c>
      <c r="R755" s="813">
        <v>1</v>
      </c>
      <c r="S755" s="813" t="s">
        <v>6428</v>
      </c>
      <c r="T755" s="813" t="s">
        <v>6420</v>
      </c>
    </row>
    <row r="756" spans="1:20" ht="15" customHeight="1" x14ac:dyDescent="0.35">
      <c r="A756" s="794" t="s">
        <v>3669</v>
      </c>
      <c r="B756" s="794" t="s">
        <v>3857</v>
      </c>
      <c r="C756" s="812" t="s">
        <v>3913</v>
      </c>
      <c r="D756" s="825"/>
      <c r="E756" s="825"/>
      <c r="F756" s="825">
        <v>1</v>
      </c>
      <c r="G756" s="814" t="s">
        <v>3858</v>
      </c>
      <c r="H756" s="813" t="s">
        <v>3859</v>
      </c>
      <c r="I756" s="813" t="s">
        <v>6414</v>
      </c>
      <c r="J756" s="813" t="s">
        <v>6423</v>
      </c>
      <c r="K756" s="813" t="s">
        <v>4072</v>
      </c>
      <c r="L756" s="813" t="s">
        <v>3863</v>
      </c>
      <c r="M756" s="813" t="s">
        <v>1818</v>
      </c>
      <c r="N756" s="813" t="s">
        <v>6438</v>
      </c>
      <c r="O756" s="813" t="s">
        <v>6417</v>
      </c>
      <c r="P756" s="813" t="s">
        <v>6439</v>
      </c>
      <c r="Q756" s="813" t="s">
        <v>6440</v>
      </c>
      <c r="R756" s="813">
        <v>1</v>
      </c>
      <c r="S756" s="813" t="s">
        <v>6428</v>
      </c>
      <c r="T756" s="813" t="s">
        <v>6420</v>
      </c>
    </row>
    <row r="757" spans="1:20" ht="15" customHeight="1" x14ac:dyDescent="0.35">
      <c r="A757" s="794" t="s">
        <v>3672</v>
      </c>
      <c r="B757" s="794" t="s">
        <v>3857</v>
      </c>
      <c r="C757" s="812" t="s">
        <v>3913</v>
      </c>
      <c r="D757" s="825"/>
      <c r="E757" s="825"/>
      <c r="F757" s="825">
        <v>0.83</v>
      </c>
      <c r="G757" s="814" t="s">
        <v>3858</v>
      </c>
      <c r="H757" s="813" t="s">
        <v>3859</v>
      </c>
      <c r="I757" s="813" t="s">
        <v>6414</v>
      </c>
      <c r="J757" s="813" t="s">
        <v>6423</v>
      </c>
      <c r="K757" s="813" t="s">
        <v>4072</v>
      </c>
      <c r="L757" s="813" t="s">
        <v>3863</v>
      </c>
      <c r="M757" s="813" t="s">
        <v>1818</v>
      </c>
      <c r="N757" s="813" t="s">
        <v>6441</v>
      </c>
      <c r="O757" s="813" t="s">
        <v>6417</v>
      </c>
      <c r="P757" s="813" t="s">
        <v>6442</v>
      </c>
      <c r="Q757" s="813" t="s">
        <v>6443</v>
      </c>
      <c r="R757" s="813">
        <v>1</v>
      </c>
      <c r="S757" s="813" t="s">
        <v>6428</v>
      </c>
      <c r="T757" s="813" t="s">
        <v>6420</v>
      </c>
    </row>
    <row r="758" spans="1:20" ht="15" customHeight="1" x14ac:dyDescent="0.35">
      <c r="A758" s="794" t="s">
        <v>3674</v>
      </c>
      <c r="B758" s="794" t="s">
        <v>3857</v>
      </c>
      <c r="C758" s="812" t="s">
        <v>3913</v>
      </c>
      <c r="D758" s="825"/>
      <c r="E758" s="825"/>
      <c r="F758" s="825">
        <v>50</v>
      </c>
      <c r="G758" s="814" t="s">
        <v>3858</v>
      </c>
      <c r="H758" s="813" t="s">
        <v>3859</v>
      </c>
      <c r="I758" s="813" t="s">
        <v>6414</v>
      </c>
      <c r="J758" s="813" t="s">
        <v>6423</v>
      </c>
      <c r="K758" s="813" t="s">
        <v>4072</v>
      </c>
      <c r="L758" s="813" t="s">
        <v>3863</v>
      </c>
      <c r="M758" s="813" t="s">
        <v>1818</v>
      </c>
      <c r="N758" s="813" t="s">
        <v>6444</v>
      </c>
      <c r="O758" s="813" t="s">
        <v>6417</v>
      </c>
      <c r="P758" s="813" t="s">
        <v>6445</v>
      </c>
      <c r="Q758" s="813" t="s">
        <v>6446</v>
      </c>
      <c r="R758" s="813">
        <v>1</v>
      </c>
      <c r="S758" s="813" t="s">
        <v>6428</v>
      </c>
      <c r="T758" s="813" t="s">
        <v>6420</v>
      </c>
    </row>
    <row r="759" spans="1:20" ht="21" customHeight="1" x14ac:dyDescent="0.35">
      <c r="A759" s="801" t="s">
        <v>6447</v>
      </c>
      <c r="B759" s="801" t="s">
        <v>6448</v>
      </c>
      <c r="C759" s="801"/>
      <c r="D759" s="801"/>
      <c r="E759" s="801"/>
      <c r="F759" s="801"/>
      <c r="G759" s="801" t="s">
        <v>3745</v>
      </c>
      <c r="H759" s="794"/>
      <c r="I759" s="794"/>
      <c r="J759" s="794"/>
      <c r="K759" s="794"/>
      <c r="L759" s="794"/>
      <c r="M759" s="794"/>
      <c r="N759" s="794"/>
      <c r="O759" s="794"/>
      <c r="P759" s="794"/>
      <c r="Q759" s="794"/>
      <c r="R759" s="794"/>
      <c r="S759" s="794"/>
      <c r="T759" s="794"/>
    </row>
    <row r="760" spans="1:20" ht="15" customHeight="1" x14ac:dyDescent="0.35">
      <c r="A760" s="802" t="s">
        <v>6449</v>
      </c>
      <c r="B760" s="802"/>
      <c r="C760" s="802"/>
      <c r="D760" s="802"/>
      <c r="E760" s="802"/>
      <c r="F760" s="802"/>
      <c r="G760" s="802" t="s">
        <v>6450</v>
      </c>
      <c r="H760" s="794"/>
      <c r="I760" s="794"/>
      <c r="J760" s="794"/>
      <c r="K760" s="794"/>
      <c r="L760" s="794"/>
      <c r="M760" s="794"/>
      <c r="N760" s="794"/>
      <c r="O760" s="794"/>
      <c r="P760" s="794"/>
      <c r="Q760" s="794"/>
      <c r="R760" s="794"/>
      <c r="S760" s="794"/>
      <c r="T760" s="794"/>
    </row>
    <row r="761" spans="1:20" ht="15" customHeight="1" x14ac:dyDescent="0.35">
      <c r="A761" s="803" t="s">
        <v>6451</v>
      </c>
      <c r="B761" s="803"/>
      <c r="C761" s="803"/>
      <c r="D761" s="803"/>
      <c r="E761" s="803"/>
      <c r="F761" s="803"/>
      <c r="G761" s="803" t="s">
        <v>3918</v>
      </c>
      <c r="H761" s="794"/>
      <c r="I761" s="794"/>
      <c r="J761" s="794"/>
      <c r="K761" s="794"/>
      <c r="L761" s="794"/>
      <c r="M761" s="794"/>
      <c r="N761" s="794"/>
      <c r="O761" s="794"/>
      <c r="P761" s="794"/>
      <c r="Q761" s="794"/>
      <c r="R761" s="794"/>
      <c r="S761" s="794"/>
      <c r="T761" s="794"/>
    </row>
    <row r="762" spans="1:20" ht="15" customHeight="1" x14ac:dyDescent="0.35">
      <c r="A762" s="794" t="s">
        <v>6452</v>
      </c>
      <c r="B762" s="794" t="s">
        <v>830</v>
      </c>
      <c r="C762" s="812" t="s">
        <v>83</v>
      </c>
      <c r="D762" s="825"/>
      <c r="E762" s="825"/>
      <c r="F762" s="829">
        <v>6.5000000000000002E-2</v>
      </c>
      <c r="G762" s="814" t="s">
        <v>3858</v>
      </c>
      <c r="H762" s="813" t="s">
        <v>3859</v>
      </c>
      <c r="I762" s="813" t="s">
        <v>1220</v>
      </c>
      <c r="J762" s="813" t="s">
        <v>6453</v>
      </c>
      <c r="K762" s="813" t="s">
        <v>3862</v>
      </c>
      <c r="L762" s="813" t="s">
        <v>3863</v>
      </c>
      <c r="M762" s="813" t="s">
        <v>1736</v>
      </c>
      <c r="N762" s="813" t="s">
        <v>6454</v>
      </c>
      <c r="O762" s="813" t="s">
        <v>3883</v>
      </c>
      <c r="P762" s="813" t="s">
        <v>6455</v>
      </c>
      <c r="Q762" s="813" t="s">
        <v>6456</v>
      </c>
      <c r="R762" s="813">
        <v>1</v>
      </c>
      <c r="S762" s="813" t="s">
        <v>4010</v>
      </c>
      <c r="T762" s="813" t="s">
        <v>6420</v>
      </c>
    </row>
    <row r="763" spans="1:20" ht="15" customHeight="1" x14ac:dyDescent="0.35">
      <c r="A763" s="794" t="s">
        <v>6457</v>
      </c>
      <c r="B763" s="794" t="s">
        <v>826</v>
      </c>
      <c r="C763" s="812" t="s">
        <v>83</v>
      </c>
      <c r="D763" s="825"/>
      <c r="E763" s="825"/>
      <c r="F763" s="829">
        <v>7.4999999999999997E-2</v>
      </c>
      <c r="G763" s="814" t="s">
        <v>3858</v>
      </c>
      <c r="H763" s="813" t="s">
        <v>3859</v>
      </c>
      <c r="I763" s="813" t="s">
        <v>1220</v>
      </c>
      <c r="J763" s="813" t="s">
        <v>6453</v>
      </c>
      <c r="K763" s="813" t="s">
        <v>3862</v>
      </c>
      <c r="L763" s="813" t="s">
        <v>3863</v>
      </c>
      <c r="M763" s="813" t="s">
        <v>1736</v>
      </c>
      <c r="N763" s="813" t="s">
        <v>6458</v>
      </c>
      <c r="O763" s="813" t="s">
        <v>3883</v>
      </c>
      <c r="P763" s="813" t="s">
        <v>6459</v>
      </c>
      <c r="Q763" s="813" t="s">
        <v>6460</v>
      </c>
      <c r="R763" s="813">
        <v>1</v>
      </c>
      <c r="S763" s="813" t="s">
        <v>4010</v>
      </c>
      <c r="T763" s="813" t="s">
        <v>6420</v>
      </c>
    </row>
    <row r="764" spans="1:20" ht="15" customHeight="1" x14ac:dyDescent="0.35">
      <c r="A764" s="794" t="s">
        <v>6461</v>
      </c>
      <c r="B764" s="794" t="s">
        <v>834</v>
      </c>
      <c r="C764" s="812" t="s">
        <v>83</v>
      </c>
      <c r="D764" s="825"/>
      <c r="E764" s="825"/>
      <c r="F764" s="829">
        <v>5.7500000000000002E-2</v>
      </c>
      <c r="G764" s="814" t="s">
        <v>3858</v>
      </c>
      <c r="H764" s="813" t="s">
        <v>3859</v>
      </c>
      <c r="I764" s="813" t="s">
        <v>1220</v>
      </c>
      <c r="J764" s="813" t="s">
        <v>6453</v>
      </c>
      <c r="K764" s="813" t="s">
        <v>3862</v>
      </c>
      <c r="L764" s="813" t="s">
        <v>3863</v>
      </c>
      <c r="M764" s="813" t="s">
        <v>1736</v>
      </c>
      <c r="N764" s="813" t="s">
        <v>6462</v>
      </c>
      <c r="O764" s="813" t="s">
        <v>3883</v>
      </c>
      <c r="P764" s="813" t="s">
        <v>6463</v>
      </c>
      <c r="Q764" s="813" t="s">
        <v>6464</v>
      </c>
      <c r="R764" s="813">
        <v>1</v>
      </c>
      <c r="S764" s="813" t="s">
        <v>4010</v>
      </c>
      <c r="T764" s="813" t="s">
        <v>6420</v>
      </c>
    </row>
    <row r="765" spans="1:20" ht="15" customHeight="1" x14ac:dyDescent="0.35">
      <c r="A765" s="794" t="s">
        <v>6465</v>
      </c>
      <c r="B765" s="794" t="s">
        <v>826</v>
      </c>
      <c r="C765" s="812" t="s">
        <v>83</v>
      </c>
      <c r="D765" s="825"/>
      <c r="E765" s="825"/>
      <c r="F765" s="829">
        <v>7.2499999999999995E-2</v>
      </c>
      <c r="G765" s="814" t="s">
        <v>3858</v>
      </c>
      <c r="H765" s="813" t="s">
        <v>3859</v>
      </c>
      <c r="I765" s="813" t="s">
        <v>1220</v>
      </c>
      <c r="J765" s="813" t="s">
        <v>6453</v>
      </c>
      <c r="K765" s="813" t="s">
        <v>3891</v>
      </c>
      <c r="L765" s="813" t="s">
        <v>3863</v>
      </c>
      <c r="M765" s="813" t="s">
        <v>307</v>
      </c>
      <c r="N765" s="813" t="s">
        <v>6466</v>
      </c>
      <c r="O765" s="813" t="s">
        <v>4045</v>
      </c>
      <c r="P765" s="813" t="s">
        <v>6467</v>
      </c>
      <c r="Q765" s="813" t="s">
        <v>6468</v>
      </c>
      <c r="R765" s="813">
        <v>1</v>
      </c>
      <c r="S765" s="813" t="s">
        <v>4010</v>
      </c>
      <c r="T765" s="813" t="s">
        <v>6420</v>
      </c>
    </row>
    <row r="766" spans="1:20" ht="15" customHeight="1" x14ac:dyDescent="0.35">
      <c r="A766" s="794" t="s">
        <v>6469</v>
      </c>
      <c r="B766" s="794" t="s">
        <v>830</v>
      </c>
      <c r="C766" s="812" t="s">
        <v>83</v>
      </c>
      <c r="D766" s="825"/>
      <c r="E766" s="825"/>
      <c r="F766" s="829">
        <v>6.5000000000000002E-2</v>
      </c>
      <c r="G766" s="814" t="s">
        <v>3858</v>
      </c>
      <c r="H766" s="813" t="s">
        <v>3859</v>
      </c>
      <c r="I766" s="813" t="s">
        <v>1220</v>
      </c>
      <c r="J766" s="813" t="s">
        <v>6453</v>
      </c>
      <c r="K766" s="813" t="s">
        <v>3891</v>
      </c>
      <c r="L766" s="813" t="s">
        <v>3863</v>
      </c>
      <c r="M766" s="813" t="s">
        <v>307</v>
      </c>
      <c r="N766" s="813" t="s">
        <v>6470</v>
      </c>
      <c r="O766" s="813" t="s">
        <v>4045</v>
      </c>
      <c r="P766" s="813" t="s">
        <v>6471</v>
      </c>
      <c r="Q766" s="813" t="s">
        <v>6472</v>
      </c>
      <c r="R766" s="813">
        <v>1</v>
      </c>
      <c r="S766" s="813" t="s">
        <v>4010</v>
      </c>
      <c r="T766" s="813" t="s">
        <v>6420</v>
      </c>
    </row>
    <row r="767" spans="1:20" ht="15" customHeight="1" x14ac:dyDescent="0.35">
      <c r="A767" s="794" t="s">
        <v>6473</v>
      </c>
      <c r="B767" s="794" t="s">
        <v>834</v>
      </c>
      <c r="C767" s="812" t="s">
        <v>83</v>
      </c>
      <c r="D767" s="825"/>
      <c r="E767" s="825"/>
      <c r="F767" s="829">
        <v>0.06</v>
      </c>
      <c r="G767" s="814" t="s">
        <v>3858</v>
      </c>
      <c r="H767" s="813" t="s">
        <v>3859</v>
      </c>
      <c r="I767" s="813" t="s">
        <v>1220</v>
      </c>
      <c r="J767" s="813" t="s">
        <v>6453</v>
      </c>
      <c r="K767" s="813" t="s">
        <v>3891</v>
      </c>
      <c r="L767" s="813" t="s">
        <v>3863</v>
      </c>
      <c r="M767" s="813" t="s">
        <v>307</v>
      </c>
      <c r="N767" s="813" t="s">
        <v>6474</v>
      </c>
      <c r="O767" s="813" t="s">
        <v>4045</v>
      </c>
      <c r="P767" s="813" t="s">
        <v>6475</v>
      </c>
      <c r="Q767" s="813" t="s">
        <v>6476</v>
      </c>
      <c r="R767" s="813">
        <v>1</v>
      </c>
      <c r="S767" s="813" t="s">
        <v>4010</v>
      </c>
      <c r="T767" s="813" t="s">
        <v>6420</v>
      </c>
    </row>
    <row r="768" spans="1:20" ht="15" customHeight="1" x14ac:dyDescent="0.35">
      <c r="A768" s="803" t="s">
        <v>6477</v>
      </c>
      <c r="B768" s="803"/>
      <c r="C768" s="803"/>
      <c r="D768" s="803"/>
      <c r="E768" s="803"/>
      <c r="F768" s="803"/>
      <c r="G768" s="803" t="s">
        <v>3920</v>
      </c>
      <c r="H768" s="794"/>
      <c r="I768" s="794"/>
      <c r="J768" s="794"/>
      <c r="K768" s="794"/>
      <c r="L768" s="794"/>
      <c r="M768" s="794"/>
      <c r="N768" s="794"/>
      <c r="O768" s="794"/>
      <c r="P768" s="794"/>
      <c r="Q768" s="794"/>
      <c r="R768" s="794"/>
      <c r="S768" s="794"/>
      <c r="T768" s="794"/>
    </row>
    <row r="769" spans="1:20" ht="15" customHeight="1" x14ac:dyDescent="0.35">
      <c r="A769" s="794" t="s">
        <v>6478</v>
      </c>
      <c r="B769" s="794" t="s">
        <v>3857</v>
      </c>
      <c r="C769" s="812" t="s">
        <v>83</v>
      </c>
      <c r="D769" s="825"/>
      <c r="E769" s="825"/>
      <c r="F769" s="829">
        <v>6.5000000000000002E-2</v>
      </c>
      <c r="G769" s="814" t="s">
        <v>3858</v>
      </c>
      <c r="H769" s="813" t="s">
        <v>3859</v>
      </c>
      <c r="I769" s="813" t="s">
        <v>1220</v>
      </c>
      <c r="J769" s="813" t="s">
        <v>6479</v>
      </c>
      <c r="K769" s="813" t="s">
        <v>3862</v>
      </c>
      <c r="L769" s="813" t="s">
        <v>3863</v>
      </c>
      <c r="M769" s="813" t="s">
        <v>1736</v>
      </c>
      <c r="N769" s="813" t="s">
        <v>6480</v>
      </c>
      <c r="O769" s="813" t="s">
        <v>3883</v>
      </c>
      <c r="P769" s="813" t="s">
        <v>6481</v>
      </c>
      <c r="Q769" s="813" t="s">
        <v>6482</v>
      </c>
      <c r="R769" s="813">
        <v>1</v>
      </c>
      <c r="S769" s="813" t="s">
        <v>6483</v>
      </c>
      <c r="T769" s="813" t="s">
        <v>6420</v>
      </c>
    </row>
    <row r="770" spans="1:20" ht="15" customHeight="1" x14ac:dyDescent="0.35">
      <c r="A770" s="794" t="s">
        <v>6484</v>
      </c>
      <c r="B770" s="794" t="s">
        <v>3857</v>
      </c>
      <c r="C770" s="812" t="s">
        <v>3842</v>
      </c>
      <c r="D770" s="825"/>
      <c r="E770" s="825"/>
      <c r="F770" s="826" t="s">
        <v>3020</v>
      </c>
      <c r="G770" s="814" t="s">
        <v>3858</v>
      </c>
      <c r="H770" s="813" t="s">
        <v>3859</v>
      </c>
      <c r="I770" s="813" t="s">
        <v>1220</v>
      </c>
      <c r="J770" s="813" t="s">
        <v>6479</v>
      </c>
      <c r="K770" s="813" t="s">
        <v>3862</v>
      </c>
      <c r="L770" s="813" t="s">
        <v>3863</v>
      </c>
      <c r="M770" s="813" t="s">
        <v>1736</v>
      </c>
      <c r="N770" s="813" t="s">
        <v>6485</v>
      </c>
      <c r="O770" s="813" t="s">
        <v>3865</v>
      </c>
      <c r="P770" s="813" t="s">
        <v>6486</v>
      </c>
      <c r="Q770" s="813" t="s">
        <v>6487</v>
      </c>
      <c r="R770" s="813">
        <v>1</v>
      </c>
      <c r="S770" s="813" t="s">
        <v>6483</v>
      </c>
      <c r="T770" s="813" t="s">
        <v>6420</v>
      </c>
    </row>
    <row r="771" spans="1:20" ht="15" customHeight="1" x14ac:dyDescent="0.35">
      <c r="A771" s="794" t="s">
        <v>6488</v>
      </c>
      <c r="B771" s="794" t="s">
        <v>3857</v>
      </c>
      <c r="C771" s="812" t="s">
        <v>3842</v>
      </c>
      <c r="D771" s="825"/>
      <c r="E771" s="825"/>
      <c r="F771" s="826" t="s">
        <v>6489</v>
      </c>
      <c r="G771" s="814" t="s">
        <v>3858</v>
      </c>
      <c r="H771" s="813" t="s">
        <v>3859</v>
      </c>
      <c r="I771" s="813" t="s">
        <v>1220</v>
      </c>
      <c r="J771" s="813" t="s">
        <v>6479</v>
      </c>
      <c r="K771" s="813" t="s">
        <v>3862</v>
      </c>
      <c r="L771" s="813" t="s">
        <v>3863</v>
      </c>
      <c r="M771" s="813" t="s">
        <v>1736</v>
      </c>
      <c r="N771" s="813" t="s">
        <v>6490</v>
      </c>
      <c r="O771" s="813" t="s">
        <v>3865</v>
      </c>
      <c r="P771" s="813" t="s">
        <v>6491</v>
      </c>
      <c r="Q771" s="813" t="s">
        <v>6492</v>
      </c>
      <c r="R771" s="813">
        <v>1</v>
      </c>
      <c r="S771" s="813" t="s">
        <v>6483</v>
      </c>
      <c r="T771" s="813" t="s">
        <v>6420</v>
      </c>
    </row>
    <row r="772" spans="1:20" ht="15" customHeight="1" x14ac:dyDescent="0.35">
      <c r="A772" s="794" t="s">
        <v>6493</v>
      </c>
      <c r="B772" s="794" t="s">
        <v>3857</v>
      </c>
      <c r="C772" s="812" t="s">
        <v>3842</v>
      </c>
      <c r="D772" s="825"/>
      <c r="E772" s="825"/>
      <c r="F772" s="826" t="s">
        <v>3032</v>
      </c>
      <c r="G772" s="814" t="s">
        <v>3858</v>
      </c>
      <c r="H772" s="813" t="s">
        <v>3859</v>
      </c>
      <c r="I772" s="813" t="s">
        <v>1220</v>
      </c>
      <c r="J772" s="813" t="s">
        <v>6479</v>
      </c>
      <c r="K772" s="813" t="s">
        <v>3862</v>
      </c>
      <c r="L772" s="813" t="s">
        <v>3863</v>
      </c>
      <c r="M772" s="813" t="s">
        <v>1736</v>
      </c>
      <c r="N772" s="813" t="s">
        <v>6494</v>
      </c>
      <c r="O772" s="813" t="s">
        <v>3865</v>
      </c>
      <c r="P772" s="813" t="s">
        <v>6495</v>
      </c>
      <c r="Q772" s="813" t="s">
        <v>6496</v>
      </c>
      <c r="R772" s="813">
        <v>1</v>
      </c>
      <c r="S772" s="813" t="s">
        <v>6483</v>
      </c>
      <c r="T772" s="813" t="s">
        <v>6420</v>
      </c>
    </row>
    <row r="773" spans="1:20" ht="15" customHeight="1" x14ac:dyDescent="0.35">
      <c r="A773" s="794" t="s">
        <v>6497</v>
      </c>
      <c r="B773" s="794" t="s">
        <v>3857</v>
      </c>
      <c r="C773" s="812" t="s">
        <v>3842</v>
      </c>
      <c r="D773" s="825"/>
      <c r="E773" s="825"/>
      <c r="F773" s="826" t="s">
        <v>6498</v>
      </c>
      <c r="G773" s="814" t="s">
        <v>3858</v>
      </c>
      <c r="H773" s="813" t="s">
        <v>3859</v>
      </c>
      <c r="I773" s="813" t="s">
        <v>1220</v>
      </c>
      <c r="J773" s="813" t="s">
        <v>6479</v>
      </c>
      <c r="K773" s="813" t="s">
        <v>3862</v>
      </c>
      <c r="L773" s="813" t="s">
        <v>3863</v>
      </c>
      <c r="M773" s="813" t="s">
        <v>1736</v>
      </c>
      <c r="N773" s="813" t="s">
        <v>6499</v>
      </c>
      <c r="O773" s="813" t="s">
        <v>3865</v>
      </c>
      <c r="P773" s="813" t="s">
        <v>6500</v>
      </c>
      <c r="Q773" s="813" t="s">
        <v>6501</v>
      </c>
      <c r="R773" s="813">
        <v>1</v>
      </c>
      <c r="S773" s="813" t="s">
        <v>6483</v>
      </c>
      <c r="T773" s="813" t="s">
        <v>6420</v>
      </c>
    </row>
    <row r="774" spans="1:20" ht="15" customHeight="1" x14ac:dyDescent="0.35">
      <c r="A774" s="803" t="s">
        <v>6502</v>
      </c>
      <c r="B774" s="803"/>
      <c r="C774" s="803"/>
      <c r="D774" s="803"/>
      <c r="E774" s="803"/>
      <c r="F774" s="803"/>
      <c r="G774" s="803" t="s">
        <v>4476</v>
      </c>
      <c r="H774" s="794"/>
      <c r="I774" s="794"/>
      <c r="J774" s="794"/>
      <c r="K774" s="794"/>
      <c r="L774" s="794"/>
      <c r="M774" s="794"/>
      <c r="N774" s="794"/>
      <c r="O774" s="794"/>
      <c r="P774" s="794"/>
      <c r="Q774" s="794"/>
      <c r="R774" s="794"/>
      <c r="S774" s="794"/>
      <c r="T774" s="794"/>
    </row>
    <row r="775" spans="1:20" ht="15" customHeight="1" x14ac:dyDescent="0.35">
      <c r="A775" s="794" t="s">
        <v>6503</v>
      </c>
      <c r="B775" s="794" t="s">
        <v>3857</v>
      </c>
      <c r="C775" s="812" t="s">
        <v>3913</v>
      </c>
      <c r="D775" s="825"/>
      <c r="E775" s="825"/>
      <c r="F775" s="825">
        <v>23</v>
      </c>
      <c r="G775" s="814" t="s">
        <v>3858</v>
      </c>
      <c r="H775" s="813" t="s">
        <v>3859</v>
      </c>
      <c r="I775" s="813" t="s">
        <v>1220</v>
      </c>
      <c r="J775" s="813" t="s">
        <v>6504</v>
      </c>
      <c r="K775" s="813" t="s">
        <v>3891</v>
      </c>
      <c r="L775" s="813" t="s">
        <v>3863</v>
      </c>
      <c r="M775" s="813" t="s">
        <v>307</v>
      </c>
      <c r="N775" s="813" t="s">
        <v>6505</v>
      </c>
      <c r="O775" s="813" t="s">
        <v>6506</v>
      </c>
      <c r="P775" s="813" t="s">
        <v>6507</v>
      </c>
      <c r="Q775" s="813" t="s">
        <v>6508</v>
      </c>
      <c r="R775" s="813">
        <v>1</v>
      </c>
      <c r="S775" s="813" t="s">
        <v>3896</v>
      </c>
      <c r="T775" s="813" t="s">
        <v>6420</v>
      </c>
    </row>
    <row r="776" spans="1:20" ht="15" customHeight="1" x14ac:dyDescent="0.35">
      <c r="A776" s="794" t="s">
        <v>6509</v>
      </c>
      <c r="B776" s="794" t="s">
        <v>3857</v>
      </c>
      <c r="C776" s="812" t="s">
        <v>3913</v>
      </c>
      <c r="D776" s="825"/>
      <c r="E776" s="825"/>
      <c r="F776" s="825">
        <v>5</v>
      </c>
      <c r="G776" s="814" t="s">
        <v>3858</v>
      </c>
      <c r="H776" s="813" t="s">
        <v>3859</v>
      </c>
      <c r="I776" s="813" t="s">
        <v>1220</v>
      </c>
      <c r="J776" s="813" t="s">
        <v>6504</v>
      </c>
      <c r="K776" s="813" t="s">
        <v>3891</v>
      </c>
      <c r="L776" s="813" t="s">
        <v>3863</v>
      </c>
      <c r="M776" s="813" t="s">
        <v>307</v>
      </c>
      <c r="N776" s="813" t="s">
        <v>6510</v>
      </c>
      <c r="O776" s="813" t="s">
        <v>6506</v>
      </c>
      <c r="P776" s="813" t="s">
        <v>6511</v>
      </c>
      <c r="Q776" s="813" t="s">
        <v>6512</v>
      </c>
      <c r="R776" s="813">
        <v>1</v>
      </c>
      <c r="S776" s="813" t="s">
        <v>3896</v>
      </c>
      <c r="T776" s="813" t="s">
        <v>6420</v>
      </c>
    </row>
    <row r="777" spans="1:20" ht="15" customHeight="1" x14ac:dyDescent="0.35">
      <c r="A777" s="803" t="s">
        <v>6513</v>
      </c>
      <c r="B777" s="803"/>
      <c r="C777" s="803"/>
      <c r="D777" s="803"/>
      <c r="E777" s="803"/>
      <c r="F777" s="803"/>
      <c r="G777" s="803" t="s">
        <v>3946</v>
      </c>
      <c r="H777" s="794"/>
      <c r="I777" s="794"/>
      <c r="J777" s="794"/>
      <c r="K777" s="794"/>
      <c r="L777" s="794"/>
      <c r="M777" s="794"/>
      <c r="N777" s="794"/>
      <c r="O777" s="794"/>
      <c r="P777" s="794"/>
      <c r="Q777" s="794"/>
      <c r="R777" s="794"/>
      <c r="S777" s="794"/>
      <c r="T777" s="794"/>
    </row>
    <row r="778" spans="1:20" ht="15" customHeight="1" x14ac:dyDescent="0.35">
      <c r="A778" s="794" t="s">
        <v>6514</v>
      </c>
      <c r="B778" s="794" t="s">
        <v>3857</v>
      </c>
      <c r="C778" s="812" t="s">
        <v>3913</v>
      </c>
      <c r="D778" s="825"/>
      <c r="E778" s="825"/>
      <c r="F778" s="825">
        <v>11.2</v>
      </c>
      <c r="G778" s="814" t="s">
        <v>3858</v>
      </c>
      <c r="H778" s="813" t="s">
        <v>3859</v>
      </c>
      <c r="I778" s="813" t="s">
        <v>6515</v>
      </c>
      <c r="J778" s="813" t="s">
        <v>6516</v>
      </c>
      <c r="K778" s="813" t="s">
        <v>3891</v>
      </c>
      <c r="L778" s="813" t="s">
        <v>3863</v>
      </c>
      <c r="M778" s="813" t="s">
        <v>307</v>
      </c>
      <c r="N778" s="813" t="s">
        <v>6517</v>
      </c>
      <c r="O778" s="813" t="s">
        <v>6518</v>
      </c>
      <c r="P778" s="813" t="s">
        <v>6519</v>
      </c>
      <c r="Q778" s="813" t="s">
        <v>6520</v>
      </c>
      <c r="R778" s="813">
        <v>1</v>
      </c>
      <c r="S778" s="813" t="s">
        <v>3896</v>
      </c>
      <c r="T778" s="813" t="s">
        <v>6420</v>
      </c>
    </row>
    <row r="779" spans="1:20" ht="15" customHeight="1" x14ac:dyDescent="0.35">
      <c r="A779" s="803" t="s">
        <v>6521</v>
      </c>
      <c r="B779" s="803"/>
      <c r="C779" s="803"/>
      <c r="D779" s="803"/>
      <c r="E779" s="803"/>
      <c r="F779" s="803"/>
      <c r="G779" s="803" t="s">
        <v>5243</v>
      </c>
      <c r="H779" s="794"/>
      <c r="I779" s="794"/>
      <c r="J779" s="794"/>
      <c r="K779" s="794"/>
      <c r="L779" s="794"/>
      <c r="M779" s="794"/>
      <c r="N779" s="794"/>
      <c r="O779" s="794"/>
      <c r="P779" s="794"/>
      <c r="Q779" s="794"/>
      <c r="R779" s="794"/>
      <c r="S779" s="794"/>
      <c r="T779" s="794"/>
    </row>
    <row r="780" spans="1:20" ht="15" customHeight="1" x14ac:dyDescent="0.35">
      <c r="A780" s="794" t="s">
        <v>6522</v>
      </c>
      <c r="B780" s="794" t="s">
        <v>3857</v>
      </c>
      <c r="C780" s="812" t="s">
        <v>3842</v>
      </c>
      <c r="D780" s="825"/>
      <c r="E780" s="825"/>
      <c r="F780" s="826" t="s">
        <v>6523</v>
      </c>
      <c r="G780" s="814" t="s">
        <v>3858</v>
      </c>
      <c r="H780" s="813" t="s">
        <v>3859</v>
      </c>
      <c r="I780" s="813" t="s">
        <v>6515</v>
      </c>
      <c r="J780" s="813" t="s">
        <v>6524</v>
      </c>
      <c r="K780" s="813" t="s">
        <v>3862</v>
      </c>
      <c r="L780" s="813" t="s">
        <v>3863</v>
      </c>
      <c r="M780" s="813" t="s">
        <v>1736</v>
      </c>
      <c r="N780" s="813" t="s">
        <v>6525</v>
      </c>
      <c r="O780" s="813" t="s">
        <v>3865</v>
      </c>
      <c r="P780" s="813" t="s">
        <v>6526</v>
      </c>
      <c r="Q780" s="813" t="s">
        <v>6527</v>
      </c>
      <c r="R780" s="813">
        <v>1</v>
      </c>
      <c r="S780" s="813" t="s">
        <v>6528</v>
      </c>
      <c r="T780" s="813" t="s">
        <v>6420</v>
      </c>
    </row>
    <row r="781" spans="1:20" ht="15" customHeight="1" x14ac:dyDescent="0.35">
      <c r="A781" s="794" t="s">
        <v>6529</v>
      </c>
      <c r="B781" s="794" t="s">
        <v>3857</v>
      </c>
      <c r="C781" s="812" t="s">
        <v>3842</v>
      </c>
      <c r="D781" s="825"/>
      <c r="E781" s="825"/>
      <c r="F781" s="826" t="s">
        <v>6489</v>
      </c>
      <c r="G781" s="814" t="s">
        <v>3858</v>
      </c>
      <c r="H781" s="813" t="s">
        <v>3859</v>
      </c>
      <c r="I781" s="813" t="s">
        <v>6515</v>
      </c>
      <c r="J781" s="813" t="s">
        <v>6524</v>
      </c>
      <c r="K781" s="813" t="s">
        <v>3862</v>
      </c>
      <c r="L781" s="813" t="s">
        <v>3863</v>
      </c>
      <c r="M781" s="813" t="s">
        <v>1736</v>
      </c>
      <c r="N781" s="813" t="s">
        <v>6530</v>
      </c>
      <c r="O781" s="813" t="s">
        <v>3865</v>
      </c>
      <c r="P781" s="813" t="s">
        <v>6531</v>
      </c>
      <c r="Q781" s="813" t="s">
        <v>6532</v>
      </c>
      <c r="R781" s="813">
        <v>1</v>
      </c>
      <c r="S781" s="813" t="s">
        <v>6528</v>
      </c>
      <c r="T781" s="813" t="s">
        <v>6420</v>
      </c>
    </row>
    <row r="782" spans="1:20" ht="15" customHeight="1" x14ac:dyDescent="0.35">
      <c r="A782" s="794" t="s">
        <v>6533</v>
      </c>
      <c r="B782" s="794" t="s">
        <v>3857</v>
      </c>
      <c r="C782" s="812" t="s">
        <v>3842</v>
      </c>
      <c r="D782" s="825"/>
      <c r="E782" s="825"/>
      <c r="F782" s="826" t="s">
        <v>6534</v>
      </c>
      <c r="G782" s="814" t="s">
        <v>3858</v>
      </c>
      <c r="H782" s="813" t="s">
        <v>3859</v>
      </c>
      <c r="I782" s="813" t="s">
        <v>6515</v>
      </c>
      <c r="J782" s="813" t="s">
        <v>6524</v>
      </c>
      <c r="K782" s="813" t="s">
        <v>3862</v>
      </c>
      <c r="L782" s="813" t="s">
        <v>3863</v>
      </c>
      <c r="M782" s="813" t="s">
        <v>1736</v>
      </c>
      <c r="N782" s="813" t="s">
        <v>6535</v>
      </c>
      <c r="O782" s="813" t="s">
        <v>3865</v>
      </c>
      <c r="P782" s="813" t="s">
        <v>6536</v>
      </c>
      <c r="Q782" s="813" t="s">
        <v>6537</v>
      </c>
      <c r="R782" s="813">
        <v>1</v>
      </c>
      <c r="S782" s="813" t="s">
        <v>6528</v>
      </c>
      <c r="T782" s="813" t="s">
        <v>6420</v>
      </c>
    </row>
    <row r="783" spans="1:20" ht="15" customHeight="1" x14ac:dyDescent="0.35">
      <c r="A783" s="794" t="s">
        <v>6538</v>
      </c>
      <c r="B783" s="794" t="s">
        <v>3857</v>
      </c>
      <c r="C783" s="812" t="s">
        <v>3842</v>
      </c>
      <c r="D783" s="825"/>
      <c r="E783" s="825"/>
      <c r="F783" s="826" t="s">
        <v>6523</v>
      </c>
      <c r="G783" s="814" t="s">
        <v>3858</v>
      </c>
      <c r="H783" s="813" t="s">
        <v>3859</v>
      </c>
      <c r="I783" s="813" t="s">
        <v>6515</v>
      </c>
      <c r="J783" s="813" t="s">
        <v>6524</v>
      </c>
      <c r="K783" s="813" t="s">
        <v>3862</v>
      </c>
      <c r="L783" s="813" t="s">
        <v>3863</v>
      </c>
      <c r="M783" s="813" t="s">
        <v>1736</v>
      </c>
      <c r="N783" s="813" t="s">
        <v>6539</v>
      </c>
      <c r="O783" s="813" t="s">
        <v>3865</v>
      </c>
      <c r="P783" s="813" t="s">
        <v>6540</v>
      </c>
      <c r="Q783" s="813" t="s">
        <v>6541</v>
      </c>
      <c r="R783" s="813">
        <v>1</v>
      </c>
      <c r="S783" s="813" t="s">
        <v>6528</v>
      </c>
      <c r="T783" s="813" t="s">
        <v>6420</v>
      </c>
    </row>
    <row r="784" spans="1:20" ht="15" customHeight="1" x14ac:dyDescent="0.35">
      <c r="A784" s="794" t="s">
        <v>6542</v>
      </c>
      <c r="B784" s="794" t="s">
        <v>3857</v>
      </c>
      <c r="C784" s="812" t="s">
        <v>3842</v>
      </c>
      <c r="D784" s="825"/>
      <c r="E784" s="825"/>
      <c r="F784" s="826" t="s">
        <v>6489</v>
      </c>
      <c r="G784" s="814" t="s">
        <v>3858</v>
      </c>
      <c r="H784" s="813" t="s">
        <v>3859</v>
      </c>
      <c r="I784" s="813" t="s">
        <v>6515</v>
      </c>
      <c r="J784" s="813" t="s">
        <v>6524</v>
      </c>
      <c r="K784" s="813" t="s">
        <v>3862</v>
      </c>
      <c r="L784" s="813" t="s">
        <v>3863</v>
      </c>
      <c r="M784" s="813" t="s">
        <v>1736</v>
      </c>
      <c r="N784" s="813" t="s">
        <v>6543</v>
      </c>
      <c r="O784" s="813" t="s">
        <v>3865</v>
      </c>
      <c r="P784" s="813" t="s">
        <v>6544</v>
      </c>
      <c r="Q784" s="813" t="s">
        <v>6545</v>
      </c>
      <c r="R784" s="813">
        <v>1</v>
      </c>
      <c r="S784" s="813" t="s">
        <v>6528</v>
      </c>
      <c r="T784" s="813" t="s">
        <v>6420</v>
      </c>
    </row>
    <row r="785" spans="1:20" ht="15" customHeight="1" x14ac:dyDescent="0.35">
      <c r="A785" s="794" t="s">
        <v>6546</v>
      </c>
      <c r="B785" s="794" t="s">
        <v>3857</v>
      </c>
      <c r="C785" s="812" t="s">
        <v>3842</v>
      </c>
      <c r="D785" s="825"/>
      <c r="E785" s="825"/>
      <c r="F785" s="826" t="s">
        <v>6547</v>
      </c>
      <c r="G785" s="814" t="s">
        <v>3858</v>
      </c>
      <c r="H785" s="813" t="s">
        <v>3859</v>
      </c>
      <c r="I785" s="813" t="s">
        <v>6515</v>
      </c>
      <c r="J785" s="813" t="s">
        <v>6524</v>
      </c>
      <c r="K785" s="813" t="s">
        <v>3862</v>
      </c>
      <c r="L785" s="813" t="s">
        <v>3863</v>
      </c>
      <c r="M785" s="813" t="s">
        <v>1736</v>
      </c>
      <c r="N785" s="813" t="s">
        <v>6548</v>
      </c>
      <c r="O785" s="813" t="s">
        <v>3865</v>
      </c>
      <c r="P785" s="813" t="s">
        <v>6549</v>
      </c>
      <c r="Q785" s="813" t="s">
        <v>6550</v>
      </c>
      <c r="R785" s="813">
        <v>1</v>
      </c>
      <c r="S785" s="813" t="s">
        <v>6528</v>
      </c>
      <c r="T785" s="813" t="s">
        <v>6420</v>
      </c>
    </row>
    <row r="786" spans="1:20" ht="15" customHeight="1" x14ac:dyDescent="0.35">
      <c r="A786" s="794" t="s">
        <v>6551</v>
      </c>
      <c r="B786" s="794" t="s">
        <v>3857</v>
      </c>
      <c r="C786" s="812" t="s">
        <v>3842</v>
      </c>
      <c r="D786" s="825"/>
      <c r="E786" s="825"/>
      <c r="F786" s="826" t="s">
        <v>6552</v>
      </c>
      <c r="G786" s="814" t="s">
        <v>3858</v>
      </c>
      <c r="H786" s="813" t="s">
        <v>3859</v>
      </c>
      <c r="I786" s="813" t="s">
        <v>6515</v>
      </c>
      <c r="J786" s="813" t="s">
        <v>6524</v>
      </c>
      <c r="K786" s="813" t="s">
        <v>3862</v>
      </c>
      <c r="L786" s="813" t="s">
        <v>3863</v>
      </c>
      <c r="M786" s="813" t="s">
        <v>1736</v>
      </c>
      <c r="N786" s="813" t="s">
        <v>6553</v>
      </c>
      <c r="O786" s="813" t="s">
        <v>3865</v>
      </c>
      <c r="P786" s="813" t="s">
        <v>6554</v>
      </c>
      <c r="Q786" s="813" t="s">
        <v>6555</v>
      </c>
      <c r="R786" s="813">
        <v>1</v>
      </c>
      <c r="S786" s="813" t="s">
        <v>6528</v>
      </c>
      <c r="T786" s="813" t="s">
        <v>6420</v>
      </c>
    </row>
    <row r="787" spans="1:20" ht="15" customHeight="1" x14ac:dyDescent="0.35">
      <c r="A787" s="794" t="s">
        <v>6556</v>
      </c>
      <c r="B787" s="794" t="s">
        <v>3857</v>
      </c>
      <c r="C787" s="812" t="s">
        <v>3842</v>
      </c>
      <c r="D787" s="825"/>
      <c r="E787" s="825"/>
      <c r="F787" s="826" t="s">
        <v>6523</v>
      </c>
      <c r="G787" s="814" t="s">
        <v>3858</v>
      </c>
      <c r="H787" s="813" t="s">
        <v>3859</v>
      </c>
      <c r="I787" s="813" t="s">
        <v>6515</v>
      </c>
      <c r="J787" s="813" t="s">
        <v>6524</v>
      </c>
      <c r="K787" s="813" t="s">
        <v>3862</v>
      </c>
      <c r="L787" s="813" t="s">
        <v>3863</v>
      </c>
      <c r="M787" s="813" t="s">
        <v>1736</v>
      </c>
      <c r="N787" s="813" t="s">
        <v>6557</v>
      </c>
      <c r="O787" s="813" t="s">
        <v>3865</v>
      </c>
      <c r="P787" s="813" t="s">
        <v>6558</v>
      </c>
      <c r="Q787" s="813" t="s">
        <v>6559</v>
      </c>
      <c r="R787" s="813">
        <v>1</v>
      </c>
      <c r="S787" s="813" t="s">
        <v>6528</v>
      </c>
      <c r="T787" s="813" t="s">
        <v>6420</v>
      </c>
    </row>
    <row r="788" spans="1:20" ht="15" customHeight="1" x14ac:dyDescent="0.35">
      <c r="A788" s="803" t="s">
        <v>6560</v>
      </c>
      <c r="B788" s="803"/>
      <c r="C788" s="803"/>
      <c r="D788" s="803"/>
      <c r="E788" s="803"/>
      <c r="F788" s="803"/>
      <c r="G788" s="803" t="s">
        <v>3855</v>
      </c>
      <c r="H788" s="794"/>
      <c r="I788" s="794"/>
      <c r="J788" s="794"/>
      <c r="K788" s="794"/>
      <c r="L788" s="794"/>
      <c r="M788" s="794"/>
      <c r="N788" s="794"/>
      <c r="O788" s="794"/>
      <c r="P788" s="794"/>
      <c r="Q788" s="794"/>
      <c r="R788" s="794"/>
      <c r="S788" s="794"/>
      <c r="T788" s="794"/>
    </row>
    <row r="789" spans="1:20" ht="15" customHeight="1" x14ac:dyDescent="0.35">
      <c r="A789" s="794" t="s">
        <v>6561</v>
      </c>
      <c r="B789" s="794" t="s">
        <v>826</v>
      </c>
      <c r="C789" s="812" t="s">
        <v>83</v>
      </c>
      <c r="D789" s="825"/>
      <c r="E789" s="825"/>
      <c r="F789" s="829">
        <v>0.3</v>
      </c>
      <c r="G789" s="814" t="s">
        <v>3858</v>
      </c>
      <c r="H789" s="813" t="s">
        <v>3859</v>
      </c>
      <c r="I789" s="813" t="s">
        <v>6515</v>
      </c>
      <c r="J789" s="813" t="s">
        <v>6562</v>
      </c>
      <c r="K789" s="813" t="s">
        <v>3891</v>
      </c>
      <c r="L789" s="813" t="s">
        <v>3863</v>
      </c>
      <c r="M789" s="813" t="s">
        <v>307</v>
      </c>
      <c r="N789" s="813" t="s">
        <v>6563</v>
      </c>
      <c r="O789" s="813" t="s">
        <v>4045</v>
      </c>
      <c r="P789" s="813" t="s">
        <v>6564</v>
      </c>
      <c r="Q789" s="813" t="s">
        <v>6565</v>
      </c>
      <c r="R789" s="813">
        <v>1</v>
      </c>
      <c r="S789" s="813" t="s">
        <v>4010</v>
      </c>
      <c r="T789" s="813" t="s">
        <v>6420</v>
      </c>
    </row>
    <row r="790" spans="1:20" ht="15" customHeight="1" x14ac:dyDescent="0.35">
      <c r="A790" s="794" t="s">
        <v>6566</v>
      </c>
      <c r="B790" s="794" t="s">
        <v>830</v>
      </c>
      <c r="C790" s="812" t="s">
        <v>83</v>
      </c>
      <c r="D790" s="825"/>
      <c r="E790" s="825"/>
      <c r="F790" s="829">
        <v>0.3</v>
      </c>
      <c r="G790" s="814" t="s">
        <v>3858</v>
      </c>
      <c r="H790" s="813" t="s">
        <v>3859</v>
      </c>
      <c r="I790" s="813" t="s">
        <v>6515</v>
      </c>
      <c r="J790" s="813" t="s">
        <v>6562</v>
      </c>
      <c r="K790" s="813" t="s">
        <v>3891</v>
      </c>
      <c r="L790" s="813" t="s">
        <v>3863</v>
      </c>
      <c r="M790" s="813" t="s">
        <v>307</v>
      </c>
      <c r="N790" s="813" t="s">
        <v>6567</v>
      </c>
      <c r="O790" s="813" t="s">
        <v>4045</v>
      </c>
      <c r="P790" s="813" t="s">
        <v>6568</v>
      </c>
      <c r="Q790" s="813" t="s">
        <v>6569</v>
      </c>
      <c r="R790" s="813">
        <v>1</v>
      </c>
      <c r="S790" s="813" t="s">
        <v>4010</v>
      </c>
      <c r="T790" s="813" t="s">
        <v>6420</v>
      </c>
    </row>
    <row r="791" spans="1:20" ht="15" customHeight="1" x14ac:dyDescent="0.35">
      <c r="A791" s="794" t="s">
        <v>6570</v>
      </c>
      <c r="B791" s="794" t="s">
        <v>834</v>
      </c>
      <c r="C791" s="812" t="s">
        <v>83</v>
      </c>
      <c r="D791" s="825"/>
      <c r="E791" s="825"/>
      <c r="F791" s="829">
        <v>0.3</v>
      </c>
      <c r="G791" s="814" t="s">
        <v>3858</v>
      </c>
      <c r="H791" s="813" t="s">
        <v>3859</v>
      </c>
      <c r="I791" s="813" t="s">
        <v>6515</v>
      </c>
      <c r="J791" s="813" t="s">
        <v>6562</v>
      </c>
      <c r="K791" s="813" t="s">
        <v>3891</v>
      </c>
      <c r="L791" s="813" t="s">
        <v>3863</v>
      </c>
      <c r="M791" s="813" t="s">
        <v>307</v>
      </c>
      <c r="N791" s="813" t="s">
        <v>6571</v>
      </c>
      <c r="O791" s="813" t="s">
        <v>4045</v>
      </c>
      <c r="P791" s="813" t="s">
        <v>6572</v>
      </c>
      <c r="Q791" s="813" t="s">
        <v>6573</v>
      </c>
      <c r="R791" s="813">
        <v>1</v>
      </c>
      <c r="S791" s="813" t="s">
        <v>4010</v>
      </c>
      <c r="T791" s="813" t="s">
        <v>6420</v>
      </c>
    </row>
    <row r="792" spans="1:20" ht="15" customHeight="1" x14ac:dyDescent="0.35">
      <c r="A792" s="803" t="s">
        <v>6574</v>
      </c>
      <c r="B792" s="803"/>
      <c r="C792" s="803"/>
      <c r="D792" s="803"/>
      <c r="E792" s="803"/>
      <c r="F792" s="803"/>
      <c r="G792" s="803" t="s">
        <v>3898</v>
      </c>
      <c r="H792" s="794"/>
      <c r="I792" s="794"/>
      <c r="J792" s="794"/>
      <c r="K792" s="794"/>
      <c r="L792" s="794"/>
      <c r="M792" s="794"/>
      <c r="N792" s="794"/>
      <c r="O792" s="794"/>
      <c r="P792" s="794"/>
      <c r="Q792" s="794"/>
      <c r="R792" s="794"/>
      <c r="S792" s="794"/>
      <c r="T792" s="794"/>
    </row>
    <row r="793" spans="1:20" ht="15" customHeight="1" x14ac:dyDescent="0.35">
      <c r="A793" s="794" t="s">
        <v>6575</v>
      </c>
      <c r="B793" s="794" t="s">
        <v>3857</v>
      </c>
      <c r="C793" s="812" t="s">
        <v>83</v>
      </c>
      <c r="D793" s="825"/>
      <c r="E793" s="825"/>
      <c r="F793" s="829">
        <v>0.3</v>
      </c>
      <c r="G793" s="814" t="s">
        <v>3858</v>
      </c>
      <c r="H793" s="813" t="s">
        <v>3859</v>
      </c>
      <c r="I793" s="813" t="s">
        <v>6515</v>
      </c>
      <c r="J793" s="813" t="s">
        <v>6576</v>
      </c>
      <c r="K793" s="813" t="s">
        <v>3862</v>
      </c>
      <c r="L793" s="813" t="s">
        <v>3863</v>
      </c>
      <c r="M793" s="813" t="s">
        <v>1736</v>
      </c>
      <c r="N793" s="813" t="s">
        <v>6577</v>
      </c>
      <c r="O793" s="813" t="s">
        <v>3883</v>
      </c>
      <c r="P793" s="813" t="s">
        <v>6578</v>
      </c>
      <c r="Q793" s="813" t="s">
        <v>6579</v>
      </c>
      <c r="R793" s="813">
        <v>1</v>
      </c>
      <c r="S793" s="813" t="s">
        <v>6580</v>
      </c>
      <c r="T793" s="813" t="s">
        <v>6420</v>
      </c>
    </row>
    <row r="794" spans="1:20" ht="15" customHeight="1" x14ac:dyDescent="0.35">
      <c r="A794" s="794" t="s">
        <v>6581</v>
      </c>
      <c r="B794" s="794" t="s">
        <v>3857</v>
      </c>
      <c r="C794" s="812" t="s">
        <v>3842</v>
      </c>
      <c r="D794" s="825"/>
      <c r="E794" s="825"/>
      <c r="F794" s="826" t="s">
        <v>3038</v>
      </c>
      <c r="G794" s="814" t="s">
        <v>3858</v>
      </c>
      <c r="H794" s="813" t="s">
        <v>3859</v>
      </c>
      <c r="I794" s="813" t="s">
        <v>6515</v>
      </c>
      <c r="J794" s="813" t="s">
        <v>6576</v>
      </c>
      <c r="K794" s="813" t="s">
        <v>3862</v>
      </c>
      <c r="L794" s="813" t="s">
        <v>3863</v>
      </c>
      <c r="M794" s="813" t="s">
        <v>1736</v>
      </c>
      <c r="N794" s="813" t="s">
        <v>6582</v>
      </c>
      <c r="O794" s="813" t="s">
        <v>3865</v>
      </c>
      <c r="P794" s="813" t="s">
        <v>6583</v>
      </c>
      <c r="Q794" s="813" t="s">
        <v>6584</v>
      </c>
      <c r="R794" s="813">
        <v>1</v>
      </c>
      <c r="S794" s="813" t="s">
        <v>6580</v>
      </c>
      <c r="T794" s="813" t="s">
        <v>6420</v>
      </c>
    </row>
    <row r="795" spans="1:20" ht="15" customHeight="1" x14ac:dyDescent="0.35">
      <c r="A795" s="794" t="s">
        <v>6585</v>
      </c>
      <c r="B795" s="794" t="s">
        <v>3857</v>
      </c>
      <c r="C795" s="812" t="s">
        <v>3842</v>
      </c>
      <c r="D795" s="825"/>
      <c r="E795" s="825"/>
      <c r="F795" s="826" t="s">
        <v>6586</v>
      </c>
      <c r="G795" s="814" t="s">
        <v>3858</v>
      </c>
      <c r="H795" s="813" t="s">
        <v>3859</v>
      </c>
      <c r="I795" s="813" t="s">
        <v>6515</v>
      </c>
      <c r="J795" s="813" t="s">
        <v>6576</v>
      </c>
      <c r="K795" s="813" t="s">
        <v>3862</v>
      </c>
      <c r="L795" s="813" t="s">
        <v>3863</v>
      </c>
      <c r="M795" s="813" t="s">
        <v>1736</v>
      </c>
      <c r="N795" s="813" t="s">
        <v>6587</v>
      </c>
      <c r="O795" s="813" t="s">
        <v>3865</v>
      </c>
      <c r="P795" s="813" t="s">
        <v>6588</v>
      </c>
      <c r="Q795" s="813" t="s">
        <v>6589</v>
      </c>
      <c r="R795" s="813">
        <v>1</v>
      </c>
      <c r="S795" s="813" t="s">
        <v>6580</v>
      </c>
      <c r="T795" s="813" t="s">
        <v>6420</v>
      </c>
    </row>
    <row r="796" spans="1:20" ht="15" customHeight="1" x14ac:dyDescent="0.35">
      <c r="A796" s="794" t="s">
        <v>6590</v>
      </c>
      <c r="B796" s="794" t="s">
        <v>3857</v>
      </c>
      <c r="C796" s="812" t="s">
        <v>3842</v>
      </c>
      <c r="D796" s="825"/>
      <c r="E796" s="825"/>
      <c r="F796" s="826" t="s">
        <v>6591</v>
      </c>
      <c r="G796" s="814" t="s">
        <v>3858</v>
      </c>
      <c r="H796" s="813" t="s">
        <v>3859</v>
      </c>
      <c r="I796" s="813" t="s">
        <v>6515</v>
      </c>
      <c r="J796" s="813" t="s">
        <v>6576</v>
      </c>
      <c r="K796" s="813" t="s">
        <v>3862</v>
      </c>
      <c r="L796" s="813" t="s">
        <v>3863</v>
      </c>
      <c r="M796" s="813" t="s">
        <v>1736</v>
      </c>
      <c r="N796" s="813" t="s">
        <v>6592</v>
      </c>
      <c r="O796" s="813" t="s">
        <v>3865</v>
      </c>
      <c r="P796" s="813" t="s">
        <v>6593</v>
      </c>
      <c r="Q796" s="813" t="s">
        <v>6594</v>
      </c>
      <c r="R796" s="813">
        <v>1</v>
      </c>
      <c r="S796" s="813" t="s">
        <v>6580</v>
      </c>
      <c r="T796" s="813" t="s">
        <v>6420</v>
      </c>
    </row>
    <row r="797" spans="1:20" ht="15" customHeight="1" x14ac:dyDescent="0.35">
      <c r="A797" s="802" t="s">
        <v>6595</v>
      </c>
      <c r="B797" s="802"/>
      <c r="C797" s="802"/>
      <c r="D797" s="802"/>
      <c r="E797" s="802"/>
      <c r="F797" s="802"/>
      <c r="G797" s="802" t="s">
        <v>4476</v>
      </c>
      <c r="H797" s="794"/>
      <c r="I797" s="794"/>
      <c r="J797" s="794"/>
      <c r="K797" s="794"/>
      <c r="L797" s="794"/>
      <c r="M797" s="794"/>
      <c r="N797" s="794"/>
      <c r="O797" s="794"/>
      <c r="P797" s="794"/>
      <c r="Q797" s="794"/>
      <c r="R797" s="794"/>
      <c r="S797" s="794"/>
      <c r="T797" s="794"/>
    </row>
    <row r="798" spans="1:20" ht="15" customHeight="1" x14ac:dyDescent="0.35">
      <c r="A798" s="803" t="s">
        <v>6596</v>
      </c>
      <c r="B798" s="803"/>
      <c r="C798" s="803"/>
      <c r="D798" s="803"/>
      <c r="E798" s="803"/>
      <c r="F798" s="803"/>
      <c r="G798" s="803" t="s">
        <v>3946</v>
      </c>
      <c r="H798" s="794"/>
      <c r="I798" s="794"/>
      <c r="J798" s="794"/>
      <c r="K798" s="794"/>
      <c r="L798" s="794"/>
      <c r="M798" s="794"/>
      <c r="N798" s="794"/>
      <c r="O798" s="794"/>
      <c r="P798" s="794"/>
      <c r="Q798" s="794"/>
      <c r="R798" s="794"/>
      <c r="S798" s="794"/>
      <c r="T798" s="794"/>
    </row>
    <row r="799" spans="1:20" ht="15" customHeight="1" x14ac:dyDescent="0.35">
      <c r="A799" s="794" t="s">
        <v>6597</v>
      </c>
      <c r="B799" s="794" t="s">
        <v>3857</v>
      </c>
      <c r="C799" s="812" t="s">
        <v>83</v>
      </c>
      <c r="D799" s="825"/>
      <c r="E799" s="825"/>
      <c r="F799" s="829">
        <v>7.4999999999999997E-2</v>
      </c>
      <c r="G799" s="814" t="s">
        <v>3858</v>
      </c>
      <c r="H799" s="813" t="s">
        <v>246</v>
      </c>
      <c r="I799" s="813" t="s">
        <v>1220</v>
      </c>
      <c r="J799" s="813" t="s">
        <v>6598</v>
      </c>
      <c r="K799" s="813" t="s">
        <v>3949</v>
      </c>
      <c r="L799" s="813" t="s">
        <v>3863</v>
      </c>
      <c r="M799" s="813" t="s">
        <v>3169</v>
      </c>
      <c r="N799" s="813" t="s">
        <v>6599</v>
      </c>
      <c r="O799" s="813" t="s">
        <v>6600</v>
      </c>
      <c r="P799" s="813" t="s">
        <v>6601</v>
      </c>
      <c r="Q799" s="813" t="s">
        <v>6602</v>
      </c>
      <c r="R799" s="813">
        <v>1</v>
      </c>
      <c r="S799" s="813" t="s">
        <v>3953</v>
      </c>
      <c r="T799" s="813" t="s">
        <v>6420</v>
      </c>
    </row>
    <row r="800" spans="1:20" ht="15" customHeight="1" x14ac:dyDescent="0.35">
      <c r="A800" s="803" t="s">
        <v>6603</v>
      </c>
      <c r="B800" s="803"/>
      <c r="C800" s="803"/>
      <c r="D800" s="803"/>
      <c r="E800" s="803"/>
      <c r="F800" s="803"/>
      <c r="G800" s="803" t="s">
        <v>3946</v>
      </c>
      <c r="H800" s="794"/>
      <c r="I800" s="794"/>
      <c r="J800" s="794"/>
      <c r="K800" s="794"/>
      <c r="L800" s="794"/>
      <c r="M800" s="794"/>
      <c r="N800" s="794"/>
      <c r="O800" s="794"/>
      <c r="P800" s="794"/>
      <c r="Q800" s="794"/>
      <c r="R800" s="794"/>
      <c r="S800" s="794"/>
      <c r="T800" s="794"/>
    </row>
    <row r="801" spans="1:20" ht="15" customHeight="1" x14ac:dyDescent="0.35">
      <c r="A801" s="794" t="s">
        <v>6604</v>
      </c>
      <c r="B801" s="794" t="s">
        <v>3857</v>
      </c>
      <c r="C801" s="812" t="s">
        <v>83</v>
      </c>
      <c r="D801" s="825"/>
      <c r="E801" s="825"/>
      <c r="F801" s="829">
        <v>0.3</v>
      </c>
      <c r="G801" s="814" t="s">
        <v>3858</v>
      </c>
      <c r="H801" s="813" t="s">
        <v>246</v>
      </c>
      <c r="I801" s="813" t="s">
        <v>6515</v>
      </c>
      <c r="J801" s="813" t="s">
        <v>6605</v>
      </c>
      <c r="K801" s="813" t="s">
        <v>3949</v>
      </c>
      <c r="L801" s="813" t="s">
        <v>3863</v>
      </c>
      <c r="M801" s="813" t="s">
        <v>3169</v>
      </c>
      <c r="N801" s="813" t="s">
        <v>6606</v>
      </c>
      <c r="O801" s="813" t="s">
        <v>3925</v>
      </c>
      <c r="P801" s="813" t="s">
        <v>6607</v>
      </c>
      <c r="Q801" s="813" t="s">
        <v>6608</v>
      </c>
      <c r="R801" s="813">
        <v>1</v>
      </c>
      <c r="S801" s="813" t="s">
        <v>3953</v>
      </c>
      <c r="T801" s="813" t="s">
        <v>6420</v>
      </c>
    </row>
    <row r="802" spans="1:20" ht="15" customHeight="1" x14ac:dyDescent="0.35">
      <c r="A802" s="802" t="s">
        <v>6609</v>
      </c>
      <c r="B802" s="802"/>
      <c r="C802" s="802"/>
      <c r="D802" s="802"/>
      <c r="E802" s="802"/>
      <c r="F802" s="802"/>
      <c r="G802" s="802" t="s">
        <v>3946</v>
      </c>
      <c r="H802" s="794"/>
      <c r="I802" s="794"/>
      <c r="J802" s="794"/>
      <c r="K802" s="794"/>
      <c r="L802" s="794"/>
      <c r="M802" s="794"/>
      <c r="N802" s="794"/>
      <c r="O802" s="794"/>
      <c r="P802" s="794"/>
      <c r="Q802" s="794"/>
      <c r="R802" s="794"/>
      <c r="S802" s="794"/>
      <c r="T802" s="794"/>
    </row>
    <row r="803" spans="1:20" ht="15" customHeight="1" x14ac:dyDescent="0.35">
      <c r="A803" s="803" t="s">
        <v>6610</v>
      </c>
      <c r="B803" s="803"/>
      <c r="C803" s="803"/>
      <c r="D803" s="803"/>
      <c r="E803" s="803"/>
      <c r="F803" s="803"/>
      <c r="G803" s="803" t="s">
        <v>3946</v>
      </c>
      <c r="H803" s="794"/>
      <c r="I803" s="794"/>
      <c r="J803" s="794"/>
      <c r="K803" s="794"/>
      <c r="L803" s="794"/>
      <c r="M803" s="794"/>
      <c r="N803" s="794"/>
      <c r="O803" s="794"/>
      <c r="P803" s="794"/>
      <c r="Q803" s="794"/>
      <c r="R803" s="794"/>
      <c r="S803" s="794"/>
      <c r="T803" s="794"/>
    </row>
    <row r="804" spans="1:20" ht="15" customHeight="1" x14ac:dyDescent="0.35">
      <c r="A804" s="794" t="s">
        <v>6611</v>
      </c>
      <c r="B804" s="794" t="s">
        <v>3857</v>
      </c>
      <c r="C804" s="812" t="s">
        <v>5237</v>
      </c>
      <c r="D804" s="825">
        <v>57100000</v>
      </c>
      <c r="E804" s="825"/>
      <c r="F804" s="826"/>
      <c r="G804" s="814" t="s">
        <v>3858</v>
      </c>
      <c r="H804" s="813" t="s">
        <v>5246</v>
      </c>
      <c r="I804" s="813" t="s">
        <v>1220</v>
      </c>
      <c r="J804" s="813" t="s">
        <v>6612</v>
      </c>
      <c r="K804" s="813" t="s">
        <v>3187</v>
      </c>
      <c r="L804" s="813" t="s">
        <v>3863</v>
      </c>
      <c r="M804" s="813" t="s">
        <v>3187</v>
      </c>
      <c r="N804" s="813" t="s">
        <v>6613</v>
      </c>
      <c r="O804" s="813" t="s">
        <v>3883</v>
      </c>
      <c r="P804" s="813" t="s">
        <v>6614</v>
      </c>
      <c r="Q804" s="813" t="s">
        <v>6615</v>
      </c>
      <c r="R804" s="813">
        <v>1</v>
      </c>
      <c r="S804" s="813" t="s">
        <v>3928</v>
      </c>
      <c r="T804" s="813" t="s">
        <v>6420</v>
      </c>
    </row>
    <row r="805" spans="1:20" ht="15" customHeight="1" x14ac:dyDescent="0.35">
      <c r="A805" s="802" t="s">
        <v>6616</v>
      </c>
      <c r="B805" s="802"/>
      <c r="C805" s="802"/>
      <c r="D805" s="802"/>
      <c r="E805" s="802"/>
      <c r="F805" s="802"/>
      <c r="G805" s="802" t="s">
        <v>3946</v>
      </c>
      <c r="H805" s="794"/>
      <c r="I805" s="794"/>
      <c r="J805" s="794"/>
      <c r="K805" s="794"/>
      <c r="L805" s="794"/>
      <c r="M805" s="794"/>
      <c r="N805" s="794"/>
      <c r="O805" s="794"/>
      <c r="P805" s="794"/>
      <c r="Q805" s="794"/>
      <c r="R805" s="794"/>
      <c r="S805" s="794"/>
      <c r="T805" s="794"/>
    </row>
    <row r="806" spans="1:20" ht="15" customHeight="1" x14ac:dyDescent="0.35">
      <c r="A806" s="803" t="s">
        <v>6617</v>
      </c>
      <c r="B806" s="803"/>
      <c r="C806" s="803"/>
      <c r="D806" s="803"/>
      <c r="E806" s="803"/>
      <c r="F806" s="803"/>
      <c r="G806" s="803" t="s">
        <v>3946</v>
      </c>
      <c r="H806" s="794"/>
      <c r="I806" s="794"/>
      <c r="J806" s="794"/>
      <c r="K806" s="794"/>
      <c r="L806" s="794"/>
      <c r="M806" s="794"/>
      <c r="N806" s="794"/>
      <c r="O806" s="794"/>
      <c r="P806" s="794"/>
      <c r="Q806" s="794"/>
      <c r="R806" s="794"/>
      <c r="S806" s="794"/>
      <c r="T806" s="794"/>
    </row>
    <row r="807" spans="1:20" ht="15" customHeight="1" x14ac:dyDescent="0.35">
      <c r="A807" s="794" t="s">
        <v>6618</v>
      </c>
      <c r="B807" s="794" t="s">
        <v>3857</v>
      </c>
      <c r="C807" s="812" t="s">
        <v>83</v>
      </c>
      <c r="D807" s="825"/>
      <c r="E807" s="825"/>
      <c r="F807" s="829">
        <v>0.3</v>
      </c>
      <c r="G807" s="814" t="s">
        <v>3858</v>
      </c>
      <c r="H807" s="813" t="s">
        <v>5977</v>
      </c>
      <c r="I807" s="813" t="s">
        <v>6515</v>
      </c>
      <c r="J807" s="813" t="s">
        <v>6002</v>
      </c>
      <c r="K807" s="813" t="s">
        <v>5968</v>
      </c>
      <c r="L807" s="813" t="s">
        <v>3863</v>
      </c>
      <c r="M807" s="813" t="s">
        <v>2897</v>
      </c>
      <c r="N807" s="813" t="s">
        <v>6619</v>
      </c>
      <c r="O807" s="813" t="s">
        <v>3883</v>
      </c>
      <c r="P807" s="813" t="s">
        <v>6620</v>
      </c>
      <c r="Q807" s="813" t="s">
        <v>6621</v>
      </c>
      <c r="R807" s="813">
        <v>1</v>
      </c>
      <c r="S807" s="813" t="s">
        <v>3928</v>
      </c>
      <c r="T807" s="813" t="s">
        <v>6420</v>
      </c>
    </row>
    <row r="808" spans="1:20" ht="21" customHeight="1" x14ac:dyDescent="0.35">
      <c r="A808" s="801" t="s">
        <v>6622</v>
      </c>
      <c r="B808" s="801" t="s">
        <v>6623</v>
      </c>
      <c r="C808" s="801"/>
      <c r="D808" s="801"/>
      <c r="E808" s="801"/>
      <c r="F808" s="801"/>
      <c r="G808" s="801" t="s">
        <v>3745</v>
      </c>
      <c r="H808" s="794"/>
      <c r="I808" s="794"/>
      <c r="J808" s="794"/>
      <c r="K808" s="794"/>
      <c r="L808" s="794"/>
      <c r="M808" s="794"/>
      <c r="N808" s="794"/>
      <c r="O808" s="794"/>
      <c r="P808" s="794"/>
      <c r="Q808" s="794"/>
      <c r="R808" s="794"/>
      <c r="S808" s="794"/>
      <c r="T808" s="794"/>
    </row>
    <row r="809" spans="1:20" ht="15" customHeight="1" x14ac:dyDescent="0.35">
      <c r="A809" s="802" t="s">
        <v>6624</v>
      </c>
      <c r="B809" s="802"/>
      <c r="C809" s="802"/>
      <c r="D809" s="802"/>
      <c r="E809" s="802"/>
      <c r="F809" s="802"/>
      <c r="G809" s="802" t="s">
        <v>6000</v>
      </c>
      <c r="H809" s="794"/>
      <c r="I809" s="794"/>
      <c r="J809" s="794"/>
      <c r="K809" s="794"/>
      <c r="L809" s="794"/>
      <c r="M809" s="794"/>
      <c r="N809" s="794"/>
      <c r="O809" s="794"/>
      <c r="P809" s="794"/>
      <c r="Q809" s="794"/>
      <c r="R809" s="794"/>
      <c r="S809" s="794"/>
      <c r="T809" s="794"/>
    </row>
    <row r="810" spans="1:20" ht="15" customHeight="1" x14ac:dyDescent="0.35">
      <c r="A810" s="803" t="s">
        <v>6625</v>
      </c>
      <c r="B810" s="803"/>
      <c r="C810" s="803"/>
      <c r="D810" s="803"/>
      <c r="E810" s="803"/>
      <c r="F810" s="803"/>
      <c r="G810" s="803" t="s">
        <v>3855</v>
      </c>
      <c r="H810" s="794"/>
      <c r="I810" s="794"/>
      <c r="J810" s="794"/>
      <c r="K810" s="794"/>
      <c r="L810" s="794"/>
      <c r="M810" s="794"/>
      <c r="N810" s="794"/>
      <c r="O810" s="794"/>
      <c r="P810" s="794"/>
      <c r="Q810" s="794"/>
      <c r="R810" s="794"/>
      <c r="S810" s="794"/>
      <c r="T810" s="794"/>
    </row>
    <row r="811" spans="1:20" ht="15" customHeight="1" x14ac:dyDescent="0.35">
      <c r="A811" s="794" t="s">
        <v>6626</v>
      </c>
      <c r="B811" s="794" t="s">
        <v>3857</v>
      </c>
      <c r="C811" s="812" t="s">
        <v>83</v>
      </c>
      <c r="D811" s="825"/>
      <c r="E811" s="825"/>
      <c r="F811" s="829">
        <v>6.5000000000000002E-2</v>
      </c>
      <c r="G811" s="814" t="s">
        <v>3858</v>
      </c>
      <c r="H811" s="813" t="s">
        <v>3859</v>
      </c>
      <c r="I811" s="813" t="s">
        <v>78</v>
      </c>
      <c r="J811" s="813" t="s">
        <v>6627</v>
      </c>
      <c r="K811" s="813" t="s">
        <v>3891</v>
      </c>
      <c r="L811" s="813" t="s">
        <v>3863</v>
      </c>
      <c r="M811" s="813" t="s">
        <v>307</v>
      </c>
      <c r="N811" s="813" t="s">
        <v>6628</v>
      </c>
      <c r="O811" s="813" t="s">
        <v>4045</v>
      </c>
      <c r="P811" s="813" t="s">
        <v>6629</v>
      </c>
      <c r="Q811" s="813" t="s">
        <v>6630</v>
      </c>
      <c r="R811" s="813">
        <v>1</v>
      </c>
      <c r="S811" s="813" t="s">
        <v>3896</v>
      </c>
      <c r="T811" s="813" t="s">
        <v>6631</v>
      </c>
    </row>
    <row r="812" spans="1:20" ht="15" customHeight="1" x14ac:dyDescent="0.35">
      <c r="A812" s="794" t="s">
        <v>753</v>
      </c>
      <c r="B812" s="794" t="s">
        <v>3857</v>
      </c>
      <c r="C812" s="812" t="s">
        <v>83</v>
      </c>
      <c r="D812" s="825"/>
      <c r="E812" s="825"/>
      <c r="F812" s="829">
        <v>0.08</v>
      </c>
      <c r="G812" s="814" t="s">
        <v>3858</v>
      </c>
      <c r="H812" s="813" t="s">
        <v>3859</v>
      </c>
      <c r="I812" s="813" t="s">
        <v>78</v>
      </c>
      <c r="J812" s="813" t="s">
        <v>6627</v>
      </c>
      <c r="K812" s="813" t="s">
        <v>3891</v>
      </c>
      <c r="L812" s="813" t="s">
        <v>3863</v>
      </c>
      <c r="M812" s="813" t="s">
        <v>307</v>
      </c>
      <c r="N812" s="813" t="s">
        <v>6632</v>
      </c>
      <c r="O812" s="813" t="s">
        <v>4045</v>
      </c>
      <c r="P812" s="813" t="s">
        <v>6633</v>
      </c>
      <c r="Q812" s="813" t="s">
        <v>6634</v>
      </c>
      <c r="R812" s="813">
        <v>1</v>
      </c>
      <c r="S812" s="813" t="s">
        <v>3896</v>
      </c>
      <c r="T812" s="813" t="s">
        <v>6631</v>
      </c>
    </row>
    <row r="813" spans="1:20" ht="15" customHeight="1" x14ac:dyDescent="0.35">
      <c r="A813" s="794" t="s">
        <v>6635</v>
      </c>
      <c r="B813" s="794" t="s">
        <v>3857</v>
      </c>
      <c r="C813" s="812" t="s">
        <v>83</v>
      </c>
      <c r="D813" s="825"/>
      <c r="E813" s="825"/>
      <c r="F813" s="829">
        <v>6.7500000000000004E-2</v>
      </c>
      <c r="G813" s="814" t="s">
        <v>3858</v>
      </c>
      <c r="H813" s="813" t="s">
        <v>3859</v>
      </c>
      <c r="I813" s="813" t="s">
        <v>78</v>
      </c>
      <c r="J813" s="813" t="s">
        <v>6627</v>
      </c>
      <c r="K813" s="813" t="s">
        <v>3891</v>
      </c>
      <c r="L813" s="813" t="s">
        <v>3863</v>
      </c>
      <c r="M813" s="813" t="s">
        <v>307</v>
      </c>
      <c r="N813" s="813" t="s">
        <v>6636</v>
      </c>
      <c r="O813" s="813" t="s">
        <v>4045</v>
      </c>
      <c r="P813" s="813" t="s">
        <v>6637</v>
      </c>
      <c r="Q813" s="813" t="s">
        <v>6638</v>
      </c>
      <c r="R813" s="813">
        <v>1</v>
      </c>
      <c r="S813" s="813" t="s">
        <v>3896</v>
      </c>
      <c r="T813" s="813" t="s">
        <v>6631</v>
      </c>
    </row>
    <row r="814" spans="1:20" ht="15" customHeight="1" x14ac:dyDescent="0.35">
      <c r="A814" s="803" t="s">
        <v>6639</v>
      </c>
      <c r="B814" s="803"/>
      <c r="C814" s="803"/>
      <c r="D814" s="803"/>
      <c r="E814" s="803"/>
      <c r="F814" s="803"/>
      <c r="G814" s="803" t="s">
        <v>3898</v>
      </c>
      <c r="H814" s="794"/>
      <c r="I814" s="794"/>
      <c r="J814" s="794"/>
      <c r="K814" s="794"/>
      <c r="L814" s="794"/>
      <c r="M814" s="794"/>
      <c r="N814" s="794"/>
      <c r="O814" s="794"/>
      <c r="P814" s="794"/>
      <c r="Q814" s="794"/>
      <c r="R814" s="794"/>
      <c r="S814" s="794"/>
      <c r="T814" s="794"/>
    </row>
    <row r="815" spans="1:20" ht="15" customHeight="1" x14ac:dyDescent="0.35">
      <c r="A815" s="794" t="s">
        <v>6640</v>
      </c>
      <c r="B815" s="794" t="s">
        <v>3857</v>
      </c>
      <c r="C815" s="812" t="s">
        <v>83</v>
      </c>
      <c r="D815" s="825"/>
      <c r="E815" s="825"/>
      <c r="F815" s="829">
        <v>8.5000000000000006E-2</v>
      </c>
      <c r="G815" s="814" t="s">
        <v>3858</v>
      </c>
      <c r="H815" s="813" t="s">
        <v>3859</v>
      </c>
      <c r="I815" s="813" t="s">
        <v>78</v>
      </c>
      <c r="J815" s="813" t="s">
        <v>6641</v>
      </c>
      <c r="K815" s="813" t="s">
        <v>3862</v>
      </c>
      <c r="L815" s="813" t="s">
        <v>3863</v>
      </c>
      <c r="M815" s="813" t="s">
        <v>1736</v>
      </c>
      <c r="N815" s="813" t="s">
        <v>6642</v>
      </c>
      <c r="O815" s="813" t="s">
        <v>3883</v>
      </c>
      <c r="P815" s="813" t="s">
        <v>6643</v>
      </c>
      <c r="Q815" s="813" t="s">
        <v>6644</v>
      </c>
      <c r="R815" s="813">
        <v>1</v>
      </c>
      <c r="S815" s="813" t="s">
        <v>3392</v>
      </c>
      <c r="T815" s="813" t="s">
        <v>6631</v>
      </c>
    </row>
    <row r="816" spans="1:20" ht="15" customHeight="1" x14ac:dyDescent="0.35">
      <c r="A816" s="794" t="s">
        <v>6645</v>
      </c>
      <c r="B816" s="794" t="s">
        <v>3857</v>
      </c>
      <c r="C816" s="812" t="s">
        <v>83</v>
      </c>
      <c r="D816" s="825"/>
      <c r="E816" s="825"/>
      <c r="F816" s="829">
        <v>6.25E-2</v>
      </c>
      <c r="G816" s="814" t="s">
        <v>3858</v>
      </c>
      <c r="H816" s="813" t="s">
        <v>3859</v>
      </c>
      <c r="I816" s="813" t="s">
        <v>78</v>
      </c>
      <c r="J816" s="813" t="s">
        <v>6641</v>
      </c>
      <c r="K816" s="813" t="s">
        <v>3862</v>
      </c>
      <c r="L816" s="813" t="s">
        <v>3863</v>
      </c>
      <c r="M816" s="813" t="s">
        <v>1736</v>
      </c>
      <c r="N816" s="813" t="s">
        <v>6646</v>
      </c>
      <c r="O816" s="813" t="s">
        <v>3883</v>
      </c>
      <c r="P816" s="813" t="s">
        <v>6647</v>
      </c>
      <c r="Q816" s="813" t="s">
        <v>6648</v>
      </c>
      <c r="R816" s="813">
        <v>1</v>
      </c>
      <c r="S816" s="813" t="s">
        <v>3392</v>
      </c>
      <c r="T816" s="813" t="s">
        <v>6631</v>
      </c>
    </row>
    <row r="817" spans="1:20" ht="15" customHeight="1" x14ac:dyDescent="0.35">
      <c r="A817" s="794" t="s">
        <v>6649</v>
      </c>
      <c r="B817" s="794" t="s">
        <v>3857</v>
      </c>
      <c r="C817" s="812" t="s">
        <v>83</v>
      </c>
      <c r="D817" s="825"/>
      <c r="E817" s="825"/>
      <c r="F817" s="829">
        <v>2.5000000000000001E-2</v>
      </c>
      <c r="G817" s="814" t="s">
        <v>3858</v>
      </c>
      <c r="H817" s="813" t="s">
        <v>3859</v>
      </c>
      <c r="I817" s="813" t="s">
        <v>78</v>
      </c>
      <c r="J817" s="813" t="s">
        <v>6641</v>
      </c>
      <c r="K817" s="813" t="s">
        <v>3862</v>
      </c>
      <c r="L817" s="813" t="s">
        <v>3863</v>
      </c>
      <c r="M817" s="813" t="s">
        <v>1736</v>
      </c>
      <c r="N817" s="813" t="s">
        <v>6650</v>
      </c>
      <c r="O817" s="813" t="s">
        <v>3883</v>
      </c>
      <c r="P817" s="813" t="s">
        <v>6651</v>
      </c>
      <c r="Q817" s="813" t="s">
        <v>6652</v>
      </c>
      <c r="R817" s="813">
        <v>1</v>
      </c>
      <c r="S817" s="813" t="s">
        <v>3392</v>
      </c>
      <c r="T817" s="813" t="s">
        <v>6631</v>
      </c>
    </row>
    <row r="818" spans="1:20" ht="15" customHeight="1" x14ac:dyDescent="0.35">
      <c r="A818" s="794" t="s">
        <v>6653</v>
      </c>
      <c r="B818" s="794" t="s">
        <v>3857</v>
      </c>
      <c r="C818" s="812" t="s">
        <v>3913</v>
      </c>
      <c r="D818" s="825"/>
      <c r="E818" s="825"/>
      <c r="F818" s="825">
        <v>0.02</v>
      </c>
      <c r="G818" s="814" t="s">
        <v>3858</v>
      </c>
      <c r="H818" s="813" t="s">
        <v>3859</v>
      </c>
      <c r="I818" s="813" t="s">
        <v>78</v>
      </c>
      <c r="J818" s="813" t="s">
        <v>6641</v>
      </c>
      <c r="K818" s="813" t="s">
        <v>3862</v>
      </c>
      <c r="L818" s="813" t="s">
        <v>3863</v>
      </c>
      <c r="M818" s="813" t="s">
        <v>1736</v>
      </c>
      <c r="N818" s="813" t="s">
        <v>6654</v>
      </c>
      <c r="O818" s="813" t="s">
        <v>3883</v>
      </c>
      <c r="P818" s="813" t="s">
        <v>6655</v>
      </c>
      <c r="Q818" s="813" t="s">
        <v>6656</v>
      </c>
      <c r="R818" s="813">
        <v>1</v>
      </c>
      <c r="S818" s="813" t="s">
        <v>3392</v>
      </c>
      <c r="T818" s="813" t="s">
        <v>6631</v>
      </c>
    </row>
    <row r="819" spans="1:20" ht="15" customHeight="1" x14ac:dyDescent="0.35">
      <c r="A819" s="803" t="s">
        <v>6657</v>
      </c>
      <c r="B819" s="803"/>
      <c r="C819" s="803"/>
      <c r="D819" s="803"/>
      <c r="E819" s="803"/>
      <c r="F819" s="803"/>
      <c r="G819" s="803" t="s">
        <v>3918</v>
      </c>
      <c r="H819" s="794"/>
      <c r="I819" s="794"/>
      <c r="J819" s="794"/>
      <c r="K819" s="794"/>
      <c r="L819" s="794"/>
      <c r="M819" s="794"/>
      <c r="N819" s="794"/>
      <c r="O819" s="794"/>
      <c r="P819" s="794"/>
      <c r="Q819" s="794"/>
      <c r="R819" s="794"/>
      <c r="S819" s="794"/>
      <c r="T819" s="794"/>
    </row>
    <row r="820" spans="1:20" ht="15" customHeight="1" x14ac:dyDescent="0.35">
      <c r="A820" s="794" t="s">
        <v>6658</v>
      </c>
      <c r="B820" s="794" t="s">
        <v>830</v>
      </c>
      <c r="C820" s="812" t="s">
        <v>83</v>
      </c>
      <c r="D820" s="825"/>
      <c r="E820" s="825"/>
      <c r="F820" s="829">
        <v>6.25E-2</v>
      </c>
      <c r="G820" s="814" t="s">
        <v>3858</v>
      </c>
      <c r="H820" s="813" t="s">
        <v>3859</v>
      </c>
      <c r="I820" s="813" t="s">
        <v>78</v>
      </c>
      <c r="J820" s="813" t="s">
        <v>6659</v>
      </c>
      <c r="K820" s="813" t="s">
        <v>3862</v>
      </c>
      <c r="L820" s="813" t="s">
        <v>3863</v>
      </c>
      <c r="M820" s="813" t="s">
        <v>1736</v>
      </c>
      <c r="N820" s="813" t="s">
        <v>6660</v>
      </c>
      <c r="O820" s="813" t="s">
        <v>3883</v>
      </c>
      <c r="P820" s="813" t="s">
        <v>6661</v>
      </c>
      <c r="Q820" s="813" t="s">
        <v>6662</v>
      </c>
      <c r="R820" s="813">
        <v>1</v>
      </c>
      <c r="S820" s="813" t="s">
        <v>4010</v>
      </c>
      <c r="T820" s="813" t="s">
        <v>6631</v>
      </c>
    </row>
    <row r="821" spans="1:20" ht="15" customHeight="1" x14ac:dyDescent="0.35">
      <c r="A821" s="794" t="s">
        <v>6663</v>
      </c>
      <c r="B821" s="794" t="s">
        <v>826</v>
      </c>
      <c r="C821" s="812" t="s">
        <v>83</v>
      </c>
      <c r="D821" s="825"/>
      <c r="E821" s="825"/>
      <c r="F821" s="829">
        <v>6.7500000000000004E-2</v>
      </c>
      <c r="G821" s="814" t="s">
        <v>3858</v>
      </c>
      <c r="H821" s="813" t="s">
        <v>3859</v>
      </c>
      <c r="I821" s="813" t="s">
        <v>78</v>
      </c>
      <c r="J821" s="813" t="s">
        <v>6659</v>
      </c>
      <c r="K821" s="813" t="s">
        <v>3862</v>
      </c>
      <c r="L821" s="813" t="s">
        <v>3863</v>
      </c>
      <c r="M821" s="813" t="s">
        <v>1736</v>
      </c>
      <c r="N821" s="813" t="s">
        <v>6664</v>
      </c>
      <c r="O821" s="813" t="s">
        <v>3883</v>
      </c>
      <c r="P821" s="813" t="s">
        <v>6665</v>
      </c>
      <c r="Q821" s="813" t="s">
        <v>6666</v>
      </c>
      <c r="R821" s="813">
        <v>1</v>
      </c>
      <c r="S821" s="813" t="s">
        <v>4010</v>
      </c>
      <c r="T821" s="813" t="s">
        <v>6631</v>
      </c>
    </row>
    <row r="822" spans="1:20" ht="15" customHeight="1" x14ac:dyDescent="0.35">
      <c r="A822" s="794" t="s">
        <v>6667</v>
      </c>
      <c r="B822" s="794" t="s">
        <v>834</v>
      </c>
      <c r="C822" s="812" t="s">
        <v>83</v>
      </c>
      <c r="D822" s="825"/>
      <c r="E822" s="825"/>
      <c r="F822" s="829">
        <v>5.7500000000000002E-2</v>
      </c>
      <c r="G822" s="814" t="s">
        <v>3858</v>
      </c>
      <c r="H822" s="813" t="s">
        <v>3859</v>
      </c>
      <c r="I822" s="813" t="s">
        <v>78</v>
      </c>
      <c r="J822" s="813" t="s">
        <v>6659</v>
      </c>
      <c r="K822" s="813" t="s">
        <v>3862</v>
      </c>
      <c r="L822" s="813" t="s">
        <v>3863</v>
      </c>
      <c r="M822" s="813" t="s">
        <v>1736</v>
      </c>
      <c r="N822" s="813" t="s">
        <v>6668</v>
      </c>
      <c r="O822" s="813" t="s">
        <v>3883</v>
      </c>
      <c r="P822" s="813" t="s">
        <v>6669</v>
      </c>
      <c r="Q822" s="813" t="s">
        <v>6670</v>
      </c>
      <c r="R822" s="813">
        <v>1</v>
      </c>
      <c r="S822" s="813" t="s">
        <v>4010</v>
      </c>
      <c r="T822" s="813" t="s">
        <v>6631</v>
      </c>
    </row>
    <row r="823" spans="1:20" ht="15" customHeight="1" x14ac:dyDescent="0.35">
      <c r="A823" s="794" t="s">
        <v>6671</v>
      </c>
      <c r="B823" s="794" t="s">
        <v>826</v>
      </c>
      <c r="C823" s="812" t="s">
        <v>83</v>
      </c>
      <c r="D823" s="825"/>
      <c r="E823" s="825"/>
      <c r="F823" s="829">
        <v>3.5000000000000003E-2</v>
      </c>
      <c r="G823" s="814" t="s">
        <v>3858</v>
      </c>
      <c r="H823" s="813" t="s">
        <v>3859</v>
      </c>
      <c r="I823" s="813" t="s">
        <v>78</v>
      </c>
      <c r="J823" s="813" t="s">
        <v>6659</v>
      </c>
      <c r="K823" s="813" t="s">
        <v>3891</v>
      </c>
      <c r="L823" s="813" t="s">
        <v>3863</v>
      </c>
      <c r="M823" s="813" t="s">
        <v>307</v>
      </c>
      <c r="N823" s="813" t="s">
        <v>6672</v>
      </c>
      <c r="O823" s="813" t="s">
        <v>4045</v>
      </c>
      <c r="P823" s="813" t="s">
        <v>6673</v>
      </c>
      <c r="Q823" s="813" t="s">
        <v>6674</v>
      </c>
      <c r="R823" s="813">
        <v>1</v>
      </c>
      <c r="S823" s="813" t="s">
        <v>4010</v>
      </c>
      <c r="T823" s="813" t="s">
        <v>6631</v>
      </c>
    </row>
    <row r="824" spans="1:20" ht="15" customHeight="1" x14ac:dyDescent="0.35">
      <c r="A824" s="794" t="s">
        <v>6675</v>
      </c>
      <c r="B824" s="794" t="s">
        <v>830</v>
      </c>
      <c r="C824" s="812" t="s">
        <v>83</v>
      </c>
      <c r="D824" s="825"/>
      <c r="E824" s="825"/>
      <c r="F824" s="829">
        <v>4.4999999999999998E-2</v>
      </c>
      <c r="G824" s="814" t="s">
        <v>3858</v>
      </c>
      <c r="H824" s="813" t="s">
        <v>3859</v>
      </c>
      <c r="I824" s="813" t="s">
        <v>78</v>
      </c>
      <c r="J824" s="813" t="s">
        <v>6659</v>
      </c>
      <c r="K824" s="813" t="s">
        <v>3891</v>
      </c>
      <c r="L824" s="813" t="s">
        <v>3863</v>
      </c>
      <c r="M824" s="813" t="s">
        <v>307</v>
      </c>
      <c r="N824" s="813" t="s">
        <v>6676</v>
      </c>
      <c r="O824" s="813" t="s">
        <v>4045</v>
      </c>
      <c r="P824" s="813" t="s">
        <v>6677</v>
      </c>
      <c r="Q824" s="813" t="s">
        <v>6678</v>
      </c>
      <c r="R824" s="813">
        <v>1</v>
      </c>
      <c r="S824" s="813" t="s">
        <v>4010</v>
      </c>
      <c r="T824" s="813" t="s">
        <v>6631</v>
      </c>
    </row>
    <row r="825" spans="1:20" ht="15" customHeight="1" x14ac:dyDescent="0.35">
      <c r="A825" s="794" t="s">
        <v>6679</v>
      </c>
      <c r="B825" s="794" t="s">
        <v>834</v>
      </c>
      <c r="C825" s="812" t="s">
        <v>83</v>
      </c>
      <c r="D825" s="825"/>
      <c r="E825" s="825"/>
      <c r="F825" s="829">
        <v>5.5E-2</v>
      </c>
      <c r="G825" s="814" t="s">
        <v>3858</v>
      </c>
      <c r="H825" s="813" t="s">
        <v>3859</v>
      </c>
      <c r="I825" s="813" t="s">
        <v>78</v>
      </c>
      <c r="J825" s="813" t="s">
        <v>6659</v>
      </c>
      <c r="K825" s="813" t="s">
        <v>3891</v>
      </c>
      <c r="L825" s="813" t="s">
        <v>3863</v>
      </c>
      <c r="M825" s="813" t="s">
        <v>307</v>
      </c>
      <c r="N825" s="813" t="s">
        <v>6680</v>
      </c>
      <c r="O825" s="813" t="s">
        <v>4045</v>
      </c>
      <c r="P825" s="813" t="s">
        <v>6681</v>
      </c>
      <c r="Q825" s="813" t="s">
        <v>6682</v>
      </c>
      <c r="R825" s="813">
        <v>1</v>
      </c>
      <c r="S825" s="813" t="s">
        <v>4010</v>
      </c>
      <c r="T825" s="813" t="s">
        <v>6631</v>
      </c>
    </row>
    <row r="826" spans="1:20" ht="15" customHeight="1" x14ac:dyDescent="0.35">
      <c r="A826" s="802" t="s">
        <v>6683</v>
      </c>
      <c r="B826" s="802"/>
      <c r="C826" s="802"/>
      <c r="D826" s="802"/>
      <c r="E826" s="802"/>
      <c r="F826" s="802"/>
      <c r="G826" s="802" t="s">
        <v>6000</v>
      </c>
      <c r="H826" s="794"/>
      <c r="I826" s="794"/>
      <c r="J826" s="794"/>
      <c r="K826" s="794"/>
      <c r="L826" s="794"/>
      <c r="M826" s="794"/>
      <c r="N826" s="794"/>
      <c r="O826" s="794"/>
      <c r="P826" s="794"/>
      <c r="Q826" s="794"/>
      <c r="R826" s="794"/>
      <c r="S826" s="794"/>
      <c r="T826" s="794"/>
    </row>
    <row r="827" spans="1:20" ht="15" customHeight="1" x14ac:dyDescent="0.35">
      <c r="A827" s="803" t="s">
        <v>6684</v>
      </c>
      <c r="B827" s="803"/>
      <c r="C827" s="803"/>
      <c r="D827" s="803"/>
      <c r="E827" s="803"/>
      <c r="F827" s="803"/>
      <c r="G827" s="803" t="s">
        <v>6071</v>
      </c>
      <c r="H827" s="794"/>
      <c r="I827" s="794"/>
      <c r="J827" s="794"/>
      <c r="K827" s="794"/>
      <c r="L827" s="794"/>
      <c r="M827" s="794"/>
      <c r="N827" s="794"/>
      <c r="O827" s="794"/>
      <c r="P827" s="794"/>
      <c r="Q827" s="794"/>
      <c r="R827" s="794"/>
      <c r="S827" s="794"/>
      <c r="T827" s="794"/>
    </row>
    <row r="828" spans="1:20" ht="15" customHeight="1" x14ac:dyDescent="0.35">
      <c r="A828" s="794" t="s">
        <v>6685</v>
      </c>
      <c r="B828" s="794" t="s">
        <v>3857</v>
      </c>
      <c r="C828" s="812" t="s">
        <v>3913</v>
      </c>
      <c r="D828" s="825">
        <v>7371.2</v>
      </c>
      <c r="E828" s="825"/>
      <c r="F828" s="826"/>
      <c r="G828" s="814" t="s">
        <v>3858</v>
      </c>
      <c r="H828" s="813" t="s">
        <v>5246</v>
      </c>
      <c r="I828" s="813" t="s">
        <v>6686</v>
      </c>
      <c r="J828" s="813" t="s">
        <v>6687</v>
      </c>
      <c r="K828" s="813" t="s">
        <v>3187</v>
      </c>
      <c r="L828" s="813" t="s">
        <v>3863</v>
      </c>
      <c r="M828" s="813" t="s">
        <v>3187</v>
      </c>
      <c r="N828" s="813" t="s">
        <v>6688</v>
      </c>
      <c r="O828" s="813" t="s">
        <v>3883</v>
      </c>
      <c r="P828" s="813" t="s">
        <v>6689</v>
      </c>
      <c r="Q828" s="813" t="s">
        <v>6690</v>
      </c>
      <c r="R828" s="813">
        <v>1</v>
      </c>
      <c r="S828" s="813" t="s">
        <v>3928</v>
      </c>
      <c r="T828" s="813" t="s">
        <v>6631</v>
      </c>
    </row>
    <row r="829" spans="1:20" ht="15" customHeight="1" x14ac:dyDescent="0.35">
      <c r="A829" s="794" t="s">
        <v>6691</v>
      </c>
      <c r="B829" s="794" t="s">
        <v>3857</v>
      </c>
      <c r="C829" s="812" t="s">
        <v>3913</v>
      </c>
      <c r="D829" s="825">
        <v>9339.4</v>
      </c>
      <c r="E829" s="825"/>
      <c r="F829" s="826"/>
      <c r="G829" s="814" t="s">
        <v>3858</v>
      </c>
      <c r="H829" s="813" t="s">
        <v>5246</v>
      </c>
      <c r="I829" s="813" t="s">
        <v>6686</v>
      </c>
      <c r="J829" s="813" t="s">
        <v>6687</v>
      </c>
      <c r="K829" s="813" t="s">
        <v>3187</v>
      </c>
      <c r="L829" s="813" t="s">
        <v>3863</v>
      </c>
      <c r="M829" s="813" t="s">
        <v>3187</v>
      </c>
      <c r="N829" s="813" t="s">
        <v>6692</v>
      </c>
      <c r="O829" s="813" t="s">
        <v>3883</v>
      </c>
      <c r="P829" s="813" t="s">
        <v>6693</v>
      </c>
      <c r="Q829" s="813" t="s">
        <v>6694</v>
      </c>
      <c r="R829" s="813">
        <v>1</v>
      </c>
      <c r="S829" s="813" t="s">
        <v>3928</v>
      </c>
      <c r="T829" s="813" t="s">
        <v>6631</v>
      </c>
    </row>
    <row r="830" spans="1:20" ht="15" customHeight="1" x14ac:dyDescent="0.35">
      <c r="A830" s="794" t="s">
        <v>6695</v>
      </c>
      <c r="B830" s="794" t="s">
        <v>3857</v>
      </c>
      <c r="C830" s="812" t="s">
        <v>3913</v>
      </c>
      <c r="D830" s="825">
        <v>9851.6</v>
      </c>
      <c r="E830" s="825"/>
      <c r="F830" s="826"/>
      <c r="G830" s="814" t="s">
        <v>3858</v>
      </c>
      <c r="H830" s="813" t="s">
        <v>5246</v>
      </c>
      <c r="I830" s="813" t="s">
        <v>6686</v>
      </c>
      <c r="J830" s="813" t="s">
        <v>6687</v>
      </c>
      <c r="K830" s="813" t="s">
        <v>3187</v>
      </c>
      <c r="L830" s="813" t="s">
        <v>3863</v>
      </c>
      <c r="M830" s="813" t="s">
        <v>3187</v>
      </c>
      <c r="N830" s="813" t="s">
        <v>6696</v>
      </c>
      <c r="O830" s="813" t="s">
        <v>3883</v>
      </c>
      <c r="P830" s="813" t="s">
        <v>6697</v>
      </c>
      <c r="Q830" s="813" t="s">
        <v>6698</v>
      </c>
      <c r="R830" s="813">
        <v>1</v>
      </c>
      <c r="S830" s="813" t="s">
        <v>3928</v>
      </c>
      <c r="T830" s="813" t="s">
        <v>6631</v>
      </c>
    </row>
    <row r="831" spans="1:20" ht="15" customHeight="1" x14ac:dyDescent="0.35">
      <c r="A831" s="794" t="s">
        <v>6699</v>
      </c>
      <c r="B831" s="794" t="s">
        <v>3857</v>
      </c>
      <c r="C831" s="812" t="s">
        <v>3913</v>
      </c>
      <c r="D831" s="825">
        <v>10319.299999999999</v>
      </c>
      <c r="E831" s="825"/>
      <c r="F831" s="826"/>
      <c r="G831" s="814" t="s">
        <v>3858</v>
      </c>
      <c r="H831" s="813" t="s">
        <v>5246</v>
      </c>
      <c r="I831" s="813" t="s">
        <v>6686</v>
      </c>
      <c r="J831" s="813" t="s">
        <v>6687</v>
      </c>
      <c r="K831" s="813" t="s">
        <v>3187</v>
      </c>
      <c r="L831" s="813" t="s">
        <v>3863</v>
      </c>
      <c r="M831" s="813" t="s">
        <v>3187</v>
      </c>
      <c r="N831" s="813" t="s">
        <v>6700</v>
      </c>
      <c r="O831" s="813" t="s">
        <v>3883</v>
      </c>
      <c r="P831" s="813" t="s">
        <v>6701</v>
      </c>
      <c r="Q831" s="813" t="s">
        <v>6702</v>
      </c>
      <c r="R831" s="813">
        <v>1</v>
      </c>
      <c r="S831" s="813" t="s">
        <v>3928</v>
      </c>
      <c r="T831" s="813" t="s">
        <v>6631</v>
      </c>
    </row>
    <row r="832" spans="1:20" ht="15" customHeight="1" x14ac:dyDescent="0.35">
      <c r="A832" s="794" t="s">
        <v>6703</v>
      </c>
      <c r="B832" s="794" t="s">
        <v>3857</v>
      </c>
      <c r="C832" s="812" t="s">
        <v>3913</v>
      </c>
      <c r="D832" s="825">
        <v>10802.6</v>
      </c>
      <c r="E832" s="825"/>
      <c r="F832" s="826"/>
      <c r="G832" s="814" t="s">
        <v>3858</v>
      </c>
      <c r="H832" s="813" t="s">
        <v>5246</v>
      </c>
      <c r="I832" s="813" t="s">
        <v>6686</v>
      </c>
      <c r="J832" s="813" t="s">
        <v>6687</v>
      </c>
      <c r="K832" s="813" t="s">
        <v>3187</v>
      </c>
      <c r="L832" s="813" t="s">
        <v>3863</v>
      </c>
      <c r="M832" s="813" t="s">
        <v>3187</v>
      </c>
      <c r="N832" s="813" t="s">
        <v>6704</v>
      </c>
      <c r="O832" s="813" t="s">
        <v>3883</v>
      </c>
      <c r="P832" s="813" t="s">
        <v>6705</v>
      </c>
      <c r="Q832" s="813" t="s">
        <v>6706</v>
      </c>
      <c r="R832" s="813">
        <v>1</v>
      </c>
      <c r="S832" s="813" t="s">
        <v>3928</v>
      </c>
      <c r="T832" s="813" t="s">
        <v>6631</v>
      </c>
    </row>
    <row r="833" spans="1:20" ht="15" customHeight="1" x14ac:dyDescent="0.35">
      <c r="A833" s="794" t="s">
        <v>6707</v>
      </c>
      <c r="B833" s="794" t="s">
        <v>3857</v>
      </c>
      <c r="C833" s="812" t="s">
        <v>3913</v>
      </c>
      <c r="D833" s="825">
        <v>11302.5</v>
      </c>
      <c r="E833" s="825"/>
      <c r="F833" s="826"/>
      <c r="G833" s="814" t="s">
        <v>3858</v>
      </c>
      <c r="H833" s="813" t="s">
        <v>5246</v>
      </c>
      <c r="I833" s="813" t="s">
        <v>6686</v>
      </c>
      <c r="J833" s="813" t="s">
        <v>6687</v>
      </c>
      <c r="K833" s="813" t="s">
        <v>3187</v>
      </c>
      <c r="L833" s="813" t="s">
        <v>3863</v>
      </c>
      <c r="M833" s="813" t="s">
        <v>3187</v>
      </c>
      <c r="N833" s="813" t="s">
        <v>6708</v>
      </c>
      <c r="O833" s="813" t="s">
        <v>3883</v>
      </c>
      <c r="P833" s="813" t="s">
        <v>6709</v>
      </c>
      <c r="Q833" s="813" t="s">
        <v>6710</v>
      </c>
      <c r="R833" s="813">
        <v>1</v>
      </c>
      <c r="S833" s="813" t="s">
        <v>3928</v>
      </c>
      <c r="T833" s="813" t="s">
        <v>6631</v>
      </c>
    </row>
    <row r="834" spans="1:20" ht="15" customHeight="1" x14ac:dyDescent="0.35">
      <c r="A834" s="794" t="s">
        <v>6711</v>
      </c>
      <c r="B834" s="794" t="s">
        <v>3857</v>
      </c>
      <c r="C834" s="812" t="s">
        <v>3913</v>
      </c>
      <c r="D834" s="825">
        <v>11822.5</v>
      </c>
      <c r="E834" s="825"/>
      <c r="F834" s="826"/>
      <c r="G834" s="814" t="s">
        <v>3858</v>
      </c>
      <c r="H834" s="813" t="s">
        <v>5246</v>
      </c>
      <c r="I834" s="813" t="s">
        <v>6686</v>
      </c>
      <c r="J834" s="813" t="s">
        <v>6687</v>
      </c>
      <c r="K834" s="813" t="s">
        <v>3187</v>
      </c>
      <c r="L834" s="813" t="s">
        <v>3863</v>
      </c>
      <c r="M834" s="813" t="s">
        <v>3187</v>
      </c>
      <c r="N834" s="813" t="s">
        <v>6712</v>
      </c>
      <c r="O834" s="813" t="s">
        <v>3883</v>
      </c>
      <c r="P834" s="813" t="s">
        <v>6713</v>
      </c>
      <c r="Q834" s="813" t="s">
        <v>6714</v>
      </c>
      <c r="R834" s="813">
        <v>1</v>
      </c>
      <c r="S834" s="813" t="s">
        <v>3928</v>
      </c>
      <c r="T834" s="813" t="s">
        <v>6631</v>
      </c>
    </row>
    <row r="835" spans="1:20" ht="15" customHeight="1" x14ac:dyDescent="0.35">
      <c r="A835" s="794" t="s">
        <v>6715</v>
      </c>
      <c r="B835" s="794" t="s">
        <v>3857</v>
      </c>
      <c r="C835" s="812" t="s">
        <v>3913</v>
      </c>
      <c r="D835" s="825">
        <v>12354.5</v>
      </c>
      <c r="E835" s="825"/>
      <c r="F835" s="826"/>
      <c r="G835" s="814" t="s">
        <v>3858</v>
      </c>
      <c r="H835" s="813" t="s">
        <v>5246</v>
      </c>
      <c r="I835" s="813" t="s">
        <v>6686</v>
      </c>
      <c r="J835" s="813" t="s">
        <v>6687</v>
      </c>
      <c r="K835" s="813" t="s">
        <v>3187</v>
      </c>
      <c r="L835" s="813" t="s">
        <v>3863</v>
      </c>
      <c r="M835" s="813" t="s">
        <v>3187</v>
      </c>
      <c r="N835" s="813" t="s">
        <v>6716</v>
      </c>
      <c r="O835" s="813" t="s">
        <v>3883</v>
      </c>
      <c r="P835" s="813" t="s">
        <v>6717</v>
      </c>
      <c r="Q835" s="813" t="s">
        <v>6718</v>
      </c>
      <c r="R835" s="813">
        <v>1</v>
      </c>
      <c r="S835" s="813" t="s">
        <v>3928</v>
      </c>
      <c r="T835" s="813" t="s">
        <v>6631</v>
      </c>
    </row>
    <row r="836" spans="1:20" ht="15" customHeight="1" x14ac:dyDescent="0.35">
      <c r="A836" s="794" t="s">
        <v>6719</v>
      </c>
      <c r="B836" s="794" t="s">
        <v>3857</v>
      </c>
      <c r="C836" s="812" t="s">
        <v>3913</v>
      </c>
      <c r="D836" s="825">
        <v>12908.7</v>
      </c>
      <c r="E836" s="825"/>
      <c r="F836" s="826"/>
      <c r="G836" s="814" t="s">
        <v>3858</v>
      </c>
      <c r="H836" s="813" t="s">
        <v>5246</v>
      </c>
      <c r="I836" s="813" t="s">
        <v>6686</v>
      </c>
      <c r="J836" s="813" t="s">
        <v>6687</v>
      </c>
      <c r="K836" s="813" t="s">
        <v>3187</v>
      </c>
      <c r="L836" s="813" t="s">
        <v>3863</v>
      </c>
      <c r="M836" s="813" t="s">
        <v>3187</v>
      </c>
      <c r="N836" s="813" t="s">
        <v>6720</v>
      </c>
      <c r="O836" s="813" t="s">
        <v>3883</v>
      </c>
      <c r="P836" s="813" t="s">
        <v>6721</v>
      </c>
      <c r="Q836" s="813" t="s">
        <v>6722</v>
      </c>
      <c r="R836" s="813">
        <v>1</v>
      </c>
      <c r="S836" s="813" t="s">
        <v>3928</v>
      </c>
      <c r="T836" s="813" t="s">
        <v>6631</v>
      </c>
    </row>
    <row r="837" spans="1:20" ht="15" customHeight="1" x14ac:dyDescent="0.35">
      <c r="A837" s="803" t="s">
        <v>6723</v>
      </c>
      <c r="B837" s="803"/>
      <c r="C837" s="803"/>
      <c r="D837" s="803"/>
      <c r="E837" s="803"/>
      <c r="F837" s="803"/>
      <c r="G837" s="803" t="s">
        <v>3898</v>
      </c>
      <c r="H837" s="794"/>
      <c r="I837" s="794"/>
      <c r="J837" s="794"/>
      <c r="K837" s="794"/>
      <c r="L837" s="794"/>
      <c r="M837" s="794"/>
      <c r="N837" s="794"/>
      <c r="O837" s="794"/>
      <c r="P837" s="794"/>
      <c r="Q837" s="794"/>
      <c r="R837" s="794"/>
      <c r="S837" s="794"/>
      <c r="T837" s="794"/>
    </row>
    <row r="838" spans="1:20" ht="15" customHeight="1" x14ac:dyDescent="0.35">
      <c r="A838" s="794" t="s">
        <v>6724</v>
      </c>
      <c r="B838" s="794" t="s">
        <v>3857</v>
      </c>
      <c r="C838" s="812" t="s">
        <v>5237</v>
      </c>
      <c r="D838" s="825">
        <v>17336300</v>
      </c>
      <c r="E838" s="825"/>
      <c r="F838" s="826"/>
      <c r="G838" s="814" t="s">
        <v>3858</v>
      </c>
      <c r="H838" s="813" t="s">
        <v>5246</v>
      </c>
      <c r="I838" s="813" t="s">
        <v>78</v>
      </c>
      <c r="J838" s="813" t="s">
        <v>6612</v>
      </c>
      <c r="K838" s="813" t="s">
        <v>3187</v>
      </c>
      <c r="L838" s="813" t="s">
        <v>3863</v>
      </c>
      <c r="M838" s="813" t="s">
        <v>3187</v>
      </c>
      <c r="N838" s="813" t="s">
        <v>6725</v>
      </c>
      <c r="O838" s="813" t="s">
        <v>3883</v>
      </c>
      <c r="P838" s="813" t="s">
        <v>6726</v>
      </c>
      <c r="Q838" s="813" t="s">
        <v>6727</v>
      </c>
      <c r="R838" s="813">
        <v>1</v>
      </c>
      <c r="S838" s="813" t="s">
        <v>3928</v>
      </c>
      <c r="T838" s="813" t="s">
        <v>6631</v>
      </c>
    </row>
    <row r="839" spans="1:20" ht="15" customHeight="1" x14ac:dyDescent="0.35">
      <c r="A839" s="794" t="s">
        <v>6728</v>
      </c>
      <c r="B839" s="794" t="s">
        <v>3857</v>
      </c>
      <c r="C839" s="812" t="s">
        <v>83</v>
      </c>
      <c r="D839" s="825"/>
      <c r="E839" s="825"/>
      <c r="F839" s="829">
        <v>5.2499999999999998E-2</v>
      </c>
      <c r="G839" s="814" t="s">
        <v>3858</v>
      </c>
      <c r="H839" s="813" t="s">
        <v>5246</v>
      </c>
      <c r="I839" s="813" t="s">
        <v>78</v>
      </c>
      <c r="J839" s="813" t="s">
        <v>6612</v>
      </c>
      <c r="K839" s="813" t="s">
        <v>3187</v>
      </c>
      <c r="L839" s="813" t="s">
        <v>3863</v>
      </c>
      <c r="M839" s="813" t="s">
        <v>3187</v>
      </c>
      <c r="N839" s="813" t="s">
        <v>6729</v>
      </c>
      <c r="O839" s="813" t="s">
        <v>3883</v>
      </c>
      <c r="P839" s="813" t="s">
        <v>6730</v>
      </c>
      <c r="Q839" s="813" t="s">
        <v>6731</v>
      </c>
      <c r="R839" s="813">
        <v>1</v>
      </c>
      <c r="S839" s="813" t="s">
        <v>3928</v>
      </c>
      <c r="T839" s="813" t="s">
        <v>6631</v>
      </c>
    </row>
    <row r="840" spans="1:20" ht="15" customHeight="1" x14ac:dyDescent="0.35">
      <c r="A840" s="794" t="s">
        <v>6732</v>
      </c>
      <c r="B840" s="794" t="s">
        <v>3857</v>
      </c>
      <c r="C840" s="812" t="s">
        <v>5237</v>
      </c>
      <c r="D840" s="825">
        <v>330215238</v>
      </c>
      <c r="E840" s="825"/>
      <c r="F840" s="826"/>
      <c r="G840" s="814" t="s">
        <v>3858</v>
      </c>
      <c r="H840" s="813" t="s">
        <v>5246</v>
      </c>
      <c r="I840" s="813" t="s">
        <v>78</v>
      </c>
      <c r="J840" s="813" t="s">
        <v>6612</v>
      </c>
      <c r="K840" s="813" t="s">
        <v>3187</v>
      </c>
      <c r="L840" s="813" t="s">
        <v>3863</v>
      </c>
      <c r="M840" s="813" t="s">
        <v>3187</v>
      </c>
      <c r="N840" s="813" t="s">
        <v>6733</v>
      </c>
      <c r="O840" s="813" t="s">
        <v>3883</v>
      </c>
      <c r="P840" s="813" t="s">
        <v>6734</v>
      </c>
      <c r="Q840" s="813" t="s">
        <v>6735</v>
      </c>
      <c r="R840" s="813">
        <v>1</v>
      </c>
      <c r="S840" s="813" t="s">
        <v>3928</v>
      </c>
      <c r="T840" s="813" t="s">
        <v>6631</v>
      </c>
    </row>
    <row r="841" spans="1:20" ht="15" customHeight="1" x14ac:dyDescent="0.35">
      <c r="A841" s="794" t="s">
        <v>6736</v>
      </c>
      <c r="B841" s="794" t="s">
        <v>3857</v>
      </c>
      <c r="C841" s="812" t="s">
        <v>5237</v>
      </c>
      <c r="D841" s="825">
        <v>273115238</v>
      </c>
      <c r="E841" s="825"/>
      <c r="F841" s="826"/>
      <c r="G841" s="814" t="s">
        <v>3858</v>
      </c>
      <c r="H841" s="813" t="s">
        <v>5246</v>
      </c>
      <c r="I841" s="813" t="s">
        <v>6686</v>
      </c>
      <c r="J841" s="813" t="s">
        <v>6612</v>
      </c>
      <c r="K841" s="813" t="s">
        <v>3187</v>
      </c>
      <c r="L841" s="813" t="s">
        <v>3863</v>
      </c>
      <c r="M841" s="813" t="s">
        <v>3187</v>
      </c>
      <c r="N841" s="813" t="s">
        <v>6737</v>
      </c>
      <c r="O841" s="813" t="s">
        <v>3883</v>
      </c>
      <c r="P841" s="813" t="s">
        <v>6738</v>
      </c>
      <c r="Q841" s="813" t="s">
        <v>6739</v>
      </c>
      <c r="R841" s="813">
        <v>1</v>
      </c>
      <c r="S841" s="813" t="s">
        <v>3928</v>
      </c>
      <c r="T841" s="813" t="s">
        <v>6631</v>
      </c>
    </row>
    <row r="842" spans="1:20" ht="15" customHeight="1" x14ac:dyDescent="0.35">
      <c r="A842" s="802" t="s">
        <v>6740</v>
      </c>
      <c r="B842" s="802"/>
      <c r="C842" s="802"/>
      <c r="D842" s="802"/>
      <c r="E842" s="802"/>
      <c r="F842" s="802"/>
      <c r="G842" s="802" t="s">
        <v>3853</v>
      </c>
      <c r="H842" s="794"/>
      <c r="I842" s="794"/>
      <c r="J842" s="794"/>
      <c r="K842" s="794"/>
      <c r="L842" s="794"/>
      <c r="M842" s="794"/>
      <c r="N842" s="794"/>
      <c r="O842" s="794"/>
      <c r="P842" s="794"/>
      <c r="Q842" s="794"/>
      <c r="R842" s="794"/>
      <c r="S842" s="794"/>
      <c r="T842" s="794"/>
    </row>
    <row r="843" spans="1:20" ht="15" customHeight="1" x14ac:dyDescent="0.35">
      <c r="A843" s="803" t="s">
        <v>6741</v>
      </c>
      <c r="B843" s="803"/>
      <c r="C843" s="803"/>
      <c r="D843" s="803"/>
      <c r="E843" s="803"/>
      <c r="F843" s="803"/>
      <c r="G843" s="803" t="s">
        <v>3853</v>
      </c>
      <c r="H843" s="794"/>
      <c r="I843" s="794"/>
      <c r="J843" s="794"/>
      <c r="K843" s="794"/>
      <c r="L843" s="794"/>
      <c r="M843" s="794"/>
      <c r="N843" s="794"/>
      <c r="O843" s="794"/>
      <c r="P843" s="794"/>
      <c r="Q843" s="794"/>
      <c r="R843" s="794"/>
      <c r="S843" s="794"/>
      <c r="T843" s="794"/>
    </row>
    <row r="844" spans="1:20" ht="15" customHeight="1" x14ac:dyDescent="0.35">
      <c r="A844" s="794" t="s">
        <v>6742</v>
      </c>
      <c r="B844" s="794" t="s">
        <v>3857</v>
      </c>
      <c r="C844" s="812" t="s">
        <v>3880</v>
      </c>
      <c r="D844" s="825"/>
      <c r="E844" s="825"/>
      <c r="F844" s="825">
        <v>2000</v>
      </c>
      <c r="G844" s="814" t="s">
        <v>3858</v>
      </c>
      <c r="H844" s="813" t="s">
        <v>6743</v>
      </c>
      <c r="I844" s="813" t="s">
        <v>78</v>
      </c>
      <c r="J844" s="813" t="s">
        <v>6744</v>
      </c>
      <c r="K844" s="813" t="s">
        <v>6745</v>
      </c>
      <c r="L844" s="813" t="s">
        <v>3863</v>
      </c>
      <c r="M844" s="813" t="s">
        <v>3138</v>
      </c>
      <c r="N844" s="813" t="s">
        <v>6746</v>
      </c>
      <c r="O844" s="813" t="s">
        <v>3883</v>
      </c>
      <c r="P844" s="813" t="s">
        <v>6747</v>
      </c>
      <c r="Q844" s="813" t="s">
        <v>6748</v>
      </c>
      <c r="R844" s="813">
        <v>1</v>
      </c>
      <c r="S844" s="813" t="s">
        <v>6749</v>
      </c>
      <c r="T844" s="813" t="s">
        <v>6631</v>
      </c>
    </row>
    <row r="845" spans="1:20" ht="15" customHeight="1" x14ac:dyDescent="0.35">
      <c r="A845" s="794" t="s">
        <v>6750</v>
      </c>
      <c r="B845" s="794" t="s">
        <v>3857</v>
      </c>
      <c r="C845" s="812" t="s">
        <v>5237</v>
      </c>
      <c r="D845" s="825">
        <v>2150</v>
      </c>
      <c r="E845" s="825"/>
      <c r="F845" s="826"/>
      <c r="G845" s="814" t="s">
        <v>3858</v>
      </c>
      <c r="H845" s="813" t="s">
        <v>6743</v>
      </c>
      <c r="I845" s="813" t="s">
        <v>78</v>
      </c>
      <c r="J845" s="813" t="s">
        <v>6744</v>
      </c>
      <c r="K845" s="813" t="s">
        <v>6745</v>
      </c>
      <c r="L845" s="813" t="s">
        <v>3863</v>
      </c>
      <c r="M845" s="813" t="s">
        <v>3138</v>
      </c>
      <c r="N845" s="813" t="s">
        <v>6751</v>
      </c>
      <c r="O845" s="813" t="s">
        <v>3883</v>
      </c>
      <c r="P845" s="813" t="s">
        <v>6752</v>
      </c>
      <c r="Q845" s="813" t="s">
        <v>6753</v>
      </c>
      <c r="R845" s="813">
        <v>1</v>
      </c>
      <c r="S845" s="813" t="s">
        <v>6749</v>
      </c>
      <c r="T845" s="813" t="s">
        <v>6631</v>
      </c>
    </row>
    <row r="846" spans="1:20" ht="15" customHeight="1" x14ac:dyDescent="0.35">
      <c r="A846" s="794" t="s">
        <v>6754</v>
      </c>
      <c r="B846" s="794" t="s">
        <v>3857</v>
      </c>
      <c r="C846" s="812" t="s">
        <v>5237</v>
      </c>
      <c r="D846" s="825">
        <v>2850</v>
      </c>
      <c r="E846" s="825"/>
      <c r="F846" s="826"/>
      <c r="G846" s="814" t="s">
        <v>3858</v>
      </c>
      <c r="H846" s="813" t="s">
        <v>6743</v>
      </c>
      <c r="I846" s="813" t="s">
        <v>78</v>
      </c>
      <c r="J846" s="813" t="s">
        <v>6744</v>
      </c>
      <c r="K846" s="813" t="s">
        <v>6745</v>
      </c>
      <c r="L846" s="813" t="s">
        <v>3863</v>
      </c>
      <c r="M846" s="813" t="s">
        <v>3138</v>
      </c>
      <c r="N846" s="813" t="s">
        <v>6755</v>
      </c>
      <c r="O846" s="813" t="s">
        <v>3883</v>
      </c>
      <c r="P846" s="813" t="s">
        <v>6756</v>
      </c>
      <c r="Q846" s="813" t="s">
        <v>6757</v>
      </c>
      <c r="R846" s="813">
        <v>1</v>
      </c>
      <c r="S846" s="813" t="s">
        <v>6749</v>
      </c>
      <c r="T846" s="813" t="s">
        <v>6631</v>
      </c>
    </row>
    <row r="847" spans="1:20" ht="15" customHeight="1" x14ac:dyDescent="0.35">
      <c r="A847" s="794" t="s">
        <v>6758</v>
      </c>
      <c r="B847" s="794" t="s">
        <v>3857</v>
      </c>
      <c r="C847" s="812" t="s">
        <v>5237</v>
      </c>
      <c r="D847" s="825">
        <v>3400</v>
      </c>
      <c r="E847" s="825"/>
      <c r="F847" s="826"/>
      <c r="G847" s="814" t="s">
        <v>3858</v>
      </c>
      <c r="H847" s="813" t="s">
        <v>6743</v>
      </c>
      <c r="I847" s="813" t="s">
        <v>78</v>
      </c>
      <c r="J847" s="813" t="s">
        <v>6744</v>
      </c>
      <c r="K847" s="813" t="s">
        <v>6745</v>
      </c>
      <c r="L847" s="813" t="s">
        <v>3863</v>
      </c>
      <c r="M847" s="813" t="s">
        <v>3138</v>
      </c>
      <c r="N847" s="813" t="s">
        <v>6759</v>
      </c>
      <c r="O847" s="813" t="s">
        <v>3925</v>
      </c>
      <c r="P847" s="813" t="s">
        <v>6760</v>
      </c>
      <c r="Q847" s="813" t="s">
        <v>6761</v>
      </c>
      <c r="R847" s="813">
        <v>1</v>
      </c>
      <c r="S847" s="813" t="s">
        <v>6749</v>
      </c>
      <c r="T847" s="813" t="s">
        <v>6631</v>
      </c>
    </row>
    <row r="848" spans="1:20" ht="15" customHeight="1" x14ac:dyDescent="0.35">
      <c r="A848" s="794" t="s">
        <v>6762</v>
      </c>
      <c r="B848" s="794" t="s">
        <v>3857</v>
      </c>
      <c r="C848" s="812" t="s">
        <v>5237</v>
      </c>
      <c r="D848" s="825">
        <v>4250</v>
      </c>
      <c r="E848" s="825"/>
      <c r="F848" s="826"/>
      <c r="G848" s="814" t="s">
        <v>3858</v>
      </c>
      <c r="H848" s="813" t="s">
        <v>6743</v>
      </c>
      <c r="I848" s="813" t="s">
        <v>78</v>
      </c>
      <c r="J848" s="813" t="s">
        <v>6744</v>
      </c>
      <c r="K848" s="813" t="s">
        <v>6745</v>
      </c>
      <c r="L848" s="813" t="s">
        <v>3863</v>
      </c>
      <c r="M848" s="813" t="s">
        <v>3138</v>
      </c>
      <c r="N848" s="813" t="s">
        <v>6763</v>
      </c>
      <c r="O848" s="813" t="s">
        <v>3925</v>
      </c>
      <c r="P848" s="813" t="s">
        <v>6764</v>
      </c>
      <c r="Q848" s="813" t="s">
        <v>6765</v>
      </c>
      <c r="R848" s="813">
        <v>1</v>
      </c>
      <c r="S848" s="813" t="s">
        <v>6749</v>
      </c>
      <c r="T848" s="813" t="s">
        <v>6631</v>
      </c>
    </row>
    <row r="849" spans="1:20" ht="15" customHeight="1" x14ac:dyDescent="0.35">
      <c r="A849" s="794" t="s">
        <v>6766</v>
      </c>
      <c r="B849" s="794" t="s">
        <v>3857</v>
      </c>
      <c r="C849" s="812" t="s">
        <v>5237</v>
      </c>
      <c r="D849" s="825">
        <v>5200</v>
      </c>
      <c r="E849" s="825"/>
      <c r="F849" s="826"/>
      <c r="G849" s="814" t="s">
        <v>3858</v>
      </c>
      <c r="H849" s="813" t="s">
        <v>6743</v>
      </c>
      <c r="I849" s="813" t="s">
        <v>78</v>
      </c>
      <c r="J849" s="813" t="s">
        <v>6744</v>
      </c>
      <c r="K849" s="813" t="s">
        <v>6745</v>
      </c>
      <c r="L849" s="813" t="s">
        <v>3863</v>
      </c>
      <c r="M849" s="813" t="s">
        <v>3138</v>
      </c>
      <c r="N849" s="813" t="s">
        <v>6767</v>
      </c>
      <c r="O849" s="813" t="s">
        <v>3925</v>
      </c>
      <c r="P849" s="813" t="s">
        <v>6768</v>
      </c>
      <c r="Q849" s="813" t="s">
        <v>6769</v>
      </c>
      <c r="R849" s="813">
        <v>1</v>
      </c>
      <c r="S849" s="813" t="s">
        <v>6749</v>
      </c>
      <c r="T849" s="813" t="s">
        <v>6631</v>
      </c>
    </row>
    <row r="850" spans="1:20" ht="15" customHeight="1" x14ac:dyDescent="0.35">
      <c r="A850" s="794" t="s">
        <v>6770</v>
      </c>
      <c r="B850" s="794" t="s">
        <v>3857</v>
      </c>
      <c r="C850" s="812" t="s">
        <v>5237</v>
      </c>
      <c r="D850" s="825">
        <v>5434</v>
      </c>
      <c r="E850" s="825"/>
      <c r="F850" s="826"/>
      <c r="G850" s="814" t="s">
        <v>3858</v>
      </c>
      <c r="H850" s="813" t="s">
        <v>6743</v>
      </c>
      <c r="I850" s="813" t="s">
        <v>78</v>
      </c>
      <c r="J850" s="813" t="s">
        <v>6744</v>
      </c>
      <c r="K850" s="813" t="s">
        <v>6745</v>
      </c>
      <c r="L850" s="813" t="s">
        <v>3863</v>
      </c>
      <c r="M850" s="813" t="s">
        <v>3138</v>
      </c>
      <c r="N850" s="813" t="s">
        <v>6771</v>
      </c>
      <c r="O850" s="813" t="s">
        <v>3883</v>
      </c>
      <c r="P850" s="813" t="s">
        <v>6772</v>
      </c>
      <c r="Q850" s="813" t="s">
        <v>6773</v>
      </c>
      <c r="R850" s="813">
        <v>1</v>
      </c>
      <c r="S850" s="813" t="s">
        <v>6749</v>
      </c>
      <c r="T850" s="813" t="s">
        <v>6631</v>
      </c>
    </row>
    <row r="851" spans="1:20" ht="15" customHeight="1" x14ac:dyDescent="0.35">
      <c r="A851" s="794" t="s">
        <v>6774</v>
      </c>
      <c r="B851" s="794" t="s">
        <v>3857</v>
      </c>
      <c r="C851" s="812" t="s">
        <v>5237</v>
      </c>
      <c r="D851" s="825">
        <v>6198</v>
      </c>
      <c r="E851" s="825"/>
      <c r="F851" s="826"/>
      <c r="G851" s="814" t="s">
        <v>3858</v>
      </c>
      <c r="H851" s="813" t="s">
        <v>6743</v>
      </c>
      <c r="I851" s="813" t="s">
        <v>78</v>
      </c>
      <c r="J851" s="813" t="s">
        <v>6744</v>
      </c>
      <c r="K851" s="813" t="s">
        <v>6745</v>
      </c>
      <c r="L851" s="813" t="s">
        <v>3863</v>
      </c>
      <c r="M851" s="813" t="s">
        <v>3138</v>
      </c>
      <c r="N851" s="813" t="s">
        <v>6775</v>
      </c>
      <c r="O851" s="813" t="s">
        <v>3883</v>
      </c>
      <c r="P851" s="813" t="s">
        <v>6776</v>
      </c>
      <c r="Q851" s="813" t="s">
        <v>6777</v>
      </c>
      <c r="R851" s="813">
        <v>1</v>
      </c>
      <c r="S851" s="813" t="s">
        <v>6749</v>
      </c>
      <c r="T851" s="813" t="s">
        <v>6631</v>
      </c>
    </row>
    <row r="852" spans="1:20" ht="15" customHeight="1" x14ac:dyDescent="0.35">
      <c r="A852" s="794" t="s">
        <v>6778</v>
      </c>
      <c r="B852" s="794" t="s">
        <v>3857</v>
      </c>
      <c r="C852" s="812" t="s">
        <v>5237</v>
      </c>
      <c r="D852" s="825">
        <v>7073</v>
      </c>
      <c r="E852" s="825"/>
      <c r="F852" s="826"/>
      <c r="G852" s="814" t="s">
        <v>3858</v>
      </c>
      <c r="H852" s="813" t="s">
        <v>6743</v>
      </c>
      <c r="I852" s="813" t="s">
        <v>78</v>
      </c>
      <c r="J852" s="813" t="s">
        <v>6744</v>
      </c>
      <c r="K852" s="813" t="s">
        <v>6745</v>
      </c>
      <c r="L852" s="813" t="s">
        <v>3863</v>
      </c>
      <c r="M852" s="813" t="s">
        <v>3138</v>
      </c>
      <c r="N852" s="813" t="s">
        <v>6779</v>
      </c>
      <c r="O852" s="813" t="s">
        <v>3883</v>
      </c>
      <c r="P852" s="813" t="s">
        <v>6780</v>
      </c>
      <c r="Q852" s="813" t="s">
        <v>6781</v>
      </c>
      <c r="R852" s="813">
        <v>1</v>
      </c>
      <c r="S852" s="813" t="s">
        <v>6749</v>
      </c>
      <c r="T852" s="813" t="s">
        <v>6631</v>
      </c>
    </row>
    <row r="853" spans="1:20" ht="15" customHeight="1" x14ac:dyDescent="0.35">
      <c r="A853" s="794" t="s">
        <v>6782</v>
      </c>
      <c r="B853" s="794" t="s">
        <v>3857</v>
      </c>
      <c r="C853" s="812" t="s">
        <v>5237</v>
      </c>
      <c r="D853" s="825">
        <v>7725</v>
      </c>
      <c r="E853" s="825"/>
      <c r="F853" s="826"/>
      <c r="G853" s="814" t="s">
        <v>3858</v>
      </c>
      <c r="H853" s="813" t="s">
        <v>6743</v>
      </c>
      <c r="I853" s="813" t="s">
        <v>78</v>
      </c>
      <c r="J853" s="813" t="s">
        <v>6744</v>
      </c>
      <c r="K853" s="813" t="s">
        <v>6745</v>
      </c>
      <c r="L853" s="813" t="s">
        <v>3863</v>
      </c>
      <c r="M853" s="813" t="s">
        <v>3138</v>
      </c>
      <c r="N853" s="813" t="s">
        <v>6783</v>
      </c>
      <c r="O853" s="813" t="s">
        <v>3883</v>
      </c>
      <c r="P853" s="813" t="s">
        <v>6784</v>
      </c>
      <c r="Q853" s="813" t="s">
        <v>6785</v>
      </c>
      <c r="R853" s="813">
        <v>1</v>
      </c>
      <c r="S853" s="813" t="s">
        <v>6749</v>
      </c>
      <c r="T853" s="813" t="s">
        <v>6631</v>
      </c>
    </row>
    <row r="854" spans="1:20" ht="15" customHeight="1" x14ac:dyDescent="0.35">
      <c r="A854" s="804" t="s">
        <v>6786</v>
      </c>
      <c r="B854" s="804" t="s">
        <v>6787</v>
      </c>
      <c r="C854" s="804"/>
      <c r="D854" s="804"/>
      <c r="E854" s="804"/>
      <c r="F854" s="804"/>
      <c r="G854" s="804" t="s">
        <v>3745</v>
      </c>
      <c r="H854" s="794"/>
      <c r="I854" s="794"/>
      <c r="J854" s="794"/>
      <c r="K854" s="794"/>
      <c r="L854" s="794"/>
      <c r="M854" s="794"/>
      <c r="N854" s="794"/>
      <c r="O854" s="794"/>
      <c r="P854" s="794"/>
      <c r="Q854" s="794"/>
      <c r="R854" s="794"/>
      <c r="S854" s="794"/>
      <c r="T854" s="794"/>
    </row>
    <row r="855" spans="1:20" ht="15" customHeight="1" x14ac:dyDescent="0.35">
      <c r="A855" s="805" t="s">
        <v>6788</v>
      </c>
      <c r="B855" s="805"/>
      <c r="C855" s="805"/>
      <c r="D855" s="805"/>
      <c r="E855" s="805"/>
      <c r="F855" s="805"/>
      <c r="G855" s="805" t="s">
        <v>4260</v>
      </c>
      <c r="H855" s="794"/>
      <c r="I855" s="794"/>
      <c r="J855" s="794"/>
      <c r="K855" s="794"/>
      <c r="L855" s="794"/>
      <c r="M855" s="794"/>
      <c r="N855" s="794"/>
      <c r="O855" s="794"/>
      <c r="P855" s="794"/>
      <c r="Q855" s="794"/>
      <c r="R855" s="794"/>
      <c r="S855" s="794"/>
      <c r="T855" s="794"/>
    </row>
    <row r="856" spans="1:20" ht="15" customHeight="1" x14ac:dyDescent="0.35">
      <c r="A856" s="806" t="s">
        <v>6789</v>
      </c>
      <c r="B856" s="806"/>
      <c r="C856" s="806"/>
      <c r="D856" s="806"/>
      <c r="E856" s="806"/>
      <c r="F856" s="806"/>
      <c r="G856" s="806" t="s">
        <v>3946</v>
      </c>
      <c r="H856" s="794"/>
      <c r="I856" s="794"/>
      <c r="J856" s="794"/>
      <c r="K856" s="794"/>
      <c r="L856" s="794"/>
      <c r="M856" s="794"/>
      <c r="N856" s="794"/>
      <c r="O856" s="794"/>
      <c r="P856" s="794"/>
      <c r="Q856" s="794"/>
      <c r="R856" s="794"/>
      <c r="S856" s="794"/>
      <c r="T856" s="794"/>
    </row>
    <row r="857" spans="1:20" ht="15" customHeight="1" x14ac:dyDescent="0.35">
      <c r="A857" s="818" t="s">
        <v>1467</v>
      </c>
      <c r="B857" s="818" t="s">
        <v>3857</v>
      </c>
      <c r="C857" s="819" t="s">
        <v>795</v>
      </c>
      <c r="D857" s="831"/>
      <c r="E857" s="831"/>
      <c r="F857" s="832"/>
      <c r="G857" s="820" t="s">
        <v>6790</v>
      </c>
      <c r="H857" s="813" t="s">
        <v>6791</v>
      </c>
      <c r="I857" s="813" t="s">
        <v>6791</v>
      </c>
      <c r="J857" s="813" t="s">
        <v>6792</v>
      </c>
      <c r="K857" s="813" t="s">
        <v>6793</v>
      </c>
      <c r="L857" s="813" t="s">
        <v>6794</v>
      </c>
      <c r="M857" s="813"/>
      <c r="N857" s="813" t="s">
        <v>6794</v>
      </c>
      <c r="O857" s="813" t="s">
        <v>6795</v>
      </c>
      <c r="P857" s="813" t="s">
        <v>6796</v>
      </c>
      <c r="Q857" s="813" t="s">
        <v>6797</v>
      </c>
      <c r="R857" s="813">
        <v>1</v>
      </c>
      <c r="S857" s="813" t="s">
        <v>6798</v>
      </c>
      <c r="T857" s="813" t="s">
        <v>6799</v>
      </c>
    </row>
    <row r="858" spans="1:20" ht="15" customHeight="1" x14ac:dyDescent="0.35">
      <c r="A858" s="806" t="s">
        <v>6800</v>
      </c>
      <c r="B858" s="806"/>
      <c r="C858" s="806"/>
      <c r="D858" s="806"/>
      <c r="E858" s="806"/>
      <c r="F858" s="806"/>
      <c r="G858" s="806" t="s">
        <v>3946</v>
      </c>
      <c r="H858" s="794"/>
      <c r="I858" s="794"/>
      <c r="J858" s="794"/>
      <c r="K858" s="794"/>
      <c r="L858" s="794"/>
      <c r="M858" s="794"/>
      <c r="N858" s="794"/>
      <c r="O858" s="794"/>
      <c r="P858" s="794"/>
      <c r="Q858" s="794"/>
      <c r="R858" s="794"/>
      <c r="S858" s="794"/>
      <c r="T858" s="794"/>
    </row>
    <row r="859" spans="1:20" ht="15" customHeight="1" x14ac:dyDescent="0.35">
      <c r="A859" s="818" t="s">
        <v>6801</v>
      </c>
      <c r="B859" s="818" t="s">
        <v>3857</v>
      </c>
      <c r="C859" s="819" t="s">
        <v>525</v>
      </c>
      <c r="D859" s="831"/>
      <c r="E859" s="831"/>
      <c r="F859" s="833"/>
      <c r="G859" s="820" t="s">
        <v>6790</v>
      </c>
      <c r="H859" s="813" t="s">
        <v>6791</v>
      </c>
      <c r="I859" s="813" t="s">
        <v>6791</v>
      </c>
      <c r="J859" s="813" t="s">
        <v>6802</v>
      </c>
      <c r="K859" s="813" t="s">
        <v>6793</v>
      </c>
      <c r="L859" s="813" t="s">
        <v>6794</v>
      </c>
      <c r="M859" s="813"/>
      <c r="N859" s="813" t="s">
        <v>6794</v>
      </c>
      <c r="O859" s="813" t="s">
        <v>6795</v>
      </c>
      <c r="P859" s="813" t="s">
        <v>6803</v>
      </c>
      <c r="Q859" s="813" t="s">
        <v>6804</v>
      </c>
      <c r="R859" s="813">
        <v>1</v>
      </c>
      <c r="S859" s="813" t="s">
        <v>6798</v>
      </c>
      <c r="T859" s="813" t="s">
        <v>6799</v>
      </c>
    </row>
    <row r="860" spans="1:20" ht="15" customHeight="1" x14ac:dyDescent="0.35">
      <c r="A860" s="806" t="s">
        <v>6805</v>
      </c>
      <c r="B860" s="806"/>
      <c r="C860" s="806"/>
      <c r="D860" s="806"/>
      <c r="E860" s="806"/>
      <c r="F860" s="806"/>
      <c r="G860" s="806" t="s">
        <v>3946</v>
      </c>
      <c r="H860" s="794"/>
      <c r="I860" s="794"/>
      <c r="J860" s="794"/>
      <c r="K860" s="794"/>
      <c r="L860" s="794"/>
      <c r="M860" s="794"/>
      <c r="N860" s="794"/>
      <c r="O860" s="794"/>
      <c r="P860" s="794"/>
      <c r="Q860" s="794"/>
      <c r="R860" s="794"/>
      <c r="S860" s="794"/>
      <c r="T860" s="794"/>
    </row>
    <row r="861" spans="1:20" ht="15" customHeight="1" x14ac:dyDescent="0.35">
      <c r="A861" s="818" t="s">
        <v>6806</v>
      </c>
      <c r="B861" s="818" t="s">
        <v>3857</v>
      </c>
      <c r="C861" s="819" t="s">
        <v>1165</v>
      </c>
      <c r="D861" s="831"/>
      <c r="E861" s="831"/>
      <c r="F861" s="834"/>
      <c r="G861" s="820" t="s">
        <v>6790</v>
      </c>
      <c r="H861" s="813" t="s">
        <v>6791</v>
      </c>
      <c r="I861" s="813" t="s">
        <v>6791</v>
      </c>
      <c r="J861" s="813" t="s">
        <v>6807</v>
      </c>
      <c r="K861" s="813" t="s">
        <v>6793</v>
      </c>
      <c r="L861" s="813" t="s">
        <v>6794</v>
      </c>
      <c r="M861" s="813"/>
      <c r="N861" s="813" t="s">
        <v>6794</v>
      </c>
      <c r="O861" s="813" t="s">
        <v>6795</v>
      </c>
      <c r="P861" s="813" t="s">
        <v>6808</v>
      </c>
      <c r="Q861" s="813" t="s">
        <v>6809</v>
      </c>
      <c r="R861" s="813">
        <v>1</v>
      </c>
      <c r="S861" s="813" t="s">
        <v>6798</v>
      </c>
      <c r="T861" s="813" t="s">
        <v>6799</v>
      </c>
    </row>
    <row r="862" spans="1:20" ht="15" customHeight="1" x14ac:dyDescent="0.35">
      <c r="A862" s="806" t="s">
        <v>6810</v>
      </c>
      <c r="B862" s="806"/>
      <c r="C862" s="806"/>
      <c r="D862" s="806"/>
      <c r="E862" s="806"/>
      <c r="F862" s="806"/>
      <c r="G862" s="806" t="s">
        <v>4476</v>
      </c>
      <c r="H862" s="794"/>
      <c r="I862" s="794"/>
      <c r="J862" s="794"/>
      <c r="K862" s="794"/>
      <c r="L862" s="794"/>
      <c r="M862" s="794"/>
      <c r="N862" s="794"/>
      <c r="O862" s="794"/>
      <c r="P862" s="794"/>
      <c r="Q862" s="794"/>
      <c r="R862" s="794"/>
      <c r="S862" s="794"/>
      <c r="T862" s="794"/>
    </row>
    <row r="863" spans="1:20" ht="15" customHeight="1" x14ac:dyDescent="0.35">
      <c r="A863" s="818" t="s">
        <v>765</v>
      </c>
      <c r="B863" s="818" t="s">
        <v>3857</v>
      </c>
      <c r="C863" s="819" t="s">
        <v>83</v>
      </c>
      <c r="D863" s="831"/>
      <c r="E863" s="831"/>
      <c r="F863" s="834"/>
      <c r="G863" s="820" t="s">
        <v>6790</v>
      </c>
      <c r="H863" s="813" t="s">
        <v>6791</v>
      </c>
      <c r="I863" s="813" t="s">
        <v>6791</v>
      </c>
      <c r="J863" s="813" t="s">
        <v>6811</v>
      </c>
      <c r="K863" s="813" t="s">
        <v>6793</v>
      </c>
      <c r="L863" s="813" t="s">
        <v>6794</v>
      </c>
      <c r="M863" s="813"/>
      <c r="N863" s="813" t="s">
        <v>6794</v>
      </c>
      <c r="O863" s="813" t="s">
        <v>6795</v>
      </c>
      <c r="P863" s="813" t="s">
        <v>6812</v>
      </c>
      <c r="Q863" s="813" t="s">
        <v>6813</v>
      </c>
      <c r="R863" s="813">
        <v>1</v>
      </c>
      <c r="S863" s="813" t="s">
        <v>6798</v>
      </c>
      <c r="T863" s="813" t="s">
        <v>6799</v>
      </c>
    </row>
    <row r="864" spans="1:20" ht="15" customHeight="1" x14ac:dyDescent="0.35">
      <c r="A864" s="818" t="s">
        <v>771</v>
      </c>
      <c r="B864" s="818" t="s">
        <v>3857</v>
      </c>
      <c r="C864" s="819" t="s">
        <v>795</v>
      </c>
      <c r="D864" s="831"/>
      <c r="E864" s="831"/>
      <c r="F864" s="832"/>
      <c r="G864" s="820" t="s">
        <v>6790</v>
      </c>
      <c r="H864" s="813" t="s">
        <v>6791</v>
      </c>
      <c r="I864" s="813" t="s">
        <v>6791</v>
      </c>
      <c r="J864" s="813" t="s">
        <v>6811</v>
      </c>
      <c r="K864" s="813" t="s">
        <v>6793</v>
      </c>
      <c r="L864" s="813" t="s">
        <v>6794</v>
      </c>
      <c r="M864" s="813"/>
      <c r="N864" s="813" t="s">
        <v>6794</v>
      </c>
      <c r="O864" s="813" t="s">
        <v>6795</v>
      </c>
      <c r="P864" s="813" t="s">
        <v>6814</v>
      </c>
      <c r="Q864" s="813" t="s">
        <v>6815</v>
      </c>
      <c r="R864" s="813">
        <v>1</v>
      </c>
      <c r="S864" s="813" t="s">
        <v>6798</v>
      </c>
      <c r="T864" s="813" t="s">
        <v>6799</v>
      </c>
    </row>
    <row r="865" spans="1:20" ht="15" customHeight="1" x14ac:dyDescent="0.35">
      <c r="A865" s="806" t="s">
        <v>6816</v>
      </c>
      <c r="B865" s="806"/>
      <c r="C865" s="806"/>
      <c r="D865" s="806"/>
      <c r="E865" s="806"/>
      <c r="F865" s="806"/>
      <c r="G865" s="806" t="s">
        <v>5206</v>
      </c>
      <c r="H865" s="794"/>
      <c r="I865" s="794"/>
      <c r="J865" s="794"/>
      <c r="K865" s="794"/>
      <c r="L865" s="794"/>
      <c r="M865" s="794"/>
      <c r="N865" s="794"/>
      <c r="O865" s="794"/>
      <c r="P865" s="794"/>
      <c r="Q865" s="794"/>
      <c r="R865" s="794"/>
      <c r="S865" s="794"/>
      <c r="T865" s="794"/>
    </row>
    <row r="866" spans="1:20" ht="15" customHeight="1" x14ac:dyDescent="0.35">
      <c r="A866" s="818" t="s">
        <v>6817</v>
      </c>
      <c r="B866" s="818" t="s">
        <v>3857</v>
      </c>
      <c r="C866" s="819" t="s">
        <v>83</v>
      </c>
      <c r="D866" s="831"/>
      <c r="E866" s="831"/>
      <c r="F866" s="834"/>
      <c r="G866" s="820" t="s">
        <v>6790</v>
      </c>
      <c r="H866" s="813" t="s">
        <v>6791</v>
      </c>
      <c r="I866" s="813" t="s">
        <v>6791</v>
      </c>
      <c r="J866" s="813" t="s">
        <v>6818</v>
      </c>
      <c r="K866" s="813" t="s">
        <v>6793</v>
      </c>
      <c r="L866" s="813" t="s">
        <v>6794</v>
      </c>
      <c r="M866" s="813"/>
      <c r="N866" s="813" t="s">
        <v>6794</v>
      </c>
      <c r="O866" s="813" t="s">
        <v>6795</v>
      </c>
      <c r="P866" s="813" t="s">
        <v>6819</v>
      </c>
      <c r="Q866" s="813" t="s">
        <v>6820</v>
      </c>
      <c r="R866" s="813">
        <v>1</v>
      </c>
      <c r="S866" s="813" t="s">
        <v>6798</v>
      </c>
      <c r="T866" s="813" t="s">
        <v>6799</v>
      </c>
    </row>
    <row r="867" spans="1:20" ht="15" customHeight="1" x14ac:dyDescent="0.35">
      <c r="A867" s="818" t="s">
        <v>6821</v>
      </c>
      <c r="B867" s="818" t="s">
        <v>3857</v>
      </c>
      <c r="C867" s="819" t="s">
        <v>83</v>
      </c>
      <c r="D867" s="831"/>
      <c r="E867" s="831"/>
      <c r="F867" s="834"/>
      <c r="G867" s="820" t="s">
        <v>6790</v>
      </c>
      <c r="H867" s="813" t="s">
        <v>6791</v>
      </c>
      <c r="I867" s="813" t="s">
        <v>6791</v>
      </c>
      <c r="J867" s="813" t="s">
        <v>6818</v>
      </c>
      <c r="K867" s="813" t="s">
        <v>6793</v>
      </c>
      <c r="L867" s="813" t="s">
        <v>6794</v>
      </c>
      <c r="M867" s="813"/>
      <c r="N867" s="813" t="s">
        <v>6794</v>
      </c>
      <c r="O867" s="813" t="s">
        <v>6795</v>
      </c>
      <c r="P867" s="813" t="s">
        <v>6822</v>
      </c>
      <c r="Q867" s="813" t="s">
        <v>6823</v>
      </c>
      <c r="R867" s="813">
        <v>1</v>
      </c>
      <c r="S867" s="813" t="s">
        <v>6798</v>
      </c>
      <c r="T867" s="813" t="s">
        <v>6799</v>
      </c>
    </row>
    <row r="868" spans="1:20" ht="15" customHeight="1" x14ac:dyDescent="0.35">
      <c r="A868" s="818" t="s">
        <v>6824</v>
      </c>
      <c r="B868" s="818" t="s">
        <v>3857</v>
      </c>
      <c r="C868" s="819" t="s">
        <v>83</v>
      </c>
      <c r="D868" s="831"/>
      <c r="E868" s="831"/>
      <c r="F868" s="834"/>
      <c r="G868" s="820" t="s">
        <v>6790</v>
      </c>
      <c r="H868" s="813" t="s">
        <v>6791</v>
      </c>
      <c r="I868" s="813" t="s">
        <v>6791</v>
      </c>
      <c r="J868" s="813" t="s">
        <v>6818</v>
      </c>
      <c r="K868" s="813" t="s">
        <v>6793</v>
      </c>
      <c r="L868" s="813" t="s">
        <v>6794</v>
      </c>
      <c r="M868" s="813"/>
      <c r="N868" s="813" t="s">
        <v>6794</v>
      </c>
      <c r="O868" s="813" t="s">
        <v>6795</v>
      </c>
      <c r="P868" s="813" t="s">
        <v>6825</v>
      </c>
      <c r="Q868" s="813" t="s">
        <v>6826</v>
      </c>
      <c r="R868" s="813">
        <v>1</v>
      </c>
      <c r="S868" s="813" t="s">
        <v>6798</v>
      </c>
      <c r="T868" s="813" t="s">
        <v>6799</v>
      </c>
    </row>
    <row r="869" spans="1:20" ht="15" customHeight="1" x14ac:dyDescent="0.35">
      <c r="A869" s="818" t="s">
        <v>6827</v>
      </c>
      <c r="B869" s="818" t="s">
        <v>3857</v>
      </c>
      <c r="C869" s="819" t="s">
        <v>83</v>
      </c>
      <c r="D869" s="831"/>
      <c r="E869" s="831"/>
      <c r="F869" s="834"/>
      <c r="G869" s="820" t="s">
        <v>6790</v>
      </c>
      <c r="H869" s="813" t="s">
        <v>6791</v>
      </c>
      <c r="I869" s="813" t="s">
        <v>6791</v>
      </c>
      <c r="J869" s="813" t="s">
        <v>6818</v>
      </c>
      <c r="K869" s="813" t="s">
        <v>6793</v>
      </c>
      <c r="L869" s="813" t="s">
        <v>6794</v>
      </c>
      <c r="M869" s="813"/>
      <c r="N869" s="813" t="s">
        <v>6794</v>
      </c>
      <c r="O869" s="813" t="s">
        <v>6795</v>
      </c>
      <c r="P869" s="813" t="s">
        <v>6828</v>
      </c>
      <c r="Q869" s="813" t="s">
        <v>6829</v>
      </c>
      <c r="R869" s="813">
        <v>1</v>
      </c>
      <c r="S869" s="813" t="s">
        <v>6798</v>
      </c>
      <c r="T869" s="813" t="s">
        <v>6799</v>
      </c>
    </row>
    <row r="870" spans="1:20" ht="15" customHeight="1" x14ac:dyDescent="0.35">
      <c r="A870" s="818" t="s">
        <v>6830</v>
      </c>
      <c r="B870" s="818" t="s">
        <v>3857</v>
      </c>
      <c r="C870" s="819" t="s">
        <v>83</v>
      </c>
      <c r="D870" s="831"/>
      <c r="E870" s="831"/>
      <c r="F870" s="834"/>
      <c r="G870" s="820" t="s">
        <v>6790</v>
      </c>
      <c r="H870" s="813" t="s">
        <v>6791</v>
      </c>
      <c r="I870" s="813" t="s">
        <v>6791</v>
      </c>
      <c r="J870" s="813" t="s">
        <v>6818</v>
      </c>
      <c r="K870" s="813" t="s">
        <v>6793</v>
      </c>
      <c r="L870" s="813" t="s">
        <v>6794</v>
      </c>
      <c r="M870" s="813"/>
      <c r="N870" s="813" t="s">
        <v>6794</v>
      </c>
      <c r="O870" s="813" t="s">
        <v>6795</v>
      </c>
      <c r="P870" s="813" t="s">
        <v>6831</v>
      </c>
      <c r="Q870" s="813" t="s">
        <v>6832</v>
      </c>
      <c r="R870" s="813">
        <v>1</v>
      </c>
      <c r="S870" s="813" t="s">
        <v>6798</v>
      </c>
      <c r="T870" s="813" t="s">
        <v>6799</v>
      </c>
    </row>
    <row r="871" spans="1:20" ht="15" customHeight="1" x14ac:dyDescent="0.35">
      <c r="A871" s="818" t="s">
        <v>6833</v>
      </c>
      <c r="B871" s="818" t="s">
        <v>3857</v>
      </c>
      <c r="C871" s="819" t="s">
        <v>83</v>
      </c>
      <c r="D871" s="831"/>
      <c r="E871" s="831"/>
      <c r="F871" s="834"/>
      <c r="G871" s="820" t="s">
        <v>6790</v>
      </c>
      <c r="H871" s="813" t="s">
        <v>6791</v>
      </c>
      <c r="I871" s="813" t="s">
        <v>6791</v>
      </c>
      <c r="J871" s="813" t="s">
        <v>6818</v>
      </c>
      <c r="K871" s="813" t="s">
        <v>6793</v>
      </c>
      <c r="L871" s="813" t="s">
        <v>6794</v>
      </c>
      <c r="M871" s="813"/>
      <c r="N871" s="813" t="s">
        <v>6794</v>
      </c>
      <c r="O871" s="813" t="s">
        <v>6795</v>
      </c>
      <c r="P871" s="813" t="s">
        <v>6834</v>
      </c>
      <c r="Q871" s="813" t="s">
        <v>6835</v>
      </c>
      <c r="R871" s="813">
        <v>1</v>
      </c>
      <c r="S871" s="813" t="s">
        <v>6798</v>
      </c>
      <c r="T871" s="813" t="s">
        <v>6799</v>
      </c>
    </row>
    <row r="872" spans="1:20" ht="15" customHeight="1" x14ac:dyDescent="0.35">
      <c r="A872" s="818" t="s">
        <v>6836</v>
      </c>
      <c r="B872" s="818" t="s">
        <v>3857</v>
      </c>
      <c r="C872" s="819" t="s">
        <v>83</v>
      </c>
      <c r="D872" s="831"/>
      <c r="E872" s="831"/>
      <c r="F872" s="834"/>
      <c r="G872" s="820" t="s">
        <v>6790</v>
      </c>
      <c r="H872" s="813" t="s">
        <v>6791</v>
      </c>
      <c r="I872" s="813" t="s">
        <v>6791</v>
      </c>
      <c r="J872" s="813" t="s">
        <v>6818</v>
      </c>
      <c r="K872" s="813" t="s">
        <v>6793</v>
      </c>
      <c r="L872" s="813" t="s">
        <v>6794</v>
      </c>
      <c r="M872" s="813"/>
      <c r="N872" s="813" t="s">
        <v>6794</v>
      </c>
      <c r="O872" s="813" t="s">
        <v>6795</v>
      </c>
      <c r="P872" s="813" t="s">
        <v>6837</v>
      </c>
      <c r="Q872" s="813" t="s">
        <v>6838</v>
      </c>
      <c r="R872" s="813">
        <v>1</v>
      </c>
      <c r="S872" s="813" t="s">
        <v>6798</v>
      </c>
      <c r="T872" s="813" t="s">
        <v>6799</v>
      </c>
    </row>
    <row r="873" spans="1:20" ht="15" customHeight="1" x14ac:dyDescent="0.35">
      <c r="A873" s="807" t="s">
        <v>6839</v>
      </c>
      <c r="B873" s="807"/>
      <c r="C873" s="807"/>
      <c r="D873" s="807"/>
      <c r="E873" s="807"/>
      <c r="F873" s="807"/>
      <c r="G873" s="807"/>
      <c r="H873" s="794"/>
      <c r="I873" s="794"/>
      <c r="J873" s="794"/>
      <c r="K873" s="794"/>
      <c r="L873" s="794"/>
      <c r="M873" s="794"/>
      <c r="N873" s="794"/>
      <c r="O873" s="794"/>
      <c r="P873" s="794"/>
      <c r="Q873" s="794"/>
      <c r="R873" s="794"/>
      <c r="S873" s="794"/>
      <c r="T873" s="794"/>
    </row>
    <row r="874" spans="1:20" ht="15" customHeight="1" x14ac:dyDescent="0.35">
      <c r="A874" s="808" t="s">
        <v>6840</v>
      </c>
      <c r="B874" s="808" t="s">
        <v>6841</v>
      </c>
      <c r="C874" s="808" t="s">
        <v>6842</v>
      </c>
      <c r="D874" s="808"/>
      <c r="E874" s="808"/>
      <c r="F874" s="808" t="s">
        <v>6843</v>
      </c>
      <c r="G874" s="808" t="s">
        <v>622</v>
      </c>
      <c r="H874" s="794"/>
      <c r="I874" s="794"/>
      <c r="J874" s="794"/>
      <c r="K874" s="794"/>
      <c r="L874" s="794"/>
      <c r="M874" s="794"/>
      <c r="N874" s="794"/>
      <c r="O874" s="794"/>
      <c r="P874" s="794"/>
      <c r="Q874" s="794"/>
      <c r="R874" s="794"/>
      <c r="S874" s="794"/>
      <c r="T874" s="794"/>
    </row>
    <row r="875" spans="1:20" ht="30" customHeight="1" x14ac:dyDescent="0.35">
      <c r="A875" s="809" t="s">
        <v>6844</v>
      </c>
      <c r="B875" s="809" t="s">
        <v>926</v>
      </c>
      <c r="C875" s="809" t="s">
        <v>6845</v>
      </c>
      <c r="D875" s="809"/>
      <c r="E875" s="809"/>
      <c r="F875" s="809" t="s">
        <v>6846</v>
      </c>
      <c r="G875" s="809" t="s">
        <v>6847</v>
      </c>
      <c r="H875" s="794"/>
      <c r="I875" s="794"/>
      <c r="J875" s="794"/>
      <c r="K875" s="794"/>
      <c r="L875" s="794"/>
      <c r="M875" s="794"/>
      <c r="N875" s="794"/>
      <c r="O875" s="794"/>
      <c r="P875" s="794"/>
      <c r="Q875" s="794"/>
      <c r="R875" s="794"/>
      <c r="S875" s="794"/>
      <c r="T875" s="794"/>
    </row>
    <row r="876" spans="1:20" ht="30" customHeight="1" x14ac:dyDescent="0.35">
      <c r="A876" s="809" t="s">
        <v>6848</v>
      </c>
      <c r="B876" s="809" t="s">
        <v>926</v>
      </c>
      <c r="C876" s="809" t="s">
        <v>6845</v>
      </c>
      <c r="D876" s="809"/>
      <c r="E876" s="809"/>
      <c r="F876" s="809" t="s">
        <v>6849</v>
      </c>
      <c r="G876" s="809" t="s">
        <v>6847</v>
      </c>
      <c r="H876" s="794"/>
      <c r="I876" s="794"/>
      <c r="J876" s="794"/>
      <c r="K876" s="794"/>
      <c r="L876" s="794"/>
      <c r="M876" s="794"/>
      <c r="N876" s="794"/>
      <c r="O876" s="794"/>
      <c r="P876" s="794"/>
      <c r="Q876" s="794"/>
      <c r="R876" s="794"/>
      <c r="S876" s="794"/>
      <c r="T876" s="794"/>
    </row>
    <row r="877" spans="1:20" ht="30" customHeight="1" x14ac:dyDescent="0.35">
      <c r="A877" s="809" t="s">
        <v>6850</v>
      </c>
      <c r="B877" s="809" t="s">
        <v>926</v>
      </c>
      <c r="C877" s="809" t="s">
        <v>6845</v>
      </c>
      <c r="D877" s="809"/>
      <c r="E877" s="809"/>
      <c r="F877" s="809" t="s">
        <v>6851</v>
      </c>
      <c r="G877" s="809" t="s">
        <v>6847</v>
      </c>
      <c r="H877" s="794"/>
      <c r="I877" s="794"/>
      <c r="J877" s="794"/>
      <c r="K877" s="794"/>
      <c r="L877" s="794"/>
      <c r="M877" s="794"/>
      <c r="N877" s="794"/>
      <c r="O877" s="794"/>
      <c r="P877" s="794"/>
      <c r="Q877" s="794"/>
      <c r="R877" s="794"/>
      <c r="S877" s="794"/>
      <c r="T877" s="794"/>
    </row>
    <row r="878" spans="1:20" ht="30" customHeight="1" x14ac:dyDescent="0.35">
      <c r="A878" s="809" t="s">
        <v>6852</v>
      </c>
      <c r="B878" s="809" t="s">
        <v>926</v>
      </c>
      <c r="C878" s="809" t="s">
        <v>6845</v>
      </c>
      <c r="D878" s="809"/>
      <c r="E878" s="809"/>
      <c r="F878" s="809" t="s">
        <v>6853</v>
      </c>
      <c r="G878" s="809" t="s">
        <v>6847</v>
      </c>
      <c r="H878" s="794"/>
      <c r="I878" s="794"/>
      <c r="J878" s="794"/>
      <c r="K878" s="794"/>
      <c r="L878" s="794"/>
      <c r="M878" s="794"/>
      <c r="N878" s="794"/>
      <c r="O878" s="794"/>
      <c r="P878" s="794"/>
      <c r="Q878" s="794"/>
      <c r="R878" s="794"/>
      <c r="S878" s="794"/>
      <c r="T878" s="794"/>
    </row>
    <row r="879" spans="1:20" ht="15" customHeight="1" x14ac:dyDescent="0.35">
      <c r="A879" s="807" t="s">
        <v>6854</v>
      </c>
      <c r="B879" s="807"/>
      <c r="C879" s="807"/>
      <c r="D879" s="807"/>
      <c r="E879" s="807"/>
      <c r="F879" s="807"/>
      <c r="G879" s="807"/>
      <c r="H879" s="794"/>
      <c r="I879" s="794"/>
      <c r="J879" s="794"/>
      <c r="K879" s="794"/>
      <c r="L879" s="794"/>
      <c r="M879" s="794"/>
      <c r="N879" s="794"/>
      <c r="O879" s="794"/>
      <c r="P879" s="794"/>
      <c r="Q879" s="794"/>
      <c r="R879" s="794"/>
      <c r="S879" s="794"/>
      <c r="T879" s="794"/>
    </row>
    <row r="880" spans="1:20" ht="15" customHeight="1" x14ac:dyDescent="0.35">
      <c r="A880" s="808" t="s">
        <v>1100</v>
      </c>
      <c r="B880" s="808" t="s">
        <v>1101</v>
      </c>
      <c r="C880" s="808"/>
      <c r="D880" s="808"/>
      <c r="E880" s="808"/>
      <c r="F880" s="808" t="s">
        <v>6855</v>
      </c>
      <c r="G880" s="808" t="s">
        <v>622</v>
      </c>
      <c r="H880" s="794"/>
      <c r="I880" s="794"/>
      <c r="J880" s="794"/>
      <c r="K880" s="794"/>
      <c r="L880" s="794"/>
      <c r="M880" s="794"/>
      <c r="N880" s="794"/>
      <c r="O880" s="794"/>
      <c r="P880" s="794"/>
      <c r="Q880" s="794"/>
      <c r="R880" s="794"/>
      <c r="S880" s="794"/>
      <c r="T880" s="794"/>
    </row>
    <row r="881" spans="1:20" ht="30" customHeight="1" x14ac:dyDescent="0.35">
      <c r="A881" s="810" t="s">
        <v>6856</v>
      </c>
      <c r="B881" s="810" t="s">
        <v>3256</v>
      </c>
      <c r="C881" s="810"/>
      <c r="D881" s="810"/>
      <c r="E881" s="810"/>
      <c r="F881" s="810" t="s">
        <v>6857</v>
      </c>
      <c r="G881" s="810" t="s">
        <v>3256</v>
      </c>
      <c r="H881" s="794"/>
      <c r="I881" s="794"/>
      <c r="J881" s="794"/>
      <c r="K881" s="794"/>
      <c r="L881" s="794"/>
      <c r="M881" s="794"/>
      <c r="N881" s="794"/>
      <c r="O881" s="794"/>
      <c r="P881" s="794"/>
      <c r="Q881" s="794"/>
      <c r="R881" s="794"/>
      <c r="S881" s="794"/>
      <c r="T881" s="794"/>
    </row>
    <row r="882" spans="1:20" ht="30" customHeight="1" x14ac:dyDescent="0.35">
      <c r="A882" s="810" t="s">
        <v>6858</v>
      </c>
      <c r="B882" s="810" t="s">
        <v>3256</v>
      </c>
      <c r="C882" s="810"/>
      <c r="D882" s="810"/>
      <c r="E882" s="810"/>
      <c r="F882" s="810" t="s">
        <v>6859</v>
      </c>
      <c r="G882" s="810" t="s">
        <v>3256</v>
      </c>
      <c r="H882" s="794"/>
      <c r="I882" s="794"/>
      <c r="J882" s="794"/>
      <c r="K882" s="794"/>
      <c r="L882" s="794"/>
      <c r="M882" s="794"/>
      <c r="N882" s="794"/>
      <c r="O882" s="794"/>
      <c r="P882" s="794"/>
      <c r="Q882" s="794"/>
      <c r="R882" s="794"/>
      <c r="S882" s="794"/>
      <c r="T882" s="794"/>
    </row>
    <row r="883" spans="1:20" ht="30" customHeight="1" x14ac:dyDescent="0.35">
      <c r="A883" s="810" t="s">
        <v>6860</v>
      </c>
      <c r="B883" s="810" t="s">
        <v>3256</v>
      </c>
      <c r="C883" s="810"/>
      <c r="D883" s="810"/>
      <c r="E883" s="810"/>
      <c r="F883" s="810" t="s">
        <v>6861</v>
      </c>
      <c r="G883" s="810" t="s">
        <v>3256</v>
      </c>
      <c r="H883" s="794"/>
      <c r="I883" s="794"/>
      <c r="J883" s="794"/>
      <c r="K883" s="794"/>
      <c r="L883" s="794"/>
      <c r="M883" s="794"/>
      <c r="N883" s="794"/>
      <c r="O883" s="794"/>
      <c r="P883" s="794"/>
      <c r="Q883" s="794"/>
      <c r="R883" s="794"/>
      <c r="S883" s="794"/>
      <c r="T883" s="794"/>
    </row>
    <row r="884" spans="1:20" ht="30" customHeight="1" x14ac:dyDescent="0.35">
      <c r="A884" s="811" t="s">
        <v>6862</v>
      </c>
      <c r="B884" s="811" t="s">
        <v>6863</v>
      </c>
      <c r="C884" s="811"/>
      <c r="D884" s="811"/>
      <c r="E884" s="811"/>
      <c r="F884" s="811" t="s">
        <v>6864</v>
      </c>
      <c r="G884" s="811" t="s">
        <v>6863</v>
      </c>
      <c r="H884" s="794"/>
      <c r="I884" s="794"/>
      <c r="J884" s="794"/>
      <c r="K884" s="794"/>
      <c r="L884" s="794"/>
      <c r="M884" s="794"/>
      <c r="N884" s="794"/>
      <c r="O884" s="794"/>
      <c r="P884" s="794"/>
      <c r="Q884" s="794"/>
      <c r="R884" s="794"/>
      <c r="S884" s="794"/>
      <c r="T884" s="794"/>
    </row>
  </sheetData>
  <autoFilter ref="A10:G884" xr:uid="{00000000-0009-0000-0000-00000B000000}"/>
  <mergeCells count="6">
    <mergeCell ref="A9:G9"/>
    <mergeCell ref="A1:G1"/>
    <mergeCell ref="A2:G2"/>
    <mergeCell ref="A6:G6"/>
    <mergeCell ref="A7:G7"/>
    <mergeCell ref="A8:G8"/>
  </mergeCells>
  <hyperlinks>
    <hyperlink ref="A4" location="'URWLD COMPANY INPUTS'!A11" display="01 HoldCo / CLN" xr:uid="{00000000-0004-0000-0B00-000000000000}"/>
    <hyperlink ref="B4" location="'URWLD COMPANY INPUTS'!A34" display="02 Setup" xr:uid="{00000000-0004-0000-0B00-000001000000}"/>
    <hyperlink ref="C4" location="'URWLD COMPANY INPUTS'!A58" display="03 Whole Project" xr:uid="{00000000-0004-0000-0B00-000002000000}"/>
    <hyperlink ref="D4" location="'URWLD COMPANY INPUTS'!A115" display="04 Construction" xr:uid="{00000000-0004-0000-0B00-000003000000}"/>
    <hyperlink ref="E4" location="'URWLD COMPANY INPUTS'!A747" display="05 Funding" xr:uid="{00000000-0004-0000-0B00-000004000000}"/>
    <hyperlink ref="F4" location="'URWLD COMPANY INPUTS'!A759" display="06 Debt / Tax" xr:uid="{00000000-0004-0000-0B00-000005000000}"/>
    <hyperlink ref="A5" location="'URWLD COMPANY INPUTS'!A808" display="07 Valuation" xr:uid="{00000000-0004-0000-0B00-000006000000}"/>
    <hyperlink ref="B5" location="'URWLD COMPANY INPUTS'!A854" display="08 Decisions" xr:uid="{00000000-0004-0000-0B00-000007000000}"/>
    <hyperlink ref="C5" location="'INPUT REGISTER'!A1" display="Business Register" xr:uid="{00000000-0004-0000-0B00-000008000000}"/>
    <hyperlink ref="G11" location="'URWLD COMPANY INPUTS'!A1" display="TOP" xr:uid="{00000000-0004-0000-0B00-000009000000}"/>
    <hyperlink ref="G34" location="'URWLD COMPANY INPUTS'!A1" display="TOP" xr:uid="{00000000-0004-0000-0B00-00000A000000}"/>
    <hyperlink ref="G58" location="'URWLD COMPANY INPUTS'!A1" display="TOP" xr:uid="{00000000-0004-0000-0B00-00000B000000}"/>
    <hyperlink ref="G115" location="'URWLD COMPANY INPUTS'!A1" display="TOP" xr:uid="{00000000-0004-0000-0B00-00000C000000}"/>
    <hyperlink ref="G747" location="'URWLD COMPANY INPUTS'!A1" display="TOP" xr:uid="{00000000-0004-0000-0B00-00000D000000}"/>
    <hyperlink ref="G759" location="'URWLD COMPANY INPUTS'!A1" display="TOP" xr:uid="{00000000-0004-0000-0B00-00000E000000}"/>
    <hyperlink ref="G808" location="'URWLD COMPANY INPUTS'!A1" display="TOP" xr:uid="{00000000-0004-0000-0B00-00000F000000}"/>
    <hyperlink ref="G854" location="'URWLD COMPANY INPUTS'!A1" display="TOP" xr:uid="{00000000-0004-0000-0B00-00001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719"/>
  <sheetViews>
    <sheetView showGridLines="0" workbookViewId="0">
      <pane xSplit="1" ySplit="10" topLeftCell="B11" activePane="bottomRight" state="frozen"/>
      <selection pane="topRight"/>
      <selection pane="bottomLeft"/>
      <selection pane="bottomRight" activeCell="E14" sqref="E14"/>
    </sheetView>
  </sheetViews>
  <sheetFormatPr defaultRowHeight="14.5" x14ac:dyDescent="0.35"/>
  <cols>
    <col min="1" max="1" width="52" customWidth="1"/>
    <col min="2" max="2" width="12" customWidth="1"/>
    <col min="3" max="3" width="15" customWidth="1"/>
    <col min="4" max="5" width="14" customWidth="1"/>
    <col min="6" max="7" width="24" customWidth="1"/>
    <col min="8" max="8" width="22" hidden="1" customWidth="1"/>
    <col min="9" max="9" width="24" hidden="1" customWidth="1"/>
    <col min="10" max="10" width="34" hidden="1" customWidth="1"/>
    <col min="11" max="11" width="28" hidden="1" customWidth="1"/>
    <col min="12" max="12" width="24" hidden="1" customWidth="1"/>
    <col min="13" max="13" width="23" hidden="1" customWidth="1"/>
    <col min="14" max="14" width="28" hidden="1" customWidth="1"/>
    <col min="15" max="15" width="48" hidden="1" customWidth="1"/>
    <col min="16" max="16" width="18" hidden="1" customWidth="1"/>
    <col min="17" max="17" width="28" hidden="1" customWidth="1"/>
    <col min="18" max="18" width="11" hidden="1" customWidth="1"/>
    <col min="19" max="19" width="28" hidden="1" customWidth="1"/>
    <col min="20" max="20" width="34" hidden="1" customWidth="1"/>
  </cols>
  <sheetData>
    <row r="1" spans="1:20" ht="28" customHeight="1" x14ac:dyDescent="0.35">
      <c r="A1" s="1157" t="s">
        <v>6865</v>
      </c>
      <c r="B1" s="1157"/>
      <c r="C1" s="1157"/>
      <c r="D1" s="1157"/>
      <c r="E1" s="1157"/>
      <c r="F1" s="1157"/>
      <c r="G1" s="1157"/>
      <c r="H1" s="794"/>
      <c r="I1" s="794"/>
      <c r="J1" s="794"/>
      <c r="K1" s="794"/>
      <c r="L1" s="794"/>
      <c r="M1" s="794"/>
      <c r="N1" s="794"/>
      <c r="O1" s="794"/>
      <c r="P1" s="794"/>
      <c r="Q1" s="794"/>
      <c r="R1" s="794"/>
      <c r="S1" s="794"/>
      <c r="T1" s="794"/>
    </row>
    <row r="2" spans="1:20" ht="24" customHeight="1" x14ac:dyDescent="0.35">
      <c r="A2" s="1158" t="s">
        <v>6866</v>
      </c>
      <c r="B2" s="1158"/>
      <c r="C2" s="1158"/>
      <c r="D2" s="1158"/>
      <c r="E2" s="1158"/>
      <c r="F2" s="1158"/>
      <c r="G2" s="1158"/>
      <c r="H2" s="794"/>
      <c r="I2" s="794"/>
      <c r="J2" s="794"/>
      <c r="K2" s="794"/>
      <c r="L2" s="794"/>
      <c r="M2" s="794"/>
      <c r="N2" s="794"/>
      <c r="O2" s="794"/>
      <c r="P2" s="794"/>
      <c r="Q2" s="794"/>
      <c r="R2" s="794"/>
      <c r="S2" s="794"/>
      <c r="T2" s="794"/>
    </row>
    <row r="3" spans="1:20" ht="15" customHeight="1" x14ac:dyDescent="0.35">
      <c r="A3" s="795" t="s">
        <v>3710</v>
      </c>
      <c r="B3" s="795">
        <v>556</v>
      </c>
      <c r="C3" s="795" t="s">
        <v>6867</v>
      </c>
      <c r="D3" s="795">
        <v>831</v>
      </c>
      <c r="E3" s="795" t="s">
        <v>3712</v>
      </c>
      <c r="F3" s="795">
        <v>287</v>
      </c>
      <c r="G3" s="796" t="s">
        <v>3713</v>
      </c>
      <c r="H3" s="794"/>
      <c r="I3" s="794"/>
      <c r="J3" s="794"/>
      <c r="K3" s="794"/>
      <c r="L3" s="794"/>
      <c r="M3" s="794"/>
      <c r="N3" s="794"/>
      <c r="O3" s="794"/>
      <c r="P3" s="794"/>
      <c r="Q3" s="794"/>
      <c r="R3" s="794"/>
      <c r="S3" s="794"/>
      <c r="T3" s="794"/>
    </row>
    <row r="4" spans="1:20" ht="15" customHeight="1" x14ac:dyDescent="0.35">
      <c r="A4" s="797" t="s">
        <v>6868</v>
      </c>
      <c r="B4" s="797" t="s">
        <v>6869</v>
      </c>
      <c r="C4" s="797" t="s">
        <v>6870</v>
      </c>
      <c r="D4" s="797" t="s">
        <v>6871</v>
      </c>
      <c r="E4" s="797" t="s">
        <v>6872</v>
      </c>
      <c r="F4" s="797" t="s">
        <v>6873</v>
      </c>
      <c r="G4" s="797"/>
      <c r="H4" s="794"/>
      <c r="I4" s="794"/>
      <c r="J4" s="794"/>
      <c r="K4" s="794"/>
      <c r="L4" s="794"/>
      <c r="M4" s="794"/>
      <c r="N4" s="794"/>
      <c r="O4" s="794"/>
      <c r="P4" s="794"/>
      <c r="Q4" s="794"/>
      <c r="R4" s="794"/>
      <c r="S4" s="794"/>
      <c r="T4" s="794"/>
    </row>
    <row r="5" spans="1:20" ht="15" customHeight="1" x14ac:dyDescent="0.35">
      <c r="A5" s="797" t="s">
        <v>6874</v>
      </c>
      <c r="B5" s="797" t="s">
        <v>6875</v>
      </c>
      <c r="C5" s="797" t="s">
        <v>6876</v>
      </c>
      <c r="D5" s="797" t="s">
        <v>6877</v>
      </c>
      <c r="E5" s="797" t="s">
        <v>6878</v>
      </c>
      <c r="F5" s="797" t="s">
        <v>6879</v>
      </c>
      <c r="G5" s="797"/>
      <c r="H5" s="794"/>
      <c r="I5" s="794"/>
      <c r="J5" s="794"/>
      <c r="K5" s="794"/>
      <c r="L5" s="794"/>
      <c r="M5" s="794"/>
      <c r="N5" s="794"/>
      <c r="O5" s="794"/>
      <c r="P5" s="794"/>
      <c r="Q5" s="794"/>
      <c r="R5" s="794"/>
      <c r="S5" s="794"/>
      <c r="T5" s="794"/>
    </row>
    <row r="6" spans="1:20" ht="15" customHeight="1" x14ac:dyDescent="0.35">
      <c r="A6" s="1159" t="s">
        <v>6880</v>
      </c>
      <c r="B6" s="1159" t="s">
        <v>6881</v>
      </c>
      <c r="C6" s="1159"/>
      <c r="D6" s="1159"/>
      <c r="E6" s="1159"/>
      <c r="F6" s="1159"/>
      <c r="G6" s="1159"/>
      <c r="H6" s="794"/>
      <c r="I6" s="794"/>
      <c r="J6" s="794"/>
      <c r="K6" s="794"/>
      <c r="L6" s="794"/>
      <c r="M6" s="794"/>
      <c r="N6" s="794"/>
      <c r="O6" s="794"/>
      <c r="P6" s="794"/>
      <c r="Q6" s="794"/>
      <c r="R6" s="794"/>
      <c r="S6" s="794"/>
      <c r="T6" s="794"/>
    </row>
    <row r="7" spans="1:20" ht="15" customHeight="1" x14ac:dyDescent="0.35">
      <c r="A7" s="1159" t="s">
        <v>6882</v>
      </c>
      <c r="B7" s="1159"/>
      <c r="C7" s="1159"/>
      <c r="D7" s="1159"/>
      <c r="E7" s="1159"/>
      <c r="F7" s="1159"/>
      <c r="G7" s="1159"/>
      <c r="H7" s="794"/>
      <c r="I7" s="794"/>
      <c r="J7" s="794"/>
      <c r="K7" s="794"/>
      <c r="L7" s="794"/>
      <c r="M7" s="794"/>
      <c r="N7" s="794"/>
      <c r="O7" s="794"/>
      <c r="P7" s="794"/>
      <c r="Q7" s="794"/>
      <c r="R7" s="794"/>
      <c r="S7" s="794"/>
      <c r="T7" s="794"/>
    </row>
    <row r="8" spans="1:20" ht="15" customHeight="1" x14ac:dyDescent="0.35">
      <c r="A8" s="1160" t="s">
        <v>6883</v>
      </c>
      <c r="B8" s="1160"/>
      <c r="C8" s="1160"/>
      <c r="D8" s="1160"/>
      <c r="E8" s="1160"/>
      <c r="F8" s="1160"/>
      <c r="G8" s="1160"/>
      <c r="H8" s="794"/>
      <c r="I8" s="794"/>
      <c r="J8" s="794"/>
      <c r="K8" s="794"/>
      <c r="L8" s="794"/>
      <c r="M8" s="794"/>
      <c r="N8" s="794"/>
      <c r="O8" s="794"/>
      <c r="P8" s="794"/>
      <c r="Q8" s="794"/>
      <c r="R8" s="794"/>
      <c r="S8" s="794"/>
      <c r="T8" s="794"/>
    </row>
    <row r="9" spans="1:20" ht="15" customHeight="1" x14ac:dyDescent="0.35">
      <c r="A9" s="1156" t="s">
        <v>6884</v>
      </c>
      <c r="B9" s="1156"/>
      <c r="C9" s="1156"/>
      <c r="D9" s="1156"/>
      <c r="E9" s="1156"/>
      <c r="F9" s="1156"/>
      <c r="G9" s="1156"/>
      <c r="H9" s="794"/>
      <c r="I9" s="794"/>
      <c r="J9" s="794"/>
      <c r="K9" s="794"/>
      <c r="L9" s="794"/>
      <c r="M9" s="794"/>
      <c r="N9" s="794"/>
      <c r="O9" s="794"/>
      <c r="P9" s="794"/>
      <c r="Q9" s="794"/>
      <c r="R9" s="794"/>
      <c r="S9" s="794"/>
      <c r="T9" s="794"/>
    </row>
    <row r="10" spans="1:20" ht="22" customHeight="1" x14ac:dyDescent="0.35">
      <c r="A10" s="798" t="s">
        <v>3727</v>
      </c>
      <c r="B10" s="798" t="s">
        <v>1031</v>
      </c>
      <c r="C10" s="798" t="s">
        <v>1047</v>
      </c>
      <c r="D10" s="798" t="s">
        <v>3728</v>
      </c>
      <c r="E10" s="798" t="s">
        <v>3729</v>
      </c>
      <c r="F10" s="798" t="s">
        <v>3730</v>
      </c>
      <c r="G10" s="798" t="s">
        <v>622</v>
      </c>
      <c r="H10" s="798" t="s">
        <v>3731</v>
      </c>
      <c r="I10" s="798" t="s">
        <v>3362</v>
      </c>
      <c r="J10" s="798" t="s">
        <v>3732</v>
      </c>
      <c r="K10" s="798" t="s">
        <v>3733</v>
      </c>
      <c r="L10" s="798" t="s">
        <v>3734</v>
      </c>
      <c r="M10" s="798" t="s">
        <v>3735</v>
      </c>
      <c r="N10" s="798" t="s">
        <v>3736</v>
      </c>
      <c r="O10" s="798" t="s">
        <v>3737</v>
      </c>
      <c r="P10" s="798" t="s">
        <v>3738</v>
      </c>
      <c r="Q10" s="798" t="s">
        <v>3739</v>
      </c>
      <c r="R10" s="798" t="s">
        <v>3740</v>
      </c>
      <c r="S10" s="798" t="s">
        <v>3741</v>
      </c>
      <c r="T10" s="798" t="s">
        <v>3742</v>
      </c>
    </row>
    <row r="11" spans="1:20" ht="21" customHeight="1" x14ac:dyDescent="0.35">
      <c r="A11" s="801" t="s">
        <v>6885</v>
      </c>
      <c r="B11" s="801" t="s">
        <v>6886</v>
      </c>
      <c r="C11" s="801"/>
      <c r="D11" s="801"/>
      <c r="E11" s="801"/>
      <c r="F11" s="801"/>
      <c r="G11" s="801" t="s">
        <v>3745</v>
      </c>
      <c r="H11" s="794"/>
      <c r="I11" s="794"/>
      <c r="J11" s="794"/>
      <c r="K11" s="794"/>
      <c r="L11" s="794"/>
      <c r="M11" s="794"/>
      <c r="N11" s="794"/>
      <c r="O11" s="794"/>
      <c r="P11" s="794"/>
      <c r="Q11" s="794"/>
      <c r="R11" s="794"/>
      <c r="S11" s="794"/>
      <c r="T11" s="794"/>
    </row>
    <row r="12" spans="1:20" ht="15" customHeight="1" x14ac:dyDescent="0.35">
      <c r="A12" s="802" t="s">
        <v>6887</v>
      </c>
      <c r="B12" s="802"/>
      <c r="C12" s="802"/>
      <c r="D12" s="802"/>
      <c r="E12" s="802"/>
      <c r="F12" s="802"/>
      <c r="G12" s="802" t="s">
        <v>6888</v>
      </c>
      <c r="H12" s="794"/>
      <c r="I12" s="794"/>
      <c r="J12" s="794"/>
      <c r="K12" s="794"/>
      <c r="L12" s="794"/>
      <c r="M12" s="794"/>
      <c r="N12" s="794"/>
      <c r="O12" s="794"/>
      <c r="P12" s="794"/>
      <c r="Q12" s="794"/>
      <c r="R12" s="794"/>
      <c r="S12" s="794"/>
      <c r="T12" s="794"/>
    </row>
    <row r="13" spans="1:20" ht="15" customHeight="1" x14ac:dyDescent="0.35">
      <c r="A13" s="803" t="s">
        <v>6889</v>
      </c>
      <c r="B13" s="803"/>
      <c r="C13" s="803"/>
      <c r="D13" s="803"/>
      <c r="E13" s="803"/>
      <c r="F13" s="803"/>
      <c r="G13" s="803" t="s">
        <v>6890</v>
      </c>
      <c r="H13" s="794"/>
      <c r="I13" s="794"/>
      <c r="J13" s="794"/>
      <c r="K13" s="794"/>
      <c r="L13" s="794"/>
      <c r="M13" s="794"/>
      <c r="N13" s="794"/>
      <c r="O13" s="794"/>
      <c r="P13" s="794"/>
      <c r="Q13" s="794"/>
      <c r="R13" s="794"/>
      <c r="S13" s="794"/>
      <c r="T13" s="794"/>
    </row>
    <row r="14" spans="1:20" ht="15" customHeight="1" x14ac:dyDescent="0.35">
      <c r="A14" s="794" t="s">
        <v>4542</v>
      </c>
      <c r="B14" s="794" t="s">
        <v>3857</v>
      </c>
      <c r="C14" s="812" t="s">
        <v>3913</v>
      </c>
      <c r="D14" s="825">
        <v>88.814968814968793</v>
      </c>
      <c r="E14" s="825">
        <v>57.729729729729698</v>
      </c>
      <c r="F14" s="825">
        <v>481</v>
      </c>
      <c r="G14" s="814" t="s">
        <v>3858</v>
      </c>
      <c r="H14" s="813" t="s">
        <v>246</v>
      </c>
      <c r="I14" s="813" t="s">
        <v>3960</v>
      </c>
      <c r="J14" s="813" t="s">
        <v>6891</v>
      </c>
      <c r="K14" s="813" t="s">
        <v>3949</v>
      </c>
      <c r="L14" s="813" t="s">
        <v>3863</v>
      </c>
      <c r="M14" s="813" t="s">
        <v>3169</v>
      </c>
      <c r="N14" s="813" t="s">
        <v>6892</v>
      </c>
      <c r="O14" s="813" t="s">
        <v>3883</v>
      </c>
      <c r="P14" s="813" t="s">
        <v>6893</v>
      </c>
      <c r="Q14" s="813" t="s">
        <v>6894</v>
      </c>
      <c r="R14" s="813">
        <v>3</v>
      </c>
      <c r="S14" s="813" t="s">
        <v>3953</v>
      </c>
      <c r="T14" s="813" t="s">
        <v>6895</v>
      </c>
    </row>
    <row r="15" spans="1:20" ht="15" customHeight="1" x14ac:dyDescent="0.35">
      <c r="A15" s="794" t="s">
        <v>6896</v>
      </c>
      <c r="B15" s="794" t="s">
        <v>3857</v>
      </c>
      <c r="C15" s="812" t="s">
        <v>3913</v>
      </c>
      <c r="D15" s="825">
        <v>108.55162855162899</v>
      </c>
      <c r="E15" s="825">
        <v>70.558558558558602</v>
      </c>
      <c r="F15" s="825">
        <v>10</v>
      </c>
      <c r="G15" s="814" t="s">
        <v>3858</v>
      </c>
      <c r="H15" s="813" t="s">
        <v>246</v>
      </c>
      <c r="I15" s="813" t="s">
        <v>3960</v>
      </c>
      <c r="J15" s="813" t="s">
        <v>6891</v>
      </c>
      <c r="K15" s="813" t="s">
        <v>3949</v>
      </c>
      <c r="L15" s="813" t="s">
        <v>3863</v>
      </c>
      <c r="M15" s="813" t="s">
        <v>3169</v>
      </c>
      <c r="N15" s="813" t="s">
        <v>6897</v>
      </c>
      <c r="O15" s="813" t="s">
        <v>3883</v>
      </c>
      <c r="P15" s="813" t="s">
        <v>6898</v>
      </c>
      <c r="Q15" s="813" t="s">
        <v>6899</v>
      </c>
      <c r="R15" s="813">
        <v>3</v>
      </c>
      <c r="S15" s="813" t="s">
        <v>3953</v>
      </c>
      <c r="T15" s="813" t="s">
        <v>6895</v>
      </c>
    </row>
    <row r="16" spans="1:20" ht="15" customHeight="1" x14ac:dyDescent="0.35">
      <c r="A16" s="794" t="s">
        <v>6900</v>
      </c>
      <c r="B16" s="794" t="s">
        <v>3857</v>
      </c>
      <c r="C16" s="812" t="s">
        <v>3913</v>
      </c>
      <c r="D16" s="825">
        <v>0</v>
      </c>
      <c r="E16" s="825">
        <v>0</v>
      </c>
      <c r="F16" s="825">
        <v>0</v>
      </c>
      <c r="G16" s="814" t="s">
        <v>3858</v>
      </c>
      <c r="H16" s="813" t="s">
        <v>246</v>
      </c>
      <c r="I16" s="813" t="s">
        <v>3960</v>
      </c>
      <c r="J16" s="813" t="s">
        <v>6891</v>
      </c>
      <c r="K16" s="813" t="s">
        <v>3949</v>
      </c>
      <c r="L16" s="813" t="s">
        <v>3863</v>
      </c>
      <c r="M16" s="813" t="s">
        <v>3169</v>
      </c>
      <c r="N16" s="813" t="s">
        <v>6901</v>
      </c>
      <c r="O16" s="813" t="s">
        <v>3883</v>
      </c>
      <c r="P16" s="813" t="s">
        <v>6902</v>
      </c>
      <c r="Q16" s="813" t="s">
        <v>6903</v>
      </c>
      <c r="R16" s="813">
        <v>3</v>
      </c>
      <c r="S16" s="813" t="s">
        <v>3953</v>
      </c>
      <c r="T16" s="813" t="s">
        <v>6895</v>
      </c>
    </row>
    <row r="17" spans="1:20" ht="15" customHeight="1" x14ac:dyDescent="0.35">
      <c r="A17" s="794" t="s">
        <v>4546</v>
      </c>
      <c r="B17" s="794" t="s">
        <v>3857</v>
      </c>
      <c r="C17" s="812" t="s">
        <v>3913</v>
      </c>
      <c r="D17" s="825">
        <v>49.341649341649301</v>
      </c>
      <c r="E17" s="825">
        <v>32.072072072072103</v>
      </c>
      <c r="F17" s="825">
        <v>152</v>
      </c>
      <c r="G17" s="814" t="s">
        <v>3858</v>
      </c>
      <c r="H17" s="813" t="s">
        <v>246</v>
      </c>
      <c r="I17" s="813" t="s">
        <v>3960</v>
      </c>
      <c r="J17" s="813" t="s">
        <v>6891</v>
      </c>
      <c r="K17" s="813" t="s">
        <v>3949</v>
      </c>
      <c r="L17" s="813" t="s">
        <v>3863</v>
      </c>
      <c r="M17" s="813" t="s">
        <v>3169</v>
      </c>
      <c r="N17" s="813" t="s">
        <v>6904</v>
      </c>
      <c r="O17" s="813" t="s">
        <v>3883</v>
      </c>
      <c r="P17" s="813" t="s">
        <v>6905</v>
      </c>
      <c r="Q17" s="813" t="s">
        <v>6906</v>
      </c>
      <c r="R17" s="813">
        <v>3</v>
      </c>
      <c r="S17" s="813" t="s">
        <v>3953</v>
      </c>
      <c r="T17" s="813" t="s">
        <v>6895</v>
      </c>
    </row>
    <row r="18" spans="1:20" ht="15" customHeight="1" x14ac:dyDescent="0.35">
      <c r="A18" s="794" t="s">
        <v>6907</v>
      </c>
      <c r="B18" s="794" t="s">
        <v>3857</v>
      </c>
      <c r="C18" s="812" t="s">
        <v>3913</v>
      </c>
      <c r="D18" s="825">
        <v>0</v>
      </c>
      <c r="E18" s="825">
        <v>0</v>
      </c>
      <c r="F18" s="825">
        <v>0</v>
      </c>
      <c r="G18" s="814" t="s">
        <v>3858</v>
      </c>
      <c r="H18" s="813" t="s">
        <v>246</v>
      </c>
      <c r="I18" s="813" t="s">
        <v>3960</v>
      </c>
      <c r="J18" s="813" t="s">
        <v>6891</v>
      </c>
      <c r="K18" s="813" t="s">
        <v>3949</v>
      </c>
      <c r="L18" s="813" t="s">
        <v>3863</v>
      </c>
      <c r="M18" s="813" t="s">
        <v>3169</v>
      </c>
      <c r="N18" s="813" t="s">
        <v>6908</v>
      </c>
      <c r="O18" s="813" t="s">
        <v>3883</v>
      </c>
      <c r="P18" s="813" t="s">
        <v>6909</v>
      </c>
      <c r="Q18" s="813" t="s">
        <v>6910</v>
      </c>
      <c r="R18" s="813">
        <v>6</v>
      </c>
      <c r="S18" s="813" t="s">
        <v>3953</v>
      </c>
      <c r="T18" s="813" t="s">
        <v>6895</v>
      </c>
    </row>
    <row r="19" spans="1:20" ht="15" customHeight="1" x14ac:dyDescent="0.35">
      <c r="A19" s="794" t="s">
        <v>4550</v>
      </c>
      <c r="B19" s="794" t="s">
        <v>3857</v>
      </c>
      <c r="C19" s="812" t="s">
        <v>3913</v>
      </c>
      <c r="D19" s="825">
        <v>19.7366597366597</v>
      </c>
      <c r="E19" s="825">
        <v>12.828828828828801</v>
      </c>
      <c r="F19" s="825">
        <v>23</v>
      </c>
      <c r="G19" s="814" t="s">
        <v>3858</v>
      </c>
      <c r="H19" s="813" t="s">
        <v>246</v>
      </c>
      <c r="I19" s="813" t="s">
        <v>3960</v>
      </c>
      <c r="J19" s="813" t="s">
        <v>6891</v>
      </c>
      <c r="K19" s="813" t="s">
        <v>3949</v>
      </c>
      <c r="L19" s="813" t="s">
        <v>3863</v>
      </c>
      <c r="M19" s="813" t="s">
        <v>3169</v>
      </c>
      <c r="N19" s="813" t="s">
        <v>6911</v>
      </c>
      <c r="O19" s="813" t="s">
        <v>3883</v>
      </c>
      <c r="P19" s="813" t="s">
        <v>6912</v>
      </c>
      <c r="Q19" s="813" t="s">
        <v>6913</v>
      </c>
      <c r="R19" s="813">
        <v>3</v>
      </c>
      <c r="S19" s="813" t="s">
        <v>3953</v>
      </c>
      <c r="T19" s="813" t="s">
        <v>6895</v>
      </c>
    </row>
    <row r="20" spans="1:20" ht="15" customHeight="1" x14ac:dyDescent="0.35">
      <c r="A20" s="794" t="s">
        <v>6914</v>
      </c>
      <c r="B20" s="794" t="s">
        <v>3857</v>
      </c>
      <c r="C20" s="812" t="s">
        <v>3913</v>
      </c>
      <c r="D20" s="825"/>
      <c r="E20" s="825"/>
      <c r="F20" s="825">
        <v>0</v>
      </c>
      <c r="G20" s="814" t="s">
        <v>3858</v>
      </c>
      <c r="H20" s="813" t="s">
        <v>246</v>
      </c>
      <c r="I20" s="813" t="s">
        <v>3960</v>
      </c>
      <c r="J20" s="813" t="s">
        <v>6891</v>
      </c>
      <c r="K20" s="813" t="s">
        <v>3949</v>
      </c>
      <c r="L20" s="813" t="s">
        <v>3863</v>
      </c>
      <c r="M20" s="813" t="s">
        <v>3169</v>
      </c>
      <c r="N20" s="813" t="s">
        <v>6915</v>
      </c>
      <c r="O20" s="813" t="s">
        <v>3883</v>
      </c>
      <c r="P20" s="813" t="s">
        <v>6916</v>
      </c>
      <c r="Q20" s="813" t="s">
        <v>6917</v>
      </c>
      <c r="R20" s="813">
        <v>1</v>
      </c>
      <c r="S20" s="813" t="s">
        <v>3953</v>
      </c>
      <c r="T20" s="813" t="s">
        <v>6895</v>
      </c>
    </row>
    <row r="21" spans="1:20" ht="15" customHeight="1" x14ac:dyDescent="0.35">
      <c r="A21" s="794" t="s">
        <v>6918</v>
      </c>
      <c r="B21" s="794" t="s">
        <v>3857</v>
      </c>
      <c r="C21" s="812" t="s">
        <v>3913</v>
      </c>
      <c r="D21" s="825">
        <v>0</v>
      </c>
      <c r="E21" s="825">
        <v>0</v>
      </c>
      <c r="F21" s="825">
        <v>0</v>
      </c>
      <c r="G21" s="814" t="s">
        <v>3858</v>
      </c>
      <c r="H21" s="813" t="s">
        <v>246</v>
      </c>
      <c r="I21" s="813" t="s">
        <v>3960</v>
      </c>
      <c r="J21" s="813" t="s">
        <v>6891</v>
      </c>
      <c r="K21" s="813" t="s">
        <v>3949</v>
      </c>
      <c r="L21" s="813" t="s">
        <v>3863</v>
      </c>
      <c r="M21" s="813" t="s">
        <v>3169</v>
      </c>
      <c r="N21" s="813" t="s">
        <v>6919</v>
      </c>
      <c r="O21" s="813" t="s">
        <v>3883</v>
      </c>
      <c r="P21" s="813" t="s">
        <v>6920</v>
      </c>
      <c r="Q21" s="813" t="s">
        <v>6921</v>
      </c>
      <c r="R21" s="813">
        <v>3</v>
      </c>
      <c r="S21" s="813" t="s">
        <v>3953</v>
      </c>
      <c r="T21" s="813" t="s">
        <v>6895</v>
      </c>
    </row>
    <row r="22" spans="1:20" ht="15" customHeight="1" x14ac:dyDescent="0.35">
      <c r="A22" s="794" t="s">
        <v>6922</v>
      </c>
      <c r="B22" s="794" t="s">
        <v>3857</v>
      </c>
      <c r="C22" s="812" t="s">
        <v>3913</v>
      </c>
      <c r="D22" s="825">
        <v>108.55162855162899</v>
      </c>
      <c r="E22" s="825">
        <v>70.558558558558602</v>
      </c>
      <c r="F22" s="825">
        <v>5</v>
      </c>
      <c r="G22" s="814" t="s">
        <v>3858</v>
      </c>
      <c r="H22" s="813" t="s">
        <v>246</v>
      </c>
      <c r="I22" s="813" t="s">
        <v>3960</v>
      </c>
      <c r="J22" s="813" t="s">
        <v>6891</v>
      </c>
      <c r="K22" s="813" t="s">
        <v>3949</v>
      </c>
      <c r="L22" s="813" t="s">
        <v>3863</v>
      </c>
      <c r="M22" s="813" t="s">
        <v>3169</v>
      </c>
      <c r="N22" s="813" t="s">
        <v>6923</v>
      </c>
      <c r="O22" s="813" t="s">
        <v>3883</v>
      </c>
      <c r="P22" s="813" t="s">
        <v>6924</v>
      </c>
      <c r="Q22" s="813" t="s">
        <v>6925</v>
      </c>
      <c r="R22" s="813">
        <v>3</v>
      </c>
      <c r="S22" s="813" t="s">
        <v>3953</v>
      </c>
      <c r="T22" s="813" t="s">
        <v>6895</v>
      </c>
    </row>
    <row r="23" spans="1:20" ht="15" customHeight="1" x14ac:dyDescent="0.35">
      <c r="A23" s="794" t="s">
        <v>4558</v>
      </c>
      <c r="B23" s="794" t="s">
        <v>3857</v>
      </c>
      <c r="C23" s="812" t="s">
        <v>3913</v>
      </c>
      <c r="D23" s="825">
        <v>44.407484407484397</v>
      </c>
      <c r="E23" s="825">
        <v>28.864864864864899</v>
      </c>
      <c r="F23" s="825">
        <v>159</v>
      </c>
      <c r="G23" s="814" t="s">
        <v>3858</v>
      </c>
      <c r="H23" s="813" t="s">
        <v>246</v>
      </c>
      <c r="I23" s="813" t="s">
        <v>3960</v>
      </c>
      <c r="J23" s="813" t="s">
        <v>6891</v>
      </c>
      <c r="K23" s="813" t="s">
        <v>3949</v>
      </c>
      <c r="L23" s="813" t="s">
        <v>3863</v>
      </c>
      <c r="M23" s="813" t="s">
        <v>3169</v>
      </c>
      <c r="N23" s="813" t="s">
        <v>6926</v>
      </c>
      <c r="O23" s="813" t="s">
        <v>3883</v>
      </c>
      <c r="P23" s="813" t="s">
        <v>6927</v>
      </c>
      <c r="Q23" s="813" t="s">
        <v>6928</v>
      </c>
      <c r="R23" s="813">
        <v>3</v>
      </c>
      <c r="S23" s="813" t="s">
        <v>3953</v>
      </c>
      <c r="T23" s="813" t="s">
        <v>6895</v>
      </c>
    </row>
    <row r="24" spans="1:20" ht="15" customHeight="1" x14ac:dyDescent="0.35">
      <c r="A24" s="794" t="s">
        <v>6929</v>
      </c>
      <c r="B24" s="794" t="s">
        <v>3857</v>
      </c>
      <c r="C24" s="812" t="s">
        <v>3913</v>
      </c>
      <c r="D24" s="825"/>
      <c r="E24" s="825"/>
      <c r="F24" s="825">
        <v>0</v>
      </c>
      <c r="G24" s="814" t="s">
        <v>3858</v>
      </c>
      <c r="H24" s="813" t="s">
        <v>246</v>
      </c>
      <c r="I24" s="813" t="s">
        <v>3960</v>
      </c>
      <c r="J24" s="813" t="s">
        <v>6891</v>
      </c>
      <c r="K24" s="813" t="s">
        <v>3949</v>
      </c>
      <c r="L24" s="813" t="s">
        <v>3863</v>
      </c>
      <c r="M24" s="813" t="s">
        <v>3169</v>
      </c>
      <c r="N24" s="813" t="s">
        <v>6930</v>
      </c>
      <c r="O24" s="813" t="s">
        <v>3883</v>
      </c>
      <c r="P24" s="813" t="s">
        <v>6931</v>
      </c>
      <c r="Q24" s="813" t="s">
        <v>6932</v>
      </c>
      <c r="R24" s="813">
        <v>1</v>
      </c>
      <c r="S24" s="813" t="s">
        <v>3953</v>
      </c>
      <c r="T24" s="813" t="s">
        <v>6895</v>
      </c>
    </row>
    <row r="25" spans="1:20" ht="15" customHeight="1" x14ac:dyDescent="0.35">
      <c r="A25" s="794" t="s">
        <v>6933</v>
      </c>
      <c r="B25" s="794" t="s">
        <v>3857</v>
      </c>
      <c r="C25" s="812" t="s">
        <v>3913</v>
      </c>
      <c r="D25" s="825">
        <v>0</v>
      </c>
      <c r="E25" s="825">
        <v>0</v>
      </c>
      <c r="F25" s="825">
        <v>0</v>
      </c>
      <c r="G25" s="814" t="s">
        <v>3858</v>
      </c>
      <c r="H25" s="813" t="s">
        <v>246</v>
      </c>
      <c r="I25" s="813" t="s">
        <v>3960</v>
      </c>
      <c r="J25" s="813" t="s">
        <v>6891</v>
      </c>
      <c r="K25" s="813" t="s">
        <v>3949</v>
      </c>
      <c r="L25" s="813" t="s">
        <v>3863</v>
      </c>
      <c r="M25" s="813" t="s">
        <v>3169</v>
      </c>
      <c r="N25" s="813" t="s">
        <v>6934</v>
      </c>
      <c r="O25" s="813" t="s">
        <v>3883</v>
      </c>
      <c r="P25" s="813" t="s">
        <v>6935</v>
      </c>
      <c r="Q25" s="813" t="s">
        <v>6936</v>
      </c>
      <c r="R25" s="813">
        <v>3</v>
      </c>
      <c r="S25" s="813" t="s">
        <v>3953</v>
      </c>
      <c r="T25" s="813" t="s">
        <v>6895</v>
      </c>
    </row>
    <row r="26" spans="1:20" ht="15" customHeight="1" x14ac:dyDescent="0.35">
      <c r="A26" s="794" t="s">
        <v>6922</v>
      </c>
      <c r="B26" s="794" t="s">
        <v>3857</v>
      </c>
      <c r="C26" s="812" t="s">
        <v>3913</v>
      </c>
      <c r="D26" s="825">
        <v>98.8322938322938</v>
      </c>
      <c r="E26" s="825">
        <v>64.240990990990994</v>
      </c>
      <c r="F26" s="825">
        <v>5</v>
      </c>
      <c r="G26" s="814" t="s">
        <v>3858</v>
      </c>
      <c r="H26" s="813" t="s">
        <v>246</v>
      </c>
      <c r="I26" s="813" t="s">
        <v>3960</v>
      </c>
      <c r="J26" s="813" t="s">
        <v>6891</v>
      </c>
      <c r="K26" s="813" t="s">
        <v>3949</v>
      </c>
      <c r="L26" s="813" t="s">
        <v>3863</v>
      </c>
      <c r="M26" s="813" t="s">
        <v>3169</v>
      </c>
      <c r="N26" s="813" t="s">
        <v>6937</v>
      </c>
      <c r="O26" s="813" t="s">
        <v>3883</v>
      </c>
      <c r="P26" s="813" t="s">
        <v>6938</v>
      </c>
      <c r="Q26" s="813" t="s">
        <v>6939</v>
      </c>
      <c r="R26" s="813">
        <v>3</v>
      </c>
      <c r="S26" s="813" t="s">
        <v>3953</v>
      </c>
      <c r="T26" s="813" t="s">
        <v>6895</v>
      </c>
    </row>
    <row r="27" spans="1:20" ht="15" customHeight="1" x14ac:dyDescent="0.35">
      <c r="A27" s="794" t="s">
        <v>6940</v>
      </c>
      <c r="B27" s="794" t="s">
        <v>3857</v>
      </c>
      <c r="C27" s="812" t="s">
        <v>3913</v>
      </c>
      <c r="D27" s="825">
        <v>24.6708246708247</v>
      </c>
      <c r="E27" s="825">
        <v>16.036036036035998</v>
      </c>
      <c r="F27" s="825">
        <v>45</v>
      </c>
      <c r="G27" s="814" t="s">
        <v>3858</v>
      </c>
      <c r="H27" s="813" t="s">
        <v>246</v>
      </c>
      <c r="I27" s="813" t="s">
        <v>3960</v>
      </c>
      <c r="J27" s="813" t="s">
        <v>6891</v>
      </c>
      <c r="K27" s="813" t="s">
        <v>3949</v>
      </c>
      <c r="L27" s="813" t="s">
        <v>3863</v>
      </c>
      <c r="M27" s="813" t="s">
        <v>3169</v>
      </c>
      <c r="N27" s="813" t="s">
        <v>6941</v>
      </c>
      <c r="O27" s="813" t="s">
        <v>3883</v>
      </c>
      <c r="P27" s="813" t="s">
        <v>6942</v>
      </c>
      <c r="Q27" s="813" t="s">
        <v>6943</v>
      </c>
      <c r="R27" s="813">
        <v>3</v>
      </c>
      <c r="S27" s="813" t="s">
        <v>3953</v>
      </c>
      <c r="T27" s="813" t="s">
        <v>6895</v>
      </c>
    </row>
    <row r="28" spans="1:20" ht="15" customHeight="1" x14ac:dyDescent="0.35">
      <c r="A28" s="794" t="s">
        <v>6944</v>
      </c>
      <c r="B28" s="794" t="s">
        <v>3857</v>
      </c>
      <c r="C28" s="812" t="s">
        <v>3913</v>
      </c>
      <c r="D28" s="825">
        <v>19.187803187803201</v>
      </c>
      <c r="E28" s="825">
        <v>12.4720720720721</v>
      </c>
      <c r="F28" s="825">
        <v>177</v>
      </c>
      <c r="G28" s="814" t="s">
        <v>3858</v>
      </c>
      <c r="H28" s="813" t="s">
        <v>246</v>
      </c>
      <c r="I28" s="813" t="s">
        <v>3960</v>
      </c>
      <c r="J28" s="813" t="s">
        <v>6891</v>
      </c>
      <c r="K28" s="813" t="s">
        <v>3949</v>
      </c>
      <c r="L28" s="813" t="s">
        <v>3863</v>
      </c>
      <c r="M28" s="813" t="s">
        <v>3169</v>
      </c>
      <c r="N28" s="813" t="s">
        <v>6945</v>
      </c>
      <c r="O28" s="813" t="s">
        <v>3883</v>
      </c>
      <c r="P28" s="813" t="s">
        <v>6946</v>
      </c>
      <c r="Q28" s="813" t="s">
        <v>6947</v>
      </c>
      <c r="R28" s="813">
        <v>3</v>
      </c>
      <c r="S28" s="813" t="s">
        <v>3953</v>
      </c>
      <c r="T28" s="813" t="s">
        <v>6895</v>
      </c>
    </row>
    <row r="29" spans="1:20" ht="15" customHeight="1" x14ac:dyDescent="0.35">
      <c r="A29" s="794" t="s">
        <v>6896</v>
      </c>
      <c r="B29" s="794" t="s">
        <v>3857</v>
      </c>
      <c r="C29" s="812" t="s">
        <v>3913</v>
      </c>
      <c r="D29" s="825">
        <v>108.55162855162899</v>
      </c>
      <c r="E29" s="825">
        <v>70.558558558558502</v>
      </c>
      <c r="F29" s="825">
        <v>3</v>
      </c>
      <c r="G29" s="814" t="s">
        <v>3858</v>
      </c>
      <c r="H29" s="813" t="s">
        <v>246</v>
      </c>
      <c r="I29" s="813" t="s">
        <v>3960</v>
      </c>
      <c r="J29" s="813" t="s">
        <v>6891</v>
      </c>
      <c r="K29" s="813" t="s">
        <v>3949</v>
      </c>
      <c r="L29" s="813" t="s">
        <v>3863</v>
      </c>
      <c r="M29" s="813" t="s">
        <v>3169</v>
      </c>
      <c r="N29" s="813" t="s">
        <v>6948</v>
      </c>
      <c r="O29" s="813" t="s">
        <v>3883</v>
      </c>
      <c r="P29" s="813" t="s">
        <v>6949</v>
      </c>
      <c r="Q29" s="813" t="s">
        <v>6950</v>
      </c>
      <c r="R29" s="813">
        <v>6</v>
      </c>
      <c r="S29" s="813" t="s">
        <v>3953</v>
      </c>
      <c r="T29" s="813" t="s">
        <v>6895</v>
      </c>
    </row>
    <row r="30" spans="1:20" ht="15" customHeight="1" x14ac:dyDescent="0.35">
      <c r="A30" s="794" t="s">
        <v>6951</v>
      </c>
      <c r="B30" s="794" t="s">
        <v>3857</v>
      </c>
      <c r="C30" s="812" t="s">
        <v>3913</v>
      </c>
      <c r="D30" s="825"/>
      <c r="E30" s="825"/>
      <c r="F30" s="825">
        <v>0</v>
      </c>
      <c r="G30" s="814" t="s">
        <v>3858</v>
      </c>
      <c r="H30" s="813" t="s">
        <v>246</v>
      </c>
      <c r="I30" s="813" t="s">
        <v>3960</v>
      </c>
      <c r="J30" s="813" t="s">
        <v>6891</v>
      </c>
      <c r="K30" s="813" t="s">
        <v>3949</v>
      </c>
      <c r="L30" s="813" t="s">
        <v>3863</v>
      </c>
      <c r="M30" s="813" t="s">
        <v>3169</v>
      </c>
      <c r="N30" s="813" t="s">
        <v>6952</v>
      </c>
      <c r="O30" s="813" t="s">
        <v>3883</v>
      </c>
      <c r="P30" s="813" t="s">
        <v>6953</v>
      </c>
      <c r="Q30" s="813" t="s">
        <v>6954</v>
      </c>
      <c r="R30" s="813">
        <v>1</v>
      </c>
      <c r="S30" s="813" t="s">
        <v>3953</v>
      </c>
      <c r="T30" s="813" t="s">
        <v>6895</v>
      </c>
    </row>
    <row r="31" spans="1:20" ht="15" customHeight="1" x14ac:dyDescent="0.35">
      <c r="A31" s="794" t="s">
        <v>6955</v>
      </c>
      <c r="B31" s="794" t="s">
        <v>3857</v>
      </c>
      <c r="C31" s="812" t="s">
        <v>3913</v>
      </c>
      <c r="D31" s="825">
        <v>24.6708246708247</v>
      </c>
      <c r="E31" s="825">
        <v>16.036036036035998</v>
      </c>
      <c r="F31" s="825">
        <v>34</v>
      </c>
      <c r="G31" s="814" t="s">
        <v>3858</v>
      </c>
      <c r="H31" s="813" t="s">
        <v>246</v>
      </c>
      <c r="I31" s="813" t="s">
        <v>3960</v>
      </c>
      <c r="J31" s="813" t="s">
        <v>6891</v>
      </c>
      <c r="K31" s="813" t="s">
        <v>3949</v>
      </c>
      <c r="L31" s="813" t="s">
        <v>3863</v>
      </c>
      <c r="M31" s="813" t="s">
        <v>3169</v>
      </c>
      <c r="N31" s="813" t="s">
        <v>6956</v>
      </c>
      <c r="O31" s="813" t="s">
        <v>3883</v>
      </c>
      <c r="P31" s="813" t="s">
        <v>6957</v>
      </c>
      <c r="Q31" s="813" t="s">
        <v>6958</v>
      </c>
      <c r="R31" s="813">
        <v>3</v>
      </c>
      <c r="S31" s="813" t="s">
        <v>3953</v>
      </c>
      <c r="T31" s="813" t="s">
        <v>6895</v>
      </c>
    </row>
    <row r="32" spans="1:20" ht="15" customHeight="1" x14ac:dyDescent="0.35">
      <c r="A32" s="794" t="s">
        <v>6959</v>
      </c>
      <c r="B32" s="794" t="s">
        <v>3857</v>
      </c>
      <c r="C32" s="812" t="s">
        <v>3913</v>
      </c>
      <c r="D32" s="825"/>
      <c r="E32" s="825"/>
      <c r="F32" s="825">
        <v>0</v>
      </c>
      <c r="G32" s="814" t="s">
        <v>3858</v>
      </c>
      <c r="H32" s="813" t="s">
        <v>246</v>
      </c>
      <c r="I32" s="813" t="s">
        <v>3960</v>
      </c>
      <c r="J32" s="813" t="s">
        <v>6891</v>
      </c>
      <c r="K32" s="813" t="s">
        <v>3949</v>
      </c>
      <c r="L32" s="813" t="s">
        <v>3863</v>
      </c>
      <c r="M32" s="813" t="s">
        <v>3169</v>
      </c>
      <c r="N32" s="813" t="s">
        <v>6960</v>
      </c>
      <c r="O32" s="813" t="s">
        <v>3883</v>
      </c>
      <c r="P32" s="813" t="s">
        <v>6961</v>
      </c>
      <c r="Q32" s="813" t="s">
        <v>6962</v>
      </c>
      <c r="R32" s="813">
        <v>1</v>
      </c>
      <c r="S32" s="813" t="s">
        <v>3953</v>
      </c>
      <c r="T32" s="813" t="s">
        <v>6895</v>
      </c>
    </row>
    <row r="33" spans="1:20" ht="15" customHeight="1" x14ac:dyDescent="0.35">
      <c r="A33" s="794" t="s">
        <v>6963</v>
      </c>
      <c r="B33" s="794" t="s">
        <v>3857</v>
      </c>
      <c r="C33" s="812" t="s">
        <v>3913</v>
      </c>
      <c r="D33" s="825">
        <v>19.187803187803201</v>
      </c>
      <c r="E33" s="825">
        <v>12.4720720720721</v>
      </c>
      <c r="F33" s="825">
        <v>38</v>
      </c>
      <c r="G33" s="814" t="s">
        <v>3858</v>
      </c>
      <c r="H33" s="813" t="s">
        <v>246</v>
      </c>
      <c r="I33" s="813" t="s">
        <v>3960</v>
      </c>
      <c r="J33" s="813" t="s">
        <v>6891</v>
      </c>
      <c r="K33" s="813" t="s">
        <v>3949</v>
      </c>
      <c r="L33" s="813" t="s">
        <v>3863</v>
      </c>
      <c r="M33" s="813" t="s">
        <v>3169</v>
      </c>
      <c r="N33" s="813" t="s">
        <v>6964</v>
      </c>
      <c r="O33" s="813" t="s">
        <v>3883</v>
      </c>
      <c r="P33" s="813" t="s">
        <v>6965</v>
      </c>
      <c r="Q33" s="813" t="s">
        <v>6966</v>
      </c>
      <c r="R33" s="813">
        <v>3</v>
      </c>
      <c r="S33" s="813" t="s">
        <v>3953</v>
      </c>
      <c r="T33" s="813" t="s">
        <v>6895</v>
      </c>
    </row>
    <row r="34" spans="1:20" ht="15" customHeight="1" x14ac:dyDescent="0.35">
      <c r="A34" s="794" t="s">
        <v>6967</v>
      </c>
      <c r="B34" s="794" t="s">
        <v>3857</v>
      </c>
      <c r="C34" s="812" t="s">
        <v>3913</v>
      </c>
      <c r="D34" s="825"/>
      <c r="E34" s="825"/>
      <c r="F34" s="825">
        <v>0</v>
      </c>
      <c r="G34" s="814" t="s">
        <v>3858</v>
      </c>
      <c r="H34" s="813" t="s">
        <v>246</v>
      </c>
      <c r="I34" s="813" t="s">
        <v>3960</v>
      </c>
      <c r="J34" s="813" t="s">
        <v>6891</v>
      </c>
      <c r="K34" s="813" t="s">
        <v>3949</v>
      </c>
      <c r="L34" s="813" t="s">
        <v>3863</v>
      </c>
      <c r="M34" s="813" t="s">
        <v>3169</v>
      </c>
      <c r="N34" s="813" t="s">
        <v>6968</v>
      </c>
      <c r="O34" s="813" t="s">
        <v>3883</v>
      </c>
      <c r="P34" s="813" t="s">
        <v>6969</v>
      </c>
      <c r="Q34" s="813" t="s">
        <v>6970</v>
      </c>
      <c r="R34" s="813">
        <v>1</v>
      </c>
      <c r="S34" s="813" t="s">
        <v>3953</v>
      </c>
      <c r="T34" s="813" t="s">
        <v>6895</v>
      </c>
    </row>
    <row r="35" spans="1:20" ht="15" customHeight="1" x14ac:dyDescent="0.35">
      <c r="A35" s="794" t="s">
        <v>6971</v>
      </c>
      <c r="B35" s="794" t="s">
        <v>3857</v>
      </c>
      <c r="C35" s="812" t="s">
        <v>3913</v>
      </c>
      <c r="D35" s="825">
        <v>11.8419958419958</v>
      </c>
      <c r="E35" s="825">
        <v>7.6972972972973004</v>
      </c>
      <c r="F35" s="825">
        <v>76</v>
      </c>
      <c r="G35" s="814" t="s">
        <v>3858</v>
      </c>
      <c r="H35" s="813" t="s">
        <v>246</v>
      </c>
      <c r="I35" s="813" t="s">
        <v>3960</v>
      </c>
      <c r="J35" s="813" t="s">
        <v>6891</v>
      </c>
      <c r="K35" s="813" t="s">
        <v>3949</v>
      </c>
      <c r="L35" s="813" t="s">
        <v>3863</v>
      </c>
      <c r="M35" s="813" t="s">
        <v>3169</v>
      </c>
      <c r="N35" s="813" t="s">
        <v>6972</v>
      </c>
      <c r="O35" s="813" t="s">
        <v>3883</v>
      </c>
      <c r="P35" s="813" t="s">
        <v>6973</v>
      </c>
      <c r="Q35" s="813" t="s">
        <v>6974</v>
      </c>
      <c r="R35" s="813">
        <v>3</v>
      </c>
      <c r="S35" s="813" t="s">
        <v>3953</v>
      </c>
      <c r="T35" s="813" t="s">
        <v>6895</v>
      </c>
    </row>
    <row r="36" spans="1:20" ht="15" customHeight="1" x14ac:dyDescent="0.35">
      <c r="A36" s="794" t="s">
        <v>6975</v>
      </c>
      <c r="B36" s="794" t="s">
        <v>3857</v>
      </c>
      <c r="C36" s="812" t="s">
        <v>3913</v>
      </c>
      <c r="D36" s="825">
        <v>4.8426888426888404</v>
      </c>
      <c r="E36" s="825">
        <v>3.1477477477477498</v>
      </c>
      <c r="F36" s="825">
        <v>76</v>
      </c>
      <c r="G36" s="814" t="s">
        <v>3858</v>
      </c>
      <c r="H36" s="813" t="s">
        <v>246</v>
      </c>
      <c r="I36" s="813" t="s">
        <v>3960</v>
      </c>
      <c r="J36" s="813" t="s">
        <v>6891</v>
      </c>
      <c r="K36" s="813" t="s">
        <v>3949</v>
      </c>
      <c r="L36" s="813" t="s">
        <v>3863</v>
      </c>
      <c r="M36" s="813" t="s">
        <v>3169</v>
      </c>
      <c r="N36" s="813" t="s">
        <v>6976</v>
      </c>
      <c r="O36" s="813" t="s">
        <v>3883</v>
      </c>
      <c r="P36" s="813" t="s">
        <v>6977</v>
      </c>
      <c r="Q36" s="813" t="s">
        <v>6978</v>
      </c>
      <c r="R36" s="813">
        <v>3</v>
      </c>
      <c r="S36" s="813" t="s">
        <v>3953</v>
      </c>
      <c r="T36" s="813" t="s">
        <v>6895</v>
      </c>
    </row>
    <row r="37" spans="1:20" ht="15" customHeight="1" x14ac:dyDescent="0.35">
      <c r="A37" s="794" t="s">
        <v>6979</v>
      </c>
      <c r="B37" s="794" t="s">
        <v>3857</v>
      </c>
      <c r="C37" s="812" t="s">
        <v>3913</v>
      </c>
      <c r="D37" s="825">
        <v>8.6756756756756808</v>
      </c>
      <c r="E37" s="825">
        <v>5.6391891891891897</v>
      </c>
      <c r="F37" s="825">
        <v>85</v>
      </c>
      <c r="G37" s="814" t="s">
        <v>3858</v>
      </c>
      <c r="H37" s="813" t="s">
        <v>246</v>
      </c>
      <c r="I37" s="813" t="s">
        <v>3960</v>
      </c>
      <c r="J37" s="813" t="s">
        <v>6891</v>
      </c>
      <c r="K37" s="813" t="s">
        <v>3949</v>
      </c>
      <c r="L37" s="813" t="s">
        <v>3863</v>
      </c>
      <c r="M37" s="813" t="s">
        <v>3169</v>
      </c>
      <c r="N37" s="813" t="s">
        <v>6980</v>
      </c>
      <c r="O37" s="813" t="s">
        <v>3883</v>
      </c>
      <c r="P37" s="813" t="s">
        <v>6981</v>
      </c>
      <c r="Q37" s="813" t="s">
        <v>6982</v>
      </c>
      <c r="R37" s="813">
        <v>3</v>
      </c>
      <c r="S37" s="813" t="s">
        <v>3953</v>
      </c>
      <c r="T37" s="813" t="s">
        <v>6895</v>
      </c>
    </row>
    <row r="38" spans="1:20" ht="15" customHeight="1" x14ac:dyDescent="0.35">
      <c r="A38" s="794" t="s">
        <v>6983</v>
      </c>
      <c r="B38" s="794" t="s">
        <v>3857</v>
      </c>
      <c r="C38" s="812" t="s">
        <v>3913</v>
      </c>
      <c r="D38" s="825">
        <v>59.209979209979203</v>
      </c>
      <c r="E38" s="825">
        <v>38.486486486486498</v>
      </c>
      <c r="F38" s="825">
        <v>31</v>
      </c>
      <c r="G38" s="814" t="s">
        <v>3858</v>
      </c>
      <c r="H38" s="813" t="s">
        <v>246</v>
      </c>
      <c r="I38" s="813" t="s">
        <v>3960</v>
      </c>
      <c r="J38" s="813" t="s">
        <v>6891</v>
      </c>
      <c r="K38" s="813" t="s">
        <v>3949</v>
      </c>
      <c r="L38" s="813" t="s">
        <v>3863</v>
      </c>
      <c r="M38" s="813" t="s">
        <v>3169</v>
      </c>
      <c r="N38" s="813" t="s">
        <v>6984</v>
      </c>
      <c r="O38" s="813" t="s">
        <v>3883</v>
      </c>
      <c r="P38" s="813" t="s">
        <v>6985</v>
      </c>
      <c r="Q38" s="813" t="s">
        <v>6986</v>
      </c>
      <c r="R38" s="813">
        <v>3</v>
      </c>
      <c r="S38" s="813" t="s">
        <v>3953</v>
      </c>
      <c r="T38" s="813" t="s">
        <v>6895</v>
      </c>
    </row>
    <row r="39" spans="1:20" ht="15" customHeight="1" x14ac:dyDescent="0.35">
      <c r="A39" s="794" t="s">
        <v>6987</v>
      </c>
      <c r="B39" s="794" t="s">
        <v>3857</v>
      </c>
      <c r="C39" s="812" t="s">
        <v>3913</v>
      </c>
      <c r="D39" s="825">
        <v>39.473319473319499</v>
      </c>
      <c r="E39" s="825">
        <v>25.657657657657701</v>
      </c>
      <c r="F39" s="825">
        <v>44</v>
      </c>
      <c r="G39" s="814" t="s">
        <v>3858</v>
      </c>
      <c r="H39" s="813" t="s">
        <v>246</v>
      </c>
      <c r="I39" s="813" t="s">
        <v>3960</v>
      </c>
      <c r="J39" s="813" t="s">
        <v>6891</v>
      </c>
      <c r="K39" s="813" t="s">
        <v>3949</v>
      </c>
      <c r="L39" s="813" t="s">
        <v>3863</v>
      </c>
      <c r="M39" s="813" t="s">
        <v>3169</v>
      </c>
      <c r="N39" s="813" t="s">
        <v>6988</v>
      </c>
      <c r="O39" s="813" t="s">
        <v>3883</v>
      </c>
      <c r="P39" s="813" t="s">
        <v>6989</v>
      </c>
      <c r="Q39" s="813" t="s">
        <v>6990</v>
      </c>
      <c r="R39" s="813">
        <v>3</v>
      </c>
      <c r="S39" s="813" t="s">
        <v>3953</v>
      </c>
      <c r="T39" s="813" t="s">
        <v>6895</v>
      </c>
    </row>
    <row r="40" spans="1:20" ht="15" customHeight="1" x14ac:dyDescent="0.35">
      <c r="A40" s="794" t="s">
        <v>6991</v>
      </c>
      <c r="B40" s="794" t="s">
        <v>3857</v>
      </c>
      <c r="C40" s="812" t="s">
        <v>3913</v>
      </c>
      <c r="D40" s="825">
        <v>14.802494802494801</v>
      </c>
      <c r="E40" s="825">
        <v>9.6216216216216193</v>
      </c>
      <c r="F40" s="825">
        <v>21</v>
      </c>
      <c r="G40" s="814" t="s">
        <v>3858</v>
      </c>
      <c r="H40" s="813" t="s">
        <v>246</v>
      </c>
      <c r="I40" s="813" t="s">
        <v>3960</v>
      </c>
      <c r="J40" s="813" t="s">
        <v>6891</v>
      </c>
      <c r="K40" s="813" t="s">
        <v>3949</v>
      </c>
      <c r="L40" s="813" t="s">
        <v>3863</v>
      </c>
      <c r="M40" s="813" t="s">
        <v>3169</v>
      </c>
      <c r="N40" s="813" t="s">
        <v>6992</v>
      </c>
      <c r="O40" s="813" t="s">
        <v>3883</v>
      </c>
      <c r="P40" s="813" t="s">
        <v>6993</v>
      </c>
      <c r="Q40" s="813" t="s">
        <v>6994</v>
      </c>
      <c r="R40" s="813">
        <v>3</v>
      </c>
      <c r="S40" s="813" t="s">
        <v>3953</v>
      </c>
      <c r="T40" s="813" t="s">
        <v>6895</v>
      </c>
    </row>
    <row r="41" spans="1:20" ht="15" customHeight="1" x14ac:dyDescent="0.35">
      <c r="A41" s="794" t="s">
        <v>6995</v>
      </c>
      <c r="B41" s="794" t="s">
        <v>3857</v>
      </c>
      <c r="C41" s="812" t="s">
        <v>3913</v>
      </c>
      <c r="D41" s="825">
        <v>88.814968814968793</v>
      </c>
      <c r="E41" s="825">
        <v>57.729729729729797</v>
      </c>
      <c r="F41" s="825">
        <v>10</v>
      </c>
      <c r="G41" s="814" t="s">
        <v>3858</v>
      </c>
      <c r="H41" s="813" t="s">
        <v>246</v>
      </c>
      <c r="I41" s="813" t="s">
        <v>3960</v>
      </c>
      <c r="J41" s="813" t="s">
        <v>6891</v>
      </c>
      <c r="K41" s="813" t="s">
        <v>3949</v>
      </c>
      <c r="L41" s="813" t="s">
        <v>3863</v>
      </c>
      <c r="M41" s="813" t="s">
        <v>3169</v>
      </c>
      <c r="N41" s="813" t="s">
        <v>6996</v>
      </c>
      <c r="O41" s="813" t="s">
        <v>3883</v>
      </c>
      <c r="P41" s="813" t="s">
        <v>6997</v>
      </c>
      <c r="Q41" s="813" t="s">
        <v>6998</v>
      </c>
      <c r="R41" s="813">
        <v>3</v>
      </c>
      <c r="S41" s="813" t="s">
        <v>3953</v>
      </c>
      <c r="T41" s="813" t="s">
        <v>6895</v>
      </c>
    </row>
    <row r="42" spans="1:20" ht="15" customHeight="1" x14ac:dyDescent="0.35">
      <c r="A42" s="794" t="s">
        <v>6999</v>
      </c>
      <c r="B42" s="794" t="s">
        <v>3857</v>
      </c>
      <c r="C42" s="812" t="s">
        <v>3913</v>
      </c>
      <c r="D42" s="825"/>
      <c r="E42" s="825"/>
      <c r="F42" s="825">
        <v>0</v>
      </c>
      <c r="G42" s="814" t="s">
        <v>3858</v>
      </c>
      <c r="H42" s="813" t="s">
        <v>246</v>
      </c>
      <c r="I42" s="813" t="s">
        <v>3960</v>
      </c>
      <c r="J42" s="813" t="s">
        <v>6891</v>
      </c>
      <c r="K42" s="813" t="s">
        <v>3949</v>
      </c>
      <c r="L42" s="813" t="s">
        <v>3863</v>
      </c>
      <c r="M42" s="813" t="s">
        <v>3169</v>
      </c>
      <c r="N42" s="813" t="s">
        <v>7000</v>
      </c>
      <c r="O42" s="813" t="s">
        <v>3883</v>
      </c>
      <c r="P42" s="813" t="s">
        <v>7001</v>
      </c>
      <c r="Q42" s="813" t="s">
        <v>7002</v>
      </c>
      <c r="R42" s="813">
        <v>1</v>
      </c>
      <c r="S42" s="813" t="s">
        <v>3953</v>
      </c>
      <c r="T42" s="813" t="s">
        <v>6895</v>
      </c>
    </row>
    <row r="43" spans="1:20" ht="15" customHeight="1" x14ac:dyDescent="0.35">
      <c r="A43" s="794" t="s">
        <v>7003</v>
      </c>
      <c r="B43" s="794" t="s">
        <v>3857</v>
      </c>
      <c r="C43" s="812" t="s">
        <v>3913</v>
      </c>
      <c r="D43" s="825">
        <v>78.946638946638998</v>
      </c>
      <c r="E43" s="825">
        <v>51.315315315315303</v>
      </c>
      <c r="F43" s="825">
        <v>22</v>
      </c>
      <c r="G43" s="814" t="s">
        <v>3858</v>
      </c>
      <c r="H43" s="813" t="s">
        <v>246</v>
      </c>
      <c r="I43" s="813" t="s">
        <v>3960</v>
      </c>
      <c r="J43" s="813" t="s">
        <v>6891</v>
      </c>
      <c r="K43" s="813" t="s">
        <v>3949</v>
      </c>
      <c r="L43" s="813" t="s">
        <v>3863</v>
      </c>
      <c r="M43" s="813" t="s">
        <v>3169</v>
      </c>
      <c r="N43" s="813" t="s">
        <v>7004</v>
      </c>
      <c r="O43" s="813" t="s">
        <v>3883</v>
      </c>
      <c r="P43" s="813" t="s">
        <v>7005</v>
      </c>
      <c r="Q43" s="813" t="s">
        <v>7006</v>
      </c>
      <c r="R43" s="813">
        <v>3</v>
      </c>
      <c r="S43" s="813" t="s">
        <v>3953</v>
      </c>
      <c r="T43" s="813" t="s">
        <v>6895</v>
      </c>
    </row>
    <row r="44" spans="1:20" ht="15" customHeight="1" x14ac:dyDescent="0.35">
      <c r="A44" s="794" t="s">
        <v>7007</v>
      </c>
      <c r="B44" s="794" t="s">
        <v>3857</v>
      </c>
      <c r="C44" s="812" t="s">
        <v>3913</v>
      </c>
      <c r="D44" s="825"/>
      <c r="E44" s="825"/>
      <c r="F44" s="825">
        <v>0</v>
      </c>
      <c r="G44" s="814" t="s">
        <v>3858</v>
      </c>
      <c r="H44" s="813" t="s">
        <v>246</v>
      </c>
      <c r="I44" s="813" t="s">
        <v>3960</v>
      </c>
      <c r="J44" s="813" t="s">
        <v>6891</v>
      </c>
      <c r="K44" s="813" t="s">
        <v>3949</v>
      </c>
      <c r="L44" s="813" t="s">
        <v>3863</v>
      </c>
      <c r="M44" s="813" t="s">
        <v>3169</v>
      </c>
      <c r="N44" s="813" t="s">
        <v>7008</v>
      </c>
      <c r="O44" s="813" t="s">
        <v>3883</v>
      </c>
      <c r="P44" s="813" t="s">
        <v>7009</v>
      </c>
      <c r="Q44" s="813" t="s">
        <v>7010</v>
      </c>
      <c r="R44" s="813">
        <v>1</v>
      </c>
      <c r="S44" s="813" t="s">
        <v>3953</v>
      </c>
      <c r="T44" s="813" t="s">
        <v>6895</v>
      </c>
    </row>
    <row r="45" spans="1:20" ht="15" customHeight="1" x14ac:dyDescent="0.35">
      <c r="A45" s="794" t="s">
        <v>7011</v>
      </c>
      <c r="B45" s="794" t="s">
        <v>3857</v>
      </c>
      <c r="C45" s="812" t="s">
        <v>3913</v>
      </c>
      <c r="D45" s="825">
        <v>49.341649341649301</v>
      </c>
      <c r="E45" s="825">
        <v>32.072072072072103</v>
      </c>
      <c r="F45" s="825">
        <v>114</v>
      </c>
      <c r="G45" s="814" t="s">
        <v>3858</v>
      </c>
      <c r="H45" s="813" t="s">
        <v>246</v>
      </c>
      <c r="I45" s="813" t="s">
        <v>3960</v>
      </c>
      <c r="J45" s="813" t="s">
        <v>6891</v>
      </c>
      <c r="K45" s="813" t="s">
        <v>3949</v>
      </c>
      <c r="L45" s="813" t="s">
        <v>3863</v>
      </c>
      <c r="M45" s="813" t="s">
        <v>3169</v>
      </c>
      <c r="N45" s="813" t="s">
        <v>7012</v>
      </c>
      <c r="O45" s="813" t="s">
        <v>3883</v>
      </c>
      <c r="P45" s="813" t="s">
        <v>7013</v>
      </c>
      <c r="Q45" s="813" t="s">
        <v>7014</v>
      </c>
      <c r="R45" s="813">
        <v>3</v>
      </c>
      <c r="S45" s="813" t="s">
        <v>3953</v>
      </c>
      <c r="T45" s="813" t="s">
        <v>6895</v>
      </c>
    </row>
    <row r="46" spans="1:20" ht="15" customHeight="1" x14ac:dyDescent="0.35">
      <c r="A46" s="794" t="s">
        <v>7015</v>
      </c>
      <c r="B46" s="794" t="s">
        <v>3857</v>
      </c>
      <c r="C46" s="812" t="s">
        <v>3913</v>
      </c>
      <c r="D46" s="825"/>
      <c r="E46" s="825"/>
      <c r="F46" s="825">
        <v>0</v>
      </c>
      <c r="G46" s="814" t="s">
        <v>3858</v>
      </c>
      <c r="H46" s="813" t="s">
        <v>246</v>
      </c>
      <c r="I46" s="813" t="s">
        <v>3960</v>
      </c>
      <c r="J46" s="813" t="s">
        <v>6891</v>
      </c>
      <c r="K46" s="813" t="s">
        <v>3949</v>
      </c>
      <c r="L46" s="813" t="s">
        <v>3863</v>
      </c>
      <c r="M46" s="813" t="s">
        <v>3169</v>
      </c>
      <c r="N46" s="813" t="s">
        <v>7016</v>
      </c>
      <c r="O46" s="813" t="s">
        <v>3883</v>
      </c>
      <c r="P46" s="813" t="s">
        <v>7017</v>
      </c>
      <c r="Q46" s="813" t="s">
        <v>7018</v>
      </c>
      <c r="R46" s="813">
        <v>1</v>
      </c>
      <c r="S46" s="813" t="s">
        <v>3953</v>
      </c>
      <c r="T46" s="813" t="s">
        <v>6895</v>
      </c>
    </row>
    <row r="47" spans="1:20" ht="15" customHeight="1" x14ac:dyDescent="0.35">
      <c r="A47" s="794" t="s">
        <v>7019</v>
      </c>
      <c r="B47" s="794" t="s">
        <v>3857</v>
      </c>
      <c r="C47" s="812" t="s">
        <v>3913</v>
      </c>
      <c r="D47" s="825">
        <v>108.55162855162899</v>
      </c>
      <c r="E47" s="825">
        <v>70.558558558558502</v>
      </c>
      <c r="F47" s="825">
        <v>5</v>
      </c>
      <c r="G47" s="814" t="s">
        <v>3858</v>
      </c>
      <c r="H47" s="813" t="s">
        <v>246</v>
      </c>
      <c r="I47" s="813" t="s">
        <v>3960</v>
      </c>
      <c r="J47" s="813" t="s">
        <v>6891</v>
      </c>
      <c r="K47" s="813" t="s">
        <v>3949</v>
      </c>
      <c r="L47" s="813" t="s">
        <v>3863</v>
      </c>
      <c r="M47" s="813" t="s">
        <v>3169</v>
      </c>
      <c r="N47" s="813" t="s">
        <v>7020</v>
      </c>
      <c r="O47" s="813" t="s">
        <v>3883</v>
      </c>
      <c r="P47" s="813" t="s">
        <v>7021</v>
      </c>
      <c r="Q47" s="813" t="s">
        <v>7022</v>
      </c>
      <c r="R47" s="813">
        <v>3</v>
      </c>
      <c r="S47" s="813" t="s">
        <v>3953</v>
      </c>
      <c r="T47" s="813" t="s">
        <v>6895</v>
      </c>
    </row>
    <row r="48" spans="1:20" ht="15" customHeight="1" x14ac:dyDescent="0.35">
      <c r="A48" s="803" t="s">
        <v>7023</v>
      </c>
      <c r="B48" s="803"/>
      <c r="C48" s="803"/>
      <c r="D48" s="803"/>
      <c r="E48" s="803"/>
      <c r="F48" s="803"/>
      <c r="G48" s="803" t="s">
        <v>7024</v>
      </c>
      <c r="H48" s="794"/>
      <c r="I48" s="794"/>
      <c r="J48" s="794"/>
      <c r="K48" s="794"/>
      <c r="L48" s="794"/>
      <c r="M48" s="794"/>
      <c r="N48" s="794"/>
      <c r="O48" s="794"/>
      <c r="P48" s="794"/>
      <c r="Q48" s="794"/>
      <c r="R48" s="794"/>
      <c r="S48" s="794"/>
      <c r="T48" s="794"/>
    </row>
    <row r="49" spans="1:20" ht="15" customHeight="1" x14ac:dyDescent="0.35">
      <c r="A49" s="794" t="s">
        <v>7025</v>
      </c>
      <c r="B49" s="794" t="s">
        <v>3857</v>
      </c>
      <c r="C49" s="812" t="s">
        <v>3913</v>
      </c>
      <c r="D49" s="825">
        <v>29.604989604989601</v>
      </c>
      <c r="E49" s="825">
        <v>19.243243243243199</v>
      </c>
      <c r="F49" s="825">
        <v>10</v>
      </c>
      <c r="G49" s="814" t="s">
        <v>3858</v>
      </c>
      <c r="H49" s="813" t="s">
        <v>246</v>
      </c>
      <c r="I49" s="813" t="s">
        <v>3960</v>
      </c>
      <c r="J49" s="813" t="s">
        <v>7026</v>
      </c>
      <c r="K49" s="813" t="s">
        <v>3949</v>
      </c>
      <c r="L49" s="813" t="s">
        <v>3863</v>
      </c>
      <c r="M49" s="813" t="s">
        <v>3169</v>
      </c>
      <c r="N49" s="813" t="s">
        <v>7027</v>
      </c>
      <c r="O49" s="813" t="s">
        <v>3883</v>
      </c>
      <c r="P49" s="813" t="s">
        <v>7028</v>
      </c>
      <c r="Q49" s="813" t="s">
        <v>7029</v>
      </c>
      <c r="R49" s="813">
        <v>3</v>
      </c>
      <c r="S49" s="813" t="s">
        <v>3953</v>
      </c>
      <c r="T49" s="813" t="s">
        <v>6895</v>
      </c>
    </row>
    <row r="50" spans="1:20" ht="15" customHeight="1" x14ac:dyDescent="0.35">
      <c r="A50" s="794" t="s">
        <v>7030</v>
      </c>
      <c r="B50" s="794" t="s">
        <v>3857</v>
      </c>
      <c r="C50" s="812" t="s">
        <v>3913</v>
      </c>
      <c r="D50" s="825">
        <v>19.7366597366597</v>
      </c>
      <c r="E50" s="825">
        <v>12.828828828828801</v>
      </c>
      <c r="F50" s="825">
        <v>19</v>
      </c>
      <c r="G50" s="814" t="s">
        <v>3858</v>
      </c>
      <c r="H50" s="813" t="s">
        <v>246</v>
      </c>
      <c r="I50" s="813" t="s">
        <v>3960</v>
      </c>
      <c r="J50" s="813" t="s">
        <v>7026</v>
      </c>
      <c r="K50" s="813" t="s">
        <v>3949</v>
      </c>
      <c r="L50" s="813" t="s">
        <v>3863</v>
      </c>
      <c r="M50" s="813" t="s">
        <v>3169</v>
      </c>
      <c r="N50" s="813" t="s">
        <v>7031</v>
      </c>
      <c r="O50" s="813" t="s">
        <v>3883</v>
      </c>
      <c r="P50" s="813" t="s">
        <v>7032</v>
      </c>
      <c r="Q50" s="813" t="s">
        <v>7033</v>
      </c>
      <c r="R50" s="813">
        <v>3</v>
      </c>
      <c r="S50" s="813" t="s">
        <v>3953</v>
      </c>
      <c r="T50" s="813" t="s">
        <v>6895</v>
      </c>
    </row>
    <row r="51" spans="1:20" ht="15" customHeight="1" x14ac:dyDescent="0.35">
      <c r="A51" s="794" t="s">
        <v>6900</v>
      </c>
      <c r="B51" s="794" t="s">
        <v>3857</v>
      </c>
      <c r="C51" s="812" t="s">
        <v>3913</v>
      </c>
      <c r="D51" s="825">
        <f>IF(D$16="","",D$16)</f>
        <v>0</v>
      </c>
      <c r="E51" s="825">
        <f>IF(E$16="","",E$16)</f>
        <v>0</v>
      </c>
      <c r="F51" s="825">
        <f>IF(F$16="","",F$16)</f>
        <v>0</v>
      </c>
      <c r="G51" s="814" t="s">
        <v>9404</v>
      </c>
      <c r="H51" s="813" t="s">
        <v>246</v>
      </c>
      <c r="I51" s="813" t="s">
        <v>3960</v>
      </c>
      <c r="J51" s="813" t="s">
        <v>7026</v>
      </c>
      <c r="K51" s="813" t="s">
        <v>3949</v>
      </c>
      <c r="L51" s="813" t="s">
        <v>3863</v>
      </c>
      <c r="M51" s="813" t="s">
        <v>3169</v>
      </c>
      <c r="N51" s="813" t="s">
        <v>7034</v>
      </c>
      <c r="O51" s="813" t="s">
        <v>9408</v>
      </c>
      <c r="P51" s="813" t="s">
        <v>7035</v>
      </c>
      <c r="Q51" s="813" t="s">
        <v>7036</v>
      </c>
      <c r="R51" s="813">
        <v>3</v>
      </c>
      <c r="S51" s="813" t="s">
        <v>3953</v>
      </c>
      <c r="T51" s="813" t="s">
        <v>9406</v>
      </c>
    </row>
    <row r="52" spans="1:20" ht="15" customHeight="1" x14ac:dyDescent="0.35">
      <c r="A52" s="794" t="s">
        <v>7037</v>
      </c>
      <c r="B52" s="794" t="s">
        <v>3857</v>
      </c>
      <c r="C52" s="812" t="s">
        <v>3913</v>
      </c>
      <c r="D52" s="825">
        <v>11.8419958419958</v>
      </c>
      <c r="E52" s="825">
        <v>7.6972972972973004</v>
      </c>
      <c r="F52" s="825">
        <v>90</v>
      </c>
      <c r="G52" s="814" t="s">
        <v>3858</v>
      </c>
      <c r="H52" s="813" t="s">
        <v>246</v>
      </c>
      <c r="I52" s="813" t="s">
        <v>3960</v>
      </c>
      <c r="J52" s="813" t="s">
        <v>7026</v>
      </c>
      <c r="K52" s="813" t="s">
        <v>3949</v>
      </c>
      <c r="L52" s="813" t="s">
        <v>3863</v>
      </c>
      <c r="M52" s="813" t="s">
        <v>3169</v>
      </c>
      <c r="N52" s="813" t="s">
        <v>7038</v>
      </c>
      <c r="O52" s="813" t="s">
        <v>3883</v>
      </c>
      <c r="P52" s="813" t="s">
        <v>7039</v>
      </c>
      <c r="Q52" s="813" t="s">
        <v>7040</v>
      </c>
      <c r="R52" s="813">
        <v>3</v>
      </c>
      <c r="S52" s="813" t="s">
        <v>3953</v>
      </c>
      <c r="T52" s="813" t="s">
        <v>6895</v>
      </c>
    </row>
    <row r="53" spans="1:20" ht="15" customHeight="1" x14ac:dyDescent="0.35">
      <c r="A53" s="794" t="s">
        <v>7041</v>
      </c>
      <c r="B53" s="794" t="s">
        <v>3857</v>
      </c>
      <c r="C53" s="812" t="s">
        <v>3913</v>
      </c>
      <c r="D53" s="825">
        <v>11.8419958419958</v>
      </c>
      <c r="E53" s="825">
        <v>7.6972972972973004</v>
      </c>
      <c r="F53" s="825">
        <v>101</v>
      </c>
      <c r="G53" s="814" t="s">
        <v>3858</v>
      </c>
      <c r="H53" s="813" t="s">
        <v>246</v>
      </c>
      <c r="I53" s="813" t="s">
        <v>3960</v>
      </c>
      <c r="J53" s="813" t="s">
        <v>7026</v>
      </c>
      <c r="K53" s="813" t="s">
        <v>3949</v>
      </c>
      <c r="L53" s="813" t="s">
        <v>3863</v>
      </c>
      <c r="M53" s="813" t="s">
        <v>3169</v>
      </c>
      <c r="N53" s="813" t="s">
        <v>7042</v>
      </c>
      <c r="O53" s="813" t="s">
        <v>3883</v>
      </c>
      <c r="P53" s="813" t="s">
        <v>7043</v>
      </c>
      <c r="Q53" s="813" t="s">
        <v>7044</v>
      </c>
      <c r="R53" s="813">
        <v>3</v>
      </c>
      <c r="S53" s="813" t="s">
        <v>3953</v>
      </c>
      <c r="T53" s="813" t="s">
        <v>6895</v>
      </c>
    </row>
    <row r="54" spans="1:20" ht="15" customHeight="1" x14ac:dyDescent="0.35">
      <c r="A54" s="794" t="s">
        <v>7045</v>
      </c>
      <c r="B54" s="794" t="s">
        <v>3857</v>
      </c>
      <c r="C54" s="812" t="s">
        <v>3913</v>
      </c>
      <c r="D54" s="825">
        <v>11.8419958419958</v>
      </c>
      <c r="E54" s="825">
        <v>7.6972972972973004</v>
      </c>
      <c r="F54" s="825">
        <v>110</v>
      </c>
      <c r="G54" s="814" t="s">
        <v>3858</v>
      </c>
      <c r="H54" s="813" t="s">
        <v>246</v>
      </c>
      <c r="I54" s="813" t="s">
        <v>3960</v>
      </c>
      <c r="J54" s="813" t="s">
        <v>7026</v>
      </c>
      <c r="K54" s="813" t="s">
        <v>3949</v>
      </c>
      <c r="L54" s="813" t="s">
        <v>3863</v>
      </c>
      <c r="M54" s="813" t="s">
        <v>3169</v>
      </c>
      <c r="N54" s="813" t="s">
        <v>7046</v>
      </c>
      <c r="O54" s="813" t="s">
        <v>3883</v>
      </c>
      <c r="P54" s="813" t="s">
        <v>7047</v>
      </c>
      <c r="Q54" s="813" t="s">
        <v>7048</v>
      </c>
      <c r="R54" s="813">
        <v>3</v>
      </c>
      <c r="S54" s="813" t="s">
        <v>3953</v>
      </c>
      <c r="T54" s="813" t="s">
        <v>6895</v>
      </c>
    </row>
    <row r="55" spans="1:20" ht="15" customHeight="1" x14ac:dyDescent="0.35">
      <c r="A55" s="794" t="s">
        <v>7049</v>
      </c>
      <c r="B55" s="794" t="s">
        <v>3857</v>
      </c>
      <c r="C55" s="812" t="s">
        <v>3913</v>
      </c>
      <c r="D55" s="825">
        <v>2.7631323631323599</v>
      </c>
      <c r="E55" s="825">
        <v>1.7960360360360399</v>
      </c>
      <c r="F55" s="825">
        <v>790</v>
      </c>
      <c r="G55" s="814" t="s">
        <v>3858</v>
      </c>
      <c r="H55" s="813" t="s">
        <v>246</v>
      </c>
      <c r="I55" s="813" t="s">
        <v>3960</v>
      </c>
      <c r="J55" s="813" t="s">
        <v>7026</v>
      </c>
      <c r="K55" s="813" t="s">
        <v>3949</v>
      </c>
      <c r="L55" s="813" t="s">
        <v>3863</v>
      </c>
      <c r="M55" s="813" t="s">
        <v>3169</v>
      </c>
      <c r="N55" s="813" t="s">
        <v>7050</v>
      </c>
      <c r="O55" s="813" t="s">
        <v>3883</v>
      </c>
      <c r="P55" s="813" t="s">
        <v>7051</v>
      </c>
      <c r="Q55" s="813" t="s">
        <v>7052</v>
      </c>
      <c r="R55" s="813">
        <v>3</v>
      </c>
      <c r="S55" s="813" t="s">
        <v>3953</v>
      </c>
      <c r="T55" s="813" t="s">
        <v>6895</v>
      </c>
    </row>
    <row r="56" spans="1:20" ht="15" customHeight="1" x14ac:dyDescent="0.35">
      <c r="A56" s="794" t="s">
        <v>7053</v>
      </c>
      <c r="B56" s="794" t="s">
        <v>3857</v>
      </c>
      <c r="C56" s="812" t="s">
        <v>3913</v>
      </c>
      <c r="D56" s="825">
        <v>14.802494802494801</v>
      </c>
      <c r="E56" s="825">
        <v>9.6216216216216193</v>
      </c>
      <c r="F56" s="825">
        <v>102</v>
      </c>
      <c r="G56" s="814" t="s">
        <v>3858</v>
      </c>
      <c r="H56" s="813" t="s">
        <v>246</v>
      </c>
      <c r="I56" s="813" t="s">
        <v>3960</v>
      </c>
      <c r="J56" s="813" t="s">
        <v>7026</v>
      </c>
      <c r="K56" s="813" t="s">
        <v>3949</v>
      </c>
      <c r="L56" s="813" t="s">
        <v>3863</v>
      </c>
      <c r="M56" s="813" t="s">
        <v>3169</v>
      </c>
      <c r="N56" s="813" t="s">
        <v>7054</v>
      </c>
      <c r="O56" s="813" t="s">
        <v>3883</v>
      </c>
      <c r="P56" s="813" t="s">
        <v>7055</v>
      </c>
      <c r="Q56" s="813" t="s">
        <v>7056</v>
      </c>
      <c r="R56" s="813">
        <v>3</v>
      </c>
      <c r="S56" s="813" t="s">
        <v>3953</v>
      </c>
      <c r="T56" s="813" t="s">
        <v>6895</v>
      </c>
    </row>
    <row r="57" spans="1:20" ht="15" customHeight="1" x14ac:dyDescent="0.35">
      <c r="A57" s="794" t="s">
        <v>7057</v>
      </c>
      <c r="B57" s="794" t="s">
        <v>3857</v>
      </c>
      <c r="C57" s="812" t="s">
        <v>3913</v>
      </c>
      <c r="D57" s="825">
        <v>9.5939015939016006</v>
      </c>
      <c r="E57" s="825">
        <v>6.2360360360360403</v>
      </c>
      <c r="F57" s="825">
        <v>506</v>
      </c>
      <c r="G57" s="814" t="s">
        <v>3858</v>
      </c>
      <c r="H57" s="813" t="s">
        <v>246</v>
      </c>
      <c r="I57" s="813" t="s">
        <v>3960</v>
      </c>
      <c r="J57" s="813" t="s">
        <v>7026</v>
      </c>
      <c r="K57" s="813" t="s">
        <v>3949</v>
      </c>
      <c r="L57" s="813" t="s">
        <v>3863</v>
      </c>
      <c r="M57" s="813" t="s">
        <v>3169</v>
      </c>
      <c r="N57" s="813" t="s">
        <v>7058</v>
      </c>
      <c r="O57" s="813" t="s">
        <v>3883</v>
      </c>
      <c r="P57" s="813" t="s">
        <v>7059</v>
      </c>
      <c r="Q57" s="813" t="s">
        <v>7060</v>
      </c>
      <c r="R57" s="813">
        <v>3</v>
      </c>
      <c r="S57" s="813" t="s">
        <v>3953</v>
      </c>
      <c r="T57" s="813" t="s">
        <v>6895</v>
      </c>
    </row>
    <row r="58" spans="1:20" ht="15" customHeight="1" x14ac:dyDescent="0.35">
      <c r="A58" s="794" t="s">
        <v>7061</v>
      </c>
      <c r="B58" s="794" t="s">
        <v>3857</v>
      </c>
      <c r="C58" s="812" t="s">
        <v>3913</v>
      </c>
      <c r="D58" s="825"/>
      <c r="E58" s="825"/>
      <c r="F58" s="825">
        <v>0</v>
      </c>
      <c r="G58" s="814" t="s">
        <v>3858</v>
      </c>
      <c r="H58" s="813" t="s">
        <v>246</v>
      </c>
      <c r="I58" s="813" t="s">
        <v>3960</v>
      </c>
      <c r="J58" s="813" t="s">
        <v>7026</v>
      </c>
      <c r="K58" s="813" t="s">
        <v>3949</v>
      </c>
      <c r="L58" s="813" t="s">
        <v>3863</v>
      </c>
      <c r="M58" s="813" t="s">
        <v>3169</v>
      </c>
      <c r="N58" s="813" t="s">
        <v>7062</v>
      </c>
      <c r="O58" s="813" t="s">
        <v>3883</v>
      </c>
      <c r="P58" s="813" t="s">
        <v>7063</v>
      </c>
      <c r="Q58" s="813" t="s">
        <v>7064</v>
      </c>
      <c r="R58" s="813">
        <v>1</v>
      </c>
      <c r="S58" s="813" t="s">
        <v>3953</v>
      </c>
      <c r="T58" s="813" t="s">
        <v>6895</v>
      </c>
    </row>
    <row r="59" spans="1:20" ht="15" customHeight="1" x14ac:dyDescent="0.35">
      <c r="A59" s="794" t="s">
        <v>7065</v>
      </c>
      <c r="B59" s="794" t="s">
        <v>3857</v>
      </c>
      <c r="C59" s="812" t="s">
        <v>3913</v>
      </c>
      <c r="D59" s="825">
        <v>0</v>
      </c>
      <c r="E59" s="825">
        <v>0</v>
      </c>
      <c r="F59" s="825">
        <v>0</v>
      </c>
      <c r="G59" s="814" t="s">
        <v>3858</v>
      </c>
      <c r="H59" s="813" t="s">
        <v>246</v>
      </c>
      <c r="I59" s="813" t="s">
        <v>3960</v>
      </c>
      <c r="J59" s="813" t="s">
        <v>7026</v>
      </c>
      <c r="K59" s="813" t="s">
        <v>3949</v>
      </c>
      <c r="L59" s="813" t="s">
        <v>3863</v>
      </c>
      <c r="M59" s="813" t="s">
        <v>3169</v>
      </c>
      <c r="N59" s="813" t="s">
        <v>7066</v>
      </c>
      <c r="O59" s="813" t="s">
        <v>3883</v>
      </c>
      <c r="P59" s="813" t="s">
        <v>7067</v>
      </c>
      <c r="Q59" s="813" t="s">
        <v>7068</v>
      </c>
      <c r="R59" s="813">
        <v>3</v>
      </c>
      <c r="S59" s="813" t="s">
        <v>3953</v>
      </c>
      <c r="T59" s="813" t="s">
        <v>6895</v>
      </c>
    </row>
    <row r="60" spans="1:20" ht="15" customHeight="1" x14ac:dyDescent="0.35">
      <c r="A60" s="794" t="s">
        <v>7069</v>
      </c>
      <c r="B60" s="794" t="s">
        <v>3857</v>
      </c>
      <c r="C60" s="812" t="s">
        <v>3913</v>
      </c>
      <c r="D60" s="825">
        <v>39.473319473319499</v>
      </c>
      <c r="E60" s="825">
        <v>25.657657657657701</v>
      </c>
      <c r="F60" s="825">
        <v>31</v>
      </c>
      <c r="G60" s="814" t="s">
        <v>3858</v>
      </c>
      <c r="H60" s="813" t="s">
        <v>246</v>
      </c>
      <c r="I60" s="813" t="s">
        <v>3960</v>
      </c>
      <c r="J60" s="813" t="s">
        <v>7026</v>
      </c>
      <c r="K60" s="813" t="s">
        <v>3949</v>
      </c>
      <c r="L60" s="813" t="s">
        <v>3863</v>
      </c>
      <c r="M60" s="813" t="s">
        <v>3169</v>
      </c>
      <c r="N60" s="813" t="s">
        <v>7070</v>
      </c>
      <c r="O60" s="813" t="s">
        <v>3883</v>
      </c>
      <c r="P60" s="813" t="s">
        <v>7071</v>
      </c>
      <c r="Q60" s="813" t="s">
        <v>7072</v>
      </c>
      <c r="R60" s="813">
        <v>3</v>
      </c>
      <c r="S60" s="813" t="s">
        <v>3953</v>
      </c>
      <c r="T60" s="813" t="s">
        <v>6895</v>
      </c>
    </row>
    <row r="61" spans="1:20" ht="15" customHeight="1" x14ac:dyDescent="0.35">
      <c r="A61" s="794" t="s">
        <v>7073</v>
      </c>
      <c r="B61" s="794" t="s">
        <v>3857</v>
      </c>
      <c r="C61" s="812" t="s">
        <v>3913</v>
      </c>
      <c r="D61" s="825">
        <v>24.6708246708247</v>
      </c>
      <c r="E61" s="825">
        <v>16.036036036035998</v>
      </c>
      <c r="F61" s="825">
        <v>128</v>
      </c>
      <c r="G61" s="814" t="s">
        <v>3858</v>
      </c>
      <c r="H61" s="813" t="s">
        <v>246</v>
      </c>
      <c r="I61" s="813" t="s">
        <v>3960</v>
      </c>
      <c r="J61" s="813" t="s">
        <v>7026</v>
      </c>
      <c r="K61" s="813" t="s">
        <v>3949</v>
      </c>
      <c r="L61" s="813" t="s">
        <v>3863</v>
      </c>
      <c r="M61" s="813" t="s">
        <v>3169</v>
      </c>
      <c r="N61" s="813" t="s">
        <v>7074</v>
      </c>
      <c r="O61" s="813" t="s">
        <v>3883</v>
      </c>
      <c r="P61" s="813" t="s">
        <v>7075</v>
      </c>
      <c r="Q61" s="813" t="s">
        <v>7076</v>
      </c>
      <c r="R61" s="813">
        <v>3</v>
      </c>
      <c r="S61" s="813" t="s">
        <v>3953</v>
      </c>
      <c r="T61" s="813" t="s">
        <v>6895</v>
      </c>
    </row>
    <row r="62" spans="1:20" ht="15" customHeight="1" x14ac:dyDescent="0.35">
      <c r="A62" s="794" t="s">
        <v>6922</v>
      </c>
      <c r="B62" s="794" t="s">
        <v>3857</v>
      </c>
      <c r="C62" s="812" t="s">
        <v>3913</v>
      </c>
      <c r="D62" s="825">
        <v>108.55162855162899</v>
      </c>
      <c r="E62" s="825">
        <v>70.558558558558502</v>
      </c>
      <c r="F62" s="825">
        <v>15</v>
      </c>
      <c r="G62" s="814" t="s">
        <v>3858</v>
      </c>
      <c r="H62" s="813" t="s">
        <v>246</v>
      </c>
      <c r="I62" s="813" t="s">
        <v>3960</v>
      </c>
      <c r="J62" s="813" t="s">
        <v>7026</v>
      </c>
      <c r="K62" s="813" t="s">
        <v>3949</v>
      </c>
      <c r="L62" s="813" t="s">
        <v>3863</v>
      </c>
      <c r="M62" s="813" t="s">
        <v>3169</v>
      </c>
      <c r="N62" s="813" t="s">
        <v>7077</v>
      </c>
      <c r="O62" s="813" t="s">
        <v>3883</v>
      </c>
      <c r="P62" s="813" t="s">
        <v>7078</v>
      </c>
      <c r="Q62" s="813" t="s">
        <v>7079</v>
      </c>
      <c r="R62" s="813">
        <v>3</v>
      </c>
      <c r="S62" s="813" t="s">
        <v>3953</v>
      </c>
      <c r="T62" s="813" t="s">
        <v>6895</v>
      </c>
    </row>
    <row r="63" spans="1:20" ht="15" customHeight="1" x14ac:dyDescent="0.35">
      <c r="A63" s="794" t="s">
        <v>7080</v>
      </c>
      <c r="B63" s="794" t="s">
        <v>3857</v>
      </c>
      <c r="C63" s="812" t="s">
        <v>3913</v>
      </c>
      <c r="D63" s="825">
        <f>IF(D$18="","",D$18)</f>
        <v>0</v>
      </c>
      <c r="E63" s="825">
        <f>IF(E$18="","",E$18)</f>
        <v>0</v>
      </c>
      <c r="F63" s="825">
        <f>IF(F$18="","",F$18)</f>
        <v>0</v>
      </c>
      <c r="G63" s="814" t="s">
        <v>9404</v>
      </c>
      <c r="H63" s="813" t="s">
        <v>246</v>
      </c>
      <c r="I63" s="813" t="s">
        <v>3960</v>
      </c>
      <c r="J63" s="813" t="s">
        <v>7026</v>
      </c>
      <c r="K63" s="813" t="s">
        <v>3949</v>
      </c>
      <c r="L63" s="813" t="s">
        <v>3863</v>
      </c>
      <c r="M63" s="813" t="s">
        <v>3169</v>
      </c>
      <c r="N63" s="813" t="s">
        <v>7081</v>
      </c>
      <c r="O63" s="813" t="s">
        <v>9410</v>
      </c>
      <c r="P63" s="813" t="s">
        <v>7082</v>
      </c>
      <c r="Q63" s="813" t="s">
        <v>7083</v>
      </c>
      <c r="R63" s="813">
        <v>9</v>
      </c>
      <c r="S63" s="813" t="s">
        <v>3953</v>
      </c>
      <c r="T63" s="813" t="s">
        <v>9406</v>
      </c>
    </row>
    <row r="64" spans="1:20" ht="15" customHeight="1" x14ac:dyDescent="0.35">
      <c r="A64" s="794" t="s">
        <v>7084</v>
      </c>
      <c r="B64" s="794" t="s">
        <v>3857</v>
      </c>
      <c r="C64" s="812" t="s">
        <v>3913</v>
      </c>
      <c r="D64" s="825">
        <v>0</v>
      </c>
      <c r="E64" s="825">
        <v>0</v>
      </c>
      <c r="F64" s="825">
        <v>90</v>
      </c>
      <c r="G64" s="814" t="s">
        <v>3858</v>
      </c>
      <c r="H64" s="813" t="s">
        <v>246</v>
      </c>
      <c r="I64" s="813" t="s">
        <v>3960</v>
      </c>
      <c r="J64" s="813" t="s">
        <v>7026</v>
      </c>
      <c r="K64" s="813" t="s">
        <v>3949</v>
      </c>
      <c r="L64" s="813" t="s">
        <v>3863</v>
      </c>
      <c r="M64" s="813" t="s">
        <v>3169</v>
      </c>
      <c r="N64" s="813" t="s">
        <v>7085</v>
      </c>
      <c r="O64" s="813" t="s">
        <v>3883</v>
      </c>
      <c r="P64" s="813" t="s">
        <v>7086</v>
      </c>
      <c r="Q64" s="813" t="s">
        <v>7087</v>
      </c>
      <c r="R64" s="813">
        <v>3</v>
      </c>
      <c r="S64" s="813" t="s">
        <v>3953</v>
      </c>
      <c r="T64" s="813" t="s">
        <v>6895</v>
      </c>
    </row>
    <row r="65" spans="1:20" ht="15" customHeight="1" x14ac:dyDescent="0.35">
      <c r="A65" s="794" t="s">
        <v>7088</v>
      </c>
      <c r="B65" s="794" t="s">
        <v>3857</v>
      </c>
      <c r="C65" s="812" t="s">
        <v>3913</v>
      </c>
      <c r="D65" s="825"/>
      <c r="E65" s="825"/>
      <c r="F65" s="825">
        <v>0</v>
      </c>
      <c r="G65" s="814" t="s">
        <v>3858</v>
      </c>
      <c r="H65" s="813" t="s">
        <v>246</v>
      </c>
      <c r="I65" s="813" t="s">
        <v>3960</v>
      </c>
      <c r="J65" s="813" t="s">
        <v>7026</v>
      </c>
      <c r="K65" s="813" t="s">
        <v>3949</v>
      </c>
      <c r="L65" s="813" t="s">
        <v>3863</v>
      </c>
      <c r="M65" s="813" t="s">
        <v>3169</v>
      </c>
      <c r="N65" s="813" t="s">
        <v>7089</v>
      </c>
      <c r="O65" s="813" t="s">
        <v>3883</v>
      </c>
      <c r="P65" s="813" t="s">
        <v>7090</v>
      </c>
      <c r="Q65" s="813" t="s">
        <v>7091</v>
      </c>
      <c r="R65" s="813">
        <v>1</v>
      </c>
      <c r="S65" s="813" t="s">
        <v>3953</v>
      </c>
      <c r="T65" s="813" t="s">
        <v>6895</v>
      </c>
    </row>
    <row r="66" spans="1:20" ht="15" customHeight="1" x14ac:dyDescent="0.35">
      <c r="A66" s="794" t="s">
        <v>7092</v>
      </c>
      <c r="B66" s="794" t="s">
        <v>3857</v>
      </c>
      <c r="C66" s="812" t="s">
        <v>3913</v>
      </c>
      <c r="D66" s="825">
        <v>0</v>
      </c>
      <c r="E66" s="825">
        <v>0</v>
      </c>
      <c r="F66" s="825">
        <v>0</v>
      </c>
      <c r="G66" s="814" t="s">
        <v>3858</v>
      </c>
      <c r="H66" s="813" t="s">
        <v>246</v>
      </c>
      <c r="I66" s="813" t="s">
        <v>3960</v>
      </c>
      <c r="J66" s="813" t="s">
        <v>7026</v>
      </c>
      <c r="K66" s="813" t="s">
        <v>3949</v>
      </c>
      <c r="L66" s="813" t="s">
        <v>3863</v>
      </c>
      <c r="M66" s="813" t="s">
        <v>3169</v>
      </c>
      <c r="N66" s="813" t="s">
        <v>7093</v>
      </c>
      <c r="O66" s="813" t="s">
        <v>3883</v>
      </c>
      <c r="P66" s="813" t="s">
        <v>7094</v>
      </c>
      <c r="Q66" s="813" t="s">
        <v>7095</v>
      </c>
      <c r="R66" s="813">
        <v>3</v>
      </c>
      <c r="S66" s="813" t="s">
        <v>3953</v>
      </c>
      <c r="T66" s="813" t="s">
        <v>6895</v>
      </c>
    </row>
    <row r="67" spans="1:20" ht="15" customHeight="1" x14ac:dyDescent="0.35">
      <c r="A67" s="794" t="s">
        <v>7096</v>
      </c>
      <c r="B67" s="794" t="s">
        <v>3857</v>
      </c>
      <c r="C67" s="812" t="s">
        <v>3913</v>
      </c>
      <c r="D67" s="825"/>
      <c r="E67" s="825"/>
      <c r="F67" s="825">
        <v>0</v>
      </c>
      <c r="G67" s="814" t="s">
        <v>3858</v>
      </c>
      <c r="H67" s="813" t="s">
        <v>246</v>
      </c>
      <c r="I67" s="813" t="s">
        <v>3960</v>
      </c>
      <c r="J67" s="813" t="s">
        <v>7026</v>
      </c>
      <c r="K67" s="813" t="s">
        <v>3949</v>
      </c>
      <c r="L67" s="813" t="s">
        <v>3863</v>
      </c>
      <c r="M67" s="813" t="s">
        <v>3169</v>
      </c>
      <c r="N67" s="813" t="s">
        <v>7097</v>
      </c>
      <c r="O67" s="813" t="s">
        <v>3883</v>
      </c>
      <c r="P67" s="813" t="s">
        <v>7098</v>
      </c>
      <c r="Q67" s="813" t="s">
        <v>7099</v>
      </c>
      <c r="R67" s="813">
        <v>1</v>
      </c>
      <c r="S67" s="813" t="s">
        <v>3953</v>
      </c>
      <c r="T67" s="813" t="s">
        <v>6895</v>
      </c>
    </row>
    <row r="68" spans="1:20" ht="15" customHeight="1" x14ac:dyDescent="0.35">
      <c r="A68" s="794" t="s">
        <v>7100</v>
      </c>
      <c r="B68" s="794" t="s">
        <v>3857</v>
      </c>
      <c r="C68" s="812" t="s">
        <v>3913</v>
      </c>
      <c r="D68" s="825">
        <v>0</v>
      </c>
      <c r="E68" s="825">
        <v>0</v>
      </c>
      <c r="F68" s="825">
        <v>0</v>
      </c>
      <c r="G68" s="814" t="s">
        <v>3858</v>
      </c>
      <c r="H68" s="813" t="s">
        <v>246</v>
      </c>
      <c r="I68" s="813" t="s">
        <v>3960</v>
      </c>
      <c r="J68" s="813" t="s">
        <v>7026</v>
      </c>
      <c r="K68" s="813" t="s">
        <v>3949</v>
      </c>
      <c r="L68" s="813" t="s">
        <v>3863</v>
      </c>
      <c r="M68" s="813" t="s">
        <v>3169</v>
      </c>
      <c r="N68" s="813" t="s">
        <v>7101</v>
      </c>
      <c r="O68" s="813" t="s">
        <v>3883</v>
      </c>
      <c r="P68" s="813" t="s">
        <v>7102</v>
      </c>
      <c r="Q68" s="813" t="s">
        <v>7103</v>
      </c>
      <c r="R68" s="813">
        <v>3</v>
      </c>
      <c r="S68" s="813" t="s">
        <v>3953</v>
      </c>
      <c r="T68" s="813" t="s">
        <v>6895</v>
      </c>
    </row>
    <row r="69" spans="1:20" ht="15" customHeight="1" x14ac:dyDescent="0.35">
      <c r="A69" s="794" t="s">
        <v>7104</v>
      </c>
      <c r="B69" s="794" t="s">
        <v>3857</v>
      </c>
      <c r="C69" s="812" t="s">
        <v>3913</v>
      </c>
      <c r="D69" s="825">
        <v>4.9341649341649303</v>
      </c>
      <c r="E69" s="825">
        <v>3.20720720720721</v>
      </c>
      <c r="F69" s="825">
        <v>381</v>
      </c>
      <c r="G69" s="814" t="s">
        <v>3858</v>
      </c>
      <c r="H69" s="813" t="s">
        <v>246</v>
      </c>
      <c r="I69" s="813" t="s">
        <v>3960</v>
      </c>
      <c r="J69" s="813" t="s">
        <v>7026</v>
      </c>
      <c r="K69" s="813" t="s">
        <v>3949</v>
      </c>
      <c r="L69" s="813" t="s">
        <v>3863</v>
      </c>
      <c r="M69" s="813" t="s">
        <v>3169</v>
      </c>
      <c r="N69" s="813" t="s">
        <v>7105</v>
      </c>
      <c r="O69" s="813" t="s">
        <v>3883</v>
      </c>
      <c r="P69" s="813" t="s">
        <v>7106</v>
      </c>
      <c r="Q69" s="813" t="s">
        <v>7107</v>
      </c>
      <c r="R69" s="813">
        <v>3</v>
      </c>
      <c r="S69" s="813" t="s">
        <v>3953</v>
      </c>
      <c r="T69" s="813" t="s">
        <v>6895</v>
      </c>
    </row>
    <row r="70" spans="1:20" ht="15" customHeight="1" x14ac:dyDescent="0.35">
      <c r="A70" s="794" t="s">
        <v>7108</v>
      </c>
      <c r="B70" s="794" t="s">
        <v>3857</v>
      </c>
      <c r="C70" s="812" t="s">
        <v>3913</v>
      </c>
      <c r="D70" s="825">
        <v>0</v>
      </c>
      <c r="E70" s="825">
        <v>0</v>
      </c>
      <c r="F70" s="825">
        <v>0</v>
      </c>
      <c r="G70" s="814" t="s">
        <v>3858</v>
      </c>
      <c r="H70" s="813" t="s">
        <v>246</v>
      </c>
      <c r="I70" s="813" t="s">
        <v>3960</v>
      </c>
      <c r="J70" s="813" t="s">
        <v>7026</v>
      </c>
      <c r="K70" s="813" t="s">
        <v>3949</v>
      </c>
      <c r="L70" s="813" t="s">
        <v>3863</v>
      </c>
      <c r="M70" s="813" t="s">
        <v>3169</v>
      </c>
      <c r="N70" s="813" t="s">
        <v>7109</v>
      </c>
      <c r="O70" s="813" t="s">
        <v>3883</v>
      </c>
      <c r="P70" s="813" t="s">
        <v>7110</v>
      </c>
      <c r="Q70" s="813" t="s">
        <v>7111</v>
      </c>
      <c r="R70" s="813">
        <v>3</v>
      </c>
      <c r="S70" s="813" t="s">
        <v>3953</v>
      </c>
      <c r="T70" s="813" t="s">
        <v>6895</v>
      </c>
    </row>
    <row r="71" spans="1:20" ht="15" customHeight="1" x14ac:dyDescent="0.35">
      <c r="A71" s="794" t="s">
        <v>7112</v>
      </c>
      <c r="B71" s="794" t="s">
        <v>3857</v>
      </c>
      <c r="C71" s="812" t="s">
        <v>3913</v>
      </c>
      <c r="D71" s="825">
        <v>0</v>
      </c>
      <c r="E71" s="825">
        <v>0</v>
      </c>
      <c r="F71" s="825">
        <v>0</v>
      </c>
      <c r="G71" s="814" t="s">
        <v>3858</v>
      </c>
      <c r="H71" s="813" t="s">
        <v>246</v>
      </c>
      <c r="I71" s="813" t="s">
        <v>3960</v>
      </c>
      <c r="J71" s="813" t="s">
        <v>7026</v>
      </c>
      <c r="K71" s="813" t="s">
        <v>3949</v>
      </c>
      <c r="L71" s="813" t="s">
        <v>3863</v>
      </c>
      <c r="M71" s="813" t="s">
        <v>3169</v>
      </c>
      <c r="N71" s="813" t="s">
        <v>7113</v>
      </c>
      <c r="O71" s="813" t="s">
        <v>3883</v>
      </c>
      <c r="P71" s="813" t="s">
        <v>7114</v>
      </c>
      <c r="Q71" s="813" t="s">
        <v>7115</v>
      </c>
      <c r="R71" s="813">
        <v>3</v>
      </c>
      <c r="S71" s="813" t="s">
        <v>3953</v>
      </c>
      <c r="T71" s="813" t="s">
        <v>6895</v>
      </c>
    </row>
    <row r="72" spans="1:20" ht="15" customHeight="1" x14ac:dyDescent="0.35">
      <c r="A72" s="794" t="s">
        <v>7116</v>
      </c>
      <c r="B72" s="794" t="s">
        <v>3857</v>
      </c>
      <c r="C72" s="812" t="s">
        <v>3913</v>
      </c>
      <c r="D72" s="825">
        <v>6.9078309078309097</v>
      </c>
      <c r="E72" s="825">
        <v>4.4900900900900904</v>
      </c>
      <c r="F72" s="825">
        <v>148</v>
      </c>
      <c r="G72" s="814" t="s">
        <v>3858</v>
      </c>
      <c r="H72" s="813" t="s">
        <v>246</v>
      </c>
      <c r="I72" s="813" t="s">
        <v>3960</v>
      </c>
      <c r="J72" s="813" t="s">
        <v>7026</v>
      </c>
      <c r="K72" s="813" t="s">
        <v>3949</v>
      </c>
      <c r="L72" s="813" t="s">
        <v>3863</v>
      </c>
      <c r="M72" s="813" t="s">
        <v>3169</v>
      </c>
      <c r="N72" s="813" t="s">
        <v>7117</v>
      </c>
      <c r="O72" s="813" t="s">
        <v>3883</v>
      </c>
      <c r="P72" s="813" t="s">
        <v>7118</v>
      </c>
      <c r="Q72" s="813" t="s">
        <v>7119</v>
      </c>
      <c r="R72" s="813">
        <v>3</v>
      </c>
      <c r="S72" s="813" t="s">
        <v>3953</v>
      </c>
      <c r="T72" s="813" t="s">
        <v>6895</v>
      </c>
    </row>
    <row r="73" spans="1:20" ht="15" customHeight="1" x14ac:dyDescent="0.35">
      <c r="A73" s="794" t="s">
        <v>7120</v>
      </c>
      <c r="B73" s="794" t="s">
        <v>3857</v>
      </c>
      <c r="C73" s="812" t="s">
        <v>3913</v>
      </c>
      <c r="D73" s="825">
        <v>2.46708246708247</v>
      </c>
      <c r="E73" s="825">
        <v>1.6036036036036001</v>
      </c>
      <c r="F73" s="825">
        <v>411</v>
      </c>
      <c r="G73" s="814" t="s">
        <v>3858</v>
      </c>
      <c r="H73" s="813" t="s">
        <v>246</v>
      </c>
      <c r="I73" s="813" t="s">
        <v>3960</v>
      </c>
      <c r="J73" s="813" t="s">
        <v>7026</v>
      </c>
      <c r="K73" s="813" t="s">
        <v>3949</v>
      </c>
      <c r="L73" s="813" t="s">
        <v>3863</v>
      </c>
      <c r="M73" s="813" t="s">
        <v>3169</v>
      </c>
      <c r="N73" s="813" t="s">
        <v>7121</v>
      </c>
      <c r="O73" s="813" t="s">
        <v>3883</v>
      </c>
      <c r="P73" s="813" t="s">
        <v>7122</v>
      </c>
      <c r="Q73" s="813" t="s">
        <v>7123</v>
      </c>
      <c r="R73" s="813">
        <v>3</v>
      </c>
      <c r="S73" s="813" t="s">
        <v>3953</v>
      </c>
      <c r="T73" s="813" t="s">
        <v>6895</v>
      </c>
    </row>
    <row r="74" spans="1:20" ht="15" customHeight="1" x14ac:dyDescent="0.35">
      <c r="A74" s="794" t="s">
        <v>7124</v>
      </c>
      <c r="B74" s="794" t="s">
        <v>3857</v>
      </c>
      <c r="C74" s="812" t="s">
        <v>3913</v>
      </c>
      <c r="D74" s="825">
        <v>0</v>
      </c>
      <c r="E74" s="825">
        <v>0</v>
      </c>
      <c r="F74" s="825">
        <v>0</v>
      </c>
      <c r="G74" s="814" t="s">
        <v>3858</v>
      </c>
      <c r="H74" s="813" t="s">
        <v>246</v>
      </c>
      <c r="I74" s="813" t="s">
        <v>3960</v>
      </c>
      <c r="J74" s="813" t="s">
        <v>7026</v>
      </c>
      <c r="K74" s="813" t="s">
        <v>3949</v>
      </c>
      <c r="L74" s="813" t="s">
        <v>3863</v>
      </c>
      <c r="M74" s="813" t="s">
        <v>3169</v>
      </c>
      <c r="N74" s="813" t="s">
        <v>7125</v>
      </c>
      <c r="O74" s="813" t="s">
        <v>3883</v>
      </c>
      <c r="P74" s="813" t="s">
        <v>7126</v>
      </c>
      <c r="Q74" s="813" t="s">
        <v>7127</v>
      </c>
      <c r="R74" s="813">
        <v>3</v>
      </c>
      <c r="S74" s="813" t="s">
        <v>3953</v>
      </c>
      <c r="T74" s="813" t="s">
        <v>6895</v>
      </c>
    </row>
    <row r="75" spans="1:20" ht="15" customHeight="1" x14ac:dyDescent="0.35">
      <c r="A75" s="803" t="s">
        <v>7128</v>
      </c>
      <c r="B75" s="803"/>
      <c r="C75" s="803"/>
      <c r="D75" s="803"/>
      <c r="E75" s="803"/>
      <c r="F75" s="803"/>
      <c r="G75" s="803" t="s">
        <v>7129</v>
      </c>
      <c r="H75" s="794"/>
      <c r="I75" s="794"/>
      <c r="J75" s="794"/>
      <c r="K75" s="794"/>
      <c r="L75" s="794"/>
      <c r="M75" s="794"/>
      <c r="N75" s="794"/>
      <c r="O75" s="794"/>
      <c r="P75" s="794"/>
      <c r="Q75" s="794"/>
      <c r="R75" s="794"/>
      <c r="S75" s="794"/>
      <c r="T75" s="794"/>
    </row>
    <row r="76" spans="1:20" ht="15" customHeight="1" x14ac:dyDescent="0.35">
      <c r="A76" s="794" t="s">
        <v>7130</v>
      </c>
      <c r="B76" s="794" t="s">
        <v>3857</v>
      </c>
      <c r="C76" s="812" t="s">
        <v>3913</v>
      </c>
      <c r="D76" s="825">
        <v>11.8419958419958</v>
      </c>
      <c r="E76" s="825">
        <v>7.6972972972973004</v>
      </c>
      <c r="F76" s="825">
        <v>68</v>
      </c>
      <c r="G76" s="814" t="s">
        <v>3858</v>
      </c>
      <c r="H76" s="813" t="s">
        <v>246</v>
      </c>
      <c r="I76" s="813" t="s">
        <v>3960</v>
      </c>
      <c r="J76" s="813" t="s">
        <v>7131</v>
      </c>
      <c r="K76" s="813" t="s">
        <v>3949</v>
      </c>
      <c r="L76" s="813" t="s">
        <v>3863</v>
      </c>
      <c r="M76" s="813" t="s">
        <v>3169</v>
      </c>
      <c r="N76" s="813" t="s">
        <v>7132</v>
      </c>
      <c r="O76" s="813" t="s">
        <v>3883</v>
      </c>
      <c r="P76" s="813" t="s">
        <v>7133</v>
      </c>
      <c r="Q76" s="813" t="s">
        <v>7134</v>
      </c>
      <c r="R76" s="813">
        <v>3</v>
      </c>
      <c r="S76" s="813" t="s">
        <v>3953</v>
      </c>
      <c r="T76" s="813" t="s">
        <v>6895</v>
      </c>
    </row>
    <row r="77" spans="1:20" ht="15" customHeight="1" x14ac:dyDescent="0.35">
      <c r="A77" s="794" t="s">
        <v>7135</v>
      </c>
      <c r="B77" s="794" t="s">
        <v>3857</v>
      </c>
      <c r="C77" s="812" t="s">
        <v>3913</v>
      </c>
      <c r="D77" s="825">
        <v>11.8419958419958</v>
      </c>
      <c r="E77" s="825">
        <v>7.6972972972973004</v>
      </c>
      <c r="F77" s="825">
        <v>62</v>
      </c>
      <c r="G77" s="814" t="s">
        <v>3858</v>
      </c>
      <c r="H77" s="813" t="s">
        <v>246</v>
      </c>
      <c r="I77" s="813" t="s">
        <v>3960</v>
      </c>
      <c r="J77" s="813" t="s">
        <v>7131</v>
      </c>
      <c r="K77" s="813" t="s">
        <v>3949</v>
      </c>
      <c r="L77" s="813" t="s">
        <v>3863</v>
      </c>
      <c r="M77" s="813" t="s">
        <v>3169</v>
      </c>
      <c r="N77" s="813" t="s">
        <v>7136</v>
      </c>
      <c r="O77" s="813" t="s">
        <v>3883</v>
      </c>
      <c r="P77" s="813" t="s">
        <v>7137</v>
      </c>
      <c r="Q77" s="813" t="s">
        <v>7138</v>
      </c>
      <c r="R77" s="813">
        <v>3</v>
      </c>
      <c r="S77" s="813" t="s">
        <v>3953</v>
      </c>
      <c r="T77" s="813" t="s">
        <v>6895</v>
      </c>
    </row>
    <row r="78" spans="1:20" ht="15" customHeight="1" x14ac:dyDescent="0.35">
      <c r="A78" s="794" t="s">
        <v>7139</v>
      </c>
      <c r="B78" s="794" t="s">
        <v>3857</v>
      </c>
      <c r="C78" s="812" t="s">
        <v>3913</v>
      </c>
      <c r="D78" s="825">
        <v>0</v>
      </c>
      <c r="E78" s="825">
        <v>0</v>
      </c>
      <c r="F78" s="825">
        <v>0</v>
      </c>
      <c r="G78" s="814" t="s">
        <v>3858</v>
      </c>
      <c r="H78" s="813" t="s">
        <v>246</v>
      </c>
      <c r="I78" s="813" t="s">
        <v>3960</v>
      </c>
      <c r="J78" s="813" t="s">
        <v>7131</v>
      </c>
      <c r="K78" s="813" t="s">
        <v>3949</v>
      </c>
      <c r="L78" s="813" t="s">
        <v>3863</v>
      </c>
      <c r="M78" s="813" t="s">
        <v>3169</v>
      </c>
      <c r="N78" s="813" t="s">
        <v>7140</v>
      </c>
      <c r="O78" s="813" t="s">
        <v>3883</v>
      </c>
      <c r="P78" s="813" t="s">
        <v>7141</v>
      </c>
      <c r="Q78" s="813" t="s">
        <v>7142</v>
      </c>
      <c r="R78" s="813">
        <v>3</v>
      </c>
      <c r="S78" s="813" t="s">
        <v>3953</v>
      </c>
      <c r="T78" s="813" t="s">
        <v>6895</v>
      </c>
    </row>
    <row r="79" spans="1:20" ht="15" customHeight="1" x14ac:dyDescent="0.35">
      <c r="A79" s="794" t="s">
        <v>7143</v>
      </c>
      <c r="B79" s="794" t="s">
        <v>3857</v>
      </c>
      <c r="C79" s="812" t="s">
        <v>3913</v>
      </c>
      <c r="D79" s="825">
        <v>34.539154539154502</v>
      </c>
      <c r="E79" s="825">
        <v>22.4504504504505</v>
      </c>
      <c r="F79" s="825">
        <v>152</v>
      </c>
      <c r="G79" s="814" t="s">
        <v>3858</v>
      </c>
      <c r="H79" s="813" t="s">
        <v>246</v>
      </c>
      <c r="I79" s="813" t="s">
        <v>3960</v>
      </c>
      <c r="J79" s="813" t="s">
        <v>7131</v>
      </c>
      <c r="K79" s="813" t="s">
        <v>3949</v>
      </c>
      <c r="L79" s="813" t="s">
        <v>3863</v>
      </c>
      <c r="M79" s="813" t="s">
        <v>3169</v>
      </c>
      <c r="N79" s="813" t="s">
        <v>7144</v>
      </c>
      <c r="O79" s="813" t="s">
        <v>3883</v>
      </c>
      <c r="P79" s="813" t="s">
        <v>7145</v>
      </c>
      <c r="Q79" s="813" t="s">
        <v>7146</v>
      </c>
      <c r="R79" s="813">
        <v>3</v>
      </c>
      <c r="S79" s="813" t="s">
        <v>3953</v>
      </c>
      <c r="T79" s="813" t="s">
        <v>6895</v>
      </c>
    </row>
    <row r="80" spans="1:20" ht="15" customHeight="1" x14ac:dyDescent="0.35">
      <c r="A80" s="794" t="s">
        <v>7147</v>
      </c>
      <c r="B80" s="794" t="s">
        <v>3857</v>
      </c>
      <c r="C80" s="812" t="s">
        <v>3913</v>
      </c>
      <c r="D80" s="825">
        <v>59.209979209979203</v>
      </c>
      <c r="E80" s="825">
        <v>38.486486486486498</v>
      </c>
      <c r="F80" s="825">
        <v>30</v>
      </c>
      <c r="G80" s="814" t="s">
        <v>3858</v>
      </c>
      <c r="H80" s="813" t="s">
        <v>246</v>
      </c>
      <c r="I80" s="813" t="s">
        <v>3960</v>
      </c>
      <c r="J80" s="813" t="s">
        <v>7131</v>
      </c>
      <c r="K80" s="813" t="s">
        <v>3949</v>
      </c>
      <c r="L80" s="813" t="s">
        <v>3863</v>
      </c>
      <c r="M80" s="813" t="s">
        <v>3169</v>
      </c>
      <c r="N80" s="813" t="s">
        <v>7148</v>
      </c>
      <c r="O80" s="813" t="s">
        <v>3883</v>
      </c>
      <c r="P80" s="813" t="s">
        <v>7149</v>
      </c>
      <c r="Q80" s="813" t="s">
        <v>7150</v>
      </c>
      <c r="R80" s="813">
        <v>3</v>
      </c>
      <c r="S80" s="813" t="s">
        <v>3953</v>
      </c>
      <c r="T80" s="813" t="s">
        <v>6895</v>
      </c>
    </row>
    <row r="81" spans="1:20" ht="15" customHeight="1" x14ac:dyDescent="0.35">
      <c r="A81" s="794" t="s">
        <v>7151</v>
      </c>
      <c r="B81" s="794" t="s">
        <v>3857</v>
      </c>
      <c r="C81" s="812" t="s">
        <v>3913</v>
      </c>
      <c r="D81" s="825">
        <v>0</v>
      </c>
      <c r="E81" s="825">
        <v>0</v>
      </c>
      <c r="F81" s="825">
        <v>0</v>
      </c>
      <c r="G81" s="814" t="s">
        <v>3858</v>
      </c>
      <c r="H81" s="813" t="s">
        <v>246</v>
      </c>
      <c r="I81" s="813" t="s">
        <v>3960</v>
      </c>
      <c r="J81" s="813" t="s">
        <v>7131</v>
      </c>
      <c r="K81" s="813" t="s">
        <v>3949</v>
      </c>
      <c r="L81" s="813" t="s">
        <v>3863</v>
      </c>
      <c r="M81" s="813" t="s">
        <v>3169</v>
      </c>
      <c r="N81" s="813" t="s">
        <v>7152</v>
      </c>
      <c r="O81" s="813" t="s">
        <v>3883</v>
      </c>
      <c r="P81" s="813" t="s">
        <v>7153</v>
      </c>
      <c r="Q81" s="813" t="s">
        <v>7154</v>
      </c>
      <c r="R81" s="813">
        <v>3</v>
      </c>
      <c r="S81" s="813" t="s">
        <v>3953</v>
      </c>
      <c r="T81" s="813" t="s">
        <v>6895</v>
      </c>
    </row>
    <row r="82" spans="1:20" ht="15" customHeight="1" x14ac:dyDescent="0.35">
      <c r="A82" s="794" t="s">
        <v>7155</v>
      </c>
      <c r="B82" s="794" t="s">
        <v>3857</v>
      </c>
      <c r="C82" s="812" t="s">
        <v>3913</v>
      </c>
      <c r="D82" s="825">
        <v>20.790020790020801</v>
      </c>
      <c r="E82" s="825">
        <v>9.6216216216216193</v>
      </c>
      <c r="F82" s="825">
        <v>203</v>
      </c>
      <c r="G82" s="814" t="s">
        <v>3858</v>
      </c>
      <c r="H82" s="813" t="s">
        <v>246</v>
      </c>
      <c r="I82" s="813" t="s">
        <v>3960</v>
      </c>
      <c r="J82" s="813" t="s">
        <v>7131</v>
      </c>
      <c r="K82" s="813" t="s">
        <v>3949</v>
      </c>
      <c r="L82" s="813" t="s">
        <v>3863</v>
      </c>
      <c r="M82" s="813" t="s">
        <v>3169</v>
      </c>
      <c r="N82" s="813" t="s">
        <v>7156</v>
      </c>
      <c r="O82" s="813" t="s">
        <v>3883</v>
      </c>
      <c r="P82" s="813" t="s">
        <v>7157</v>
      </c>
      <c r="Q82" s="813" t="s">
        <v>7158</v>
      </c>
      <c r="R82" s="813">
        <v>3</v>
      </c>
      <c r="S82" s="813" t="s">
        <v>3953</v>
      </c>
      <c r="T82" s="813" t="s">
        <v>6895</v>
      </c>
    </row>
    <row r="83" spans="1:20" ht="15" customHeight="1" x14ac:dyDescent="0.35">
      <c r="A83" s="794" t="s">
        <v>7159</v>
      </c>
      <c r="B83" s="794" t="s">
        <v>3857</v>
      </c>
      <c r="C83" s="812" t="s">
        <v>3913</v>
      </c>
      <c r="D83" s="825">
        <v>20.790020790020801</v>
      </c>
      <c r="E83" s="825">
        <v>9.6216216216216193</v>
      </c>
      <c r="F83" s="825">
        <v>58</v>
      </c>
      <c r="G83" s="814" t="s">
        <v>3858</v>
      </c>
      <c r="H83" s="813" t="s">
        <v>246</v>
      </c>
      <c r="I83" s="813" t="s">
        <v>3960</v>
      </c>
      <c r="J83" s="813" t="s">
        <v>7131</v>
      </c>
      <c r="K83" s="813" t="s">
        <v>3949</v>
      </c>
      <c r="L83" s="813" t="s">
        <v>3863</v>
      </c>
      <c r="M83" s="813" t="s">
        <v>3169</v>
      </c>
      <c r="N83" s="813" t="s">
        <v>7160</v>
      </c>
      <c r="O83" s="813" t="s">
        <v>3883</v>
      </c>
      <c r="P83" s="813" t="s">
        <v>7161</v>
      </c>
      <c r="Q83" s="813" t="s">
        <v>7162</v>
      </c>
      <c r="R83" s="813">
        <v>3</v>
      </c>
      <c r="S83" s="813" t="s">
        <v>3953</v>
      </c>
      <c r="T83" s="813" t="s">
        <v>6895</v>
      </c>
    </row>
    <row r="84" spans="1:20" ht="15" customHeight="1" x14ac:dyDescent="0.35">
      <c r="A84" s="794" t="s">
        <v>7163</v>
      </c>
      <c r="B84" s="794" t="s">
        <v>3857</v>
      </c>
      <c r="C84" s="812" t="s">
        <v>3913</v>
      </c>
      <c r="D84" s="825">
        <v>83.160083160083204</v>
      </c>
      <c r="E84" s="825">
        <v>38.486486486486498</v>
      </c>
      <c r="F84" s="825">
        <v>5</v>
      </c>
      <c r="G84" s="814" t="s">
        <v>3858</v>
      </c>
      <c r="H84" s="813" t="s">
        <v>246</v>
      </c>
      <c r="I84" s="813" t="s">
        <v>3960</v>
      </c>
      <c r="J84" s="813" t="s">
        <v>7131</v>
      </c>
      <c r="K84" s="813" t="s">
        <v>3949</v>
      </c>
      <c r="L84" s="813" t="s">
        <v>3863</v>
      </c>
      <c r="M84" s="813" t="s">
        <v>3169</v>
      </c>
      <c r="N84" s="813" t="s">
        <v>7164</v>
      </c>
      <c r="O84" s="813" t="s">
        <v>3883</v>
      </c>
      <c r="P84" s="813" t="s">
        <v>7165</v>
      </c>
      <c r="Q84" s="813" t="s">
        <v>7166</v>
      </c>
      <c r="R84" s="813">
        <v>3</v>
      </c>
      <c r="S84" s="813" t="s">
        <v>3953</v>
      </c>
      <c r="T84" s="813" t="s">
        <v>6895</v>
      </c>
    </row>
    <row r="85" spans="1:20" ht="15" customHeight="1" x14ac:dyDescent="0.35">
      <c r="A85" s="794" t="s">
        <v>7167</v>
      </c>
      <c r="B85" s="794" t="s">
        <v>3857</v>
      </c>
      <c r="C85" s="812" t="s">
        <v>3913</v>
      </c>
      <c r="D85" s="825">
        <v>0</v>
      </c>
      <c r="E85" s="825"/>
      <c r="F85" s="825">
        <v>0</v>
      </c>
      <c r="G85" s="814" t="s">
        <v>3858</v>
      </c>
      <c r="H85" s="813" t="s">
        <v>246</v>
      </c>
      <c r="I85" s="813" t="s">
        <v>3960</v>
      </c>
      <c r="J85" s="813" t="s">
        <v>7131</v>
      </c>
      <c r="K85" s="813" t="s">
        <v>3949</v>
      </c>
      <c r="L85" s="813" t="s">
        <v>3863</v>
      </c>
      <c r="M85" s="813" t="s">
        <v>3169</v>
      </c>
      <c r="N85" s="813" t="s">
        <v>7168</v>
      </c>
      <c r="O85" s="813" t="s">
        <v>3883</v>
      </c>
      <c r="P85" s="813" t="s">
        <v>7169</v>
      </c>
      <c r="Q85" s="813" t="s">
        <v>7170</v>
      </c>
      <c r="R85" s="813">
        <v>2</v>
      </c>
      <c r="S85" s="813" t="s">
        <v>3953</v>
      </c>
      <c r="T85" s="813" t="s">
        <v>6895</v>
      </c>
    </row>
    <row r="86" spans="1:20" ht="15" customHeight="1" x14ac:dyDescent="0.35">
      <c r="A86" s="794" t="s">
        <v>7171</v>
      </c>
      <c r="B86" s="794" t="s">
        <v>3857</v>
      </c>
      <c r="C86" s="812" t="s">
        <v>3913</v>
      </c>
      <c r="D86" s="825">
        <v>0</v>
      </c>
      <c r="E86" s="825"/>
      <c r="F86" s="825">
        <v>0</v>
      </c>
      <c r="G86" s="814" t="s">
        <v>3858</v>
      </c>
      <c r="H86" s="813" t="s">
        <v>246</v>
      </c>
      <c r="I86" s="813" t="s">
        <v>3960</v>
      </c>
      <c r="J86" s="813" t="s">
        <v>7131</v>
      </c>
      <c r="K86" s="813" t="s">
        <v>3949</v>
      </c>
      <c r="L86" s="813" t="s">
        <v>3863</v>
      </c>
      <c r="M86" s="813" t="s">
        <v>3169</v>
      </c>
      <c r="N86" s="813" t="s">
        <v>7172</v>
      </c>
      <c r="O86" s="813" t="s">
        <v>3883</v>
      </c>
      <c r="P86" s="813" t="s">
        <v>7173</v>
      </c>
      <c r="Q86" s="813" t="s">
        <v>7174</v>
      </c>
      <c r="R86" s="813">
        <v>2</v>
      </c>
      <c r="S86" s="813" t="s">
        <v>3953</v>
      </c>
      <c r="T86" s="813" t="s">
        <v>6895</v>
      </c>
    </row>
    <row r="87" spans="1:20" ht="15" customHeight="1" x14ac:dyDescent="0.35">
      <c r="A87" s="794" t="s">
        <v>7175</v>
      </c>
      <c r="B87" s="794" t="s">
        <v>3857</v>
      </c>
      <c r="C87" s="812" t="s">
        <v>3913</v>
      </c>
      <c r="D87" s="825">
        <v>0</v>
      </c>
      <c r="E87" s="825"/>
      <c r="F87" s="825">
        <v>0</v>
      </c>
      <c r="G87" s="814" t="s">
        <v>3858</v>
      </c>
      <c r="H87" s="813" t="s">
        <v>246</v>
      </c>
      <c r="I87" s="813" t="s">
        <v>3960</v>
      </c>
      <c r="J87" s="813" t="s">
        <v>7131</v>
      </c>
      <c r="K87" s="813" t="s">
        <v>3949</v>
      </c>
      <c r="L87" s="813" t="s">
        <v>3863</v>
      </c>
      <c r="M87" s="813" t="s">
        <v>3169</v>
      </c>
      <c r="N87" s="813" t="s">
        <v>7176</v>
      </c>
      <c r="O87" s="813" t="s">
        <v>3883</v>
      </c>
      <c r="P87" s="813" t="s">
        <v>7177</v>
      </c>
      <c r="Q87" s="813" t="s">
        <v>7178</v>
      </c>
      <c r="R87" s="813">
        <v>2</v>
      </c>
      <c r="S87" s="813" t="s">
        <v>3953</v>
      </c>
      <c r="T87" s="813" t="s">
        <v>6895</v>
      </c>
    </row>
    <row r="88" spans="1:20" ht="15" customHeight="1" x14ac:dyDescent="0.35">
      <c r="A88" s="794" t="s">
        <v>7179</v>
      </c>
      <c r="B88" s="794" t="s">
        <v>3857</v>
      </c>
      <c r="C88" s="812" t="s">
        <v>3913</v>
      </c>
      <c r="D88" s="825"/>
      <c r="E88" s="825">
        <v>0</v>
      </c>
      <c r="F88" s="826"/>
      <c r="G88" s="814" t="s">
        <v>3858</v>
      </c>
      <c r="H88" s="813" t="s">
        <v>246</v>
      </c>
      <c r="I88" s="813" t="s">
        <v>3960</v>
      </c>
      <c r="J88" s="813" t="s">
        <v>7131</v>
      </c>
      <c r="K88" s="813" t="s">
        <v>3949</v>
      </c>
      <c r="L88" s="813" t="s">
        <v>3863</v>
      </c>
      <c r="M88" s="813" t="s">
        <v>3169</v>
      </c>
      <c r="N88" s="813" t="s">
        <v>7180</v>
      </c>
      <c r="O88" s="813" t="s">
        <v>3883</v>
      </c>
      <c r="P88" s="813" t="s">
        <v>7181</v>
      </c>
      <c r="Q88" s="813" t="s">
        <v>7182</v>
      </c>
      <c r="R88" s="813">
        <v>1</v>
      </c>
      <c r="S88" s="813" t="s">
        <v>3953</v>
      </c>
      <c r="T88" s="813" t="s">
        <v>6895</v>
      </c>
    </row>
    <row r="89" spans="1:20" ht="15" customHeight="1" x14ac:dyDescent="0.35">
      <c r="A89" s="794" t="s">
        <v>7183</v>
      </c>
      <c r="B89" s="794" t="s">
        <v>3857</v>
      </c>
      <c r="C89" s="812" t="s">
        <v>3913</v>
      </c>
      <c r="D89" s="825"/>
      <c r="E89" s="825">
        <v>0</v>
      </c>
      <c r="F89" s="826"/>
      <c r="G89" s="814" t="s">
        <v>3858</v>
      </c>
      <c r="H89" s="813" t="s">
        <v>246</v>
      </c>
      <c r="I89" s="813" t="s">
        <v>3960</v>
      </c>
      <c r="J89" s="813" t="s">
        <v>7131</v>
      </c>
      <c r="K89" s="813" t="s">
        <v>3949</v>
      </c>
      <c r="L89" s="813" t="s">
        <v>3863</v>
      </c>
      <c r="M89" s="813" t="s">
        <v>3169</v>
      </c>
      <c r="N89" s="813" t="s">
        <v>7184</v>
      </c>
      <c r="O89" s="813" t="s">
        <v>3883</v>
      </c>
      <c r="P89" s="813" t="s">
        <v>7185</v>
      </c>
      <c r="Q89" s="813" t="s">
        <v>7186</v>
      </c>
      <c r="R89" s="813">
        <v>1</v>
      </c>
      <c r="S89" s="813" t="s">
        <v>3953</v>
      </c>
      <c r="T89" s="813" t="s">
        <v>6895</v>
      </c>
    </row>
    <row r="90" spans="1:20" ht="15" customHeight="1" x14ac:dyDescent="0.35">
      <c r="A90" s="794" t="s">
        <v>7187</v>
      </c>
      <c r="B90" s="794" t="s">
        <v>3857</v>
      </c>
      <c r="C90" s="812" t="s">
        <v>3913</v>
      </c>
      <c r="D90" s="825"/>
      <c r="E90" s="825">
        <v>0</v>
      </c>
      <c r="F90" s="826"/>
      <c r="G90" s="814" t="s">
        <v>3858</v>
      </c>
      <c r="H90" s="813" t="s">
        <v>246</v>
      </c>
      <c r="I90" s="813" t="s">
        <v>3960</v>
      </c>
      <c r="J90" s="813" t="s">
        <v>7131</v>
      </c>
      <c r="K90" s="813" t="s">
        <v>3949</v>
      </c>
      <c r="L90" s="813" t="s">
        <v>3863</v>
      </c>
      <c r="M90" s="813" t="s">
        <v>3169</v>
      </c>
      <c r="N90" s="813" t="s">
        <v>7188</v>
      </c>
      <c r="O90" s="813" t="s">
        <v>3883</v>
      </c>
      <c r="P90" s="813" t="s">
        <v>7189</v>
      </c>
      <c r="Q90" s="813" t="s">
        <v>7190</v>
      </c>
      <c r="R90" s="813">
        <v>1</v>
      </c>
      <c r="S90" s="813" t="s">
        <v>3953</v>
      </c>
      <c r="T90" s="813" t="s">
        <v>6895</v>
      </c>
    </row>
    <row r="91" spans="1:20" ht="15" customHeight="1" x14ac:dyDescent="0.35">
      <c r="A91" s="803" t="s">
        <v>7191</v>
      </c>
      <c r="B91" s="803"/>
      <c r="C91" s="803"/>
      <c r="D91" s="803"/>
      <c r="E91" s="803"/>
      <c r="F91" s="803"/>
      <c r="G91" s="803" t="s">
        <v>3946</v>
      </c>
      <c r="H91" s="794"/>
      <c r="I91" s="794"/>
      <c r="J91" s="794"/>
      <c r="K91" s="794"/>
      <c r="L91" s="794"/>
      <c r="M91" s="794"/>
      <c r="N91" s="794"/>
      <c r="O91" s="794"/>
      <c r="P91" s="794"/>
      <c r="Q91" s="794"/>
      <c r="R91" s="794"/>
      <c r="S91" s="794"/>
      <c r="T91" s="794"/>
    </row>
    <row r="92" spans="1:20" ht="15" customHeight="1" x14ac:dyDescent="0.35">
      <c r="A92" s="794" t="s">
        <v>7192</v>
      </c>
      <c r="B92" s="794" t="s">
        <v>3857</v>
      </c>
      <c r="C92" s="812" t="s">
        <v>3913</v>
      </c>
      <c r="D92" s="825"/>
      <c r="E92" s="825"/>
      <c r="F92" s="825">
        <v>0.17</v>
      </c>
      <c r="G92" s="814" t="s">
        <v>3858</v>
      </c>
      <c r="H92" s="813" t="s">
        <v>246</v>
      </c>
      <c r="I92" s="813" t="s">
        <v>3960</v>
      </c>
      <c r="J92" s="813" t="s">
        <v>7193</v>
      </c>
      <c r="K92" s="813" t="s">
        <v>3949</v>
      </c>
      <c r="L92" s="813" t="s">
        <v>3863</v>
      </c>
      <c r="M92" s="813" t="s">
        <v>3169</v>
      </c>
      <c r="N92" s="813" t="s">
        <v>7194</v>
      </c>
      <c r="O92" s="813" t="s">
        <v>3883</v>
      </c>
      <c r="P92" s="813" t="s">
        <v>7195</v>
      </c>
      <c r="Q92" s="813" t="s">
        <v>7196</v>
      </c>
      <c r="R92" s="813">
        <v>1</v>
      </c>
      <c r="S92" s="813" t="s">
        <v>3953</v>
      </c>
      <c r="T92" s="813" t="s">
        <v>6895</v>
      </c>
    </row>
    <row r="93" spans="1:20" ht="15" customHeight="1" x14ac:dyDescent="0.35">
      <c r="A93" s="803" t="s">
        <v>7197</v>
      </c>
      <c r="B93" s="803"/>
      <c r="C93" s="803"/>
      <c r="D93" s="803"/>
      <c r="E93" s="803"/>
      <c r="F93" s="803"/>
      <c r="G93" s="803" t="s">
        <v>7198</v>
      </c>
      <c r="H93" s="794"/>
      <c r="I93" s="794"/>
      <c r="J93" s="794"/>
      <c r="K93" s="794"/>
      <c r="L93" s="794"/>
      <c r="M93" s="794"/>
      <c r="N93" s="794"/>
      <c r="O93" s="794"/>
      <c r="P93" s="794"/>
      <c r="Q93" s="794"/>
      <c r="R93" s="794"/>
      <c r="S93" s="794"/>
      <c r="T93" s="794"/>
    </row>
    <row r="94" spans="1:20" ht="15" customHeight="1" x14ac:dyDescent="0.35">
      <c r="A94" s="794" t="s">
        <v>4542</v>
      </c>
      <c r="B94" s="794" t="s">
        <v>3857</v>
      </c>
      <c r="C94" s="812" t="s">
        <v>3913</v>
      </c>
      <c r="D94" s="825">
        <f>IF(D$14="","",D$14)</f>
        <v>88.814968814968793</v>
      </c>
      <c r="E94" s="825">
        <f>IF(E$14="","",E$14)</f>
        <v>57.729729729729698</v>
      </c>
      <c r="F94" s="825">
        <f>IF(F$14="","",F$14)</f>
        <v>481</v>
      </c>
      <c r="G94" s="814" t="s">
        <v>9404</v>
      </c>
      <c r="H94" s="813" t="s">
        <v>246</v>
      </c>
      <c r="I94" s="813" t="s">
        <v>3960</v>
      </c>
      <c r="J94" s="813" t="s">
        <v>7199</v>
      </c>
      <c r="K94" s="813" t="s">
        <v>3949</v>
      </c>
      <c r="L94" s="813" t="s">
        <v>3863</v>
      </c>
      <c r="M94" s="813" t="s">
        <v>3169</v>
      </c>
      <c r="N94" s="813" t="s">
        <v>7200</v>
      </c>
      <c r="O94" s="813" t="s">
        <v>9405</v>
      </c>
      <c r="P94" s="813" t="s">
        <v>7201</v>
      </c>
      <c r="Q94" s="813" t="s">
        <v>7202</v>
      </c>
      <c r="R94" s="813">
        <v>3</v>
      </c>
      <c r="S94" s="813" t="s">
        <v>3953</v>
      </c>
      <c r="T94" s="813" t="s">
        <v>9406</v>
      </c>
    </row>
    <row r="95" spans="1:20" ht="15" customHeight="1" x14ac:dyDescent="0.35">
      <c r="A95" s="794" t="s">
        <v>6896</v>
      </c>
      <c r="B95" s="794" t="s">
        <v>3857</v>
      </c>
      <c r="C95" s="812" t="s">
        <v>3913</v>
      </c>
      <c r="D95" s="825">
        <f>IF(D$15="","",D$15)</f>
        <v>108.55162855162899</v>
      </c>
      <c r="E95" s="825">
        <f>IF(E$15="","",E$15)</f>
        <v>70.558558558558602</v>
      </c>
      <c r="F95" s="825">
        <f>IF(F$15="","",F$15)</f>
        <v>10</v>
      </c>
      <c r="G95" s="814" t="s">
        <v>9404</v>
      </c>
      <c r="H95" s="813" t="s">
        <v>246</v>
      </c>
      <c r="I95" s="813" t="s">
        <v>3960</v>
      </c>
      <c r="J95" s="813" t="s">
        <v>7199</v>
      </c>
      <c r="K95" s="813" t="s">
        <v>3949</v>
      </c>
      <c r="L95" s="813" t="s">
        <v>3863</v>
      </c>
      <c r="M95" s="813" t="s">
        <v>3169</v>
      </c>
      <c r="N95" s="813" t="s">
        <v>7203</v>
      </c>
      <c r="O95" s="813" t="s">
        <v>9407</v>
      </c>
      <c r="P95" s="813" t="s">
        <v>7204</v>
      </c>
      <c r="Q95" s="813" t="s">
        <v>7205</v>
      </c>
      <c r="R95" s="813">
        <v>3</v>
      </c>
      <c r="S95" s="813" t="s">
        <v>3953</v>
      </c>
      <c r="T95" s="813" t="s">
        <v>9406</v>
      </c>
    </row>
    <row r="96" spans="1:20" ht="15" customHeight="1" x14ac:dyDescent="0.35">
      <c r="A96" s="794" t="s">
        <v>6900</v>
      </c>
      <c r="B96" s="794" t="s">
        <v>3857</v>
      </c>
      <c r="C96" s="812" t="s">
        <v>3913</v>
      </c>
      <c r="D96" s="825">
        <f>IF(D$16="","",D$16)</f>
        <v>0</v>
      </c>
      <c r="E96" s="825">
        <f>IF(E$16="","",E$16)</f>
        <v>0</v>
      </c>
      <c r="F96" s="825">
        <f>IF(F$16="","",F$16)</f>
        <v>0</v>
      </c>
      <c r="G96" s="814" t="s">
        <v>9404</v>
      </c>
      <c r="H96" s="813" t="s">
        <v>246</v>
      </c>
      <c r="I96" s="813" t="s">
        <v>3960</v>
      </c>
      <c r="J96" s="813" t="s">
        <v>7199</v>
      </c>
      <c r="K96" s="813" t="s">
        <v>3949</v>
      </c>
      <c r="L96" s="813" t="s">
        <v>3863</v>
      </c>
      <c r="M96" s="813" t="s">
        <v>3169</v>
      </c>
      <c r="N96" s="813" t="s">
        <v>7206</v>
      </c>
      <c r="O96" s="813" t="s">
        <v>9408</v>
      </c>
      <c r="P96" s="813" t="s">
        <v>7207</v>
      </c>
      <c r="Q96" s="813" t="s">
        <v>7208</v>
      </c>
      <c r="R96" s="813">
        <v>3</v>
      </c>
      <c r="S96" s="813" t="s">
        <v>3953</v>
      </c>
      <c r="T96" s="813" t="s">
        <v>9406</v>
      </c>
    </row>
    <row r="97" spans="1:20" ht="15" customHeight="1" x14ac:dyDescent="0.35">
      <c r="A97" s="794" t="s">
        <v>4546</v>
      </c>
      <c r="B97" s="794" t="s">
        <v>3857</v>
      </c>
      <c r="C97" s="812" t="s">
        <v>3913</v>
      </c>
      <c r="D97" s="825">
        <f>IF(D$17="","",D$17)</f>
        <v>49.341649341649301</v>
      </c>
      <c r="E97" s="825">
        <f>IF(E$17="","",E$17)</f>
        <v>32.072072072072103</v>
      </c>
      <c r="F97" s="825">
        <f>IF(F$17="","",F$17)</f>
        <v>152</v>
      </c>
      <c r="G97" s="814" t="s">
        <v>9404</v>
      </c>
      <c r="H97" s="813" t="s">
        <v>246</v>
      </c>
      <c r="I97" s="813" t="s">
        <v>3960</v>
      </c>
      <c r="J97" s="813" t="s">
        <v>7199</v>
      </c>
      <c r="K97" s="813" t="s">
        <v>3949</v>
      </c>
      <c r="L97" s="813" t="s">
        <v>3863</v>
      </c>
      <c r="M97" s="813" t="s">
        <v>3169</v>
      </c>
      <c r="N97" s="813" t="s">
        <v>7209</v>
      </c>
      <c r="O97" s="813" t="s">
        <v>9409</v>
      </c>
      <c r="P97" s="813" t="s">
        <v>7210</v>
      </c>
      <c r="Q97" s="813" t="s">
        <v>7211</v>
      </c>
      <c r="R97" s="813">
        <v>3</v>
      </c>
      <c r="S97" s="813" t="s">
        <v>3953</v>
      </c>
      <c r="T97" s="813" t="s">
        <v>9406</v>
      </c>
    </row>
    <row r="98" spans="1:20" ht="15" customHeight="1" x14ac:dyDescent="0.35">
      <c r="A98" s="794" t="s">
        <v>6907</v>
      </c>
      <c r="B98" s="794" t="s">
        <v>3857</v>
      </c>
      <c r="C98" s="812" t="s">
        <v>3913</v>
      </c>
      <c r="D98" s="825">
        <f>IF(D$18="","",D$18)</f>
        <v>0</v>
      </c>
      <c r="E98" s="825">
        <f>IF(E$18="","",E$18)</f>
        <v>0</v>
      </c>
      <c r="F98" s="825">
        <f>IF(F$18="","",F$18)</f>
        <v>0</v>
      </c>
      <c r="G98" s="814" t="s">
        <v>9404</v>
      </c>
      <c r="H98" s="813" t="s">
        <v>246</v>
      </c>
      <c r="I98" s="813" t="s">
        <v>3960</v>
      </c>
      <c r="J98" s="813" t="s">
        <v>7199</v>
      </c>
      <c r="K98" s="813" t="s">
        <v>3949</v>
      </c>
      <c r="L98" s="813" t="s">
        <v>3863</v>
      </c>
      <c r="M98" s="813" t="s">
        <v>3169</v>
      </c>
      <c r="N98" s="813" t="s">
        <v>7212</v>
      </c>
      <c r="O98" s="813" t="s">
        <v>9410</v>
      </c>
      <c r="P98" s="813" t="s">
        <v>7213</v>
      </c>
      <c r="Q98" s="813" t="s">
        <v>7214</v>
      </c>
      <c r="R98" s="813">
        <v>6</v>
      </c>
      <c r="S98" s="813" t="s">
        <v>3953</v>
      </c>
      <c r="T98" s="813" t="s">
        <v>9406</v>
      </c>
    </row>
    <row r="99" spans="1:20" ht="15" customHeight="1" x14ac:dyDescent="0.35">
      <c r="A99" s="794" t="s">
        <v>4550</v>
      </c>
      <c r="B99" s="794" t="s">
        <v>3857</v>
      </c>
      <c r="C99" s="812" t="s">
        <v>3913</v>
      </c>
      <c r="D99" s="825">
        <f>IF(D$19="","",D$19)</f>
        <v>19.7366597366597</v>
      </c>
      <c r="E99" s="825">
        <f>IF(E$19="","",E$19)</f>
        <v>12.828828828828801</v>
      </c>
      <c r="F99" s="825">
        <f>IF(F$19="","",F$19)</f>
        <v>23</v>
      </c>
      <c r="G99" s="814" t="s">
        <v>9404</v>
      </c>
      <c r="H99" s="813" t="s">
        <v>246</v>
      </c>
      <c r="I99" s="813" t="s">
        <v>3960</v>
      </c>
      <c r="J99" s="813" t="s">
        <v>7199</v>
      </c>
      <c r="K99" s="813" t="s">
        <v>3949</v>
      </c>
      <c r="L99" s="813" t="s">
        <v>3863</v>
      </c>
      <c r="M99" s="813" t="s">
        <v>3169</v>
      </c>
      <c r="N99" s="813" t="s">
        <v>7215</v>
      </c>
      <c r="O99" s="813" t="s">
        <v>9411</v>
      </c>
      <c r="P99" s="813" t="s">
        <v>7216</v>
      </c>
      <c r="Q99" s="813" t="s">
        <v>7217</v>
      </c>
      <c r="R99" s="813">
        <v>3</v>
      </c>
      <c r="S99" s="813" t="s">
        <v>3953</v>
      </c>
      <c r="T99" s="813" t="s">
        <v>9406</v>
      </c>
    </row>
    <row r="100" spans="1:20" ht="15" customHeight="1" x14ac:dyDescent="0.35">
      <c r="A100" s="794" t="s">
        <v>6914</v>
      </c>
      <c r="B100" s="794" t="s">
        <v>3857</v>
      </c>
      <c r="C100" s="812" t="s">
        <v>3913</v>
      </c>
      <c r="D100" s="825" t="str">
        <f>IF(D$20="","",D$20)</f>
        <v/>
      </c>
      <c r="E100" s="825" t="str">
        <f>IF(E$20="","",E$20)</f>
        <v/>
      </c>
      <c r="F100" s="825">
        <f>IF(F$20="","",F$20)</f>
        <v>0</v>
      </c>
      <c r="G100" s="814" t="s">
        <v>9404</v>
      </c>
      <c r="H100" s="813" t="s">
        <v>246</v>
      </c>
      <c r="I100" s="813" t="s">
        <v>3960</v>
      </c>
      <c r="J100" s="813" t="s">
        <v>7199</v>
      </c>
      <c r="K100" s="813" t="s">
        <v>3949</v>
      </c>
      <c r="L100" s="813" t="s">
        <v>3863</v>
      </c>
      <c r="M100" s="813" t="s">
        <v>3169</v>
      </c>
      <c r="N100" s="813" t="s">
        <v>7218</v>
      </c>
      <c r="O100" s="813" t="s">
        <v>9412</v>
      </c>
      <c r="P100" s="813" t="s">
        <v>7219</v>
      </c>
      <c r="Q100" s="813" t="s">
        <v>7220</v>
      </c>
      <c r="R100" s="813">
        <v>1</v>
      </c>
      <c r="S100" s="813" t="s">
        <v>3953</v>
      </c>
      <c r="T100" s="813" t="s">
        <v>9406</v>
      </c>
    </row>
    <row r="101" spans="1:20" ht="15" customHeight="1" x14ac:dyDescent="0.35">
      <c r="A101" s="794" t="s">
        <v>6918</v>
      </c>
      <c r="B101" s="794" t="s">
        <v>3857</v>
      </c>
      <c r="C101" s="812" t="s">
        <v>3913</v>
      </c>
      <c r="D101" s="825">
        <f>IF(D$21="","",D$21)</f>
        <v>0</v>
      </c>
      <c r="E101" s="825">
        <f>IF(E$21="","",E$21)</f>
        <v>0</v>
      </c>
      <c r="F101" s="825">
        <f>IF(F$21="","",F$21)</f>
        <v>0</v>
      </c>
      <c r="G101" s="814" t="s">
        <v>9404</v>
      </c>
      <c r="H101" s="813" t="s">
        <v>246</v>
      </c>
      <c r="I101" s="813" t="s">
        <v>3960</v>
      </c>
      <c r="J101" s="813" t="s">
        <v>7199</v>
      </c>
      <c r="K101" s="813" t="s">
        <v>3949</v>
      </c>
      <c r="L101" s="813" t="s">
        <v>3863</v>
      </c>
      <c r="M101" s="813" t="s">
        <v>3169</v>
      </c>
      <c r="N101" s="813" t="s">
        <v>7221</v>
      </c>
      <c r="O101" s="813" t="s">
        <v>9413</v>
      </c>
      <c r="P101" s="813" t="s">
        <v>7222</v>
      </c>
      <c r="Q101" s="813" t="s">
        <v>7223</v>
      </c>
      <c r="R101" s="813">
        <v>3</v>
      </c>
      <c r="S101" s="813" t="s">
        <v>3953</v>
      </c>
      <c r="T101" s="813" t="s">
        <v>9406</v>
      </c>
    </row>
    <row r="102" spans="1:20" ht="15" customHeight="1" x14ac:dyDescent="0.35">
      <c r="A102" s="794" t="s">
        <v>6922</v>
      </c>
      <c r="B102" s="794" t="s">
        <v>3857</v>
      </c>
      <c r="C102" s="812" t="s">
        <v>3913</v>
      </c>
      <c r="D102" s="825">
        <f>IF(D$22="","",D$22)</f>
        <v>108.55162855162899</v>
      </c>
      <c r="E102" s="825">
        <f>IF(E$22="","",E$22)</f>
        <v>70.558558558558602</v>
      </c>
      <c r="F102" s="825">
        <f>IF(F$22="","",F$22)</f>
        <v>5</v>
      </c>
      <c r="G102" s="814" t="s">
        <v>9404</v>
      </c>
      <c r="H102" s="813" t="s">
        <v>246</v>
      </c>
      <c r="I102" s="813" t="s">
        <v>3960</v>
      </c>
      <c r="J102" s="813" t="s">
        <v>7199</v>
      </c>
      <c r="K102" s="813" t="s">
        <v>3949</v>
      </c>
      <c r="L102" s="813" t="s">
        <v>3863</v>
      </c>
      <c r="M102" s="813" t="s">
        <v>3169</v>
      </c>
      <c r="N102" s="813" t="s">
        <v>7224</v>
      </c>
      <c r="O102" s="813" t="s">
        <v>9414</v>
      </c>
      <c r="P102" s="813" t="s">
        <v>7225</v>
      </c>
      <c r="Q102" s="813" t="s">
        <v>7226</v>
      </c>
      <c r="R102" s="813">
        <v>3</v>
      </c>
      <c r="S102" s="813" t="s">
        <v>3953</v>
      </c>
      <c r="T102" s="813" t="s">
        <v>9406</v>
      </c>
    </row>
    <row r="103" spans="1:20" ht="15" customHeight="1" x14ac:dyDescent="0.35">
      <c r="A103" s="794" t="s">
        <v>4558</v>
      </c>
      <c r="B103" s="794" t="s">
        <v>3857</v>
      </c>
      <c r="C103" s="812" t="s">
        <v>3913</v>
      </c>
      <c r="D103" s="825">
        <f>IF(D$23="","",D$23)</f>
        <v>44.407484407484397</v>
      </c>
      <c r="E103" s="825">
        <f>IF(E$23="","",E$23)</f>
        <v>28.864864864864899</v>
      </c>
      <c r="F103" s="825">
        <f>IF(F$23="","",F$23)</f>
        <v>159</v>
      </c>
      <c r="G103" s="814" t="s">
        <v>9404</v>
      </c>
      <c r="H103" s="813" t="s">
        <v>246</v>
      </c>
      <c r="I103" s="813" t="s">
        <v>3960</v>
      </c>
      <c r="J103" s="813" t="s">
        <v>7199</v>
      </c>
      <c r="K103" s="813" t="s">
        <v>3949</v>
      </c>
      <c r="L103" s="813" t="s">
        <v>3863</v>
      </c>
      <c r="M103" s="813" t="s">
        <v>3169</v>
      </c>
      <c r="N103" s="813" t="s">
        <v>7227</v>
      </c>
      <c r="O103" s="813" t="s">
        <v>9415</v>
      </c>
      <c r="P103" s="813" t="s">
        <v>7228</v>
      </c>
      <c r="Q103" s="813" t="s">
        <v>7229</v>
      </c>
      <c r="R103" s="813">
        <v>3</v>
      </c>
      <c r="S103" s="813" t="s">
        <v>3953</v>
      </c>
      <c r="T103" s="813" t="s">
        <v>9406</v>
      </c>
    </row>
    <row r="104" spans="1:20" ht="15" customHeight="1" x14ac:dyDescent="0.35">
      <c r="A104" s="794" t="s">
        <v>6929</v>
      </c>
      <c r="B104" s="794" t="s">
        <v>3857</v>
      </c>
      <c r="C104" s="812" t="s">
        <v>3913</v>
      </c>
      <c r="D104" s="825" t="str">
        <f>IF(D$24="","",D$24)</f>
        <v/>
      </c>
      <c r="E104" s="825" t="str">
        <f>IF(E$24="","",E$24)</f>
        <v/>
      </c>
      <c r="F104" s="825">
        <f>IF(F$24="","",F$24)</f>
        <v>0</v>
      </c>
      <c r="G104" s="814" t="s">
        <v>9404</v>
      </c>
      <c r="H104" s="813" t="s">
        <v>246</v>
      </c>
      <c r="I104" s="813" t="s">
        <v>3960</v>
      </c>
      <c r="J104" s="813" t="s">
        <v>7199</v>
      </c>
      <c r="K104" s="813" t="s">
        <v>3949</v>
      </c>
      <c r="L104" s="813" t="s">
        <v>3863</v>
      </c>
      <c r="M104" s="813" t="s">
        <v>3169</v>
      </c>
      <c r="N104" s="813" t="s">
        <v>7230</v>
      </c>
      <c r="O104" s="813" t="s">
        <v>9416</v>
      </c>
      <c r="P104" s="813" t="s">
        <v>7231</v>
      </c>
      <c r="Q104" s="813" t="s">
        <v>7232</v>
      </c>
      <c r="R104" s="813">
        <v>1</v>
      </c>
      <c r="S104" s="813" t="s">
        <v>3953</v>
      </c>
      <c r="T104" s="813" t="s">
        <v>9406</v>
      </c>
    </row>
    <row r="105" spans="1:20" ht="15" customHeight="1" x14ac:dyDescent="0.35">
      <c r="A105" s="794" t="s">
        <v>6933</v>
      </c>
      <c r="B105" s="794" t="s">
        <v>3857</v>
      </c>
      <c r="C105" s="812" t="s">
        <v>3913</v>
      </c>
      <c r="D105" s="825">
        <f>IF(D$25="","",D$25)</f>
        <v>0</v>
      </c>
      <c r="E105" s="825">
        <f>IF(E$25="","",E$25)</f>
        <v>0</v>
      </c>
      <c r="F105" s="825">
        <f>IF(F$25="","",F$25)</f>
        <v>0</v>
      </c>
      <c r="G105" s="814" t="s">
        <v>9404</v>
      </c>
      <c r="H105" s="813" t="s">
        <v>246</v>
      </c>
      <c r="I105" s="813" t="s">
        <v>3960</v>
      </c>
      <c r="J105" s="813" t="s">
        <v>7199</v>
      </c>
      <c r="K105" s="813" t="s">
        <v>3949</v>
      </c>
      <c r="L105" s="813" t="s">
        <v>3863</v>
      </c>
      <c r="M105" s="813" t="s">
        <v>3169</v>
      </c>
      <c r="N105" s="813" t="s">
        <v>7233</v>
      </c>
      <c r="O105" s="813" t="s">
        <v>9417</v>
      </c>
      <c r="P105" s="813" t="s">
        <v>7234</v>
      </c>
      <c r="Q105" s="813" t="s">
        <v>7235</v>
      </c>
      <c r="R105" s="813">
        <v>3</v>
      </c>
      <c r="S105" s="813" t="s">
        <v>3953</v>
      </c>
      <c r="T105" s="813" t="s">
        <v>9406</v>
      </c>
    </row>
    <row r="106" spans="1:20" ht="15" customHeight="1" x14ac:dyDescent="0.35">
      <c r="A106" s="794" t="s">
        <v>6922</v>
      </c>
      <c r="B106" s="794" t="s">
        <v>3857</v>
      </c>
      <c r="C106" s="812" t="s">
        <v>3913</v>
      </c>
      <c r="D106" s="825">
        <f>IF(D$26="","",D$26)</f>
        <v>98.8322938322938</v>
      </c>
      <c r="E106" s="825">
        <f>IF(E$26="","",E$26)</f>
        <v>64.240990990990994</v>
      </c>
      <c r="F106" s="825">
        <f>IF(F$26="","",F$26)</f>
        <v>5</v>
      </c>
      <c r="G106" s="814" t="s">
        <v>9404</v>
      </c>
      <c r="H106" s="813" t="s">
        <v>246</v>
      </c>
      <c r="I106" s="813" t="s">
        <v>3960</v>
      </c>
      <c r="J106" s="813" t="s">
        <v>7199</v>
      </c>
      <c r="K106" s="813" t="s">
        <v>3949</v>
      </c>
      <c r="L106" s="813" t="s">
        <v>3863</v>
      </c>
      <c r="M106" s="813" t="s">
        <v>3169</v>
      </c>
      <c r="N106" s="813" t="s">
        <v>7236</v>
      </c>
      <c r="O106" s="813" t="s">
        <v>9418</v>
      </c>
      <c r="P106" s="813" t="s">
        <v>7237</v>
      </c>
      <c r="Q106" s="813" t="s">
        <v>7238</v>
      </c>
      <c r="R106" s="813">
        <v>3</v>
      </c>
      <c r="S106" s="813" t="s">
        <v>3953</v>
      </c>
      <c r="T106" s="813" t="s">
        <v>9406</v>
      </c>
    </row>
    <row r="107" spans="1:20" ht="15" customHeight="1" x14ac:dyDescent="0.35">
      <c r="A107" s="794" t="s">
        <v>6940</v>
      </c>
      <c r="B107" s="794" t="s">
        <v>3857</v>
      </c>
      <c r="C107" s="812" t="s">
        <v>3913</v>
      </c>
      <c r="D107" s="825">
        <f>IF(D$27="","",D$27)</f>
        <v>24.6708246708247</v>
      </c>
      <c r="E107" s="825">
        <f>IF(E$27="","",E$27)</f>
        <v>16.036036036035998</v>
      </c>
      <c r="F107" s="825">
        <f>IF(F$27="","",F$27)</f>
        <v>45</v>
      </c>
      <c r="G107" s="814" t="s">
        <v>9404</v>
      </c>
      <c r="H107" s="813" t="s">
        <v>246</v>
      </c>
      <c r="I107" s="813" t="s">
        <v>3960</v>
      </c>
      <c r="J107" s="813" t="s">
        <v>7199</v>
      </c>
      <c r="K107" s="813" t="s">
        <v>3949</v>
      </c>
      <c r="L107" s="813" t="s">
        <v>3863</v>
      </c>
      <c r="M107" s="813" t="s">
        <v>3169</v>
      </c>
      <c r="N107" s="813" t="s">
        <v>7239</v>
      </c>
      <c r="O107" s="813" t="s">
        <v>9419</v>
      </c>
      <c r="P107" s="813" t="s">
        <v>7240</v>
      </c>
      <c r="Q107" s="813" t="s">
        <v>7241</v>
      </c>
      <c r="R107" s="813">
        <v>3</v>
      </c>
      <c r="S107" s="813" t="s">
        <v>3953</v>
      </c>
      <c r="T107" s="813" t="s">
        <v>9406</v>
      </c>
    </row>
    <row r="108" spans="1:20" ht="15" customHeight="1" x14ac:dyDescent="0.35">
      <c r="A108" s="794" t="s">
        <v>6944</v>
      </c>
      <c r="B108" s="794" t="s">
        <v>3857</v>
      </c>
      <c r="C108" s="812" t="s">
        <v>3913</v>
      </c>
      <c r="D108" s="825">
        <f>IF(D$28="","",D$28)</f>
        <v>19.187803187803201</v>
      </c>
      <c r="E108" s="825">
        <f>IF(E$28="","",E$28)</f>
        <v>12.4720720720721</v>
      </c>
      <c r="F108" s="825">
        <f>IF(F$28="","",F$28)</f>
        <v>177</v>
      </c>
      <c r="G108" s="814" t="s">
        <v>9404</v>
      </c>
      <c r="H108" s="813" t="s">
        <v>246</v>
      </c>
      <c r="I108" s="813" t="s">
        <v>3960</v>
      </c>
      <c r="J108" s="813" t="s">
        <v>7199</v>
      </c>
      <c r="K108" s="813" t="s">
        <v>3949</v>
      </c>
      <c r="L108" s="813" t="s">
        <v>3863</v>
      </c>
      <c r="M108" s="813" t="s">
        <v>3169</v>
      </c>
      <c r="N108" s="813" t="s">
        <v>7242</v>
      </c>
      <c r="O108" s="813" t="s">
        <v>9420</v>
      </c>
      <c r="P108" s="813" t="s">
        <v>7243</v>
      </c>
      <c r="Q108" s="813" t="s">
        <v>7244</v>
      </c>
      <c r="R108" s="813">
        <v>3</v>
      </c>
      <c r="S108" s="813" t="s">
        <v>3953</v>
      </c>
      <c r="T108" s="813" t="s">
        <v>9406</v>
      </c>
    </row>
    <row r="109" spans="1:20" ht="15" customHeight="1" x14ac:dyDescent="0.35">
      <c r="A109" s="794" t="s">
        <v>6896</v>
      </c>
      <c r="B109" s="794" t="s">
        <v>3857</v>
      </c>
      <c r="C109" s="812" t="s">
        <v>3913</v>
      </c>
      <c r="D109" s="825">
        <f>IF(D$29="","",D$29)</f>
        <v>108.55162855162899</v>
      </c>
      <c r="E109" s="825">
        <f>IF(E$29="","",E$29)</f>
        <v>70.558558558558502</v>
      </c>
      <c r="F109" s="825">
        <f>IF(F$29="","",F$29)</f>
        <v>3</v>
      </c>
      <c r="G109" s="814" t="s">
        <v>9404</v>
      </c>
      <c r="H109" s="813" t="s">
        <v>246</v>
      </c>
      <c r="I109" s="813" t="s">
        <v>3960</v>
      </c>
      <c r="J109" s="813" t="s">
        <v>7199</v>
      </c>
      <c r="K109" s="813" t="s">
        <v>3949</v>
      </c>
      <c r="L109" s="813" t="s">
        <v>3863</v>
      </c>
      <c r="M109" s="813" t="s">
        <v>3169</v>
      </c>
      <c r="N109" s="813" t="s">
        <v>7245</v>
      </c>
      <c r="O109" s="813" t="s">
        <v>9421</v>
      </c>
      <c r="P109" s="813" t="s">
        <v>7246</v>
      </c>
      <c r="Q109" s="813" t="s">
        <v>7247</v>
      </c>
      <c r="R109" s="813">
        <v>6</v>
      </c>
      <c r="S109" s="813" t="s">
        <v>3953</v>
      </c>
      <c r="T109" s="813" t="s">
        <v>9406</v>
      </c>
    </row>
    <row r="110" spans="1:20" ht="15" customHeight="1" x14ac:dyDescent="0.35">
      <c r="A110" s="794" t="s">
        <v>6955</v>
      </c>
      <c r="B110" s="794" t="s">
        <v>3857</v>
      </c>
      <c r="C110" s="812" t="s">
        <v>3913</v>
      </c>
      <c r="D110" s="825">
        <f>IF(D$31="","",D$31)</f>
        <v>24.6708246708247</v>
      </c>
      <c r="E110" s="825">
        <f>IF(E$31="","",E$31)</f>
        <v>16.036036036035998</v>
      </c>
      <c r="F110" s="825">
        <f>IF(F$31="","",F$31)</f>
        <v>34</v>
      </c>
      <c r="G110" s="814" t="s">
        <v>9404</v>
      </c>
      <c r="H110" s="813" t="s">
        <v>246</v>
      </c>
      <c r="I110" s="813" t="s">
        <v>3960</v>
      </c>
      <c r="J110" s="813" t="s">
        <v>7199</v>
      </c>
      <c r="K110" s="813" t="s">
        <v>3949</v>
      </c>
      <c r="L110" s="813" t="s">
        <v>3863</v>
      </c>
      <c r="M110" s="813" t="s">
        <v>3169</v>
      </c>
      <c r="N110" s="813" t="s">
        <v>7248</v>
      </c>
      <c r="O110" s="813" t="s">
        <v>9422</v>
      </c>
      <c r="P110" s="813" t="s">
        <v>7249</v>
      </c>
      <c r="Q110" s="813" t="s">
        <v>7250</v>
      </c>
      <c r="R110" s="813">
        <v>3</v>
      </c>
      <c r="S110" s="813" t="s">
        <v>3953</v>
      </c>
      <c r="T110" s="813" t="s">
        <v>9406</v>
      </c>
    </row>
    <row r="111" spans="1:20" ht="15" customHeight="1" x14ac:dyDescent="0.35">
      <c r="A111" s="794" t="s">
        <v>6963</v>
      </c>
      <c r="B111" s="794" t="s">
        <v>3857</v>
      </c>
      <c r="C111" s="812" t="s">
        <v>3913</v>
      </c>
      <c r="D111" s="825">
        <f>IF(D$33="","",D$33)</f>
        <v>19.187803187803201</v>
      </c>
      <c r="E111" s="825">
        <f>IF(E$33="","",E$33)</f>
        <v>12.4720720720721</v>
      </c>
      <c r="F111" s="825">
        <f>IF(F$33="","",F$33)</f>
        <v>38</v>
      </c>
      <c r="G111" s="814" t="s">
        <v>9404</v>
      </c>
      <c r="H111" s="813" t="s">
        <v>246</v>
      </c>
      <c r="I111" s="813" t="s">
        <v>3960</v>
      </c>
      <c r="J111" s="813" t="s">
        <v>7199</v>
      </c>
      <c r="K111" s="813" t="s">
        <v>3949</v>
      </c>
      <c r="L111" s="813" t="s">
        <v>3863</v>
      </c>
      <c r="M111" s="813" t="s">
        <v>3169</v>
      </c>
      <c r="N111" s="813" t="s">
        <v>7251</v>
      </c>
      <c r="O111" s="813" t="s">
        <v>9423</v>
      </c>
      <c r="P111" s="813" t="s">
        <v>7252</v>
      </c>
      <c r="Q111" s="813" t="s">
        <v>7253</v>
      </c>
      <c r="R111" s="813">
        <v>3</v>
      </c>
      <c r="S111" s="813" t="s">
        <v>3953</v>
      </c>
      <c r="T111" s="813" t="s">
        <v>9406</v>
      </c>
    </row>
    <row r="112" spans="1:20" ht="15" customHeight="1" x14ac:dyDescent="0.35">
      <c r="A112" s="794" t="s">
        <v>6971</v>
      </c>
      <c r="B112" s="794" t="s">
        <v>3857</v>
      </c>
      <c r="C112" s="812" t="s">
        <v>3913</v>
      </c>
      <c r="D112" s="825">
        <f>IF(D$35="","",D$35)</f>
        <v>11.8419958419958</v>
      </c>
      <c r="E112" s="825">
        <f>IF(E$35="","",E$35)</f>
        <v>7.6972972972973004</v>
      </c>
      <c r="F112" s="825">
        <f>IF(F$35="","",F$35)</f>
        <v>76</v>
      </c>
      <c r="G112" s="814" t="s">
        <v>9404</v>
      </c>
      <c r="H112" s="813" t="s">
        <v>246</v>
      </c>
      <c r="I112" s="813" t="s">
        <v>3960</v>
      </c>
      <c r="J112" s="813" t="s">
        <v>7199</v>
      </c>
      <c r="K112" s="813" t="s">
        <v>3949</v>
      </c>
      <c r="L112" s="813" t="s">
        <v>3863</v>
      </c>
      <c r="M112" s="813" t="s">
        <v>3169</v>
      </c>
      <c r="N112" s="813" t="s">
        <v>7254</v>
      </c>
      <c r="O112" s="813" t="s">
        <v>9424</v>
      </c>
      <c r="P112" s="813" t="s">
        <v>7255</v>
      </c>
      <c r="Q112" s="813" t="s">
        <v>7256</v>
      </c>
      <c r="R112" s="813">
        <v>3</v>
      </c>
      <c r="S112" s="813" t="s">
        <v>3953</v>
      </c>
      <c r="T112" s="813" t="s">
        <v>9406</v>
      </c>
    </row>
    <row r="113" spans="1:20" ht="15" customHeight="1" x14ac:dyDescent="0.35">
      <c r="A113" s="794" t="s">
        <v>6975</v>
      </c>
      <c r="B113" s="794" t="s">
        <v>3857</v>
      </c>
      <c r="C113" s="812" t="s">
        <v>3913</v>
      </c>
      <c r="D113" s="825">
        <f>IF(D$36="","",D$36)</f>
        <v>4.8426888426888404</v>
      </c>
      <c r="E113" s="825">
        <f>IF(E$36="","",E$36)</f>
        <v>3.1477477477477498</v>
      </c>
      <c r="F113" s="825">
        <f>IF(F$36="","",F$36)</f>
        <v>76</v>
      </c>
      <c r="G113" s="814" t="s">
        <v>9404</v>
      </c>
      <c r="H113" s="813" t="s">
        <v>246</v>
      </c>
      <c r="I113" s="813" t="s">
        <v>3960</v>
      </c>
      <c r="J113" s="813" t="s">
        <v>7199</v>
      </c>
      <c r="K113" s="813" t="s">
        <v>3949</v>
      </c>
      <c r="L113" s="813" t="s">
        <v>3863</v>
      </c>
      <c r="M113" s="813" t="s">
        <v>3169</v>
      </c>
      <c r="N113" s="813" t="s">
        <v>7257</v>
      </c>
      <c r="O113" s="813" t="s">
        <v>9425</v>
      </c>
      <c r="P113" s="813" t="s">
        <v>7258</v>
      </c>
      <c r="Q113" s="813" t="s">
        <v>7259</v>
      </c>
      <c r="R113" s="813">
        <v>3</v>
      </c>
      <c r="S113" s="813" t="s">
        <v>3953</v>
      </c>
      <c r="T113" s="813" t="s">
        <v>9406</v>
      </c>
    </row>
    <row r="114" spans="1:20" ht="15" customHeight="1" x14ac:dyDescent="0.35">
      <c r="A114" s="794" t="s">
        <v>6979</v>
      </c>
      <c r="B114" s="794" t="s">
        <v>3857</v>
      </c>
      <c r="C114" s="812" t="s">
        <v>3913</v>
      </c>
      <c r="D114" s="825">
        <f>IF(D$37="","",D$37)</f>
        <v>8.6756756756756808</v>
      </c>
      <c r="E114" s="825">
        <f>IF(E$37="","",E$37)</f>
        <v>5.6391891891891897</v>
      </c>
      <c r="F114" s="825">
        <f>IF(F$37="","",F$37)</f>
        <v>85</v>
      </c>
      <c r="G114" s="814" t="s">
        <v>9404</v>
      </c>
      <c r="H114" s="813" t="s">
        <v>246</v>
      </c>
      <c r="I114" s="813" t="s">
        <v>3960</v>
      </c>
      <c r="J114" s="813" t="s">
        <v>7199</v>
      </c>
      <c r="K114" s="813" t="s">
        <v>3949</v>
      </c>
      <c r="L114" s="813" t="s">
        <v>3863</v>
      </c>
      <c r="M114" s="813" t="s">
        <v>3169</v>
      </c>
      <c r="N114" s="813" t="s">
        <v>7260</v>
      </c>
      <c r="O114" s="813" t="s">
        <v>9426</v>
      </c>
      <c r="P114" s="813" t="s">
        <v>7261</v>
      </c>
      <c r="Q114" s="813" t="s">
        <v>7262</v>
      </c>
      <c r="R114" s="813">
        <v>3</v>
      </c>
      <c r="S114" s="813" t="s">
        <v>3953</v>
      </c>
      <c r="T114" s="813" t="s">
        <v>9406</v>
      </c>
    </row>
    <row r="115" spans="1:20" ht="15" customHeight="1" x14ac:dyDescent="0.35">
      <c r="A115" s="794" t="s">
        <v>6983</v>
      </c>
      <c r="B115" s="794" t="s">
        <v>3857</v>
      </c>
      <c r="C115" s="812" t="s">
        <v>3913</v>
      </c>
      <c r="D115" s="825">
        <f>IF(D$38="","",D$38)</f>
        <v>59.209979209979203</v>
      </c>
      <c r="E115" s="825">
        <f>IF(E$38="","",E$38)</f>
        <v>38.486486486486498</v>
      </c>
      <c r="F115" s="825">
        <f>IF(F$38="","",F$38)</f>
        <v>31</v>
      </c>
      <c r="G115" s="814" t="s">
        <v>9404</v>
      </c>
      <c r="H115" s="813" t="s">
        <v>246</v>
      </c>
      <c r="I115" s="813" t="s">
        <v>3960</v>
      </c>
      <c r="J115" s="813" t="s">
        <v>7199</v>
      </c>
      <c r="K115" s="813" t="s">
        <v>3949</v>
      </c>
      <c r="L115" s="813" t="s">
        <v>3863</v>
      </c>
      <c r="M115" s="813" t="s">
        <v>3169</v>
      </c>
      <c r="N115" s="813" t="s">
        <v>7263</v>
      </c>
      <c r="O115" s="813" t="s">
        <v>9427</v>
      </c>
      <c r="P115" s="813" t="s">
        <v>7264</v>
      </c>
      <c r="Q115" s="813" t="s">
        <v>7265</v>
      </c>
      <c r="R115" s="813">
        <v>3</v>
      </c>
      <c r="S115" s="813" t="s">
        <v>3953</v>
      </c>
      <c r="T115" s="813" t="s">
        <v>9406</v>
      </c>
    </row>
    <row r="116" spans="1:20" ht="15" customHeight="1" x14ac:dyDescent="0.35">
      <c r="A116" s="794" t="s">
        <v>6987</v>
      </c>
      <c r="B116" s="794" t="s">
        <v>3857</v>
      </c>
      <c r="C116" s="812" t="s">
        <v>3913</v>
      </c>
      <c r="D116" s="825">
        <f>IF(D$39="","",D$39)</f>
        <v>39.473319473319499</v>
      </c>
      <c r="E116" s="825">
        <f>IF(E$39="","",E$39)</f>
        <v>25.657657657657701</v>
      </c>
      <c r="F116" s="825">
        <f>IF(F$39="","",F$39)</f>
        <v>44</v>
      </c>
      <c r="G116" s="814" t="s">
        <v>9404</v>
      </c>
      <c r="H116" s="813" t="s">
        <v>246</v>
      </c>
      <c r="I116" s="813" t="s">
        <v>3960</v>
      </c>
      <c r="J116" s="813" t="s">
        <v>7199</v>
      </c>
      <c r="K116" s="813" t="s">
        <v>3949</v>
      </c>
      <c r="L116" s="813" t="s">
        <v>3863</v>
      </c>
      <c r="M116" s="813" t="s">
        <v>3169</v>
      </c>
      <c r="N116" s="813" t="s">
        <v>7266</v>
      </c>
      <c r="O116" s="813" t="s">
        <v>9428</v>
      </c>
      <c r="P116" s="813" t="s">
        <v>7267</v>
      </c>
      <c r="Q116" s="813" t="s">
        <v>7268</v>
      </c>
      <c r="R116" s="813">
        <v>3</v>
      </c>
      <c r="S116" s="813" t="s">
        <v>3953</v>
      </c>
      <c r="T116" s="813" t="s">
        <v>9406</v>
      </c>
    </row>
    <row r="117" spans="1:20" ht="15" customHeight="1" x14ac:dyDescent="0.35">
      <c r="A117" s="794" t="s">
        <v>6991</v>
      </c>
      <c r="B117" s="794" t="s">
        <v>3857</v>
      </c>
      <c r="C117" s="812" t="s">
        <v>3913</v>
      </c>
      <c r="D117" s="825">
        <f>IF(D$40="","",D$40)</f>
        <v>14.802494802494801</v>
      </c>
      <c r="E117" s="825">
        <f>IF(E$40="","",E$40)</f>
        <v>9.6216216216216193</v>
      </c>
      <c r="F117" s="825">
        <f>IF(F$40="","",F$40)</f>
        <v>21</v>
      </c>
      <c r="G117" s="814" t="s">
        <v>9404</v>
      </c>
      <c r="H117" s="813" t="s">
        <v>246</v>
      </c>
      <c r="I117" s="813" t="s">
        <v>3960</v>
      </c>
      <c r="J117" s="813" t="s">
        <v>7199</v>
      </c>
      <c r="K117" s="813" t="s">
        <v>3949</v>
      </c>
      <c r="L117" s="813" t="s">
        <v>3863</v>
      </c>
      <c r="M117" s="813" t="s">
        <v>3169</v>
      </c>
      <c r="N117" s="813" t="s">
        <v>7269</v>
      </c>
      <c r="O117" s="813" t="s">
        <v>9429</v>
      </c>
      <c r="P117" s="813" t="s">
        <v>7270</v>
      </c>
      <c r="Q117" s="813" t="s">
        <v>7271</v>
      </c>
      <c r="R117" s="813">
        <v>3</v>
      </c>
      <c r="S117" s="813" t="s">
        <v>3953</v>
      </c>
      <c r="T117" s="813" t="s">
        <v>9406</v>
      </c>
    </row>
    <row r="118" spans="1:20" ht="15" customHeight="1" x14ac:dyDescent="0.35">
      <c r="A118" s="794" t="s">
        <v>6995</v>
      </c>
      <c r="B118" s="794" t="s">
        <v>3857</v>
      </c>
      <c r="C118" s="812" t="s">
        <v>3913</v>
      </c>
      <c r="D118" s="825">
        <f>IF(D$41="","",D$41)</f>
        <v>88.814968814968793</v>
      </c>
      <c r="E118" s="825">
        <f>IF(E$41="","",E$41)</f>
        <v>57.729729729729797</v>
      </c>
      <c r="F118" s="825">
        <f>IF(F$41="","",F$41)</f>
        <v>10</v>
      </c>
      <c r="G118" s="814" t="s">
        <v>9404</v>
      </c>
      <c r="H118" s="813" t="s">
        <v>246</v>
      </c>
      <c r="I118" s="813" t="s">
        <v>3960</v>
      </c>
      <c r="J118" s="813" t="s">
        <v>7199</v>
      </c>
      <c r="K118" s="813" t="s">
        <v>3949</v>
      </c>
      <c r="L118" s="813" t="s">
        <v>3863</v>
      </c>
      <c r="M118" s="813" t="s">
        <v>3169</v>
      </c>
      <c r="N118" s="813" t="s">
        <v>7272</v>
      </c>
      <c r="O118" s="813" t="s">
        <v>9430</v>
      </c>
      <c r="P118" s="813" t="s">
        <v>7273</v>
      </c>
      <c r="Q118" s="813" t="s">
        <v>7274</v>
      </c>
      <c r="R118" s="813">
        <v>3</v>
      </c>
      <c r="S118" s="813" t="s">
        <v>3953</v>
      </c>
      <c r="T118" s="813" t="s">
        <v>9406</v>
      </c>
    </row>
    <row r="119" spans="1:20" ht="15" customHeight="1" x14ac:dyDescent="0.35">
      <c r="A119" s="794" t="s">
        <v>7003</v>
      </c>
      <c r="B119" s="794" t="s">
        <v>3857</v>
      </c>
      <c r="C119" s="812" t="s">
        <v>3913</v>
      </c>
      <c r="D119" s="825">
        <f>IF(D$43="","",D$43)</f>
        <v>78.946638946638998</v>
      </c>
      <c r="E119" s="825">
        <f>IF(E$43="","",E$43)</f>
        <v>51.315315315315303</v>
      </c>
      <c r="F119" s="825">
        <f>IF(F$43="","",F$43)</f>
        <v>22</v>
      </c>
      <c r="G119" s="814" t="s">
        <v>9404</v>
      </c>
      <c r="H119" s="813" t="s">
        <v>246</v>
      </c>
      <c r="I119" s="813" t="s">
        <v>3960</v>
      </c>
      <c r="J119" s="813" t="s">
        <v>7199</v>
      </c>
      <c r="K119" s="813" t="s">
        <v>3949</v>
      </c>
      <c r="L119" s="813" t="s">
        <v>3863</v>
      </c>
      <c r="M119" s="813" t="s">
        <v>3169</v>
      </c>
      <c r="N119" s="813" t="s">
        <v>7275</v>
      </c>
      <c r="O119" s="813" t="s">
        <v>9431</v>
      </c>
      <c r="P119" s="813" t="s">
        <v>7276</v>
      </c>
      <c r="Q119" s="813" t="s">
        <v>7277</v>
      </c>
      <c r="R119" s="813">
        <v>3</v>
      </c>
      <c r="S119" s="813" t="s">
        <v>3953</v>
      </c>
      <c r="T119" s="813" t="s">
        <v>9406</v>
      </c>
    </row>
    <row r="120" spans="1:20" ht="15" customHeight="1" x14ac:dyDescent="0.35">
      <c r="A120" s="794" t="s">
        <v>7011</v>
      </c>
      <c r="B120" s="794" t="s">
        <v>3857</v>
      </c>
      <c r="C120" s="812" t="s">
        <v>3913</v>
      </c>
      <c r="D120" s="825">
        <f>IF(D$45="","",D$45)</f>
        <v>49.341649341649301</v>
      </c>
      <c r="E120" s="825">
        <f>IF(E$45="","",E$45)</f>
        <v>32.072072072072103</v>
      </c>
      <c r="F120" s="825">
        <f>IF(F$45="","",F$45)</f>
        <v>114</v>
      </c>
      <c r="G120" s="814" t="s">
        <v>9404</v>
      </c>
      <c r="H120" s="813" t="s">
        <v>246</v>
      </c>
      <c r="I120" s="813" t="s">
        <v>3960</v>
      </c>
      <c r="J120" s="813" t="s">
        <v>7199</v>
      </c>
      <c r="K120" s="813" t="s">
        <v>3949</v>
      </c>
      <c r="L120" s="813" t="s">
        <v>3863</v>
      </c>
      <c r="M120" s="813" t="s">
        <v>3169</v>
      </c>
      <c r="N120" s="813" t="s">
        <v>7278</v>
      </c>
      <c r="O120" s="813" t="s">
        <v>9432</v>
      </c>
      <c r="P120" s="813" t="s">
        <v>7279</v>
      </c>
      <c r="Q120" s="813" t="s">
        <v>7280</v>
      </c>
      <c r="R120" s="813">
        <v>3</v>
      </c>
      <c r="S120" s="813" t="s">
        <v>3953</v>
      </c>
      <c r="T120" s="813" t="s">
        <v>9406</v>
      </c>
    </row>
    <row r="121" spans="1:20" ht="15" customHeight="1" x14ac:dyDescent="0.35">
      <c r="A121" s="794" t="s">
        <v>7019</v>
      </c>
      <c r="B121" s="794" t="s">
        <v>3857</v>
      </c>
      <c r="C121" s="812" t="s">
        <v>3913</v>
      </c>
      <c r="D121" s="825">
        <f>IF(D$47="","",D$47)</f>
        <v>108.55162855162899</v>
      </c>
      <c r="E121" s="825">
        <f>IF(E$47="","",E$47)</f>
        <v>70.558558558558502</v>
      </c>
      <c r="F121" s="825">
        <f>IF(F$47="","",F$47)</f>
        <v>5</v>
      </c>
      <c r="G121" s="814" t="s">
        <v>9404</v>
      </c>
      <c r="H121" s="813" t="s">
        <v>246</v>
      </c>
      <c r="I121" s="813" t="s">
        <v>3960</v>
      </c>
      <c r="J121" s="813" t="s">
        <v>7199</v>
      </c>
      <c r="K121" s="813" t="s">
        <v>3949</v>
      </c>
      <c r="L121" s="813" t="s">
        <v>3863</v>
      </c>
      <c r="M121" s="813" t="s">
        <v>3169</v>
      </c>
      <c r="N121" s="813" t="s">
        <v>7281</v>
      </c>
      <c r="O121" s="813" t="s">
        <v>9433</v>
      </c>
      <c r="P121" s="813" t="s">
        <v>7282</v>
      </c>
      <c r="Q121" s="813" t="s">
        <v>7283</v>
      </c>
      <c r="R121" s="813">
        <v>3</v>
      </c>
      <c r="S121" s="813" t="s">
        <v>3953</v>
      </c>
      <c r="T121" s="813" t="s">
        <v>9406</v>
      </c>
    </row>
    <row r="122" spans="1:20" ht="15" customHeight="1" x14ac:dyDescent="0.35">
      <c r="A122" s="803" t="s">
        <v>7284</v>
      </c>
      <c r="B122" s="803"/>
      <c r="C122" s="803"/>
      <c r="D122" s="803"/>
      <c r="E122" s="803"/>
      <c r="F122" s="803"/>
      <c r="G122" s="803" t="s">
        <v>7285</v>
      </c>
      <c r="H122" s="794"/>
      <c r="I122" s="794"/>
      <c r="J122" s="794"/>
      <c r="K122" s="794"/>
      <c r="L122" s="794"/>
      <c r="M122" s="794"/>
      <c r="N122" s="794"/>
      <c r="O122" s="794"/>
      <c r="P122" s="794"/>
      <c r="Q122" s="794"/>
      <c r="R122" s="794"/>
      <c r="S122" s="794"/>
      <c r="T122" s="794"/>
    </row>
    <row r="123" spans="1:20" ht="15" customHeight="1" x14ac:dyDescent="0.35">
      <c r="A123" s="794" t="s">
        <v>7025</v>
      </c>
      <c r="B123" s="794" t="s">
        <v>3857</v>
      </c>
      <c r="C123" s="812" t="s">
        <v>3913</v>
      </c>
      <c r="D123" s="825">
        <f>IF(D$49="","",D$49)</f>
        <v>29.604989604989601</v>
      </c>
      <c r="E123" s="825">
        <f>IF(E$49="","",E$49)</f>
        <v>19.243243243243199</v>
      </c>
      <c r="F123" s="825">
        <f>IF(F$49="","",F$49)</f>
        <v>10</v>
      </c>
      <c r="G123" s="814" t="s">
        <v>9404</v>
      </c>
      <c r="H123" s="813" t="s">
        <v>246</v>
      </c>
      <c r="I123" s="813" t="s">
        <v>3960</v>
      </c>
      <c r="J123" s="813" t="s">
        <v>7286</v>
      </c>
      <c r="K123" s="813" t="s">
        <v>3949</v>
      </c>
      <c r="L123" s="813" t="s">
        <v>3863</v>
      </c>
      <c r="M123" s="813" t="s">
        <v>3169</v>
      </c>
      <c r="N123" s="813" t="s">
        <v>7287</v>
      </c>
      <c r="O123" s="813" t="s">
        <v>9434</v>
      </c>
      <c r="P123" s="813" t="s">
        <v>7288</v>
      </c>
      <c r="Q123" s="813" t="s">
        <v>7289</v>
      </c>
      <c r="R123" s="813">
        <v>3</v>
      </c>
      <c r="S123" s="813" t="s">
        <v>3953</v>
      </c>
      <c r="T123" s="813" t="s">
        <v>9406</v>
      </c>
    </row>
    <row r="124" spans="1:20" ht="15" customHeight="1" x14ac:dyDescent="0.35">
      <c r="A124" s="794" t="s">
        <v>7030</v>
      </c>
      <c r="B124" s="794" t="s">
        <v>3857</v>
      </c>
      <c r="C124" s="812" t="s">
        <v>3913</v>
      </c>
      <c r="D124" s="825">
        <f>IF(D$50="","",D$50)</f>
        <v>19.7366597366597</v>
      </c>
      <c r="E124" s="825">
        <f>IF(E$50="","",E$50)</f>
        <v>12.828828828828801</v>
      </c>
      <c r="F124" s="825">
        <f>IF(F$50="","",F$50)</f>
        <v>19</v>
      </c>
      <c r="G124" s="814" t="s">
        <v>9404</v>
      </c>
      <c r="H124" s="813" t="s">
        <v>246</v>
      </c>
      <c r="I124" s="813" t="s">
        <v>3960</v>
      </c>
      <c r="J124" s="813" t="s">
        <v>7286</v>
      </c>
      <c r="K124" s="813" t="s">
        <v>3949</v>
      </c>
      <c r="L124" s="813" t="s">
        <v>3863</v>
      </c>
      <c r="M124" s="813" t="s">
        <v>3169</v>
      </c>
      <c r="N124" s="813" t="s">
        <v>7290</v>
      </c>
      <c r="O124" s="813" t="s">
        <v>9435</v>
      </c>
      <c r="P124" s="813" t="s">
        <v>7291</v>
      </c>
      <c r="Q124" s="813" t="s">
        <v>7292</v>
      </c>
      <c r="R124" s="813">
        <v>3</v>
      </c>
      <c r="S124" s="813" t="s">
        <v>3953</v>
      </c>
      <c r="T124" s="813" t="s">
        <v>9406</v>
      </c>
    </row>
    <row r="125" spans="1:20" ht="15" customHeight="1" x14ac:dyDescent="0.35">
      <c r="A125" s="794" t="s">
        <v>6900</v>
      </c>
      <c r="B125" s="794" t="s">
        <v>3857</v>
      </c>
      <c r="C125" s="812" t="s">
        <v>3913</v>
      </c>
      <c r="D125" s="825">
        <f>IF(D$16="","",D$16)</f>
        <v>0</v>
      </c>
      <c r="E125" s="825">
        <f>IF(E$16="","",E$16)</f>
        <v>0</v>
      </c>
      <c r="F125" s="825">
        <f>IF(F$16="","",F$16)</f>
        <v>0</v>
      </c>
      <c r="G125" s="814" t="s">
        <v>9404</v>
      </c>
      <c r="H125" s="813" t="s">
        <v>246</v>
      </c>
      <c r="I125" s="813" t="s">
        <v>3960</v>
      </c>
      <c r="J125" s="813" t="s">
        <v>7286</v>
      </c>
      <c r="K125" s="813" t="s">
        <v>3949</v>
      </c>
      <c r="L125" s="813" t="s">
        <v>3863</v>
      </c>
      <c r="M125" s="813" t="s">
        <v>3169</v>
      </c>
      <c r="N125" s="813" t="s">
        <v>7293</v>
      </c>
      <c r="O125" s="813" t="s">
        <v>9408</v>
      </c>
      <c r="P125" s="813" t="s">
        <v>7294</v>
      </c>
      <c r="Q125" s="813" t="s">
        <v>7295</v>
      </c>
      <c r="R125" s="813">
        <v>3</v>
      </c>
      <c r="S125" s="813" t="s">
        <v>3953</v>
      </c>
      <c r="T125" s="813" t="s">
        <v>9406</v>
      </c>
    </row>
    <row r="126" spans="1:20" ht="15" customHeight="1" x14ac:dyDescent="0.35">
      <c r="A126" s="794" t="s">
        <v>7037</v>
      </c>
      <c r="B126" s="794" t="s">
        <v>3857</v>
      </c>
      <c r="C126" s="812" t="s">
        <v>3913</v>
      </c>
      <c r="D126" s="825">
        <f>IF(D$52="","",D$52)</f>
        <v>11.8419958419958</v>
      </c>
      <c r="E126" s="825">
        <f>IF(E$52="","",E$52)</f>
        <v>7.6972972972973004</v>
      </c>
      <c r="F126" s="825">
        <f>IF(F$52="","",F$52)</f>
        <v>90</v>
      </c>
      <c r="G126" s="814" t="s">
        <v>9404</v>
      </c>
      <c r="H126" s="813" t="s">
        <v>246</v>
      </c>
      <c r="I126" s="813" t="s">
        <v>3960</v>
      </c>
      <c r="J126" s="813" t="s">
        <v>7286</v>
      </c>
      <c r="K126" s="813" t="s">
        <v>3949</v>
      </c>
      <c r="L126" s="813" t="s">
        <v>3863</v>
      </c>
      <c r="M126" s="813" t="s">
        <v>3169</v>
      </c>
      <c r="N126" s="813" t="s">
        <v>7296</v>
      </c>
      <c r="O126" s="813" t="s">
        <v>9436</v>
      </c>
      <c r="P126" s="813" t="s">
        <v>7297</v>
      </c>
      <c r="Q126" s="813" t="s">
        <v>7298</v>
      </c>
      <c r="R126" s="813">
        <v>3</v>
      </c>
      <c r="S126" s="813" t="s">
        <v>3953</v>
      </c>
      <c r="T126" s="813" t="s">
        <v>9406</v>
      </c>
    </row>
    <row r="127" spans="1:20" ht="15" customHeight="1" x14ac:dyDescent="0.35">
      <c r="A127" s="794" t="s">
        <v>7041</v>
      </c>
      <c r="B127" s="794" t="s">
        <v>3857</v>
      </c>
      <c r="C127" s="812" t="s">
        <v>3913</v>
      </c>
      <c r="D127" s="825">
        <f>IF(D$53="","",D$53)</f>
        <v>11.8419958419958</v>
      </c>
      <c r="E127" s="825">
        <f>IF(E$53="","",E$53)</f>
        <v>7.6972972972973004</v>
      </c>
      <c r="F127" s="825">
        <f>IF(F$53="","",F$53)</f>
        <v>101</v>
      </c>
      <c r="G127" s="814" t="s">
        <v>9404</v>
      </c>
      <c r="H127" s="813" t="s">
        <v>246</v>
      </c>
      <c r="I127" s="813" t="s">
        <v>3960</v>
      </c>
      <c r="J127" s="813" t="s">
        <v>7286</v>
      </c>
      <c r="K127" s="813" t="s">
        <v>3949</v>
      </c>
      <c r="L127" s="813" t="s">
        <v>3863</v>
      </c>
      <c r="M127" s="813" t="s">
        <v>3169</v>
      </c>
      <c r="N127" s="813" t="s">
        <v>7299</v>
      </c>
      <c r="O127" s="813" t="s">
        <v>9437</v>
      </c>
      <c r="P127" s="813" t="s">
        <v>7300</v>
      </c>
      <c r="Q127" s="813" t="s">
        <v>7301</v>
      </c>
      <c r="R127" s="813">
        <v>3</v>
      </c>
      <c r="S127" s="813" t="s">
        <v>3953</v>
      </c>
      <c r="T127" s="813" t="s">
        <v>9406</v>
      </c>
    </row>
    <row r="128" spans="1:20" ht="15" customHeight="1" x14ac:dyDescent="0.35">
      <c r="A128" s="794" t="s">
        <v>7045</v>
      </c>
      <c r="B128" s="794" t="s">
        <v>3857</v>
      </c>
      <c r="C128" s="812" t="s">
        <v>3913</v>
      </c>
      <c r="D128" s="825">
        <f>IF(D$54="","",D$54)</f>
        <v>11.8419958419958</v>
      </c>
      <c r="E128" s="825">
        <f>IF(E$54="","",E$54)</f>
        <v>7.6972972972973004</v>
      </c>
      <c r="F128" s="825">
        <f>IF(F$54="","",F$54)</f>
        <v>110</v>
      </c>
      <c r="G128" s="814" t="s">
        <v>9404</v>
      </c>
      <c r="H128" s="813" t="s">
        <v>246</v>
      </c>
      <c r="I128" s="813" t="s">
        <v>3960</v>
      </c>
      <c r="J128" s="813" t="s">
        <v>7286</v>
      </c>
      <c r="K128" s="813" t="s">
        <v>3949</v>
      </c>
      <c r="L128" s="813" t="s">
        <v>3863</v>
      </c>
      <c r="M128" s="813" t="s">
        <v>3169</v>
      </c>
      <c r="N128" s="813" t="s">
        <v>7302</v>
      </c>
      <c r="O128" s="813" t="s">
        <v>9438</v>
      </c>
      <c r="P128" s="813" t="s">
        <v>7303</v>
      </c>
      <c r="Q128" s="813" t="s">
        <v>7304</v>
      </c>
      <c r="R128" s="813">
        <v>3</v>
      </c>
      <c r="S128" s="813" t="s">
        <v>3953</v>
      </c>
      <c r="T128" s="813" t="s">
        <v>9406</v>
      </c>
    </row>
    <row r="129" spans="1:20" ht="15" customHeight="1" x14ac:dyDescent="0.35">
      <c r="A129" s="794" t="s">
        <v>7049</v>
      </c>
      <c r="B129" s="794" t="s">
        <v>3857</v>
      </c>
      <c r="C129" s="812" t="s">
        <v>3913</v>
      </c>
      <c r="D129" s="825">
        <f>IF(D$55="","",D$55)</f>
        <v>2.7631323631323599</v>
      </c>
      <c r="E129" s="825">
        <f>IF(E$55="","",E$55)</f>
        <v>1.7960360360360399</v>
      </c>
      <c r="F129" s="825">
        <f>IF(F$55="","",F$55)</f>
        <v>790</v>
      </c>
      <c r="G129" s="814" t="s">
        <v>9404</v>
      </c>
      <c r="H129" s="813" t="s">
        <v>246</v>
      </c>
      <c r="I129" s="813" t="s">
        <v>3960</v>
      </c>
      <c r="J129" s="813" t="s">
        <v>7286</v>
      </c>
      <c r="K129" s="813" t="s">
        <v>3949</v>
      </c>
      <c r="L129" s="813" t="s">
        <v>3863</v>
      </c>
      <c r="M129" s="813" t="s">
        <v>3169</v>
      </c>
      <c r="N129" s="813" t="s">
        <v>7305</v>
      </c>
      <c r="O129" s="813" t="s">
        <v>9439</v>
      </c>
      <c r="P129" s="813" t="s">
        <v>7306</v>
      </c>
      <c r="Q129" s="813" t="s">
        <v>7307</v>
      </c>
      <c r="R129" s="813">
        <v>3</v>
      </c>
      <c r="S129" s="813" t="s">
        <v>3953</v>
      </c>
      <c r="T129" s="813" t="s">
        <v>9406</v>
      </c>
    </row>
    <row r="130" spans="1:20" ht="15" customHeight="1" x14ac:dyDescent="0.35">
      <c r="A130" s="794" t="s">
        <v>7053</v>
      </c>
      <c r="B130" s="794" t="s">
        <v>3857</v>
      </c>
      <c r="C130" s="812" t="s">
        <v>3913</v>
      </c>
      <c r="D130" s="825">
        <f>IF(D$56="","",D$56)</f>
        <v>14.802494802494801</v>
      </c>
      <c r="E130" s="825">
        <f>IF(E$56="","",E$56)</f>
        <v>9.6216216216216193</v>
      </c>
      <c r="F130" s="825">
        <f>IF(F$56="","",F$56)</f>
        <v>102</v>
      </c>
      <c r="G130" s="814" t="s">
        <v>9404</v>
      </c>
      <c r="H130" s="813" t="s">
        <v>246</v>
      </c>
      <c r="I130" s="813" t="s">
        <v>3960</v>
      </c>
      <c r="J130" s="813" t="s">
        <v>7286</v>
      </c>
      <c r="K130" s="813" t="s">
        <v>3949</v>
      </c>
      <c r="L130" s="813" t="s">
        <v>3863</v>
      </c>
      <c r="M130" s="813" t="s">
        <v>3169</v>
      </c>
      <c r="N130" s="813" t="s">
        <v>7308</v>
      </c>
      <c r="O130" s="813" t="s">
        <v>9440</v>
      </c>
      <c r="P130" s="813" t="s">
        <v>7309</v>
      </c>
      <c r="Q130" s="813" t="s">
        <v>7310</v>
      </c>
      <c r="R130" s="813">
        <v>3</v>
      </c>
      <c r="S130" s="813" t="s">
        <v>3953</v>
      </c>
      <c r="T130" s="813" t="s">
        <v>9406</v>
      </c>
    </row>
    <row r="131" spans="1:20" ht="15" customHeight="1" x14ac:dyDescent="0.35">
      <c r="A131" s="794" t="s">
        <v>7311</v>
      </c>
      <c r="B131" s="794" t="s">
        <v>3857</v>
      </c>
      <c r="C131" s="812" t="s">
        <v>3913</v>
      </c>
      <c r="D131" s="825">
        <v>9.5939015939016006</v>
      </c>
      <c r="E131" s="825">
        <v>6.2360360360360403</v>
      </c>
      <c r="F131" s="825">
        <v>506</v>
      </c>
      <c r="G131" s="814" t="s">
        <v>3858</v>
      </c>
      <c r="H131" s="813" t="s">
        <v>246</v>
      </c>
      <c r="I131" s="813" t="s">
        <v>3960</v>
      </c>
      <c r="J131" s="813" t="s">
        <v>7286</v>
      </c>
      <c r="K131" s="813" t="s">
        <v>3949</v>
      </c>
      <c r="L131" s="813" t="s">
        <v>3863</v>
      </c>
      <c r="M131" s="813" t="s">
        <v>3169</v>
      </c>
      <c r="N131" s="813" t="s">
        <v>7312</v>
      </c>
      <c r="O131" s="813" t="s">
        <v>3883</v>
      </c>
      <c r="P131" s="813" t="s">
        <v>7313</v>
      </c>
      <c r="Q131" s="813" t="s">
        <v>7314</v>
      </c>
      <c r="R131" s="813">
        <v>3</v>
      </c>
      <c r="S131" s="813" t="s">
        <v>3953</v>
      </c>
      <c r="T131" s="813" t="s">
        <v>6895</v>
      </c>
    </row>
    <row r="132" spans="1:20" ht="15" customHeight="1" x14ac:dyDescent="0.35">
      <c r="A132" s="794" t="s">
        <v>7065</v>
      </c>
      <c r="B132" s="794" t="s">
        <v>3857</v>
      </c>
      <c r="C132" s="812" t="s">
        <v>3913</v>
      </c>
      <c r="D132" s="825">
        <f>IF(D$59="","",D$59)</f>
        <v>0</v>
      </c>
      <c r="E132" s="825">
        <f>IF(E$59="","",E$59)</f>
        <v>0</v>
      </c>
      <c r="F132" s="825">
        <f>IF(F$59="","",F$59)</f>
        <v>0</v>
      </c>
      <c r="G132" s="814" t="s">
        <v>9404</v>
      </c>
      <c r="H132" s="813" t="s">
        <v>246</v>
      </c>
      <c r="I132" s="813" t="s">
        <v>3960</v>
      </c>
      <c r="J132" s="813" t="s">
        <v>7286</v>
      </c>
      <c r="K132" s="813" t="s">
        <v>3949</v>
      </c>
      <c r="L132" s="813" t="s">
        <v>3863</v>
      </c>
      <c r="M132" s="813" t="s">
        <v>3169</v>
      </c>
      <c r="N132" s="813" t="s">
        <v>7315</v>
      </c>
      <c r="O132" s="813" t="s">
        <v>9441</v>
      </c>
      <c r="P132" s="813" t="s">
        <v>7316</v>
      </c>
      <c r="Q132" s="813" t="s">
        <v>7317</v>
      </c>
      <c r="R132" s="813">
        <v>3</v>
      </c>
      <c r="S132" s="813" t="s">
        <v>3953</v>
      </c>
      <c r="T132" s="813" t="s">
        <v>9406</v>
      </c>
    </row>
    <row r="133" spans="1:20" ht="15" customHeight="1" x14ac:dyDescent="0.35">
      <c r="A133" s="794" t="s">
        <v>7069</v>
      </c>
      <c r="B133" s="794" t="s">
        <v>3857</v>
      </c>
      <c r="C133" s="812" t="s">
        <v>3913</v>
      </c>
      <c r="D133" s="825">
        <f>IF(D$60="","",D$60)</f>
        <v>39.473319473319499</v>
      </c>
      <c r="E133" s="825">
        <f>IF(E$60="","",E$60)</f>
        <v>25.657657657657701</v>
      </c>
      <c r="F133" s="825">
        <f>IF(F$60="","",F$60)</f>
        <v>31</v>
      </c>
      <c r="G133" s="814" t="s">
        <v>9404</v>
      </c>
      <c r="H133" s="813" t="s">
        <v>246</v>
      </c>
      <c r="I133" s="813" t="s">
        <v>3960</v>
      </c>
      <c r="J133" s="813" t="s">
        <v>7286</v>
      </c>
      <c r="K133" s="813" t="s">
        <v>3949</v>
      </c>
      <c r="L133" s="813" t="s">
        <v>3863</v>
      </c>
      <c r="M133" s="813" t="s">
        <v>3169</v>
      </c>
      <c r="N133" s="813" t="s">
        <v>7318</v>
      </c>
      <c r="O133" s="813" t="s">
        <v>9442</v>
      </c>
      <c r="P133" s="813" t="s">
        <v>7319</v>
      </c>
      <c r="Q133" s="813" t="s">
        <v>7320</v>
      </c>
      <c r="R133" s="813">
        <v>3</v>
      </c>
      <c r="S133" s="813" t="s">
        <v>3953</v>
      </c>
      <c r="T133" s="813" t="s">
        <v>9406</v>
      </c>
    </row>
    <row r="134" spans="1:20" ht="15" customHeight="1" x14ac:dyDescent="0.35">
      <c r="A134" s="794" t="s">
        <v>7073</v>
      </c>
      <c r="B134" s="794" t="s">
        <v>3857</v>
      </c>
      <c r="C134" s="812" t="s">
        <v>3913</v>
      </c>
      <c r="D134" s="825">
        <f>IF(D$61="","",D$61)</f>
        <v>24.6708246708247</v>
      </c>
      <c r="E134" s="825">
        <f>IF(E$61="","",E$61)</f>
        <v>16.036036036035998</v>
      </c>
      <c r="F134" s="825">
        <f>IF(F$61="","",F$61)</f>
        <v>128</v>
      </c>
      <c r="G134" s="814" t="s">
        <v>9404</v>
      </c>
      <c r="H134" s="813" t="s">
        <v>246</v>
      </c>
      <c r="I134" s="813" t="s">
        <v>3960</v>
      </c>
      <c r="J134" s="813" t="s">
        <v>7286</v>
      </c>
      <c r="K134" s="813" t="s">
        <v>3949</v>
      </c>
      <c r="L134" s="813" t="s">
        <v>3863</v>
      </c>
      <c r="M134" s="813" t="s">
        <v>3169</v>
      </c>
      <c r="N134" s="813" t="s">
        <v>7321</v>
      </c>
      <c r="O134" s="813" t="s">
        <v>9443</v>
      </c>
      <c r="P134" s="813" t="s">
        <v>7322</v>
      </c>
      <c r="Q134" s="813" t="s">
        <v>7323</v>
      </c>
      <c r="R134" s="813">
        <v>3</v>
      </c>
      <c r="S134" s="813" t="s">
        <v>3953</v>
      </c>
      <c r="T134" s="813" t="s">
        <v>9406</v>
      </c>
    </row>
    <row r="135" spans="1:20" ht="15" customHeight="1" x14ac:dyDescent="0.35">
      <c r="A135" s="794" t="s">
        <v>6922</v>
      </c>
      <c r="B135" s="794" t="s">
        <v>3857</v>
      </c>
      <c r="C135" s="812" t="s">
        <v>3913</v>
      </c>
      <c r="D135" s="825">
        <f>IF(D$62="","",D$62)</f>
        <v>108.55162855162899</v>
      </c>
      <c r="E135" s="825">
        <f>IF(E$62="","",E$62)</f>
        <v>70.558558558558502</v>
      </c>
      <c r="F135" s="825">
        <f>IF(F$62="","",F$62)</f>
        <v>15</v>
      </c>
      <c r="G135" s="814" t="s">
        <v>9404</v>
      </c>
      <c r="H135" s="813" t="s">
        <v>246</v>
      </c>
      <c r="I135" s="813" t="s">
        <v>3960</v>
      </c>
      <c r="J135" s="813" t="s">
        <v>7286</v>
      </c>
      <c r="K135" s="813" t="s">
        <v>3949</v>
      </c>
      <c r="L135" s="813" t="s">
        <v>3863</v>
      </c>
      <c r="M135" s="813" t="s">
        <v>3169</v>
      </c>
      <c r="N135" s="813" t="s">
        <v>7324</v>
      </c>
      <c r="O135" s="813" t="s">
        <v>9444</v>
      </c>
      <c r="P135" s="813" t="s">
        <v>7325</v>
      </c>
      <c r="Q135" s="813" t="s">
        <v>7326</v>
      </c>
      <c r="R135" s="813">
        <v>3</v>
      </c>
      <c r="S135" s="813" t="s">
        <v>3953</v>
      </c>
      <c r="T135" s="813" t="s">
        <v>9406</v>
      </c>
    </row>
    <row r="136" spans="1:20" ht="15" customHeight="1" x14ac:dyDescent="0.35">
      <c r="A136" s="794" t="s">
        <v>7080</v>
      </c>
      <c r="B136" s="794" t="s">
        <v>3857</v>
      </c>
      <c r="C136" s="812" t="s">
        <v>3913</v>
      </c>
      <c r="D136" s="825">
        <f>IF(D$18="","",D$18)</f>
        <v>0</v>
      </c>
      <c r="E136" s="825">
        <f>IF(E$18="","",E$18)</f>
        <v>0</v>
      </c>
      <c r="F136" s="825">
        <f>IF(F$18="","",F$18)</f>
        <v>0</v>
      </c>
      <c r="G136" s="814" t="s">
        <v>9404</v>
      </c>
      <c r="H136" s="813" t="s">
        <v>246</v>
      </c>
      <c r="I136" s="813" t="s">
        <v>3960</v>
      </c>
      <c r="J136" s="813" t="s">
        <v>7286</v>
      </c>
      <c r="K136" s="813" t="s">
        <v>3949</v>
      </c>
      <c r="L136" s="813" t="s">
        <v>3863</v>
      </c>
      <c r="M136" s="813" t="s">
        <v>3169</v>
      </c>
      <c r="N136" s="813" t="s">
        <v>7327</v>
      </c>
      <c r="O136" s="813" t="s">
        <v>9410</v>
      </c>
      <c r="P136" s="813" t="s">
        <v>7328</v>
      </c>
      <c r="Q136" s="813" t="s">
        <v>7329</v>
      </c>
      <c r="R136" s="813">
        <v>9</v>
      </c>
      <c r="S136" s="813" t="s">
        <v>3953</v>
      </c>
      <c r="T136" s="813" t="s">
        <v>9406</v>
      </c>
    </row>
    <row r="137" spans="1:20" ht="15" customHeight="1" x14ac:dyDescent="0.35">
      <c r="A137" s="794" t="s">
        <v>7084</v>
      </c>
      <c r="B137" s="794" t="s">
        <v>3857</v>
      </c>
      <c r="C137" s="812" t="s">
        <v>3913</v>
      </c>
      <c r="D137" s="825">
        <f>IF(D$64="","",D$64)</f>
        <v>0</v>
      </c>
      <c r="E137" s="825">
        <f>IF(E$64="","",E$64)</f>
        <v>0</v>
      </c>
      <c r="F137" s="825">
        <f>IF(F$64="","",F$64)</f>
        <v>90</v>
      </c>
      <c r="G137" s="814" t="s">
        <v>9404</v>
      </c>
      <c r="H137" s="813" t="s">
        <v>246</v>
      </c>
      <c r="I137" s="813" t="s">
        <v>3960</v>
      </c>
      <c r="J137" s="813" t="s">
        <v>7286</v>
      </c>
      <c r="K137" s="813" t="s">
        <v>3949</v>
      </c>
      <c r="L137" s="813" t="s">
        <v>3863</v>
      </c>
      <c r="M137" s="813" t="s">
        <v>3169</v>
      </c>
      <c r="N137" s="813" t="s">
        <v>7330</v>
      </c>
      <c r="O137" s="813" t="s">
        <v>9445</v>
      </c>
      <c r="P137" s="813" t="s">
        <v>7331</v>
      </c>
      <c r="Q137" s="813" t="s">
        <v>7332</v>
      </c>
      <c r="R137" s="813">
        <v>3</v>
      </c>
      <c r="S137" s="813" t="s">
        <v>3953</v>
      </c>
      <c r="T137" s="813" t="s">
        <v>9406</v>
      </c>
    </row>
    <row r="138" spans="1:20" ht="15" customHeight="1" x14ac:dyDescent="0.35">
      <c r="A138" s="794" t="s">
        <v>7092</v>
      </c>
      <c r="B138" s="794" t="s">
        <v>3857</v>
      </c>
      <c r="C138" s="812" t="s">
        <v>3913</v>
      </c>
      <c r="D138" s="825">
        <f>IF(D$66="","",D$66)</f>
        <v>0</v>
      </c>
      <c r="E138" s="825">
        <f>IF(E$66="","",E$66)</f>
        <v>0</v>
      </c>
      <c r="F138" s="825">
        <f>IF(F$66="","",F$66)</f>
        <v>0</v>
      </c>
      <c r="G138" s="814" t="s">
        <v>9404</v>
      </c>
      <c r="H138" s="813" t="s">
        <v>246</v>
      </c>
      <c r="I138" s="813" t="s">
        <v>3960</v>
      </c>
      <c r="J138" s="813" t="s">
        <v>7286</v>
      </c>
      <c r="K138" s="813" t="s">
        <v>3949</v>
      </c>
      <c r="L138" s="813" t="s">
        <v>3863</v>
      </c>
      <c r="M138" s="813" t="s">
        <v>3169</v>
      </c>
      <c r="N138" s="813" t="s">
        <v>7333</v>
      </c>
      <c r="O138" s="813" t="s">
        <v>9446</v>
      </c>
      <c r="P138" s="813" t="s">
        <v>7334</v>
      </c>
      <c r="Q138" s="813" t="s">
        <v>7335</v>
      </c>
      <c r="R138" s="813">
        <v>3</v>
      </c>
      <c r="S138" s="813" t="s">
        <v>3953</v>
      </c>
      <c r="T138" s="813" t="s">
        <v>9406</v>
      </c>
    </row>
    <row r="139" spans="1:20" ht="15" customHeight="1" x14ac:dyDescent="0.35">
      <c r="A139" s="794" t="s">
        <v>7100</v>
      </c>
      <c r="B139" s="794" t="s">
        <v>3857</v>
      </c>
      <c r="C139" s="812" t="s">
        <v>3913</v>
      </c>
      <c r="D139" s="825">
        <f>IF(D$68="","",D$68)</f>
        <v>0</v>
      </c>
      <c r="E139" s="825">
        <f>IF(E$68="","",E$68)</f>
        <v>0</v>
      </c>
      <c r="F139" s="825">
        <f>IF(F$68="","",F$68)</f>
        <v>0</v>
      </c>
      <c r="G139" s="814" t="s">
        <v>9404</v>
      </c>
      <c r="H139" s="813" t="s">
        <v>246</v>
      </c>
      <c r="I139" s="813" t="s">
        <v>3960</v>
      </c>
      <c r="J139" s="813" t="s">
        <v>7286</v>
      </c>
      <c r="K139" s="813" t="s">
        <v>3949</v>
      </c>
      <c r="L139" s="813" t="s">
        <v>3863</v>
      </c>
      <c r="M139" s="813" t="s">
        <v>3169</v>
      </c>
      <c r="N139" s="813" t="s">
        <v>7336</v>
      </c>
      <c r="O139" s="813" t="s">
        <v>9447</v>
      </c>
      <c r="P139" s="813" t="s">
        <v>7337</v>
      </c>
      <c r="Q139" s="813" t="s">
        <v>7338</v>
      </c>
      <c r="R139" s="813">
        <v>3</v>
      </c>
      <c r="S139" s="813" t="s">
        <v>3953</v>
      </c>
      <c r="T139" s="813" t="s">
        <v>9406</v>
      </c>
    </row>
    <row r="140" spans="1:20" ht="15" customHeight="1" x14ac:dyDescent="0.35">
      <c r="A140" s="794" t="s">
        <v>7104</v>
      </c>
      <c r="B140" s="794" t="s">
        <v>3857</v>
      </c>
      <c r="C140" s="812" t="s">
        <v>3913</v>
      </c>
      <c r="D140" s="825">
        <f>IF(D$69="","",D$69)</f>
        <v>4.9341649341649303</v>
      </c>
      <c r="E140" s="825">
        <f>IF(E$69="","",E$69)</f>
        <v>3.20720720720721</v>
      </c>
      <c r="F140" s="825">
        <f>IF(F$69="","",F$69)</f>
        <v>381</v>
      </c>
      <c r="G140" s="814" t="s">
        <v>9404</v>
      </c>
      <c r="H140" s="813" t="s">
        <v>246</v>
      </c>
      <c r="I140" s="813" t="s">
        <v>3960</v>
      </c>
      <c r="J140" s="813" t="s">
        <v>7286</v>
      </c>
      <c r="K140" s="813" t="s">
        <v>3949</v>
      </c>
      <c r="L140" s="813" t="s">
        <v>3863</v>
      </c>
      <c r="M140" s="813" t="s">
        <v>3169</v>
      </c>
      <c r="N140" s="813" t="s">
        <v>7339</v>
      </c>
      <c r="O140" s="813" t="s">
        <v>9448</v>
      </c>
      <c r="P140" s="813" t="s">
        <v>7340</v>
      </c>
      <c r="Q140" s="813" t="s">
        <v>7341</v>
      </c>
      <c r="R140" s="813">
        <v>3</v>
      </c>
      <c r="S140" s="813" t="s">
        <v>3953</v>
      </c>
      <c r="T140" s="813" t="s">
        <v>9406</v>
      </c>
    </row>
    <row r="141" spans="1:20" ht="15" customHeight="1" x14ac:dyDescent="0.35">
      <c r="A141" s="794" t="s">
        <v>7108</v>
      </c>
      <c r="B141" s="794" t="s">
        <v>3857</v>
      </c>
      <c r="C141" s="812" t="s">
        <v>3913</v>
      </c>
      <c r="D141" s="825">
        <f>IF(D$70="","",D$70)</f>
        <v>0</v>
      </c>
      <c r="E141" s="825">
        <f>IF(E$70="","",E$70)</f>
        <v>0</v>
      </c>
      <c r="F141" s="825">
        <f>IF(F$70="","",F$70)</f>
        <v>0</v>
      </c>
      <c r="G141" s="814" t="s">
        <v>9404</v>
      </c>
      <c r="H141" s="813" t="s">
        <v>246</v>
      </c>
      <c r="I141" s="813" t="s">
        <v>3960</v>
      </c>
      <c r="J141" s="813" t="s">
        <v>7286</v>
      </c>
      <c r="K141" s="813" t="s">
        <v>3949</v>
      </c>
      <c r="L141" s="813" t="s">
        <v>3863</v>
      </c>
      <c r="M141" s="813" t="s">
        <v>3169</v>
      </c>
      <c r="N141" s="813" t="s">
        <v>7342</v>
      </c>
      <c r="O141" s="813" t="s">
        <v>9449</v>
      </c>
      <c r="P141" s="813" t="s">
        <v>7343</v>
      </c>
      <c r="Q141" s="813" t="s">
        <v>7344</v>
      </c>
      <c r="R141" s="813">
        <v>3</v>
      </c>
      <c r="S141" s="813" t="s">
        <v>3953</v>
      </c>
      <c r="T141" s="813" t="s">
        <v>9406</v>
      </c>
    </row>
    <row r="142" spans="1:20" ht="15" customHeight="1" x14ac:dyDescent="0.35">
      <c r="A142" s="794" t="s">
        <v>7112</v>
      </c>
      <c r="B142" s="794" t="s">
        <v>3857</v>
      </c>
      <c r="C142" s="812" t="s">
        <v>3913</v>
      </c>
      <c r="D142" s="825">
        <f>IF(D$71="","",D$71)</f>
        <v>0</v>
      </c>
      <c r="E142" s="825">
        <f>IF(E$71="","",E$71)</f>
        <v>0</v>
      </c>
      <c r="F142" s="825">
        <f>IF(F$71="","",F$71)</f>
        <v>0</v>
      </c>
      <c r="G142" s="814" t="s">
        <v>9404</v>
      </c>
      <c r="H142" s="813" t="s">
        <v>246</v>
      </c>
      <c r="I142" s="813" t="s">
        <v>3960</v>
      </c>
      <c r="J142" s="813" t="s">
        <v>7286</v>
      </c>
      <c r="K142" s="813" t="s">
        <v>3949</v>
      </c>
      <c r="L142" s="813" t="s">
        <v>3863</v>
      </c>
      <c r="M142" s="813" t="s">
        <v>3169</v>
      </c>
      <c r="N142" s="813" t="s">
        <v>7345</v>
      </c>
      <c r="O142" s="813" t="s">
        <v>9450</v>
      </c>
      <c r="P142" s="813" t="s">
        <v>7346</v>
      </c>
      <c r="Q142" s="813" t="s">
        <v>7347</v>
      </c>
      <c r="R142" s="813">
        <v>3</v>
      </c>
      <c r="S142" s="813" t="s">
        <v>3953</v>
      </c>
      <c r="T142" s="813" t="s">
        <v>9406</v>
      </c>
    </row>
    <row r="143" spans="1:20" ht="15" customHeight="1" x14ac:dyDescent="0.35">
      <c r="A143" s="794" t="s">
        <v>7116</v>
      </c>
      <c r="B143" s="794" t="s">
        <v>3857</v>
      </c>
      <c r="C143" s="812" t="s">
        <v>3913</v>
      </c>
      <c r="D143" s="825">
        <f>IF(D$72="","",D$72)</f>
        <v>6.9078309078309097</v>
      </c>
      <c r="E143" s="825">
        <f>IF(E$72="","",E$72)</f>
        <v>4.4900900900900904</v>
      </c>
      <c r="F143" s="825">
        <f>IF(F$72="","",F$72)</f>
        <v>148</v>
      </c>
      <c r="G143" s="814" t="s">
        <v>9404</v>
      </c>
      <c r="H143" s="813" t="s">
        <v>246</v>
      </c>
      <c r="I143" s="813" t="s">
        <v>3960</v>
      </c>
      <c r="J143" s="813" t="s">
        <v>7286</v>
      </c>
      <c r="K143" s="813" t="s">
        <v>3949</v>
      </c>
      <c r="L143" s="813" t="s">
        <v>3863</v>
      </c>
      <c r="M143" s="813" t="s">
        <v>3169</v>
      </c>
      <c r="N143" s="813" t="s">
        <v>7348</v>
      </c>
      <c r="O143" s="813" t="s">
        <v>9451</v>
      </c>
      <c r="P143" s="813" t="s">
        <v>7349</v>
      </c>
      <c r="Q143" s="813" t="s">
        <v>7350</v>
      </c>
      <c r="R143" s="813">
        <v>3</v>
      </c>
      <c r="S143" s="813" t="s">
        <v>3953</v>
      </c>
      <c r="T143" s="813" t="s">
        <v>9406</v>
      </c>
    </row>
    <row r="144" spans="1:20" ht="15" customHeight="1" x14ac:dyDescent="0.35">
      <c r="A144" s="794" t="s">
        <v>7120</v>
      </c>
      <c r="B144" s="794" t="s">
        <v>3857</v>
      </c>
      <c r="C144" s="812" t="s">
        <v>3913</v>
      </c>
      <c r="D144" s="825">
        <f>IF(D$73="","",D$73)</f>
        <v>2.46708246708247</v>
      </c>
      <c r="E144" s="825">
        <f>IF(E$73="","",E$73)</f>
        <v>1.6036036036036001</v>
      </c>
      <c r="F144" s="825">
        <f>IF(F$73="","",F$73)</f>
        <v>411</v>
      </c>
      <c r="G144" s="814" t="s">
        <v>9404</v>
      </c>
      <c r="H144" s="813" t="s">
        <v>246</v>
      </c>
      <c r="I144" s="813" t="s">
        <v>3960</v>
      </c>
      <c r="J144" s="813" t="s">
        <v>7286</v>
      </c>
      <c r="K144" s="813" t="s">
        <v>3949</v>
      </c>
      <c r="L144" s="813" t="s">
        <v>3863</v>
      </c>
      <c r="M144" s="813" t="s">
        <v>3169</v>
      </c>
      <c r="N144" s="813" t="s">
        <v>7351</v>
      </c>
      <c r="O144" s="813" t="s">
        <v>9452</v>
      </c>
      <c r="P144" s="813" t="s">
        <v>7352</v>
      </c>
      <c r="Q144" s="813" t="s">
        <v>7353</v>
      </c>
      <c r="R144" s="813">
        <v>3</v>
      </c>
      <c r="S144" s="813" t="s">
        <v>3953</v>
      </c>
      <c r="T144" s="813" t="s">
        <v>9406</v>
      </c>
    </row>
    <row r="145" spans="1:20" ht="15" customHeight="1" x14ac:dyDescent="0.35">
      <c r="A145" s="794" t="s">
        <v>7124</v>
      </c>
      <c r="B145" s="794" t="s">
        <v>3857</v>
      </c>
      <c r="C145" s="812" t="s">
        <v>3913</v>
      </c>
      <c r="D145" s="825">
        <f>IF(D$74="","",D$74)</f>
        <v>0</v>
      </c>
      <c r="E145" s="825">
        <f>IF(E$74="","",E$74)</f>
        <v>0</v>
      </c>
      <c r="F145" s="825">
        <f>IF(F$74="","",F$74)</f>
        <v>0</v>
      </c>
      <c r="G145" s="814" t="s">
        <v>9404</v>
      </c>
      <c r="H145" s="813" t="s">
        <v>246</v>
      </c>
      <c r="I145" s="813" t="s">
        <v>3960</v>
      </c>
      <c r="J145" s="813" t="s">
        <v>7286</v>
      </c>
      <c r="K145" s="813" t="s">
        <v>3949</v>
      </c>
      <c r="L145" s="813" t="s">
        <v>3863</v>
      </c>
      <c r="M145" s="813" t="s">
        <v>3169</v>
      </c>
      <c r="N145" s="813" t="s">
        <v>7354</v>
      </c>
      <c r="O145" s="813" t="s">
        <v>9453</v>
      </c>
      <c r="P145" s="813" t="s">
        <v>7355</v>
      </c>
      <c r="Q145" s="813" t="s">
        <v>7356</v>
      </c>
      <c r="R145" s="813">
        <v>3</v>
      </c>
      <c r="S145" s="813" t="s">
        <v>3953</v>
      </c>
      <c r="T145" s="813" t="s">
        <v>9406</v>
      </c>
    </row>
    <row r="146" spans="1:20" ht="15" customHeight="1" x14ac:dyDescent="0.35">
      <c r="A146" s="803" t="s">
        <v>7357</v>
      </c>
      <c r="B146" s="803"/>
      <c r="C146" s="803"/>
      <c r="D146" s="803"/>
      <c r="E146" s="803"/>
      <c r="F146" s="803"/>
      <c r="G146" s="803" t="s">
        <v>7358</v>
      </c>
      <c r="H146" s="794"/>
      <c r="I146" s="794"/>
      <c r="J146" s="794"/>
      <c r="K146" s="794"/>
      <c r="L146" s="794"/>
      <c r="M146" s="794"/>
      <c r="N146" s="794"/>
      <c r="O146" s="794"/>
      <c r="P146" s="794"/>
      <c r="Q146" s="794"/>
      <c r="R146" s="794"/>
      <c r="S146" s="794"/>
      <c r="T146" s="794"/>
    </row>
    <row r="147" spans="1:20" ht="15" customHeight="1" x14ac:dyDescent="0.35">
      <c r="A147" s="794" t="s">
        <v>7130</v>
      </c>
      <c r="B147" s="794" t="s">
        <v>3857</v>
      </c>
      <c r="C147" s="812" t="s">
        <v>3913</v>
      </c>
      <c r="D147" s="825">
        <f>IF(D$76="","",D$76)</f>
        <v>11.8419958419958</v>
      </c>
      <c r="E147" s="825">
        <f>IF(E$76="","",E$76)</f>
        <v>7.6972972972973004</v>
      </c>
      <c r="F147" s="825">
        <f>IF(F$76="","",F$76)</f>
        <v>68</v>
      </c>
      <c r="G147" s="814" t="s">
        <v>9404</v>
      </c>
      <c r="H147" s="813" t="s">
        <v>246</v>
      </c>
      <c r="I147" s="813" t="s">
        <v>3960</v>
      </c>
      <c r="J147" s="813" t="s">
        <v>7359</v>
      </c>
      <c r="K147" s="813" t="s">
        <v>3949</v>
      </c>
      <c r="L147" s="813" t="s">
        <v>3863</v>
      </c>
      <c r="M147" s="813" t="s">
        <v>3169</v>
      </c>
      <c r="N147" s="813" t="s">
        <v>7360</v>
      </c>
      <c r="O147" s="813" t="s">
        <v>9454</v>
      </c>
      <c r="P147" s="813" t="s">
        <v>7361</v>
      </c>
      <c r="Q147" s="813" t="s">
        <v>7362</v>
      </c>
      <c r="R147" s="813">
        <v>3</v>
      </c>
      <c r="S147" s="813" t="s">
        <v>3953</v>
      </c>
      <c r="T147" s="813" t="s">
        <v>9406</v>
      </c>
    </row>
    <row r="148" spans="1:20" ht="15" customHeight="1" x14ac:dyDescent="0.35">
      <c r="A148" s="794" t="s">
        <v>7135</v>
      </c>
      <c r="B148" s="794" t="s">
        <v>3857</v>
      </c>
      <c r="C148" s="812" t="s">
        <v>3913</v>
      </c>
      <c r="D148" s="825">
        <f>IF(D$77="","",D$77)</f>
        <v>11.8419958419958</v>
      </c>
      <c r="E148" s="825">
        <f>IF(E$77="","",E$77)</f>
        <v>7.6972972972973004</v>
      </c>
      <c r="F148" s="825">
        <f>IF(F$77="","",F$77)</f>
        <v>62</v>
      </c>
      <c r="G148" s="814" t="s">
        <v>9404</v>
      </c>
      <c r="H148" s="813" t="s">
        <v>246</v>
      </c>
      <c r="I148" s="813" t="s">
        <v>3960</v>
      </c>
      <c r="J148" s="813" t="s">
        <v>7359</v>
      </c>
      <c r="K148" s="813" t="s">
        <v>3949</v>
      </c>
      <c r="L148" s="813" t="s">
        <v>3863</v>
      </c>
      <c r="M148" s="813" t="s">
        <v>3169</v>
      </c>
      <c r="N148" s="813" t="s">
        <v>7363</v>
      </c>
      <c r="O148" s="813" t="s">
        <v>9455</v>
      </c>
      <c r="P148" s="813" t="s">
        <v>7364</v>
      </c>
      <c r="Q148" s="813" t="s">
        <v>7365</v>
      </c>
      <c r="R148" s="813">
        <v>3</v>
      </c>
      <c r="S148" s="813" t="s">
        <v>3953</v>
      </c>
      <c r="T148" s="813" t="s">
        <v>9406</v>
      </c>
    </row>
    <row r="149" spans="1:20" ht="15" customHeight="1" x14ac:dyDescent="0.35">
      <c r="A149" s="794" t="s">
        <v>7139</v>
      </c>
      <c r="B149" s="794" t="s">
        <v>3857</v>
      </c>
      <c r="C149" s="812" t="s">
        <v>3913</v>
      </c>
      <c r="D149" s="825">
        <f>IF(D$78="","",D$78)</f>
        <v>0</v>
      </c>
      <c r="E149" s="825">
        <f>IF(E$78="","",E$78)</f>
        <v>0</v>
      </c>
      <c r="F149" s="825">
        <f>IF(F$78="","",F$78)</f>
        <v>0</v>
      </c>
      <c r="G149" s="814" t="s">
        <v>9404</v>
      </c>
      <c r="H149" s="813" t="s">
        <v>246</v>
      </c>
      <c r="I149" s="813" t="s">
        <v>3960</v>
      </c>
      <c r="J149" s="813" t="s">
        <v>7359</v>
      </c>
      <c r="K149" s="813" t="s">
        <v>3949</v>
      </c>
      <c r="L149" s="813" t="s">
        <v>3863</v>
      </c>
      <c r="M149" s="813" t="s">
        <v>3169</v>
      </c>
      <c r="N149" s="813" t="s">
        <v>7366</v>
      </c>
      <c r="O149" s="813" t="s">
        <v>9456</v>
      </c>
      <c r="P149" s="813" t="s">
        <v>7367</v>
      </c>
      <c r="Q149" s="813" t="s">
        <v>7368</v>
      </c>
      <c r="R149" s="813">
        <v>3</v>
      </c>
      <c r="S149" s="813" t="s">
        <v>3953</v>
      </c>
      <c r="T149" s="813" t="s">
        <v>9406</v>
      </c>
    </row>
    <row r="150" spans="1:20" ht="15" customHeight="1" x14ac:dyDescent="0.35">
      <c r="A150" s="794" t="s">
        <v>7143</v>
      </c>
      <c r="B150" s="794" t="s">
        <v>3857</v>
      </c>
      <c r="C150" s="812" t="s">
        <v>3913</v>
      </c>
      <c r="D150" s="825">
        <f>IF(D$79="","",D$79)</f>
        <v>34.539154539154502</v>
      </c>
      <c r="E150" s="825">
        <f>IF(E$79="","",E$79)</f>
        <v>22.4504504504505</v>
      </c>
      <c r="F150" s="825">
        <f>IF(F$79="","",F$79)</f>
        <v>152</v>
      </c>
      <c r="G150" s="814" t="s">
        <v>9404</v>
      </c>
      <c r="H150" s="813" t="s">
        <v>246</v>
      </c>
      <c r="I150" s="813" t="s">
        <v>3960</v>
      </c>
      <c r="J150" s="813" t="s">
        <v>7359</v>
      </c>
      <c r="K150" s="813" t="s">
        <v>3949</v>
      </c>
      <c r="L150" s="813" t="s">
        <v>3863</v>
      </c>
      <c r="M150" s="813" t="s">
        <v>3169</v>
      </c>
      <c r="N150" s="813" t="s">
        <v>7369</v>
      </c>
      <c r="O150" s="813" t="s">
        <v>9457</v>
      </c>
      <c r="P150" s="813" t="s">
        <v>7370</v>
      </c>
      <c r="Q150" s="813" t="s">
        <v>7371</v>
      </c>
      <c r="R150" s="813">
        <v>3</v>
      </c>
      <c r="S150" s="813" t="s">
        <v>3953</v>
      </c>
      <c r="T150" s="813" t="s">
        <v>9406</v>
      </c>
    </row>
    <row r="151" spans="1:20" ht="15" customHeight="1" x14ac:dyDescent="0.35">
      <c r="A151" s="794" t="s">
        <v>7147</v>
      </c>
      <c r="B151" s="794" t="s">
        <v>3857</v>
      </c>
      <c r="C151" s="812" t="s">
        <v>3913</v>
      </c>
      <c r="D151" s="825">
        <f>IF(D$80="","",D$80)</f>
        <v>59.209979209979203</v>
      </c>
      <c r="E151" s="825">
        <f>IF(E$80="","",E$80)</f>
        <v>38.486486486486498</v>
      </c>
      <c r="F151" s="825">
        <f>IF(F$80="","",F$80)</f>
        <v>30</v>
      </c>
      <c r="G151" s="814" t="s">
        <v>9404</v>
      </c>
      <c r="H151" s="813" t="s">
        <v>246</v>
      </c>
      <c r="I151" s="813" t="s">
        <v>3960</v>
      </c>
      <c r="J151" s="813" t="s">
        <v>7359</v>
      </c>
      <c r="K151" s="813" t="s">
        <v>3949</v>
      </c>
      <c r="L151" s="813" t="s">
        <v>3863</v>
      </c>
      <c r="M151" s="813" t="s">
        <v>3169</v>
      </c>
      <c r="N151" s="813" t="s">
        <v>7372</v>
      </c>
      <c r="O151" s="813" t="s">
        <v>9458</v>
      </c>
      <c r="P151" s="813" t="s">
        <v>7373</v>
      </c>
      <c r="Q151" s="813" t="s">
        <v>7374</v>
      </c>
      <c r="R151" s="813">
        <v>3</v>
      </c>
      <c r="S151" s="813" t="s">
        <v>3953</v>
      </c>
      <c r="T151" s="813" t="s">
        <v>9406</v>
      </c>
    </row>
    <row r="152" spans="1:20" ht="15" customHeight="1" x14ac:dyDescent="0.35">
      <c r="A152" s="794" t="s">
        <v>7151</v>
      </c>
      <c r="B152" s="794" t="s">
        <v>3857</v>
      </c>
      <c r="C152" s="812" t="s">
        <v>3913</v>
      </c>
      <c r="D152" s="825">
        <f>IF(D$81="","",D$81)</f>
        <v>0</v>
      </c>
      <c r="E152" s="825">
        <f>IF(E$81="","",E$81)</f>
        <v>0</v>
      </c>
      <c r="F152" s="825">
        <f>IF(F$81="","",F$81)</f>
        <v>0</v>
      </c>
      <c r="G152" s="814" t="s">
        <v>9404</v>
      </c>
      <c r="H152" s="813" t="s">
        <v>246</v>
      </c>
      <c r="I152" s="813" t="s">
        <v>3960</v>
      </c>
      <c r="J152" s="813" t="s">
        <v>7359</v>
      </c>
      <c r="K152" s="813" t="s">
        <v>3949</v>
      </c>
      <c r="L152" s="813" t="s">
        <v>3863</v>
      </c>
      <c r="M152" s="813" t="s">
        <v>3169</v>
      </c>
      <c r="N152" s="813" t="s">
        <v>7375</v>
      </c>
      <c r="O152" s="813" t="s">
        <v>9459</v>
      </c>
      <c r="P152" s="813" t="s">
        <v>7376</v>
      </c>
      <c r="Q152" s="813" t="s">
        <v>7377</v>
      </c>
      <c r="R152" s="813">
        <v>3</v>
      </c>
      <c r="S152" s="813" t="s">
        <v>3953</v>
      </c>
      <c r="T152" s="813" t="s">
        <v>9406</v>
      </c>
    </row>
    <row r="153" spans="1:20" ht="15" customHeight="1" x14ac:dyDescent="0.35">
      <c r="A153" s="794" t="s">
        <v>7155</v>
      </c>
      <c r="B153" s="794" t="s">
        <v>3857</v>
      </c>
      <c r="C153" s="812" t="s">
        <v>3913</v>
      </c>
      <c r="D153" s="825">
        <f>IF(D$82="","",D$82)</f>
        <v>20.790020790020801</v>
      </c>
      <c r="E153" s="825">
        <f>IF(E$82="","",E$82)</f>
        <v>9.6216216216216193</v>
      </c>
      <c r="F153" s="825">
        <f>IF(F$82="","",F$82)</f>
        <v>203</v>
      </c>
      <c r="G153" s="814" t="s">
        <v>9404</v>
      </c>
      <c r="H153" s="813" t="s">
        <v>246</v>
      </c>
      <c r="I153" s="813" t="s">
        <v>3960</v>
      </c>
      <c r="J153" s="813" t="s">
        <v>7359</v>
      </c>
      <c r="K153" s="813" t="s">
        <v>3949</v>
      </c>
      <c r="L153" s="813" t="s">
        <v>3863</v>
      </c>
      <c r="M153" s="813" t="s">
        <v>3169</v>
      </c>
      <c r="N153" s="813" t="s">
        <v>7378</v>
      </c>
      <c r="O153" s="813" t="s">
        <v>9460</v>
      </c>
      <c r="P153" s="813" t="s">
        <v>7379</v>
      </c>
      <c r="Q153" s="813" t="s">
        <v>7380</v>
      </c>
      <c r="R153" s="813">
        <v>3</v>
      </c>
      <c r="S153" s="813" t="s">
        <v>3953</v>
      </c>
      <c r="T153" s="813" t="s">
        <v>9406</v>
      </c>
    </row>
    <row r="154" spans="1:20" ht="15" customHeight="1" x14ac:dyDescent="0.35">
      <c r="A154" s="794" t="s">
        <v>7159</v>
      </c>
      <c r="B154" s="794" t="s">
        <v>3857</v>
      </c>
      <c r="C154" s="812" t="s">
        <v>3913</v>
      </c>
      <c r="D154" s="825">
        <f>IF(D$83="","",D$83)</f>
        <v>20.790020790020801</v>
      </c>
      <c r="E154" s="825">
        <f>IF(E$83="","",E$83)</f>
        <v>9.6216216216216193</v>
      </c>
      <c r="F154" s="825">
        <f>IF(F$83="","",F$83)</f>
        <v>58</v>
      </c>
      <c r="G154" s="814" t="s">
        <v>9404</v>
      </c>
      <c r="H154" s="813" t="s">
        <v>246</v>
      </c>
      <c r="I154" s="813" t="s">
        <v>3960</v>
      </c>
      <c r="J154" s="813" t="s">
        <v>7359</v>
      </c>
      <c r="K154" s="813" t="s">
        <v>3949</v>
      </c>
      <c r="L154" s="813" t="s">
        <v>3863</v>
      </c>
      <c r="M154" s="813" t="s">
        <v>3169</v>
      </c>
      <c r="N154" s="813" t="s">
        <v>7381</v>
      </c>
      <c r="O154" s="813" t="s">
        <v>9461</v>
      </c>
      <c r="P154" s="813" t="s">
        <v>7382</v>
      </c>
      <c r="Q154" s="813" t="s">
        <v>7383</v>
      </c>
      <c r="R154" s="813">
        <v>3</v>
      </c>
      <c r="S154" s="813" t="s">
        <v>3953</v>
      </c>
      <c r="T154" s="813" t="s">
        <v>9406</v>
      </c>
    </row>
    <row r="155" spans="1:20" ht="15" customHeight="1" x14ac:dyDescent="0.35">
      <c r="A155" s="794" t="s">
        <v>7163</v>
      </c>
      <c r="B155" s="794" t="s">
        <v>3857</v>
      </c>
      <c r="C155" s="812" t="s">
        <v>3913</v>
      </c>
      <c r="D155" s="825">
        <f>IF(D$84="","",D$84)</f>
        <v>83.160083160083204</v>
      </c>
      <c r="E155" s="825">
        <f>IF(E$84="","",E$84)</f>
        <v>38.486486486486498</v>
      </c>
      <c r="F155" s="825">
        <f>IF(F$84="","",F$84)</f>
        <v>5</v>
      </c>
      <c r="G155" s="814" t="s">
        <v>9404</v>
      </c>
      <c r="H155" s="813" t="s">
        <v>246</v>
      </c>
      <c r="I155" s="813" t="s">
        <v>3960</v>
      </c>
      <c r="J155" s="813" t="s">
        <v>7359</v>
      </c>
      <c r="K155" s="813" t="s">
        <v>3949</v>
      </c>
      <c r="L155" s="813" t="s">
        <v>3863</v>
      </c>
      <c r="M155" s="813" t="s">
        <v>3169</v>
      </c>
      <c r="N155" s="813" t="s">
        <v>7384</v>
      </c>
      <c r="O155" s="813" t="s">
        <v>9462</v>
      </c>
      <c r="P155" s="813" t="s">
        <v>7385</v>
      </c>
      <c r="Q155" s="813" t="s">
        <v>7386</v>
      </c>
      <c r="R155" s="813">
        <v>3</v>
      </c>
      <c r="S155" s="813" t="s">
        <v>3953</v>
      </c>
      <c r="T155" s="813" t="s">
        <v>9406</v>
      </c>
    </row>
    <row r="156" spans="1:20" ht="15" customHeight="1" x14ac:dyDescent="0.35">
      <c r="A156" s="803" t="s">
        <v>7387</v>
      </c>
      <c r="B156" s="803"/>
      <c r="C156" s="803"/>
      <c r="D156" s="803"/>
      <c r="E156" s="803"/>
      <c r="F156" s="803"/>
      <c r="G156" s="803" t="s">
        <v>5002</v>
      </c>
      <c r="H156" s="794"/>
      <c r="I156" s="794"/>
      <c r="J156" s="794"/>
      <c r="K156" s="794"/>
      <c r="L156" s="794"/>
      <c r="M156" s="794"/>
      <c r="N156" s="794"/>
      <c r="O156" s="794"/>
      <c r="P156" s="794"/>
      <c r="Q156" s="794"/>
      <c r="R156" s="794"/>
      <c r="S156" s="794"/>
      <c r="T156" s="794"/>
    </row>
    <row r="157" spans="1:20" ht="15" customHeight="1" x14ac:dyDescent="0.35">
      <c r="A157" s="794" t="s">
        <v>7388</v>
      </c>
      <c r="B157" s="794" t="s">
        <v>3857</v>
      </c>
      <c r="C157" s="812" t="s">
        <v>3913</v>
      </c>
      <c r="D157" s="825"/>
      <c r="E157" s="825"/>
      <c r="F157" s="825">
        <v>0.08</v>
      </c>
      <c r="G157" s="814" t="s">
        <v>3858</v>
      </c>
      <c r="H157" s="813" t="s">
        <v>246</v>
      </c>
      <c r="I157" s="813" t="s">
        <v>3960</v>
      </c>
      <c r="J157" s="813" t="s">
        <v>7389</v>
      </c>
      <c r="K157" s="813" t="s">
        <v>3949</v>
      </c>
      <c r="L157" s="813" t="s">
        <v>3863</v>
      </c>
      <c r="M157" s="813" t="s">
        <v>3169</v>
      </c>
      <c r="N157" s="813" t="s">
        <v>7390</v>
      </c>
      <c r="O157" s="813" t="s">
        <v>3883</v>
      </c>
      <c r="P157" s="813" t="s">
        <v>7391</v>
      </c>
      <c r="Q157" s="813" t="s">
        <v>7392</v>
      </c>
      <c r="R157" s="813">
        <v>1</v>
      </c>
      <c r="S157" s="813" t="s">
        <v>3953</v>
      </c>
      <c r="T157" s="813" t="s">
        <v>6895</v>
      </c>
    </row>
    <row r="158" spans="1:20" ht="15" customHeight="1" x14ac:dyDescent="0.35">
      <c r="A158" s="794" t="s">
        <v>7393</v>
      </c>
      <c r="B158" s="794" t="s">
        <v>3857</v>
      </c>
      <c r="C158" s="812" t="s">
        <v>3913</v>
      </c>
      <c r="D158" s="825"/>
      <c r="E158" s="825"/>
      <c r="F158" s="825">
        <v>0.11</v>
      </c>
      <c r="G158" s="814" t="s">
        <v>3858</v>
      </c>
      <c r="H158" s="813" t="s">
        <v>246</v>
      </c>
      <c r="I158" s="813" t="s">
        <v>3960</v>
      </c>
      <c r="J158" s="813" t="s">
        <v>7389</v>
      </c>
      <c r="K158" s="813" t="s">
        <v>3949</v>
      </c>
      <c r="L158" s="813" t="s">
        <v>3863</v>
      </c>
      <c r="M158" s="813" t="s">
        <v>3169</v>
      </c>
      <c r="N158" s="813" t="s">
        <v>7394</v>
      </c>
      <c r="O158" s="813" t="s">
        <v>3883</v>
      </c>
      <c r="P158" s="813" t="s">
        <v>7395</v>
      </c>
      <c r="Q158" s="813" t="s">
        <v>7396</v>
      </c>
      <c r="R158" s="813">
        <v>1</v>
      </c>
      <c r="S158" s="813" t="s">
        <v>3953</v>
      </c>
      <c r="T158" s="813" t="s">
        <v>6895</v>
      </c>
    </row>
    <row r="159" spans="1:20" ht="15" customHeight="1" x14ac:dyDescent="0.35">
      <c r="A159" s="794" t="s">
        <v>7397</v>
      </c>
      <c r="B159" s="794" t="s">
        <v>3857</v>
      </c>
      <c r="C159" s="812" t="s">
        <v>3913</v>
      </c>
      <c r="D159" s="825">
        <v>22.75</v>
      </c>
      <c r="E159" s="825"/>
      <c r="F159" s="825">
        <v>0.15</v>
      </c>
      <c r="G159" s="814" t="s">
        <v>3858</v>
      </c>
      <c r="H159" s="813" t="s">
        <v>246</v>
      </c>
      <c r="I159" s="813" t="s">
        <v>3960</v>
      </c>
      <c r="J159" s="813" t="s">
        <v>7389</v>
      </c>
      <c r="K159" s="813" t="s">
        <v>3949</v>
      </c>
      <c r="L159" s="813" t="s">
        <v>3863</v>
      </c>
      <c r="M159" s="813" t="s">
        <v>3169</v>
      </c>
      <c r="N159" s="813" t="s">
        <v>7398</v>
      </c>
      <c r="O159" s="813" t="s">
        <v>3883</v>
      </c>
      <c r="P159" s="813" t="s">
        <v>7399</v>
      </c>
      <c r="Q159" s="813" t="s">
        <v>7400</v>
      </c>
      <c r="R159" s="813">
        <v>2</v>
      </c>
      <c r="S159" s="813" t="s">
        <v>3953</v>
      </c>
      <c r="T159" s="813" t="s">
        <v>6895</v>
      </c>
    </row>
    <row r="160" spans="1:20" ht="15" customHeight="1" x14ac:dyDescent="0.35">
      <c r="A160" s="803" t="s">
        <v>7401</v>
      </c>
      <c r="B160" s="803"/>
      <c r="C160" s="803"/>
      <c r="D160" s="803"/>
      <c r="E160" s="803"/>
      <c r="F160" s="803"/>
      <c r="G160" s="803" t="s">
        <v>3946</v>
      </c>
      <c r="H160" s="794"/>
      <c r="I160" s="794"/>
      <c r="J160" s="794"/>
      <c r="K160" s="794"/>
      <c r="L160" s="794"/>
      <c r="M160" s="794"/>
      <c r="N160" s="794"/>
      <c r="O160" s="794"/>
      <c r="P160" s="794"/>
      <c r="Q160" s="794"/>
      <c r="R160" s="794"/>
      <c r="S160" s="794"/>
      <c r="T160" s="794"/>
    </row>
    <row r="161" spans="1:20" ht="15" customHeight="1" x14ac:dyDescent="0.35">
      <c r="A161" s="794" t="s">
        <v>7402</v>
      </c>
      <c r="B161" s="794" t="s">
        <v>3857</v>
      </c>
      <c r="C161" s="812" t="s">
        <v>3913</v>
      </c>
      <c r="D161" s="825"/>
      <c r="E161" s="825"/>
      <c r="F161" s="825">
        <v>5.0000000000000001E-3</v>
      </c>
      <c r="G161" s="814" t="s">
        <v>3858</v>
      </c>
      <c r="H161" s="813" t="s">
        <v>246</v>
      </c>
      <c r="I161" s="813" t="s">
        <v>3960</v>
      </c>
      <c r="J161" s="813" t="s">
        <v>7403</v>
      </c>
      <c r="K161" s="813" t="s">
        <v>3949</v>
      </c>
      <c r="L161" s="813" t="s">
        <v>3863</v>
      </c>
      <c r="M161" s="813" t="s">
        <v>3169</v>
      </c>
      <c r="N161" s="813" t="s">
        <v>7404</v>
      </c>
      <c r="O161" s="813" t="s">
        <v>3883</v>
      </c>
      <c r="P161" s="813" t="s">
        <v>7405</v>
      </c>
      <c r="Q161" s="813" t="s">
        <v>7406</v>
      </c>
      <c r="R161" s="813">
        <v>1</v>
      </c>
      <c r="S161" s="813" t="s">
        <v>3953</v>
      </c>
      <c r="T161" s="813" t="s">
        <v>6895</v>
      </c>
    </row>
    <row r="162" spans="1:20" ht="15" customHeight="1" x14ac:dyDescent="0.35">
      <c r="A162" s="803" t="s">
        <v>7407</v>
      </c>
      <c r="B162" s="803"/>
      <c r="C162" s="803"/>
      <c r="D162" s="803"/>
      <c r="E162" s="803"/>
      <c r="F162" s="803"/>
      <c r="G162" s="803" t="s">
        <v>7408</v>
      </c>
      <c r="H162" s="794"/>
      <c r="I162" s="794"/>
      <c r="J162" s="794"/>
      <c r="K162" s="794"/>
      <c r="L162" s="794"/>
      <c r="M162" s="794"/>
      <c r="N162" s="794"/>
      <c r="O162" s="794"/>
      <c r="P162" s="794"/>
      <c r="Q162" s="794"/>
      <c r="R162" s="794"/>
      <c r="S162" s="794"/>
      <c r="T162" s="794"/>
    </row>
    <row r="163" spans="1:20" ht="15" customHeight="1" x14ac:dyDescent="0.35">
      <c r="A163" s="794" t="s">
        <v>7409</v>
      </c>
      <c r="B163" s="794" t="s">
        <v>3857</v>
      </c>
      <c r="C163" s="812" t="s">
        <v>3913</v>
      </c>
      <c r="D163" s="825"/>
      <c r="E163" s="825"/>
      <c r="F163" s="825">
        <v>0.4</v>
      </c>
      <c r="G163" s="814" t="s">
        <v>3858</v>
      </c>
      <c r="H163" s="813" t="s">
        <v>246</v>
      </c>
      <c r="I163" s="813" t="s">
        <v>3960</v>
      </c>
      <c r="J163" s="813" t="s">
        <v>7410</v>
      </c>
      <c r="K163" s="813" t="s">
        <v>3949</v>
      </c>
      <c r="L163" s="813" t="s">
        <v>3863</v>
      </c>
      <c r="M163" s="813" t="s">
        <v>3169</v>
      </c>
      <c r="N163" s="813" t="s">
        <v>7411</v>
      </c>
      <c r="O163" s="813" t="s">
        <v>3883</v>
      </c>
      <c r="P163" s="813" t="s">
        <v>7412</v>
      </c>
      <c r="Q163" s="813" t="s">
        <v>7413</v>
      </c>
      <c r="R163" s="813">
        <v>1</v>
      </c>
      <c r="S163" s="813" t="s">
        <v>3953</v>
      </c>
      <c r="T163" s="813" t="s">
        <v>6895</v>
      </c>
    </row>
    <row r="164" spans="1:20" ht="15" customHeight="1" x14ac:dyDescent="0.35">
      <c r="A164" s="794" t="s">
        <v>7414</v>
      </c>
      <c r="B164" s="794" t="s">
        <v>3857</v>
      </c>
      <c r="C164" s="812" t="s">
        <v>3913</v>
      </c>
      <c r="D164" s="825"/>
      <c r="E164" s="825"/>
      <c r="F164" s="825">
        <v>0.15</v>
      </c>
      <c r="G164" s="814" t="s">
        <v>3858</v>
      </c>
      <c r="H164" s="813" t="s">
        <v>246</v>
      </c>
      <c r="I164" s="813" t="s">
        <v>3960</v>
      </c>
      <c r="J164" s="813" t="s">
        <v>7410</v>
      </c>
      <c r="K164" s="813" t="s">
        <v>3949</v>
      </c>
      <c r="L164" s="813" t="s">
        <v>3863</v>
      </c>
      <c r="M164" s="813" t="s">
        <v>3169</v>
      </c>
      <c r="N164" s="813" t="s">
        <v>7415</v>
      </c>
      <c r="O164" s="813" t="s">
        <v>3883</v>
      </c>
      <c r="P164" s="813" t="s">
        <v>7416</v>
      </c>
      <c r="Q164" s="813" t="s">
        <v>7417</v>
      </c>
      <c r="R164" s="813">
        <v>1</v>
      </c>
      <c r="S164" s="813" t="s">
        <v>3953</v>
      </c>
      <c r="T164" s="813" t="s">
        <v>6895</v>
      </c>
    </row>
    <row r="165" spans="1:20" ht="15" customHeight="1" x14ac:dyDescent="0.35">
      <c r="A165" s="794" t="s">
        <v>7418</v>
      </c>
      <c r="B165" s="794" t="s">
        <v>3857</v>
      </c>
      <c r="C165" s="812" t="s">
        <v>3913</v>
      </c>
      <c r="D165" s="825"/>
      <c r="E165" s="825"/>
      <c r="F165" s="825">
        <v>0.28000000000000003</v>
      </c>
      <c r="G165" s="814" t="s">
        <v>3858</v>
      </c>
      <c r="H165" s="813" t="s">
        <v>246</v>
      </c>
      <c r="I165" s="813" t="s">
        <v>3960</v>
      </c>
      <c r="J165" s="813" t="s">
        <v>7410</v>
      </c>
      <c r="K165" s="813" t="s">
        <v>3949</v>
      </c>
      <c r="L165" s="813" t="s">
        <v>3863</v>
      </c>
      <c r="M165" s="813" t="s">
        <v>3169</v>
      </c>
      <c r="N165" s="813" t="s">
        <v>7419</v>
      </c>
      <c r="O165" s="813" t="s">
        <v>3883</v>
      </c>
      <c r="P165" s="813" t="s">
        <v>7420</v>
      </c>
      <c r="Q165" s="813" t="s">
        <v>7421</v>
      </c>
      <c r="R165" s="813">
        <v>1</v>
      </c>
      <c r="S165" s="813" t="s">
        <v>3953</v>
      </c>
      <c r="T165" s="813" t="s">
        <v>6895</v>
      </c>
    </row>
    <row r="166" spans="1:20" ht="15" customHeight="1" x14ac:dyDescent="0.35">
      <c r="A166" s="794" t="s">
        <v>7422</v>
      </c>
      <c r="B166" s="794" t="s">
        <v>3857</v>
      </c>
      <c r="C166" s="812" t="s">
        <v>3913</v>
      </c>
      <c r="D166" s="825"/>
      <c r="E166" s="825"/>
      <c r="F166" s="825">
        <v>3.5</v>
      </c>
      <c r="G166" s="814" t="s">
        <v>3858</v>
      </c>
      <c r="H166" s="813" t="s">
        <v>246</v>
      </c>
      <c r="I166" s="813" t="s">
        <v>3960</v>
      </c>
      <c r="J166" s="813" t="s">
        <v>7410</v>
      </c>
      <c r="K166" s="813" t="s">
        <v>3949</v>
      </c>
      <c r="L166" s="813" t="s">
        <v>3863</v>
      </c>
      <c r="M166" s="813" t="s">
        <v>3169</v>
      </c>
      <c r="N166" s="813" t="s">
        <v>7423</v>
      </c>
      <c r="O166" s="813" t="s">
        <v>3883</v>
      </c>
      <c r="P166" s="813" t="s">
        <v>7424</v>
      </c>
      <c r="Q166" s="813" t="s">
        <v>7425</v>
      </c>
      <c r="R166" s="813">
        <v>1</v>
      </c>
      <c r="S166" s="813" t="s">
        <v>3953</v>
      </c>
      <c r="T166" s="813" t="s">
        <v>6895</v>
      </c>
    </row>
    <row r="167" spans="1:20" ht="15" customHeight="1" x14ac:dyDescent="0.35">
      <c r="A167" s="794" t="s">
        <v>7426</v>
      </c>
      <c r="B167" s="794" t="s">
        <v>3857</v>
      </c>
      <c r="C167" s="812" t="s">
        <v>3913</v>
      </c>
      <c r="D167" s="825"/>
      <c r="E167" s="825"/>
      <c r="F167" s="825">
        <v>1.25</v>
      </c>
      <c r="G167" s="814" t="s">
        <v>3858</v>
      </c>
      <c r="H167" s="813" t="s">
        <v>246</v>
      </c>
      <c r="I167" s="813" t="s">
        <v>3960</v>
      </c>
      <c r="J167" s="813" t="s">
        <v>7410</v>
      </c>
      <c r="K167" s="813" t="s">
        <v>3949</v>
      </c>
      <c r="L167" s="813" t="s">
        <v>3863</v>
      </c>
      <c r="M167" s="813" t="s">
        <v>3169</v>
      </c>
      <c r="N167" s="813" t="s">
        <v>7427</v>
      </c>
      <c r="O167" s="813" t="s">
        <v>3883</v>
      </c>
      <c r="P167" s="813" t="s">
        <v>7428</v>
      </c>
      <c r="Q167" s="813" t="s">
        <v>7429</v>
      </c>
      <c r="R167" s="813">
        <v>1</v>
      </c>
      <c r="S167" s="813" t="s">
        <v>3953</v>
      </c>
      <c r="T167" s="813" t="s">
        <v>6895</v>
      </c>
    </row>
    <row r="168" spans="1:20" ht="15" customHeight="1" x14ac:dyDescent="0.35">
      <c r="A168" s="794" t="s">
        <v>7430</v>
      </c>
      <c r="B168" s="794" t="s">
        <v>3857</v>
      </c>
      <c r="C168" s="812" t="s">
        <v>3913</v>
      </c>
      <c r="D168" s="825"/>
      <c r="E168" s="825"/>
      <c r="F168" s="825">
        <v>0.3</v>
      </c>
      <c r="G168" s="814" t="s">
        <v>3858</v>
      </c>
      <c r="H168" s="813" t="s">
        <v>246</v>
      </c>
      <c r="I168" s="813" t="s">
        <v>3960</v>
      </c>
      <c r="J168" s="813" t="s">
        <v>7410</v>
      </c>
      <c r="K168" s="813" t="s">
        <v>3949</v>
      </c>
      <c r="L168" s="813" t="s">
        <v>3863</v>
      </c>
      <c r="M168" s="813" t="s">
        <v>3169</v>
      </c>
      <c r="N168" s="813" t="s">
        <v>7431</v>
      </c>
      <c r="O168" s="813" t="s">
        <v>3883</v>
      </c>
      <c r="P168" s="813" t="s">
        <v>7432</v>
      </c>
      <c r="Q168" s="813" t="s">
        <v>7433</v>
      </c>
      <c r="R168" s="813">
        <v>1</v>
      </c>
      <c r="S168" s="813" t="s">
        <v>3953</v>
      </c>
      <c r="T168" s="813" t="s">
        <v>6895</v>
      </c>
    </row>
    <row r="169" spans="1:20" ht="15" customHeight="1" x14ac:dyDescent="0.35">
      <c r="A169" s="794" t="s">
        <v>7434</v>
      </c>
      <c r="B169" s="794" t="s">
        <v>3857</v>
      </c>
      <c r="C169" s="812" t="s">
        <v>3913</v>
      </c>
      <c r="D169" s="825"/>
      <c r="E169" s="825"/>
      <c r="F169" s="825">
        <v>1.2500000000000001E-2</v>
      </c>
      <c r="G169" s="814" t="s">
        <v>3858</v>
      </c>
      <c r="H169" s="813" t="s">
        <v>246</v>
      </c>
      <c r="I169" s="813" t="s">
        <v>3960</v>
      </c>
      <c r="J169" s="813" t="s">
        <v>7410</v>
      </c>
      <c r="K169" s="813" t="s">
        <v>3949</v>
      </c>
      <c r="L169" s="813" t="s">
        <v>3863</v>
      </c>
      <c r="M169" s="813" t="s">
        <v>3169</v>
      </c>
      <c r="N169" s="813" t="s">
        <v>7435</v>
      </c>
      <c r="O169" s="813" t="s">
        <v>3883</v>
      </c>
      <c r="P169" s="813" t="s">
        <v>7436</v>
      </c>
      <c r="Q169" s="813" t="s">
        <v>7437</v>
      </c>
      <c r="R169" s="813">
        <v>1</v>
      </c>
      <c r="S169" s="813" t="s">
        <v>3953</v>
      </c>
      <c r="T169" s="813" t="s">
        <v>6895</v>
      </c>
    </row>
    <row r="170" spans="1:20" ht="15" customHeight="1" x14ac:dyDescent="0.35">
      <c r="A170" s="794" t="s">
        <v>7422</v>
      </c>
      <c r="B170" s="794" t="s">
        <v>3857</v>
      </c>
      <c r="C170" s="812" t="s">
        <v>3913</v>
      </c>
      <c r="D170" s="825"/>
      <c r="E170" s="825"/>
      <c r="F170" s="825">
        <v>0.45</v>
      </c>
      <c r="G170" s="814" t="s">
        <v>3858</v>
      </c>
      <c r="H170" s="813" t="s">
        <v>246</v>
      </c>
      <c r="I170" s="813" t="s">
        <v>3960</v>
      </c>
      <c r="J170" s="813" t="s">
        <v>7410</v>
      </c>
      <c r="K170" s="813" t="s">
        <v>3949</v>
      </c>
      <c r="L170" s="813" t="s">
        <v>3863</v>
      </c>
      <c r="M170" s="813" t="s">
        <v>3169</v>
      </c>
      <c r="N170" s="813" t="s">
        <v>7438</v>
      </c>
      <c r="O170" s="813" t="s">
        <v>3883</v>
      </c>
      <c r="P170" s="813" t="s">
        <v>7439</v>
      </c>
      <c r="Q170" s="813" t="s">
        <v>7440</v>
      </c>
      <c r="R170" s="813">
        <v>1</v>
      </c>
      <c r="S170" s="813" t="s">
        <v>3953</v>
      </c>
      <c r="T170" s="813" t="s">
        <v>6895</v>
      </c>
    </row>
    <row r="171" spans="1:20" ht="15" customHeight="1" x14ac:dyDescent="0.35">
      <c r="A171" s="794" t="s">
        <v>7441</v>
      </c>
      <c r="B171" s="794" t="s">
        <v>3857</v>
      </c>
      <c r="C171" s="812" t="s">
        <v>3913</v>
      </c>
      <c r="D171" s="825"/>
      <c r="E171" s="825"/>
      <c r="F171" s="825">
        <v>0.333955155551237</v>
      </c>
      <c r="G171" s="814" t="s">
        <v>3858</v>
      </c>
      <c r="H171" s="813" t="s">
        <v>246</v>
      </c>
      <c r="I171" s="813" t="s">
        <v>3960</v>
      </c>
      <c r="J171" s="813" t="s">
        <v>7410</v>
      </c>
      <c r="K171" s="813" t="s">
        <v>3949</v>
      </c>
      <c r="L171" s="813" t="s">
        <v>3863</v>
      </c>
      <c r="M171" s="813" t="s">
        <v>3169</v>
      </c>
      <c r="N171" s="813" t="s">
        <v>7442</v>
      </c>
      <c r="O171" s="813" t="s">
        <v>3883</v>
      </c>
      <c r="P171" s="813" t="s">
        <v>7443</v>
      </c>
      <c r="Q171" s="813" t="s">
        <v>7444</v>
      </c>
      <c r="R171" s="813">
        <v>1</v>
      </c>
      <c r="S171" s="813" t="s">
        <v>3953</v>
      </c>
      <c r="T171" s="813" t="s">
        <v>6895</v>
      </c>
    </row>
    <row r="172" spans="1:20" ht="15" customHeight="1" x14ac:dyDescent="0.35">
      <c r="A172" s="794" t="s">
        <v>7445</v>
      </c>
      <c r="B172" s="794" t="s">
        <v>3857</v>
      </c>
      <c r="C172" s="812" t="s">
        <v>3913</v>
      </c>
      <c r="D172" s="825"/>
      <c r="E172" s="825"/>
      <c r="F172" s="825">
        <v>0.308784225701832</v>
      </c>
      <c r="G172" s="814" t="s">
        <v>3858</v>
      </c>
      <c r="H172" s="813" t="s">
        <v>246</v>
      </c>
      <c r="I172" s="813" t="s">
        <v>3960</v>
      </c>
      <c r="J172" s="813" t="s">
        <v>7410</v>
      </c>
      <c r="K172" s="813" t="s">
        <v>3949</v>
      </c>
      <c r="L172" s="813" t="s">
        <v>3863</v>
      </c>
      <c r="M172" s="813" t="s">
        <v>3169</v>
      </c>
      <c r="N172" s="813" t="s">
        <v>7446</v>
      </c>
      <c r="O172" s="813" t="s">
        <v>3883</v>
      </c>
      <c r="P172" s="813" t="s">
        <v>7447</v>
      </c>
      <c r="Q172" s="813" t="s">
        <v>7448</v>
      </c>
      <c r="R172" s="813">
        <v>1</v>
      </c>
      <c r="S172" s="813" t="s">
        <v>3953</v>
      </c>
      <c r="T172" s="813" t="s">
        <v>6895</v>
      </c>
    </row>
    <row r="173" spans="1:20" ht="15" customHeight="1" x14ac:dyDescent="0.35">
      <c r="A173" s="794" t="s">
        <v>7449</v>
      </c>
      <c r="B173" s="794" t="s">
        <v>3857</v>
      </c>
      <c r="C173" s="812" t="s">
        <v>3913</v>
      </c>
      <c r="D173" s="825"/>
      <c r="E173" s="825"/>
      <c r="F173" s="825">
        <v>0.45</v>
      </c>
      <c r="G173" s="814" t="s">
        <v>3858</v>
      </c>
      <c r="H173" s="813" t="s">
        <v>246</v>
      </c>
      <c r="I173" s="813" t="s">
        <v>3960</v>
      </c>
      <c r="J173" s="813" t="s">
        <v>7410</v>
      </c>
      <c r="K173" s="813" t="s">
        <v>3949</v>
      </c>
      <c r="L173" s="813" t="s">
        <v>3863</v>
      </c>
      <c r="M173" s="813" t="s">
        <v>3169</v>
      </c>
      <c r="N173" s="813" t="s">
        <v>7450</v>
      </c>
      <c r="O173" s="813" t="s">
        <v>3883</v>
      </c>
      <c r="P173" s="813" t="s">
        <v>7451</v>
      </c>
      <c r="Q173" s="813" t="s">
        <v>7452</v>
      </c>
      <c r="R173" s="813">
        <v>1</v>
      </c>
      <c r="S173" s="813" t="s">
        <v>3953</v>
      </c>
      <c r="T173" s="813" t="s">
        <v>6895</v>
      </c>
    </row>
    <row r="174" spans="1:20" ht="15" customHeight="1" x14ac:dyDescent="0.35">
      <c r="A174" s="794" t="s">
        <v>7453</v>
      </c>
      <c r="B174" s="794" t="s">
        <v>3857</v>
      </c>
      <c r="C174" s="812" t="s">
        <v>3913</v>
      </c>
      <c r="D174" s="825"/>
      <c r="E174" s="825"/>
      <c r="F174" s="825">
        <v>0.45</v>
      </c>
      <c r="G174" s="814" t="s">
        <v>3858</v>
      </c>
      <c r="H174" s="813" t="s">
        <v>246</v>
      </c>
      <c r="I174" s="813" t="s">
        <v>3960</v>
      </c>
      <c r="J174" s="813" t="s">
        <v>7410</v>
      </c>
      <c r="K174" s="813" t="s">
        <v>3949</v>
      </c>
      <c r="L174" s="813" t="s">
        <v>3863</v>
      </c>
      <c r="M174" s="813" t="s">
        <v>3169</v>
      </c>
      <c r="N174" s="813" t="s">
        <v>7454</v>
      </c>
      <c r="O174" s="813" t="s">
        <v>3883</v>
      </c>
      <c r="P174" s="813" t="s">
        <v>7455</v>
      </c>
      <c r="Q174" s="813" t="s">
        <v>7456</v>
      </c>
      <c r="R174" s="813">
        <v>1</v>
      </c>
      <c r="S174" s="813" t="s">
        <v>3953</v>
      </c>
      <c r="T174" s="813" t="s">
        <v>6895</v>
      </c>
    </row>
    <row r="175" spans="1:20" ht="15" customHeight="1" x14ac:dyDescent="0.35">
      <c r="A175" s="794" t="s">
        <v>7457</v>
      </c>
      <c r="B175" s="794" t="s">
        <v>3857</v>
      </c>
      <c r="C175" s="812" t="s">
        <v>3913</v>
      </c>
      <c r="D175" s="825"/>
      <c r="E175" s="825">
        <v>0.2</v>
      </c>
      <c r="F175" s="826"/>
      <c r="G175" s="814" t="s">
        <v>3858</v>
      </c>
      <c r="H175" s="813" t="s">
        <v>246</v>
      </c>
      <c r="I175" s="813" t="s">
        <v>3960</v>
      </c>
      <c r="J175" s="813" t="s">
        <v>7410</v>
      </c>
      <c r="K175" s="813" t="s">
        <v>3949</v>
      </c>
      <c r="L175" s="813" t="s">
        <v>3863</v>
      </c>
      <c r="M175" s="813" t="s">
        <v>3169</v>
      </c>
      <c r="N175" s="813" t="s">
        <v>7458</v>
      </c>
      <c r="O175" s="813" t="s">
        <v>3883</v>
      </c>
      <c r="P175" s="813" t="s">
        <v>7459</v>
      </c>
      <c r="Q175" s="813" t="s">
        <v>7460</v>
      </c>
      <c r="R175" s="813">
        <v>1</v>
      </c>
      <c r="S175" s="813" t="s">
        <v>3953</v>
      </c>
      <c r="T175" s="813" t="s">
        <v>6895</v>
      </c>
    </row>
    <row r="176" spans="1:20" ht="15" customHeight="1" x14ac:dyDescent="0.35">
      <c r="A176" s="794" t="s">
        <v>7461</v>
      </c>
      <c r="B176" s="794" t="s">
        <v>3857</v>
      </c>
      <c r="C176" s="812" t="s">
        <v>3913</v>
      </c>
      <c r="D176" s="825"/>
      <c r="E176" s="825"/>
      <c r="F176" s="825">
        <v>6.6000000000000003E-2</v>
      </c>
      <c r="G176" s="814" t="s">
        <v>3858</v>
      </c>
      <c r="H176" s="813" t="s">
        <v>246</v>
      </c>
      <c r="I176" s="813" t="s">
        <v>3960</v>
      </c>
      <c r="J176" s="813" t="s">
        <v>7410</v>
      </c>
      <c r="K176" s="813" t="s">
        <v>3949</v>
      </c>
      <c r="L176" s="813" t="s">
        <v>3863</v>
      </c>
      <c r="M176" s="813" t="s">
        <v>3169</v>
      </c>
      <c r="N176" s="813" t="s">
        <v>7462</v>
      </c>
      <c r="O176" s="813" t="s">
        <v>3883</v>
      </c>
      <c r="P176" s="813" t="s">
        <v>7463</v>
      </c>
      <c r="Q176" s="813" t="s">
        <v>7464</v>
      </c>
      <c r="R176" s="813">
        <v>1</v>
      </c>
      <c r="S176" s="813" t="s">
        <v>3953</v>
      </c>
      <c r="T176" s="813" t="s">
        <v>6895</v>
      </c>
    </row>
    <row r="177" spans="1:20" ht="15" customHeight="1" x14ac:dyDescent="0.35">
      <c r="A177" s="803" t="s">
        <v>7465</v>
      </c>
      <c r="B177" s="803"/>
      <c r="C177" s="803"/>
      <c r="D177" s="803"/>
      <c r="E177" s="803"/>
      <c r="F177" s="803"/>
      <c r="G177" s="803" t="s">
        <v>7466</v>
      </c>
      <c r="H177" s="794"/>
      <c r="I177" s="794"/>
      <c r="J177" s="794"/>
      <c r="K177" s="794"/>
      <c r="L177" s="794"/>
      <c r="M177" s="794"/>
      <c r="N177" s="794"/>
      <c r="O177" s="794"/>
      <c r="P177" s="794"/>
      <c r="Q177" s="794"/>
      <c r="R177" s="794"/>
      <c r="S177" s="794"/>
      <c r="T177" s="794"/>
    </row>
    <row r="178" spans="1:20" ht="15" customHeight="1" x14ac:dyDescent="0.35">
      <c r="A178" s="794" t="s">
        <v>7467</v>
      </c>
      <c r="B178" s="794" t="s">
        <v>3857</v>
      </c>
      <c r="C178" s="812" t="s">
        <v>3913</v>
      </c>
      <c r="D178" s="825">
        <v>50</v>
      </c>
      <c r="E178" s="825"/>
      <c r="F178" s="825">
        <v>21500</v>
      </c>
      <c r="G178" s="814" t="s">
        <v>3858</v>
      </c>
      <c r="H178" s="813" t="s">
        <v>246</v>
      </c>
      <c r="I178" s="813" t="s">
        <v>3960</v>
      </c>
      <c r="J178" s="813" t="s">
        <v>7468</v>
      </c>
      <c r="K178" s="813" t="s">
        <v>3949</v>
      </c>
      <c r="L178" s="813" t="s">
        <v>3863</v>
      </c>
      <c r="M178" s="813" t="s">
        <v>3169</v>
      </c>
      <c r="N178" s="813" t="s">
        <v>7469</v>
      </c>
      <c r="O178" s="813" t="s">
        <v>3925</v>
      </c>
      <c r="P178" s="813" t="s">
        <v>7470</v>
      </c>
      <c r="Q178" s="813" t="s">
        <v>7471</v>
      </c>
      <c r="R178" s="813">
        <v>2</v>
      </c>
      <c r="S178" s="813" t="s">
        <v>3953</v>
      </c>
      <c r="T178" s="813" t="s">
        <v>6895</v>
      </c>
    </row>
    <row r="179" spans="1:20" ht="15" customHeight="1" x14ac:dyDescent="0.35">
      <c r="A179" s="803" t="s">
        <v>7472</v>
      </c>
      <c r="B179" s="803"/>
      <c r="C179" s="803"/>
      <c r="D179" s="803"/>
      <c r="E179" s="803"/>
      <c r="F179" s="803"/>
      <c r="G179" s="803" t="s">
        <v>3918</v>
      </c>
      <c r="H179" s="794"/>
      <c r="I179" s="794"/>
      <c r="J179" s="794"/>
      <c r="K179" s="794"/>
      <c r="L179" s="794"/>
      <c r="M179" s="794"/>
      <c r="N179" s="794"/>
      <c r="O179" s="794"/>
      <c r="P179" s="794"/>
      <c r="Q179" s="794"/>
      <c r="R179" s="794"/>
      <c r="S179" s="794"/>
      <c r="T179" s="794"/>
    </row>
    <row r="180" spans="1:20" ht="15" customHeight="1" x14ac:dyDescent="0.35">
      <c r="A180" s="794" t="s">
        <v>7473</v>
      </c>
      <c r="B180" s="794" t="s">
        <v>3857</v>
      </c>
      <c r="C180" s="812" t="s">
        <v>3913</v>
      </c>
      <c r="D180" s="825"/>
      <c r="E180" s="825"/>
      <c r="F180" s="825">
        <v>7500</v>
      </c>
      <c r="G180" s="814" t="s">
        <v>3858</v>
      </c>
      <c r="H180" s="813" t="s">
        <v>246</v>
      </c>
      <c r="I180" s="813" t="s">
        <v>3960</v>
      </c>
      <c r="J180" s="813" t="s">
        <v>7474</v>
      </c>
      <c r="K180" s="813" t="s">
        <v>3949</v>
      </c>
      <c r="L180" s="813" t="s">
        <v>3863</v>
      </c>
      <c r="M180" s="813" t="s">
        <v>3169</v>
      </c>
      <c r="N180" s="813" t="s">
        <v>7475</v>
      </c>
      <c r="O180" s="813" t="s">
        <v>3883</v>
      </c>
      <c r="P180" s="813" t="s">
        <v>7476</v>
      </c>
      <c r="Q180" s="813" t="s">
        <v>7477</v>
      </c>
      <c r="R180" s="813">
        <v>1</v>
      </c>
      <c r="S180" s="813" t="s">
        <v>3953</v>
      </c>
      <c r="T180" s="813" t="s">
        <v>6895</v>
      </c>
    </row>
    <row r="181" spans="1:20" ht="15" customHeight="1" x14ac:dyDescent="0.35">
      <c r="A181" s="794" t="s">
        <v>7478</v>
      </c>
      <c r="B181" s="794" t="s">
        <v>3857</v>
      </c>
      <c r="C181" s="812" t="s">
        <v>3913</v>
      </c>
      <c r="D181" s="825"/>
      <c r="E181" s="825"/>
      <c r="F181" s="825">
        <v>49121.664552885297</v>
      </c>
      <c r="G181" s="814" t="s">
        <v>3858</v>
      </c>
      <c r="H181" s="813" t="s">
        <v>246</v>
      </c>
      <c r="I181" s="813" t="s">
        <v>3960</v>
      </c>
      <c r="J181" s="813" t="s">
        <v>7474</v>
      </c>
      <c r="K181" s="813" t="s">
        <v>3949</v>
      </c>
      <c r="L181" s="813" t="s">
        <v>3863</v>
      </c>
      <c r="M181" s="813" t="s">
        <v>3169</v>
      </c>
      <c r="N181" s="813" t="s">
        <v>7479</v>
      </c>
      <c r="O181" s="813" t="s">
        <v>3883</v>
      </c>
      <c r="P181" s="813" t="s">
        <v>7480</v>
      </c>
      <c r="Q181" s="813" t="s">
        <v>7481</v>
      </c>
      <c r="R181" s="813">
        <v>1</v>
      </c>
      <c r="S181" s="813" t="s">
        <v>3953</v>
      </c>
      <c r="T181" s="813" t="s">
        <v>6895</v>
      </c>
    </row>
    <row r="182" spans="1:20" ht="15" customHeight="1" x14ac:dyDescent="0.35">
      <c r="A182" s="794" t="s">
        <v>7482</v>
      </c>
      <c r="B182" s="794" t="s">
        <v>3857</v>
      </c>
      <c r="C182" s="812" t="s">
        <v>3913</v>
      </c>
      <c r="D182" s="825"/>
      <c r="E182" s="825"/>
      <c r="F182" s="825">
        <v>42385.165187019702</v>
      </c>
      <c r="G182" s="814" t="s">
        <v>3858</v>
      </c>
      <c r="H182" s="813" t="s">
        <v>246</v>
      </c>
      <c r="I182" s="813" t="s">
        <v>3960</v>
      </c>
      <c r="J182" s="813" t="s">
        <v>7474</v>
      </c>
      <c r="K182" s="813" t="s">
        <v>3949</v>
      </c>
      <c r="L182" s="813" t="s">
        <v>3863</v>
      </c>
      <c r="M182" s="813" t="s">
        <v>3169</v>
      </c>
      <c r="N182" s="813" t="s">
        <v>7483</v>
      </c>
      <c r="O182" s="813" t="s">
        <v>3883</v>
      </c>
      <c r="P182" s="813" t="s">
        <v>7484</v>
      </c>
      <c r="Q182" s="813" t="s">
        <v>7485</v>
      </c>
      <c r="R182" s="813">
        <v>1</v>
      </c>
      <c r="S182" s="813" t="s">
        <v>3953</v>
      </c>
      <c r="T182" s="813" t="s">
        <v>6895</v>
      </c>
    </row>
    <row r="183" spans="1:20" ht="15" customHeight="1" x14ac:dyDescent="0.35">
      <c r="A183" s="794" t="s">
        <v>7486</v>
      </c>
      <c r="B183" s="794" t="s">
        <v>3857</v>
      </c>
      <c r="C183" s="812" t="s">
        <v>3913</v>
      </c>
      <c r="D183" s="825"/>
      <c r="E183" s="825"/>
      <c r="F183" s="825">
        <v>7500</v>
      </c>
      <c r="G183" s="814" t="s">
        <v>3858</v>
      </c>
      <c r="H183" s="813" t="s">
        <v>246</v>
      </c>
      <c r="I183" s="813" t="s">
        <v>3960</v>
      </c>
      <c r="J183" s="813" t="s">
        <v>7474</v>
      </c>
      <c r="K183" s="813" t="s">
        <v>3949</v>
      </c>
      <c r="L183" s="813" t="s">
        <v>3863</v>
      </c>
      <c r="M183" s="813" t="s">
        <v>3169</v>
      </c>
      <c r="N183" s="813" t="s">
        <v>7487</v>
      </c>
      <c r="O183" s="813" t="s">
        <v>3883</v>
      </c>
      <c r="P183" s="813" t="s">
        <v>7488</v>
      </c>
      <c r="Q183" s="813" t="s">
        <v>7489</v>
      </c>
      <c r="R183" s="813">
        <v>1</v>
      </c>
      <c r="S183" s="813" t="s">
        <v>3953</v>
      </c>
      <c r="T183" s="813" t="s">
        <v>6895</v>
      </c>
    </row>
    <row r="184" spans="1:20" ht="15" customHeight="1" x14ac:dyDescent="0.35">
      <c r="A184" s="794" t="s">
        <v>7490</v>
      </c>
      <c r="B184" s="794" t="s">
        <v>3857</v>
      </c>
      <c r="C184" s="812" t="s">
        <v>3913</v>
      </c>
      <c r="D184" s="825"/>
      <c r="E184" s="825"/>
      <c r="F184" s="825">
        <v>3600</v>
      </c>
      <c r="G184" s="814" t="s">
        <v>3858</v>
      </c>
      <c r="H184" s="813" t="s">
        <v>246</v>
      </c>
      <c r="I184" s="813" t="s">
        <v>3960</v>
      </c>
      <c r="J184" s="813" t="s">
        <v>7474</v>
      </c>
      <c r="K184" s="813" t="s">
        <v>3949</v>
      </c>
      <c r="L184" s="813" t="s">
        <v>3863</v>
      </c>
      <c r="M184" s="813" t="s">
        <v>3169</v>
      </c>
      <c r="N184" s="813" t="s">
        <v>7491</v>
      </c>
      <c r="O184" s="813" t="s">
        <v>3883</v>
      </c>
      <c r="P184" s="813" t="s">
        <v>7492</v>
      </c>
      <c r="Q184" s="813" t="s">
        <v>7493</v>
      </c>
      <c r="R184" s="813">
        <v>1</v>
      </c>
      <c r="S184" s="813" t="s">
        <v>3953</v>
      </c>
      <c r="T184" s="813" t="s">
        <v>6895</v>
      </c>
    </row>
    <row r="185" spans="1:20" ht="15" customHeight="1" x14ac:dyDescent="0.35">
      <c r="A185" s="794" t="s">
        <v>7494</v>
      </c>
      <c r="B185" s="794" t="s">
        <v>3857</v>
      </c>
      <c r="C185" s="812" t="s">
        <v>3913</v>
      </c>
      <c r="D185" s="825"/>
      <c r="E185" s="825"/>
      <c r="F185" s="825">
        <v>2400</v>
      </c>
      <c r="G185" s="814" t="s">
        <v>3858</v>
      </c>
      <c r="H185" s="813" t="s">
        <v>246</v>
      </c>
      <c r="I185" s="813" t="s">
        <v>3960</v>
      </c>
      <c r="J185" s="813" t="s">
        <v>7474</v>
      </c>
      <c r="K185" s="813" t="s">
        <v>3949</v>
      </c>
      <c r="L185" s="813" t="s">
        <v>3863</v>
      </c>
      <c r="M185" s="813" t="s">
        <v>3169</v>
      </c>
      <c r="N185" s="813" t="s">
        <v>7495</v>
      </c>
      <c r="O185" s="813" t="s">
        <v>3883</v>
      </c>
      <c r="P185" s="813" t="s">
        <v>7496</v>
      </c>
      <c r="Q185" s="813" t="s">
        <v>7497</v>
      </c>
      <c r="R185" s="813">
        <v>1</v>
      </c>
      <c r="S185" s="813" t="s">
        <v>3953</v>
      </c>
      <c r="T185" s="813" t="s">
        <v>6895</v>
      </c>
    </row>
    <row r="186" spans="1:20" ht="15" customHeight="1" x14ac:dyDescent="0.35">
      <c r="A186" s="803" t="s">
        <v>7498</v>
      </c>
      <c r="B186" s="803"/>
      <c r="C186" s="803"/>
      <c r="D186" s="803"/>
      <c r="E186" s="803"/>
      <c r="F186" s="803"/>
      <c r="G186" s="803" t="s">
        <v>3918</v>
      </c>
      <c r="H186" s="794"/>
      <c r="I186" s="794"/>
      <c r="J186" s="794"/>
      <c r="K186" s="794"/>
      <c r="L186" s="794"/>
      <c r="M186" s="794"/>
      <c r="N186" s="794"/>
      <c r="O186" s="794"/>
      <c r="P186" s="794"/>
      <c r="Q186" s="794"/>
      <c r="R186" s="794"/>
      <c r="S186" s="794"/>
      <c r="T186" s="794"/>
    </row>
    <row r="187" spans="1:20" ht="15" customHeight="1" x14ac:dyDescent="0.35">
      <c r="A187" s="794" t="s">
        <v>7499</v>
      </c>
      <c r="B187" s="794" t="s">
        <v>3857</v>
      </c>
      <c r="C187" s="812" t="s">
        <v>3913</v>
      </c>
      <c r="D187" s="825"/>
      <c r="E187" s="825"/>
      <c r="F187" s="825">
        <v>65427.642598677703</v>
      </c>
      <c r="G187" s="814" t="s">
        <v>3858</v>
      </c>
      <c r="H187" s="813" t="s">
        <v>246</v>
      </c>
      <c r="I187" s="813" t="s">
        <v>3960</v>
      </c>
      <c r="J187" s="813" t="s">
        <v>7500</v>
      </c>
      <c r="K187" s="813" t="s">
        <v>3949</v>
      </c>
      <c r="L187" s="813" t="s">
        <v>3863</v>
      </c>
      <c r="M187" s="813" t="s">
        <v>3169</v>
      </c>
      <c r="N187" s="813" t="s">
        <v>7501</v>
      </c>
      <c r="O187" s="813" t="s">
        <v>3883</v>
      </c>
      <c r="P187" s="813" t="s">
        <v>7502</v>
      </c>
      <c r="Q187" s="813" t="s">
        <v>7503</v>
      </c>
      <c r="R187" s="813">
        <v>1</v>
      </c>
      <c r="S187" s="813" t="s">
        <v>3953</v>
      </c>
      <c r="T187" s="813" t="s">
        <v>6895</v>
      </c>
    </row>
    <row r="188" spans="1:20" ht="15" customHeight="1" x14ac:dyDescent="0.35">
      <c r="A188" s="794" t="s">
        <v>7504</v>
      </c>
      <c r="B188" s="794" t="s">
        <v>3857</v>
      </c>
      <c r="C188" s="812" t="s">
        <v>3913</v>
      </c>
      <c r="D188" s="825"/>
      <c r="E188" s="825"/>
      <c r="F188" s="825">
        <v>28040.418256576198</v>
      </c>
      <c r="G188" s="814" t="s">
        <v>3858</v>
      </c>
      <c r="H188" s="813" t="s">
        <v>246</v>
      </c>
      <c r="I188" s="813" t="s">
        <v>3960</v>
      </c>
      <c r="J188" s="813" t="s">
        <v>7500</v>
      </c>
      <c r="K188" s="813" t="s">
        <v>3949</v>
      </c>
      <c r="L188" s="813" t="s">
        <v>3863</v>
      </c>
      <c r="M188" s="813" t="s">
        <v>3169</v>
      </c>
      <c r="N188" s="813" t="s">
        <v>7505</v>
      </c>
      <c r="O188" s="813" t="s">
        <v>3883</v>
      </c>
      <c r="P188" s="813" t="s">
        <v>7506</v>
      </c>
      <c r="Q188" s="813" t="s">
        <v>7507</v>
      </c>
      <c r="R188" s="813">
        <v>1</v>
      </c>
      <c r="S188" s="813" t="s">
        <v>3953</v>
      </c>
      <c r="T188" s="813" t="s">
        <v>6895</v>
      </c>
    </row>
    <row r="189" spans="1:20" ht="15" customHeight="1" x14ac:dyDescent="0.35">
      <c r="A189" s="794" t="s">
        <v>7508</v>
      </c>
      <c r="B189" s="794" t="s">
        <v>3857</v>
      </c>
      <c r="C189" s="812" t="s">
        <v>3913</v>
      </c>
      <c r="D189" s="825"/>
      <c r="E189" s="825"/>
      <c r="F189" s="825">
        <v>5500</v>
      </c>
      <c r="G189" s="814" t="s">
        <v>3858</v>
      </c>
      <c r="H189" s="813" t="s">
        <v>246</v>
      </c>
      <c r="I189" s="813" t="s">
        <v>3960</v>
      </c>
      <c r="J189" s="813" t="s">
        <v>7500</v>
      </c>
      <c r="K189" s="813" t="s">
        <v>3949</v>
      </c>
      <c r="L189" s="813" t="s">
        <v>3863</v>
      </c>
      <c r="M189" s="813" t="s">
        <v>3169</v>
      </c>
      <c r="N189" s="813" t="s">
        <v>7509</v>
      </c>
      <c r="O189" s="813" t="s">
        <v>3883</v>
      </c>
      <c r="P189" s="813" t="s">
        <v>7510</v>
      </c>
      <c r="Q189" s="813" t="s">
        <v>7511</v>
      </c>
      <c r="R189" s="813">
        <v>1</v>
      </c>
      <c r="S189" s="813" t="s">
        <v>3953</v>
      </c>
      <c r="T189" s="813" t="s">
        <v>6895</v>
      </c>
    </row>
    <row r="190" spans="1:20" ht="15" customHeight="1" x14ac:dyDescent="0.35">
      <c r="A190" s="794" t="s">
        <v>7512</v>
      </c>
      <c r="B190" s="794" t="s">
        <v>3857</v>
      </c>
      <c r="C190" s="812" t="s">
        <v>3913</v>
      </c>
      <c r="D190" s="825"/>
      <c r="E190" s="825"/>
      <c r="F190" s="825">
        <v>1250</v>
      </c>
      <c r="G190" s="814" t="s">
        <v>3858</v>
      </c>
      <c r="H190" s="813" t="s">
        <v>246</v>
      </c>
      <c r="I190" s="813" t="s">
        <v>3960</v>
      </c>
      <c r="J190" s="813" t="s">
        <v>7500</v>
      </c>
      <c r="K190" s="813" t="s">
        <v>3949</v>
      </c>
      <c r="L190" s="813" t="s">
        <v>3863</v>
      </c>
      <c r="M190" s="813" t="s">
        <v>3169</v>
      </c>
      <c r="N190" s="813" t="s">
        <v>7513</v>
      </c>
      <c r="O190" s="813" t="s">
        <v>3883</v>
      </c>
      <c r="P190" s="813" t="s">
        <v>7514</v>
      </c>
      <c r="Q190" s="813" t="s">
        <v>7515</v>
      </c>
      <c r="R190" s="813">
        <v>1</v>
      </c>
      <c r="S190" s="813" t="s">
        <v>3953</v>
      </c>
      <c r="T190" s="813" t="s">
        <v>6895</v>
      </c>
    </row>
    <row r="191" spans="1:20" ht="15" customHeight="1" x14ac:dyDescent="0.35">
      <c r="A191" s="794" t="s">
        <v>7516</v>
      </c>
      <c r="B191" s="794" t="s">
        <v>3857</v>
      </c>
      <c r="C191" s="812" t="s">
        <v>3913</v>
      </c>
      <c r="D191" s="825"/>
      <c r="E191" s="825"/>
      <c r="F191" s="825">
        <v>46500</v>
      </c>
      <c r="G191" s="814" t="s">
        <v>3858</v>
      </c>
      <c r="H191" s="813" t="s">
        <v>246</v>
      </c>
      <c r="I191" s="813" t="s">
        <v>3960</v>
      </c>
      <c r="J191" s="813" t="s">
        <v>7500</v>
      </c>
      <c r="K191" s="813" t="s">
        <v>3949</v>
      </c>
      <c r="L191" s="813" t="s">
        <v>3863</v>
      </c>
      <c r="M191" s="813" t="s">
        <v>3169</v>
      </c>
      <c r="N191" s="813" t="s">
        <v>7517</v>
      </c>
      <c r="O191" s="813" t="s">
        <v>3883</v>
      </c>
      <c r="P191" s="813" t="s">
        <v>7518</v>
      </c>
      <c r="Q191" s="813" t="s">
        <v>7519</v>
      </c>
      <c r="R191" s="813">
        <v>1</v>
      </c>
      <c r="S191" s="813" t="s">
        <v>3953</v>
      </c>
      <c r="T191" s="813" t="s">
        <v>6895</v>
      </c>
    </row>
    <row r="192" spans="1:20" ht="15" customHeight="1" x14ac:dyDescent="0.35">
      <c r="A192" s="794" t="s">
        <v>7520</v>
      </c>
      <c r="B192" s="794" t="s">
        <v>3857</v>
      </c>
      <c r="C192" s="812" t="s">
        <v>3913</v>
      </c>
      <c r="D192" s="825"/>
      <c r="E192" s="825"/>
      <c r="F192" s="825">
        <v>4000</v>
      </c>
      <c r="G192" s="814" t="s">
        <v>3858</v>
      </c>
      <c r="H192" s="813" t="s">
        <v>246</v>
      </c>
      <c r="I192" s="813" t="s">
        <v>3960</v>
      </c>
      <c r="J192" s="813" t="s">
        <v>7500</v>
      </c>
      <c r="K192" s="813" t="s">
        <v>3949</v>
      </c>
      <c r="L192" s="813" t="s">
        <v>3863</v>
      </c>
      <c r="M192" s="813" t="s">
        <v>3169</v>
      </c>
      <c r="N192" s="813" t="s">
        <v>7521</v>
      </c>
      <c r="O192" s="813" t="s">
        <v>3883</v>
      </c>
      <c r="P192" s="813" t="s">
        <v>7522</v>
      </c>
      <c r="Q192" s="813" t="s">
        <v>7523</v>
      </c>
      <c r="R192" s="813">
        <v>1</v>
      </c>
      <c r="S192" s="813" t="s">
        <v>3953</v>
      </c>
      <c r="T192" s="813" t="s">
        <v>6895</v>
      </c>
    </row>
    <row r="193" spans="1:20" ht="15" customHeight="1" x14ac:dyDescent="0.35">
      <c r="A193" s="803" t="s">
        <v>7524</v>
      </c>
      <c r="B193" s="803"/>
      <c r="C193" s="803"/>
      <c r="D193" s="803"/>
      <c r="E193" s="803"/>
      <c r="F193" s="803"/>
      <c r="G193" s="803" t="s">
        <v>5206</v>
      </c>
      <c r="H193" s="794"/>
      <c r="I193" s="794"/>
      <c r="J193" s="794"/>
      <c r="K193" s="794"/>
      <c r="L193" s="794"/>
      <c r="M193" s="794"/>
      <c r="N193" s="794"/>
      <c r="O193" s="794"/>
      <c r="P193" s="794"/>
      <c r="Q193" s="794"/>
      <c r="R193" s="794"/>
      <c r="S193" s="794"/>
      <c r="T193" s="794"/>
    </row>
    <row r="194" spans="1:20" ht="15" customHeight="1" x14ac:dyDescent="0.35">
      <c r="A194" s="794" t="s">
        <v>7525</v>
      </c>
      <c r="B194" s="794" t="s">
        <v>3857</v>
      </c>
      <c r="C194" s="812" t="s">
        <v>3913</v>
      </c>
      <c r="D194" s="825"/>
      <c r="E194" s="825"/>
      <c r="F194" s="825">
        <v>1.4999999999999999E-2</v>
      </c>
      <c r="G194" s="814" t="s">
        <v>3858</v>
      </c>
      <c r="H194" s="813" t="s">
        <v>246</v>
      </c>
      <c r="I194" s="813" t="s">
        <v>3960</v>
      </c>
      <c r="J194" s="813" t="s">
        <v>7526</v>
      </c>
      <c r="K194" s="813" t="s">
        <v>3949</v>
      </c>
      <c r="L194" s="813" t="s">
        <v>3863</v>
      </c>
      <c r="M194" s="813" t="s">
        <v>3169</v>
      </c>
      <c r="N194" s="813" t="s">
        <v>7527</v>
      </c>
      <c r="O194" s="813" t="s">
        <v>3883</v>
      </c>
      <c r="P194" s="813" t="s">
        <v>7528</v>
      </c>
      <c r="Q194" s="813" t="s">
        <v>7529</v>
      </c>
      <c r="R194" s="813">
        <v>1</v>
      </c>
      <c r="S194" s="813" t="s">
        <v>3953</v>
      </c>
      <c r="T194" s="813" t="s">
        <v>6895</v>
      </c>
    </row>
    <row r="195" spans="1:20" ht="15" customHeight="1" x14ac:dyDescent="0.35">
      <c r="A195" s="794" t="s">
        <v>7530</v>
      </c>
      <c r="B195" s="794" t="s">
        <v>3857</v>
      </c>
      <c r="C195" s="812" t="s">
        <v>3913</v>
      </c>
      <c r="D195" s="825"/>
      <c r="E195" s="825"/>
      <c r="F195" s="825">
        <v>2400</v>
      </c>
      <c r="G195" s="814" t="s">
        <v>3858</v>
      </c>
      <c r="H195" s="813" t="s">
        <v>246</v>
      </c>
      <c r="I195" s="813" t="s">
        <v>3960</v>
      </c>
      <c r="J195" s="813" t="s">
        <v>7526</v>
      </c>
      <c r="K195" s="813" t="s">
        <v>3949</v>
      </c>
      <c r="L195" s="813" t="s">
        <v>3863</v>
      </c>
      <c r="M195" s="813" t="s">
        <v>3169</v>
      </c>
      <c r="N195" s="813" t="s">
        <v>7531</v>
      </c>
      <c r="O195" s="813" t="s">
        <v>3883</v>
      </c>
      <c r="P195" s="813" t="s">
        <v>7532</v>
      </c>
      <c r="Q195" s="813" t="s">
        <v>7533</v>
      </c>
      <c r="R195" s="813">
        <v>1</v>
      </c>
      <c r="S195" s="813" t="s">
        <v>3953</v>
      </c>
      <c r="T195" s="813" t="s">
        <v>6895</v>
      </c>
    </row>
    <row r="196" spans="1:20" ht="15" customHeight="1" x14ac:dyDescent="0.35">
      <c r="A196" s="794" t="s">
        <v>7534</v>
      </c>
      <c r="B196" s="794" t="s">
        <v>3857</v>
      </c>
      <c r="C196" s="812" t="s">
        <v>3913</v>
      </c>
      <c r="D196" s="825"/>
      <c r="E196" s="825"/>
      <c r="F196" s="825">
        <v>1200</v>
      </c>
      <c r="G196" s="814" t="s">
        <v>3858</v>
      </c>
      <c r="H196" s="813" t="s">
        <v>246</v>
      </c>
      <c r="I196" s="813" t="s">
        <v>3960</v>
      </c>
      <c r="J196" s="813" t="s">
        <v>7526</v>
      </c>
      <c r="K196" s="813" t="s">
        <v>3949</v>
      </c>
      <c r="L196" s="813" t="s">
        <v>3863</v>
      </c>
      <c r="M196" s="813" t="s">
        <v>3169</v>
      </c>
      <c r="N196" s="813" t="s">
        <v>7535</v>
      </c>
      <c r="O196" s="813" t="s">
        <v>3883</v>
      </c>
      <c r="P196" s="813" t="s">
        <v>7536</v>
      </c>
      <c r="Q196" s="813" t="s">
        <v>7537</v>
      </c>
      <c r="R196" s="813">
        <v>1</v>
      </c>
      <c r="S196" s="813" t="s">
        <v>3953</v>
      </c>
      <c r="T196" s="813" t="s">
        <v>6895</v>
      </c>
    </row>
    <row r="197" spans="1:20" ht="15" customHeight="1" x14ac:dyDescent="0.35">
      <c r="A197" s="794" t="s">
        <v>7538</v>
      </c>
      <c r="B197" s="794" t="s">
        <v>3857</v>
      </c>
      <c r="C197" s="812" t="s">
        <v>3913</v>
      </c>
      <c r="D197" s="825"/>
      <c r="E197" s="825"/>
      <c r="F197" s="825">
        <v>3200</v>
      </c>
      <c r="G197" s="814" t="s">
        <v>3858</v>
      </c>
      <c r="H197" s="813" t="s">
        <v>246</v>
      </c>
      <c r="I197" s="813" t="s">
        <v>3960</v>
      </c>
      <c r="J197" s="813" t="s">
        <v>7526</v>
      </c>
      <c r="K197" s="813" t="s">
        <v>3949</v>
      </c>
      <c r="L197" s="813" t="s">
        <v>3863</v>
      </c>
      <c r="M197" s="813" t="s">
        <v>3169</v>
      </c>
      <c r="N197" s="813" t="s">
        <v>7539</v>
      </c>
      <c r="O197" s="813" t="s">
        <v>3883</v>
      </c>
      <c r="P197" s="813" t="s">
        <v>7540</v>
      </c>
      <c r="Q197" s="813" t="s">
        <v>7541</v>
      </c>
      <c r="R197" s="813">
        <v>1</v>
      </c>
      <c r="S197" s="813" t="s">
        <v>3953</v>
      </c>
      <c r="T197" s="813" t="s">
        <v>6895</v>
      </c>
    </row>
    <row r="198" spans="1:20" ht="15" customHeight="1" x14ac:dyDescent="0.35">
      <c r="A198" s="794" t="s">
        <v>7542</v>
      </c>
      <c r="B198" s="794" t="s">
        <v>3857</v>
      </c>
      <c r="C198" s="812" t="s">
        <v>3913</v>
      </c>
      <c r="D198" s="825"/>
      <c r="E198" s="825"/>
      <c r="F198" s="825">
        <v>4500</v>
      </c>
      <c r="G198" s="814" t="s">
        <v>3858</v>
      </c>
      <c r="H198" s="813" t="s">
        <v>246</v>
      </c>
      <c r="I198" s="813" t="s">
        <v>3960</v>
      </c>
      <c r="J198" s="813" t="s">
        <v>7526</v>
      </c>
      <c r="K198" s="813" t="s">
        <v>3949</v>
      </c>
      <c r="L198" s="813" t="s">
        <v>3863</v>
      </c>
      <c r="M198" s="813" t="s">
        <v>3169</v>
      </c>
      <c r="N198" s="813" t="s">
        <v>7543</v>
      </c>
      <c r="O198" s="813" t="s">
        <v>3883</v>
      </c>
      <c r="P198" s="813" t="s">
        <v>7544</v>
      </c>
      <c r="Q198" s="813" t="s">
        <v>7545</v>
      </c>
      <c r="R198" s="813">
        <v>1</v>
      </c>
      <c r="S198" s="813" t="s">
        <v>3953</v>
      </c>
      <c r="T198" s="813" t="s">
        <v>6895</v>
      </c>
    </row>
    <row r="199" spans="1:20" ht="15" customHeight="1" x14ac:dyDescent="0.35">
      <c r="A199" s="794" t="s">
        <v>7546</v>
      </c>
      <c r="B199" s="794" t="s">
        <v>3857</v>
      </c>
      <c r="C199" s="812" t="s">
        <v>3913</v>
      </c>
      <c r="D199" s="825"/>
      <c r="E199" s="825"/>
      <c r="F199" s="825">
        <v>6000</v>
      </c>
      <c r="G199" s="814" t="s">
        <v>3858</v>
      </c>
      <c r="H199" s="813" t="s">
        <v>246</v>
      </c>
      <c r="I199" s="813" t="s">
        <v>3960</v>
      </c>
      <c r="J199" s="813" t="s">
        <v>7526</v>
      </c>
      <c r="K199" s="813" t="s">
        <v>3949</v>
      </c>
      <c r="L199" s="813" t="s">
        <v>3863</v>
      </c>
      <c r="M199" s="813" t="s">
        <v>3169</v>
      </c>
      <c r="N199" s="813" t="s">
        <v>7547</v>
      </c>
      <c r="O199" s="813" t="s">
        <v>3883</v>
      </c>
      <c r="P199" s="813" t="s">
        <v>7548</v>
      </c>
      <c r="Q199" s="813" t="s">
        <v>7549</v>
      </c>
      <c r="R199" s="813">
        <v>1</v>
      </c>
      <c r="S199" s="813" t="s">
        <v>3953</v>
      </c>
      <c r="T199" s="813" t="s">
        <v>6895</v>
      </c>
    </row>
    <row r="200" spans="1:20" ht="15" customHeight="1" x14ac:dyDescent="0.35">
      <c r="A200" s="794" t="s">
        <v>7550</v>
      </c>
      <c r="B200" s="794" t="s">
        <v>3857</v>
      </c>
      <c r="C200" s="812" t="s">
        <v>3913</v>
      </c>
      <c r="D200" s="825"/>
      <c r="E200" s="825"/>
      <c r="F200" s="825">
        <v>6500</v>
      </c>
      <c r="G200" s="814" t="s">
        <v>3858</v>
      </c>
      <c r="H200" s="813" t="s">
        <v>246</v>
      </c>
      <c r="I200" s="813" t="s">
        <v>3960</v>
      </c>
      <c r="J200" s="813" t="s">
        <v>7526</v>
      </c>
      <c r="K200" s="813" t="s">
        <v>3949</v>
      </c>
      <c r="L200" s="813" t="s">
        <v>3863</v>
      </c>
      <c r="M200" s="813" t="s">
        <v>3169</v>
      </c>
      <c r="N200" s="813" t="s">
        <v>7551</v>
      </c>
      <c r="O200" s="813" t="s">
        <v>3883</v>
      </c>
      <c r="P200" s="813" t="s">
        <v>7552</v>
      </c>
      <c r="Q200" s="813" t="s">
        <v>7553</v>
      </c>
      <c r="R200" s="813">
        <v>1</v>
      </c>
      <c r="S200" s="813" t="s">
        <v>3953</v>
      </c>
      <c r="T200" s="813" t="s">
        <v>6895</v>
      </c>
    </row>
    <row r="201" spans="1:20" ht="15" customHeight="1" x14ac:dyDescent="0.35">
      <c r="A201" s="803" t="s">
        <v>7554</v>
      </c>
      <c r="B201" s="803"/>
      <c r="C201" s="803"/>
      <c r="D201" s="803"/>
      <c r="E201" s="803"/>
      <c r="F201" s="803"/>
      <c r="G201" s="803" t="s">
        <v>6071</v>
      </c>
      <c r="H201" s="794"/>
      <c r="I201" s="794"/>
      <c r="J201" s="794"/>
      <c r="K201" s="794"/>
      <c r="L201" s="794"/>
      <c r="M201" s="794"/>
      <c r="N201" s="794"/>
      <c r="O201" s="794"/>
      <c r="P201" s="794"/>
      <c r="Q201" s="794"/>
      <c r="R201" s="794"/>
      <c r="S201" s="794"/>
      <c r="T201" s="794"/>
    </row>
    <row r="202" spans="1:20" ht="15" customHeight="1" x14ac:dyDescent="0.35">
      <c r="A202" s="794" t="s">
        <v>7555</v>
      </c>
      <c r="B202" s="794" t="s">
        <v>3857</v>
      </c>
      <c r="C202" s="812" t="s">
        <v>3913</v>
      </c>
      <c r="D202" s="825"/>
      <c r="E202" s="825"/>
      <c r="F202" s="825">
        <v>7500</v>
      </c>
      <c r="G202" s="814" t="s">
        <v>3858</v>
      </c>
      <c r="H202" s="813" t="s">
        <v>246</v>
      </c>
      <c r="I202" s="813" t="s">
        <v>3960</v>
      </c>
      <c r="J202" s="813" t="s">
        <v>7556</v>
      </c>
      <c r="K202" s="813" t="s">
        <v>3949</v>
      </c>
      <c r="L202" s="813" t="s">
        <v>3863</v>
      </c>
      <c r="M202" s="813" t="s">
        <v>3169</v>
      </c>
      <c r="N202" s="813" t="s">
        <v>7557</v>
      </c>
      <c r="O202" s="813" t="s">
        <v>3883</v>
      </c>
      <c r="P202" s="813" t="s">
        <v>7558</v>
      </c>
      <c r="Q202" s="813" t="s">
        <v>7559</v>
      </c>
      <c r="R202" s="813">
        <v>1</v>
      </c>
      <c r="S202" s="813" t="s">
        <v>3953</v>
      </c>
      <c r="T202" s="813" t="s">
        <v>6895</v>
      </c>
    </row>
    <row r="203" spans="1:20" ht="15" customHeight="1" x14ac:dyDescent="0.35">
      <c r="A203" s="794" t="s">
        <v>7560</v>
      </c>
      <c r="B203" s="794" t="s">
        <v>3857</v>
      </c>
      <c r="C203" s="812" t="s">
        <v>3913</v>
      </c>
      <c r="D203" s="825"/>
      <c r="E203" s="825"/>
      <c r="F203" s="825">
        <v>6000</v>
      </c>
      <c r="G203" s="814" t="s">
        <v>3858</v>
      </c>
      <c r="H203" s="813" t="s">
        <v>246</v>
      </c>
      <c r="I203" s="813" t="s">
        <v>3960</v>
      </c>
      <c r="J203" s="813" t="s">
        <v>7556</v>
      </c>
      <c r="K203" s="813" t="s">
        <v>3949</v>
      </c>
      <c r="L203" s="813" t="s">
        <v>3863</v>
      </c>
      <c r="M203" s="813" t="s">
        <v>3169</v>
      </c>
      <c r="N203" s="813" t="s">
        <v>7561</v>
      </c>
      <c r="O203" s="813" t="s">
        <v>3883</v>
      </c>
      <c r="P203" s="813" t="s">
        <v>7562</v>
      </c>
      <c r="Q203" s="813" t="s">
        <v>7563</v>
      </c>
      <c r="R203" s="813">
        <v>1</v>
      </c>
      <c r="S203" s="813" t="s">
        <v>3953</v>
      </c>
      <c r="T203" s="813" t="s">
        <v>6895</v>
      </c>
    </row>
    <row r="204" spans="1:20" ht="15" customHeight="1" x14ac:dyDescent="0.35">
      <c r="A204" s="794" t="s">
        <v>7564</v>
      </c>
      <c r="B204" s="794" t="s">
        <v>3857</v>
      </c>
      <c r="C204" s="812" t="s">
        <v>3913</v>
      </c>
      <c r="D204" s="825"/>
      <c r="E204" s="825"/>
      <c r="F204" s="825">
        <v>2000</v>
      </c>
      <c r="G204" s="814" t="s">
        <v>3858</v>
      </c>
      <c r="H204" s="813" t="s">
        <v>246</v>
      </c>
      <c r="I204" s="813" t="s">
        <v>3960</v>
      </c>
      <c r="J204" s="813" t="s">
        <v>7556</v>
      </c>
      <c r="K204" s="813" t="s">
        <v>3949</v>
      </c>
      <c r="L204" s="813" t="s">
        <v>3863</v>
      </c>
      <c r="M204" s="813" t="s">
        <v>3169</v>
      </c>
      <c r="N204" s="813" t="s">
        <v>7565</v>
      </c>
      <c r="O204" s="813" t="s">
        <v>3883</v>
      </c>
      <c r="P204" s="813" t="s">
        <v>7566</v>
      </c>
      <c r="Q204" s="813" t="s">
        <v>7567</v>
      </c>
      <c r="R204" s="813">
        <v>1</v>
      </c>
      <c r="S204" s="813" t="s">
        <v>3953</v>
      </c>
      <c r="T204" s="813" t="s">
        <v>6895</v>
      </c>
    </row>
    <row r="205" spans="1:20" ht="15" customHeight="1" x14ac:dyDescent="0.35">
      <c r="A205" s="794" t="s">
        <v>7568</v>
      </c>
      <c r="B205" s="794" t="s">
        <v>3857</v>
      </c>
      <c r="C205" s="812" t="s">
        <v>3913</v>
      </c>
      <c r="D205" s="825"/>
      <c r="E205" s="825"/>
      <c r="F205" s="825">
        <v>50000</v>
      </c>
      <c r="G205" s="814" t="s">
        <v>3858</v>
      </c>
      <c r="H205" s="813" t="s">
        <v>246</v>
      </c>
      <c r="I205" s="813" t="s">
        <v>3960</v>
      </c>
      <c r="J205" s="813" t="s">
        <v>7556</v>
      </c>
      <c r="K205" s="813" t="s">
        <v>3949</v>
      </c>
      <c r="L205" s="813" t="s">
        <v>3863</v>
      </c>
      <c r="M205" s="813" t="s">
        <v>3169</v>
      </c>
      <c r="N205" s="813" t="s">
        <v>7569</v>
      </c>
      <c r="O205" s="813" t="s">
        <v>3883</v>
      </c>
      <c r="P205" s="813" t="s">
        <v>7570</v>
      </c>
      <c r="Q205" s="813" t="s">
        <v>7571</v>
      </c>
      <c r="R205" s="813">
        <v>1</v>
      </c>
      <c r="S205" s="813" t="s">
        <v>3953</v>
      </c>
      <c r="T205" s="813" t="s">
        <v>6895</v>
      </c>
    </row>
    <row r="206" spans="1:20" ht="15" customHeight="1" x14ac:dyDescent="0.35">
      <c r="A206" s="794" t="s">
        <v>7572</v>
      </c>
      <c r="B206" s="794" t="s">
        <v>3857</v>
      </c>
      <c r="C206" s="812" t="s">
        <v>3913</v>
      </c>
      <c r="D206" s="825"/>
      <c r="E206" s="825"/>
      <c r="F206" s="825">
        <v>900</v>
      </c>
      <c r="G206" s="814" t="s">
        <v>3858</v>
      </c>
      <c r="H206" s="813" t="s">
        <v>246</v>
      </c>
      <c r="I206" s="813" t="s">
        <v>3960</v>
      </c>
      <c r="J206" s="813" t="s">
        <v>7556</v>
      </c>
      <c r="K206" s="813" t="s">
        <v>3949</v>
      </c>
      <c r="L206" s="813" t="s">
        <v>3863</v>
      </c>
      <c r="M206" s="813" t="s">
        <v>3169</v>
      </c>
      <c r="N206" s="813" t="s">
        <v>7573</v>
      </c>
      <c r="O206" s="813" t="s">
        <v>3883</v>
      </c>
      <c r="P206" s="813" t="s">
        <v>7574</v>
      </c>
      <c r="Q206" s="813" t="s">
        <v>7575</v>
      </c>
      <c r="R206" s="813">
        <v>1</v>
      </c>
      <c r="S206" s="813" t="s">
        <v>3953</v>
      </c>
      <c r="T206" s="813" t="s">
        <v>6895</v>
      </c>
    </row>
    <row r="207" spans="1:20" ht="15" customHeight="1" x14ac:dyDescent="0.35">
      <c r="A207" s="794" t="s">
        <v>7576</v>
      </c>
      <c r="B207" s="794" t="s">
        <v>3857</v>
      </c>
      <c r="C207" s="812" t="s">
        <v>3913</v>
      </c>
      <c r="D207" s="825"/>
      <c r="E207" s="825"/>
      <c r="F207" s="825">
        <v>5000</v>
      </c>
      <c r="G207" s="814" t="s">
        <v>3858</v>
      </c>
      <c r="H207" s="813" t="s">
        <v>246</v>
      </c>
      <c r="I207" s="813" t="s">
        <v>3960</v>
      </c>
      <c r="J207" s="813" t="s">
        <v>7556</v>
      </c>
      <c r="K207" s="813" t="s">
        <v>3949</v>
      </c>
      <c r="L207" s="813" t="s">
        <v>3863</v>
      </c>
      <c r="M207" s="813" t="s">
        <v>3169</v>
      </c>
      <c r="N207" s="813" t="s">
        <v>7577</v>
      </c>
      <c r="O207" s="813" t="s">
        <v>3883</v>
      </c>
      <c r="P207" s="813" t="s">
        <v>7578</v>
      </c>
      <c r="Q207" s="813" t="s">
        <v>7579</v>
      </c>
      <c r="R207" s="813">
        <v>1</v>
      </c>
      <c r="S207" s="813" t="s">
        <v>3953</v>
      </c>
      <c r="T207" s="813" t="s">
        <v>6895</v>
      </c>
    </row>
    <row r="208" spans="1:20" ht="15" customHeight="1" x14ac:dyDescent="0.35">
      <c r="A208" s="794" t="s">
        <v>7580</v>
      </c>
      <c r="B208" s="794" t="s">
        <v>3857</v>
      </c>
      <c r="C208" s="812" t="s">
        <v>3913</v>
      </c>
      <c r="D208" s="825"/>
      <c r="E208" s="825"/>
      <c r="F208" s="825">
        <v>0</v>
      </c>
      <c r="G208" s="814" t="s">
        <v>3858</v>
      </c>
      <c r="H208" s="813" t="s">
        <v>246</v>
      </c>
      <c r="I208" s="813" t="s">
        <v>3960</v>
      </c>
      <c r="J208" s="813" t="s">
        <v>7556</v>
      </c>
      <c r="K208" s="813" t="s">
        <v>3949</v>
      </c>
      <c r="L208" s="813" t="s">
        <v>3863</v>
      </c>
      <c r="M208" s="813" t="s">
        <v>3169</v>
      </c>
      <c r="N208" s="813" t="s">
        <v>7581</v>
      </c>
      <c r="O208" s="813" t="s">
        <v>3883</v>
      </c>
      <c r="P208" s="813" t="s">
        <v>7582</v>
      </c>
      <c r="Q208" s="813" t="s">
        <v>7583</v>
      </c>
      <c r="R208" s="813">
        <v>1</v>
      </c>
      <c r="S208" s="813" t="s">
        <v>3953</v>
      </c>
      <c r="T208" s="813" t="s">
        <v>6895</v>
      </c>
    </row>
    <row r="209" spans="1:20" ht="15" customHeight="1" x14ac:dyDescent="0.35">
      <c r="A209" s="794" t="s">
        <v>7584</v>
      </c>
      <c r="B209" s="794" t="s">
        <v>3857</v>
      </c>
      <c r="C209" s="812" t="s">
        <v>3913</v>
      </c>
      <c r="D209" s="825"/>
      <c r="E209" s="825"/>
      <c r="F209" s="825">
        <v>0</v>
      </c>
      <c r="G209" s="814" t="s">
        <v>3858</v>
      </c>
      <c r="H209" s="813" t="s">
        <v>246</v>
      </c>
      <c r="I209" s="813" t="s">
        <v>3960</v>
      </c>
      <c r="J209" s="813" t="s">
        <v>7556</v>
      </c>
      <c r="K209" s="813" t="s">
        <v>3949</v>
      </c>
      <c r="L209" s="813" t="s">
        <v>3863</v>
      </c>
      <c r="M209" s="813" t="s">
        <v>3169</v>
      </c>
      <c r="N209" s="813" t="s">
        <v>7585</v>
      </c>
      <c r="O209" s="813" t="s">
        <v>3883</v>
      </c>
      <c r="P209" s="813" t="s">
        <v>7586</v>
      </c>
      <c r="Q209" s="813" t="s">
        <v>7587</v>
      </c>
      <c r="R209" s="813">
        <v>1</v>
      </c>
      <c r="S209" s="813" t="s">
        <v>3953</v>
      </c>
      <c r="T209" s="813" t="s">
        <v>6895</v>
      </c>
    </row>
    <row r="210" spans="1:20" ht="15" customHeight="1" x14ac:dyDescent="0.35">
      <c r="A210" s="794" t="s">
        <v>7588</v>
      </c>
      <c r="B210" s="794" t="s">
        <v>3857</v>
      </c>
      <c r="C210" s="812" t="s">
        <v>83</v>
      </c>
      <c r="D210" s="825"/>
      <c r="E210" s="825"/>
      <c r="F210" s="829">
        <v>0</v>
      </c>
      <c r="G210" s="814" t="s">
        <v>3858</v>
      </c>
      <c r="H210" s="813" t="s">
        <v>246</v>
      </c>
      <c r="I210" s="813" t="s">
        <v>3960</v>
      </c>
      <c r="J210" s="813" t="s">
        <v>7556</v>
      </c>
      <c r="K210" s="813" t="s">
        <v>3949</v>
      </c>
      <c r="L210" s="813" t="s">
        <v>3863</v>
      </c>
      <c r="M210" s="813" t="s">
        <v>3169</v>
      </c>
      <c r="N210" s="813" t="s">
        <v>7589</v>
      </c>
      <c r="O210" s="813" t="s">
        <v>3883</v>
      </c>
      <c r="P210" s="813" t="s">
        <v>7590</v>
      </c>
      <c r="Q210" s="813" t="s">
        <v>7591</v>
      </c>
      <c r="R210" s="813">
        <v>1</v>
      </c>
      <c r="S210" s="813" t="s">
        <v>3953</v>
      </c>
      <c r="T210" s="813" t="s">
        <v>6895</v>
      </c>
    </row>
    <row r="211" spans="1:20" ht="15" customHeight="1" x14ac:dyDescent="0.35">
      <c r="A211" s="803" t="s">
        <v>7592</v>
      </c>
      <c r="B211" s="803"/>
      <c r="C211" s="803"/>
      <c r="D211" s="803"/>
      <c r="E211" s="803"/>
      <c r="F211" s="803"/>
      <c r="G211" s="803" t="s">
        <v>3855</v>
      </c>
      <c r="H211" s="794"/>
      <c r="I211" s="794"/>
      <c r="J211" s="794"/>
      <c r="K211" s="794"/>
      <c r="L211" s="794"/>
      <c r="M211" s="794"/>
      <c r="N211" s="794"/>
      <c r="O211" s="794"/>
      <c r="P211" s="794"/>
      <c r="Q211" s="794"/>
      <c r="R211" s="794"/>
      <c r="S211" s="794"/>
      <c r="T211" s="794"/>
    </row>
    <row r="212" spans="1:20" ht="15" customHeight="1" x14ac:dyDescent="0.35">
      <c r="A212" s="794" t="s">
        <v>7593</v>
      </c>
      <c r="B212" s="794" t="s">
        <v>3857</v>
      </c>
      <c r="C212" s="812" t="s">
        <v>3913</v>
      </c>
      <c r="D212" s="825"/>
      <c r="E212" s="825"/>
      <c r="F212" s="825">
        <v>1.4999999999999999E-2</v>
      </c>
      <c r="G212" s="814" t="s">
        <v>3858</v>
      </c>
      <c r="H212" s="813" t="s">
        <v>246</v>
      </c>
      <c r="I212" s="813" t="s">
        <v>3960</v>
      </c>
      <c r="J212" s="813" t="s">
        <v>7594</v>
      </c>
      <c r="K212" s="813" t="s">
        <v>3949</v>
      </c>
      <c r="L212" s="813" t="s">
        <v>3863</v>
      </c>
      <c r="M212" s="813" t="s">
        <v>3169</v>
      </c>
      <c r="N212" s="813" t="s">
        <v>7595</v>
      </c>
      <c r="O212" s="813" t="s">
        <v>3925</v>
      </c>
      <c r="P212" s="813" t="s">
        <v>7596</v>
      </c>
      <c r="Q212" s="813" t="s">
        <v>7597</v>
      </c>
      <c r="R212" s="813">
        <v>1</v>
      </c>
      <c r="S212" s="813" t="s">
        <v>3953</v>
      </c>
      <c r="T212" s="813" t="s">
        <v>6895</v>
      </c>
    </row>
    <row r="213" spans="1:20" ht="15" customHeight="1" x14ac:dyDescent="0.35">
      <c r="A213" s="794" t="s">
        <v>7598</v>
      </c>
      <c r="B213" s="794" t="s">
        <v>3857</v>
      </c>
      <c r="C213" s="812" t="s">
        <v>3913</v>
      </c>
      <c r="D213" s="825"/>
      <c r="E213" s="825"/>
      <c r="F213" s="825">
        <v>0.04</v>
      </c>
      <c r="G213" s="814" t="s">
        <v>3858</v>
      </c>
      <c r="H213" s="813" t="s">
        <v>246</v>
      </c>
      <c r="I213" s="813" t="s">
        <v>3960</v>
      </c>
      <c r="J213" s="813" t="s">
        <v>7594</v>
      </c>
      <c r="K213" s="813" t="s">
        <v>3949</v>
      </c>
      <c r="L213" s="813" t="s">
        <v>3863</v>
      </c>
      <c r="M213" s="813" t="s">
        <v>3169</v>
      </c>
      <c r="N213" s="813" t="s">
        <v>7599</v>
      </c>
      <c r="O213" s="813" t="s">
        <v>3925</v>
      </c>
      <c r="P213" s="813" t="s">
        <v>7600</v>
      </c>
      <c r="Q213" s="813" t="s">
        <v>7601</v>
      </c>
      <c r="R213" s="813">
        <v>1</v>
      </c>
      <c r="S213" s="813" t="s">
        <v>3953</v>
      </c>
      <c r="T213" s="813" t="s">
        <v>6895</v>
      </c>
    </row>
    <row r="214" spans="1:20" ht="15" customHeight="1" x14ac:dyDescent="0.35">
      <c r="A214" s="794" t="s">
        <v>7602</v>
      </c>
      <c r="B214" s="794" t="s">
        <v>3857</v>
      </c>
      <c r="C214" s="812" t="s">
        <v>3913</v>
      </c>
      <c r="D214" s="825"/>
      <c r="E214" s="825"/>
      <c r="F214" s="825">
        <v>0.05</v>
      </c>
      <c r="G214" s="814" t="s">
        <v>3858</v>
      </c>
      <c r="H214" s="813" t="s">
        <v>246</v>
      </c>
      <c r="I214" s="813" t="s">
        <v>3960</v>
      </c>
      <c r="J214" s="813" t="s">
        <v>7594</v>
      </c>
      <c r="K214" s="813" t="s">
        <v>3949</v>
      </c>
      <c r="L214" s="813" t="s">
        <v>3863</v>
      </c>
      <c r="M214" s="813" t="s">
        <v>3169</v>
      </c>
      <c r="N214" s="813" t="s">
        <v>7603</v>
      </c>
      <c r="O214" s="813" t="s">
        <v>3925</v>
      </c>
      <c r="P214" s="813" t="s">
        <v>7604</v>
      </c>
      <c r="Q214" s="813" t="s">
        <v>7605</v>
      </c>
      <c r="R214" s="813">
        <v>1</v>
      </c>
      <c r="S214" s="813" t="s">
        <v>3953</v>
      </c>
      <c r="T214" s="813" t="s">
        <v>6895</v>
      </c>
    </row>
    <row r="215" spans="1:20" ht="15" customHeight="1" x14ac:dyDescent="0.35">
      <c r="A215" s="802" t="s">
        <v>7606</v>
      </c>
      <c r="B215" s="802"/>
      <c r="C215" s="802"/>
      <c r="D215" s="802"/>
      <c r="E215" s="802"/>
      <c r="F215" s="802"/>
      <c r="G215" s="802" t="s">
        <v>7408</v>
      </c>
      <c r="H215" s="794"/>
      <c r="I215" s="794"/>
      <c r="J215" s="794"/>
      <c r="K215" s="794"/>
      <c r="L215" s="794"/>
      <c r="M215" s="794"/>
      <c r="N215" s="794"/>
      <c r="O215" s="794"/>
      <c r="P215" s="794"/>
      <c r="Q215" s="794"/>
      <c r="R215" s="794"/>
      <c r="S215" s="794"/>
      <c r="T215" s="794"/>
    </row>
    <row r="216" spans="1:20" ht="15" customHeight="1" x14ac:dyDescent="0.35">
      <c r="A216" s="803" t="s">
        <v>7607</v>
      </c>
      <c r="B216" s="803"/>
      <c r="C216" s="803"/>
      <c r="D216" s="803"/>
      <c r="E216" s="803"/>
      <c r="F216" s="803"/>
      <c r="G216" s="803" t="s">
        <v>3946</v>
      </c>
      <c r="H216" s="794"/>
      <c r="I216" s="794"/>
      <c r="J216" s="794"/>
      <c r="K216" s="794"/>
      <c r="L216" s="794"/>
      <c r="M216" s="794"/>
      <c r="N216" s="794"/>
      <c r="O216" s="794"/>
      <c r="P216" s="794"/>
      <c r="Q216" s="794"/>
      <c r="R216" s="794"/>
      <c r="S216" s="794"/>
      <c r="T216" s="794"/>
    </row>
    <row r="217" spans="1:20" ht="15" customHeight="1" x14ac:dyDescent="0.35">
      <c r="A217" s="794" t="s">
        <v>7608</v>
      </c>
      <c r="B217" s="794" t="s">
        <v>3857</v>
      </c>
      <c r="C217" s="812" t="s">
        <v>3842</v>
      </c>
      <c r="D217" s="825"/>
      <c r="E217" s="825"/>
      <c r="F217" s="826" t="s">
        <v>246</v>
      </c>
      <c r="G217" s="814" t="s">
        <v>3858</v>
      </c>
      <c r="H217" s="813" t="s">
        <v>246</v>
      </c>
      <c r="I217" s="813" t="s">
        <v>4070</v>
      </c>
      <c r="J217" s="813" t="s">
        <v>7609</v>
      </c>
      <c r="K217" s="813" t="s">
        <v>7610</v>
      </c>
      <c r="L217" s="813" t="s">
        <v>3863</v>
      </c>
      <c r="M217" s="813" t="s">
        <v>3127</v>
      </c>
      <c r="N217" s="813" t="s">
        <v>7611</v>
      </c>
      <c r="O217" s="813" t="s">
        <v>7612</v>
      </c>
      <c r="P217" s="813" t="s">
        <v>7613</v>
      </c>
      <c r="Q217" s="813" t="s">
        <v>7614</v>
      </c>
      <c r="R217" s="813">
        <v>1</v>
      </c>
      <c r="S217" s="813" t="s">
        <v>7615</v>
      </c>
      <c r="T217" s="813" t="s">
        <v>6895</v>
      </c>
    </row>
    <row r="218" spans="1:20" ht="15" customHeight="1" x14ac:dyDescent="0.35">
      <c r="A218" s="803" t="s">
        <v>7616</v>
      </c>
      <c r="B218" s="803"/>
      <c r="C218" s="803"/>
      <c r="D218" s="803"/>
      <c r="E218" s="803"/>
      <c r="F218" s="803"/>
      <c r="G218" s="803" t="s">
        <v>3855</v>
      </c>
      <c r="H218" s="794"/>
      <c r="I218" s="794"/>
      <c r="J218" s="794"/>
      <c r="K218" s="794"/>
      <c r="L218" s="794"/>
      <c r="M218" s="794"/>
      <c r="N218" s="794"/>
      <c r="O218" s="794"/>
      <c r="P218" s="794"/>
      <c r="Q218" s="794"/>
      <c r="R218" s="794"/>
      <c r="S218" s="794"/>
      <c r="T218" s="794"/>
    </row>
    <row r="219" spans="1:20" ht="15" customHeight="1" x14ac:dyDescent="0.35">
      <c r="A219" s="794" t="s">
        <v>7617</v>
      </c>
      <c r="B219" s="794" t="s">
        <v>3857</v>
      </c>
      <c r="C219" s="812" t="s">
        <v>3913</v>
      </c>
      <c r="D219" s="825"/>
      <c r="E219" s="825"/>
      <c r="F219" s="825">
        <v>1</v>
      </c>
      <c r="G219" s="814" t="s">
        <v>3858</v>
      </c>
      <c r="H219" s="813" t="s">
        <v>246</v>
      </c>
      <c r="I219" s="813" t="s">
        <v>4070</v>
      </c>
      <c r="J219" s="813" t="s">
        <v>7618</v>
      </c>
      <c r="K219" s="813" t="s">
        <v>7610</v>
      </c>
      <c r="L219" s="813" t="s">
        <v>3863</v>
      </c>
      <c r="M219" s="813" t="s">
        <v>3127</v>
      </c>
      <c r="N219" s="813" t="s">
        <v>7619</v>
      </c>
      <c r="O219" s="813" t="s">
        <v>4472</v>
      </c>
      <c r="P219" s="813" t="s">
        <v>7620</v>
      </c>
      <c r="Q219" s="813" t="s">
        <v>7621</v>
      </c>
      <c r="R219" s="813">
        <v>1</v>
      </c>
      <c r="S219" s="813" t="s">
        <v>7615</v>
      </c>
      <c r="T219" s="813" t="s">
        <v>6895</v>
      </c>
    </row>
    <row r="220" spans="1:20" ht="15" customHeight="1" x14ac:dyDescent="0.35">
      <c r="A220" s="794" t="s">
        <v>7622</v>
      </c>
      <c r="B220" s="794" t="s">
        <v>3857</v>
      </c>
      <c r="C220" s="812" t="s">
        <v>3842</v>
      </c>
      <c r="D220" s="825"/>
      <c r="E220" s="825"/>
      <c r="F220" s="826" t="s">
        <v>1800</v>
      </c>
      <c r="G220" s="814" t="s">
        <v>3858</v>
      </c>
      <c r="H220" s="813" t="s">
        <v>246</v>
      </c>
      <c r="I220" s="813" t="s">
        <v>4070</v>
      </c>
      <c r="J220" s="813" t="s">
        <v>7618</v>
      </c>
      <c r="K220" s="813" t="s">
        <v>7610</v>
      </c>
      <c r="L220" s="813" t="s">
        <v>3863</v>
      </c>
      <c r="M220" s="813" t="s">
        <v>3127</v>
      </c>
      <c r="N220" s="813" t="s">
        <v>7623</v>
      </c>
      <c r="O220" s="813" t="s">
        <v>7612</v>
      </c>
      <c r="P220" s="813" t="s">
        <v>7624</v>
      </c>
      <c r="Q220" s="813" t="s">
        <v>7625</v>
      </c>
      <c r="R220" s="813">
        <v>1</v>
      </c>
      <c r="S220" s="813" t="s">
        <v>7615</v>
      </c>
      <c r="T220" s="813" t="s">
        <v>6895</v>
      </c>
    </row>
    <row r="221" spans="1:20" ht="15" customHeight="1" x14ac:dyDescent="0.35">
      <c r="A221" s="794" t="s">
        <v>7626</v>
      </c>
      <c r="B221" s="794" t="s">
        <v>3857</v>
      </c>
      <c r="C221" s="812" t="s">
        <v>3842</v>
      </c>
      <c r="D221" s="825"/>
      <c r="E221" s="825"/>
      <c r="F221" s="826" t="s">
        <v>7627</v>
      </c>
      <c r="G221" s="814" t="s">
        <v>3858</v>
      </c>
      <c r="H221" s="813" t="s">
        <v>246</v>
      </c>
      <c r="I221" s="813" t="s">
        <v>4070</v>
      </c>
      <c r="J221" s="813" t="s">
        <v>7618</v>
      </c>
      <c r="K221" s="813" t="s">
        <v>7610</v>
      </c>
      <c r="L221" s="813" t="s">
        <v>3863</v>
      </c>
      <c r="M221" s="813" t="s">
        <v>3127</v>
      </c>
      <c r="N221" s="813" t="s">
        <v>7628</v>
      </c>
      <c r="O221" s="813" t="s">
        <v>7612</v>
      </c>
      <c r="P221" s="813" t="s">
        <v>7629</v>
      </c>
      <c r="Q221" s="813" t="s">
        <v>7630</v>
      </c>
      <c r="R221" s="813">
        <v>1</v>
      </c>
      <c r="S221" s="813" t="s">
        <v>7615</v>
      </c>
      <c r="T221" s="813" t="s">
        <v>6895</v>
      </c>
    </row>
    <row r="222" spans="1:20" ht="15" customHeight="1" x14ac:dyDescent="0.35">
      <c r="A222" s="803" t="s">
        <v>7631</v>
      </c>
      <c r="B222" s="803"/>
      <c r="C222" s="803"/>
      <c r="D222" s="803"/>
      <c r="E222" s="803"/>
      <c r="F222" s="803"/>
      <c r="G222" s="803" t="s">
        <v>3920</v>
      </c>
      <c r="H222" s="794"/>
      <c r="I222" s="794"/>
      <c r="J222" s="794"/>
      <c r="K222" s="794"/>
      <c r="L222" s="794"/>
      <c r="M222" s="794"/>
      <c r="N222" s="794"/>
      <c r="O222" s="794"/>
      <c r="P222" s="794"/>
      <c r="Q222" s="794"/>
      <c r="R222" s="794"/>
      <c r="S222" s="794"/>
      <c r="T222" s="794"/>
    </row>
    <row r="223" spans="1:20" ht="15" customHeight="1" x14ac:dyDescent="0.35">
      <c r="A223" s="794" t="s">
        <v>7632</v>
      </c>
      <c r="B223" s="794" t="s">
        <v>3857</v>
      </c>
      <c r="C223" s="812" t="s">
        <v>3913</v>
      </c>
      <c r="D223" s="825"/>
      <c r="E223" s="825"/>
      <c r="F223" s="825">
        <f>F686</f>
        <v>3.5000000000000003E-2</v>
      </c>
      <c r="G223" s="814" t="s">
        <v>9404</v>
      </c>
      <c r="H223" s="813" t="s">
        <v>246</v>
      </c>
      <c r="I223" s="813" t="s">
        <v>4070</v>
      </c>
      <c r="J223" s="813" t="s">
        <v>7633</v>
      </c>
      <c r="K223" s="813" t="s">
        <v>7610</v>
      </c>
      <c r="L223" s="813" t="s">
        <v>3863</v>
      </c>
      <c r="M223" s="813" t="s">
        <v>3127</v>
      </c>
      <c r="N223" s="813" t="s">
        <v>7634</v>
      </c>
      <c r="O223" s="813" t="s">
        <v>3883</v>
      </c>
      <c r="P223" s="813" t="s">
        <v>7635</v>
      </c>
      <c r="Q223" s="813" t="s">
        <v>7636</v>
      </c>
      <c r="R223" s="813">
        <v>1</v>
      </c>
      <c r="S223" s="813" t="s">
        <v>7615</v>
      </c>
      <c r="T223" s="813" t="s">
        <v>6895</v>
      </c>
    </row>
    <row r="224" spans="1:20" ht="15" customHeight="1" x14ac:dyDescent="0.35">
      <c r="A224" s="794" t="s">
        <v>7637</v>
      </c>
      <c r="B224" s="794" t="s">
        <v>3857</v>
      </c>
      <c r="C224" s="812" t="s">
        <v>3913</v>
      </c>
      <c r="D224" s="825"/>
      <c r="E224" s="825"/>
      <c r="F224" s="825">
        <f>F687</f>
        <v>10</v>
      </c>
      <c r="G224" s="814" t="s">
        <v>9404</v>
      </c>
      <c r="H224" s="813" t="s">
        <v>246</v>
      </c>
      <c r="I224" s="813" t="s">
        <v>4070</v>
      </c>
      <c r="J224" s="813" t="s">
        <v>7633</v>
      </c>
      <c r="K224" s="813" t="s">
        <v>7610</v>
      </c>
      <c r="L224" s="813" t="s">
        <v>3863</v>
      </c>
      <c r="M224" s="813" t="s">
        <v>3127</v>
      </c>
      <c r="N224" s="813" t="s">
        <v>7638</v>
      </c>
      <c r="O224" s="813" t="s">
        <v>3883</v>
      </c>
      <c r="P224" s="813" t="s">
        <v>7639</v>
      </c>
      <c r="Q224" s="813" t="s">
        <v>7640</v>
      </c>
      <c r="R224" s="813">
        <v>1</v>
      </c>
      <c r="S224" s="813" t="s">
        <v>7615</v>
      </c>
      <c r="T224" s="813" t="s">
        <v>6895</v>
      </c>
    </row>
    <row r="225" spans="1:20" ht="15" customHeight="1" x14ac:dyDescent="0.35">
      <c r="A225" s="794" t="s">
        <v>7641</v>
      </c>
      <c r="B225" s="794" t="s">
        <v>3857</v>
      </c>
      <c r="C225" s="812" t="s">
        <v>3913</v>
      </c>
      <c r="D225" s="825"/>
      <c r="E225" s="825"/>
      <c r="F225" s="825">
        <f>F688</f>
        <v>30</v>
      </c>
      <c r="G225" s="814" t="s">
        <v>9404</v>
      </c>
      <c r="H225" s="813" t="s">
        <v>246</v>
      </c>
      <c r="I225" s="813" t="s">
        <v>4070</v>
      </c>
      <c r="J225" s="813" t="s">
        <v>7633</v>
      </c>
      <c r="K225" s="813" t="s">
        <v>7610</v>
      </c>
      <c r="L225" s="813" t="s">
        <v>3863</v>
      </c>
      <c r="M225" s="813" t="s">
        <v>3127</v>
      </c>
      <c r="N225" s="813" t="s">
        <v>7642</v>
      </c>
      <c r="O225" s="813" t="s">
        <v>3883</v>
      </c>
      <c r="P225" s="813" t="s">
        <v>7643</v>
      </c>
      <c r="Q225" s="813" t="s">
        <v>7644</v>
      </c>
      <c r="R225" s="813">
        <v>1</v>
      </c>
      <c r="S225" s="813" t="s">
        <v>7615</v>
      </c>
      <c r="T225" s="813" t="s">
        <v>6895</v>
      </c>
    </row>
    <row r="226" spans="1:20" ht="15" customHeight="1" x14ac:dyDescent="0.35">
      <c r="A226" s="794" t="s">
        <v>7645</v>
      </c>
      <c r="B226" s="794" t="s">
        <v>3857</v>
      </c>
      <c r="C226" s="812" t="s">
        <v>3913</v>
      </c>
      <c r="D226" s="825"/>
      <c r="E226" s="825"/>
      <c r="F226" s="825">
        <f>F689</f>
        <v>20</v>
      </c>
      <c r="G226" s="814" t="s">
        <v>9404</v>
      </c>
      <c r="H226" s="813" t="s">
        <v>246</v>
      </c>
      <c r="I226" s="813" t="s">
        <v>4070</v>
      </c>
      <c r="J226" s="813" t="s">
        <v>7633</v>
      </c>
      <c r="K226" s="813" t="s">
        <v>7610</v>
      </c>
      <c r="L226" s="813" t="s">
        <v>3863</v>
      </c>
      <c r="M226" s="813" t="s">
        <v>3127</v>
      </c>
      <c r="N226" s="813" t="s">
        <v>7646</v>
      </c>
      <c r="O226" s="813" t="s">
        <v>3883</v>
      </c>
      <c r="P226" s="813" t="s">
        <v>7647</v>
      </c>
      <c r="Q226" s="813" t="s">
        <v>7648</v>
      </c>
      <c r="R226" s="813">
        <v>1</v>
      </c>
      <c r="S226" s="813" t="s">
        <v>7615</v>
      </c>
      <c r="T226" s="813" t="s">
        <v>6895</v>
      </c>
    </row>
    <row r="227" spans="1:20" ht="15" customHeight="1" x14ac:dyDescent="0.35">
      <c r="A227" s="794" t="s">
        <v>7649</v>
      </c>
      <c r="B227" s="794" t="s">
        <v>3857</v>
      </c>
      <c r="C227" s="812" t="s">
        <v>3913</v>
      </c>
      <c r="D227" s="825"/>
      <c r="E227" s="825"/>
      <c r="F227" s="825">
        <f>F690</f>
        <v>20</v>
      </c>
      <c r="G227" s="814" t="s">
        <v>9404</v>
      </c>
      <c r="H227" s="813" t="s">
        <v>246</v>
      </c>
      <c r="I227" s="813" t="s">
        <v>4070</v>
      </c>
      <c r="J227" s="813" t="s">
        <v>7633</v>
      </c>
      <c r="K227" s="813" t="s">
        <v>7610</v>
      </c>
      <c r="L227" s="813" t="s">
        <v>3863</v>
      </c>
      <c r="M227" s="813" t="s">
        <v>3127</v>
      </c>
      <c r="N227" s="813" t="s">
        <v>7650</v>
      </c>
      <c r="O227" s="813" t="s">
        <v>3883</v>
      </c>
      <c r="P227" s="813" t="s">
        <v>7651</v>
      </c>
      <c r="Q227" s="813" t="s">
        <v>7652</v>
      </c>
      <c r="R227" s="813">
        <v>1</v>
      </c>
      <c r="S227" s="813" t="s">
        <v>7615</v>
      </c>
      <c r="T227" s="813" t="s">
        <v>6895</v>
      </c>
    </row>
    <row r="228" spans="1:20" ht="15" customHeight="1" x14ac:dyDescent="0.35">
      <c r="A228" s="803" t="s">
        <v>7653</v>
      </c>
      <c r="B228" s="803"/>
      <c r="C228" s="803"/>
      <c r="D228" s="803"/>
      <c r="E228" s="803"/>
      <c r="F228" s="803"/>
      <c r="G228" s="803" t="s">
        <v>4476</v>
      </c>
      <c r="H228" s="794"/>
      <c r="I228" s="794"/>
      <c r="J228" s="794"/>
      <c r="K228" s="794"/>
      <c r="L228" s="794"/>
      <c r="M228" s="794"/>
      <c r="N228" s="794"/>
      <c r="O228" s="794"/>
      <c r="P228" s="794"/>
      <c r="Q228" s="794"/>
      <c r="R228" s="794"/>
      <c r="S228" s="794"/>
      <c r="T228" s="794"/>
    </row>
    <row r="229" spans="1:20" ht="15" customHeight="1" x14ac:dyDescent="0.35">
      <c r="A229" s="794" t="s">
        <v>7654</v>
      </c>
      <c r="B229" s="794" t="s">
        <v>3857</v>
      </c>
      <c r="C229" s="812" t="s">
        <v>1173</v>
      </c>
      <c r="D229" s="825"/>
      <c r="E229" s="825"/>
      <c r="F229" s="828">
        <f>F691</f>
        <v>46508</v>
      </c>
      <c r="G229" s="814" t="s">
        <v>9404</v>
      </c>
      <c r="H229" s="813" t="s">
        <v>246</v>
      </c>
      <c r="I229" s="813" t="s">
        <v>4070</v>
      </c>
      <c r="J229" s="813" t="s">
        <v>7655</v>
      </c>
      <c r="K229" s="813" t="s">
        <v>7610</v>
      </c>
      <c r="L229" s="813" t="s">
        <v>3863</v>
      </c>
      <c r="M229" s="813" t="s">
        <v>3127</v>
      </c>
      <c r="N229" s="813" t="s">
        <v>7656</v>
      </c>
      <c r="O229" s="813" t="s">
        <v>3883</v>
      </c>
      <c r="P229" s="813" t="s">
        <v>7657</v>
      </c>
      <c r="Q229" s="813" t="s">
        <v>7658</v>
      </c>
      <c r="R229" s="813">
        <v>1</v>
      </c>
      <c r="S229" s="813" t="s">
        <v>7615</v>
      </c>
      <c r="T229" s="813" t="s">
        <v>6895</v>
      </c>
    </row>
    <row r="230" spans="1:20" ht="15" customHeight="1" x14ac:dyDescent="0.35">
      <c r="A230" s="794" t="s">
        <v>7659</v>
      </c>
      <c r="B230" s="794" t="s">
        <v>3857</v>
      </c>
      <c r="C230" s="812" t="s">
        <v>1173</v>
      </c>
      <c r="D230" s="825"/>
      <c r="E230" s="825"/>
      <c r="F230" s="828">
        <f>F692</f>
        <v>46813</v>
      </c>
      <c r="G230" s="814" t="s">
        <v>9404</v>
      </c>
      <c r="H230" s="813" t="s">
        <v>246</v>
      </c>
      <c r="I230" s="813" t="s">
        <v>4070</v>
      </c>
      <c r="J230" s="813" t="s">
        <v>7655</v>
      </c>
      <c r="K230" s="813" t="s">
        <v>7610</v>
      </c>
      <c r="L230" s="813" t="s">
        <v>3863</v>
      </c>
      <c r="M230" s="813" t="s">
        <v>3127</v>
      </c>
      <c r="N230" s="813" t="s">
        <v>7660</v>
      </c>
      <c r="O230" s="813" t="s">
        <v>3883</v>
      </c>
      <c r="P230" s="813" t="s">
        <v>7661</v>
      </c>
      <c r="Q230" s="813" t="s">
        <v>7662</v>
      </c>
      <c r="R230" s="813">
        <v>1</v>
      </c>
      <c r="S230" s="813" t="s">
        <v>7615</v>
      </c>
      <c r="T230" s="813" t="s">
        <v>6895</v>
      </c>
    </row>
    <row r="231" spans="1:20" ht="15" customHeight="1" x14ac:dyDescent="0.35">
      <c r="A231" s="803" t="s">
        <v>7663</v>
      </c>
      <c r="B231" s="803"/>
      <c r="C231" s="803"/>
      <c r="D231" s="803"/>
      <c r="E231" s="803"/>
      <c r="F231" s="803"/>
      <c r="G231" s="803" t="s">
        <v>3855</v>
      </c>
      <c r="H231" s="794"/>
      <c r="I231" s="794"/>
      <c r="J231" s="794"/>
      <c r="K231" s="794"/>
      <c r="L231" s="794"/>
      <c r="M231" s="794"/>
      <c r="N231" s="794"/>
      <c r="O231" s="794"/>
      <c r="P231" s="794"/>
      <c r="Q231" s="794"/>
      <c r="R231" s="794"/>
      <c r="S231" s="794"/>
      <c r="T231" s="794"/>
    </row>
    <row r="232" spans="1:20" ht="15" customHeight="1" x14ac:dyDescent="0.35">
      <c r="A232" s="794" t="s">
        <v>7664</v>
      </c>
      <c r="B232" s="794" t="s">
        <v>3857</v>
      </c>
      <c r="C232" s="812" t="s">
        <v>3913</v>
      </c>
      <c r="D232" s="825"/>
      <c r="E232" s="825"/>
      <c r="F232" s="825">
        <f>F693</f>
        <v>18</v>
      </c>
      <c r="G232" s="814" t="s">
        <v>9404</v>
      </c>
      <c r="H232" s="813" t="s">
        <v>246</v>
      </c>
      <c r="I232" s="813" t="s">
        <v>4070</v>
      </c>
      <c r="J232" s="813" t="s">
        <v>7665</v>
      </c>
      <c r="K232" s="813" t="s">
        <v>7610</v>
      </c>
      <c r="L232" s="813" t="s">
        <v>3863</v>
      </c>
      <c r="M232" s="813" t="s">
        <v>3127</v>
      </c>
      <c r="N232" s="813" t="s">
        <v>7666</v>
      </c>
      <c r="O232" s="813" t="s">
        <v>3883</v>
      </c>
      <c r="P232" s="813" t="s">
        <v>7667</v>
      </c>
      <c r="Q232" s="813" t="s">
        <v>7668</v>
      </c>
      <c r="R232" s="813">
        <v>1</v>
      </c>
      <c r="S232" s="813" t="s">
        <v>7615</v>
      </c>
      <c r="T232" s="813" t="s">
        <v>6895</v>
      </c>
    </row>
    <row r="233" spans="1:20" ht="15" customHeight="1" x14ac:dyDescent="0.35">
      <c r="A233" s="794" t="s">
        <v>7669</v>
      </c>
      <c r="B233" s="794" t="s">
        <v>3857</v>
      </c>
      <c r="C233" s="812" t="s">
        <v>3913</v>
      </c>
      <c r="D233" s="825"/>
      <c r="E233" s="825"/>
      <c r="F233" s="825">
        <f>F694</f>
        <v>4</v>
      </c>
      <c r="G233" s="814" t="s">
        <v>9404</v>
      </c>
      <c r="H233" s="813" t="s">
        <v>246</v>
      </c>
      <c r="I233" s="813" t="s">
        <v>4070</v>
      </c>
      <c r="J233" s="813" t="s">
        <v>7665</v>
      </c>
      <c r="K233" s="813" t="s">
        <v>7610</v>
      </c>
      <c r="L233" s="813" t="s">
        <v>3863</v>
      </c>
      <c r="M233" s="813" t="s">
        <v>3127</v>
      </c>
      <c r="N233" s="813" t="s">
        <v>7670</v>
      </c>
      <c r="O233" s="813" t="s">
        <v>3883</v>
      </c>
      <c r="P233" s="813" t="s">
        <v>7671</v>
      </c>
      <c r="Q233" s="813" t="s">
        <v>7672</v>
      </c>
      <c r="R233" s="813">
        <v>1</v>
      </c>
      <c r="S233" s="813" t="s">
        <v>7615</v>
      </c>
      <c r="T233" s="813" t="s">
        <v>6895</v>
      </c>
    </row>
    <row r="234" spans="1:20" ht="15" customHeight="1" x14ac:dyDescent="0.35">
      <c r="A234" s="794" t="s">
        <v>7673</v>
      </c>
      <c r="B234" s="794" t="s">
        <v>3857</v>
      </c>
      <c r="C234" s="812" t="s">
        <v>3913</v>
      </c>
      <c r="D234" s="825"/>
      <c r="E234" s="825"/>
      <c r="F234" s="825">
        <f>F695</f>
        <v>0.5</v>
      </c>
      <c r="G234" s="814" t="s">
        <v>9404</v>
      </c>
      <c r="H234" s="813" t="s">
        <v>246</v>
      </c>
      <c r="I234" s="813" t="s">
        <v>4070</v>
      </c>
      <c r="J234" s="813" t="s">
        <v>7665</v>
      </c>
      <c r="K234" s="813" t="s">
        <v>7610</v>
      </c>
      <c r="L234" s="813" t="s">
        <v>3863</v>
      </c>
      <c r="M234" s="813" t="s">
        <v>3127</v>
      </c>
      <c r="N234" s="813" t="s">
        <v>7674</v>
      </c>
      <c r="O234" s="813" t="s">
        <v>3883</v>
      </c>
      <c r="P234" s="813" t="s">
        <v>7675</v>
      </c>
      <c r="Q234" s="813" t="s">
        <v>7676</v>
      </c>
      <c r="R234" s="813">
        <v>1</v>
      </c>
      <c r="S234" s="813" t="s">
        <v>7615</v>
      </c>
      <c r="T234" s="813" t="s">
        <v>6895</v>
      </c>
    </row>
    <row r="235" spans="1:20" ht="21" customHeight="1" x14ac:dyDescent="0.35">
      <c r="A235" s="801" t="s">
        <v>7677</v>
      </c>
      <c r="B235" s="801" t="s">
        <v>7678</v>
      </c>
      <c r="C235" s="801"/>
      <c r="D235" s="801"/>
      <c r="E235" s="801"/>
      <c r="F235" s="801"/>
      <c r="G235" s="801" t="s">
        <v>3745</v>
      </c>
      <c r="H235" s="794"/>
      <c r="I235" s="794"/>
      <c r="J235" s="794"/>
      <c r="K235" s="794"/>
      <c r="L235" s="794"/>
      <c r="M235" s="794"/>
      <c r="N235" s="794"/>
      <c r="O235" s="794"/>
      <c r="P235" s="794"/>
      <c r="Q235" s="794"/>
      <c r="R235" s="794"/>
      <c r="S235" s="794"/>
      <c r="T235" s="794"/>
    </row>
    <row r="236" spans="1:20" ht="15" customHeight="1" x14ac:dyDescent="0.35">
      <c r="A236" s="802" t="s">
        <v>6887</v>
      </c>
      <c r="B236" s="802"/>
      <c r="C236" s="802"/>
      <c r="D236" s="802"/>
      <c r="E236" s="802"/>
      <c r="F236" s="802"/>
      <c r="G236" s="802" t="s">
        <v>7679</v>
      </c>
      <c r="H236" s="794"/>
      <c r="I236" s="794"/>
      <c r="J236" s="794"/>
      <c r="K236" s="794"/>
      <c r="L236" s="794"/>
      <c r="M236" s="794"/>
      <c r="N236" s="794"/>
      <c r="O236" s="794"/>
      <c r="P236" s="794"/>
      <c r="Q236" s="794"/>
      <c r="R236" s="794"/>
      <c r="S236" s="794"/>
      <c r="T236" s="794"/>
    </row>
    <row r="237" spans="1:20" ht="15" customHeight="1" x14ac:dyDescent="0.35">
      <c r="A237" s="803" t="s">
        <v>7680</v>
      </c>
      <c r="B237" s="803"/>
      <c r="C237" s="803"/>
      <c r="D237" s="803"/>
      <c r="E237" s="803"/>
      <c r="F237" s="803"/>
      <c r="G237" s="803" t="s">
        <v>6071</v>
      </c>
      <c r="H237" s="794"/>
      <c r="I237" s="794"/>
      <c r="J237" s="794"/>
      <c r="K237" s="794"/>
      <c r="L237" s="794"/>
      <c r="M237" s="794"/>
      <c r="N237" s="794"/>
      <c r="O237" s="794"/>
      <c r="P237" s="794"/>
      <c r="Q237" s="794"/>
      <c r="R237" s="794"/>
      <c r="S237" s="794"/>
      <c r="T237" s="794"/>
    </row>
    <row r="238" spans="1:20" ht="15" customHeight="1" x14ac:dyDescent="0.35">
      <c r="A238" s="794" t="s">
        <v>7681</v>
      </c>
      <c r="B238" s="794" t="s">
        <v>3857</v>
      </c>
      <c r="C238" s="812" t="s">
        <v>5237</v>
      </c>
      <c r="D238" s="825">
        <v>90000</v>
      </c>
      <c r="E238" s="825"/>
      <c r="F238" s="826"/>
      <c r="G238" s="814" t="s">
        <v>3858</v>
      </c>
      <c r="H238" s="813" t="s">
        <v>1343</v>
      </c>
      <c r="I238" s="813" t="s">
        <v>3960</v>
      </c>
      <c r="J238" s="813" t="s">
        <v>1605</v>
      </c>
      <c r="K238" s="813" t="s">
        <v>5223</v>
      </c>
      <c r="L238" s="813" t="s">
        <v>3863</v>
      </c>
      <c r="M238" s="813" t="s">
        <v>3227</v>
      </c>
      <c r="N238" s="813" t="s">
        <v>7682</v>
      </c>
      <c r="O238" s="813" t="s">
        <v>3883</v>
      </c>
      <c r="P238" s="813" t="s">
        <v>7683</v>
      </c>
      <c r="Q238" s="813" t="s">
        <v>7684</v>
      </c>
      <c r="R238" s="813">
        <v>1</v>
      </c>
      <c r="S238" s="813" t="s">
        <v>3928</v>
      </c>
      <c r="T238" s="813" t="s">
        <v>6895</v>
      </c>
    </row>
    <row r="239" spans="1:20" ht="15" customHeight="1" x14ac:dyDescent="0.35">
      <c r="A239" s="794" t="s">
        <v>7685</v>
      </c>
      <c r="B239" s="794" t="s">
        <v>3857</v>
      </c>
      <c r="C239" s="812" t="s">
        <v>5237</v>
      </c>
      <c r="D239" s="825">
        <v>120000</v>
      </c>
      <c r="E239" s="825"/>
      <c r="F239" s="826"/>
      <c r="G239" s="814" t="s">
        <v>3858</v>
      </c>
      <c r="H239" s="813" t="s">
        <v>1343</v>
      </c>
      <c r="I239" s="813" t="s">
        <v>3960</v>
      </c>
      <c r="J239" s="813" t="s">
        <v>1605</v>
      </c>
      <c r="K239" s="813" t="s">
        <v>5223</v>
      </c>
      <c r="L239" s="813" t="s">
        <v>3863</v>
      </c>
      <c r="M239" s="813" t="s">
        <v>3227</v>
      </c>
      <c r="N239" s="813" t="s">
        <v>7686</v>
      </c>
      <c r="O239" s="813" t="s">
        <v>3883</v>
      </c>
      <c r="P239" s="813" t="s">
        <v>7687</v>
      </c>
      <c r="Q239" s="813" t="s">
        <v>7688</v>
      </c>
      <c r="R239" s="813">
        <v>1</v>
      </c>
      <c r="S239" s="813" t="s">
        <v>3928</v>
      </c>
      <c r="T239" s="813" t="s">
        <v>6895</v>
      </c>
    </row>
    <row r="240" spans="1:20" ht="15" customHeight="1" x14ac:dyDescent="0.35">
      <c r="A240" s="794" t="s">
        <v>7689</v>
      </c>
      <c r="B240" s="794" t="s">
        <v>3857</v>
      </c>
      <c r="C240" s="812" t="s">
        <v>5237</v>
      </c>
      <c r="D240" s="825">
        <v>200000</v>
      </c>
      <c r="E240" s="825"/>
      <c r="F240" s="826"/>
      <c r="G240" s="814" t="s">
        <v>3858</v>
      </c>
      <c r="H240" s="813" t="s">
        <v>1343</v>
      </c>
      <c r="I240" s="813" t="s">
        <v>3960</v>
      </c>
      <c r="J240" s="813" t="s">
        <v>1605</v>
      </c>
      <c r="K240" s="813" t="s">
        <v>5223</v>
      </c>
      <c r="L240" s="813" t="s">
        <v>3863</v>
      </c>
      <c r="M240" s="813" t="s">
        <v>3227</v>
      </c>
      <c r="N240" s="813" t="s">
        <v>7690</v>
      </c>
      <c r="O240" s="813" t="s">
        <v>3883</v>
      </c>
      <c r="P240" s="813" t="s">
        <v>7691</v>
      </c>
      <c r="Q240" s="813" t="s">
        <v>7692</v>
      </c>
      <c r="R240" s="813">
        <v>1</v>
      </c>
      <c r="S240" s="813" t="s">
        <v>3928</v>
      </c>
      <c r="T240" s="813" t="s">
        <v>6895</v>
      </c>
    </row>
    <row r="241" spans="1:20" ht="15" customHeight="1" x14ac:dyDescent="0.35">
      <c r="A241" s="794" t="s">
        <v>7693</v>
      </c>
      <c r="B241" s="794" t="s">
        <v>3857</v>
      </c>
      <c r="C241" s="812" t="s">
        <v>5237</v>
      </c>
      <c r="D241" s="825">
        <v>70000</v>
      </c>
      <c r="E241" s="825"/>
      <c r="F241" s="826"/>
      <c r="G241" s="814" t="s">
        <v>3858</v>
      </c>
      <c r="H241" s="813" t="s">
        <v>1343</v>
      </c>
      <c r="I241" s="813" t="s">
        <v>3960</v>
      </c>
      <c r="J241" s="813" t="s">
        <v>1605</v>
      </c>
      <c r="K241" s="813" t="s">
        <v>5223</v>
      </c>
      <c r="L241" s="813" t="s">
        <v>3863</v>
      </c>
      <c r="M241" s="813" t="s">
        <v>3227</v>
      </c>
      <c r="N241" s="813" t="s">
        <v>7694</v>
      </c>
      <c r="O241" s="813" t="s">
        <v>3883</v>
      </c>
      <c r="P241" s="813" t="s">
        <v>7695</v>
      </c>
      <c r="Q241" s="813" t="s">
        <v>7696</v>
      </c>
      <c r="R241" s="813">
        <v>1</v>
      </c>
      <c r="S241" s="813" t="s">
        <v>3928</v>
      </c>
      <c r="T241" s="813" t="s">
        <v>6895</v>
      </c>
    </row>
    <row r="242" spans="1:20" ht="15" customHeight="1" x14ac:dyDescent="0.35">
      <c r="A242" s="794" t="s">
        <v>7697</v>
      </c>
      <c r="B242" s="794" t="s">
        <v>3857</v>
      </c>
      <c r="C242" s="812" t="s">
        <v>5237</v>
      </c>
      <c r="D242" s="825">
        <v>110000</v>
      </c>
      <c r="E242" s="825"/>
      <c r="F242" s="826"/>
      <c r="G242" s="814" t="s">
        <v>3858</v>
      </c>
      <c r="H242" s="813" t="s">
        <v>1343</v>
      </c>
      <c r="I242" s="813" t="s">
        <v>3960</v>
      </c>
      <c r="J242" s="813" t="s">
        <v>1605</v>
      </c>
      <c r="K242" s="813" t="s">
        <v>5223</v>
      </c>
      <c r="L242" s="813" t="s">
        <v>3863</v>
      </c>
      <c r="M242" s="813" t="s">
        <v>3227</v>
      </c>
      <c r="N242" s="813" t="s">
        <v>7698</v>
      </c>
      <c r="O242" s="813" t="s">
        <v>3883</v>
      </c>
      <c r="P242" s="813" t="s">
        <v>7699</v>
      </c>
      <c r="Q242" s="813" t="s">
        <v>7700</v>
      </c>
      <c r="R242" s="813">
        <v>1</v>
      </c>
      <c r="S242" s="813" t="s">
        <v>3928</v>
      </c>
      <c r="T242" s="813" t="s">
        <v>6895</v>
      </c>
    </row>
    <row r="243" spans="1:20" ht="15" customHeight="1" x14ac:dyDescent="0.35">
      <c r="A243" s="794" t="s">
        <v>7701</v>
      </c>
      <c r="B243" s="794" t="s">
        <v>3857</v>
      </c>
      <c r="C243" s="812" t="s">
        <v>5237</v>
      </c>
      <c r="D243" s="825">
        <v>280000</v>
      </c>
      <c r="E243" s="825"/>
      <c r="F243" s="826"/>
      <c r="G243" s="814" t="s">
        <v>3858</v>
      </c>
      <c r="H243" s="813" t="s">
        <v>1343</v>
      </c>
      <c r="I243" s="813" t="s">
        <v>3960</v>
      </c>
      <c r="J243" s="813" t="s">
        <v>1605</v>
      </c>
      <c r="K243" s="813" t="s">
        <v>5223</v>
      </c>
      <c r="L243" s="813" t="s">
        <v>3863</v>
      </c>
      <c r="M243" s="813" t="s">
        <v>3227</v>
      </c>
      <c r="N243" s="813" t="s">
        <v>7702</v>
      </c>
      <c r="O243" s="813" t="s">
        <v>3883</v>
      </c>
      <c r="P243" s="813" t="s">
        <v>7703</v>
      </c>
      <c r="Q243" s="813" t="s">
        <v>7704</v>
      </c>
      <c r="R243" s="813">
        <v>1</v>
      </c>
      <c r="S243" s="813" t="s">
        <v>3928</v>
      </c>
      <c r="T243" s="813" t="s">
        <v>6895</v>
      </c>
    </row>
    <row r="244" spans="1:20" ht="15" customHeight="1" x14ac:dyDescent="0.35">
      <c r="A244" s="794" t="s">
        <v>7705</v>
      </c>
      <c r="B244" s="794" t="s">
        <v>3857</v>
      </c>
      <c r="C244" s="812" t="s">
        <v>5237</v>
      </c>
      <c r="D244" s="825">
        <v>180000</v>
      </c>
      <c r="E244" s="825"/>
      <c r="F244" s="826"/>
      <c r="G244" s="814" t="s">
        <v>3858</v>
      </c>
      <c r="H244" s="813" t="s">
        <v>1343</v>
      </c>
      <c r="I244" s="813" t="s">
        <v>3960</v>
      </c>
      <c r="J244" s="813" t="s">
        <v>1605</v>
      </c>
      <c r="K244" s="813" t="s">
        <v>5223</v>
      </c>
      <c r="L244" s="813" t="s">
        <v>3863</v>
      </c>
      <c r="M244" s="813" t="s">
        <v>3227</v>
      </c>
      <c r="N244" s="813" t="s">
        <v>7706</v>
      </c>
      <c r="O244" s="813" t="s">
        <v>3883</v>
      </c>
      <c r="P244" s="813" t="s">
        <v>7707</v>
      </c>
      <c r="Q244" s="813" t="s">
        <v>7708</v>
      </c>
      <c r="R244" s="813">
        <v>1</v>
      </c>
      <c r="S244" s="813" t="s">
        <v>3928</v>
      </c>
      <c r="T244" s="813" t="s">
        <v>6895</v>
      </c>
    </row>
    <row r="245" spans="1:20" ht="15" customHeight="1" x14ac:dyDescent="0.35">
      <c r="A245" s="794" t="s">
        <v>7709</v>
      </c>
      <c r="B245" s="794" t="s">
        <v>3857</v>
      </c>
      <c r="C245" s="812" t="s">
        <v>5237</v>
      </c>
      <c r="D245" s="825">
        <v>160000</v>
      </c>
      <c r="E245" s="825"/>
      <c r="F245" s="826"/>
      <c r="G245" s="814" t="s">
        <v>3858</v>
      </c>
      <c r="H245" s="813" t="s">
        <v>1343</v>
      </c>
      <c r="I245" s="813" t="s">
        <v>3960</v>
      </c>
      <c r="J245" s="813" t="s">
        <v>1605</v>
      </c>
      <c r="K245" s="813" t="s">
        <v>5223</v>
      </c>
      <c r="L245" s="813" t="s">
        <v>3863</v>
      </c>
      <c r="M245" s="813" t="s">
        <v>3227</v>
      </c>
      <c r="N245" s="813" t="s">
        <v>7710</v>
      </c>
      <c r="O245" s="813" t="s">
        <v>3883</v>
      </c>
      <c r="P245" s="813" t="s">
        <v>7711</v>
      </c>
      <c r="Q245" s="813" t="s">
        <v>7712</v>
      </c>
      <c r="R245" s="813">
        <v>1</v>
      </c>
      <c r="S245" s="813" t="s">
        <v>3928</v>
      </c>
      <c r="T245" s="813" t="s">
        <v>6895</v>
      </c>
    </row>
    <row r="246" spans="1:20" ht="15" customHeight="1" x14ac:dyDescent="0.35">
      <c r="A246" s="794" t="s">
        <v>7713</v>
      </c>
      <c r="B246" s="794" t="s">
        <v>3857</v>
      </c>
      <c r="C246" s="812" t="s">
        <v>5237</v>
      </c>
      <c r="D246" s="825">
        <v>90000</v>
      </c>
      <c r="E246" s="825"/>
      <c r="F246" s="826"/>
      <c r="G246" s="814" t="s">
        <v>3858</v>
      </c>
      <c r="H246" s="813" t="s">
        <v>1343</v>
      </c>
      <c r="I246" s="813" t="s">
        <v>3960</v>
      </c>
      <c r="J246" s="813" t="s">
        <v>1605</v>
      </c>
      <c r="K246" s="813" t="s">
        <v>5223</v>
      </c>
      <c r="L246" s="813" t="s">
        <v>3863</v>
      </c>
      <c r="M246" s="813" t="s">
        <v>3227</v>
      </c>
      <c r="N246" s="813" t="s">
        <v>7714</v>
      </c>
      <c r="O246" s="813" t="s">
        <v>3883</v>
      </c>
      <c r="P246" s="813" t="s">
        <v>7715</v>
      </c>
      <c r="Q246" s="813" t="s">
        <v>7716</v>
      </c>
      <c r="R246" s="813">
        <v>1</v>
      </c>
      <c r="S246" s="813" t="s">
        <v>3928</v>
      </c>
      <c r="T246" s="813" t="s">
        <v>6895</v>
      </c>
    </row>
    <row r="247" spans="1:20" ht="15" customHeight="1" x14ac:dyDescent="0.35">
      <c r="A247" s="803" t="s">
        <v>7717</v>
      </c>
      <c r="B247" s="803"/>
      <c r="C247" s="803"/>
      <c r="D247" s="803"/>
      <c r="E247" s="803"/>
      <c r="F247" s="803"/>
      <c r="G247" s="803" t="s">
        <v>7718</v>
      </c>
      <c r="H247" s="794"/>
      <c r="I247" s="794"/>
      <c r="J247" s="794"/>
      <c r="K247" s="794"/>
      <c r="L247" s="794"/>
      <c r="M247" s="794"/>
      <c r="N247" s="794"/>
      <c r="O247" s="794"/>
      <c r="P247" s="794"/>
      <c r="Q247" s="794"/>
      <c r="R247" s="794"/>
      <c r="S247" s="794"/>
      <c r="T247" s="794"/>
    </row>
    <row r="248" spans="1:20" ht="15" customHeight="1" x14ac:dyDescent="0.35">
      <c r="A248" s="794" t="s">
        <v>7719</v>
      </c>
      <c r="B248" s="794" t="s">
        <v>3857</v>
      </c>
      <c r="C248" s="812" t="s">
        <v>3913</v>
      </c>
      <c r="D248" s="825"/>
      <c r="E248" s="825"/>
      <c r="F248" s="825">
        <v>800</v>
      </c>
      <c r="G248" s="814" t="s">
        <v>3858</v>
      </c>
      <c r="H248" s="813" t="s">
        <v>1343</v>
      </c>
      <c r="I248" s="813" t="s">
        <v>3960</v>
      </c>
      <c r="J248" s="813" t="s">
        <v>7720</v>
      </c>
      <c r="K248" s="813" t="s">
        <v>5223</v>
      </c>
      <c r="L248" s="813" t="s">
        <v>3863</v>
      </c>
      <c r="M248" s="813" t="s">
        <v>3227</v>
      </c>
      <c r="N248" s="813" t="s">
        <v>7721</v>
      </c>
      <c r="O248" s="813" t="s">
        <v>3883</v>
      </c>
      <c r="P248" s="813" t="s">
        <v>7722</v>
      </c>
      <c r="Q248" s="813" t="s">
        <v>7723</v>
      </c>
      <c r="R248" s="813">
        <v>1</v>
      </c>
      <c r="S248" s="813" t="s">
        <v>3928</v>
      </c>
      <c r="T248" s="813" t="s">
        <v>6895</v>
      </c>
    </row>
    <row r="249" spans="1:20" ht="15" customHeight="1" x14ac:dyDescent="0.35">
      <c r="A249" s="794" t="s">
        <v>7724</v>
      </c>
      <c r="B249" s="794" t="s">
        <v>3857</v>
      </c>
      <c r="C249" s="812" t="s">
        <v>5237</v>
      </c>
      <c r="D249" s="825">
        <v>95</v>
      </c>
      <c r="E249" s="825"/>
      <c r="F249" s="826"/>
      <c r="G249" s="814" t="s">
        <v>3858</v>
      </c>
      <c r="H249" s="813" t="s">
        <v>1343</v>
      </c>
      <c r="I249" s="813" t="s">
        <v>3960</v>
      </c>
      <c r="J249" s="813" t="s">
        <v>7720</v>
      </c>
      <c r="K249" s="813" t="s">
        <v>5223</v>
      </c>
      <c r="L249" s="813" t="s">
        <v>3863</v>
      </c>
      <c r="M249" s="813" t="s">
        <v>3227</v>
      </c>
      <c r="N249" s="813" t="s">
        <v>7725</v>
      </c>
      <c r="O249" s="813" t="s">
        <v>3883</v>
      </c>
      <c r="P249" s="813" t="s">
        <v>7726</v>
      </c>
      <c r="Q249" s="813" t="s">
        <v>7727</v>
      </c>
      <c r="R249" s="813">
        <v>1</v>
      </c>
      <c r="S249" s="813" t="s">
        <v>3928</v>
      </c>
      <c r="T249" s="813" t="s">
        <v>6895</v>
      </c>
    </row>
    <row r="250" spans="1:20" ht="15" customHeight="1" x14ac:dyDescent="0.35">
      <c r="A250" s="794" t="s">
        <v>7728</v>
      </c>
      <c r="B250" s="794" t="s">
        <v>3857</v>
      </c>
      <c r="C250" s="812" t="s">
        <v>5237</v>
      </c>
      <c r="D250" s="825">
        <f>F248*D249*12</f>
        <v>912000</v>
      </c>
      <c r="E250" s="825"/>
      <c r="F250" s="826"/>
      <c r="G250" s="814" t="s">
        <v>9531</v>
      </c>
      <c r="H250" s="813" t="s">
        <v>1343</v>
      </c>
      <c r="I250" s="813" t="s">
        <v>3960</v>
      </c>
      <c r="J250" s="813" t="s">
        <v>7720</v>
      </c>
      <c r="K250" s="813" t="s">
        <v>5223</v>
      </c>
      <c r="L250" s="813" t="s">
        <v>3863</v>
      </c>
      <c r="M250" s="813" t="s">
        <v>3227</v>
      </c>
      <c r="N250" s="813" t="s">
        <v>7729</v>
      </c>
      <c r="O250" s="813" t="s">
        <v>9532</v>
      </c>
      <c r="P250" s="813" t="s">
        <v>7730</v>
      </c>
      <c r="Q250" s="813" t="s">
        <v>7731</v>
      </c>
      <c r="R250" s="813">
        <v>1</v>
      </c>
      <c r="S250" s="813" t="s">
        <v>3928</v>
      </c>
      <c r="T250" s="813" t="s">
        <v>9533</v>
      </c>
    </row>
    <row r="251" spans="1:20" ht="15" customHeight="1" x14ac:dyDescent="0.35">
      <c r="A251" s="794" t="s">
        <v>7732</v>
      </c>
      <c r="B251" s="794" t="s">
        <v>3857</v>
      </c>
      <c r="C251" s="812" t="s">
        <v>3913</v>
      </c>
      <c r="D251" s="825"/>
      <c r="E251" s="825"/>
      <c r="F251" s="825">
        <v>600</v>
      </c>
      <c r="G251" s="814" t="s">
        <v>3858</v>
      </c>
      <c r="H251" s="813" t="s">
        <v>1343</v>
      </c>
      <c r="I251" s="813" t="s">
        <v>3960</v>
      </c>
      <c r="J251" s="813" t="s">
        <v>7720</v>
      </c>
      <c r="K251" s="813" t="s">
        <v>5223</v>
      </c>
      <c r="L251" s="813" t="s">
        <v>3863</v>
      </c>
      <c r="M251" s="813" t="s">
        <v>3227</v>
      </c>
      <c r="N251" s="813" t="s">
        <v>7733</v>
      </c>
      <c r="O251" s="813" t="s">
        <v>3883</v>
      </c>
      <c r="P251" s="813" t="s">
        <v>7734</v>
      </c>
      <c r="Q251" s="813" t="s">
        <v>7735</v>
      </c>
      <c r="R251" s="813">
        <v>1</v>
      </c>
      <c r="S251" s="813" t="s">
        <v>3928</v>
      </c>
      <c r="T251" s="813" t="s">
        <v>6895</v>
      </c>
    </row>
    <row r="252" spans="1:20" ht="15" customHeight="1" x14ac:dyDescent="0.35">
      <c r="A252" s="794" t="s">
        <v>7736</v>
      </c>
      <c r="B252" s="794" t="s">
        <v>3857</v>
      </c>
      <c r="C252" s="812" t="s">
        <v>5237</v>
      </c>
      <c r="D252" s="825">
        <v>75</v>
      </c>
      <c r="E252" s="825"/>
      <c r="F252" s="826"/>
      <c r="G252" s="814" t="s">
        <v>3858</v>
      </c>
      <c r="H252" s="813" t="s">
        <v>1343</v>
      </c>
      <c r="I252" s="813" t="s">
        <v>3960</v>
      </c>
      <c r="J252" s="813" t="s">
        <v>7720</v>
      </c>
      <c r="K252" s="813" t="s">
        <v>5223</v>
      </c>
      <c r="L252" s="813" t="s">
        <v>3863</v>
      </c>
      <c r="M252" s="813" t="s">
        <v>3227</v>
      </c>
      <c r="N252" s="813" t="s">
        <v>7737</v>
      </c>
      <c r="O252" s="813" t="s">
        <v>3883</v>
      </c>
      <c r="P252" s="813" t="s">
        <v>7738</v>
      </c>
      <c r="Q252" s="813" t="s">
        <v>7739</v>
      </c>
      <c r="R252" s="813">
        <v>1</v>
      </c>
      <c r="S252" s="813" t="s">
        <v>3928</v>
      </c>
      <c r="T252" s="813" t="s">
        <v>6895</v>
      </c>
    </row>
    <row r="253" spans="1:20" ht="15" customHeight="1" x14ac:dyDescent="0.35">
      <c r="A253" s="794" t="s">
        <v>7740</v>
      </c>
      <c r="B253" s="794" t="s">
        <v>3857</v>
      </c>
      <c r="C253" s="812" t="s">
        <v>5237</v>
      </c>
      <c r="D253" s="825">
        <f>F251*D252*12</f>
        <v>540000</v>
      </c>
      <c r="E253" s="825"/>
      <c r="F253" s="826"/>
      <c r="G253" s="814" t="s">
        <v>9531</v>
      </c>
      <c r="H253" s="813" t="s">
        <v>1343</v>
      </c>
      <c r="I253" s="813" t="s">
        <v>3960</v>
      </c>
      <c r="J253" s="813" t="s">
        <v>7720</v>
      </c>
      <c r="K253" s="813" t="s">
        <v>5223</v>
      </c>
      <c r="L253" s="813" t="s">
        <v>3863</v>
      </c>
      <c r="M253" s="813" t="s">
        <v>3227</v>
      </c>
      <c r="N253" s="813" t="s">
        <v>7741</v>
      </c>
      <c r="O253" s="813" t="s">
        <v>9534</v>
      </c>
      <c r="P253" s="813" t="s">
        <v>7742</v>
      </c>
      <c r="Q253" s="813" t="s">
        <v>7743</v>
      </c>
      <c r="R253" s="813">
        <v>1</v>
      </c>
      <c r="S253" s="813" t="s">
        <v>3928</v>
      </c>
      <c r="T253" s="813" t="s">
        <v>9533</v>
      </c>
    </row>
    <row r="254" spans="1:20" ht="15" customHeight="1" x14ac:dyDescent="0.35">
      <c r="A254" s="794" t="s">
        <v>7744</v>
      </c>
      <c r="B254" s="794" t="s">
        <v>3857</v>
      </c>
      <c r="C254" s="812" t="s">
        <v>3913</v>
      </c>
      <c r="D254" s="825"/>
      <c r="E254" s="825"/>
      <c r="F254" s="825">
        <v>300</v>
      </c>
      <c r="G254" s="814" t="s">
        <v>3858</v>
      </c>
      <c r="H254" s="813" t="s">
        <v>1343</v>
      </c>
      <c r="I254" s="813" t="s">
        <v>3960</v>
      </c>
      <c r="J254" s="813" t="s">
        <v>7720</v>
      </c>
      <c r="K254" s="813" t="s">
        <v>5223</v>
      </c>
      <c r="L254" s="813" t="s">
        <v>3863</v>
      </c>
      <c r="M254" s="813" t="s">
        <v>3227</v>
      </c>
      <c r="N254" s="813" t="s">
        <v>7745</v>
      </c>
      <c r="O254" s="813" t="s">
        <v>3883</v>
      </c>
      <c r="P254" s="813" t="s">
        <v>7746</v>
      </c>
      <c r="Q254" s="813" t="s">
        <v>7747</v>
      </c>
      <c r="R254" s="813">
        <v>1</v>
      </c>
      <c r="S254" s="813" t="s">
        <v>3928</v>
      </c>
      <c r="T254" s="813" t="s">
        <v>6895</v>
      </c>
    </row>
    <row r="255" spans="1:20" ht="15" customHeight="1" x14ac:dyDescent="0.35">
      <c r="A255" s="794" t="s">
        <v>7748</v>
      </c>
      <c r="B255" s="794" t="s">
        <v>3857</v>
      </c>
      <c r="C255" s="812" t="s">
        <v>5237</v>
      </c>
      <c r="D255" s="825">
        <v>55</v>
      </c>
      <c r="E255" s="825"/>
      <c r="F255" s="826"/>
      <c r="G255" s="814" t="s">
        <v>3858</v>
      </c>
      <c r="H255" s="813" t="s">
        <v>1343</v>
      </c>
      <c r="I255" s="813" t="s">
        <v>3960</v>
      </c>
      <c r="J255" s="813" t="s">
        <v>7720</v>
      </c>
      <c r="K255" s="813" t="s">
        <v>5223</v>
      </c>
      <c r="L255" s="813" t="s">
        <v>3863</v>
      </c>
      <c r="M255" s="813" t="s">
        <v>3227</v>
      </c>
      <c r="N255" s="813" t="s">
        <v>7749</v>
      </c>
      <c r="O255" s="813" t="s">
        <v>3883</v>
      </c>
      <c r="P255" s="813" t="s">
        <v>7750</v>
      </c>
      <c r="Q255" s="813" t="s">
        <v>7751</v>
      </c>
      <c r="R255" s="813">
        <v>1</v>
      </c>
      <c r="S255" s="813" t="s">
        <v>3928</v>
      </c>
      <c r="T255" s="813" t="s">
        <v>6895</v>
      </c>
    </row>
    <row r="256" spans="1:20" ht="15" customHeight="1" x14ac:dyDescent="0.35">
      <c r="A256" s="794" t="s">
        <v>7752</v>
      </c>
      <c r="B256" s="794" t="s">
        <v>3857</v>
      </c>
      <c r="C256" s="812" t="s">
        <v>5237</v>
      </c>
      <c r="D256" s="825">
        <f>F254*D255*12</f>
        <v>198000</v>
      </c>
      <c r="E256" s="825"/>
      <c r="F256" s="826"/>
      <c r="G256" s="814" t="s">
        <v>9531</v>
      </c>
      <c r="H256" s="813" t="s">
        <v>1343</v>
      </c>
      <c r="I256" s="813" t="s">
        <v>3960</v>
      </c>
      <c r="J256" s="813" t="s">
        <v>7720</v>
      </c>
      <c r="K256" s="813" t="s">
        <v>5223</v>
      </c>
      <c r="L256" s="813" t="s">
        <v>3863</v>
      </c>
      <c r="M256" s="813" t="s">
        <v>3227</v>
      </c>
      <c r="N256" s="813" t="s">
        <v>7753</v>
      </c>
      <c r="O256" s="813" t="s">
        <v>9535</v>
      </c>
      <c r="P256" s="813" t="s">
        <v>7754</v>
      </c>
      <c r="Q256" s="813" t="s">
        <v>7755</v>
      </c>
      <c r="R256" s="813">
        <v>1</v>
      </c>
      <c r="S256" s="813" t="s">
        <v>3928</v>
      </c>
      <c r="T256" s="813" t="s">
        <v>9533</v>
      </c>
    </row>
    <row r="257" spans="1:20" ht="15" customHeight="1" x14ac:dyDescent="0.35">
      <c r="A257" s="794" t="s">
        <v>7756</v>
      </c>
      <c r="B257" s="794" t="s">
        <v>3857</v>
      </c>
      <c r="C257" s="812" t="s">
        <v>3913</v>
      </c>
      <c r="D257" s="825"/>
      <c r="E257" s="825"/>
      <c r="F257" s="825">
        <v>200</v>
      </c>
      <c r="G257" s="814" t="s">
        <v>3858</v>
      </c>
      <c r="H257" s="813" t="s">
        <v>1343</v>
      </c>
      <c r="I257" s="813" t="s">
        <v>3960</v>
      </c>
      <c r="J257" s="813" t="s">
        <v>7720</v>
      </c>
      <c r="K257" s="813" t="s">
        <v>5223</v>
      </c>
      <c r="L257" s="813" t="s">
        <v>3863</v>
      </c>
      <c r="M257" s="813" t="s">
        <v>3227</v>
      </c>
      <c r="N257" s="813" t="s">
        <v>7757</v>
      </c>
      <c r="O257" s="813" t="s">
        <v>3883</v>
      </c>
      <c r="P257" s="813" t="s">
        <v>7758</v>
      </c>
      <c r="Q257" s="813" t="s">
        <v>7759</v>
      </c>
      <c r="R257" s="813">
        <v>1</v>
      </c>
      <c r="S257" s="813" t="s">
        <v>3928</v>
      </c>
      <c r="T257" s="813" t="s">
        <v>6895</v>
      </c>
    </row>
    <row r="258" spans="1:20" ht="15" customHeight="1" x14ac:dyDescent="0.35">
      <c r="A258" s="794" t="s">
        <v>7760</v>
      </c>
      <c r="B258" s="794" t="s">
        <v>3857</v>
      </c>
      <c r="C258" s="812" t="s">
        <v>5237</v>
      </c>
      <c r="D258" s="825">
        <v>50</v>
      </c>
      <c r="E258" s="825"/>
      <c r="F258" s="826"/>
      <c r="G258" s="814" t="s">
        <v>3858</v>
      </c>
      <c r="H258" s="813" t="s">
        <v>1343</v>
      </c>
      <c r="I258" s="813" t="s">
        <v>3960</v>
      </c>
      <c r="J258" s="813" t="s">
        <v>7720</v>
      </c>
      <c r="K258" s="813" t="s">
        <v>5223</v>
      </c>
      <c r="L258" s="813" t="s">
        <v>3863</v>
      </c>
      <c r="M258" s="813" t="s">
        <v>3227</v>
      </c>
      <c r="N258" s="813" t="s">
        <v>7761</v>
      </c>
      <c r="O258" s="813" t="s">
        <v>3883</v>
      </c>
      <c r="P258" s="813" t="s">
        <v>7762</v>
      </c>
      <c r="Q258" s="813" t="s">
        <v>7763</v>
      </c>
      <c r="R258" s="813">
        <v>1</v>
      </c>
      <c r="S258" s="813" t="s">
        <v>3928</v>
      </c>
      <c r="T258" s="813" t="s">
        <v>6895</v>
      </c>
    </row>
    <row r="259" spans="1:20" ht="15" customHeight="1" x14ac:dyDescent="0.35">
      <c r="A259" s="794" t="s">
        <v>7764</v>
      </c>
      <c r="B259" s="794" t="s">
        <v>3857</v>
      </c>
      <c r="C259" s="812" t="s">
        <v>5237</v>
      </c>
      <c r="D259" s="825">
        <f>F257*D258*12</f>
        <v>120000</v>
      </c>
      <c r="E259" s="825"/>
      <c r="F259" s="826"/>
      <c r="G259" s="814" t="s">
        <v>9531</v>
      </c>
      <c r="H259" s="813" t="s">
        <v>1343</v>
      </c>
      <c r="I259" s="813" t="s">
        <v>3960</v>
      </c>
      <c r="J259" s="813" t="s">
        <v>7720</v>
      </c>
      <c r="K259" s="813" t="s">
        <v>5223</v>
      </c>
      <c r="L259" s="813" t="s">
        <v>3863</v>
      </c>
      <c r="M259" s="813" t="s">
        <v>3227</v>
      </c>
      <c r="N259" s="813" t="s">
        <v>7765</v>
      </c>
      <c r="O259" s="813" t="s">
        <v>9536</v>
      </c>
      <c r="P259" s="813" t="s">
        <v>7766</v>
      </c>
      <c r="Q259" s="813" t="s">
        <v>7767</v>
      </c>
      <c r="R259" s="813">
        <v>1</v>
      </c>
      <c r="S259" s="813" t="s">
        <v>3928</v>
      </c>
      <c r="T259" s="813" t="s">
        <v>9533</v>
      </c>
    </row>
    <row r="260" spans="1:20" ht="15" customHeight="1" x14ac:dyDescent="0.35">
      <c r="A260" s="794" t="s">
        <v>7768</v>
      </c>
      <c r="B260" s="794" t="s">
        <v>3857</v>
      </c>
      <c r="C260" s="812" t="s">
        <v>3913</v>
      </c>
      <c r="D260" s="825"/>
      <c r="E260" s="825"/>
      <c r="F260" s="825">
        <v>250</v>
      </c>
      <c r="G260" s="814" t="s">
        <v>3858</v>
      </c>
      <c r="H260" s="813" t="s">
        <v>1343</v>
      </c>
      <c r="I260" s="813" t="s">
        <v>3960</v>
      </c>
      <c r="J260" s="813" t="s">
        <v>7720</v>
      </c>
      <c r="K260" s="813" t="s">
        <v>5223</v>
      </c>
      <c r="L260" s="813" t="s">
        <v>3863</v>
      </c>
      <c r="M260" s="813" t="s">
        <v>3227</v>
      </c>
      <c r="N260" s="813" t="s">
        <v>7769</v>
      </c>
      <c r="O260" s="813" t="s">
        <v>3883</v>
      </c>
      <c r="P260" s="813" t="s">
        <v>7770</v>
      </c>
      <c r="Q260" s="813" t="s">
        <v>7771</v>
      </c>
      <c r="R260" s="813">
        <v>1</v>
      </c>
      <c r="S260" s="813" t="s">
        <v>3928</v>
      </c>
      <c r="T260" s="813" t="s">
        <v>6895</v>
      </c>
    </row>
    <row r="261" spans="1:20" ht="15" customHeight="1" x14ac:dyDescent="0.35">
      <c r="A261" s="794" t="s">
        <v>7772</v>
      </c>
      <c r="B261" s="794" t="s">
        <v>3857</v>
      </c>
      <c r="C261" s="812" t="s">
        <v>5237</v>
      </c>
      <c r="D261" s="825">
        <v>165</v>
      </c>
      <c r="E261" s="825"/>
      <c r="F261" s="826"/>
      <c r="G261" s="814" t="s">
        <v>3858</v>
      </c>
      <c r="H261" s="813" t="s">
        <v>1343</v>
      </c>
      <c r="I261" s="813" t="s">
        <v>3960</v>
      </c>
      <c r="J261" s="813" t="s">
        <v>7720</v>
      </c>
      <c r="K261" s="813" t="s">
        <v>5223</v>
      </c>
      <c r="L261" s="813" t="s">
        <v>3863</v>
      </c>
      <c r="M261" s="813" t="s">
        <v>3227</v>
      </c>
      <c r="N261" s="813" t="s">
        <v>7773</v>
      </c>
      <c r="O261" s="813" t="s">
        <v>3883</v>
      </c>
      <c r="P261" s="813" t="s">
        <v>7774</v>
      </c>
      <c r="Q261" s="813" t="s">
        <v>7775</v>
      </c>
      <c r="R261" s="813">
        <v>1</v>
      </c>
      <c r="S261" s="813" t="s">
        <v>3928</v>
      </c>
      <c r="T261" s="813" t="s">
        <v>6895</v>
      </c>
    </row>
    <row r="262" spans="1:20" ht="15" customHeight="1" x14ac:dyDescent="0.35">
      <c r="A262" s="794" t="s">
        <v>7776</v>
      </c>
      <c r="B262" s="794" t="s">
        <v>3857</v>
      </c>
      <c r="C262" s="812" t="s">
        <v>5237</v>
      </c>
      <c r="D262" s="825">
        <f>F260*D261*12</f>
        <v>495000</v>
      </c>
      <c r="E262" s="825"/>
      <c r="F262" s="826"/>
      <c r="G262" s="814" t="s">
        <v>9531</v>
      </c>
      <c r="H262" s="813" t="s">
        <v>1343</v>
      </c>
      <c r="I262" s="813" t="s">
        <v>3960</v>
      </c>
      <c r="J262" s="813" t="s">
        <v>7720</v>
      </c>
      <c r="K262" s="813" t="s">
        <v>5223</v>
      </c>
      <c r="L262" s="813" t="s">
        <v>3863</v>
      </c>
      <c r="M262" s="813" t="s">
        <v>3227</v>
      </c>
      <c r="N262" s="813" t="s">
        <v>7777</v>
      </c>
      <c r="O262" s="813" t="s">
        <v>9537</v>
      </c>
      <c r="P262" s="813" t="s">
        <v>7778</v>
      </c>
      <c r="Q262" s="813" t="s">
        <v>7779</v>
      </c>
      <c r="R262" s="813">
        <v>1</v>
      </c>
      <c r="S262" s="813" t="s">
        <v>3928</v>
      </c>
      <c r="T262" s="813" t="s">
        <v>9533</v>
      </c>
    </row>
    <row r="263" spans="1:20" ht="15" customHeight="1" x14ac:dyDescent="0.35">
      <c r="A263" s="794" t="s">
        <v>7780</v>
      </c>
      <c r="B263" s="794" t="s">
        <v>3857</v>
      </c>
      <c r="C263" s="812" t="s">
        <v>3913</v>
      </c>
      <c r="D263" s="825"/>
      <c r="E263" s="825"/>
      <c r="F263" s="825">
        <f>SUM(F248,F251,F254,F257,F260)</f>
        <v>2150</v>
      </c>
      <c r="G263" s="814" t="s">
        <v>9531</v>
      </c>
      <c r="H263" s="813" t="s">
        <v>1343</v>
      </c>
      <c r="I263" s="813" t="s">
        <v>3960</v>
      </c>
      <c r="J263" s="813" t="s">
        <v>7720</v>
      </c>
      <c r="K263" s="813" t="s">
        <v>5223</v>
      </c>
      <c r="L263" s="813" t="s">
        <v>3863</v>
      </c>
      <c r="M263" s="813" t="s">
        <v>3227</v>
      </c>
      <c r="N263" s="813" t="s">
        <v>7781</v>
      </c>
      <c r="O263" s="813" t="s">
        <v>9538</v>
      </c>
      <c r="P263" s="813" t="s">
        <v>7782</v>
      </c>
      <c r="Q263" s="813" t="s">
        <v>7783</v>
      </c>
      <c r="R263" s="813">
        <v>1</v>
      </c>
      <c r="S263" s="813" t="s">
        <v>3928</v>
      </c>
      <c r="T263" s="813" t="s">
        <v>9540</v>
      </c>
    </row>
    <row r="264" spans="1:20" ht="15" customHeight="1" x14ac:dyDescent="0.35">
      <c r="A264" s="794" t="s">
        <v>7784</v>
      </c>
      <c r="B264" s="794" t="s">
        <v>3857</v>
      </c>
      <c r="C264" s="812" t="s">
        <v>5237</v>
      </c>
      <c r="D264" s="825">
        <f>SUM(D250,D253,D256,D259,D262)</f>
        <v>2265000</v>
      </c>
      <c r="E264" s="825"/>
      <c r="F264" s="826"/>
      <c r="G264" s="814" t="s">
        <v>9531</v>
      </c>
      <c r="H264" s="813" t="s">
        <v>1343</v>
      </c>
      <c r="I264" s="813" t="s">
        <v>3960</v>
      </c>
      <c r="J264" s="813" t="s">
        <v>7720</v>
      </c>
      <c r="K264" s="813" t="s">
        <v>5223</v>
      </c>
      <c r="L264" s="813" t="s">
        <v>3863</v>
      </c>
      <c r="M264" s="813" t="s">
        <v>3227</v>
      </c>
      <c r="N264" s="813" t="s">
        <v>7785</v>
      </c>
      <c r="O264" s="813" t="s">
        <v>9539</v>
      </c>
      <c r="P264" s="813" t="s">
        <v>7786</v>
      </c>
      <c r="Q264" s="813" t="s">
        <v>7787</v>
      </c>
      <c r="R264" s="813">
        <v>1</v>
      </c>
      <c r="S264" s="813" t="s">
        <v>3928</v>
      </c>
      <c r="T264" s="813" t="s">
        <v>9541</v>
      </c>
    </row>
    <row r="265" spans="1:20" ht="15" customHeight="1" x14ac:dyDescent="0.35">
      <c r="A265" s="803" t="s">
        <v>7788</v>
      </c>
      <c r="B265" s="803"/>
      <c r="C265" s="803"/>
      <c r="D265" s="803"/>
      <c r="E265" s="803"/>
      <c r="F265" s="803"/>
      <c r="G265" s="803" t="s">
        <v>3855</v>
      </c>
      <c r="H265" s="794"/>
      <c r="I265" s="794"/>
      <c r="J265" s="794"/>
      <c r="K265" s="794"/>
      <c r="L265" s="794"/>
      <c r="M265" s="794"/>
      <c r="N265" s="794"/>
      <c r="O265" s="794"/>
      <c r="P265" s="794"/>
      <c r="Q265" s="794"/>
      <c r="R265" s="794"/>
      <c r="S265" s="794"/>
      <c r="T265" s="794"/>
    </row>
    <row r="266" spans="1:20" ht="15" customHeight="1" x14ac:dyDescent="0.35">
      <c r="A266" s="794" t="s">
        <v>7789</v>
      </c>
      <c r="B266" s="794" t="s">
        <v>3857</v>
      </c>
      <c r="C266" s="812" t="s">
        <v>5237</v>
      </c>
      <c r="D266" s="825">
        <v>700000</v>
      </c>
      <c r="E266" s="825"/>
      <c r="F266" s="826"/>
      <c r="G266" s="814" t="s">
        <v>3858</v>
      </c>
      <c r="H266" s="813" t="s">
        <v>1343</v>
      </c>
      <c r="I266" s="813" t="s">
        <v>3960</v>
      </c>
      <c r="J266" s="813" t="s">
        <v>7790</v>
      </c>
      <c r="K266" s="813" t="s">
        <v>5223</v>
      </c>
      <c r="L266" s="813" t="s">
        <v>3863</v>
      </c>
      <c r="M266" s="813" t="s">
        <v>3227</v>
      </c>
      <c r="N266" s="813" t="s">
        <v>7791</v>
      </c>
      <c r="O266" s="813" t="s">
        <v>3883</v>
      </c>
      <c r="P266" s="813" t="s">
        <v>7792</v>
      </c>
      <c r="Q266" s="813" t="s">
        <v>7793</v>
      </c>
      <c r="R266" s="813">
        <v>1</v>
      </c>
      <c r="S266" s="813" t="s">
        <v>3928</v>
      </c>
      <c r="T266" s="813" t="s">
        <v>6895</v>
      </c>
    </row>
    <row r="267" spans="1:20" ht="15" customHeight="1" x14ac:dyDescent="0.35">
      <c r="A267" s="794" t="s">
        <v>7794</v>
      </c>
      <c r="B267" s="794" t="s">
        <v>3857</v>
      </c>
      <c r="C267" s="812" t="s">
        <v>5237</v>
      </c>
      <c r="D267" s="825">
        <v>180000</v>
      </c>
      <c r="E267" s="825"/>
      <c r="F267" s="826"/>
      <c r="G267" s="814" t="s">
        <v>3858</v>
      </c>
      <c r="H267" s="813" t="s">
        <v>1343</v>
      </c>
      <c r="I267" s="813" t="s">
        <v>3960</v>
      </c>
      <c r="J267" s="813" t="s">
        <v>7790</v>
      </c>
      <c r="K267" s="813" t="s">
        <v>5223</v>
      </c>
      <c r="L267" s="813" t="s">
        <v>3863</v>
      </c>
      <c r="M267" s="813" t="s">
        <v>3227</v>
      </c>
      <c r="N267" s="813" t="s">
        <v>7795</v>
      </c>
      <c r="O267" s="813" t="s">
        <v>3883</v>
      </c>
      <c r="P267" s="813" t="s">
        <v>7796</v>
      </c>
      <c r="Q267" s="813" t="s">
        <v>7797</v>
      </c>
      <c r="R267" s="813">
        <v>1</v>
      </c>
      <c r="S267" s="813" t="s">
        <v>3928</v>
      </c>
      <c r="T267" s="813" t="s">
        <v>6895</v>
      </c>
    </row>
    <row r="268" spans="1:20" ht="15" customHeight="1" x14ac:dyDescent="0.35">
      <c r="A268" s="794" t="s">
        <v>7798</v>
      </c>
      <c r="B268" s="794" t="s">
        <v>3857</v>
      </c>
      <c r="C268" s="812" t="s">
        <v>5237</v>
      </c>
      <c r="D268" s="825">
        <v>120000</v>
      </c>
      <c r="E268" s="825"/>
      <c r="F268" s="826"/>
      <c r="G268" s="814" t="s">
        <v>3858</v>
      </c>
      <c r="H268" s="813" t="s">
        <v>1343</v>
      </c>
      <c r="I268" s="813" t="s">
        <v>3960</v>
      </c>
      <c r="J268" s="813" t="s">
        <v>7790</v>
      </c>
      <c r="K268" s="813" t="s">
        <v>5223</v>
      </c>
      <c r="L268" s="813" t="s">
        <v>3863</v>
      </c>
      <c r="M268" s="813" t="s">
        <v>3227</v>
      </c>
      <c r="N268" s="813" t="s">
        <v>7799</v>
      </c>
      <c r="O268" s="813" t="s">
        <v>3883</v>
      </c>
      <c r="P268" s="813" t="s">
        <v>7800</v>
      </c>
      <c r="Q268" s="813" t="s">
        <v>7801</v>
      </c>
      <c r="R268" s="813">
        <v>1</v>
      </c>
      <c r="S268" s="813" t="s">
        <v>3928</v>
      </c>
      <c r="T268" s="813" t="s">
        <v>6895</v>
      </c>
    </row>
    <row r="269" spans="1:20" ht="15" customHeight="1" x14ac:dyDescent="0.35">
      <c r="A269" s="803" t="s">
        <v>7802</v>
      </c>
      <c r="B269" s="803"/>
      <c r="C269" s="803"/>
      <c r="D269" s="803"/>
      <c r="E269" s="803"/>
      <c r="F269" s="803"/>
      <c r="G269" s="803" t="s">
        <v>5206</v>
      </c>
      <c r="H269" s="794"/>
      <c r="I269" s="794"/>
      <c r="J269" s="794"/>
      <c r="K269" s="794"/>
      <c r="L269" s="794"/>
      <c r="M269" s="794"/>
      <c r="N269" s="794"/>
      <c r="O269" s="794"/>
      <c r="P269" s="794"/>
      <c r="Q269" s="794"/>
      <c r="R269" s="794"/>
      <c r="S269" s="794"/>
      <c r="T269" s="794"/>
    </row>
    <row r="270" spans="1:20" ht="15" customHeight="1" x14ac:dyDescent="0.35">
      <c r="A270" s="794" t="s">
        <v>7803</v>
      </c>
      <c r="B270" s="794" t="s">
        <v>3857</v>
      </c>
      <c r="C270" s="812" t="s">
        <v>5237</v>
      </c>
      <c r="D270" s="825">
        <v>350000</v>
      </c>
      <c r="E270" s="825"/>
      <c r="F270" s="826"/>
      <c r="G270" s="814" t="s">
        <v>3858</v>
      </c>
      <c r="H270" s="813" t="s">
        <v>1343</v>
      </c>
      <c r="I270" s="813" t="s">
        <v>3960</v>
      </c>
      <c r="J270" s="813" t="s">
        <v>7804</v>
      </c>
      <c r="K270" s="813" t="s">
        <v>5223</v>
      </c>
      <c r="L270" s="813" t="s">
        <v>3863</v>
      </c>
      <c r="M270" s="813" t="s">
        <v>3227</v>
      </c>
      <c r="N270" s="813" t="s">
        <v>7805</v>
      </c>
      <c r="O270" s="813" t="s">
        <v>3883</v>
      </c>
      <c r="P270" s="813" t="s">
        <v>7806</v>
      </c>
      <c r="Q270" s="813" t="s">
        <v>7807</v>
      </c>
      <c r="R270" s="813">
        <v>1</v>
      </c>
      <c r="S270" s="813" t="s">
        <v>3928</v>
      </c>
      <c r="T270" s="813" t="s">
        <v>6895</v>
      </c>
    </row>
    <row r="271" spans="1:20" ht="15" customHeight="1" x14ac:dyDescent="0.35">
      <c r="A271" s="794" t="s">
        <v>7808</v>
      </c>
      <c r="B271" s="794" t="s">
        <v>3857</v>
      </c>
      <c r="C271" s="812" t="s">
        <v>5237</v>
      </c>
      <c r="D271" s="825">
        <v>180000</v>
      </c>
      <c r="E271" s="825"/>
      <c r="F271" s="826"/>
      <c r="G271" s="814" t="s">
        <v>3858</v>
      </c>
      <c r="H271" s="813" t="s">
        <v>1343</v>
      </c>
      <c r="I271" s="813" t="s">
        <v>3960</v>
      </c>
      <c r="J271" s="813" t="s">
        <v>7804</v>
      </c>
      <c r="K271" s="813" t="s">
        <v>5223</v>
      </c>
      <c r="L271" s="813" t="s">
        <v>3863</v>
      </c>
      <c r="M271" s="813" t="s">
        <v>3227</v>
      </c>
      <c r="N271" s="813" t="s">
        <v>7809</v>
      </c>
      <c r="O271" s="813" t="s">
        <v>3883</v>
      </c>
      <c r="P271" s="813" t="s">
        <v>7810</v>
      </c>
      <c r="Q271" s="813" t="s">
        <v>7811</v>
      </c>
      <c r="R271" s="813">
        <v>1</v>
      </c>
      <c r="S271" s="813" t="s">
        <v>3928</v>
      </c>
      <c r="T271" s="813" t="s">
        <v>6895</v>
      </c>
    </row>
    <row r="272" spans="1:20" ht="15" customHeight="1" x14ac:dyDescent="0.35">
      <c r="A272" s="794" t="s">
        <v>7812</v>
      </c>
      <c r="B272" s="794" t="s">
        <v>3857</v>
      </c>
      <c r="C272" s="812" t="s">
        <v>5237</v>
      </c>
      <c r="D272" s="825">
        <v>300000</v>
      </c>
      <c r="E272" s="825"/>
      <c r="F272" s="826"/>
      <c r="G272" s="814" t="s">
        <v>3858</v>
      </c>
      <c r="H272" s="813" t="s">
        <v>1343</v>
      </c>
      <c r="I272" s="813" t="s">
        <v>3960</v>
      </c>
      <c r="J272" s="813" t="s">
        <v>7804</v>
      </c>
      <c r="K272" s="813" t="s">
        <v>5223</v>
      </c>
      <c r="L272" s="813" t="s">
        <v>3863</v>
      </c>
      <c r="M272" s="813" t="s">
        <v>3227</v>
      </c>
      <c r="N272" s="813" t="s">
        <v>7813</v>
      </c>
      <c r="O272" s="813" t="s">
        <v>3883</v>
      </c>
      <c r="P272" s="813" t="s">
        <v>7814</v>
      </c>
      <c r="Q272" s="813" t="s">
        <v>7815</v>
      </c>
      <c r="R272" s="813">
        <v>1</v>
      </c>
      <c r="S272" s="813" t="s">
        <v>3928</v>
      </c>
      <c r="T272" s="813" t="s">
        <v>6895</v>
      </c>
    </row>
    <row r="273" spans="1:20" ht="15" customHeight="1" x14ac:dyDescent="0.35">
      <c r="A273" s="794" t="s">
        <v>7816</v>
      </c>
      <c r="B273" s="794" t="s">
        <v>3857</v>
      </c>
      <c r="C273" s="812" t="s">
        <v>5237</v>
      </c>
      <c r="D273" s="825">
        <v>180000</v>
      </c>
      <c r="E273" s="825"/>
      <c r="F273" s="826"/>
      <c r="G273" s="814" t="s">
        <v>3858</v>
      </c>
      <c r="H273" s="813" t="s">
        <v>1343</v>
      </c>
      <c r="I273" s="813" t="s">
        <v>3960</v>
      </c>
      <c r="J273" s="813" t="s">
        <v>7804</v>
      </c>
      <c r="K273" s="813" t="s">
        <v>5223</v>
      </c>
      <c r="L273" s="813" t="s">
        <v>3863</v>
      </c>
      <c r="M273" s="813" t="s">
        <v>3227</v>
      </c>
      <c r="N273" s="813" t="s">
        <v>7817</v>
      </c>
      <c r="O273" s="813" t="s">
        <v>3883</v>
      </c>
      <c r="P273" s="813" t="s">
        <v>7818</v>
      </c>
      <c r="Q273" s="813" t="s">
        <v>7819</v>
      </c>
      <c r="R273" s="813">
        <v>1</v>
      </c>
      <c r="S273" s="813" t="s">
        <v>3928</v>
      </c>
      <c r="T273" s="813" t="s">
        <v>6895</v>
      </c>
    </row>
    <row r="274" spans="1:20" ht="15" customHeight="1" x14ac:dyDescent="0.35">
      <c r="A274" s="794" t="s">
        <v>7820</v>
      </c>
      <c r="B274" s="794" t="s">
        <v>3857</v>
      </c>
      <c r="C274" s="812" t="s">
        <v>5237</v>
      </c>
      <c r="D274" s="825">
        <v>450000</v>
      </c>
      <c r="E274" s="825"/>
      <c r="F274" s="826"/>
      <c r="G274" s="814" t="s">
        <v>3858</v>
      </c>
      <c r="H274" s="813" t="s">
        <v>1343</v>
      </c>
      <c r="I274" s="813" t="s">
        <v>3960</v>
      </c>
      <c r="J274" s="813" t="s">
        <v>7804</v>
      </c>
      <c r="K274" s="813" t="s">
        <v>5223</v>
      </c>
      <c r="L274" s="813" t="s">
        <v>3863</v>
      </c>
      <c r="M274" s="813" t="s">
        <v>3227</v>
      </c>
      <c r="N274" s="813" t="s">
        <v>7821</v>
      </c>
      <c r="O274" s="813" t="s">
        <v>3883</v>
      </c>
      <c r="P274" s="813" t="s">
        <v>7822</v>
      </c>
      <c r="Q274" s="813" t="s">
        <v>7823</v>
      </c>
      <c r="R274" s="813">
        <v>1</v>
      </c>
      <c r="S274" s="813" t="s">
        <v>3928</v>
      </c>
      <c r="T274" s="813" t="s">
        <v>6895</v>
      </c>
    </row>
    <row r="275" spans="1:20" ht="15" customHeight="1" x14ac:dyDescent="0.35">
      <c r="A275" s="794" t="s">
        <v>7824</v>
      </c>
      <c r="B275" s="794" t="s">
        <v>3857</v>
      </c>
      <c r="C275" s="812" t="s">
        <v>5237</v>
      </c>
      <c r="D275" s="825">
        <v>320000</v>
      </c>
      <c r="E275" s="825"/>
      <c r="F275" s="826"/>
      <c r="G275" s="814" t="s">
        <v>3858</v>
      </c>
      <c r="H275" s="813" t="s">
        <v>1343</v>
      </c>
      <c r="I275" s="813" t="s">
        <v>3960</v>
      </c>
      <c r="J275" s="813" t="s">
        <v>7804</v>
      </c>
      <c r="K275" s="813" t="s">
        <v>5223</v>
      </c>
      <c r="L275" s="813" t="s">
        <v>3863</v>
      </c>
      <c r="M275" s="813" t="s">
        <v>3227</v>
      </c>
      <c r="N275" s="813" t="s">
        <v>7825</v>
      </c>
      <c r="O275" s="813" t="s">
        <v>3883</v>
      </c>
      <c r="P275" s="813" t="s">
        <v>7826</v>
      </c>
      <c r="Q275" s="813" t="s">
        <v>7827</v>
      </c>
      <c r="R275" s="813">
        <v>1</v>
      </c>
      <c r="S275" s="813" t="s">
        <v>3928</v>
      </c>
      <c r="T275" s="813" t="s">
        <v>6895</v>
      </c>
    </row>
    <row r="276" spans="1:20" ht="15" customHeight="1" x14ac:dyDescent="0.35">
      <c r="A276" s="794" t="s">
        <v>7828</v>
      </c>
      <c r="B276" s="794" t="s">
        <v>3857</v>
      </c>
      <c r="C276" s="812" t="s">
        <v>5237</v>
      </c>
      <c r="D276" s="825">
        <v>220000</v>
      </c>
      <c r="E276" s="825"/>
      <c r="F276" s="826"/>
      <c r="G276" s="814" t="s">
        <v>3858</v>
      </c>
      <c r="H276" s="813" t="s">
        <v>1343</v>
      </c>
      <c r="I276" s="813" t="s">
        <v>3960</v>
      </c>
      <c r="J276" s="813" t="s">
        <v>7804</v>
      </c>
      <c r="K276" s="813" t="s">
        <v>5223</v>
      </c>
      <c r="L276" s="813" t="s">
        <v>3863</v>
      </c>
      <c r="M276" s="813" t="s">
        <v>3227</v>
      </c>
      <c r="N276" s="813" t="s">
        <v>7829</v>
      </c>
      <c r="O276" s="813" t="s">
        <v>3883</v>
      </c>
      <c r="P276" s="813" t="s">
        <v>7830</v>
      </c>
      <c r="Q276" s="813" t="s">
        <v>7831</v>
      </c>
      <c r="R276" s="813">
        <v>1</v>
      </c>
      <c r="S276" s="813" t="s">
        <v>3928</v>
      </c>
      <c r="T276" s="813" t="s">
        <v>6895</v>
      </c>
    </row>
    <row r="277" spans="1:20" ht="15" customHeight="1" x14ac:dyDescent="0.35">
      <c r="A277" s="803" t="s">
        <v>7832</v>
      </c>
      <c r="B277" s="803"/>
      <c r="C277" s="803"/>
      <c r="D277" s="803"/>
      <c r="E277" s="803"/>
      <c r="F277" s="803"/>
      <c r="G277" s="803" t="s">
        <v>3898</v>
      </c>
      <c r="H277" s="794"/>
      <c r="I277" s="794"/>
      <c r="J277" s="794"/>
      <c r="K277" s="794"/>
      <c r="L277" s="794"/>
      <c r="M277" s="794"/>
      <c r="N277" s="794"/>
      <c r="O277" s="794"/>
      <c r="P277" s="794"/>
      <c r="Q277" s="794"/>
      <c r="R277" s="794"/>
      <c r="S277" s="794"/>
      <c r="T277" s="794"/>
    </row>
    <row r="278" spans="1:20" ht="15" customHeight="1" x14ac:dyDescent="0.35">
      <c r="A278" s="794" t="s">
        <v>7833</v>
      </c>
      <c r="B278" s="794" t="s">
        <v>3857</v>
      </c>
      <c r="C278" s="812" t="s">
        <v>4107</v>
      </c>
      <c r="D278" s="825"/>
      <c r="E278" s="825"/>
      <c r="F278" s="825">
        <v>180000</v>
      </c>
      <c r="G278" s="814" t="s">
        <v>3858</v>
      </c>
      <c r="H278" s="813" t="s">
        <v>1343</v>
      </c>
      <c r="I278" s="813" t="s">
        <v>3960</v>
      </c>
      <c r="J278" s="813" t="s">
        <v>7834</v>
      </c>
      <c r="K278" s="813" t="s">
        <v>5223</v>
      </c>
      <c r="L278" s="813" t="s">
        <v>3863</v>
      </c>
      <c r="M278" s="813" t="s">
        <v>3227</v>
      </c>
      <c r="N278" s="813" t="s">
        <v>7835</v>
      </c>
      <c r="O278" s="813" t="s">
        <v>3883</v>
      </c>
      <c r="P278" s="813" t="s">
        <v>7836</v>
      </c>
      <c r="Q278" s="813" t="s">
        <v>7837</v>
      </c>
      <c r="R278" s="813">
        <v>1</v>
      </c>
      <c r="S278" s="813" t="s">
        <v>3928</v>
      </c>
      <c r="T278" s="813" t="s">
        <v>6895</v>
      </c>
    </row>
    <row r="279" spans="1:20" ht="15" customHeight="1" x14ac:dyDescent="0.35">
      <c r="A279" s="794" t="s">
        <v>7838</v>
      </c>
      <c r="B279" s="794" t="s">
        <v>3857</v>
      </c>
      <c r="C279" s="812" t="s">
        <v>5237</v>
      </c>
      <c r="D279" s="825">
        <v>120000</v>
      </c>
      <c r="E279" s="825"/>
      <c r="F279" s="826"/>
      <c r="G279" s="814" t="s">
        <v>3858</v>
      </c>
      <c r="H279" s="813" t="s">
        <v>1343</v>
      </c>
      <c r="I279" s="813" t="s">
        <v>3960</v>
      </c>
      <c r="J279" s="813" t="s">
        <v>7834</v>
      </c>
      <c r="K279" s="813" t="s">
        <v>5223</v>
      </c>
      <c r="L279" s="813" t="s">
        <v>3863</v>
      </c>
      <c r="M279" s="813" t="s">
        <v>3227</v>
      </c>
      <c r="N279" s="813" t="s">
        <v>7839</v>
      </c>
      <c r="O279" s="813" t="s">
        <v>3883</v>
      </c>
      <c r="P279" s="813" t="s">
        <v>7840</v>
      </c>
      <c r="Q279" s="813" t="s">
        <v>7841</v>
      </c>
      <c r="R279" s="813">
        <v>1</v>
      </c>
      <c r="S279" s="813" t="s">
        <v>3928</v>
      </c>
      <c r="T279" s="813" t="s">
        <v>6895</v>
      </c>
    </row>
    <row r="280" spans="1:20" ht="15" customHeight="1" x14ac:dyDescent="0.35">
      <c r="A280" s="794" t="s">
        <v>7842</v>
      </c>
      <c r="B280" s="794" t="s">
        <v>3857</v>
      </c>
      <c r="C280" s="812" t="s">
        <v>5237</v>
      </c>
      <c r="D280" s="825">
        <v>120000</v>
      </c>
      <c r="E280" s="825"/>
      <c r="F280" s="826"/>
      <c r="G280" s="814" t="s">
        <v>3858</v>
      </c>
      <c r="H280" s="813" t="s">
        <v>1343</v>
      </c>
      <c r="I280" s="813" t="s">
        <v>3960</v>
      </c>
      <c r="J280" s="813" t="s">
        <v>7834</v>
      </c>
      <c r="K280" s="813" t="s">
        <v>5223</v>
      </c>
      <c r="L280" s="813" t="s">
        <v>3863</v>
      </c>
      <c r="M280" s="813" t="s">
        <v>3227</v>
      </c>
      <c r="N280" s="813" t="s">
        <v>7843</v>
      </c>
      <c r="O280" s="813" t="s">
        <v>3883</v>
      </c>
      <c r="P280" s="813" t="s">
        <v>7844</v>
      </c>
      <c r="Q280" s="813" t="s">
        <v>7845</v>
      </c>
      <c r="R280" s="813">
        <v>1</v>
      </c>
      <c r="S280" s="813" t="s">
        <v>3928</v>
      </c>
      <c r="T280" s="813" t="s">
        <v>6895</v>
      </c>
    </row>
    <row r="281" spans="1:20" ht="15" customHeight="1" x14ac:dyDescent="0.35">
      <c r="A281" s="794" t="s">
        <v>7846</v>
      </c>
      <c r="B281" s="794" t="s">
        <v>3857</v>
      </c>
      <c r="C281" s="812" t="s">
        <v>5237</v>
      </c>
      <c r="D281" s="825">
        <v>150000</v>
      </c>
      <c r="E281" s="825"/>
      <c r="F281" s="826"/>
      <c r="G281" s="814" t="s">
        <v>3858</v>
      </c>
      <c r="H281" s="813" t="s">
        <v>1343</v>
      </c>
      <c r="I281" s="813" t="s">
        <v>3960</v>
      </c>
      <c r="J281" s="813" t="s">
        <v>7834</v>
      </c>
      <c r="K281" s="813" t="s">
        <v>5223</v>
      </c>
      <c r="L281" s="813" t="s">
        <v>3863</v>
      </c>
      <c r="M281" s="813" t="s">
        <v>3227</v>
      </c>
      <c r="N281" s="813" t="s">
        <v>7847</v>
      </c>
      <c r="O281" s="813" t="s">
        <v>3883</v>
      </c>
      <c r="P281" s="813" t="s">
        <v>7848</v>
      </c>
      <c r="Q281" s="813" t="s">
        <v>7849</v>
      </c>
      <c r="R281" s="813">
        <v>1</v>
      </c>
      <c r="S281" s="813" t="s">
        <v>3928</v>
      </c>
      <c r="T281" s="813" t="s">
        <v>6895</v>
      </c>
    </row>
    <row r="282" spans="1:20" ht="15" customHeight="1" x14ac:dyDescent="0.35">
      <c r="A282" s="802" t="s">
        <v>7606</v>
      </c>
      <c r="B282" s="802"/>
      <c r="C282" s="802"/>
      <c r="D282" s="802"/>
      <c r="E282" s="802"/>
      <c r="F282" s="802"/>
      <c r="G282" s="802" t="s">
        <v>7408</v>
      </c>
      <c r="H282" s="794"/>
      <c r="I282" s="794"/>
      <c r="J282" s="794"/>
      <c r="K282" s="794"/>
      <c r="L282" s="794"/>
      <c r="M282" s="794"/>
      <c r="N282" s="794"/>
      <c r="O282" s="794"/>
      <c r="P282" s="794"/>
      <c r="Q282" s="794"/>
      <c r="R282" s="794"/>
      <c r="S282" s="794"/>
      <c r="T282" s="794"/>
    </row>
    <row r="283" spans="1:20" ht="15" customHeight="1" x14ac:dyDescent="0.35">
      <c r="A283" s="803" t="s">
        <v>7607</v>
      </c>
      <c r="B283" s="803"/>
      <c r="C283" s="803"/>
      <c r="D283" s="803"/>
      <c r="E283" s="803"/>
      <c r="F283" s="803"/>
      <c r="G283" s="803" t="s">
        <v>3946</v>
      </c>
      <c r="H283" s="794"/>
      <c r="I283" s="794"/>
      <c r="J283" s="794"/>
      <c r="K283" s="794"/>
      <c r="L283" s="794"/>
      <c r="M283" s="794"/>
      <c r="N283" s="794"/>
      <c r="O283" s="794"/>
      <c r="P283" s="794"/>
      <c r="Q283" s="794"/>
      <c r="R283" s="794"/>
      <c r="S283" s="794"/>
      <c r="T283" s="794"/>
    </row>
    <row r="284" spans="1:20" ht="28" customHeight="1" x14ac:dyDescent="0.35">
      <c r="A284" s="794" t="s">
        <v>7850</v>
      </c>
      <c r="B284" s="794" t="s">
        <v>3857</v>
      </c>
      <c r="C284" s="812" t="s">
        <v>3842</v>
      </c>
      <c r="D284" s="825"/>
      <c r="E284" s="825"/>
      <c r="F284" s="827" t="s">
        <v>7851</v>
      </c>
      <c r="G284" s="814" t="s">
        <v>3858</v>
      </c>
      <c r="H284" s="813" t="s">
        <v>1343</v>
      </c>
      <c r="I284" s="813" t="s">
        <v>4070</v>
      </c>
      <c r="J284" s="813" t="s">
        <v>7609</v>
      </c>
      <c r="K284" s="813" t="s">
        <v>7610</v>
      </c>
      <c r="L284" s="813" t="s">
        <v>3863</v>
      </c>
      <c r="M284" s="813" t="s">
        <v>3127</v>
      </c>
      <c r="N284" s="813" t="s">
        <v>7852</v>
      </c>
      <c r="O284" s="813" t="s">
        <v>7612</v>
      </c>
      <c r="P284" s="813" t="s">
        <v>7853</v>
      </c>
      <c r="Q284" s="813" t="s">
        <v>7854</v>
      </c>
      <c r="R284" s="813">
        <v>1</v>
      </c>
      <c r="S284" s="813" t="s">
        <v>7615</v>
      </c>
      <c r="T284" s="813" t="s">
        <v>6895</v>
      </c>
    </row>
    <row r="285" spans="1:20" ht="15" customHeight="1" x14ac:dyDescent="0.35">
      <c r="A285" s="803" t="s">
        <v>7616</v>
      </c>
      <c r="B285" s="803"/>
      <c r="C285" s="803"/>
      <c r="D285" s="803"/>
      <c r="E285" s="803"/>
      <c r="F285" s="803"/>
      <c r="G285" s="803" t="s">
        <v>3855</v>
      </c>
      <c r="H285" s="794"/>
      <c r="I285" s="794"/>
      <c r="J285" s="794"/>
      <c r="K285" s="794"/>
      <c r="L285" s="794"/>
      <c r="M285" s="794"/>
      <c r="N285" s="794"/>
      <c r="O285" s="794"/>
      <c r="P285" s="794"/>
      <c r="Q285" s="794"/>
      <c r="R285" s="794"/>
      <c r="S285" s="794"/>
      <c r="T285" s="794"/>
    </row>
    <row r="286" spans="1:20" ht="15" customHeight="1" x14ac:dyDescent="0.35">
      <c r="A286" s="794" t="s">
        <v>7855</v>
      </c>
      <c r="B286" s="794" t="s">
        <v>3857</v>
      </c>
      <c r="C286" s="812" t="s">
        <v>3913</v>
      </c>
      <c r="D286" s="825"/>
      <c r="E286" s="825"/>
      <c r="F286" s="825">
        <v>3</v>
      </c>
      <c r="G286" s="814" t="s">
        <v>3858</v>
      </c>
      <c r="H286" s="813" t="s">
        <v>1343</v>
      </c>
      <c r="I286" s="813" t="s">
        <v>4070</v>
      </c>
      <c r="J286" s="813" t="s">
        <v>7618</v>
      </c>
      <c r="K286" s="813" t="s">
        <v>7610</v>
      </c>
      <c r="L286" s="813" t="s">
        <v>3863</v>
      </c>
      <c r="M286" s="813" t="s">
        <v>3127</v>
      </c>
      <c r="N286" s="813" t="s">
        <v>7856</v>
      </c>
      <c r="O286" s="813" t="s">
        <v>3883</v>
      </c>
      <c r="P286" s="813" t="s">
        <v>7857</v>
      </c>
      <c r="Q286" s="813" t="s">
        <v>7858</v>
      </c>
      <c r="R286" s="813">
        <v>1</v>
      </c>
      <c r="S286" s="813" t="s">
        <v>7615</v>
      </c>
      <c r="T286" s="813" t="s">
        <v>6895</v>
      </c>
    </row>
    <row r="287" spans="1:20" ht="15" customHeight="1" x14ac:dyDescent="0.35">
      <c r="A287" s="794" t="s">
        <v>7859</v>
      </c>
      <c r="B287" s="794" t="s">
        <v>3857</v>
      </c>
      <c r="C287" s="812" t="s">
        <v>3842</v>
      </c>
      <c r="D287" s="825"/>
      <c r="E287" s="825"/>
      <c r="F287" s="826" t="s">
        <v>1800</v>
      </c>
      <c r="G287" s="814" t="s">
        <v>3858</v>
      </c>
      <c r="H287" s="813" t="s">
        <v>1343</v>
      </c>
      <c r="I287" s="813" t="s">
        <v>4070</v>
      </c>
      <c r="J287" s="813" t="s">
        <v>7618</v>
      </c>
      <c r="K287" s="813" t="s">
        <v>7610</v>
      </c>
      <c r="L287" s="813" t="s">
        <v>3863</v>
      </c>
      <c r="M287" s="813" t="s">
        <v>3127</v>
      </c>
      <c r="N287" s="813" t="s">
        <v>7860</v>
      </c>
      <c r="O287" s="813" t="s">
        <v>7612</v>
      </c>
      <c r="P287" s="813" t="s">
        <v>7861</v>
      </c>
      <c r="Q287" s="813" t="s">
        <v>7862</v>
      </c>
      <c r="R287" s="813">
        <v>1</v>
      </c>
      <c r="S287" s="813" t="s">
        <v>7615</v>
      </c>
      <c r="T287" s="813" t="s">
        <v>6895</v>
      </c>
    </row>
    <row r="288" spans="1:20" ht="15" customHeight="1" x14ac:dyDescent="0.35">
      <c r="A288" s="794" t="s">
        <v>7863</v>
      </c>
      <c r="B288" s="794" t="s">
        <v>3857</v>
      </c>
      <c r="C288" s="812" t="s">
        <v>3842</v>
      </c>
      <c r="D288" s="825"/>
      <c r="E288" s="825"/>
      <c r="F288" s="826" t="s">
        <v>7627</v>
      </c>
      <c r="G288" s="814" t="s">
        <v>3858</v>
      </c>
      <c r="H288" s="813" t="s">
        <v>1343</v>
      </c>
      <c r="I288" s="813" t="s">
        <v>4070</v>
      </c>
      <c r="J288" s="813" t="s">
        <v>7618</v>
      </c>
      <c r="K288" s="813" t="s">
        <v>7610</v>
      </c>
      <c r="L288" s="813" t="s">
        <v>3863</v>
      </c>
      <c r="M288" s="813" t="s">
        <v>3127</v>
      </c>
      <c r="N288" s="813" t="s">
        <v>7864</v>
      </c>
      <c r="O288" s="813" t="s">
        <v>7612</v>
      </c>
      <c r="P288" s="813" t="s">
        <v>7865</v>
      </c>
      <c r="Q288" s="813" t="s">
        <v>7866</v>
      </c>
      <c r="R288" s="813">
        <v>1</v>
      </c>
      <c r="S288" s="813" t="s">
        <v>7615</v>
      </c>
      <c r="T288" s="813" t="s">
        <v>6895</v>
      </c>
    </row>
    <row r="289" spans="1:20" ht="15" customHeight="1" x14ac:dyDescent="0.35">
      <c r="A289" s="803" t="s">
        <v>7631</v>
      </c>
      <c r="B289" s="803"/>
      <c r="C289" s="803"/>
      <c r="D289" s="803"/>
      <c r="E289" s="803"/>
      <c r="F289" s="803"/>
      <c r="G289" s="803" t="s">
        <v>3920</v>
      </c>
      <c r="H289" s="794"/>
      <c r="I289" s="794"/>
      <c r="J289" s="794"/>
      <c r="K289" s="794"/>
      <c r="L289" s="794"/>
      <c r="M289" s="794"/>
      <c r="N289" s="794"/>
      <c r="O289" s="794"/>
      <c r="P289" s="794"/>
      <c r="Q289" s="794"/>
      <c r="R289" s="794"/>
      <c r="S289" s="794"/>
      <c r="T289" s="794"/>
    </row>
    <row r="290" spans="1:20" ht="15" customHeight="1" x14ac:dyDescent="0.35">
      <c r="A290" s="794" t="s">
        <v>7632</v>
      </c>
      <c r="B290" s="794" t="s">
        <v>3857</v>
      </c>
      <c r="C290" s="812" t="s">
        <v>3913</v>
      </c>
      <c r="D290" s="825"/>
      <c r="E290" s="825"/>
      <c r="F290" s="924">
        <f>F698</f>
        <v>3.5000000000000003E-2</v>
      </c>
      <c r="G290" s="814" t="s">
        <v>9404</v>
      </c>
      <c r="H290" s="813" t="s">
        <v>1343</v>
      </c>
      <c r="I290" s="813" t="s">
        <v>4070</v>
      </c>
      <c r="J290" s="813" t="s">
        <v>7633</v>
      </c>
      <c r="K290" s="813" t="s">
        <v>7610</v>
      </c>
      <c r="L290" s="813" t="s">
        <v>3863</v>
      </c>
      <c r="M290" s="813" t="s">
        <v>3127</v>
      </c>
      <c r="N290" s="813" t="s">
        <v>7867</v>
      </c>
      <c r="O290" s="813" t="s">
        <v>9543</v>
      </c>
      <c r="P290" s="813" t="s">
        <v>7868</v>
      </c>
      <c r="Q290" s="813" t="s">
        <v>7869</v>
      </c>
      <c r="R290" s="813">
        <v>1</v>
      </c>
      <c r="S290" s="813" t="s">
        <v>7615</v>
      </c>
      <c r="T290" s="813" t="s">
        <v>9544</v>
      </c>
    </row>
    <row r="291" spans="1:20" ht="15" customHeight="1" x14ac:dyDescent="0.35">
      <c r="A291" s="794" t="s">
        <v>7637</v>
      </c>
      <c r="B291" s="794" t="s">
        <v>3857</v>
      </c>
      <c r="C291" s="812" t="s">
        <v>3913</v>
      </c>
      <c r="D291" s="825"/>
      <c r="E291" s="825"/>
      <c r="F291" s="925">
        <f>F699</f>
        <v>5</v>
      </c>
      <c r="G291" s="814" t="s">
        <v>9404</v>
      </c>
      <c r="H291" s="813" t="s">
        <v>1343</v>
      </c>
      <c r="I291" s="813" t="s">
        <v>4070</v>
      </c>
      <c r="J291" s="813" t="s">
        <v>7633</v>
      </c>
      <c r="K291" s="813" t="s">
        <v>7610</v>
      </c>
      <c r="L291" s="813" t="s">
        <v>3863</v>
      </c>
      <c r="M291" s="813" t="s">
        <v>3127</v>
      </c>
      <c r="N291" s="813" t="s">
        <v>7870</v>
      </c>
      <c r="O291" s="813" t="s">
        <v>9545</v>
      </c>
      <c r="P291" s="813" t="s">
        <v>7871</v>
      </c>
      <c r="Q291" s="813" t="s">
        <v>7872</v>
      </c>
      <c r="R291" s="813">
        <v>1</v>
      </c>
      <c r="S291" s="813" t="s">
        <v>7615</v>
      </c>
      <c r="T291" s="813" t="s">
        <v>9544</v>
      </c>
    </row>
    <row r="292" spans="1:20" ht="15" customHeight="1" x14ac:dyDescent="0.35">
      <c r="A292" s="794" t="s">
        <v>7641</v>
      </c>
      <c r="B292" s="794" t="s">
        <v>3857</v>
      </c>
      <c r="C292" s="812" t="s">
        <v>3913</v>
      </c>
      <c r="D292" s="825"/>
      <c r="E292" s="825"/>
      <c r="F292" s="925">
        <f>F700</f>
        <v>5</v>
      </c>
      <c r="G292" s="814" t="s">
        <v>9404</v>
      </c>
      <c r="H292" s="813" t="s">
        <v>1343</v>
      </c>
      <c r="I292" s="813" t="s">
        <v>4070</v>
      </c>
      <c r="J292" s="813" t="s">
        <v>7633</v>
      </c>
      <c r="K292" s="813" t="s">
        <v>7610</v>
      </c>
      <c r="L292" s="813" t="s">
        <v>3863</v>
      </c>
      <c r="M292" s="813" t="s">
        <v>3127</v>
      </c>
      <c r="N292" s="813" t="s">
        <v>7873</v>
      </c>
      <c r="O292" s="813" t="s">
        <v>9546</v>
      </c>
      <c r="P292" s="813" t="s">
        <v>7874</v>
      </c>
      <c r="Q292" s="813" t="s">
        <v>7875</v>
      </c>
      <c r="R292" s="813">
        <v>1</v>
      </c>
      <c r="S292" s="813" t="s">
        <v>7615</v>
      </c>
      <c r="T292" s="813" t="s">
        <v>9544</v>
      </c>
    </row>
    <row r="293" spans="1:20" ht="15" customHeight="1" x14ac:dyDescent="0.35">
      <c r="A293" s="794" t="s">
        <v>7645</v>
      </c>
      <c r="B293" s="794" t="s">
        <v>3857</v>
      </c>
      <c r="C293" s="812" t="s">
        <v>3913</v>
      </c>
      <c r="D293" s="825"/>
      <c r="E293" s="825"/>
      <c r="F293" s="925">
        <f>F701</f>
        <v>5</v>
      </c>
      <c r="G293" s="814" t="s">
        <v>9404</v>
      </c>
      <c r="H293" s="813" t="s">
        <v>1343</v>
      </c>
      <c r="I293" s="813" t="s">
        <v>4070</v>
      </c>
      <c r="J293" s="813" t="s">
        <v>7633</v>
      </c>
      <c r="K293" s="813" t="s">
        <v>7610</v>
      </c>
      <c r="L293" s="813" t="s">
        <v>3863</v>
      </c>
      <c r="M293" s="813" t="s">
        <v>3127</v>
      </c>
      <c r="N293" s="813" t="s">
        <v>7876</v>
      </c>
      <c r="O293" s="813" t="s">
        <v>9547</v>
      </c>
      <c r="P293" s="813" t="s">
        <v>7877</v>
      </c>
      <c r="Q293" s="813" t="s">
        <v>7878</v>
      </c>
      <c r="R293" s="813">
        <v>1</v>
      </c>
      <c r="S293" s="813" t="s">
        <v>7615</v>
      </c>
      <c r="T293" s="813" t="s">
        <v>9544</v>
      </c>
    </row>
    <row r="294" spans="1:20" ht="15" customHeight="1" x14ac:dyDescent="0.35">
      <c r="A294" s="794" t="s">
        <v>7649</v>
      </c>
      <c r="B294" s="794" t="s">
        <v>3857</v>
      </c>
      <c r="C294" s="812" t="s">
        <v>3913</v>
      </c>
      <c r="D294" s="825"/>
      <c r="E294" s="825"/>
      <c r="F294" s="925">
        <f>F702</f>
        <v>5</v>
      </c>
      <c r="G294" s="814" t="s">
        <v>9404</v>
      </c>
      <c r="H294" s="813" t="s">
        <v>1343</v>
      </c>
      <c r="I294" s="813" t="s">
        <v>4070</v>
      </c>
      <c r="J294" s="813" t="s">
        <v>7633</v>
      </c>
      <c r="K294" s="813" t="s">
        <v>7610</v>
      </c>
      <c r="L294" s="813" t="s">
        <v>3863</v>
      </c>
      <c r="M294" s="813" t="s">
        <v>3127</v>
      </c>
      <c r="N294" s="813" t="s">
        <v>7879</v>
      </c>
      <c r="O294" s="813" t="s">
        <v>9548</v>
      </c>
      <c r="P294" s="813" t="s">
        <v>7880</v>
      </c>
      <c r="Q294" s="813" t="s">
        <v>7881</v>
      </c>
      <c r="R294" s="813">
        <v>1</v>
      </c>
      <c r="S294" s="813" t="s">
        <v>7615</v>
      </c>
      <c r="T294" s="813" t="s">
        <v>9544</v>
      </c>
    </row>
    <row r="295" spans="1:20" ht="15" customHeight="1" x14ac:dyDescent="0.35">
      <c r="A295" s="803" t="s">
        <v>7653</v>
      </c>
      <c r="B295" s="803"/>
      <c r="C295" s="803"/>
      <c r="D295" s="803"/>
      <c r="E295" s="803"/>
      <c r="F295" s="803"/>
      <c r="G295" s="803" t="s">
        <v>4476</v>
      </c>
      <c r="H295" s="794"/>
      <c r="I295" s="794"/>
      <c r="J295" s="794"/>
      <c r="K295" s="794"/>
      <c r="L295" s="794"/>
      <c r="M295" s="794"/>
      <c r="N295" s="794"/>
      <c r="O295" s="794"/>
      <c r="P295" s="794"/>
      <c r="Q295" s="794"/>
      <c r="R295" s="794"/>
      <c r="S295" s="794"/>
      <c r="T295" s="794"/>
    </row>
    <row r="296" spans="1:20" ht="15" customHeight="1" x14ac:dyDescent="0.35">
      <c r="A296" s="794" t="s">
        <v>7654</v>
      </c>
      <c r="B296" s="794" t="s">
        <v>3857</v>
      </c>
      <c r="C296" s="812" t="s">
        <v>1173</v>
      </c>
      <c r="D296" s="825"/>
      <c r="E296" s="825"/>
      <c r="F296" s="828">
        <f>F703</f>
        <v>46508</v>
      </c>
      <c r="G296" s="814" t="s">
        <v>9404</v>
      </c>
      <c r="H296" s="813" t="s">
        <v>1343</v>
      </c>
      <c r="I296" s="813" t="s">
        <v>4070</v>
      </c>
      <c r="J296" s="813" t="s">
        <v>7655</v>
      </c>
      <c r="K296" s="813" t="s">
        <v>7610</v>
      </c>
      <c r="L296" s="813" t="s">
        <v>3863</v>
      </c>
      <c r="M296" s="813" t="s">
        <v>3127</v>
      </c>
      <c r="N296" s="813" t="s">
        <v>7882</v>
      </c>
      <c r="O296" s="813" t="s">
        <v>9549</v>
      </c>
      <c r="P296" s="813" t="s">
        <v>7883</v>
      </c>
      <c r="Q296" s="813" t="s">
        <v>7884</v>
      </c>
      <c r="R296" s="813">
        <v>1</v>
      </c>
      <c r="S296" s="813" t="s">
        <v>7615</v>
      </c>
      <c r="T296" s="813" t="s">
        <v>9544</v>
      </c>
    </row>
    <row r="297" spans="1:20" ht="15" customHeight="1" x14ac:dyDescent="0.35">
      <c r="A297" s="794" t="s">
        <v>7659</v>
      </c>
      <c r="B297" s="794" t="s">
        <v>3857</v>
      </c>
      <c r="C297" s="812" t="s">
        <v>1173</v>
      </c>
      <c r="D297" s="825"/>
      <c r="E297" s="825"/>
      <c r="F297" s="828">
        <f>F704</f>
        <v>46813</v>
      </c>
      <c r="G297" s="814" t="s">
        <v>9404</v>
      </c>
      <c r="H297" s="813" t="s">
        <v>1343</v>
      </c>
      <c r="I297" s="813" t="s">
        <v>4070</v>
      </c>
      <c r="J297" s="813" t="s">
        <v>7655</v>
      </c>
      <c r="K297" s="813" t="s">
        <v>7610</v>
      </c>
      <c r="L297" s="813" t="s">
        <v>3863</v>
      </c>
      <c r="M297" s="813" t="s">
        <v>3127</v>
      </c>
      <c r="N297" s="813" t="s">
        <v>7885</v>
      </c>
      <c r="O297" s="813" t="s">
        <v>9550</v>
      </c>
      <c r="P297" s="813" t="s">
        <v>7886</v>
      </c>
      <c r="Q297" s="813" t="s">
        <v>7887</v>
      </c>
      <c r="R297" s="813">
        <v>1</v>
      </c>
      <c r="S297" s="813" t="s">
        <v>7615</v>
      </c>
      <c r="T297" s="813" t="s">
        <v>9544</v>
      </c>
    </row>
    <row r="298" spans="1:20" ht="15" customHeight="1" x14ac:dyDescent="0.35">
      <c r="A298" s="803" t="s">
        <v>7663</v>
      </c>
      <c r="B298" s="803"/>
      <c r="C298" s="803"/>
      <c r="D298" s="803"/>
      <c r="E298" s="803"/>
      <c r="F298" s="803"/>
      <c r="G298" s="803" t="s">
        <v>3855</v>
      </c>
      <c r="H298" s="794"/>
      <c r="I298" s="794"/>
      <c r="J298" s="794"/>
      <c r="K298" s="794"/>
      <c r="L298" s="794"/>
      <c r="M298" s="794"/>
      <c r="N298" s="794"/>
      <c r="O298" s="794"/>
      <c r="P298" s="794"/>
      <c r="Q298" s="794"/>
      <c r="R298" s="794"/>
      <c r="S298" s="794"/>
      <c r="T298" s="794"/>
    </row>
    <row r="299" spans="1:20" ht="15" customHeight="1" x14ac:dyDescent="0.35">
      <c r="A299" s="794" t="s">
        <v>7664</v>
      </c>
      <c r="B299" s="794" t="s">
        <v>3857</v>
      </c>
      <c r="C299" s="812" t="s">
        <v>3913</v>
      </c>
      <c r="D299" s="825"/>
      <c r="E299" s="825"/>
      <c r="F299" s="925">
        <f>F705</f>
        <v>6</v>
      </c>
      <c r="G299" s="814" t="s">
        <v>9404</v>
      </c>
      <c r="H299" s="813" t="s">
        <v>1343</v>
      </c>
      <c r="I299" s="813" t="s">
        <v>4070</v>
      </c>
      <c r="J299" s="813" t="s">
        <v>7665</v>
      </c>
      <c r="K299" s="813" t="s">
        <v>7610</v>
      </c>
      <c r="L299" s="813" t="s">
        <v>3863</v>
      </c>
      <c r="M299" s="813" t="s">
        <v>3127</v>
      </c>
      <c r="N299" s="813" t="s">
        <v>7888</v>
      </c>
      <c r="O299" s="813" t="s">
        <v>9551</v>
      </c>
      <c r="P299" s="813" t="s">
        <v>7889</v>
      </c>
      <c r="Q299" s="813" t="s">
        <v>7890</v>
      </c>
      <c r="R299" s="813">
        <v>1</v>
      </c>
      <c r="S299" s="813" t="s">
        <v>7615</v>
      </c>
      <c r="T299" s="813" t="s">
        <v>9544</v>
      </c>
    </row>
    <row r="300" spans="1:20" ht="15" customHeight="1" x14ac:dyDescent="0.35">
      <c r="A300" s="794" t="s">
        <v>7669</v>
      </c>
      <c r="B300" s="794" t="s">
        <v>3857</v>
      </c>
      <c r="C300" s="812" t="s">
        <v>3913</v>
      </c>
      <c r="D300" s="825"/>
      <c r="E300" s="825"/>
      <c r="F300" s="925">
        <f>F706</f>
        <v>4</v>
      </c>
      <c r="G300" s="814" t="s">
        <v>9404</v>
      </c>
      <c r="H300" s="813" t="s">
        <v>1343</v>
      </c>
      <c r="I300" s="813" t="s">
        <v>4070</v>
      </c>
      <c r="J300" s="813" t="s">
        <v>7665</v>
      </c>
      <c r="K300" s="813" t="s">
        <v>7610</v>
      </c>
      <c r="L300" s="813" t="s">
        <v>3863</v>
      </c>
      <c r="M300" s="813" t="s">
        <v>3127</v>
      </c>
      <c r="N300" s="813" t="s">
        <v>7891</v>
      </c>
      <c r="O300" s="813" t="s">
        <v>9552</v>
      </c>
      <c r="P300" s="813" t="s">
        <v>7892</v>
      </c>
      <c r="Q300" s="813" t="s">
        <v>7893</v>
      </c>
      <c r="R300" s="813">
        <v>1</v>
      </c>
      <c r="S300" s="813" t="s">
        <v>7615</v>
      </c>
      <c r="T300" s="813" t="s">
        <v>9544</v>
      </c>
    </row>
    <row r="301" spans="1:20" ht="15" customHeight="1" x14ac:dyDescent="0.35">
      <c r="A301" s="794" t="s">
        <v>7673</v>
      </c>
      <c r="B301" s="794" t="s">
        <v>3857</v>
      </c>
      <c r="C301" s="812" t="s">
        <v>3913</v>
      </c>
      <c r="D301" s="825"/>
      <c r="E301" s="825"/>
      <c r="F301" s="924">
        <f>F707</f>
        <v>0.5</v>
      </c>
      <c r="G301" s="814" t="s">
        <v>9404</v>
      </c>
      <c r="H301" s="813" t="s">
        <v>1343</v>
      </c>
      <c r="I301" s="813" t="s">
        <v>4070</v>
      </c>
      <c r="J301" s="813" t="s">
        <v>7665</v>
      </c>
      <c r="K301" s="813" t="s">
        <v>7610</v>
      </c>
      <c r="L301" s="813" t="s">
        <v>3863</v>
      </c>
      <c r="M301" s="813" t="s">
        <v>3127</v>
      </c>
      <c r="N301" s="813" t="s">
        <v>7894</v>
      </c>
      <c r="O301" s="813" t="s">
        <v>9553</v>
      </c>
      <c r="P301" s="813" t="s">
        <v>7895</v>
      </c>
      <c r="Q301" s="813" t="s">
        <v>7896</v>
      </c>
      <c r="R301" s="813">
        <v>1</v>
      </c>
      <c r="S301" s="813" t="s">
        <v>7615</v>
      </c>
      <c r="T301" s="813" t="s">
        <v>9544</v>
      </c>
    </row>
    <row r="302" spans="1:20" ht="21" customHeight="1" x14ac:dyDescent="0.35">
      <c r="A302" s="801" t="s">
        <v>7897</v>
      </c>
      <c r="B302" s="801" t="s">
        <v>7898</v>
      </c>
      <c r="C302" s="801"/>
      <c r="D302" s="801"/>
      <c r="E302" s="801"/>
      <c r="F302" s="801"/>
      <c r="G302" s="801" t="s">
        <v>3745</v>
      </c>
      <c r="H302" s="794"/>
      <c r="I302" s="794"/>
      <c r="J302" s="794"/>
      <c r="K302" s="794"/>
      <c r="L302" s="794"/>
      <c r="M302" s="794"/>
      <c r="N302" s="794"/>
      <c r="O302" s="794"/>
      <c r="P302" s="794"/>
      <c r="Q302" s="794"/>
      <c r="R302" s="794"/>
      <c r="S302" s="794"/>
      <c r="T302" s="794"/>
    </row>
    <row r="303" spans="1:20" ht="15" customHeight="1" x14ac:dyDescent="0.35">
      <c r="A303" s="802" t="s">
        <v>7899</v>
      </c>
      <c r="B303" s="802"/>
      <c r="C303" s="802"/>
      <c r="D303" s="802"/>
      <c r="E303" s="802"/>
      <c r="F303" s="802"/>
      <c r="G303" s="802" t="s">
        <v>7900</v>
      </c>
      <c r="H303" s="794"/>
      <c r="I303" s="794"/>
      <c r="J303" s="794"/>
      <c r="K303" s="794"/>
      <c r="L303" s="794"/>
      <c r="M303" s="794"/>
      <c r="N303" s="794"/>
      <c r="O303" s="794"/>
      <c r="P303" s="794"/>
      <c r="Q303" s="794"/>
      <c r="R303" s="794"/>
      <c r="S303" s="794"/>
      <c r="T303" s="794"/>
    </row>
    <row r="304" spans="1:20" ht="15" customHeight="1" x14ac:dyDescent="0.35">
      <c r="A304" s="803" t="s">
        <v>7901</v>
      </c>
      <c r="B304" s="803"/>
      <c r="C304" s="803"/>
      <c r="D304" s="803"/>
      <c r="E304" s="803"/>
      <c r="F304" s="803"/>
      <c r="G304" s="803" t="s">
        <v>5427</v>
      </c>
      <c r="H304" s="794"/>
      <c r="I304" s="794"/>
      <c r="J304" s="794"/>
      <c r="K304" s="794"/>
      <c r="L304" s="794"/>
      <c r="M304" s="794"/>
      <c r="N304" s="794"/>
      <c r="O304" s="794"/>
      <c r="P304" s="794"/>
      <c r="Q304" s="794"/>
      <c r="R304" s="794"/>
      <c r="S304" s="794"/>
      <c r="T304" s="794"/>
    </row>
    <row r="305" spans="1:20" ht="15" customHeight="1" x14ac:dyDescent="0.35">
      <c r="A305" s="794" t="s">
        <v>7902</v>
      </c>
      <c r="B305" s="794" t="s">
        <v>3857</v>
      </c>
      <c r="C305" s="812" t="s">
        <v>3913</v>
      </c>
      <c r="D305" s="825"/>
      <c r="E305" s="825"/>
      <c r="F305" s="825">
        <v>120</v>
      </c>
      <c r="G305" s="814" t="s">
        <v>3858</v>
      </c>
      <c r="H305" s="813" t="s">
        <v>5246</v>
      </c>
      <c r="I305" s="813" t="s">
        <v>4070</v>
      </c>
      <c r="J305" s="813" t="s">
        <v>7903</v>
      </c>
      <c r="K305" s="813" t="s">
        <v>3181</v>
      </c>
      <c r="L305" s="813" t="s">
        <v>3863</v>
      </c>
      <c r="M305" s="813" t="s">
        <v>3181</v>
      </c>
      <c r="N305" s="813" t="s">
        <v>7904</v>
      </c>
      <c r="O305" s="813" t="s">
        <v>4264</v>
      </c>
      <c r="P305" s="813" t="s">
        <v>7905</v>
      </c>
      <c r="Q305" s="813" t="s">
        <v>7906</v>
      </c>
      <c r="R305" s="813">
        <v>1</v>
      </c>
      <c r="S305" s="813" t="s">
        <v>3928</v>
      </c>
      <c r="T305" s="813" t="s">
        <v>6895</v>
      </c>
    </row>
    <row r="306" spans="1:20" ht="15" customHeight="1" x14ac:dyDescent="0.35">
      <c r="A306" s="794" t="s">
        <v>7907</v>
      </c>
      <c r="B306" s="794" t="s">
        <v>3857</v>
      </c>
      <c r="C306" s="812" t="s">
        <v>3913</v>
      </c>
      <c r="D306" s="825"/>
      <c r="E306" s="825"/>
      <c r="F306" s="825">
        <v>120</v>
      </c>
      <c r="G306" s="814" t="s">
        <v>3858</v>
      </c>
      <c r="H306" s="813" t="s">
        <v>5246</v>
      </c>
      <c r="I306" s="813" t="s">
        <v>4070</v>
      </c>
      <c r="J306" s="813" t="s">
        <v>7903</v>
      </c>
      <c r="K306" s="813" t="s">
        <v>3181</v>
      </c>
      <c r="L306" s="813" t="s">
        <v>3863</v>
      </c>
      <c r="M306" s="813" t="s">
        <v>3181</v>
      </c>
      <c r="N306" s="813" t="s">
        <v>7908</v>
      </c>
      <c r="O306" s="813" t="s">
        <v>4264</v>
      </c>
      <c r="P306" s="813" t="s">
        <v>7909</v>
      </c>
      <c r="Q306" s="813" t="s">
        <v>7910</v>
      </c>
      <c r="R306" s="813">
        <v>1</v>
      </c>
      <c r="S306" s="813" t="s">
        <v>3928</v>
      </c>
      <c r="T306" s="813" t="s">
        <v>6895</v>
      </c>
    </row>
    <row r="307" spans="1:20" ht="15" customHeight="1" x14ac:dyDescent="0.35">
      <c r="A307" s="794" t="s">
        <v>7911</v>
      </c>
      <c r="B307" s="794" t="s">
        <v>3857</v>
      </c>
      <c r="C307" s="812" t="s">
        <v>3913</v>
      </c>
      <c r="D307" s="825"/>
      <c r="E307" s="825"/>
      <c r="F307" s="825">
        <v>120</v>
      </c>
      <c r="G307" s="814" t="s">
        <v>3858</v>
      </c>
      <c r="H307" s="813" t="s">
        <v>5246</v>
      </c>
      <c r="I307" s="813" t="s">
        <v>4070</v>
      </c>
      <c r="J307" s="813" t="s">
        <v>7903</v>
      </c>
      <c r="K307" s="813" t="s">
        <v>3181</v>
      </c>
      <c r="L307" s="813" t="s">
        <v>3863</v>
      </c>
      <c r="M307" s="813" t="s">
        <v>3181</v>
      </c>
      <c r="N307" s="813" t="s">
        <v>7912</v>
      </c>
      <c r="O307" s="813" t="s">
        <v>4264</v>
      </c>
      <c r="P307" s="813" t="s">
        <v>7913</v>
      </c>
      <c r="Q307" s="813" t="s">
        <v>7914</v>
      </c>
      <c r="R307" s="813">
        <v>1</v>
      </c>
      <c r="S307" s="813" t="s">
        <v>3928</v>
      </c>
      <c r="T307" s="813" t="s">
        <v>6895</v>
      </c>
    </row>
    <row r="308" spans="1:20" ht="15" customHeight="1" x14ac:dyDescent="0.35">
      <c r="A308" s="794" t="s">
        <v>7915</v>
      </c>
      <c r="B308" s="794" t="s">
        <v>3857</v>
      </c>
      <c r="C308" s="812" t="s">
        <v>3913</v>
      </c>
      <c r="D308" s="825"/>
      <c r="E308" s="825"/>
      <c r="F308" s="825">
        <v>60</v>
      </c>
      <c r="G308" s="814" t="s">
        <v>3858</v>
      </c>
      <c r="H308" s="813" t="s">
        <v>5246</v>
      </c>
      <c r="I308" s="813" t="s">
        <v>4070</v>
      </c>
      <c r="J308" s="813" t="s">
        <v>7903</v>
      </c>
      <c r="K308" s="813" t="s">
        <v>3181</v>
      </c>
      <c r="L308" s="813" t="s">
        <v>3863</v>
      </c>
      <c r="M308" s="813" t="s">
        <v>3181</v>
      </c>
      <c r="N308" s="813" t="s">
        <v>7916</v>
      </c>
      <c r="O308" s="813" t="s">
        <v>4264</v>
      </c>
      <c r="P308" s="813" t="s">
        <v>7917</v>
      </c>
      <c r="Q308" s="813" t="s">
        <v>7918</v>
      </c>
      <c r="R308" s="813">
        <v>1</v>
      </c>
      <c r="S308" s="813" t="s">
        <v>3928</v>
      </c>
      <c r="T308" s="813" t="s">
        <v>6895</v>
      </c>
    </row>
    <row r="309" spans="1:20" ht="15" customHeight="1" x14ac:dyDescent="0.35">
      <c r="A309" s="794" t="s">
        <v>7919</v>
      </c>
      <c r="B309" s="794" t="s">
        <v>3857</v>
      </c>
      <c r="C309" s="812" t="s">
        <v>3913</v>
      </c>
      <c r="D309" s="825"/>
      <c r="E309" s="825"/>
      <c r="F309" s="825">
        <v>60</v>
      </c>
      <c r="G309" s="814" t="s">
        <v>3858</v>
      </c>
      <c r="H309" s="813" t="s">
        <v>5246</v>
      </c>
      <c r="I309" s="813" t="s">
        <v>4070</v>
      </c>
      <c r="J309" s="813" t="s">
        <v>7903</v>
      </c>
      <c r="K309" s="813" t="s">
        <v>3181</v>
      </c>
      <c r="L309" s="813" t="s">
        <v>3863</v>
      </c>
      <c r="M309" s="813" t="s">
        <v>3181</v>
      </c>
      <c r="N309" s="813" t="s">
        <v>7920</v>
      </c>
      <c r="O309" s="813" t="s">
        <v>4264</v>
      </c>
      <c r="P309" s="813" t="s">
        <v>7921</v>
      </c>
      <c r="Q309" s="813" t="s">
        <v>7922</v>
      </c>
      <c r="R309" s="813">
        <v>1</v>
      </c>
      <c r="S309" s="813" t="s">
        <v>3928</v>
      </c>
      <c r="T309" s="813" t="s">
        <v>6895</v>
      </c>
    </row>
    <row r="310" spans="1:20" ht="15" customHeight="1" x14ac:dyDescent="0.35">
      <c r="A310" s="794" t="s">
        <v>7923</v>
      </c>
      <c r="B310" s="794" t="s">
        <v>3857</v>
      </c>
      <c r="C310" s="812" t="s">
        <v>3913</v>
      </c>
      <c r="D310" s="825"/>
      <c r="E310" s="825"/>
      <c r="F310" s="825">
        <v>18</v>
      </c>
      <c r="G310" s="814" t="s">
        <v>3858</v>
      </c>
      <c r="H310" s="813" t="s">
        <v>5246</v>
      </c>
      <c r="I310" s="813" t="s">
        <v>4070</v>
      </c>
      <c r="J310" s="813" t="s">
        <v>7903</v>
      </c>
      <c r="K310" s="813" t="s">
        <v>3181</v>
      </c>
      <c r="L310" s="813" t="s">
        <v>3863</v>
      </c>
      <c r="M310" s="813" t="s">
        <v>3181</v>
      </c>
      <c r="N310" s="813" t="s">
        <v>7924</v>
      </c>
      <c r="O310" s="813" t="s">
        <v>3883</v>
      </c>
      <c r="P310" s="813" t="s">
        <v>7925</v>
      </c>
      <c r="Q310" s="813" t="s">
        <v>7926</v>
      </c>
      <c r="R310" s="813">
        <v>1</v>
      </c>
      <c r="S310" s="813" t="s">
        <v>3928</v>
      </c>
      <c r="T310" s="813" t="s">
        <v>6895</v>
      </c>
    </row>
    <row r="311" spans="1:20" ht="15" customHeight="1" x14ac:dyDescent="0.35">
      <c r="A311" s="794" t="s">
        <v>7927</v>
      </c>
      <c r="B311" s="794" t="s">
        <v>3857</v>
      </c>
      <c r="C311" s="812" t="s">
        <v>3913</v>
      </c>
      <c r="D311" s="825"/>
      <c r="E311" s="825"/>
      <c r="F311" s="825">
        <v>8</v>
      </c>
      <c r="G311" s="814" t="s">
        <v>3858</v>
      </c>
      <c r="H311" s="813" t="s">
        <v>5246</v>
      </c>
      <c r="I311" s="813" t="s">
        <v>4070</v>
      </c>
      <c r="J311" s="813" t="s">
        <v>7903</v>
      </c>
      <c r="K311" s="813" t="s">
        <v>3181</v>
      </c>
      <c r="L311" s="813" t="s">
        <v>3863</v>
      </c>
      <c r="M311" s="813" t="s">
        <v>3181</v>
      </c>
      <c r="N311" s="813" t="s">
        <v>7928</v>
      </c>
      <c r="O311" s="813" t="s">
        <v>3925</v>
      </c>
      <c r="P311" s="813" t="s">
        <v>7929</v>
      </c>
      <c r="Q311" s="813" t="s">
        <v>7930</v>
      </c>
      <c r="R311" s="813">
        <v>1</v>
      </c>
      <c r="S311" s="813" t="s">
        <v>3928</v>
      </c>
      <c r="T311" s="813" t="s">
        <v>6895</v>
      </c>
    </row>
    <row r="312" spans="1:20" ht="15" customHeight="1" x14ac:dyDescent="0.35">
      <c r="A312" s="794" t="s">
        <v>7931</v>
      </c>
      <c r="B312" s="794" t="s">
        <v>3857</v>
      </c>
      <c r="C312" s="812" t="s">
        <v>3913</v>
      </c>
      <c r="D312" s="825"/>
      <c r="E312" s="825"/>
      <c r="F312" s="825">
        <v>7</v>
      </c>
      <c r="G312" s="814" t="s">
        <v>3858</v>
      </c>
      <c r="H312" s="813" t="s">
        <v>5246</v>
      </c>
      <c r="I312" s="813" t="s">
        <v>4070</v>
      </c>
      <c r="J312" s="813" t="s">
        <v>7903</v>
      </c>
      <c r="K312" s="813" t="s">
        <v>3181</v>
      </c>
      <c r="L312" s="813" t="s">
        <v>3863</v>
      </c>
      <c r="M312" s="813" t="s">
        <v>3181</v>
      </c>
      <c r="N312" s="813" t="s">
        <v>7932</v>
      </c>
      <c r="O312" s="813" t="s">
        <v>3925</v>
      </c>
      <c r="P312" s="813" t="s">
        <v>7933</v>
      </c>
      <c r="Q312" s="813" t="s">
        <v>7934</v>
      </c>
      <c r="R312" s="813">
        <v>1</v>
      </c>
      <c r="S312" s="813" t="s">
        <v>3928</v>
      </c>
      <c r="T312" s="813" t="s">
        <v>6895</v>
      </c>
    </row>
    <row r="313" spans="1:20" ht="15" customHeight="1" x14ac:dyDescent="0.35">
      <c r="A313" s="794" t="s">
        <v>7935</v>
      </c>
      <c r="B313" s="794" t="s">
        <v>3857</v>
      </c>
      <c r="C313" s="812" t="s">
        <v>3913</v>
      </c>
      <c r="D313" s="825"/>
      <c r="E313" s="825"/>
      <c r="F313" s="825">
        <v>24</v>
      </c>
      <c r="G313" s="814" t="s">
        <v>3858</v>
      </c>
      <c r="H313" s="813" t="s">
        <v>5246</v>
      </c>
      <c r="I313" s="813" t="s">
        <v>4070</v>
      </c>
      <c r="J313" s="813" t="s">
        <v>7903</v>
      </c>
      <c r="K313" s="813" t="s">
        <v>3181</v>
      </c>
      <c r="L313" s="813" t="s">
        <v>3863</v>
      </c>
      <c r="M313" s="813" t="s">
        <v>3181</v>
      </c>
      <c r="N313" s="813" t="s">
        <v>7936</v>
      </c>
      <c r="O313" s="813" t="s">
        <v>3883</v>
      </c>
      <c r="P313" s="813" t="s">
        <v>7937</v>
      </c>
      <c r="Q313" s="813" t="s">
        <v>7938</v>
      </c>
      <c r="R313" s="813">
        <v>1</v>
      </c>
      <c r="S313" s="813" t="s">
        <v>3928</v>
      </c>
      <c r="T313" s="813" t="s">
        <v>6895</v>
      </c>
    </row>
    <row r="314" spans="1:20" ht="15" customHeight="1" x14ac:dyDescent="0.35">
      <c r="A314" s="794" t="s">
        <v>7939</v>
      </c>
      <c r="B314" s="794" t="s">
        <v>3857</v>
      </c>
      <c r="C314" s="812" t="s">
        <v>3913</v>
      </c>
      <c r="D314" s="825"/>
      <c r="E314" s="825"/>
      <c r="F314" s="825">
        <v>7</v>
      </c>
      <c r="G314" s="814" t="s">
        <v>3858</v>
      </c>
      <c r="H314" s="813" t="s">
        <v>5246</v>
      </c>
      <c r="I314" s="813" t="s">
        <v>4070</v>
      </c>
      <c r="J314" s="813" t="s">
        <v>7903</v>
      </c>
      <c r="K314" s="813" t="s">
        <v>3181</v>
      </c>
      <c r="L314" s="813" t="s">
        <v>3863</v>
      </c>
      <c r="M314" s="813" t="s">
        <v>3181</v>
      </c>
      <c r="N314" s="813" t="s">
        <v>7940</v>
      </c>
      <c r="O314" s="813" t="s">
        <v>3925</v>
      </c>
      <c r="P314" s="813" t="s">
        <v>7941</v>
      </c>
      <c r="Q314" s="813" t="s">
        <v>7942</v>
      </c>
      <c r="R314" s="813">
        <v>1</v>
      </c>
      <c r="S314" s="813" t="s">
        <v>3928</v>
      </c>
      <c r="T314" s="813" t="s">
        <v>6895</v>
      </c>
    </row>
    <row r="315" spans="1:20" ht="15" customHeight="1" x14ac:dyDescent="0.35">
      <c r="A315" s="794" t="s">
        <v>7943</v>
      </c>
      <c r="B315" s="794" t="s">
        <v>3857</v>
      </c>
      <c r="C315" s="812" t="s">
        <v>3913</v>
      </c>
      <c r="D315" s="825"/>
      <c r="E315" s="825"/>
      <c r="F315" s="825">
        <v>8</v>
      </c>
      <c r="G315" s="814" t="s">
        <v>3858</v>
      </c>
      <c r="H315" s="813" t="s">
        <v>5246</v>
      </c>
      <c r="I315" s="813" t="s">
        <v>4070</v>
      </c>
      <c r="J315" s="813" t="s">
        <v>7903</v>
      </c>
      <c r="K315" s="813" t="s">
        <v>3181</v>
      </c>
      <c r="L315" s="813" t="s">
        <v>3863</v>
      </c>
      <c r="M315" s="813" t="s">
        <v>3181</v>
      </c>
      <c r="N315" s="813" t="s">
        <v>7944</v>
      </c>
      <c r="O315" s="813" t="s">
        <v>3925</v>
      </c>
      <c r="P315" s="813" t="s">
        <v>7945</v>
      </c>
      <c r="Q315" s="813" t="s">
        <v>7946</v>
      </c>
      <c r="R315" s="813">
        <v>1</v>
      </c>
      <c r="S315" s="813" t="s">
        <v>3928</v>
      </c>
      <c r="T315" s="813" t="s">
        <v>6895</v>
      </c>
    </row>
    <row r="316" spans="1:20" ht="15" customHeight="1" x14ac:dyDescent="0.35">
      <c r="A316" s="794" t="s">
        <v>7947</v>
      </c>
      <c r="B316" s="794" t="s">
        <v>3857</v>
      </c>
      <c r="C316" s="812" t="s">
        <v>3913</v>
      </c>
      <c r="D316" s="825"/>
      <c r="E316" s="825"/>
      <c r="F316" s="825">
        <v>30</v>
      </c>
      <c r="G316" s="814" t="s">
        <v>3858</v>
      </c>
      <c r="H316" s="813" t="s">
        <v>5246</v>
      </c>
      <c r="I316" s="813" t="s">
        <v>4070</v>
      </c>
      <c r="J316" s="813" t="s">
        <v>7903</v>
      </c>
      <c r="K316" s="813" t="s">
        <v>3181</v>
      </c>
      <c r="L316" s="813" t="s">
        <v>3863</v>
      </c>
      <c r="M316" s="813" t="s">
        <v>3181</v>
      </c>
      <c r="N316" s="813" t="s">
        <v>7948</v>
      </c>
      <c r="O316" s="813" t="s">
        <v>3883</v>
      </c>
      <c r="P316" s="813" t="s">
        <v>7949</v>
      </c>
      <c r="Q316" s="813" t="s">
        <v>7950</v>
      </c>
      <c r="R316" s="813">
        <v>1</v>
      </c>
      <c r="S316" s="813" t="s">
        <v>3928</v>
      </c>
      <c r="T316" s="813" t="s">
        <v>6895</v>
      </c>
    </row>
    <row r="317" spans="1:20" ht="15" customHeight="1" x14ac:dyDescent="0.35">
      <c r="A317" s="794" t="s">
        <v>7951</v>
      </c>
      <c r="B317" s="794" t="s">
        <v>3857</v>
      </c>
      <c r="C317" s="812" t="s">
        <v>3913</v>
      </c>
      <c r="D317" s="825"/>
      <c r="E317" s="825"/>
      <c r="F317" s="825">
        <v>8</v>
      </c>
      <c r="G317" s="814" t="s">
        <v>3858</v>
      </c>
      <c r="H317" s="813" t="s">
        <v>5246</v>
      </c>
      <c r="I317" s="813" t="s">
        <v>4070</v>
      </c>
      <c r="J317" s="813" t="s">
        <v>7903</v>
      </c>
      <c r="K317" s="813" t="s">
        <v>3181</v>
      </c>
      <c r="L317" s="813" t="s">
        <v>3863</v>
      </c>
      <c r="M317" s="813" t="s">
        <v>3181</v>
      </c>
      <c r="N317" s="813" t="s">
        <v>7952</v>
      </c>
      <c r="O317" s="813" t="s">
        <v>3925</v>
      </c>
      <c r="P317" s="813" t="s">
        <v>7953</v>
      </c>
      <c r="Q317" s="813" t="s">
        <v>7954</v>
      </c>
      <c r="R317" s="813">
        <v>1</v>
      </c>
      <c r="S317" s="813" t="s">
        <v>3928</v>
      </c>
      <c r="T317" s="813" t="s">
        <v>6895</v>
      </c>
    </row>
    <row r="318" spans="1:20" ht="15" customHeight="1" x14ac:dyDescent="0.35">
      <c r="A318" s="794" t="s">
        <v>7955</v>
      </c>
      <c r="B318" s="794" t="s">
        <v>3857</v>
      </c>
      <c r="C318" s="812" t="s">
        <v>3913</v>
      </c>
      <c r="D318" s="825"/>
      <c r="E318" s="825"/>
      <c r="F318" s="825">
        <v>7</v>
      </c>
      <c r="G318" s="814" t="s">
        <v>3858</v>
      </c>
      <c r="H318" s="813" t="s">
        <v>5246</v>
      </c>
      <c r="I318" s="813" t="s">
        <v>4070</v>
      </c>
      <c r="J318" s="813" t="s">
        <v>7903</v>
      </c>
      <c r="K318" s="813" t="s">
        <v>3181</v>
      </c>
      <c r="L318" s="813" t="s">
        <v>3863</v>
      </c>
      <c r="M318" s="813" t="s">
        <v>3181</v>
      </c>
      <c r="N318" s="813" t="s">
        <v>7956</v>
      </c>
      <c r="O318" s="813" t="s">
        <v>3925</v>
      </c>
      <c r="P318" s="813" t="s">
        <v>7957</v>
      </c>
      <c r="Q318" s="813" t="s">
        <v>7958</v>
      </c>
      <c r="R318" s="813">
        <v>1</v>
      </c>
      <c r="S318" s="813" t="s">
        <v>3928</v>
      </c>
      <c r="T318" s="813" t="s">
        <v>6895</v>
      </c>
    </row>
    <row r="319" spans="1:20" ht="15" customHeight="1" x14ac:dyDescent="0.35">
      <c r="A319" s="794" t="s">
        <v>7959</v>
      </c>
      <c r="B319" s="794" t="s">
        <v>3857</v>
      </c>
      <c r="C319" s="812" t="s">
        <v>3913</v>
      </c>
      <c r="D319" s="825"/>
      <c r="E319" s="825"/>
      <c r="F319" s="825">
        <v>36</v>
      </c>
      <c r="G319" s="814" t="s">
        <v>3858</v>
      </c>
      <c r="H319" s="813" t="s">
        <v>5246</v>
      </c>
      <c r="I319" s="813" t="s">
        <v>4070</v>
      </c>
      <c r="J319" s="813" t="s">
        <v>7903</v>
      </c>
      <c r="K319" s="813" t="s">
        <v>3181</v>
      </c>
      <c r="L319" s="813" t="s">
        <v>3863</v>
      </c>
      <c r="M319" s="813" t="s">
        <v>3181</v>
      </c>
      <c r="N319" s="813" t="s">
        <v>7960</v>
      </c>
      <c r="O319" s="813" t="s">
        <v>3883</v>
      </c>
      <c r="P319" s="813" t="s">
        <v>7961</v>
      </c>
      <c r="Q319" s="813" t="s">
        <v>7962</v>
      </c>
      <c r="R319" s="813">
        <v>1</v>
      </c>
      <c r="S319" s="813" t="s">
        <v>3928</v>
      </c>
      <c r="T319" s="813" t="s">
        <v>6895</v>
      </c>
    </row>
    <row r="320" spans="1:20" ht="15" customHeight="1" x14ac:dyDescent="0.35">
      <c r="A320" s="794" t="s">
        <v>7963</v>
      </c>
      <c r="B320" s="794" t="s">
        <v>3857</v>
      </c>
      <c r="C320" s="812" t="s">
        <v>3913</v>
      </c>
      <c r="D320" s="825"/>
      <c r="E320" s="825"/>
      <c r="F320" s="825">
        <v>3</v>
      </c>
      <c r="G320" s="814" t="s">
        <v>3858</v>
      </c>
      <c r="H320" s="813" t="s">
        <v>5246</v>
      </c>
      <c r="I320" s="813" t="s">
        <v>4070</v>
      </c>
      <c r="J320" s="813" t="s">
        <v>7903</v>
      </c>
      <c r="K320" s="813" t="s">
        <v>3181</v>
      </c>
      <c r="L320" s="813" t="s">
        <v>3863</v>
      </c>
      <c r="M320" s="813" t="s">
        <v>3181</v>
      </c>
      <c r="N320" s="813" t="s">
        <v>7964</v>
      </c>
      <c r="O320" s="813" t="s">
        <v>3925</v>
      </c>
      <c r="P320" s="813" t="s">
        <v>7965</v>
      </c>
      <c r="Q320" s="813" t="s">
        <v>7966</v>
      </c>
      <c r="R320" s="813">
        <v>1</v>
      </c>
      <c r="S320" s="813" t="s">
        <v>3928</v>
      </c>
      <c r="T320" s="813" t="s">
        <v>6895</v>
      </c>
    </row>
    <row r="321" spans="1:20" ht="15" customHeight="1" x14ac:dyDescent="0.35">
      <c r="A321" s="794" t="s">
        <v>7967</v>
      </c>
      <c r="B321" s="794" t="s">
        <v>3857</v>
      </c>
      <c r="C321" s="812" t="s">
        <v>3913</v>
      </c>
      <c r="D321" s="825"/>
      <c r="E321" s="825"/>
      <c r="F321" s="825">
        <v>4</v>
      </c>
      <c r="G321" s="814" t="s">
        <v>3858</v>
      </c>
      <c r="H321" s="813" t="s">
        <v>5246</v>
      </c>
      <c r="I321" s="813" t="s">
        <v>4070</v>
      </c>
      <c r="J321" s="813" t="s">
        <v>7903</v>
      </c>
      <c r="K321" s="813" t="s">
        <v>3181</v>
      </c>
      <c r="L321" s="813" t="s">
        <v>3863</v>
      </c>
      <c r="M321" s="813" t="s">
        <v>3181</v>
      </c>
      <c r="N321" s="813" t="s">
        <v>7968</v>
      </c>
      <c r="O321" s="813" t="s">
        <v>3925</v>
      </c>
      <c r="P321" s="813" t="s">
        <v>7969</v>
      </c>
      <c r="Q321" s="813" t="s">
        <v>7970</v>
      </c>
      <c r="R321" s="813">
        <v>1</v>
      </c>
      <c r="S321" s="813" t="s">
        <v>3928</v>
      </c>
      <c r="T321" s="813" t="s">
        <v>6895</v>
      </c>
    </row>
    <row r="322" spans="1:20" ht="15" customHeight="1" x14ac:dyDescent="0.35">
      <c r="A322" s="794" t="s">
        <v>7971</v>
      </c>
      <c r="B322" s="794" t="s">
        <v>3857</v>
      </c>
      <c r="C322" s="812" t="s">
        <v>3913</v>
      </c>
      <c r="D322" s="825"/>
      <c r="E322" s="825"/>
      <c r="F322" s="825">
        <v>36</v>
      </c>
      <c r="G322" s="814" t="s">
        <v>3858</v>
      </c>
      <c r="H322" s="813" t="s">
        <v>5246</v>
      </c>
      <c r="I322" s="813" t="s">
        <v>4070</v>
      </c>
      <c r="J322" s="813" t="s">
        <v>7903</v>
      </c>
      <c r="K322" s="813" t="s">
        <v>3181</v>
      </c>
      <c r="L322" s="813" t="s">
        <v>3863</v>
      </c>
      <c r="M322" s="813" t="s">
        <v>3181</v>
      </c>
      <c r="N322" s="813" t="s">
        <v>7972</v>
      </c>
      <c r="O322" s="813" t="s">
        <v>3883</v>
      </c>
      <c r="P322" s="813" t="s">
        <v>7973</v>
      </c>
      <c r="Q322" s="813" t="s">
        <v>7974</v>
      </c>
      <c r="R322" s="813">
        <v>1</v>
      </c>
      <c r="S322" s="813" t="s">
        <v>3928</v>
      </c>
      <c r="T322" s="813" t="s">
        <v>6895</v>
      </c>
    </row>
    <row r="323" spans="1:20" ht="15" customHeight="1" x14ac:dyDescent="0.35">
      <c r="A323" s="794" t="s">
        <v>7975</v>
      </c>
      <c r="B323" s="794" t="s">
        <v>3857</v>
      </c>
      <c r="C323" s="812" t="s">
        <v>3913</v>
      </c>
      <c r="D323" s="825"/>
      <c r="E323" s="825"/>
      <c r="F323" s="825">
        <v>4</v>
      </c>
      <c r="G323" s="814" t="s">
        <v>3858</v>
      </c>
      <c r="H323" s="813" t="s">
        <v>5246</v>
      </c>
      <c r="I323" s="813" t="s">
        <v>4070</v>
      </c>
      <c r="J323" s="813" t="s">
        <v>7903</v>
      </c>
      <c r="K323" s="813" t="s">
        <v>3181</v>
      </c>
      <c r="L323" s="813" t="s">
        <v>3863</v>
      </c>
      <c r="M323" s="813" t="s">
        <v>3181</v>
      </c>
      <c r="N323" s="813" t="s">
        <v>7976</v>
      </c>
      <c r="O323" s="813" t="s">
        <v>3925</v>
      </c>
      <c r="P323" s="813" t="s">
        <v>7977</v>
      </c>
      <c r="Q323" s="813" t="s">
        <v>7978</v>
      </c>
      <c r="R323" s="813">
        <v>1</v>
      </c>
      <c r="S323" s="813" t="s">
        <v>3928</v>
      </c>
      <c r="T323" s="813" t="s">
        <v>6895</v>
      </c>
    </row>
    <row r="324" spans="1:20" ht="15" customHeight="1" x14ac:dyDescent="0.35">
      <c r="A324" s="794" t="s">
        <v>7979</v>
      </c>
      <c r="B324" s="794" t="s">
        <v>3857</v>
      </c>
      <c r="C324" s="812" t="s">
        <v>3913</v>
      </c>
      <c r="D324" s="825"/>
      <c r="E324" s="825"/>
      <c r="F324" s="825">
        <v>4</v>
      </c>
      <c r="G324" s="814" t="s">
        <v>3858</v>
      </c>
      <c r="H324" s="813" t="s">
        <v>5246</v>
      </c>
      <c r="I324" s="813" t="s">
        <v>4070</v>
      </c>
      <c r="J324" s="813" t="s">
        <v>7903</v>
      </c>
      <c r="K324" s="813" t="s">
        <v>3181</v>
      </c>
      <c r="L324" s="813" t="s">
        <v>3863</v>
      </c>
      <c r="M324" s="813" t="s">
        <v>3181</v>
      </c>
      <c r="N324" s="813" t="s">
        <v>7980</v>
      </c>
      <c r="O324" s="813" t="s">
        <v>3925</v>
      </c>
      <c r="P324" s="813" t="s">
        <v>7981</v>
      </c>
      <c r="Q324" s="813" t="s">
        <v>7982</v>
      </c>
      <c r="R324" s="813">
        <v>1</v>
      </c>
      <c r="S324" s="813" t="s">
        <v>3928</v>
      </c>
      <c r="T324" s="813" t="s">
        <v>6895</v>
      </c>
    </row>
    <row r="325" spans="1:20" ht="15" customHeight="1" x14ac:dyDescent="0.35">
      <c r="A325" s="794" t="s">
        <v>7983</v>
      </c>
      <c r="B325" s="794" t="s">
        <v>3857</v>
      </c>
      <c r="C325" s="812" t="s">
        <v>3913</v>
      </c>
      <c r="D325" s="825">
        <v>540</v>
      </c>
      <c r="E325" s="825"/>
      <c r="F325" s="826"/>
      <c r="G325" s="814" t="s">
        <v>3858</v>
      </c>
      <c r="H325" s="813" t="s">
        <v>5246</v>
      </c>
      <c r="I325" s="813" t="s">
        <v>4070</v>
      </c>
      <c r="J325" s="813" t="s">
        <v>7903</v>
      </c>
      <c r="K325" s="813" t="s">
        <v>3181</v>
      </c>
      <c r="L325" s="813" t="s">
        <v>3863</v>
      </c>
      <c r="M325" s="813" t="s">
        <v>3181</v>
      </c>
      <c r="N325" s="813" t="s">
        <v>7984</v>
      </c>
      <c r="O325" s="813" t="s">
        <v>3925</v>
      </c>
      <c r="P325" s="813" t="s">
        <v>7985</v>
      </c>
      <c r="Q325" s="813" t="s">
        <v>7986</v>
      </c>
      <c r="R325" s="813">
        <v>1</v>
      </c>
      <c r="S325" s="813" t="s">
        <v>3928</v>
      </c>
      <c r="T325" s="813" t="s">
        <v>6895</v>
      </c>
    </row>
    <row r="326" spans="1:20" ht="15" customHeight="1" x14ac:dyDescent="0.35">
      <c r="A326" s="794" t="s">
        <v>7987</v>
      </c>
      <c r="B326" s="794" t="s">
        <v>3857</v>
      </c>
      <c r="C326" s="812" t="s">
        <v>3913</v>
      </c>
      <c r="D326" s="825">
        <v>610</v>
      </c>
      <c r="E326" s="825"/>
      <c r="F326" s="826"/>
      <c r="G326" s="814" t="s">
        <v>3858</v>
      </c>
      <c r="H326" s="813" t="s">
        <v>5246</v>
      </c>
      <c r="I326" s="813" t="s">
        <v>4070</v>
      </c>
      <c r="J326" s="813" t="s">
        <v>7903</v>
      </c>
      <c r="K326" s="813" t="s">
        <v>3181</v>
      </c>
      <c r="L326" s="813" t="s">
        <v>3863</v>
      </c>
      <c r="M326" s="813" t="s">
        <v>3181</v>
      </c>
      <c r="N326" s="813" t="s">
        <v>7988</v>
      </c>
      <c r="O326" s="813" t="s">
        <v>3925</v>
      </c>
      <c r="P326" s="813" t="s">
        <v>7989</v>
      </c>
      <c r="Q326" s="813" t="s">
        <v>7990</v>
      </c>
      <c r="R326" s="813">
        <v>1</v>
      </c>
      <c r="S326" s="813" t="s">
        <v>3928</v>
      </c>
      <c r="T326" s="813" t="s">
        <v>6895</v>
      </c>
    </row>
    <row r="327" spans="1:20" ht="15" customHeight="1" x14ac:dyDescent="0.35">
      <c r="A327" s="794" t="s">
        <v>7991</v>
      </c>
      <c r="B327" s="794" t="s">
        <v>3857</v>
      </c>
      <c r="C327" s="812" t="s">
        <v>3913</v>
      </c>
      <c r="D327" s="825">
        <v>690</v>
      </c>
      <c r="E327" s="825"/>
      <c r="F327" s="826"/>
      <c r="G327" s="814" t="s">
        <v>3858</v>
      </c>
      <c r="H327" s="813" t="s">
        <v>5246</v>
      </c>
      <c r="I327" s="813" t="s">
        <v>4070</v>
      </c>
      <c r="J327" s="813" t="s">
        <v>7903</v>
      </c>
      <c r="K327" s="813" t="s">
        <v>3181</v>
      </c>
      <c r="L327" s="813" t="s">
        <v>3863</v>
      </c>
      <c r="M327" s="813" t="s">
        <v>3181</v>
      </c>
      <c r="N327" s="813" t="s">
        <v>7992</v>
      </c>
      <c r="O327" s="813" t="s">
        <v>3925</v>
      </c>
      <c r="P327" s="813" t="s">
        <v>7993</v>
      </c>
      <c r="Q327" s="813" t="s">
        <v>7994</v>
      </c>
      <c r="R327" s="813">
        <v>1</v>
      </c>
      <c r="S327" s="813" t="s">
        <v>3928</v>
      </c>
      <c r="T327" s="813" t="s">
        <v>6895</v>
      </c>
    </row>
    <row r="328" spans="1:20" ht="15" customHeight="1" x14ac:dyDescent="0.35">
      <c r="A328" s="794" t="s">
        <v>7995</v>
      </c>
      <c r="B328" s="794" t="s">
        <v>3857</v>
      </c>
      <c r="C328" s="812" t="s">
        <v>3913</v>
      </c>
      <c r="D328" s="825">
        <v>780</v>
      </c>
      <c r="E328" s="825"/>
      <c r="F328" s="826"/>
      <c r="G328" s="814" t="s">
        <v>3858</v>
      </c>
      <c r="H328" s="813" t="s">
        <v>5246</v>
      </c>
      <c r="I328" s="813" t="s">
        <v>4070</v>
      </c>
      <c r="J328" s="813" t="s">
        <v>7903</v>
      </c>
      <c r="K328" s="813" t="s">
        <v>3181</v>
      </c>
      <c r="L328" s="813" t="s">
        <v>3863</v>
      </c>
      <c r="M328" s="813" t="s">
        <v>3181</v>
      </c>
      <c r="N328" s="813" t="s">
        <v>7996</v>
      </c>
      <c r="O328" s="813" t="s">
        <v>3925</v>
      </c>
      <c r="P328" s="813" t="s">
        <v>7997</v>
      </c>
      <c r="Q328" s="813" t="s">
        <v>7998</v>
      </c>
      <c r="R328" s="813">
        <v>1</v>
      </c>
      <c r="S328" s="813" t="s">
        <v>3928</v>
      </c>
      <c r="T328" s="813" t="s">
        <v>6895</v>
      </c>
    </row>
    <row r="329" spans="1:20" ht="15" customHeight="1" x14ac:dyDescent="0.35">
      <c r="A329" s="794" t="s">
        <v>7999</v>
      </c>
      <c r="B329" s="794" t="s">
        <v>3857</v>
      </c>
      <c r="C329" s="812" t="s">
        <v>3913</v>
      </c>
      <c r="D329" s="825">
        <v>900</v>
      </c>
      <c r="E329" s="825"/>
      <c r="F329" s="826"/>
      <c r="G329" s="814" t="s">
        <v>3858</v>
      </c>
      <c r="H329" s="813" t="s">
        <v>5246</v>
      </c>
      <c r="I329" s="813" t="s">
        <v>4070</v>
      </c>
      <c r="J329" s="813" t="s">
        <v>7903</v>
      </c>
      <c r="K329" s="813" t="s">
        <v>3181</v>
      </c>
      <c r="L329" s="813" t="s">
        <v>3863</v>
      </c>
      <c r="M329" s="813" t="s">
        <v>3181</v>
      </c>
      <c r="N329" s="813" t="s">
        <v>8000</v>
      </c>
      <c r="O329" s="813" t="s">
        <v>3925</v>
      </c>
      <c r="P329" s="813" t="s">
        <v>8001</v>
      </c>
      <c r="Q329" s="813" t="s">
        <v>8002</v>
      </c>
      <c r="R329" s="813">
        <v>1</v>
      </c>
      <c r="S329" s="813" t="s">
        <v>3928</v>
      </c>
      <c r="T329" s="813" t="s">
        <v>6895</v>
      </c>
    </row>
    <row r="330" spans="1:20" ht="15" customHeight="1" x14ac:dyDescent="0.35">
      <c r="A330" s="803" t="s">
        <v>8003</v>
      </c>
      <c r="B330" s="803"/>
      <c r="C330" s="803"/>
      <c r="D330" s="803"/>
      <c r="E330" s="803"/>
      <c r="F330" s="803"/>
      <c r="G330" s="803" t="s">
        <v>3946</v>
      </c>
      <c r="H330" s="794"/>
      <c r="I330" s="794"/>
      <c r="J330" s="794"/>
      <c r="K330" s="794"/>
      <c r="L330" s="794"/>
      <c r="M330" s="794"/>
      <c r="N330" s="794"/>
      <c r="O330" s="794"/>
      <c r="P330" s="794"/>
      <c r="Q330" s="794"/>
      <c r="R330" s="794"/>
      <c r="S330" s="794"/>
      <c r="T330" s="794"/>
    </row>
    <row r="331" spans="1:20" ht="28" customHeight="1" x14ac:dyDescent="0.35">
      <c r="A331" s="794" t="s">
        <v>8004</v>
      </c>
      <c r="B331" s="794" t="s">
        <v>3857</v>
      </c>
      <c r="C331" s="812" t="s">
        <v>3842</v>
      </c>
      <c r="D331" s="825"/>
      <c r="E331" s="825"/>
      <c r="F331" s="827" t="s">
        <v>8005</v>
      </c>
      <c r="G331" s="814" t="s">
        <v>3858</v>
      </c>
      <c r="H331" s="813" t="s">
        <v>5246</v>
      </c>
      <c r="I331" s="813" t="s">
        <v>4070</v>
      </c>
      <c r="J331" s="813" t="s">
        <v>7609</v>
      </c>
      <c r="K331" s="813" t="s">
        <v>7610</v>
      </c>
      <c r="L331" s="813" t="s">
        <v>3863</v>
      </c>
      <c r="M331" s="813" t="s">
        <v>3127</v>
      </c>
      <c r="N331" s="813" t="s">
        <v>8006</v>
      </c>
      <c r="O331" s="813" t="s">
        <v>7612</v>
      </c>
      <c r="P331" s="813" t="s">
        <v>8007</v>
      </c>
      <c r="Q331" s="813" t="s">
        <v>8008</v>
      </c>
      <c r="R331" s="813">
        <v>1</v>
      </c>
      <c r="S331" s="813" t="s">
        <v>7615</v>
      </c>
      <c r="T331" s="813" t="s">
        <v>6895</v>
      </c>
    </row>
    <row r="332" spans="1:20" ht="15" customHeight="1" x14ac:dyDescent="0.35">
      <c r="A332" s="803" t="s">
        <v>8009</v>
      </c>
      <c r="B332" s="803"/>
      <c r="C332" s="803"/>
      <c r="D332" s="803"/>
      <c r="E332" s="803"/>
      <c r="F332" s="803"/>
      <c r="G332" s="803" t="s">
        <v>3946</v>
      </c>
      <c r="H332" s="794"/>
      <c r="I332" s="794"/>
      <c r="J332" s="794"/>
      <c r="K332" s="794"/>
      <c r="L332" s="794"/>
      <c r="M332" s="794"/>
      <c r="N332" s="794"/>
      <c r="O332" s="794"/>
      <c r="P332" s="794"/>
      <c r="Q332" s="794"/>
      <c r="R332" s="794"/>
      <c r="S332" s="794"/>
      <c r="T332" s="794"/>
    </row>
    <row r="333" spans="1:20" ht="15" customHeight="1" x14ac:dyDescent="0.35">
      <c r="A333" s="794" t="s">
        <v>8010</v>
      </c>
      <c r="B333" s="794" t="s">
        <v>3857</v>
      </c>
      <c r="C333" s="812" t="s">
        <v>3842</v>
      </c>
      <c r="D333" s="825"/>
      <c r="E333" s="825"/>
      <c r="F333" s="826" t="s">
        <v>8011</v>
      </c>
      <c r="G333" s="814" t="s">
        <v>3858</v>
      </c>
      <c r="H333" s="813" t="s">
        <v>5246</v>
      </c>
      <c r="I333" s="813" t="s">
        <v>4070</v>
      </c>
      <c r="J333" s="813" t="s">
        <v>7618</v>
      </c>
      <c r="K333" s="813" t="s">
        <v>7610</v>
      </c>
      <c r="L333" s="813" t="s">
        <v>3863</v>
      </c>
      <c r="M333" s="813" t="s">
        <v>3127</v>
      </c>
      <c r="N333" s="813" t="s">
        <v>8012</v>
      </c>
      <c r="O333" s="813" t="s">
        <v>7612</v>
      </c>
      <c r="P333" s="813" t="s">
        <v>8013</v>
      </c>
      <c r="Q333" s="813" t="s">
        <v>8014</v>
      </c>
      <c r="R333" s="813">
        <v>1</v>
      </c>
      <c r="S333" s="813" t="s">
        <v>7615</v>
      </c>
      <c r="T333" s="813" t="s">
        <v>6895</v>
      </c>
    </row>
    <row r="334" spans="1:20" ht="15" customHeight="1" x14ac:dyDescent="0.35">
      <c r="A334" s="803" t="s">
        <v>8015</v>
      </c>
      <c r="B334" s="803"/>
      <c r="C334" s="803"/>
      <c r="D334" s="803"/>
      <c r="E334" s="803"/>
      <c r="F334" s="803"/>
      <c r="G334" s="803" t="s">
        <v>3946</v>
      </c>
      <c r="H334" s="794"/>
      <c r="I334" s="794"/>
      <c r="J334" s="794"/>
      <c r="K334" s="794"/>
      <c r="L334" s="794"/>
      <c r="M334" s="794"/>
      <c r="N334" s="794"/>
      <c r="O334" s="794"/>
      <c r="P334" s="794"/>
      <c r="Q334" s="794"/>
      <c r="R334" s="794"/>
      <c r="S334" s="794"/>
      <c r="T334" s="794"/>
    </row>
    <row r="335" spans="1:20" ht="15" customHeight="1" x14ac:dyDescent="0.35">
      <c r="A335" s="794" t="s">
        <v>8016</v>
      </c>
      <c r="B335" s="794" t="s">
        <v>3857</v>
      </c>
      <c r="C335" s="812" t="s">
        <v>3913</v>
      </c>
      <c r="D335" s="825"/>
      <c r="E335" s="825"/>
      <c r="F335" s="825">
        <v>0</v>
      </c>
      <c r="G335" s="814" t="s">
        <v>3858</v>
      </c>
      <c r="H335" s="813" t="s">
        <v>5246</v>
      </c>
      <c r="I335" s="813" t="s">
        <v>4070</v>
      </c>
      <c r="J335" s="813" t="s">
        <v>7665</v>
      </c>
      <c r="K335" s="813" t="s">
        <v>7610</v>
      </c>
      <c r="L335" s="813" t="s">
        <v>3863</v>
      </c>
      <c r="M335" s="813" t="s">
        <v>3127</v>
      </c>
      <c r="N335" s="813" t="s">
        <v>8017</v>
      </c>
      <c r="O335" s="813" t="s">
        <v>3883</v>
      </c>
      <c r="P335" s="813" t="s">
        <v>8018</v>
      </c>
      <c r="Q335" s="813" t="s">
        <v>8019</v>
      </c>
      <c r="R335" s="813">
        <v>1</v>
      </c>
      <c r="S335" s="813" t="s">
        <v>7615</v>
      </c>
      <c r="T335" s="813" t="s">
        <v>6895</v>
      </c>
    </row>
    <row r="336" spans="1:20" ht="21" customHeight="1" x14ac:dyDescent="0.35">
      <c r="A336" s="801" t="s">
        <v>8020</v>
      </c>
      <c r="B336" s="801" t="s">
        <v>8021</v>
      </c>
      <c r="C336" s="801"/>
      <c r="D336" s="801"/>
      <c r="E336" s="801"/>
      <c r="F336" s="801"/>
      <c r="G336" s="801" t="s">
        <v>3745</v>
      </c>
      <c r="H336" s="794"/>
      <c r="I336" s="794"/>
      <c r="J336" s="794"/>
      <c r="K336" s="794"/>
      <c r="L336" s="794"/>
      <c r="M336" s="794"/>
      <c r="N336" s="794"/>
      <c r="O336" s="794"/>
      <c r="P336" s="794"/>
      <c r="Q336" s="794"/>
      <c r="R336" s="794"/>
      <c r="S336" s="794"/>
      <c r="T336" s="794"/>
    </row>
    <row r="337" spans="1:20" ht="15" customHeight="1" x14ac:dyDescent="0.35">
      <c r="A337" s="802" t="s">
        <v>6887</v>
      </c>
      <c r="B337" s="802"/>
      <c r="C337" s="802"/>
      <c r="D337" s="802"/>
      <c r="E337" s="802"/>
      <c r="F337" s="802"/>
      <c r="G337" s="802" t="s">
        <v>6325</v>
      </c>
      <c r="H337" s="794"/>
      <c r="I337" s="794"/>
      <c r="J337" s="794"/>
      <c r="K337" s="794"/>
      <c r="L337" s="794"/>
      <c r="M337" s="794"/>
      <c r="N337" s="794"/>
      <c r="O337" s="794"/>
      <c r="P337" s="794"/>
      <c r="Q337" s="794"/>
      <c r="R337" s="794"/>
      <c r="S337" s="794"/>
      <c r="T337" s="794"/>
    </row>
    <row r="338" spans="1:20" ht="15" customHeight="1" x14ac:dyDescent="0.35">
      <c r="A338" s="803" t="s">
        <v>8022</v>
      </c>
      <c r="B338" s="803"/>
      <c r="C338" s="803"/>
      <c r="D338" s="803"/>
      <c r="E338" s="803"/>
      <c r="F338" s="803"/>
      <c r="G338" s="803" t="s">
        <v>3920</v>
      </c>
      <c r="H338" s="794"/>
      <c r="I338" s="794"/>
      <c r="J338" s="794"/>
      <c r="K338" s="794"/>
      <c r="L338" s="794"/>
      <c r="M338" s="794"/>
      <c r="N338" s="794"/>
      <c r="O338" s="794"/>
      <c r="P338" s="794"/>
      <c r="Q338" s="794"/>
      <c r="R338" s="794"/>
      <c r="S338" s="794"/>
      <c r="T338" s="794"/>
    </row>
    <row r="339" spans="1:20" ht="15" customHeight="1" x14ac:dyDescent="0.35">
      <c r="A339" s="794" t="s">
        <v>8023</v>
      </c>
      <c r="B339" s="794" t="s">
        <v>3857</v>
      </c>
      <c r="C339" s="812" t="s">
        <v>5237</v>
      </c>
      <c r="D339" s="825">
        <v>45000</v>
      </c>
      <c r="E339" s="825"/>
      <c r="F339" s="826"/>
      <c r="G339" s="814" t="s">
        <v>3858</v>
      </c>
      <c r="H339" s="813" t="s">
        <v>254</v>
      </c>
      <c r="I339" s="813" t="s">
        <v>3960</v>
      </c>
      <c r="J339" s="813" t="s">
        <v>8024</v>
      </c>
      <c r="K339" s="813" t="s">
        <v>8025</v>
      </c>
      <c r="L339" s="813" t="s">
        <v>3863</v>
      </c>
      <c r="M339" s="813" t="s">
        <v>3199</v>
      </c>
      <c r="N339" s="813" t="s">
        <v>8026</v>
      </c>
      <c r="O339" s="813" t="s">
        <v>4480</v>
      </c>
      <c r="P339" s="813" t="s">
        <v>8027</v>
      </c>
      <c r="Q339" s="813" t="s">
        <v>8028</v>
      </c>
      <c r="R339" s="813">
        <v>1</v>
      </c>
      <c r="S339" s="813" t="s">
        <v>3928</v>
      </c>
      <c r="T339" s="813" t="s">
        <v>6895</v>
      </c>
    </row>
    <row r="340" spans="1:20" ht="15" customHeight="1" x14ac:dyDescent="0.35">
      <c r="A340" s="794" t="s">
        <v>8029</v>
      </c>
      <c r="B340" s="794" t="s">
        <v>3857</v>
      </c>
      <c r="C340" s="812" t="s">
        <v>5237</v>
      </c>
      <c r="D340" s="825">
        <v>115000</v>
      </c>
      <c r="E340" s="825"/>
      <c r="F340" s="826"/>
      <c r="G340" s="814" t="s">
        <v>3858</v>
      </c>
      <c r="H340" s="813" t="s">
        <v>254</v>
      </c>
      <c r="I340" s="813" t="s">
        <v>3960</v>
      </c>
      <c r="J340" s="813" t="s">
        <v>8024</v>
      </c>
      <c r="K340" s="813" t="s">
        <v>8025</v>
      </c>
      <c r="L340" s="813" t="s">
        <v>3863</v>
      </c>
      <c r="M340" s="813" t="s">
        <v>3199</v>
      </c>
      <c r="N340" s="813" t="s">
        <v>8030</v>
      </c>
      <c r="O340" s="813" t="s">
        <v>4480</v>
      </c>
      <c r="P340" s="813" t="s">
        <v>8031</v>
      </c>
      <c r="Q340" s="813" t="s">
        <v>8032</v>
      </c>
      <c r="R340" s="813">
        <v>1</v>
      </c>
      <c r="S340" s="813" t="s">
        <v>3928</v>
      </c>
      <c r="T340" s="813" t="s">
        <v>6895</v>
      </c>
    </row>
    <row r="341" spans="1:20" ht="15" customHeight="1" x14ac:dyDescent="0.35">
      <c r="A341" s="794" t="s">
        <v>8033</v>
      </c>
      <c r="B341" s="794" t="s">
        <v>3857</v>
      </c>
      <c r="C341" s="812" t="s">
        <v>5237</v>
      </c>
      <c r="D341" s="825">
        <v>95000</v>
      </c>
      <c r="E341" s="825"/>
      <c r="F341" s="826"/>
      <c r="G341" s="814" t="s">
        <v>3858</v>
      </c>
      <c r="H341" s="813" t="s">
        <v>254</v>
      </c>
      <c r="I341" s="813" t="s">
        <v>3960</v>
      </c>
      <c r="J341" s="813" t="s">
        <v>8024</v>
      </c>
      <c r="K341" s="813" t="s">
        <v>8025</v>
      </c>
      <c r="L341" s="813" t="s">
        <v>3863</v>
      </c>
      <c r="M341" s="813" t="s">
        <v>3199</v>
      </c>
      <c r="N341" s="813" t="s">
        <v>8034</v>
      </c>
      <c r="O341" s="813" t="s">
        <v>4480</v>
      </c>
      <c r="P341" s="813" t="s">
        <v>8035</v>
      </c>
      <c r="Q341" s="813" t="s">
        <v>8036</v>
      </c>
      <c r="R341" s="813">
        <v>1</v>
      </c>
      <c r="S341" s="813" t="s">
        <v>3928</v>
      </c>
      <c r="T341" s="813" t="s">
        <v>6895</v>
      </c>
    </row>
    <row r="342" spans="1:20" ht="15" customHeight="1" x14ac:dyDescent="0.35">
      <c r="A342" s="794" t="s">
        <v>8037</v>
      </c>
      <c r="B342" s="794" t="s">
        <v>3857</v>
      </c>
      <c r="C342" s="812" t="s">
        <v>5237</v>
      </c>
      <c r="D342" s="825">
        <v>40000</v>
      </c>
      <c r="E342" s="825"/>
      <c r="F342" s="826"/>
      <c r="G342" s="814" t="s">
        <v>3858</v>
      </c>
      <c r="H342" s="813" t="s">
        <v>254</v>
      </c>
      <c r="I342" s="813" t="s">
        <v>3960</v>
      </c>
      <c r="J342" s="813" t="s">
        <v>8024</v>
      </c>
      <c r="K342" s="813" t="s">
        <v>8025</v>
      </c>
      <c r="L342" s="813" t="s">
        <v>3863</v>
      </c>
      <c r="M342" s="813" t="s">
        <v>3199</v>
      </c>
      <c r="N342" s="813" t="s">
        <v>8038</v>
      </c>
      <c r="O342" s="813" t="s">
        <v>4480</v>
      </c>
      <c r="P342" s="813" t="s">
        <v>8039</v>
      </c>
      <c r="Q342" s="813" t="s">
        <v>8040</v>
      </c>
      <c r="R342" s="813">
        <v>1</v>
      </c>
      <c r="S342" s="813" t="s">
        <v>3928</v>
      </c>
      <c r="T342" s="813" t="s">
        <v>6895</v>
      </c>
    </row>
    <row r="343" spans="1:20" ht="15" customHeight="1" x14ac:dyDescent="0.35">
      <c r="A343" s="794" t="s">
        <v>8041</v>
      </c>
      <c r="B343" s="794" t="s">
        <v>3857</v>
      </c>
      <c r="C343" s="812" t="s">
        <v>5237</v>
      </c>
      <c r="D343" s="825">
        <v>140000</v>
      </c>
      <c r="E343" s="825"/>
      <c r="F343" s="826"/>
      <c r="G343" s="814" t="s">
        <v>3858</v>
      </c>
      <c r="H343" s="813" t="s">
        <v>254</v>
      </c>
      <c r="I343" s="813" t="s">
        <v>3960</v>
      </c>
      <c r="J343" s="813" t="s">
        <v>8024</v>
      </c>
      <c r="K343" s="813" t="s">
        <v>8025</v>
      </c>
      <c r="L343" s="813" t="s">
        <v>3863</v>
      </c>
      <c r="M343" s="813" t="s">
        <v>3199</v>
      </c>
      <c r="N343" s="813" t="s">
        <v>8042</v>
      </c>
      <c r="O343" s="813" t="s">
        <v>4480</v>
      </c>
      <c r="P343" s="813" t="s">
        <v>8043</v>
      </c>
      <c r="Q343" s="813" t="s">
        <v>8044</v>
      </c>
      <c r="R343" s="813">
        <v>1</v>
      </c>
      <c r="S343" s="813" t="s">
        <v>3928</v>
      </c>
      <c r="T343" s="813" t="s">
        <v>6895</v>
      </c>
    </row>
    <row r="344" spans="1:20" ht="15" customHeight="1" x14ac:dyDescent="0.35">
      <c r="A344" s="803" t="s">
        <v>8045</v>
      </c>
      <c r="B344" s="803"/>
      <c r="C344" s="803"/>
      <c r="D344" s="803"/>
      <c r="E344" s="803"/>
      <c r="F344" s="803"/>
      <c r="G344" s="803" t="s">
        <v>3918</v>
      </c>
      <c r="H344" s="794"/>
      <c r="I344" s="794"/>
      <c r="J344" s="794"/>
      <c r="K344" s="794"/>
      <c r="L344" s="794"/>
      <c r="M344" s="794"/>
      <c r="N344" s="794"/>
      <c r="O344" s="794"/>
      <c r="P344" s="794"/>
      <c r="Q344" s="794"/>
      <c r="R344" s="794"/>
      <c r="S344" s="794"/>
      <c r="T344" s="794"/>
    </row>
    <row r="345" spans="1:20" ht="15" customHeight="1" x14ac:dyDescent="0.35">
      <c r="A345" s="794" t="s">
        <v>8046</v>
      </c>
      <c r="B345" s="794" t="s">
        <v>3857</v>
      </c>
      <c r="C345" s="812" t="s">
        <v>83</v>
      </c>
      <c r="D345" s="825"/>
      <c r="E345" s="825"/>
      <c r="F345" s="829">
        <v>3.5000000000000003E-2</v>
      </c>
      <c r="G345" s="814" t="s">
        <v>3858</v>
      </c>
      <c r="H345" s="813" t="s">
        <v>254</v>
      </c>
      <c r="I345" s="813" t="s">
        <v>3960</v>
      </c>
      <c r="J345" s="813" t="s">
        <v>8047</v>
      </c>
      <c r="K345" s="813" t="s">
        <v>8025</v>
      </c>
      <c r="L345" s="813" t="s">
        <v>3863</v>
      </c>
      <c r="M345" s="813" t="s">
        <v>3199</v>
      </c>
      <c r="N345" s="813" t="s">
        <v>8048</v>
      </c>
      <c r="O345" s="813" t="s">
        <v>3925</v>
      </c>
      <c r="P345" s="813" t="s">
        <v>8049</v>
      </c>
      <c r="Q345" s="813" t="s">
        <v>8050</v>
      </c>
      <c r="R345" s="813">
        <v>1</v>
      </c>
      <c r="S345" s="813" t="s">
        <v>3928</v>
      </c>
      <c r="T345" s="813" t="s">
        <v>6895</v>
      </c>
    </row>
    <row r="346" spans="1:20" ht="15" customHeight="1" x14ac:dyDescent="0.35">
      <c r="A346" s="794" t="s">
        <v>8051</v>
      </c>
      <c r="B346" s="794" t="s">
        <v>3857</v>
      </c>
      <c r="C346" s="812" t="s">
        <v>5237</v>
      </c>
      <c r="D346" s="825">
        <v>60000</v>
      </c>
      <c r="E346" s="825"/>
      <c r="F346" s="826"/>
      <c r="G346" s="814" t="s">
        <v>3858</v>
      </c>
      <c r="H346" s="813" t="s">
        <v>254</v>
      </c>
      <c r="I346" s="813" t="s">
        <v>3960</v>
      </c>
      <c r="J346" s="813" t="s">
        <v>8047</v>
      </c>
      <c r="K346" s="813" t="s">
        <v>8025</v>
      </c>
      <c r="L346" s="813" t="s">
        <v>3863</v>
      </c>
      <c r="M346" s="813" t="s">
        <v>3199</v>
      </c>
      <c r="N346" s="813" t="s">
        <v>8052</v>
      </c>
      <c r="O346" s="813" t="s">
        <v>4264</v>
      </c>
      <c r="P346" s="813" t="s">
        <v>8053</v>
      </c>
      <c r="Q346" s="813" t="s">
        <v>8054</v>
      </c>
      <c r="R346" s="813">
        <v>1</v>
      </c>
      <c r="S346" s="813" t="s">
        <v>3928</v>
      </c>
      <c r="T346" s="813" t="s">
        <v>6895</v>
      </c>
    </row>
    <row r="347" spans="1:20" ht="15" customHeight="1" x14ac:dyDescent="0.35">
      <c r="A347" s="794" t="s">
        <v>8055</v>
      </c>
      <c r="B347" s="794" t="s">
        <v>3857</v>
      </c>
      <c r="C347" s="812" t="s">
        <v>3913</v>
      </c>
      <c r="D347" s="825"/>
      <c r="E347" s="825"/>
      <c r="F347" s="825">
        <v>0.03</v>
      </c>
      <c r="G347" s="814" t="s">
        <v>3858</v>
      </c>
      <c r="H347" s="813" t="s">
        <v>254</v>
      </c>
      <c r="I347" s="813" t="s">
        <v>3960</v>
      </c>
      <c r="J347" s="813" t="s">
        <v>8047</v>
      </c>
      <c r="K347" s="813" t="s">
        <v>8025</v>
      </c>
      <c r="L347" s="813" t="s">
        <v>3863</v>
      </c>
      <c r="M347" s="813" t="s">
        <v>3199</v>
      </c>
      <c r="N347" s="813" t="s">
        <v>8056</v>
      </c>
      <c r="O347" s="813" t="s">
        <v>3925</v>
      </c>
      <c r="P347" s="813" t="s">
        <v>8057</v>
      </c>
      <c r="Q347" s="813" t="s">
        <v>8058</v>
      </c>
      <c r="R347" s="813">
        <v>1</v>
      </c>
      <c r="S347" s="813" t="s">
        <v>3928</v>
      </c>
      <c r="T347" s="813" t="s">
        <v>6895</v>
      </c>
    </row>
    <row r="348" spans="1:20" ht="15" customHeight="1" x14ac:dyDescent="0.35">
      <c r="A348" s="794" t="s">
        <v>678</v>
      </c>
      <c r="B348" s="794" t="s">
        <v>3857</v>
      </c>
      <c r="C348" s="812" t="s">
        <v>3913</v>
      </c>
      <c r="D348" s="825"/>
      <c r="E348" s="825"/>
      <c r="F348" s="825">
        <v>0.05</v>
      </c>
      <c r="G348" s="814" t="s">
        <v>3858</v>
      </c>
      <c r="H348" s="813" t="s">
        <v>254</v>
      </c>
      <c r="I348" s="813" t="s">
        <v>3960</v>
      </c>
      <c r="J348" s="813" t="s">
        <v>8047</v>
      </c>
      <c r="K348" s="813" t="s">
        <v>8025</v>
      </c>
      <c r="L348" s="813" t="s">
        <v>3863</v>
      </c>
      <c r="M348" s="813" t="s">
        <v>3199</v>
      </c>
      <c r="N348" s="813" t="s">
        <v>8059</v>
      </c>
      <c r="O348" s="813" t="s">
        <v>3883</v>
      </c>
      <c r="P348" s="813" t="s">
        <v>8060</v>
      </c>
      <c r="Q348" s="813" t="s">
        <v>8061</v>
      </c>
      <c r="R348" s="813">
        <v>1</v>
      </c>
      <c r="S348" s="813" t="s">
        <v>3928</v>
      </c>
      <c r="T348" s="813" t="s">
        <v>6895</v>
      </c>
    </row>
    <row r="349" spans="1:20" ht="15" customHeight="1" x14ac:dyDescent="0.35">
      <c r="A349" s="794" t="s">
        <v>8062</v>
      </c>
      <c r="B349" s="794" t="s">
        <v>3857</v>
      </c>
      <c r="C349" s="812" t="s">
        <v>5237</v>
      </c>
      <c r="D349" s="825">
        <v>2750000</v>
      </c>
      <c r="E349" s="825"/>
      <c r="F349" s="826"/>
      <c r="G349" s="814" t="s">
        <v>3858</v>
      </c>
      <c r="H349" s="813" t="s">
        <v>254</v>
      </c>
      <c r="I349" s="813" t="s">
        <v>3960</v>
      </c>
      <c r="J349" s="813" t="s">
        <v>8047</v>
      </c>
      <c r="K349" s="813" t="s">
        <v>8025</v>
      </c>
      <c r="L349" s="813" t="s">
        <v>3863</v>
      </c>
      <c r="M349" s="813" t="s">
        <v>3199</v>
      </c>
      <c r="N349" s="813" t="s">
        <v>8063</v>
      </c>
      <c r="O349" s="813" t="s">
        <v>3925</v>
      </c>
      <c r="P349" s="813" t="s">
        <v>8064</v>
      </c>
      <c r="Q349" s="813" t="s">
        <v>8065</v>
      </c>
      <c r="R349" s="813">
        <v>1</v>
      </c>
      <c r="S349" s="813" t="s">
        <v>3928</v>
      </c>
      <c r="T349" s="813" t="s">
        <v>6895</v>
      </c>
    </row>
    <row r="350" spans="1:20" ht="15" customHeight="1" x14ac:dyDescent="0.35">
      <c r="A350" s="794" t="s">
        <v>8066</v>
      </c>
      <c r="B350" s="794" t="s">
        <v>3857</v>
      </c>
      <c r="C350" s="812" t="s">
        <v>5237</v>
      </c>
      <c r="D350" s="825">
        <v>45000</v>
      </c>
      <c r="E350" s="825"/>
      <c r="F350" s="826"/>
      <c r="G350" s="814" t="s">
        <v>3858</v>
      </c>
      <c r="H350" s="813" t="s">
        <v>254</v>
      </c>
      <c r="I350" s="813" t="s">
        <v>3960</v>
      </c>
      <c r="J350" s="813" t="s">
        <v>8047</v>
      </c>
      <c r="K350" s="813" t="s">
        <v>8025</v>
      </c>
      <c r="L350" s="813" t="s">
        <v>3863</v>
      </c>
      <c r="M350" s="813" t="s">
        <v>3199</v>
      </c>
      <c r="N350" s="813" t="s">
        <v>8067</v>
      </c>
      <c r="O350" s="813" t="s">
        <v>3925</v>
      </c>
      <c r="P350" s="813" t="s">
        <v>8068</v>
      </c>
      <c r="Q350" s="813" t="s">
        <v>8069</v>
      </c>
      <c r="R350" s="813">
        <v>1</v>
      </c>
      <c r="S350" s="813" t="s">
        <v>3928</v>
      </c>
      <c r="T350" s="813" t="s">
        <v>6895</v>
      </c>
    </row>
    <row r="351" spans="1:20" ht="15" customHeight="1" x14ac:dyDescent="0.35">
      <c r="A351" s="802" t="s">
        <v>7606</v>
      </c>
      <c r="B351" s="802"/>
      <c r="C351" s="802"/>
      <c r="D351" s="802"/>
      <c r="E351" s="802"/>
      <c r="F351" s="802"/>
      <c r="G351" s="802" t="s">
        <v>3855</v>
      </c>
      <c r="H351" s="794"/>
      <c r="I351" s="794"/>
      <c r="J351" s="794"/>
      <c r="K351" s="794"/>
      <c r="L351" s="794"/>
      <c r="M351" s="794"/>
      <c r="N351" s="794"/>
      <c r="O351" s="794"/>
      <c r="P351" s="794"/>
      <c r="Q351" s="794"/>
      <c r="R351" s="794"/>
      <c r="S351" s="794"/>
      <c r="T351" s="794"/>
    </row>
    <row r="352" spans="1:20" ht="15" customHeight="1" x14ac:dyDescent="0.35">
      <c r="A352" s="803" t="s">
        <v>7607</v>
      </c>
      <c r="B352" s="803"/>
      <c r="C352" s="803"/>
      <c r="D352" s="803"/>
      <c r="E352" s="803"/>
      <c r="F352" s="803"/>
      <c r="G352" s="803" t="s">
        <v>3946</v>
      </c>
      <c r="H352" s="794"/>
      <c r="I352" s="794"/>
      <c r="J352" s="794"/>
      <c r="K352" s="794"/>
      <c r="L352" s="794"/>
      <c r="M352" s="794"/>
      <c r="N352" s="794"/>
      <c r="O352" s="794"/>
      <c r="P352" s="794"/>
      <c r="Q352" s="794"/>
      <c r="R352" s="794"/>
      <c r="S352" s="794"/>
      <c r="T352" s="794"/>
    </row>
    <row r="353" spans="1:20" ht="28" customHeight="1" x14ac:dyDescent="0.35">
      <c r="A353" s="794" t="s">
        <v>8070</v>
      </c>
      <c r="B353" s="794" t="s">
        <v>3857</v>
      </c>
      <c r="C353" s="812" t="s">
        <v>3842</v>
      </c>
      <c r="D353" s="825"/>
      <c r="E353" s="825"/>
      <c r="F353" s="827" t="s">
        <v>8071</v>
      </c>
      <c r="G353" s="814" t="s">
        <v>3858</v>
      </c>
      <c r="H353" s="813" t="s">
        <v>254</v>
      </c>
      <c r="I353" s="813" t="s">
        <v>4070</v>
      </c>
      <c r="J353" s="813" t="s">
        <v>7609</v>
      </c>
      <c r="K353" s="813" t="s">
        <v>7610</v>
      </c>
      <c r="L353" s="813" t="s">
        <v>3863</v>
      </c>
      <c r="M353" s="813" t="s">
        <v>3127</v>
      </c>
      <c r="N353" s="813" t="s">
        <v>8072</v>
      </c>
      <c r="O353" s="813" t="s">
        <v>7612</v>
      </c>
      <c r="P353" s="813" t="s">
        <v>8073</v>
      </c>
      <c r="Q353" s="813" t="s">
        <v>8074</v>
      </c>
      <c r="R353" s="813">
        <v>1</v>
      </c>
      <c r="S353" s="813" t="s">
        <v>7615</v>
      </c>
      <c r="T353" s="813" t="s">
        <v>6895</v>
      </c>
    </row>
    <row r="354" spans="1:20" ht="15" customHeight="1" x14ac:dyDescent="0.35">
      <c r="A354" s="803" t="s">
        <v>7616</v>
      </c>
      <c r="B354" s="803"/>
      <c r="C354" s="803"/>
      <c r="D354" s="803"/>
      <c r="E354" s="803"/>
      <c r="F354" s="803"/>
      <c r="G354" s="803" t="s">
        <v>3946</v>
      </c>
      <c r="H354" s="794"/>
      <c r="I354" s="794"/>
      <c r="J354" s="794"/>
      <c r="K354" s="794"/>
      <c r="L354" s="794"/>
      <c r="M354" s="794"/>
      <c r="N354" s="794"/>
      <c r="O354" s="794"/>
      <c r="P354" s="794"/>
      <c r="Q354" s="794"/>
      <c r="R354" s="794"/>
      <c r="S354" s="794"/>
      <c r="T354" s="794"/>
    </row>
    <row r="355" spans="1:20" ht="15" customHeight="1" x14ac:dyDescent="0.35">
      <c r="A355" s="794" t="s">
        <v>8075</v>
      </c>
      <c r="B355" s="794" t="s">
        <v>3857</v>
      </c>
      <c r="C355" s="812" t="s">
        <v>3842</v>
      </c>
      <c r="D355" s="825"/>
      <c r="E355" s="825"/>
      <c r="F355" s="826" t="s">
        <v>8011</v>
      </c>
      <c r="G355" s="814" t="s">
        <v>3858</v>
      </c>
      <c r="H355" s="813" t="s">
        <v>254</v>
      </c>
      <c r="I355" s="813" t="s">
        <v>4070</v>
      </c>
      <c r="J355" s="813" t="s">
        <v>7618</v>
      </c>
      <c r="K355" s="813" t="s">
        <v>7610</v>
      </c>
      <c r="L355" s="813" t="s">
        <v>3863</v>
      </c>
      <c r="M355" s="813" t="s">
        <v>3127</v>
      </c>
      <c r="N355" s="813" t="s">
        <v>8076</v>
      </c>
      <c r="O355" s="813" t="s">
        <v>7612</v>
      </c>
      <c r="P355" s="813" t="s">
        <v>8077</v>
      </c>
      <c r="Q355" s="813" t="s">
        <v>8078</v>
      </c>
      <c r="R355" s="813">
        <v>1</v>
      </c>
      <c r="S355" s="813" t="s">
        <v>7615</v>
      </c>
      <c r="T355" s="813" t="s">
        <v>6895</v>
      </c>
    </row>
    <row r="356" spans="1:20" ht="15" customHeight="1" x14ac:dyDescent="0.35">
      <c r="A356" s="803" t="s">
        <v>8079</v>
      </c>
      <c r="B356" s="803"/>
      <c r="C356" s="803"/>
      <c r="D356" s="803"/>
      <c r="E356" s="803"/>
      <c r="F356" s="803"/>
      <c r="G356" s="803" t="s">
        <v>3946</v>
      </c>
      <c r="H356" s="794"/>
      <c r="I356" s="794"/>
      <c r="J356" s="794"/>
      <c r="K356" s="794"/>
      <c r="L356" s="794"/>
      <c r="M356" s="794"/>
      <c r="N356" s="794"/>
      <c r="O356" s="794"/>
      <c r="P356" s="794"/>
      <c r="Q356" s="794"/>
      <c r="R356" s="794"/>
      <c r="S356" s="794"/>
      <c r="T356" s="794"/>
    </row>
    <row r="357" spans="1:20" ht="15" customHeight="1" x14ac:dyDescent="0.35">
      <c r="A357" s="794" t="s">
        <v>8016</v>
      </c>
      <c r="B357" s="794" t="s">
        <v>3857</v>
      </c>
      <c r="C357" s="812" t="s">
        <v>3913</v>
      </c>
      <c r="D357" s="825"/>
      <c r="E357" s="825"/>
      <c r="F357" s="825">
        <v>0</v>
      </c>
      <c r="G357" s="814" t="s">
        <v>3858</v>
      </c>
      <c r="H357" s="813" t="s">
        <v>254</v>
      </c>
      <c r="I357" s="813" t="s">
        <v>4070</v>
      </c>
      <c r="J357" s="813" t="s">
        <v>7665</v>
      </c>
      <c r="K357" s="813" t="s">
        <v>7610</v>
      </c>
      <c r="L357" s="813" t="s">
        <v>3863</v>
      </c>
      <c r="M357" s="813" t="s">
        <v>3127</v>
      </c>
      <c r="N357" s="813" t="s">
        <v>8080</v>
      </c>
      <c r="O357" s="813" t="s">
        <v>3883</v>
      </c>
      <c r="P357" s="813" t="s">
        <v>8081</v>
      </c>
      <c r="Q357" s="813" t="s">
        <v>8082</v>
      </c>
      <c r="R357" s="813">
        <v>1</v>
      </c>
      <c r="S357" s="813" t="s">
        <v>7615</v>
      </c>
      <c r="T357" s="813" t="s">
        <v>6895</v>
      </c>
    </row>
    <row r="358" spans="1:20" ht="21" customHeight="1" x14ac:dyDescent="0.35">
      <c r="A358" s="801" t="s">
        <v>8083</v>
      </c>
      <c r="B358" s="801" t="s">
        <v>8084</v>
      </c>
      <c r="C358" s="801"/>
      <c r="D358" s="801"/>
      <c r="E358" s="801"/>
      <c r="F358" s="801"/>
      <c r="G358" s="801" t="s">
        <v>3745</v>
      </c>
      <c r="H358" s="794"/>
      <c r="I358" s="794"/>
      <c r="J358" s="794"/>
      <c r="K358" s="794"/>
      <c r="L358" s="794"/>
      <c r="M358" s="794"/>
      <c r="N358" s="794"/>
      <c r="O358" s="794"/>
      <c r="P358" s="794"/>
      <c r="Q358" s="794"/>
      <c r="R358" s="794"/>
      <c r="S358" s="794"/>
      <c r="T358" s="794"/>
    </row>
    <row r="359" spans="1:20" ht="15" customHeight="1" x14ac:dyDescent="0.35">
      <c r="A359" s="802" t="s">
        <v>6887</v>
      </c>
      <c r="B359" s="802"/>
      <c r="C359" s="802"/>
      <c r="D359" s="802"/>
      <c r="E359" s="802"/>
      <c r="F359" s="802"/>
      <c r="G359" s="802" t="s">
        <v>4476</v>
      </c>
      <c r="H359" s="794"/>
      <c r="I359" s="794"/>
      <c r="J359" s="794"/>
      <c r="K359" s="794"/>
      <c r="L359" s="794"/>
      <c r="M359" s="794"/>
      <c r="N359" s="794"/>
      <c r="O359" s="794"/>
      <c r="P359" s="794"/>
      <c r="Q359" s="794"/>
      <c r="R359" s="794"/>
      <c r="S359" s="794"/>
      <c r="T359" s="794"/>
    </row>
    <row r="360" spans="1:20" ht="15" customHeight="1" x14ac:dyDescent="0.35">
      <c r="A360" s="803" t="s">
        <v>8085</v>
      </c>
      <c r="B360" s="803"/>
      <c r="C360" s="803"/>
      <c r="D360" s="803"/>
      <c r="E360" s="803"/>
      <c r="F360" s="803"/>
      <c r="G360" s="803" t="s">
        <v>4476</v>
      </c>
      <c r="H360" s="794"/>
      <c r="I360" s="794"/>
      <c r="J360" s="794"/>
      <c r="K360" s="794"/>
      <c r="L360" s="794"/>
      <c r="M360" s="794"/>
      <c r="N360" s="794"/>
      <c r="O360" s="794"/>
      <c r="P360" s="794"/>
      <c r="Q360" s="794"/>
      <c r="R360" s="794"/>
      <c r="S360" s="794"/>
      <c r="T360" s="794"/>
    </row>
    <row r="361" spans="1:20" ht="15" customHeight="1" x14ac:dyDescent="0.35">
      <c r="A361" s="794" t="s">
        <v>8086</v>
      </c>
      <c r="B361" s="794" t="s">
        <v>3857</v>
      </c>
      <c r="C361" s="812" t="s">
        <v>5237</v>
      </c>
      <c r="D361" s="825">
        <v>0</v>
      </c>
      <c r="E361" s="825"/>
      <c r="F361" s="826"/>
      <c r="G361" s="814" t="s">
        <v>3858</v>
      </c>
      <c r="H361" s="813" t="s">
        <v>250</v>
      </c>
      <c r="I361" s="813" t="s">
        <v>3960</v>
      </c>
      <c r="J361" s="813" t="s">
        <v>8087</v>
      </c>
      <c r="K361" s="813" t="s">
        <v>250</v>
      </c>
      <c r="L361" s="813" t="s">
        <v>3863</v>
      </c>
      <c r="M361" s="813" t="s">
        <v>3211</v>
      </c>
      <c r="N361" s="813" t="s">
        <v>8088</v>
      </c>
      <c r="O361" s="813" t="s">
        <v>4264</v>
      </c>
      <c r="P361" s="813" t="s">
        <v>8089</v>
      </c>
      <c r="Q361" s="813" t="s">
        <v>8090</v>
      </c>
      <c r="R361" s="813">
        <v>1</v>
      </c>
      <c r="S361" s="813" t="s">
        <v>3928</v>
      </c>
      <c r="T361" s="813" t="s">
        <v>6895</v>
      </c>
    </row>
    <row r="362" spans="1:20" ht="15" customHeight="1" x14ac:dyDescent="0.35">
      <c r="A362" s="794" t="s">
        <v>8091</v>
      </c>
      <c r="B362" s="794" t="s">
        <v>3857</v>
      </c>
      <c r="C362" s="812" t="s">
        <v>5237</v>
      </c>
      <c r="D362" s="825">
        <v>0</v>
      </c>
      <c r="E362" s="825"/>
      <c r="F362" s="826"/>
      <c r="G362" s="814" t="s">
        <v>3858</v>
      </c>
      <c r="H362" s="813" t="s">
        <v>250</v>
      </c>
      <c r="I362" s="813" t="s">
        <v>3960</v>
      </c>
      <c r="J362" s="813" t="s">
        <v>8087</v>
      </c>
      <c r="K362" s="813" t="s">
        <v>250</v>
      </c>
      <c r="L362" s="813" t="s">
        <v>3863</v>
      </c>
      <c r="M362" s="813" t="s">
        <v>3211</v>
      </c>
      <c r="N362" s="813" t="s">
        <v>8092</v>
      </c>
      <c r="O362" s="813" t="s">
        <v>3883</v>
      </c>
      <c r="P362" s="813" t="s">
        <v>8093</v>
      </c>
      <c r="Q362" s="813" t="s">
        <v>8094</v>
      </c>
      <c r="R362" s="813">
        <v>1</v>
      </c>
      <c r="S362" s="813" t="s">
        <v>3928</v>
      </c>
      <c r="T362" s="813" t="s">
        <v>6895</v>
      </c>
    </row>
    <row r="363" spans="1:20" ht="15" customHeight="1" x14ac:dyDescent="0.35">
      <c r="A363" s="802" t="s">
        <v>7606</v>
      </c>
      <c r="B363" s="802"/>
      <c r="C363" s="802"/>
      <c r="D363" s="802"/>
      <c r="E363" s="802"/>
      <c r="F363" s="802"/>
      <c r="G363" s="802" t="s">
        <v>4079</v>
      </c>
      <c r="H363" s="794"/>
      <c r="I363" s="794"/>
      <c r="J363" s="794"/>
      <c r="K363" s="794"/>
      <c r="L363" s="794"/>
      <c r="M363" s="794"/>
      <c r="N363" s="794"/>
      <c r="O363" s="794"/>
      <c r="P363" s="794"/>
      <c r="Q363" s="794"/>
      <c r="R363" s="794"/>
      <c r="S363" s="794"/>
      <c r="T363" s="794"/>
    </row>
    <row r="364" spans="1:20" ht="15" customHeight="1" x14ac:dyDescent="0.35">
      <c r="A364" s="803" t="s">
        <v>8095</v>
      </c>
      <c r="B364" s="803"/>
      <c r="C364" s="803"/>
      <c r="D364" s="803"/>
      <c r="E364" s="803"/>
      <c r="F364" s="803"/>
      <c r="G364" s="803" t="s">
        <v>4476</v>
      </c>
      <c r="H364" s="794"/>
      <c r="I364" s="794"/>
      <c r="J364" s="794"/>
      <c r="K364" s="794"/>
      <c r="L364" s="794"/>
      <c r="M364" s="794"/>
      <c r="N364" s="794"/>
      <c r="O364" s="794"/>
      <c r="P364" s="794"/>
      <c r="Q364" s="794"/>
      <c r="R364" s="794"/>
      <c r="S364" s="794"/>
      <c r="T364" s="794"/>
    </row>
    <row r="365" spans="1:20" ht="15" customHeight="1" x14ac:dyDescent="0.35">
      <c r="A365" s="794" t="s">
        <v>8096</v>
      </c>
      <c r="B365" s="794" t="s">
        <v>3857</v>
      </c>
      <c r="C365" s="812" t="s">
        <v>5237</v>
      </c>
      <c r="D365" s="825">
        <v>0</v>
      </c>
      <c r="E365" s="825"/>
      <c r="F365" s="826"/>
      <c r="G365" s="814" t="s">
        <v>3858</v>
      </c>
      <c r="H365" s="813" t="s">
        <v>250</v>
      </c>
      <c r="I365" s="813" t="s">
        <v>4070</v>
      </c>
      <c r="J365" s="813" t="s">
        <v>8097</v>
      </c>
      <c r="K365" s="813" t="s">
        <v>250</v>
      </c>
      <c r="L365" s="813" t="s">
        <v>3863</v>
      </c>
      <c r="M365" s="813" t="s">
        <v>3211</v>
      </c>
      <c r="N365" s="813" t="s">
        <v>8098</v>
      </c>
      <c r="O365" s="813" t="s">
        <v>4264</v>
      </c>
      <c r="P365" s="813" t="s">
        <v>8099</v>
      </c>
      <c r="Q365" s="813" t="s">
        <v>8100</v>
      </c>
      <c r="R365" s="813">
        <v>1</v>
      </c>
      <c r="S365" s="813" t="s">
        <v>3928</v>
      </c>
      <c r="T365" s="813" t="s">
        <v>6895</v>
      </c>
    </row>
    <row r="366" spans="1:20" ht="15" customHeight="1" x14ac:dyDescent="0.35">
      <c r="A366" s="794" t="s">
        <v>8101</v>
      </c>
      <c r="B366" s="794" t="s">
        <v>3857</v>
      </c>
      <c r="C366" s="812" t="s">
        <v>5237</v>
      </c>
      <c r="D366" s="825">
        <v>0</v>
      </c>
      <c r="E366" s="825"/>
      <c r="F366" s="826"/>
      <c r="G366" s="814" t="s">
        <v>3858</v>
      </c>
      <c r="H366" s="813" t="s">
        <v>250</v>
      </c>
      <c r="I366" s="813" t="s">
        <v>4070</v>
      </c>
      <c r="J366" s="813" t="s">
        <v>8097</v>
      </c>
      <c r="K366" s="813" t="s">
        <v>250</v>
      </c>
      <c r="L366" s="813" t="s">
        <v>3863</v>
      </c>
      <c r="M366" s="813" t="s">
        <v>3211</v>
      </c>
      <c r="N366" s="813" t="s">
        <v>8102</v>
      </c>
      <c r="O366" s="813" t="s">
        <v>3883</v>
      </c>
      <c r="P366" s="813" t="s">
        <v>8103</v>
      </c>
      <c r="Q366" s="813" t="s">
        <v>8104</v>
      </c>
      <c r="R366" s="813">
        <v>1</v>
      </c>
      <c r="S366" s="813" t="s">
        <v>3928</v>
      </c>
      <c r="T366" s="813" t="s">
        <v>6895</v>
      </c>
    </row>
    <row r="367" spans="1:20" ht="15" customHeight="1" x14ac:dyDescent="0.35">
      <c r="A367" s="803" t="s">
        <v>8105</v>
      </c>
      <c r="B367" s="803"/>
      <c r="C367" s="803"/>
      <c r="D367" s="803"/>
      <c r="E367" s="803"/>
      <c r="F367" s="803"/>
      <c r="G367" s="803" t="s">
        <v>3946</v>
      </c>
      <c r="H367" s="794"/>
      <c r="I367" s="794"/>
      <c r="J367" s="794"/>
      <c r="K367" s="794"/>
      <c r="L367" s="794"/>
      <c r="M367" s="794"/>
      <c r="N367" s="794"/>
      <c r="O367" s="794"/>
      <c r="P367" s="794"/>
      <c r="Q367" s="794"/>
      <c r="R367" s="794"/>
      <c r="S367" s="794"/>
      <c r="T367" s="794"/>
    </row>
    <row r="368" spans="1:20" ht="15" customHeight="1" x14ac:dyDescent="0.35">
      <c r="A368" s="794" t="s">
        <v>8106</v>
      </c>
      <c r="B368" s="794" t="s">
        <v>3857</v>
      </c>
      <c r="C368" s="812" t="s">
        <v>3842</v>
      </c>
      <c r="D368" s="825"/>
      <c r="E368" s="825"/>
      <c r="F368" s="826" t="s">
        <v>250</v>
      </c>
      <c r="G368" s="814" t="s">
        <v>3858</v>
      </c>
      <c r="H368" s="813" t="s">
        <v>250</v>
      </c>
      <c r="I368" s="813" t="s">
        <v>4070</v>
      </c>
      <c r="J368" s="813" t="s">
        <v>7609</v>
      </c>
      <c r="K368" s="813" t="s">
        <v>7610</v>
      </c>
      <c r="L368" s="813" t="s">
        <v>3863</v>
      </c>
      <c r="M368" s="813" t="s">
        <v>3127</v>
      </c>
      <c r="N368" s="813" t="s">
        <v>8107</v>
      </c>
      <c r="O368" s="813" t="s">
        <v>7612</v>
      </c>
      <c r="P368" s="813" t="s">
        <v>8108</v>
      </c>
      <c r="Q368" s="813" t="s">
        <v>8109</v>
      </c>
      <c r="R368" s="813">
        <v>1</v>
      </c>
      <c r="S368" s="813" t="s">
        <v>7615</v>
      </c>
      <c r="T368" s="813" t="s">
        <v>6895</v>
      </c>
    </row>
    <row r="369" spans="1:20" ht="15" customHeight="1" x14ac:dyDescent="0.35">
      <c r="A369" s="803" t="s">
        <v>8110</v>
      </c>
      <c r="B369" s="803"/>
      <c r="C369" s="803"/>
      <c r="D369" s="803"/>
      <c r="E369" s="803"/>
      <c r="F369" s="803"/>
      <c r="G369" s="803" t="s">
        <v>3855</v>
      </c>
      <c r="H369" s="794"/>
      <c r="I369" s="794"/>
      <c r="J369" s="794"/>
      <c r="K369" s="794"/>
      <c r="L369" s="794"/>
      <c r="M369" s="794"/>
      <c r="N369" s="794"/>
      <c r="O369" s="794"/>
      <c r="P369" s="794"/>
      <c r="Q369" s="794"/>
      <c r="R369" s="794"/>
      <c r="S369" s="794"/>
      <c r="T369" s="794"/>
    </row>
    <row r="370" spans="1:20" ht="15" customHeight="1" x14ac:dyDescent="0.35">
      <c r="A370" s="794" t="s">
        <v>8111</v>
      </c>
      <c r="B370" s="794" t="s">
        <v>3857</v>
      </c>
      <c r="C370" s="812" t="s">
        <v>3913</v>
      </c>
      <c r="D370" s="825"/>
      <c r="E370" s="825"/>
      <c r="F370" s="825">
        <v>1</v>
      </c>
      <c r="G370" s="814" t="s">
        <v>3858</v>
      </c>
      <c r="H370" s="813" t="s">
        <v>250</v>
      </c>
      <c r="I370" s="813" t="s">
        <v>4070</v>
      </c>
      <c r="J370" s="813" t="s">
        <v>7618</v>
      </c>
      <c r="K370" s="813" t="s">
        <v>7610</v>
      </c>
      <c r="L370" s="813" t="s">
        <v>3863</v>
      </c>
      <c r="M370" s="813" t="s">
        <v>3127</v>
      </c>
      <c r="N370" s="813" t="s">
        <v>8112</v>
      </c>
      <c r="O370" s="813" t="s">
        <v>3883</v>
      </c>
      <c r="P370" s="813" t="s">
        <v>8113</v>
      </c>
      <c r="Q370" s="813" t="s">
        <v>8114</v>
      </c>
      <c r="R370" s="813">
        <v>1</v>
      </c>
      <c r="S370" s="813" t="s">
        <v>7615</v>
      </c>
      <c r="T370" s="813" t="s">
        <v>6895</v>
      </c>
    </row>
    <row r="371" spans="1:20" ht="15" customHeight="1" x14ac:dyDescent="0.35">
      <c r="A371" s="794" t="s">
        <v>8115</v>
      </c>
      <c r="B371" s="794" t="s">
        <v>3857</v>
      </c>
      <c r="C371" s="812" t="s">
        <v>3842</v>
      </c>
      <c r="D371" s="825"/>
      <c r="E371" s="825"/>
      <c r="F371" s="826" t="s">
        <v>1800</v>
      </c>
      <c r="G371" s="814" t="s">
        <v>3858</v>
      </c>
      <c r="H371" s="813" t="s">
        <v>250</v>
      </c>
      <c r="I371" s="813" t="s">
        <v>4070</v>
      </c>
      <c r="J371" s="813" t="s">
        <v>7618</v>
      </c>
      <c r="K371" s="813" t="s">
        <v>7610</v>
      </c>
      <c r="L371" s="813" t="s">
        <v>3863</v>
      </c>
      <c r="M371" s="813" t="s">
        <v>3127</v>
      </c>
      <c r="N371" s="813" t="s">
        <v>8116</v>
      </c>
      <c r="O371" s="813" t="s">
        <v>7612</v>
      </c>
      <c r="P371" s="813" t="s">
        <v>8117</v>
      </c>
      <c r="Q371" s="813" t="s">
        <v>8118</v>
      </c>
      <c r="R371" s="813">
        <v>1</v>
      </c>
      <c r="S371" s="813" t="s">
        <v>7615</v>
      </c>
      <c r="T371" s="813" t="s">
        <v>6895</v>
      </c>
    </row>
    <row r="372" spans="1:20" ht="15" customHeight="1" x14ac:dyDescent="0.35">
      <c r="A372" s="794" t="s">
        <v>8119</v>
      </c>
      <c r="B372" s="794" t="s">
        <v>3857</v>
      </c>
      <c r="C372" s="812" t="s">
        <v>3842</v>
      </c>
      <c r="D372" s="825"/>
      <c r="E372" s="825"/>
      <c r="F372" s="826" t="s">
        <v>7627</v>
      </c>
      <c r="G372" s="814" t="s">
        <v>3858</v>
      </c>
      <c r="H372" s="813" t="s">
        <v>250</v>
      </c>
      <c r="I372" s="813" t="s">
        <v>4070</v>
      </c>
      <c r="J372" s="813" t="s">
        <v>7618</v>
      </c>
      <c r="K372" s="813" t="s">
        <v>7610</v>
      </c>
      <c r="L372" s="813" t="s">
        <v>3863</v>
      </c>
      <c r="M372" s="813" t="s">
        <v>3127</v>
      </c>
      <c r="N372" s="813" t="s">
        <v>8120</v>
      </c>
      <c r="O372" s="813" t="s">
        <v>7612</v>
      </c>
      <c r="P372" s="813" t="s">
        <v>8121</v>
      </c>
      <c r="Q372" s="813" t="s">
        <v>8122</v>
      </c>
      <c r="R372" s="813">
        <v>1</v>
      </c>
      <c r="S372" s="813" t="s">
        <v>7615</v>
      </c>
      <c r="T372" s="813" t="s">
        <v>6895</v>
      </c>
    </row>
    <row r="373" spans="1:20" ht="15" customHeight="1" x14ac:dyDescent="0.35">
      <c r="A373" s="803" t="s">
        <v>8123</v>
      </c>
      <c r="B373" s="803"/>
      <c r="C373" s="803"/>
      <c r="D373" s="803"/>
      <c r="E373" s="803"/>
      <c r="F373" s="803"/>
      <c r="G373" s="803" t="s">
        <v>3920</v>
      </c>
      <c r="H373" s="794"/>
      <c r="I373" s="794"/>
      <c r="J373" s="794"/>
      <c r="K373" s="794"/>
      <c r="L373" s="794"/>
      <c r="M373" s="794"/>
      <c r="N373" s="794"/>
      <c r="O373" s="794"/>
      <c r="P373" s="794"/>
      <c r="Q373" s="794"/>
      <c r="R373" s="794"/>
      <c r="S373" s="794"/>
      <c r="T373" s="794"/>
    </row>
    <row r="374" spans="1:20" ht="15" customHeight="1" x14ac:dyDescent="0.35">
      <c r="A374" s="794" t="s">
        <v>7632</v>
      </c>
      <c r="B374" s="794" t="s">
        <v>3857</v>
      </c>
      <c r="C374" s="812" t="s">
        <v>3913</v>
      </c>
      <c r="D374" s="825"/>
      <c r="E374" s="825"/>
      <c r="F374" s="924">
        <f>F710</f>
        <v>3.5000000000000003E-2</v>
      </c>
      <c r="G374" s="814" t="s">
        <v>9404</v>
      </c>
      <c r="H374" s="813" t="s">
        <v>250</v>
      </c>
      <c r="I374" s="813" t="s">
        <v>4070</v>
      </c>
      <c r="J374" s="813" t="s">
        <v>7633</v>
      </c>
      <c r="K374" s="813" t="s">
        <v>7610</v>
      </c>
      <c r="L374" s="813" t="s">
        <v>3863</v>
      </c>
      <c r="M374" s="813" t="s">
        <v>3127</v>
      </c>
      <c r="N374" s="813" t="s">
        <v>8124</v>
      </c>
      <c r="O374" s="813" t="s">
        <v>9555</v>
      </c>
      <c r="P374" s="813" t="s">
        <v>8125</v>
      </c>
      <c r="Q374" s="813" t="s">
        <v>8126</v>
      </c>
      <c r="R374" s="813">
        <v>1</v>
      </c>
      <c r="S374" s="813" t="s">
        <v>7615</v>
      </c>
      <c r="T374" s="813" t="s">
        <v>9556</v>
      </c>
    </row>
    <row r="375" spans="1:20" ht="15" customHeight="1" x14ac:dyDescent="0.35">
      <c r="A375" s="794" t="s">
        <v>7637</v>
      </c>
      <c r="B375" s="794" t="s">
        <v>3857</v>
      </c>
      <c r="C375" s="812" t="s">
        <v>3913</v>
      </c>
      <c r="D375" s="825"/>
      <c r="E375" s="825"/>
      <c r="F375" s="925">
        <f>F711</f>
        <v>10</v>
      </c>
      <c r="G375" s="814" t="s">
        <v>9404</v>
      </c>
      <c r="H375" s="813" t="s">
        <v>250</v>
      </c>
      <c r="I375" s="813" t="s">
        <v>4070</v>
      </c>
      <c r="J375" s="813" t="s">
        <v>7633</v>
      </c>
      <c r="K375" s="813" t="s">
        <v>7610</v>
      </c>
      <c r="L375" s="813" t="s">
        <v>3863</v>
      </c>
      <c r="M375" s="813" t="s">
        <v>3127</v>
      </c>
      <c r="N375" s="813" t="s">
        <v>8127</v>
      </c>
      <c r="O375" s="813" t="s">
        <v>9557</v>
      </c>
      <c r="P375" s="813" t="s">
        <v>8128</v>
      </c>
      <c r="Q375" s="813" t="s">
        <v>8129</v>
      </c>
      <c r="R375" s="813">
        <v>1</v>
      </c>
      <c r="S375" s="813" t="s">
        <v>7615</v>
      </c>
      <c r="T375" s="813" t="s">
        <v>9556</v>
      </c>
    </row>
    <row r="376" spans="1:20" ht="15" customHeight="1" x14ac:dyDescent="0.35">
      <c r="A376" s="794" t="s">
        <v>7641</v>
      </c>
      <c r="B376" s="794" t="s">
        <v>3857</v>
      </c>
      <c r="C376" s="812" t="s">
        <v>3913</v>
      </c>
      <c r="D376" s="825"/>
      <c r="E376" s="825"/>
      <c r="F376" s="925">
        <f>F712</f>
        <v>20</v>
      </c>
      <c r="G376" s="814" t="s">
        <v>9404</v>
      </c>
      <c r="H376" s="813" t="s">
        <v>250</v>
      </c>
      <c r="I376" s="813" t="s">
        <v>4070</v>
      </c>
      <c r="J376" s="813" t="s">
        <v>7633</v>
      </c>
      <c r="K376" s="813" t="s">
        <v>7610</v>
      </c>
      <c r="L376" s="813" t="s">
        <v>3863</v>
      </c>
      <c r="M376" s="813" t="s">
        <v>3127</v>
      </c>
      <c r="N376" s="813" t="s">
        <v>8130</v>
      </c>
      <c r="O376" s="813" t="s">
        <v>9558</v>
      </c>
      <c r="P376" s="813" t="s">
        <v>8131</v>
      </c>
      <c r="Q376" s="813" t="s">
        <v>8132</v>
      </c>
      <c r="R376" s="813">
        <v>1</v>
      </c>
      <c r="S376" s="813" t="s">
        <v>7615</v>
      </c>
      <c r="T376" s="813" t="s">
        <v>9556</v>
      </c>
    </row>
    <row r="377" spans="1:20" ht="15" customHeight="1" x14ac:dyDescent="0.35">
      <c r="A377" s="794" t="s">
        <v>7645</v>
      </c>
      <c r="B377" s="794" t="s">
        <v>3857</v>
      </c>
      <c r="C377" s="812" t="s">
        <v>3913</v>
      </c>
      <c r="D377" s="825"/>
      <c r="E377" s="825"/>
      <c r="F377" s="925">
        <f>F713</f>
        <v>20</v>
      </c>
      <c r="G377" s="814" t="s">
        <v>9404</v>
      </c>
      <c r="H377" s="813" t="s">
        <v>250</v>
      </c>
      <c r="I377" s="813" t="s">
        <v>4070</v>
      </c>
      <c r="J377" s="813" t="s">
        <v>7633</v>
      </c>
      <c r="K377" s="813" t="s">
        <v>7610</v>
      </c>
      <c r="L377" s="813" t="s">
        <v>3863</v>
      </c>
      <c r="M377" s="813" t="s">
        <v>3127</v>
      </c>
      <c r="N377" s="813" t="s">
        <v>8133</v>
      </c>
      <c r="O377" s="813" t="s">
        <v>9559</v>
      </c>
      <c r="P377" s="813" t="s">
        <v>8134</v>
      </c>
      <c r="Q377" s="813" t="s">
        <v>8135</v>
      </c>
      <c r="R377" s="813">
        <v>1</v>
      </c>
      <c r="S377" s="813" t="s">
        <v>7615</v>
      </c>
      <c r="T377" s="813" t="s">
        <v>9556</v>
      </c>
    </row>
    <row r="378" spans="1:20" ht="15" customHeight="1" x14ac:dyDescent="0.35">
      <c r="A378" s="794" t="s">
        <v>7649</v>
      </c>
      <c r="B378" s="794" t="s">
        <v>3857</v>
      </c>
      <c r="C378" s="812" t="s">
        <v>3913</v>
      </c>
      <c r="D378" s="825"/>
      <c r="E378" s="825"/>
      <c r="F378" s="925">
        <f>F714</f>
        <v>20</v>
      </c>
      <c r="G378" s="814" t="s">
        <v>9404</v>
      </c>
      <c r="H378" s="813" t="s">
        <v>250</v>
      </c>
      <c r="I378" s="813" t="s">
        <v>4070</v>
      </c>
      <c r="J378" s="813" t="s">
        <v>7633</v>
      </c>
      <c r="K378" s="813" t="s">
        <v>7610</v>
      </c>
      <c r="L378" s="813" t="s">
        <v>3863</v>
      </c>
      <c r="M378" s="813" t="s">
        <v>3127</v>
      </c>
      <c r="N378" s="813" t="s">
        <v>8136</v>
      </c>
      <c r="O378" s="813" t="s">
        <v>9560</v>
      </c>
      <c r="P378" s="813" t="s">
        <v>8137</v>
      </c>
      <c r="Q378" s="813" t="s">
        <v>8138</v>
      </c>
      <c r="R378" s="813">
        <v>1</v>
      </c>
      <c r="S378" s="813" t="s">
        <v>7615</v>
      </c>
      <c r="T378" s="813" t="s">
        <v>9556</v>
      </c>
    </row>
    <row r="379" spans="1:20" ht="15" customHeight="1" x14ac:dyDescent="0.35">
      <c r="A379" s="803" t="s">
        <v>8139</v>
      </c>
      <c r="B379" s="803"/>
      <c r="C379" s="803"/>
      <c r="D379" s="803"/>
      <c r="E379" s="803"/>
      <c r="F379" s="803"/>
      <c r="G379" s="803" t="s">
        <v>4476</v>
      </c>
      <c r="H379" s="794"/>
      <c r="I379" s="794"/>
      <c r="J379" s="794"/>
      <c r="K379" s="794"/>
      <c r="L379" s="794"/>
      <c r="M379" s="794"/>
      <c r="N379" s="794"/>
      <c r="O379" s="794"/>
      <c r="P379" s="794"/>
      <c r="Q379" s="794"/>
      <c r="R379" s="794"/>
      <c r="S379" s="794"/>
      <c r="T379" s="794"/>
    </row>
    <row r="380" spans="1:20" ht="15" customHeight="1" x14ac:dyDescent="0.35">
      <c r="A380" s="794" t="s">
        <v>7654</v>
      </c>
      <c r="B380" s="794" t="s">
        <v>3857</v>
      </c>
      <c r="C380" s="812" t="s">
        <v>1173</v>
      </c>
      <c r="D380" s="825"/>
      <c r="E380" s="825"/>
      <c r="F380" s="828">
        <f>F715</f>
        <v>46508</v>
      </c>
      <c r="G380" s="814" t="s">
        <v>9404</v>
      </c>
      <c r="H380" s="813" t="s">
        <v>250</v>
      </c>
      <c r="I380" s="813" t="s">
        <v>4070</v>
      </c>
      <c r="J380" s="813" t="s">
        <v>7655</v>
      </c>
      <c r="K380" s="813" t="s">
        <v>7610</v>
      </c>
      <c r="L380" s="813" t="s">
        <v>3863</v>
      </c>
      <c r="M380" s="813" t="s">
        <v>3127</v>
      </c>
      <c r="N380" s="813" t="s">
        <v>8140</v>
      </c>
      <c r="O380" s="813" t="s">
        <v>9561</v>
      </c>
      <c r="P380" s="813" t="s">
        <v>8141</v>
      </c>
      <c r="Q380" s="813" t="s">
        <v>8142</v>
      </c>
      <c r="R380" s="813">
        <v>1</v>
      </c>
      <c r="S380" s="813" t="s">
        <v>7615</v>
      </c>
      <c r="T380" s="813" t="s">
        <v>9556</v>
      </c>
    </row>
    <row r="381" spans="1:20" ht="15" customHeight="1" x14ac:dyDescent="0.35">
      <c r="A381" s="794" t="s">
        <v>7659</v>
      </c>
      <c r="B381" s="794" t="s">
        <v>3857</v>
      </c>
      <c r="C381" s="812" t="s">
        <v>1173</v>
      </c>
      <c r="D381" s="825"/>
      <c r="E381" s="825"/>
      <c r="F381" s="828">
        <f>F716</f>
        <v>46539</v>
      </c>
      <c r="G381" s="814" t="s">
        <v>9404</v>
      </c>
      <c r="H381" s="813" t="s">
        <v>250</v>
      </c>
      <c r="I381" s="813" t="s">
        <v>4070</v>
      </c>
      <c r="J381" s="813" t="s">
        <v>7655</v>
      </c>
      <c r="K381" s="813" t="s">
        <v>7610</v>
      </c>
      <c r="L381" s="813" t="s">
        <v>3863</v>
      </c>
      <c r="M381" s="813" t="s">
        <v>3127</v>
      </c>
      <c r="N381" s="813" t="s">
        <v>8143</v>
      </c>
      <c r="O381" s="813" t="s">
        <v>9562</v>
      </c>
      <c r="P381" s="813" t="s">
        <v>8144</v>
      </c>
      <c r="Q381" s="813" t="s">
        <v>8145</v>
      </c>
      <c r="R381" s="813">
        <v>1</v>
      </c>
      <c r="S381" s="813" t="s">
        <v>7615</v>
      </c>
      <c r="T381" s="813" t="s">
        <v>9556</v>
      </c>
    </row>
    <row r="382" spans="1:20" ht="15" customHeight="1" x14ac:dyDescent="0.35">
      <c r="A382" s="803" t="s">
        <v>8146</v>
      </c>
      <c r="B382" s="803"/>
      <c r="C382" s="803"/>
      <c r="D382" s="803"/>
      <c r="E382" s="803"/>
      <c r="F382" s="803"/>
      <c r="G382" s="803" t="s">
        <v>3855</v>
      </c>
      <c r="H382" s="794"/>
      <c r="I382" s="794"/>
      <c r="J382" s="794"/>
      <c r="K382" s="794"/>
      <c r="L382" s="794"/>
      <c r="M382" s="794"/>
      <c r="N382" s="794"/>
      <c r="O382" s="794"/>
      <c r="P382" s="794"/>
      <c r="Q382" s="794"/>
      <c r="R382" s="794"/>
      <c r="S382" s="794"/>
      <c r="T382" s="794"/>
    </row>
    <row r="383" spans="1:20" ht="15" customHeight="1" x14ac:dyDescent="0.35">
      <c r="A383" s="794" t="s">
        <v>7664</v>
      </c>
      <c r="B383" s="794" t="s">
        <v>3857</v>
      </c>
      <c r="C383" s="812" t="s">
        <v>3913</v>
      </c>
      <c r="D383" s="825"/>
      <c r="E383" s="825"/>
      <c r="F383" s="925">
        <f>F717</f>
        <v>18</v>
      </c>
      <c r="G383" s="814" t="s">
        <v>9404</v>
      </c>
      <c r="H383" s="813" t="s">
        <v>250</v>
      </c>
      <c r="I383" s="813" t="s">
        <v>4070</v>
      </c>
      <c r="J383" s="813" t="s">
        <v>7665</v>
      </c>
      <c r="K383" s="813" t="s">
        <v>7610</v>
      </c>
      <c r="L383" s="813" t="s">
        <v>3863</v>
      </c>
      <c r="M383" s="813" t="s">
        <v>3127</v>
      </c>
      <c r="N383" s="813" t="s">
        <v>8147</v>
      </c>
      <c r="O383" s="813" t="s">
        <v>9563</v>
      </c>
      <c r="P383" s="813" t="s">
        <v>8148</v>
      </c>
      <c r="Q383" s="813" t="s">
        <v>8149</v>
      </c>
      <c r="R383" s="813">
        <v>1</v>
      </c>
      <c r="S383" s="813" t="s">
        <v>7615</v>
      </c>
      <c r="T383" s="813" t="s">
        <v>9556</v>
      </c>
    </row>
    <row r="384" spans="1:20" ht="15" customHeight="1" x14ac:dyDescent="0.35">
      <c r="A384" s="794" t="s">
        <v>7669</v>
      </c>
      <c r="B384" s="794" t="s">
        <v>3857</v>
      </c>
      <c r="C384" s="812" t="s">
        <v>3913</v>
      </c>
      <c r="D384" s="825"/>
      <c r="E384" s="825"/>
      <c r="F384" s="925">
        <f>F718</f>
        <v>4</v>
      </c>
      <c r="G384" s="814" t="s">
        <v>9404</v>
      </c>
      <c r="H384" s="813" t="s">
        <v>250</v>
      </c>
      <c r="I384" s="813" t="s">
        <v>4070</v>
      </c>
      <c r="J384" s="813" t="s">
        <v>7665</v>
      </c>
      <c r="K384" s="813" t="s">
        <v>7610</v>
      </c>
      <c r="L384" s="813" t="s">
        <v>3863</v>
      </c>
      <c r="M384" s="813" t="s">
        <v>3127</v>
      </c>
      <c r="N384" s="813" t="s">
        <v>8150</v>
      </c>
      <c r="O384" s="813" t="s">
        <v>9564</v>
      </c>
      <c r="P384" s="813" t="s">
        <v>8151</v>
      </c>
      <c r="Q384" s="813" t="s">
        <v>8152</v>
      </c>
      <c r="R384" s="813">
        <v>1</v>
      </c>
      <c r="S384" s="813" t="s">
        <v>7615</v>
      </c>
      <c r="T384" s="813" t="s">
        <v>9556</v>
      </c>
    </row>
    <row r="385" spans="1:20" ht="15" customHeight="1" x14ac:dyDescent="0.35">
      <c r="A385" s="794" t="s">
        <v>7673</v>
      </c>
      <c r="B385" s="794" t="s">
        <v>3857</v>
      </c>
      <c r="C385" s="812" t="s">
        <v>3913</v>
      </c>
      <c r="D385" s="825"/>
      <c r="E385" s="825"/>
      <c r="F385" s="924">
        <f>F719</f>
        <v>0.5</v>
      </c>
      <c r="G385" s="814" t="s">
        <v>9404</v>
      </c>
      <c r="H385" s="813" t="s">
        <v>250</v>
      </c>
      <c r="I385" s="813" t="s">
        <v>4070</v>
      </c>
      <c r="J385" s="813" t="s">
        <v>7665</v>
      </c>
      <c r="K385" s="813" t="s">
        <v>7610</v>
      </c>
      <c r="L385" s="813" t="s">
        <v>3863</v>
      </c>
      <c r="M385" s="813" t="s">
        <v>3127</v>
      </c>
      <c r="N385" s="813" t="s">
        <v>8153</v>
      </c>
      <c r="O385" s="813" t="s">
        <v>9565</v>
      </c>
      <c r="P385" s="813" t="s">
        <v>8154</v>
      </c>
      <c r="Q385" s="813" t="s">
        <v>8155</v>
      </c>
      <c r="R385" s="813">
        <v>1</v>
      </c>
      <c r="S385" s="813" t="s">
        <v>7615</v>
      </c>
      <c r="T385" s="813" t="s">
        <v>9556</v>
      </c>
    </row>
    <row r="386" spans="1:20" ht="21" customHeight="1" x14ac:dyDescent="0.35">
      <c r="A386" s="801" t="s">
        <v>8156</v>
      </c>
      <c r="B386" s="801" t="s">
        <v>8021</v>
      </c>
      <c r="C386" s="801"/>
      <c r="D386" s="801"/>
      <c r="E386" s="801"/>
      <c r="F386" s="801"/>
      <c r="G386" s="801" t="s">
        <v>3745</v>
      </c>
      <c r="H386" s="794"/>
      <c r="I386" s="794"/>
      <c r="J386" s="794"/>
      <c r="K386" s="794"/>
      <c r="L386" s="794"/>
      <c r="M386" s="794"/>
      <c r="N386" s="794"/>
      <c r="O386" s="794"/>
      <c r="P386" s="794"/>
      <c r="Q386" s="794"/>
      <c r="R386" s="794"/>
      <c r="S386" s="794"/>
      <c r="T386" s="794"/>
    </row>
    <row r="387" spans="1:20" ht="15" customHeight="1" x14ac:dyDescent="0.35">
      <c r="A387" s="802" t="s">
        <v>7899</v>
      </c>
      <c r="B387" s="802"/>
      <c r="C387" s="802"/>
      <c r="D387" s="802"/>
      <c r="E387" s="802"/>
      <c r="F387" s="802"/>
      <c r="G387" s="802" t="s">
        <v>7408</v>
      </c>
      <c r="H387" s="794"/>
      <c r="I387" s="794"/>
      <c r="J387" s="794"/>
      <c r="K387" s="794"/>
      <c r="L387" s="794"/>
      <c r="M387" s="794"/>
      <c r="N387" s="794"/>
      <c r="O387" s="794"/>
      <c r="P387" s="794"/>
      <c r="Q387" s="794"/>
      <c r="R387" s="794"/>
      <c r="S387" s="794"/>
      <c r="T387" s="794"/>
    </row>
    <row r="388" spans="1:20" ht="15" customHeight="1" x14ac:dyDescent="0.35">
      <c r="A388" s="803" t="s">
        <v>8157</v>
      </c>
      <c r="B388" s="803"/>
      <c r="C388" s="803"/>
      <c r="D388" s="803"/>
      <c r="E388" s="803"/>
      <c r="F388" s="803"/>
      <c r="G388" s="803" t="s">
        <v>3946</v>
      </c>
      <c r="H388" s="794"/>
      <c r="I388" s="794"/>
      <c r="J388" s="794"/>
      <c r="K388" s="794"/>
      <c r="L388" s="794"/>
      <c r="M388" s="794"/>
      <c r="N388" s="794"/>
      <c r="O388" s="794"/>
      <c r="P388" s="794"/>
      <c r="Q388" s="794"/>
      <c r="R388" s="794"/>
      <c r="S388" s="794"/>
      <c r="T388" s="794"/>
    </row>
    <row r="389" spans="1:20" ht="15" customHeight="1" x14ac:dyDescent="0.35">
      <c r="A389" s="794" t="s">
        <v>8158</v>
      </c>
      <c r="B389" s="794" t="s">
        <v>3857</v>
      </c>
      <c r="C389" s="812" t="s">
        <v>3842</v>
      </c>
      <c r="D389" s="825"/>
      <c r="E389" s="825"/>
      <c r="F389" s="826" t="s">
        <v>256</v>
      </c>
      <c r="G389" s="814" t="s">
        <v>3858</v>
      </c>
      <c r="H389" s="813" t="s">
        <v>256</v>
      </c>
      <c r="I389" s="813" t="s">
        <v>4070</v>
      </c>
      <c r="J389" s="813" t="s">
        <v>7609</v>
      </c>
      <c r="K389" s="813" t="s">
        <v>7610</v>
      </c>
      <c r="L389" s="813" t="s">
        <v>3863</v>
      </c>
      <c r="M389" s="813" t="s">
        <v>3127</v>
      </c>
      <c r="N389" s="813" t="s">
        <v>8159</v>
      </c>
      <c r="O389" s="813" t="s">
        <v>7612</v>
      </c>
      <c r="P389" s="813" t="s">
        <v>8160</v>
      </c>
      <c r="Q389" s="813" t="s">
        <v>8161</v>
      </c>
      <c r="R389" s="813">
        <v>1</v>
      </c>
      <c r="S389" s="813" t="s">
        <v>7615</v>
      </c>
      <c r="T389" s="813" t="s">
        <v>6895</v>
      </c>
    </row>
    <row r="390" spans="1:20" ht="15" customHeight="1" x14ac:dyDescent="0.35">
      <c r="A390" s="803" t="s">
        <v>8162</v>
      </c>
      <c r="B390" s="803"/>
      <c r="C390" s="803"/>
      <c r="D390" s="803"/>
      <c r="E390" s="803"/>
      <c r="F390" s="803"/>
      <c r="G390" s="803" t="s">
        <v>3855</v>
      </c>
      <c r="H390" s="794"/>
      <c r="I390" s="794"/>
      <c r="J390" s="794"/>
      <c r="K390" s="794"/>
      <c r="L390" s="794"/>
      <c r="M390" s="794"/>
      <c r="N390" s="794"/>
      <c r="O390" s="794"/>
      <c r="P390" s="794"/>
      <c r="Q390" s="794"/>
      <c r="R390" s="794"/>
      <c r="S390" s="794"/>
      <c r="T390" s="794"/>
    </row>
    <row r="391" spans="1:20" ht="15" customHeight="1" x14ac:dyDescent="0.35">
      <c r="A391" s="794" t="s">
        <v>8163</v>
      </c>
      <c r="B391" s="794" t="s">
        <v>3857</v>
      </c>
      <c r="C391" s="812" t="s">
        <v>3913</v>
      </c>
      <c r="D391" s="825"/>
      <c r="E391" s="825"/>
      <c r="F391" s="825">
        <v>3</v>
      </c>
      <c r="G391" s="814" t="s">
        <v>3858</v>
      </c>
      <c r="H391" s="813" t="s">
        <v>256</v>
      </c>
      <c r="I391" s="813" t="s">
        <v>4070</v>
      </c>
      <c r="J391" s="813" t="s">
        <v>7618</v>
      </c>
      <c r="K391" s="813" t="s">
        <v>7610</v>
      </c>
      <c r="L391" s="813" t="s">
        <v>3863</v>
      </c>
      <c r="M391" s="813" t="s">
        <v>3127</v>
      </c>
      <c r="N391" s="813" t="s">
        <v>8164</v>
      </c>
      <c r="O391" s="813" t="s">
        <v>3883</v>
      </c>
      <c r="P391" s="813" t="s">
        <v>8165</v>
      </c>
      <c r="Q391" s="813" t="s">
        <v>8166</v>
      </c>
      <c r="R391" s="813">
        <v>1</v>
      </c>
      <c r="S391" s="813" t="s">
        <v>7615</v>
      </c>
      <c r="T391" s="813" t="s">
        <v>6895</v>
      </c>
    </row>
    <row r="392" spans="1:20" ht="15" customHeight="1" x14ac:dyDescent="0.35">
      <c r="A392" s="794" t="s">
        <v>8167</v>
      </c>
      <c r="B392" s="794" t="s">
        <v>3857</v>
      </c>
      <c r="C392" s="812" t="s">
        <v>3842</v>
      </c>
      <c r="D392" s="825"/>
      <c r="E392" s="825"/>
      <c r="F392" s="826" t="s">
        <v>1800</v>
      </c>
      <c r="G392" s="814" t="s">
        <v>3858</v>
      </c>
      <c r="H392" s="813" t="s">
        <v>256</v>
      </c>
      <c r="I392" s="813" t="s">
        <v>4070</v>
      </c>
      <c r="J392" s="813" t="s">
        <v>7618</v>
      </c>
      <c r="K392" s="813" t="s">
        <v>7610</v>
      </c>
      <c r="L392" s="813" t="s">
        <v>3863</v>
      </c>
      <c r="M392" s="813" t="s">
        <v>3127</v>
      </c>
      <c r="N392" s="813" t="s">
        <v>8168</v>
      </c>
      <c r="O392" s="813" t="s">
        <v>7612</v>
      </c>
      <c r="P392" s="813" t="s">
        <v>8169</v>
      </c>
      <c r="Q392" s="813" t="s">
        <v>8170</v>
      </c>
      <c r="R392" s="813">
        <v>1</v>
      </c>
      <c r="S392" s="813" t="s">
        <v>7615</v>
      </c>
      <c r="T392" s="813" t="s">
        <v>6895</v>
      </c>
    </row>
    <row r="393" spans="1:20" ht="15" customHeight="1" x14ac:dyDescent="0.35">
      <c r="A393" s="794" t="s">
        <v>8171</v>
      </c>
      <c r="B393" s="794" t="s">
        <v>3857</v>
      </c>
      <c r="C393" s="812" t="s">
        <v>3842</v>
      </c>
      <c r="D393" s="825"/>
      <c r="E393" s="825"/>
      <c r="F393" s="826" t="s">
        <v>7627</v>
      </c>
      <c r="G393" s="814" t="s">
        <v>3858</v>
      </c>
      <c r="H393" s="813" t="s">
        <v>256</v>
      </c>
      <c r="I393" s="813" t="s">
        <v>4070</v>
      </c>
      <c r="J393" s="813" t="s">
        <v>7618</v>
      </c>
      <c r="K393" s="813" t="s">
        <v>7610</v>
      </c>
      <c r="L393" s="813" t="s">
        <v>3863</v>
      </c>
      <c r="M393" s="813" t="s">
        <v>3127</v>
      </c>
      <c r="N393" s="813" t="s">
        <v>8172</v>
      </c>
      <c r="O393" s="813" t="s">
        <v>7612</v>
      </c>
      <c r="P393" s="813" t="s">
        <v>8173</v>
      </c>
      <c r="Q393" s="813" t="s">
        <v>8174</v>
      </c>
      <c r="R393" s="813">
        <v>1</v>
      </c>
      <c r="S393" s="813" t="s">
        <v>7615</v>
      </c>
      <c r="T393" s="813" t="s">
        <v>6895</v>
      </c>
    </row>
    <row r="394" spans="1:20" ht="15" customHeight="1" x14ac:dyDescent="0.35">
      <c r="A394" s="803" t="s">
        <v>8175</v>
      </c>
      <c r="B394" s="803"/>
      <c r="C394" s="803"/>
      <c r="D394" s="803"/>
      <c r="E394" s="803"/>
      <c r="F394" s="803"/>
      <c r="G394" s="803" t="s">
        <v>3920</v>
      </c>
      <c r="H394" s="794"/>
      <c r="I394" s="794"/>
      <c r="J394" s="794"/>
      <c r="K394" s="794"/>
      <c r="L394" s="794"/>
      <c r="M394" s="794"/>
      <c r="N394" s="794"/>
      <c r="O394" s="794"/>
      <c r="P394" s="794"/>
      <c r="Q394" s="794"/>
      <c r="R394" s="794"/>
      <c r="S394" s="794"/>
      <c r="T394" s="794"/>
    </row>
    <row r="395" spans="1:20" ht="15" customHeight="1" x14ac:dyDescent="0.35">
      <c r="A395" s="794" t="s">
        <v>7632</v>
      </c>
      <c r="B395" s="794" t="s">
        <v>3857</v>
      </c>
      <c r="C395" s="812" t="s">
        <v>3913</v>
      </c>
      <c r="D395" s="825"/>
      <c r="E395" s="825"/>
      <c r="F395" s="825">
        <v>3.5000000000000003E-2</v>
      </c>
      <c r="G395" s="814" t="s">
        <v>3858</v>
      </c>
      <c r="H395" s="813" t="s">
        <v>256</v>
      </c>
      <c r="I395" s="813" t="s">
        <v>4070</v>
      </c>
      <c r="J395" s="813" t="s">
        <v>7633</v>
      </c>
      <c r="K395" s="813" t="s">
        <v>7610</v>
      </c>
      <c r="L395" s="813" t="s">
        <v>3863</v>
      </c>
      <c r="M395" s="813" t="s">
        <v>3127</v>
      </c>
      <c r="N395" s="813" t="s">
        <v>8176</v>
      </c>
      <c r="O395" s="813" t="s">
        <v>3883</v>
      </c>
      <c r="P395" s="813" t="s">
        <v>8177</v>
      </c>
      <c r="Q395" s="813" t="s">
        <v>8178</v>
      </c>
      <c r="R395" s="813">
        <v>1</v>
      </c>
      <c r="S395" s="813" t="s">
        <v>7615</v>
      </c>
      <c r="T395" s="813" t="s">
        <v>6895</v>
      </c>
    </row>
    <row r="396" spans="1:20" ht="15" customHeight="1" x14ac:dyDescent="0.35">
      <c r="A396" s="794" t="s">
        <v>7637</v>
      </c>
      <c r="B396" s="794" t="s">
        <v>3857</v>
      </c>
      <c r="C396" s="812" t="s">
        <v>3913</v>
      </c>
      <c r="D396" s="825"/>
      <c r="E396" s="825"/>
      <c r="F396" s="825">
        <v>10</v>
      </c>
      <c r="G396" s="814" t="s">
        <v>3858</v>
      </c>
      <c r="H396" s="813" t="s">
        <v>256</v>
      </c>
      <c r="I396" s="813" t="s">
        <v>4070</v>
      </c>
      <c r="J396" s="813" t="s">
        <v>7633</v>
      </c>
      <c r="K396" s="813" t="s">
        <v>7610</v>
      </c>
      <c r="L396" s="813" t="s">
        <v>3863</v>
      </c>
      <c r="M396" s="813" t="s">
        <v>3127</v>
      </c>
      <c r="N396" s="813" t="s">
        <v>8179</v>
      </c>
      <c r="O396" s="813" t="s">
        <v>3883</v>
      </c>
      <c r="P396" s="813" t="s">
        <v>8180</v>
      </c>
      <c r="Q396" s="813" t="s">
        <v>8181</v>
      </c>
      <c r="R396" s="813">
        <v>1</v>
      </c>
      <c r="S396" s="813" t="s">
        <v>7615</v>
      </c>
      <c r="T396" s="813" t="s">
        <v>6895</v>
      </c>
    </row>
    <row r="397" spans="1:20" ht="15" customHeight="1" x14ac:dyDescent="0.35">
      <c r="A397" s="794" t="s">
        <v>7641</v>
      </c>
      <c r="B397" s="794" t="s">
        <v>3857</v>
      </c>
      <c r="C397" s="812" t="s">
        <v>3913</v>
      </c>
      <c r="D397" s="825"/>
      <c r="E397" s="825"/>
      <c r="F397" s="825">
        <v>10</v>
      </c>
      <c r="G397" s="814" t="s">
        <v>3858</v>
      </c>
      <c r="H397" s="813" t="s">
        <v>256</v>
      </c>
      <c r="I397" s="813" t="s">
        <v>4070</v>
      </c>
      <c r="J397" s="813" t="s">
        <v>7633</v>
      </c>
      <c r="K397" s="813" t="s">
        <v>7610</v>
      </c>
      <c r="L397" s="813" t="s">
        <v>3863</v>
      </c>
      <c r="M397" s="813" t="s">
        <v>3127</v>
      </c>
      <c r="N397" s="813" t="s">
        <v>8182</v>
      </c>
      <c r="O397" s="813" t="s">
        <v>3883</v>
      </c>
      <c r="P397" s="813" t="s">
        <v>8183</v>
      </c>
      <c r="Q397" s="813" t="s">
        <v>8184</v>
      </c>
      <c r="R397" s="813">
        <v>1</v>
      </c>
      <c r="S397" s="813" t="s">
        <v>7615</v>
      </c>
      <c r="T397" s="813" t="s">
        <v>6895</v>
      </c>
    </row>
    <row r="398" spans="1:20" ht="15" customHeight="1" x14ac:dyDescent="0.35">
      <c r="A398" s="794" t="s">
        <v>7645</v>
      </c>
      <c r="B398" s="794" t="s">
        <v>3857</v>
      </c>
      <c r="C398" s="812" t="s">
        <v>3913</v>
      </c>
      <c r="D398" s="825"/>
      <c r="E398" s="825"/>
      <c r="F398" s="825">
        <v>10</v>
      </c>
      <c r="G398" s="814" t="s">
        <v>3858</v>
      </c>
      <c r="H398" s="813" t="s">
        <v>256</v>
      </c>
      <c r="I398" s="813" t="s">
        <v>4070</v>
      </c>
      <c r="J398" s="813" t="s">
        <v>7633</v>
      </c>
      <c r="K398" s="813" t="s">
        <v>7610</v>
      </c>
      <c r="L398" s="813" t="s">
        <v>3863</v>
      </c>
      <c r="M398" s="813" t="s">
        <v>3127</v>
      </c>
      <c r="N398" s="813" t="s">
        <v>8185</v>
      </c>
      <c r="O398" s="813" t="s">
        <v>3883</v>
      </c>
      <c r="P398" s="813" t="s">
        <v>8186</v>
      </c>
      <c r="Q398" s="813" t="s">
        <v>8187</v>
      </c>
      <c r="R398" s="813">
        <v>1</v>
      </c>
      <c r="S398" s="813" t="s">
        <v>7615</v>
      </c>
      <c r="T398" s="813" t="s">
        <v>6895</v>
      </c>
    </row>
    <row r="399" spans="1:20" ht="15" customHeight="1" x14ac:dyDescent="0.35">
      <c r="A399" s="794" t="s">
        <v>7649</v>
      </c>
      <c r="B399" s="794" t="s">
        <v>3857</v>
      </c>
      <c r="C399" s="812" t="s">
        <v>3913</v>
      </c>
      <c r="D399" s="825"/>
      <c r="E399" s="825"/>
      <c r="F399" s="825">
        <v>10</v>
      </c>
      <c r="G399" s="814" t="s">
        <v>3858</v>
      </c>
      <c r="H399" s="813" t="s">
        <v>256</v>
      </c>
      <c r="I399" s="813" t="s">
        <v>4070</v>
      </c>
      <c r="J399" s="813" t="s">
        <v>7633</v>
      </c>
      <c r="K399" s="813" t="s">
        <v>7610</v>
      </c>
      <c r="L399" s="813" t="s">
        <v>3863</v>
      </c>
      <c r="M399" s="813" t="s">
        <v>3127</v>
      </c>
      <c r="N399" s="813" t="s">
        <v>8188</v>
      </c>
      <c r="O399" s="813" t="s">
        <v>3883</v>
      </c>
      <c r="P399" s="813" t="s">
        <v>8189</v>
      </c>
      <c r="Q399" s="813" t="s">
        <v>8190</v>
      </c>
      <c r="R399" s="813">
        <v>1</v>
      </c>
      <c r="S399" s="813" t="s">
        <v>7615</v>
      </c>
      <c r="T399" s="813" t="s">
        <v>6895</v>
      </c>
    </row>
    <row r="400" spans="1:20" ht="15" customHeight="1" x14ac:dyDescent="0.35">
      <c r="A400" s="803" t="s">
        <v>8191</v>
      </c>
      <c r="B400" s="803"/>
      <c r="C400" s="803"/>
      <c r="D400" s="803"/>
      <c r="E400" s="803"/>
      <c r="F400" s="803"/>
      <c r="G400" s="803" t="s">
        <v>4476</v>
      </c>
      <c r="H400" s="794"/>
      <c r="I400" s="794"/>
      <c r="J400" s="794"/>
      <c r="K400" s="794"/>
      <c r="L400" s="794"/>
      <c r="M400" s="794"/>
      <c r="N400" s="794"/>
      <c r="O400" s="794"/>
      <c r="P400" s="794"/>
      <c r="Q400" s="794"/>
      <c r="R400" s="794"/>
      <c r="S400" s="794"/>
      <c r="T400" s="794"/>
    </row>
    <row r="401" spans="1:20" ht="15" customHeight="1" x14ac:dyDescent="0.35">
      <c r="A401" s="794" t="s">
        <v>7654</v>
      </c>
      <c r="B401" s="794" t="s">
        <v>3857</v>
      </c>
      <c r="C401" s="812" t="s">
        <v>1173</v>
      </c>
      <c r="D401" s="825"/>
      <c r="E401" s="825"/>
      <c r="F401" s="828">
        <v>46508</v>
      </c>
      <c r="G401" s="814" t="s">
        <v>3858</v>
      </c>
      <c r="H401" s="813" t="s">
        <v>256</v>
      </c>
      <c r="I401" s="813" t="s">
        <v>4070</v>
      </c>
      <c r="J401" s="813" t="s">
        <v>7655</v>
      </c>
      <c r="K401" s="813" t="s">
        <v>7610</v>
      </c>
      <c r="L401" s="813" t="s">
        <v>3863</v>
      </c>
      <c r="M401" s="813" t="s">
        <v>3127</v>
      </c>
      <c r="N401" s="813" t="s">
        <v>8192</v>
      </c>
      <c r="O401" s="813" t="s">
        <v>3883</v>
      </c>
      <c r="P401" s="813" t="s">
        <v>8193</v>
      </c>
      <c r="Q401" s="813" t="s">
        <v>8194</v>
      </c>
      <c r="R401" s="813">
        <v>1</v>
      </c>
      <c r="S401" s="813" t="s">
        <v>7615</v>
      </c>
      <c r="T401" s="813" t="s">
        <v>6895</v>
      </c>
    </row>
    <row r="402" spans="1:20" ht="15" customHeight="1" x14ac:dyDescent="0.35">
      <c r="A402" s="794" t="s">
        <v>7659</v>
      </c>
      <c r="B402" s="794" t="s">
        <v>3857</v>
      </c>
      <c r="C402" s="812" t="s">
        <v>1173</v>
      </c>
      <c r="D402" s="825"/>
      <c r="E402" s="825"/>
      <c r="F402" s="828">
        <v>46813</v>
      </c>
      <c r="G402" s="814" t="s">
        <v>3858</v>
      </c>
      <c r="H402" s="813" t="s">
        <v>256</v>
      </c>
      <c r="I402" s="813" t="s">
        <v>4070</v>
      </c>
      <c r="J402" s="813" t="s">
        <v>7655</v>
      </c>
      <c r="K402" s="813" t="s">
        <v>7610</v>
      </c>
      <c r="L402" s="813" t="s">
        <v>3863</v>
      </c>
      <c r="M402" s="813" t="s">
        <v>3127</v>
      </c>
      <c r="N402" s="813" t="s">
        <v>8195</v>
      </c>
      <c r="O402" s="813" t="s">
        <v>3883</v>
      </c>
      <c r="P402" s="813" t="s">
        <v>8196</v>
      </c>
      <c r="Q402" s="813" t="s">
        <v>8197</v>
      </c>
      <c r="R402" s="813">
        <v>1</v>
      </c>
      <c r="S402" s="813" t="s">
        <v>7615</v>
      </c>
      <c r="T402" s="813" t="s">
        <v>6895</v>
      </c>
    </row>
    <row r="403" spans="1:20" ht="15" customHeight="1" x14ac:dyDescent="0.35">
      <c r="A403" s="803" t="s">
        <v>8198</v>
      </c>
      <c r="B403" s="803"/>
      <c r="C403" s="803"/>
      <c r="D403" s="803"/>
      <c r="E403" s="803"/>
      <c r="F403" s="803"/>
      <c r="G403" s="803" t="s">
        <v>3855</v>
      </c>
      <c r="H403" s="794"/>
      <c r="I403" s="794"/>
      <c r="J403" s="794"/>
      <c r="K403" s="794"/>
      <c r="L403" s="794"/>
      <c r="M403" s="794"/>
      <c r="N403" s="794"/>
      <c r="O403" s="794"/>
      <c r="P403" s="794"/>
      <c r="Q403" s="794"/>
      <c r="R403" s="794"/>
      <c r="S403" s="794"/>
      <c r="T403" s="794"/>
    </row>
    <row r="404" spans="1:20" ht="15" customHeight="1" x14ac:dyDescent="0.35">
      <c r="A404" s="794" t="s">
        <v>7664</v>
      </c>
      <c r="B404" s="794" t="s">
        <v>3857</v>
      </c>
      <c r="C404" s="812" t="s">
        <v>3913</v>
      </c>
      <c r="D404" s="825"/>
      <c r="E404" s="825"/>
      <c r="F404" s="825">
        <v>9</v>
      </c>
      <c r="G404" s="814" t="s">
        <v>3858</v>
      </c>
      <c r="H404" s="813" t="s">
        <v>256</v>
      </c>
      <c r="I404" s="813" t="s">
        <v>4070</v>
      </c>
      <c r="J404" s="813" t="s">
        <v>7665</v>
      </c>
      <c r="K404" s="813" t="s">
        <v>7610</v>
      </c>
      <c r="L404" s="813" t="s">
        <v>3863</v>
      </c>
      <c r="M404" s="813" t="s">
        <v>3127</v>
      </c>
      <c r="N404" s="813" t="s">
        <v>8199</v>
      </c>
      <c r="O404" s="813" t="s">
        <v>3883</v>
      </c>
      <c r="P404" s="813" t="s">
        <v>8200</v>
      </c>
      <c r="Q404" s="813" t="s">
        <v>8201</v>
      </c>
      <c r="R404" s="813">
        <v>1</v>
      </c>
      <c r="S404" s="813" t="s">
        <v>7615</v>
      </c>
      <c r="T404" s="813" t="s">
        <v>6895</v>
      </c>
    </row>
    <row r="405" spans="1:20" ht="15" customHeight="1" x14ac:dyDescent="0.35">
      <c r="A405" s="794" t="s">
        <v>7669</v>
      </c>
      <c r="B405" s="794" t="s">
        <v>3857</v>
      </c>
      <c r="C405" s="812" t="s">
        <v>3913</v>
      </c>
      <c r="D405" s="825"/>
      <c r="E405" s="825"/>
      <c r="F405" s="825">
        <v>4</v>
      </c>
      <c r="G405" s="814" t="s">
        <v>3858</v>
      </c>
      <c r="H405" s="813" t="s">
        <v>256</v>
      </c>
      <c r="I405" s="813" t="s">
        <v>4070</v>
      </c>
      <c r="J405" s="813" t="s">
        <v>7665</v>
      </c>
      <c r="K405" s="813" t="s">
        <v>7610</v>
      </c>
      <c r="L405" s="813" t="s">
        <v>3863</v>
      </c>
      <c r="M405" s="813" t="s">
        <v>3127</v>
      </c>
      <c r="N405" s="813" t="s">
        <v>8202</v>
      </c>
      <c r="O405" s="813" t="s">
        <v>3883</v>
      </c>
      <c r="P405" s="813" t="s">
        <v>8203</v>
      </c>
      <c r="Q405" s="813" t="s">
        <v>8204</v>
      </c>
      <c r="R405" s="813">
        <v>1</v>
      </c>
      <c r="S405" s="813" t="s">
        <v>7615</v>
      </c>
      <c r="T405" s="813" t="s">
        <v>6895</v>
      </c>
    </row>
    <row r="406" spans="1:20" ht="15" customHeight="1" x14ac:dyDescent="0.35">
      <c r="A406" s="794" t="s">
        <v>7673</v>
      </c>
      <c r="B406" s="794" t="s">
        <v>3857</v>
      </c>
      <c r="C406" s="812" t="s">
        <v>3913</v>
      </c>
      <c r="D406" s="825"/>
      <c r="E406" s="825"/>
      <c r="F406" s="825">
        <v>0.5</v>
      </c>
      <c r="G406" s="814" t="s">
        <v>3858</v>
      </c>
      <c r="H406" s="813" t="s">
        <v>256</v>
      </c>
      <c r="I406" s="813" t="s">
        <v>4070</v>
      </c>
      <c r="J406" s="813" t="s">
        <v>7665</v>
      </c>
      <c r="K406" s="813" t="s">
        <v>7610</v>
      </c>
      <c r="L406" s="813" t="s">
        <v>3863</v>
      </c>
      <c r="M406" s="813" t="s">
        <v>3127</v>
      </c>
      <c r="N406" s="813" t="s">
        <v>8205</v>
      </c>
      <c r="O406" s="813" t="s">
        <v>3883</v>
      </c>
      <c r="P406" s="813" t="s">
        <v>8206</v>
      </c>
      <c r="Q406" s="813" t="s">
        <v>8207</v>
      </c>
      <c r="R406" s="813">
        <v>1</v>
      </c>
      <c r="S406" s="813" t="s">
        <v>7615</v>
      </c>
      <c r="T406" s="813" t="s">
        <v>6895</v>
      </c>
    </row>
    <row r="407" spans="1:20" ht="21" customHeight="1" x14ac:dyDescent="0.35">
      <c r="A407" s="801" t="s">
        <v>8208</v>
      </c>
      <c r="B407" s="801" t="s">
        <v>8021</v>
      </c>
      <c r="C407" s="801"/>
      <c r="D407" s="801"/>
      <c r="E407" s="801"/>
      <c r="F407" s="801"/>
      <c r="G407" s="801" t="s">
        <v>3745</v>
      </c>
      <c r="H407" s="794"/>
      <c r="I407" s="794"/>
      <c r="J407" s="794"/>
      <c r="K407" s="794"/>
      <c r="L407" s="794"/>
      <c r="M407" s="794"/>
      <c r="N407" s="794"/>
      <c r="O407" s="794"/>
      <c r="P407" s="794"/>
      <c r="Q407" s="794"/>
      <c r="R407" s="794"/>
      <c r="S407" s="794"/>
      <c r="T407" s="794"/>
    </row>
    <row r="408" spans="1:20" ht="15" customHeight="1" x14ac:dyDescent="0.35">
      <c r="A408" s="802" t="s">
        <v>7899</v>
      </c>
      <c r="B408" s="802"/>
      <c r="C408" s="802"/>
      <c r="D408" s="802"/>
      <c r="E408" s="802"/>
      <c r="F408" s="802"/>
      <c r="G408" s="802" t="s">
        <v>7408</v>
      </c>
      <c r="H408" s="794"/>
      <c r="I408" s="794"/>
      <c r="J408" s="794"/>
      <c r="K408" s="794"/>
      <c r="L408" s="794"/>
      <c r="M408" s="794"/>
      <c r="N408" s="794"/>
      <c r="O408" s="794"/>
      <c r="P408" s="794"/>
      <c r="Q408" s="794"/>
      <c r="R408" s="794"/>
      <c r="S408" s="794"/>
      <c r="T408" s="794"/>
    </row>
    <row r="409" spans="1:20" ht="15" customHeight="1" x14ac:dyDescent="0.35">
      <c r="A409" s="803" t="s">
        <v>8157</v>
      </c>
      <c r="B409" s="803"/>
      <c r="C409" s="803"/>
      <c r="D409" s="803"/>
      <c r="E409" s="803"/>
      <c r="F409" s="803"/>
      <c r="G409" s="803" t="s">
        <v>3946</v>
      </c>
      <c r="H409" s="794"/>
      <c r="I409" s="794"/>
      <c r="J409" s="794"/>
      <c r="K409" s="794"/>
      <c r="L409" s="794"/>
      <c r="M409" s="794"/>
      <c r="N409" s="794"/>
      <c r="O409" s="794"/>
      <c r="P409" s="794"/>
      <c r="Q409" s="794"/>
      <c r="R409" s="794"/>
      <c r="S409" s="794"/>
      <c r="T409" s="794"/>
    </row>
    <row r="410" spans="1:20" ht="15" customHeight="1" x14ac:dyDescent="0.35">
      <c r="A410" s="794" t="s">
        <v>8209</v>
      </c>
      <c r="B410" s="794" t="s">
        <v>3857</v>
      </c>
      <c r="C410" s="812" t="s">
        <v>3842</v>
      </c>
      <c r="D410" s="825"/>
      <c r="E410" s="825"/>
      <c r="F410" s="826" t="s">
        <v>8210</v>
      </c>
      <c r="G410" s="814" t="s">
        <v>3858</v>
      </c>
      <c r="H410" s="813" t="s">
        <v>257</v>
      </c>
      <c r="I410" s="813" t="s">
        <v>4070</v>
      </c>
      <c r="J410" s="813" t="s">
        <v>7609</v>
      </c>
      <c r="K410" s="813" t="s">
        <v>7610</v>
      </c>
      <c r="L410" s="813" t="s">
        <v>3863</v>
      </c>
      <c r="M410" s="813" t="s">
        <v>3127</v>
      </c>
      <c r="N410" s="813" t="s">
        <v>8211</v>
      </c>
      <c r="O410" s="813" t="s">
        <v>7612</v>
      </c>
      <c r="P410" s="813" t="s">
        <v>8212</v>
      </c>
      <c r="Q410" s="813" t="s">
        <v>8213</v>
      </c>
      <c r="R410" s="813">
        <v>1</v>
      </c>
      <c r="S410" s="813" t="s">
        <v>7615</v>
      </c>
      <c r="T410" s="813" t="s">
        <v>6895</v>
      </c>
    </row>
    <row r="411" spans="1:20" ht="15" customHeight="1" x14ac:dyDescent="0.35">
      <c r="A411" s="803" t="s">
        <v>8162</v>
      </c>
      <c r="B411" s="803"/>
      <c r="C411" s="803"/>
      <c r="D411" s="803"/>
      <c r="E411" s="803"/>
      <c r="F411" s="803"/>
      <c r="G411" s="803" t="s">
        <v>3855</v>
      </c>
      <c r="H411" s="794"/>
      <c r="I411" s="794"/>
      <c r="J411" s="794"/>
      <c r="K411" s="794"/>
      <c r="L411" s="794"/>
      <c r="M411" s="794"/>
      <c r="N411" s="794"/>
      <c r="O411" s="794"/>
      <c r="P411" s="794"/>
      <c r="Q411" s="794"/>
      <c r="R411" s="794"/>
      <c r="S411" s="794"/>
      <c r="T411" s="794"/>
    </row>
    <row r="412" spans="1:20" ht="15" customHeight="1" x14ac:dyDescent="0.35">
      <c r="A412" s="794" t="s">
        <v>8214</v>
      </c>
      <c r="B412" s="794" t="s">
        <v>3857</v>
      </c>
      <c r="C412" s="812" t="s">
        <v>3913</v>
      </c>
      <c r="D412" s="825"/>
      <c r="E412" s="825"/>
      <c r="F412" s="825">
        <v>3</v>
      </c>
      <c r="G412" s="814" t="s">
        <v>3858</v>
      </c>
      <c r="H412" s="813" t="s">
        <v>257</v>
      </c>
      <c r="I412" s="813" t="s">
        <v>4070</v>
      </c>
      <c r="J412" s="813" t="s">
        <v>7618</v>
      </c>
      <c r="K412" s="813" t="s">
        <v>7610</v>
      </c>
      <c r="L412" s="813" t="s">
        <v>3863</v>
      </c>
      <c r="M412" s="813" t="s">
        <v>3127</v>
      </c>
      <c r="N412" s="813" t="s">
        <v>8215</v>
      </c>
      <c r="O412" s="813" t="s">
        <v>3883</v>
      </c>
      <c r="P412" s="813" t="s">
        <v>8216</v>
      </c>
      <c r="Q412" s="813" t="s">
        <v>8217</v>
      </c>
      <c r="R412" s="813">
        <v>1</v>
      </c>
      <c r="S412" s="813" t="s">
        <v>7615</v>
      </c>
      <c r="T412" s="813" t="s">
        <v>6895</v>
      </c>
    </row>
    <row r="413" spans="1:20" ht="15" customHeight="1" x14ac:dyDescent="0.35">
      <c r="A413" s="794" t="s">
        <v>8218</v>
      </c>
      <c r="B413" s="794" t="s">
        <v>3857</v>
      </c>
      <c r="C413" s="812" t="s">
        <v>3842</v>
      </c>
      <c r="D413" s="825"/>
      <c r="E413" s="825"/>
      <c r="F413" s="826" t="s">
        <v>1800</v>
      </c>
      <c r="G413" s="814" t="s">
        <v>3858</v>
      </c>
      <c r="H413" s="813" t="s">
        <v>257</v>
      </c>
      <c r="I413" s="813" t="s">
        <v>4070</v>
      </c>
      <c r="J413" s="813" t="s">
        <v>7618</v>
      </c>
      <c r="K413" s="813" t="s">
        <v>7610</v>
      </c>
      <c r="L413" s="813" t="s">
        <v>3863</v>
      </c>
      <c r="M413" s="813" t="s">
        <v>3127</v>
      </c>
      <c r="N413" s="813" t="s">
        <v>8219</v>
      </c>
      <c r="O413" s="813" t="s">
        <v>7612</v>
      </c>
      <c r="P413" s="813" t="s">
        <v>8220</v>
      </c>
      <c r="Q413" s="813" t="s">
        <v>8221</v>
      </c>
      <c r="R413" s="813">
        <v>1</v>
      </c>
      <c r="S413" s="813" t="s">
        <v>7615</v>
      </c>
      <c r="T413" s="813" t="s">
        <v>6895</v>
      </c>
    </row>
    <row r="414" spans="1:20" ht="15" customHeight="1" x14ac:dyDescent="0.35">
      <c r="A414" s="794" t="s">
        <v>8222</v>
      </c>
      <c r="B414" s="794" t="s">
        <v>3857</v>
      </c>
      <c r="C414" s="812" t="s">
        <v>3842</v>
      </c>
      <c r="D414" s="825"/>
      <c r="E414" s="825"/>
      <c r="F414" s="826" t="s">
        <v>7627</v>
      </c>
      <c r="G414" s="814" t="s">
        <v>3858</v>
      </c>
      <c r="H414" s="813" t="s">
        <v>257</v>
      </c>
      <c r="I414" s="813" t="s">
        <v>4070</v>
      </c>
      <c r="J414" s="813" t="s">
        <v>7618</v>
      </c>
      <c r="K414" s="813" t="s">
        <v>7610</v>
      </c>
      <c r="L414" s="813" t="s">
        <v>3863</v>
      </c>
      <c r="M414" s="813" t="s">
        <v>3127</v>
      </c>
      <c r="N414" s="813" t="s">
        <v>8223</v>
      </c>
      <c r="O414" s="813" t="s">
        <v>7612</v>
      </c>
      <c r="P414" s="813" t="s">
        <v>8224</v>
      </c>
      <c r="Q414" s="813" t="s">
        <v>8225</v>
      </c>
      <c r="R414" s="813">
        <v>1</v>
      </c>
      <c r="S414" s="813" t="s">
        <v>7615</v>
      </c>
      <c r="T414" s="813" t="s">
        <v>6895</v>
      </c>
    </row>
    <row r="415" spans="1:20" ht="15" customHeight="1" x14ac:dyDescent="0.35">
      <c r="A415" s="803" t="s">
        <v>8175</v>
      </c>
      <c r="B415" s="803"/>
      <c r="C415" s="803"/>
      <c r="D415" s="803"/>
      <c r="E415" s="803"/>
      <c r="F415" s="803"/>
      <c r="G415" s="803" t="s">
        <v>3920</v>
      </c>
      <c r="H415" s="794"/>
      <c r="I415" s="794"/>
      <c r="J415" s="794"/>
      <c r="K415" s="794"/>
      <c r="L415" s="794"/>
      <c r="M415" s="794"/>
      <c r="N415" s="794"/>
      <c r="O415" s="794"/>
      <c r="P415" s="794"/>
      <c r="Q415" s="794"/>
      <c r="R415" s="794"/>
      <c r="S415" s="794"/>
      <c r="T415" s="794"/>
    </row>
    <row r="416" spans="1:20" ht="15" customHeight="1" x14ac:dyDescent="0.35">
      <c r="A416" s="794" t="s">
        <v>7632</v>
      </c>
      <c r="B416" s="794" t="s">
        <v>3857</v>
      </c>
      <c r="C416" s="812" t="s">
        <v>3913</v>
      </c>
      <c r="D416" s="825"/>
      <c r="E416" s="825"/>
      <c r="F416" s="825">
        <v>3.5000000000000003E-2</v>
      </c>
      <c r="G416" s="814" t="s">
        <v>3858</v>
      </c>
      <c r="H416" s="813" t="s">
        <v>257</v>
      </c>
      <c r="I416" s="813" t="s">
        <v>4070</v>
      </c>
      <c r="J416" s="813" t="s">
        <v>7633</v>
      </c>
      <c r="K416" s="813" t="s">
        <v>7610</v>
      </c>
      <c r="L416" s="813" t="s">
        <v>3863</v>
      </c>
      <c r="M416" s="813" t="s">
        <v>3127</v>
      </c>
      <c r="N416" s="813" t="s">
        <v>8226</v>
      </c>
      <c r="O416" s="813" t="s">
        <v>3883</v>
      </c>
      <c r="P416" s="813" t="s">
        <v>8227</v>
      </c>
      <c r="Q416" s="813" t="s">
        <v>8228</v>
      </c>
      <c r="R416" s="813">
        <v>1</v>
      </c>
      <c r="S416" s="813" t="s">
        <v>7615</v>
      </c>
      <c r="T416" s="813" t="s">
        <v>6895</v>
      </c>
    </row>
    <row r="417" spans="1:20" ht="15" customHeight="1" x14ac:dyDescent="0.35">
      <c r="A417" s="794" t="s">
        <v>7637</v>
      </c>
      <c r="B417" s="794" t="s">
        <v>3857</v>
      </c>
      <c r="C417" s="812" t="s">
        <v>3913</v>
      </c>
      <c r="D417" s="825"/>
      <c r="E417" s="825"/>
      <c r="F417" s="825">
        <v>5</v>
      </c>
      <c r="G417" s="814" t="s">
        <v>3858</v>
      </c>
      <c r="H417" s="813" t="s">
        <v>257</v>
      </c>
      <c r="I417" s="813" t="s">
        <v>4070</v>
      </c>
      <c r="J417" s="813" t="s">
        <v>7633</v>
      </c>
      <c r="K417" s="813" t="s">
        <v>7610</v>
      </c>
      <c r="L417" s="813" t="s">
        <v>3863</v>
      </c>
      <c r="M417" s="813" t="s">
        <v>3127</v>
      </c>
      <c r="N417" s="813" t="s">
        <v>8229</v>
      </c>
      <c r="O417" s="813" t="s">
        <v>3883</v>
      </c>
      <c r="P417" s="813" t="s">
        <v>8230</v>
      </c>
      <c r="Q417" s="813" t="s">
        <v>8231</v>
      </c>
      <c r="R417" s="813">
        <v>1</v>
      </c>
      <c r="S417" s="813" t="s">
        <v>7615</v>
      </c>
      <c r="T417" s="813" t="s">
        <v>6895</v>
      </c>
    </row>
    <row r="418" spans="1:20" ht="15" customHeight="1" x14ac:dyDescent="0.35">
      <c r="A418" s="794" t="s">
        <v>7641</v>
      </c>
      <c r="B418" s="794" t="s">
        <v>3857</v>
      </c>
      <c r="C418" s="812" t="s">
        <v>3913</v>
      </c>
      <c r="D418" s="825"/>
      <c r="E418" s="825"/>
      <c r="F418" s="825">
        <v>5</v>
      </c>
      <c r="G418" s="814" t="s">
        <v>3858</v>
      </c>
      <c r="H418" s="813" t="s">
        <v>257</v>
      </c>
      <c r="I418" s="813" t="s">
        <v>4070</v>
      </c>
      <c r="J418" s="813" t="s">
        <v>7633</v>
      </c>
      <c r="K418" s="813" t="s">
        <v>7610</v>
      </c>
      <c r="L418" s="813" t="s">
        <v>3863</v>
      </c>
      <c r="M418" s="813" t="s">
        <v>3127</v>
      </c>
      <c r="N418" s="813" t="s">
        <v>8232</v>
      </c>
      <c r="O418" s="813" t="s">
        <v>3883</v>
      </c>
      <c r="P418" s="813" t="s">
        <v>8233</v>
      </c>
      <c r="Q418" s="813" t="s">
        <v>8234</v>
      </c>
      <c r="R418" s="813">
        <v>1</v>
      </c>
      <c r="S418" s="813" t="s">
        <v>7615</v>
      </c>
      <c r="T418" s="813" t="s">
        <v>6895</v>
      </c>
    </row>
    <row r="419" spans="1:20" ht="15" customHeight="1" x14ac:dyDescent="0.35">
      <c r="A419" s="794" t="s">
        <v>7645</v>
      </c>
      <c r="B419" s="794" t="s">
        <v>3857</v>
      </c>
      <c r="C419" s="812" t="s">
        <v>3913</v>
      </c>
      <c r="D419" s="825"/>
      <c r="E419" s="825"/>
      <c r="F419" s="825">
        <v>5</v>
      </c>
      <c r="G419" s="814" t="s">
        <v>3858</v>
      </c>
      <c r="H419" s="813" t="s">
        <v>257</v>
      </c>
      <c r="I419" s="813" t="s">
        <v>4070</v>
      </c>
      <c r="J419" s="813" t="s">
        <v>7633</v>
      </c>
      <c r="K419" s="813" t="s">
        <v>7610</v>
      </c>
      <c r="L419" s="813" t="s">
        <v>3863</v>
      </c>
      <c r="M419" s="813" t="s">
        <v>3127</v>
      </c>
      <c r="N419" s="813" t="s">
        <v>8235</v>
      </c>
      <c r="O419" s="813" t="s">
        <v>3883</v>
      </c>
      <c r="P419" s="813" t="s">
        <v>8236</v>
      </c>
      <c r="Q419" s="813" t="s">
        <v>8237</v>
      </c>
      <c r="R419" s="813">
        <v>1</v>
      </c>
      <c r="S419" s="813" t="s">
        <v>7615</v>
      </c>
      <c r="T419" s="813" t="s">
        <v>6895</v>
      </c>
    </row>
    <row r="420" spans="1:20" ht="15" customHeight="1" x14ac:dyDescent="0.35">
      <c r="A420" s="794" t="s">
        <v>7649</v>
      </c>
      <c r="B420" s="794" t="s">
        <v>3857</v>
      </c>
      <c r="C420" s="812" t="s">
        <v>3913</v>
      </c>
      <c r="D420" s="825"/>
      <c r="E420" s="825"/>
      <c r="F420" s="825">
        <v>5</v>
      </c>
      <c r="G420" s="814" t="s">
        <v>3858</v>
      </c>
      <c r="H420" s="813" t="s">
        <v>257</v>
      </c>
      <c r="I420" s="813" t="s">
        <v>4070</v>
      </c>
      <c r="J420" s="813" t="s">
        <v>7633</v>
      </c>
      <c r="K420" s="813" t="s">
        <v>7610</v>
      </c>
      <c r="L420" s="813" t="s">
        <v>3863</v>
      </c>
      <c r="M420" s="813" t="s">
        <v>3127</v>
      </c>
      <c r="N420" s="813" t="s">
        <v>8238</v>
      </c>
      <c r="O420" s="813" t="s">
        <v>3883</v>
      </c>
      <c r="P420" s="813" t="s">
        <v>8239</v>
      </c>
      <c r="Q420" s="813" t="s">
        <v>8240</v>
      </c>
      <c r="R420" s="813">
        <v>1</v>
      </c>
      <c r="S420" s="813" t="s">
        <v>7615</v>
      </c>
      <c r="T420" s="813" t="s">
        <v>6895</v>
      </c>
    </row>
    <row r="421" spans="1:20" ht="15" customHeight="1" x14ac:dyDescent="0.35">
      <c r="A421" s="803" t="s">
        <v>8191</v>
      </c>
      <c r="B421" s="803"/>
      <c r="C421" s="803"/>
      <c r="D421" s="803"/>
      <c r="E421" s="803"/>
      <c r="F421" s="803"/>
      <c r="G421" s="803" t="s">
        <v>4476</v>
      </c>
      <c r="H421" s="794"/>
      <c r="I421" s="794"/>
      <c r="J421" s="794"/>
      <c r="K421" s="794"/>
      <c r="L421" s="794"/>
      <c r="M421" s="794"/>
      <c r="N421" s="794"/>
      <c r="O421" s="794"/>
      <c r="P421" s="794"/>
      <c r="Q421" s="794"/>
      <c r="R421" s="794"/>
      <c r="S421" s="794"/>
      <c r="T421" s="794"/>
    </row>
    <row r="422" spans="1:20" ht="15" customHeight="1" x14ac:dyDescent="0.35">
      <c r="A422" s="794" t="s">
        <v>7654</v>
      </c>
      <c r="B422" s="794" t="s">
        <v>3857</v>
      </c>
      <c r="C422" s="812" t="s">
        <v>1173</v>
      </c>
      <c r="D422" s="825"/>
      <c r="E422" s="825"/>
      <c r="F422" s="828">
        <v>46508</v>
      </c>
      <c r="G422" s="814" t="s">
        <v>3858</v>
      </c>
      <c r="H422" s="813" t="s">
        <v>257</v>
      </c>
      <c r="I422" s="813" t="s">
        <v>4070</v>
      </c>
      <c r="J422" s="813" t="s">
        <v>7655</v>
      </c>
      <c r="K422" s="813" t="s">
        <v>7610</v>
      </c>
      <c r="L422" s="813" t="s">
        <v>3863</v>
      </c>
      <c r="M422" s="813" t="s">
        <v>3127</v>
      </c>
      <c r="N422" s="813" t="s">
        <v>8241</v>
      </c>
      <c r="O422" s="813" t="s">
        <v>3883</v>
      </c>
      <c r="P422" s="813" t="s">
        <v>8242</v>
      </c>
      <c r="Q422" s="813" t="s">
        <v>8243</v>
      </c>
      <c r="R422" s="813">
        <v>1</v>
      </c>
      <c r="S422" s="813" t="s">
        <v>7615</v>
      </c>
      <c r="T422" s="813" t="s">
        <v>6895</v>
      </c>
    </row>
    <row r="423" spans="1:20" ht="15" customHeight="1" x14ac:dyDescent="0.35">
      <c r="A423" s="794" t="s">
        <v>7659</v>
      </c>
      <c r="B423" s="794" t="s">
        <v>3857</v>
      </c>
      <c r="C423" s="812" t="s">
        <v>1173</v>
      </c>
      <c r="D423" s="825"/>
      <c r="E423" s="825"/>
      <c r="F423" s="828">
        <v>46813</v>
      </c>
      <c r="G423" s="814" t="s">
        <v>3858</v>
      </c>
      <c r="H423" s="813" t="s">
        <v>257</v>
      </c>
      <c r="I423" s="813" t="s">
        <v>4070</v>
      </c>
      <c r="J423" s="813" t="s">
        <v>7655</v>
      </c>
      <c r="K423" s="813" t="s">
        <v>7610</v>
      </c>
      <c r="L423" s="813" t="s">
        <v>3863</v>
      </c>
      <c r="M423" s="813" t="s">
        <v>3127</v>
      </c>
      <c r="N423" s="813" t="s">
        <v>8244</v>
      </c>
      <c r="O423" s="813" t="s">
        <v>3883</v>
      </c>
      <c r="P423" s="813" t="s">
        <v>8245</v>
      </c>
      <c r="Q423" s="813" t="s">
        <v>8246</v>
      </c>
      <c r="R423" s="813">
        <v>1</v>
      </c>
      <c r="S423" s="813" t="s">
        <v>7615</v>
      </c>
      <c r="T423" s="813" t="s">
        <v>6895</v>
      </c>
    </row>
    <row r="424" spans="1:20" ht="15" customHeight="1" x14ac:dyDescent="0.35">
      <c r="A424" s="803" t="s">
        <v>8198</v>
      </c>
      <c r="B424" s="803"/>
      <c r="C424" s="803"/>
      <c r="D424" s="803"/>
      <c r="E424" s="803"/>
      <c r="F424" s="803"/>
      <c r="G424" s="803" t="s">
        <v>3855</v>
      </c>
      <c r="H424" s="794"/>
      <c r="I424" s="794"/>
      <c r="J424" s="794"/>
      <c r="K424" s="794"/>
      <c r="L424" s="794"/>
      <c r="M424" s="794"/>
      <c r="N424" s="794"/>
      <c r="O424" s="794"/>
      <c r="P424" s="794"/>
      <c r="Q424" s="794"/>
      <c r="R424" s="794"/>
      <c r="S424" s="794"/>
      <c r="T424" s="794"/>
    </row>
    <row r="425" spans="1:20" ht="15" customHeight="1" x14ac:dyDescent="0.35">
      <c r="A425" s="794" t="s">
        <v>7664</v>
      </c>
      <c r="B425" s="794" t="s">
        <v>3857</v>
      </c>
      <c r="C425" s="812" t="s">
        <v>3913</v>
      </c>
      <c r="D425" s="825"/>
      <c r="E425" s="825"/>
      <c r="F425" s="825">
        <v>6</v>
      </c>
      <c r="G425" s="814" t="s">
        <v>3858</v>
      </c>
      <c r="H425" s="813" t="s">
        <v>257</v>
      </c>
      <c r="I425" s="813" t="s">
        <v>4070</v>
      </c>
      <c r="J425" s="813" t="s">
        <v>7665</v>
      </c>
      <c r="K425" s="813" t="s">
        <v>7610</v>
      </c>
      <c r="L425" s="813" t="s">
        <v>3863</v>
      </c>
      <c r="M425" s="813" t="s">
        <v>3127</v>
      </c>
      <c r="N425" s="813" t="s">
        <v>8247</v>
      </c>
      <c r="O425" s="813" t="s">
        <v>3883</v>
      </c>
      <c r="P425" s="813" t="s">
        <v>8248</v>
      </c>
      <c r="Q425" s="813" t="s">
        <v>8249</v>
      </c>
      <c r="R425" s="813">
        <v>1</v>
      </c>
      <c r="S425" s="813" t="s">
        <v>7615</v>
      </c>
      <c r="T425" s="813" t="s">
        <v>6895</v>
      </c>
    </row>
    <row r="426" spans="1:20" ht="15" customHeight="1" x14ac:dyDescent="0.35">
      <c r="A426" s="794" t="s">
        <v>7669</v>
      </c>
      <c r="B426" s="794" t="s">
        <v>3857</v>
      </c>
      <c r="C426" s="812" t="s">
        <v>3913</v>
      </c>
      <c r="D426" s="825"/>
      <c r="E426" s="825"/>
      <c r="F426" s="825">
        <v>2</v>
      </c>
      <c r="G426" s="814" t="s">
        <v>3858</v>
      </c>
      <c r="H426" s="813" t="s">
        <v>257</v>
      </c>
      <c r="I426" s="813" t="s">
        <v>4070</v>
      </c>
      <c r="J426" s="813" t="s">
        <v>7665</v>
      </c>
      <c r="K426" s="813" t="s">
        <v>7610</v>
      </c>
      <c r="L426" s="813" t="s">
        <v>3863</v>
      </c>
      <c r="M426" s="813" t="s">
        <v>3127</v>
      </c>
      <c r="N426" s="813" t="s">
        <v>8250</v>
      </c>
      <c r="O426" s="813" t="s">
        <v>3883</v>
      </c>
      <c r="P426" s="813" t="s">
        <v>8251</v>
      </c>
      <c r="Q426" s="813" t="s">
        <v>8252</v>
      </c>
      <c r="R426" s="813">
        <v>1</v>
      </c>
      <c r="S426" s="813" t="s">
        <v>7615</v>
      </c>
      <c r="T426" s="813" t="s">
        <v>6895</v>
      </c>
    </row>
    <row r="427" spans="1:20" ht="15" customHeight="1" x14ac:dyDescent="0.35">
      <c r="A427" s="794" t="s">
        <v>7673</v>
      </c>
      <c r="B427" s="794" t="s">
        <v>3857</v>
      </c>
      <c r="C427" s="812" t="s">
        <v>3913</v>
      </c>
      <c r="D427" s="825"/>
      <c r="E427" s="825"/>
      <c r="F427" s="825">
        <v>0.25</v>
      </c>
      <c r="G427" s="814" t="s">
        <v>3858</v>
      </c>
      <c r="H427" s="813" t="s">
        <v>257</v>
      </c>
      <c r="I427" s="813" t="s">
        <v>4070</v>
      </c>
      <c r="J427" s="813" t="s">
        <v>7665</v>
      </c>
      <c r="K427" s="813" t="s">
        <v>7610</v>
      </c>
      <c r="L427" s="813" t="s">
        <v>3863</v>
      </c>
      <c r="M427" s="813" t="s">
        <v>3127</v>
      </c>
      <c r="N427" s="813" t="s">
        <v>8253</v>
      </c>
      <c r="O427" s="813" t="s">
        <v>3883</v>
      </c>
      <c r="P427" s="813" t="s">
        <v>8254</v>
      </c>
      <c r="Q427" s="813" t="s">
        <v>8255</v>
      </c>
      <c r="R427" s="813">
        <v>1</v>
      </c>
      <c r="S427" s="813" t="s">
        <v>7615</v>
      </c>
      <c r="T427" s="813" t="s">
        <v>6895</v>
      </c>
    </row>
    <row r="428" spans="1:20" ht="21" customHeight="1" x14ac:dyDescent="0.35">
      <c r="A428" s="801" t="s">
        <v>8256</v>
      </c>
      <c r="B428" s="801" t="s">
        <v>8021</v>
      </c>
      <c r="C428" s="801"/>
      <c r="D428" s="801"/>
      <c r="E428" s="801"/>
      <c r="F428" s="801"/>
      <c r="G428" s="801" t="s">
        <v>3745</v>
      </c>
      <c r="H428" s="794"/>
      <c r="I428" s="794"/>
      <c r="J428" s="794"/>
      <c r="K428" s="794"/>
      <c r="L428" s="794"/>
      <c r="M428" s="794"/>
      <c r="N428" s="794"/>
      <c r="O428" s="794"/>
      <c r="P428" s="794"/>
      <c r="Q428" s="794"/>
      <c r="R428" s="794"/>
      <c r="S428" s="794"/>
      <c r="T428" s="794"/>
    </row>
    <row r="429" spans="1:20" ht="15" customHeight="1" x14ac:dyDescent="0.35">
      <c r="A429" s="802" t="s">
        <v>7899</v>
      </c>
      <c r="B429" s="802"/>
      <c r="C429" s="802"/>
      <c r="D429" s="802"/>
      <c r="E429" s="802"/>
      <c r="F429" s="802"/>
      <c r="G429" s="802" t="s">
        <v>7408</v>
      </c>
      <c r="H429" s="794"/>
      <c r="I429" s="794"/>
      <c r="J429" s="794"/>
      <c r="K429" s="794"/>
      <c r="L429" s="794"/>
      <c r="M429" s="794"/>
      <c r="N429" s="794"/>
      <c r="O429" s="794"/>
      <c r="P429" s="794"/>
      <c r="Q429" s="794"/>
      <c r="R429" s="794"/>
      <c r="S429" s="794"/>
      <c r="T429" s="794"/>
    </row>
    <row r="430" spans="1:20" ht="15" customHeight="1" x14ac:dyDescent="0.35">
      <c r="A430" s="803" t="s">
        <v>8157</v>
      </c>
      <c r="B430" s="803"/>
      <c r="C430" s="803"/>
      <c r="D430" s="803"/>
      <c r="E430" s="803"/>
      <c r="F430" s="803"/>
      <c r="G430" s="803" t="s">
        <v>3946</v>
      </c>
      <c r="H430" s="794"/>
      <c r="I430" s="794"/>
      <c r="J430" s="794"/>
      <c r="K430" s="794"/>
      <c r="L430" s="794"/>
      <c r="M430" s="794"/>
      <c r="N430" s="794"/>
      <c r="O430" s="794"/>
      <c r="P430" s="794"/>
      <c r="Q430" s="794"/>
      <c r="R430" s="794"/>
      <c r="S430" s="794"/>
      <c r="T430" s="794"/>
    </row>
    <row r="431" spans="1:20" ht="28" customHeight="1" x14ac:dyDescent="0.35">
      <c r="A431" s="794" t="s">
        <v>8257</v>
      </c>
      <c r="B431" s="794" t="s">
        <v>3857</v>
      </c>
      <c r="C431" s="812" t="s">
        <v>3842</v>
      </c>
      <c r="D431" s="825"/>
      <c r="E431" s="825"/>
      <c r="F431" s="827" t="s">
        <v>8258</v>
      </c>
      <c r="G431" s="814" t="s">
        <v>3858</v>
      </c>
      <c r="H431" s="813" t="s">
        <v>5907</v>
      </c>
      <c r="I431" s="813" t="s">
        <v>4070</v>
      </c>
      <c r="J431" s="813" t="s">
        <v>7609</v>
      </c>
      <c r="K431" s="813" t="s">
        <v>7610</v>
      </c>
      <c r="L431" s="813" t="s">
        <v>3863</v>
      </c>
      <c r="M431" s="813" t="s">
        <v>3127</v>
      </c>
      <c r="N431" s="813" t="s">
        <v>8259</v>
      </c>
      <c r="O431" s="813" t="s">
        <v>7612</v>
      </c>
      <c r="P431" s="813" t="s">
        <v>8260</v>
      </c>
      <c r="Q431" s="813" t="s">
        <v>8261</v>
      </c>
      <c r="R431" s="813">
        <v>1</v>
      </c>
      <c r="S431" s="813" t="s">
        <v>7615</v>
      </c>
      <c r="T431" s="813" t="s">
        <v>6895</v>
      </c>
    </row>
    <row r="432" spans="1:20" ht="15" customHeight="1" x14ac:dyDescent="0.35">
      <c r="A432" s="803" t="s">
        <v>8162</v>
      </c>
      <c r="B432" s="803"/>
      <c r="C432" s="803"/>
      <c r="D432" s="803"/>
      <c r="E432" s="803"/>
      <c r="F432" s="803"/>
      <c r="G432" s="803" t="s">
        <v>3855</v>
      </c>
      <c r="H432" s="794"/>
      <c r="I432" s="794"/>
      <c r="J432" s="794"/>
      <c r="K432" s="794"/>
      <c r="L432" s="794"/>
      <c r="M432" s="794"/>
      <c r="N432" s="794"/>
      <c r="O432" s="794"/>
      <c r="P432" s="794"/>
      <c r="Q432" s="794"/>
      <c r="R432" s="794"/>
      <c r="S432" s="794"/>
      <c r="T432" s="794"/>
    </row>
    <row r="433" spans="1:20" ht="15" customHeight="1" x14ac:dyDescent="0.35">
      <c r="A433" s="794" t="s">
        <v>8262</v>
      </c>
      <c r="B433" s="794" t="s">
        <v>3857</v>
      </c>
      <c r="C433" s="812" t="s">
        <v>3913</v>
      </c>
      <c r="D433" s="825"/>
      <c r="E433" s="825"/>
      <c r="F433" s="825">
        <v>4</v>
      </c>
      <c r="G433" s="814" t="s">
        <v>3858</v>
      </c>
      <c r="H433" s="813" t="s">
        <v>5907</v>
      </c>
      <c r="I433" s="813" t="s">
        <v>4070</v>
      </c>
      <c r="J433" s="813" t="s">
        <v>7618</v>
      </c>
      <c r="K433" s="813" t="s">
        <v>7610</v>
      </c>
      <c r="L433" s="813" t="s">
        <v>3863</v>
      </c>
      <c r="M433" s="813" t="s">
        <v>3127</v>
      </c>
      <c r="N433" s="813" t="s">
        <v>8263</v>
      </c>
      <c r="O433" s="813" t="s">
        <v>3883</v>
      </c>
      <c r="P433" s="813" t="s">
        <v>8264</v>
      </c>
      <c r="Q433" s="813" t="s">
        <v>8265</v>
      </c>
      <c r="R433" s="813">
        <v>1</v>
      </c>
      <c r="S433" s="813" t="s">
        <v>7615</v>
      </c>
      <c r="T433" s="813" t="s">
        <v>6895</v>
      </c>
    </row>
    <row r="434" spans="1:20" ht="15" customHeight="1" x14ac:dyDescent="0.35">
      <c r="A434" s="794" t="s">
        <v>8266</v>
      </c>
      <c r="B434" s="794" t="s">
        <v>3857</v>
      </c>
      <c r="C434" s="812" t="s">
        <v>3842</v>
      </c>
      <c r="D434" s="825"/>
      <c r="E434" s="825"/>
      <c r="F434" s="826" t="s">
        <v>1800</v>
      </c>
      <c r="G434" s="814" t="s">
        <v>3858</v>
      </c>
      <c r="H434" s="813" t="s">
        <v>5907</v>
      </c>
      <c r="I434" s="813" t="s">
        <v>4070</v>
      </c>
      <c r="J434" s="813" t="s">
        <v>7618</v>
      </c>
      <c r="K434" s="813" t="s">
        <v>7610</v>
      </c>
      <c r="L434" s="813" t="s">
        <v>3863</v>
      </c>
      <c r="M434" s="813" t="s">
        <v>3127</v>
      </c>
      <c r="N434" s="813" t="s">
        <v>8267</v>
      </c>
      <c r="O434" s="813" t="s">
        <v>7612</v>
      </c>
      <c r="P434" s="813" t="s">
        <v>8268</v>
      </c>
      <c r="Q434" s="813" t="s">
        <v>8269</v>
      </c>
      <c r="R434" s="813">
        <v>1</v>
      </c>
      <c r="S434" s="813" t="s">
        <v>7615</v>
      </c>
      <c r="T434" s="813" t="s">
        <v>6895</v>
      </c>
    </row>
    <row r="435" spans="1:20" ht="15" customHeight="1" x14ac:dyDescent="0.35">
      <c r="A435" s="794" t="s">
        <v>8270</v>
      </c>
      <c r="B435" s="794" t="s">
        <v>3857</v>
      </c>
      <c r="C435" s="812" t="s">
        <v>3842</v>
      </c>
      <c r="D435" s="825"/>
      <c r="E435" s="825"/>
      <c r="F435" s="826" t="s">
        <v>7627</v>
      </c>
      <c r="G435" s="814" t="s">
        <v>3858</v>
      </c>
      <c r="H435" s="813" t="s">
        <v>5907</v>
      </c>
      <c r="I435" s="813" t="s">
        <v>4070</v>
      </c>
      <c r="J435" s="813" t="s">
        <v>7618</v>
      </c>
      <c r="K435" s="813" t="s">
        <v>7610</v>
      </c>
      <c r="L435" s="813" t="s">
        <v>3863</v>
      </c>
      <c r="M435" s="813" t="s">
        <v>3127</v>
      </c>
      <c r="N435" s="813" t="s">
        <v>8271</v>
      </c>
      <c r="O435" s="813" t="s">
        <v>7612</v>
      </c>
      <c r="P435" s="813" t="s">
        <v>8272</v>
      </c>
      <c r="Q435" s="813" t="s">
        <v>8273</v>
      </c>
      <c r="R435" s="813">
        <v>1</v>
      </c>
      <c r="S435" s="813" t="s">
        <v>7615</v>
      </c>
      <c r="T435" s="813" t="s">
        <v>6895</v>
      </c>
    </row>
    <row r="436" spans="1:20" ht="15" customHeight="1" x14ac:dyDescent="0.35">
      <c r="A436" s="803" t="s">
        <v>8175</v>
      </c>
      <c r="B436" s="803"/>
      <c r="C436" s="803"/>
      <c r="D436" s="803"/>
      <c r="E436" s="803"/>
      <c r="F436" s="803"/>
      <c r="G436" s="803" t="s">
        <v>3920</v>
      </c>
      <c r="H436" s="794"/>
      <c r="I436" s="794"/>
      <c r="J436" s="794"/>
      <c r="K436" s="794"/>
      <c r="L436" s="794"/>
      <c r="M436" s="794"/>
      <c r="N436" s="794"/>
      <c r="O436" s="794"/>
      <c r="P436" s="794"/>
      <c r="Q436" s="794"/>
      <c r="R436" s="794"/>
      <c r="S436" s="794"/>
      <c r="T436" s="794"/>
    </row>
    <row r="437" spans="1:20" ht="15" customHeight="1" x14ac:dyDescent="0.35">
      <c r="A437" s="794" t="s">
        <v>7632</v>
      </c>
      <c r="B437" s="794" t="s">
        <v>3857</v>
      </c>
      <c r="C437" s="812" t="s">
        <v>3913</v>
      </c>
      <c r="D437" s="825"/>
      <c r="E437" s="825"/>
      <c r="F437" s="825">
        <v>3.5000000000000003E-2</v>
      </c>
      <c r="G437" s="814" t="s">
        <v>3858</v>
      </c>
      <c r="H437" s="813" t="s">
        <v>5907</v>
      </c>
      <c r="I437" s="813" t="s">
        <v>4070</v>
      </c>
      <c r="J437" s="813" t="s">
        <v>7633</v>
      </c>
      <c r="K437" s="813" t="s">
        <v>7610</v>
      </c>
      <c r="L437" s="813" t="s">
        <v>3863</v>
      </c>
      <c r="M437" s="813" t="s">
        <v>3127</v>
      </c>
      <c r="N437" s="813" t="s">
        <v>8274</v>
      </c>
      <c r="O437" s="813" t="s">
        <v>3883</v>
      </c>
      <c r="P437" s="813" t="s">
        <v>8275</v>
      </c>
      <c r="Q437" s="813" t="s">
        <v>8276</v>
      </c>
      <c r="R437" s="813">
        <v>1</v>
      </c>
      <c r="S437" s="813" t="s">
        <v>7615</v>
      </c>
      <c r="T437" s="813" t="s">
        <v>6895</v>
      </c>
    </row>
    <row r="438" spans="1:20" ht="15" customHeight="1" x14ac:dyDescent="0.35">
      <c r="A438" s="794" t="s">
        <v>7637</v>
      </c>
      <c r="B438" s="794" t="s">
        <v>3857</v>
      </c>
      <c r="C438" s="812" t="s">
        <v>3913</v>
      </c>
      <c r="D438" s="825"/>
      <c r="E438" s="825"/>
      <c r="F438" s="825">
        <v>5</v>
      </c>
      <c r="G438" s="814" t="s">
        <v>3858</v>
      </c>
      <c r="H438" s="813" t="s">
        <v>5907</v>
      </c>
      <c r="I438" s="813" t="s">
        <v>4070</v>
      </c>
      <c r="J438" s="813" t="s">
        <v>7633</v>
      </c>
      <c r="K438" s="813" t="s">
        <v>7610</v>
      </c>
      <c r="L438" s="813" t="s">
        <v>3863</v>
      </c>
      <c r="M438" s="813" t="s">
        <v>3127</v>
      </c>
      <c r="N438" s="813" t="s">
        <v>8277</v>
      </c>
      <c r="O438" s="813" t="s">
        <v>3883</v>
      </c>
      <c r="P438" s="813" t="s">
        <v>8278</v>
      </c>
      <c r="Q438" s="813" t="s">
        <v>8279</v>
      </c>
      <c r="R438" s="813">
        <v>1</v>
      </c>
      <c r="S438" s="813" t="s">
        <v>7615</v>
      </c>
      <c r="T438" s="813" t="s">
        <v>6895</v>
      </c>
    </row>
    <row r="439" spans="1:20" ht="15" customHeight="1" x14ac:dyDescent="0.35">
      <c r="A439" s="794" t="s">
        <v>7641</v>
      </c>
      <c r="B439" s="794" t="s">
        <v>3857</v>
      </c>
      <c r="C439" s="812" t="s">
        <v>3913</v>
      </c>
      <c r="D439" s="825"/>
      <c r="E439" s="825"/>
      <c r="F439" s="825">
        <v>5</v>
      </c>
      <c r="G439" s="814" t="s">
        <v>3858</v>
      </c>
      <c r="H439" s="813" t="s">
        <v>5907</v>
      </c>
      <c r="I439" s="813" t="s">
        <v>4070</v>
      </c>
      <c r="J439" s="813" t="s">
        <v>7633</v>
      </c>
      <c r="K439" s="813" t="s">
        <v>7610</v>
      </c>
      <c r="L439" s="813" t="s">
        <v>3863</v>
      </c>
      <c r="M439" s="813" t="s">
        <v>3127</v>
      </c>
      <c r="N439" s="813" t="s">
        <v>8280</v>
      </c>
      <c r="O439" s="813" t="s">
        <v>3883</v>
      </c>
      <c r="P439" s="813" t="s">
        <v>8281</v>
      </c>
      <c r="Q439" s="813" t="s">
        <v>8282</v>
      </c>
      <c r="R439" s="813">
        <v>1</v>
      </c>
      <c r="S439" s="813" t="s">
        <v>7615</v>
      </c>
      <c r="T439" s="813" t="s">
        <v>6895</v>
      </c>
    </row>
    <row r="440" spans="1:20" ht="15" customHeight="1" x14ac:dyDescent="0.35">
      <c r="A440" s="794" t="s">
        <v>7645</v>
      </c>
      <c r="B440" s="794" t="s">
        <v>3857</v>
      </c>
      <c r="C440" s="812" t="s">
        <v>3913</v>
      </c>
      <c r="D440" s="825"/>
      <c r="E440" s="825"/>
      <c r="F440" s="825">
        <v>5</v>
      </c>
      <c r="G440" s="814" t="s">
        <v>3858</v>
      </c>
      <c r="H440" s="813" t="s">
        <v>5907</v>
      </c>
      <c r="I440" s="813" t="s">
        <v>4070</v>
      </c>
      <c r="J440" s="813" t="s">
        <v>7633</v>
      </c>
      <c r="K440" s="813" t="s">
        <v>7610</v>
      </c>
      <c r="L440" s="813" t="s">
        <v>3863</v>
      </c>
      <c r="M440" s="813" t="s">
        <v>3127</v>
      </c>
      <c r="N440" s="813" t="s">
        <v>8283</v>
      </c>
      <c r="O440" s="813" t="s">
        <v>3883</v>
      </c>
      <c r="P440" s="813" t="s">
        <v>8284</v>
      </c>
      <c r="Q440" s="813" t="s">
        <v>8285</v>
      </c>
      <c r="R440" s="813">
        <v>1</v>
      </c>
      <c r="S440" s="813" t="s">
        <v>7615</v>
      </c>
      <c r="T440" s="813" t="s">
        <v>6895</v>
      </c>
    </row>
    <row r="441" spans="1:20" ht="15" customHeight="1" x14ac:dyDescent="0.35">
      <c r="A441" s="794" t="s">
        <v>7649</v>
      </c>
      <c r="B441" s="794" t="s">
        <v>3857</v>
      </c>
      <c r="C441" s="812" t="s">
        <v>3913</v>
      </c>
      <c r="D441" s="825"/>
      <c r="E441" s="825"/>
      <c r="F441" s="825">
        <v>5</v>
      </c>
      <c r="G441" s="814" t="s">
        <v>3858</v>
      </c>
      <c r="H441" s="813" t="s">
        <v>5907</v>
      </c>
      <c r="I441" s="813" t="s">
        <v>4070</v>
      </c>
      <c r="J441" s="813" t="s">
        <v>7633</v>
      </c>
      <c r="K441" s="813" t="s">
        <v>7610</v>
      </c>
      <c r="L441" s="813" t="s">
        <v>3863</v>
      </c>
      <c r="M441" s="813" t="s">
        <v>3127</v>
      </c>
      <c r="N441" s="813" t="s">
        <v>8286</v>
      </c>
      <c r="O441" s="813" t="s">
        <v>3883</v>
      </c>
      <c r="P441" s="813" t="s">
        <v>8287</v>
      </c>
      <c r="Q441" s="813" t="s">
        <v>8288</v>
      </c>
      <c r="R441" s="813">
        <v>1</v>
      </c>
      <c r="S441" s="813" t="s">
        <v>7615</v>
      </c>
      <c r="T441" s="813" t="s">
        <v>6895</v>
      </c>
    </row>
    <row r="442" spans="1:20" ht="15" customHeight="1" x14ac:dyDescent="0.35">
      <c r="A442" s="803" t="s">
        <v>8191</v>
      </c>
      <c r="B442" s="803"/>
      <c r="C442" s="803"/>
      <c r="D442" s="803"/>
      <c r="E442" s="803"/>
      <c r="F442" s="803"/>
      <c r="G442" s="803" t="s">
        <v>4476</v>
      </c>
      <c r="H442" s="794"/>
      <c r="I442" s="794"/>
      <c r="J442" s="794"/>
      <c r="K442" s="794"/>
      <c r="L442" s="794"/>
      <c r="M442" s="794"/>
      <c r="N442" s="794"/>
      <c r="O442" s="794"/>
      <c r="P442" s="794"/>
      <c r="Q442" s="794"/>
      <c r="R442" s="794"/>
      <c r="S442" s="794"/>
      <c r="T442" s="794"/>
    </row>
    <row r="443" spans="1:20" ht="15" customHeight="1" x14ac:dyDescent="0.35">
      <c r="A443" s="794" t="s">
        <v>7654</v>
      </c>
      <c r="B443" s="794" t="s">
        <v>3857</v>
      </c>
      <c r="C443" s="812" t="s">
        <v>1173</v>
      </c>
      <c r="D443" s="825"/>
      <c r="E443" s="825"/>
      <c r="F443" s="828">
        <v>46508</v>
      </c>
      <c r="G443" s="814" t="s">
        <v>3858</v>
      </c>
      <c r="H443" s="813" t="s">
        <v>5907</v>
      </c>
      <c r="I443" s="813" t="s">
        <v>4070</v>
      </c>
      <c r="J443" s="813" t="s">
        <v>7655</v>
      </c>
      <c r="K443" s="813" t="s">
        <v>7610</v>
      </c>
      <c r="L443" s="813" t="s">
        <v>3863</v>
      </c>
      <c r="M443" s="813" t="s">
        <v>3127</v>
      </c>
      <c r="N443" s="813" t="s">
        <v>8289</v>
      </c>
      <c r="O443" s="813" t="s">
        <v>3883</v>
      </c>
      <c r="P443" s="813" t="s">
        <v>8290</v>
      </c>
      <c r="Q443" s="813" t="s">
        <v>8291</v>
      </c>
      <c r="R443" s="813">
        <v>1</v>
      </c>
      <c r="S443" s="813" t="s">
        <v>7615</v>
      </c>
      <c r="T443" s="813" t="s">
        <v>6895</v>
      </c>
    </row>
    <row r="444" spans="1:20" ht="15" customHeight="1" x14ac:dyDescent="0.35">
      <c r="A444" s="794" t="s">
        <v>7659</v>
      </c>
      <c r="B444" s="794" t="s">
        <v>3857</v>
      </c>
      <c r="C444" s="812" t="s">
        <v>1173</v>
      </c>
      <c r="D444" s="825"/>
      <c r="E444" s="825"/>
      <c r="F444" s="828">
        <v>46813</v>
      </c>
      <c r="G444" s="814" t="s">
        <v>3858</v>
      </c>
      <c r="H444" s="813" t="s">
        <v>5907</v>
      </c>
      <c r="I444" s="813" t="s">
        <v>4070</v>
      </c>
      <c r="J444" s="813" t="s">
        <v>7655</v>
      </c>
      <c r="K444" s="813" t="s">
        <v>7610</v>
      </c>
      <c r="L444" s="813" t="s">
        <v>3863</v>
      </c>
      <c r="M444" s="813" t="s">
        <v>3127</v>
      </c>
      <c r="N444" s="813" t="s">
        <v>8292</v>
      </c>
      <c r="O444" s="813" t="s">
        <v>3883</v>
      </c>
      <c r="P444" s="813" t="s">
        <v>8293</v>
      </c>
      <c r="Q444" s="813" t="s">
        <v>8294</v>
      </c>
      <c r="R444" s="813">
        <v>1</v>
      </c>
      <c r="S444" s="813" t="s">
        <v>7615</v>
      </c>
      <c r="T444" s="813" t="s">
        <v>6895</v>
      </c>
    </row>
    <row r="445" spans="1:20" ht="15" customHeight="1" x14ac:dyDescent="0.35">
      <c r="A445" s="803" t="s">
        <v>8198</v>
      </c>
      <c r="B445" s="803"/>
      <c r="C445" s="803"/>
      <c r="D445" s="803"/>
      <c r="E445" s="803"/>
      <c r="F445" s="803"/>
      <c r="G445" s="803" t="s">
        <v>3855</v>
      </c>
      <c r="H445" s="794"/>
      <c r="I445" s="794"/>
      <c r="J445" s="794"/>
      <c r="K445" s="794"/>
      <c r="L445" s="794"/>
      <c r="M445" s="794"/>
      <c r="N445" s="794"/>
      <c r="O445" s="794"/>
      <c r="P445" s="794"/>
      <c r="Q445" s="794"/>
      <c r="R445" s="794"/>
      <c r="S445" s="794"/>
      <c r="T445" s="794"/>
    </row>
    <row r="446" spans="1:20" ht="15" customHeight="1" x14ac:dyDescent="0.35">
      <c r="A446" s="794" t="s">
        <v>7664</v>
      </c>
      <c r="B446" s="794" t="s">
        <v>3857</v>
      </c>
      <c r="C446" s="812" t="s">
        <v>3913</v>
      </c>
      <c r="D446" s="825"/>
      <c r="E446" s="825"/>
      <c r="F446" s="825">
        <v>3</v>
      </c>
      <c r="G446" s="814" t="s">
        <v>3858</v>
      </c>
      <c r="H446" s="813" t="s">
        <v>5907</v>
      </c>
      <c r="I446" s="813" t="s">
        <v>4070</v>
      </c>
      <c r="J446" s="813" t="s">
        <v>7665</v>
      </c>
      <c r="K446" s="813" t="s">
        <v>7610</v>
      </c>
      <c r="L446" s="813" t="s">
        <v>3863</v>
      </c>
      <c r="M446" s="813" t="s">
        <v>3127</v>
      </c>
      <c r="N446" s="813" t="s">
        <v>8295</v>
      </c>
      <c r="O446" s="813" t="s">
        <v>3883</v>
      </c>
      <c r="P446" s="813" t="s">
        <v>8296</v>
      </c>
      <c r="Q446" s="813" t="s">
        <v>8297</v>
      </c>
      <c r="R446" s="813">
        <v>1</v>
      </c>
      <c r="S446" s="813" t="s">
        <v>7615</v>
      </c>
      <c r="T446" s="813" t="s">
        <v>6895</v>
      </c>
    </row>
    <row r="447" spans="1:20" ht="15" customHeight="1" x14ac:dyDescent="0.35">
      <c r="A447" s="794" t="s">
        <v>7669</v>
      </c>
      <c r="B447" s="794" t="s">
        <v>3857</v>
      </c>
      <c r="C447" s="812" t="s">
        <v>3913</v>
      </c>
      <c r="D447" s="825"/>
      <c r="E447" s="825"/>
      <c r="F447" s="825">
        <v>2</v>
      </c>
      <c r="G447" s="814" t="s">
        <v>3858</v>
      </c>
      <c r="H447" s="813" t="s">
        <v>5907</v>
      </c>
      <c r="I447" s="813" t="s">
        <v>4070</v>
      </c>
      <c r="J447" s="813" t="s">
        <v>7665</v>
      </c>
      <c r="K447" s="813" t="s">
        <v>7610</v>
      </c>
      <c r="L447" s="813" t="s">
        <v>3863</v>
      </c>
      <c r="M447" s="813" t="s">
        <v>3127</v>
      </c>
      <c r="N447" s="813" t="s">
        <v>8298</v>
      </c>
      <c r="O447" s="813" t="s">
        <v>3883</v>
      </c>
      <c r="P447" s="813" t="s">
        <v>8299</v>
      </c>
      <c r="Q447" s="813" t="s">
        <v>8300</v>
      </c>
      <c r="R447" s="813">
        <v>1</v>
      </c>
      <c r="S447" s="813" t="s">
        <v>7615</v>
      </c>
      <c r="T447" s="813" t="s">
        <v>6895</v>
      </c>
    </row>
    <row r="448" spans="1:20" ht="15" customHeight="1" x14ac:dyDescent="0.35">
      <c r="A448" s="794" t="s">
        <v>7673</v>
      </c>
      <c r="B448" s="794" t="s">
        <v>3857</v>
      </c>
      <c r="C448" s="812" t="s">
        <v>3913</v>
      </c>
      <c r="D448" s="825"/>
      <c r="E448" s="825"/>
      <c r="F448" s="825">
        <v>0.25</v>
      </c>
      <c r="G448" s="814" t="s">
        <v>3858</v>
      </c>
      <c r="H448" s="813" t="s">
        <v>5907</v>
      </c>
      <c r="I448" s="813" t="s">
        <v>4070</v>
      </c>
      <c r="J448" s="813" t="s">
        <v>7665</v>
      </c>
      <c r="K448" s="813" t="s">
        <v>7610</v>
      </c>
      <c r="L448" s="813" t="s">
        <v>3863</v>
      </c>
      <c r="M448" s="813" t="s">
        <v>3127</v>
      </c>
      <c r="N448" s="813" t="s">
        <v>8301</v>
      </c>
      <c r="O448" s="813" t="s">
        <v>3883</v>
      </c>
      <c r="P448" s="813" t="s">
        <v>8302</v>
      </c>
      <c r="Q448" s="813" t="s">
        <v>8303</v>
      </c>
      <c r="R448" s="813">
        <v>1</v>
      </c>
      <c r="S448" s="813" t="s">
        <v>7615</v>
      </c>
      <c r="T448" s="813" t="s">
        <v>6895</v>
      </c>
    </row>
    <row r="449" spans="1:20" ht="21" customHeight="1" x14ac:dyDescent="0.35">
      <c r="A449" s="801" t="s">
        <v>8304</v>
      </c>
      <c r="B449" s="801" t="s">
        <v>8305</v>
      </c>
      <c r="C449" s="801"/>
      <c r="D449" s="801"/>
      <c r="E449" s="801"/>
      <c r="F449" s="801"/>
      <c r="G449" s="801" t="s">
        <v>3745</v>
      </c>
      <c r="H449" s="794"/>
      <c r="I449" s="794"/>
      <c r="J449" s="794"/>
      <c r="K449" s="794"/>
      <c r="L449" s="794"/>
      <c r="M449" s="794"/>
      <c r="N449" s="794"/>
      <c r="O449" s="794"/>
      <c r="P449" s="794"/>
      <c r="Q449" s="794"/>
      <c r="R449" s="794"/>
      <c r="S449" s="794"/>
      <c r="T449" s="794"/>
    </row>
    <row r="450" spans="1:20" ht="15" customHeight="1" x14ac:dyDescent="0.35">
      <c r="A450" s="802" t="s">
        <v>6887</v>
      </c>
      <c r="B450" s="802"/>
      <c r="C450" s="802"/>
      <c r="D450" s="802"/>
      <c r="E450" s="802"/>
      <c r="F450" s="802"/>
      <c r="G450" s="802" t="s">
        <v>8306</v>
      </c>
      <c r="H450" s="794"/>
      <c r="I450" s="794"/>
      <c r="J450" s="794"/>
      <c r="K450" s="794"/>
      <c r="L450" s="794"/>
      <c r="M450" s="794"/>
      <c r="N450" s="794"/>
      <c r="O450" s="794"/>
      <c r="P450" s="794"/>
      <c r="Q450" s="794"/>
      <c r="R450" s="794"/>
      <c r="S450" s="794"/>
      <c r="T450" s="794"/>
    </row>
    <row r="451" spans="1:20" ht="15" customHeight="1" x14ac:dyDescent="0.35">
      <c r="A451" s="803" t="s">
        <v>8307</v>
      </c>
      <c r="B451" s="803"/>
      <c r="C451" s="803"/>
      <c r="D451" s="803"/>
      <c r="E451" s="803"/>
      <c r="F451" s="803"/>
      <c r="G451" s="803" t="s">
        <v>8306</v>
      </c>
      <c r="H451" s="794"/>
      <c r="I451" s="794"/>
      <c r="J451" s="794"/>
      <c r="K451" s="794"/>
      <c r="L451" s="794"/>
      <c r="M451" s="794"/>
      <c r="N451" s="794"/>
      <c r="O451" s="794"/>
      <c r="P451" s="794"/>
      <c r="Q451" s="794"/>
      <c r="R451" s="794"/>
      <c r="S451" s="794"/>
      <c r="T451" s="794"/>
    </row>
    <row r="452" spans="1:20" ht="15" customHeight="1" x14ac:dyDescent="0.35">
      <c r="A452" s="794" t="s">
        <v>8308</v>
      </c>
      <c r="B452" s="794" t="s">
        <v>3857</v>
      </c>
      <c r="C452" s="812" t="s">
        <v>5237</v>
      </c>
      <c r="D452" s="825">
        <v>1145460</v>
      </c>
      <c r="E452" s="825"/>
      <c r="F452" s="826"/>
      <c r="G452" s="814" t="s">
        <v>3858</v>
      </c>
      <c r="H452" s="813" t="s">
        <v>5928</v>
      </c>
      <c r="I452" s="813" t="s">
        <v>3960</v>
      </c>
      <c r="J452" s="813" t="s">
        <v>8309</v>
      </c>
      <c r="K452" s="813" t="s">
        <v>5928</v>
      </c>
      <c r="L452" s="813" t="s">
        <v>3863</v>
      </c>
      <c r="M452" s="813" t="s">
        <v>3205</v>
      </c>
      <c r="N452" s="813" t="s">
        <v>8310</v>
      </c>
      <c r="O452" s="813" t="s">
        <v>4264</v>
      </c>
      <c r="P452" s="813" t="s">
        <v>8311</v>
      </c>
      <c r="Q452" s="813" t="s">
        <v>8312</v>
      </c>
      <c r="R452" s="813">
        <v>2</v>
      </c>
      <c r="S452" s="813" t="s">
        <v>3928</v>
      </c>
      <c r="T452" s="813" t="s">
        <v>6895</v>
      </c>
    </row>
    <row r="453" spans="1:20" ht="15" customHeight="1" x14ac:dyDescent="0.35">
      <c r="A453" s="794" t="s">
        <v>8313</v>
      </c>
      <c r="B453" s="794" t="s">
        <v>3857</v>
      </c>
      <c r="C453" s="812" t="s">
        <v>5237</v>
      </c>
      <c r="D453" s="825">
        <v>-129858</v>
      </c>
      <c r="E453" s="825"/>
      <c r="F453" s="826"/>
      <c r="G453" s="814" t="s">
        <v>3858</v>
      </c>
      <c r="H453" s="813" t="s">
        <v>5928</v>
      </c>
      <c r="I453" s="813" t="s">
        <v>3960</v>
      </c>
      <c r="J453" s="813" t="s">
        <v>8309</v>
      </c>
      <c r="K453" s="813" t="s">
        <v>5928</v>
      </c>
      <c r="L453" s="813" t="s">
        <v>3863</v>
      </c>
      <c r="M453" s="813" t="s">
        <v>3205</v>
      </c>
      <c r="N453" s="813" t="s">
        <v>8314</v>
      </c>
      <c r="O453" s="813" t="s">
        <v>4480</v>
      </c>
      <c r="P453" s="813" t="s">
        <v>8315</v>
      </c>
      <c r="Q453" s="813" t="s">
        <v>8316</v>
      </c>
      <c r="R453" s="813">
        <v>2</v>
      </c>
      <c r="S453" s="813" t="s">
        <v>3928</v>
      </c>
      <c r="T453" s="813" t="s">
        <v>6895</v>
      </c>
    </row>
    <row r="454" spans="1:20" ht="15" customHeight="1" x14ac:dyDescent="0.35">
      <c r="A454" s="794" t="s">
        <v>8317</v>
      </c>
      <c r="B454" s="794" t="s">
        <v>3857</v>
      </c>
      <c r="C454" s="812" t="s">
        <v>5237</v>
      </c>
      <c r="D454" s="825">
        <v>287602</v>
      </c>
      <c r="E454" s="825"/>
      <c r="F454" s="826"/>
      <c r="G454" s="814" t="s">
        <v>3858</v>
      </c>
      <c r="H454" s="813" t="s">
        <v>5928</v>
      </c>
      <c r="I454" s="813" t="s">
        <v>3960</v>
      </c>
      <c r="J454" s="813" t="s">
        <v>8309</v>
      </c>
      <c r="K454" s="813" t="s">
        <v>5928</v>
      </c>
      <c r="L454" s="813" t="s">
        <v>3863</v>
      </c>
      <c r="M454" s="813" t="s">
        <v>3205</v>
      </c>
      <c r="N454" s="813" t="s">
        <v>8318</v>
      </c>
      <c r="O454" s="813" t="s">
        <v>3883</v>
      </c>
      <c r="P454" s="813" t="s">
        <v>8319</v>
      </c>
      <c r="Q454" s="813" t="s">
        <v>8320</v>
      </c>
      <c r="R454" s="813">
        <v>2</v>
      </c>
      <c r="S454" s="813" t="s">
        <v>3928</v>
      </c>
      <c r="T454" s="813" t="s">
        <v>6895</v>
      </c>
    </row>
    <row r="455" spans="1:20" ht="15" customHeight="1" x14ac:dyDescent="0.35">
      <c r="A455" s="794" t="s">
        <v>8321</v>
      </c>
      <c r="B455" s="794" t="s">
        <v>3857</v>
      </c>
      <c r="C455" s="812" t="s">
        <v>5237</v>
      </c>
      <c r="D455" s="825">
        <v>286074</v>
      </c>
      <c r="E455" s="825"/>
      <c r="F455" s="826"/>
      <c r="G455" s="814" t="s">
        <v>3858</v>
      </c>
      <c r="H455" s="813" t="s">
        <v>5928</v>
      </c>
      <c r="I455" s="813" t="s">
        <v>3960</v>
      </c>
      <c r="J455" s="813" t="s">
        <v>8309</v>
      </c>
      <c r="K455" s="813" t="s">
        <v>5928</v>
      </c>
      <c r="L455" s="813" t="s">
        <v>3863</v>
      </c>
      <c r="M455" s="813" t="s">
        <v>3205</v>
      </c>
      <c r="N455" s="813" t="s">
        <v>8322</v>
      </c>
      <c r="O455" s="813" t="s">
        <v>3883</v>
      </c>
      <c r="P455" s="813" t="s">
        <v>8323</v>
      </c>
      <c r="Q455" s="813" t="s">
        <v>8324</v>
      </c>
      <c r="R455" s="813">
        <v>2</v>
      </c>
      <c r="S455" s="813" t="s">
        <v>3928</v>
      </c>
      <c r="T455" s="813" t="s">
        <v>6895</v>
      </c>
    </row>
    <row r="456" spans="1:20" ht="15" customHeight="1" x14ac:dyDescent="0.35">
      <c r="A456" s="794" t="s">
        <v>8325</v>
      </c>
      <c r="B456" s="794" t="s">
        <v>3857</v>
      </c>
      <c r="C456" s="812" t="s">
        <v>5237</v>
      </c>
      <c r="D456" s="825">
        <v>284297</v>
      </c>
      <c r="E456" s="825"/>
      <c r="F456" s="826"/>
      <c r="G456" s="814" t="s">
        <v>3858</v>
      </c>
      <c r="H456" s="813" t="s">
        <v>5928</v>
      </c>
      <c r="I456" s="813" t="s">
        <v>3960</v>
      </c>
      <c r="J456" s="813" t="s">
        <v>8309</v>
      </c>
      <c r="K456" s="813" t="s">
        <v>5928</v>
      </c>
      <c r="L456" s="813" t="s">
        <v>3863</v>
      </c>
      <c r="M456" s="813" t="s">
        <v>3205</v>
      </c>
      <c r="N456" s="813" t="s">
        <v>8326</v>
      </c>
      <c r="O456" s="813" t="s">
        <v>3883</v>
      </c>
      <c r="P456" s="813" t="s">
        <v>8327</v>
      </c>
      <c r="Q456" s="813" t="s">
        <v>8328</v>
      </c>
      <c r="R456" s="813">
        <v>2</v>
      </c>
      <c r="S456" s="813" t="s">
        <v>3928</v>
      </c>
      <c r="T456" s="813" t="s">
        <v>6895</v>
      </c>
    </row>
    <row r="457" spans="1:20" ht="15" customHeight="1" x14ac:dyDescent="0.35">
      <c r="A457" s="794" t="s">
        <v>8329</v>
      </c>
      <c r="B457" s="794" t="s">
        <v>3857</v>
      </c>
      <c r="C457" s="812" t="s">
        <v>5237</v>
      </c>
      <c r="D457" s="825">
        <v>282260</v>
      </c>
      <c r="E457" s="825"/>
      <c r="F457" s="826"/>
      <c r="G457" s="814" t="s">
        <v>3858</v>
      </c>
      <c r="H457" s="813" t="s">
        <v>5928</v>
      </c>
      <c r="I457" s="813" t="s">
        <v>3960</v>
      </c>
      <c r="J457" s="813" t="s">
        <v>8309</v>
      </c>
      <c r="K457" s="813" t="s">
        <v>5928</v>
      </c>
      <c r="L457" s="813" t="s">
        <v>3863</v>
      </c>
      <c r="M457" s="813" t="s">
        <v>3205</v>
      </c>
      <c r="N457" s="813" t="s">
        <v>8330</v>
      </c>
      <c r="O457" s="813" t="s">
        <v>3883</v>
      </c>
      <c r="P457" s="813" t="s">
        <v>8331</v>
      </c>
      <c r="Q457" s="813" t="s">
        <v>8332</v>
      </c>
      <c r="R457" s="813">
        <v>2</v>
      </c>
      <c r="S457" s="813" t="s">
        <v>3928</v>
      </c>
      <c r="T457" s="813" t="s">
        <v>6895</v>
      </c>
    </row>
    <row r="458" spans="1:20" ht="15" customHeight="1" x14ac:dyDescent="0.35">
      <c r="A458" s="794" t="s">
        <v>8333</v>
      </c>
      <c r="B458" s="794" t="s">
        <v>3857</v>
      </c>
      <c r="C458" s="812" t="s">
        <v>5237</v>
      </c>
      <c r="D458" s="825">
        <v>279950</v>
      </c>
      <c r="E458" s="825"/>
      <c r="F458" s="826"/>
      <c r="G458" s="814" t="s">
        <v>3858</v>
      </c>
      <c r="H458" s="813" t="s">
        <v>5928</v>
      </c>
      <c r="I458" s="813" t="s">
        <v>3960</v>
      </c>
      <c r="J458" s="813" t="s">
        <v>8309</v>
      </c>
      <c r="K458" s="813" t="s">
        <v>5928</v>
      </c>
      <c r="L458" s="813" t="s">
        <v>3863</v>
      </c>
      <c r="M458" s="813" t="s">
        <v>3205</v>
      </c>
      <c r="N458" s="813" t="s">
        <v>8334</v>
      </c>
      <c r="O458" s="813" t="s">
        <v>3883</v>
      </c>
      <c r="P458" s="813" t="s">
        <v>8335</v>
      </c>
      <c r="Q458" s="813" t="s">
        <v>8336</v>
      </c>
      <c r="R458" s="813">
        <v>2</v>
      </c>
      <c r="S458" s="813" t="s">
        <v>3928</v>
      </c>
      <c r="T458" s="813" t="s">
        <v>6895</v>
      </c>
    </row>
    <row r="459" spans="1:20" ht="15" customHeight="1" x14ac:dyDescent="0.35">
      <c r="A459" s="802" t="s">
        <v>7606</v>
      </c>
      <c r="B459" s="802"/>
      <c r="C459" s="802"/>
      <c r="D459" s="802"/>
      <c r="E459" s="802"/>
      <c r="F459" s="802"/>
      <c r="G459" s="802" t="s">
        <v>8337</v>
      </c>
      <c r="H459" s="794"/>
      <c r="I459" s="794"/>
      <c r="J459" s="794"/>
      <c r="K459" s="794"/>
      <c r="L459" s="794"/>
      <c r="M459" s="794"/>
      <c r="N459" s="794"/>
      <c r="O459" s="794"/>
      <c r="P459" s="794"/>
      <c r="Q459" s="794"/>
      <c r="R459" s="794"/>
      <c r="S459" s="794"/>
      <c r="T459" s="794"/>
    </row>
    <row r="460" spans="1:20" ht="15" customHeight="1" x14ac:dyDescent="0.35">
      <c r="A460" s="803" t="s">
        <v>8338</v>
      </c>
      <c r="B460" s="803"/>
      <c r="C460" s="803"/>
      <c r="D460" s="803"/>
      <c r="E460" s="803"/>
      <c r="F460" s="803"/>
      <c r="G460" s="803" t="s">
        <v>5186</v>
      </c>
      <c r="H460" s="794"/>
      <c r="I460" s="794"/>
      <c r="J460" s="794"/>
      <c r="K460" s="794"/>
      <c r="L460" s="794"/>
      <c r="M460" s="794"/>
      <c r="N460" s="794"/>
      <c r="O460" s="794"/>
      <c r="P460" s="794"/>
      <c r="Q460" s="794"/>
      <c r="R460" s="794"/>
      <c r="S460" s="794"/>
      <c r="T460" s="794"/>
    </row>
    <row r="461" spans="1:20" ht="15" customHeight="1" x14ac:dyDescent="0.35">
      <c r="A461" s="794" t="s">
        <v>8339</v>
      </c>
      <c r="B461" s="794" t="s">
        <v>3857</v>
      </c>
      <c r="C461" s="812" t="s">
        <v>3880</v>
      </c>
      <c r="D461" s="825"/>
      <c r="E461" s="825"/>
      <c r="F461" s="825">
        <v>0.15</v>
      </c>
      <c r="G461" s="814" t="s">
        <v>3858</v>
      </c>
      <c r="H461" s="813" t="s">
        <v>5928</v>
      </c>
      <c r="I461" s="813" t="s">
        <v>4070</v>
      </c>
      <c r="J461" s="813" t="s">
        <v>8340</v>
      </c>
      <c r="K461" s="813" t="s">
        <v>5928</v>
      </c>
      <c r="L461" s="813" t="s">
        <v>3863</v>
      </c>
      <c r="M461" s="813" t="s">
        <v>3205</v>
      </c>
      <c r="N461" s="813" t="s">
        <v>8341</v>
      </c>
      <c r="O461" s="813" t="s">
        <v>3883</v>
      </c>
      <c r="P461" s="813" t="s">
        <v>8342</v>
      </c>
      <c r="Q461" s="813" t="s">
        <v>8343</v>
      </c>
      <c r="R461" s="813">
        <v>2</v>
      </c>
      <c r="S461" s="813" t="s">
        <v>3928</v>
      </c>
      <c r="T461" s="813" t="s">
        <v>6895</v>
      </c>
    </row>
    <row r="462" spans="1:20" ht="15" customHeight="1" x14ac:dyDescent="0.35">
      <c r="A462" s="794" t="s">
        <v>8344</v>
      </c>
      <c r="B462" s="794" t="s">
        <v>3857</v>
      </c>
      <c r="C462" s="812" t="s">
        <v>3880</v>
      </c>
      <c r="D462" s="825"/>
      <c r="E462" s="825"/>
      <c r="F462" s="825">
        <v>0.3</v>
      </c>
      <c r="G462" s="814" t="s">
        <v>3858</v>
      </c>
      <c r="H462" s="813" t="s">
        <v>5928</v>
      </c>
      <c r="I462" s="813" t="s">
        <v>4070</v>
      </c>
      <c r="J462" s="813" t="s">
        <v>8340</v>
      </c>
      <c r="K462" s="813" t="s">
        <v>5928</v>
      </c>
      <c r="L462" s="813" t="s">
        <v>3863</v>
      </c>
      <c r="M462" s="813" t="s">
        <v>3205</v>
      </c>
      <c r="N462" s="813" t="s">
        <v>8345</v>
      </c>
      <c r="O462" s="813" t="s">
        <v>3883</v>
      </c>
      <c r="P462" s="813" t="s">
        <v>8346</v>
      </c>
      <c r="Q462" s="813" t="s">
        <v>8347</v>
      </c>
      <c r="R462" s="813">
        <v>1</v>
      </c>
      <c r="S462" s="813" t="s">
        <v>3928</v>
      </c>
      <c r="T462" s="813" t="s">
        <v>6895</v>
      </c>
    </row>
    <row r="463" spans="1:20" ht="15" customHeight="1" x14ac:dyDescent="0.35">
      <c r="A463" s="794" t="s">
        <v>8348</v>
      </c>
      <c r="B463" s="794" t="s">
        <v>3857</v>
      </c>
      <c r="C463" s="812" t="s">
        <v>3880</v>
      </c>
      <c r="D463" s="825"/>
      <c r="E463" s="825"/>
      <c r="F463" s="825">
        <v>0.35</v>
      </c>
      <c r="G463" s="814" t="s">
        <v>3858</v>
      </c>
      <c r="H463" s="813" t="s">
        <v>5928</v>
      </c>
      <c r="I463" s="813" t="s">
        <v>4070</v>
      </c>
      <c r="J463" s="813" t="s">
        <v>8340</v>
      </c>
      <c r="K463" s="813" t="s">
        <v>5928</v>
      </c>
      <c r="L463" s="813" t="s">
        <v>3863</v>
      </c>
      <c r="M463" s="813" t="s">
        <v>3205</v>
      </c>
      <c r="N463" s="813" t="s">
        <v>8349</v>
      </c>
      <c r="O463" s="813" t="s">
        <v>3883</v>
      </c>
      <c r="P463" s="813" t="s">
        <v>8350</v>
      </c>
      <c r="Q463" s="813" t="s">
        <v>8351</v>
      </c>
      <c r="R463" s="813">
        <v>1</v>
      </c>
      <c r="S463" s="813" t="s">
        <v>3928</v>
      </c>
      <c r="T463" s="813" t="s">
        <v>6895</v>
      </c>
    </row>
    <row r="464" spans="1:20" ht="15" customHeight="1" x14ac:dyDescent="0.35">
      <c r="A464" s="794" t="s">
        <v>8352</v>
      </c>
      <c r="B464" s="794" t="s">
        <v>3857</v>
      </c>
      <c r="C464" s="812" t="s">
        <v>3880</v>
      </c>
      <c r="D464" s="825"/>
      <c r="E464" s="825"/>
      <c r="F464" s="825">
        <v>0.05</v>
      </c>
      <c r="G464" s="814" t="s">
        <v>3858</v>
      </c>
      <c r="H464" s="813" t="s">
        <v>5928</v>
      </c>
      <c r="I464" s="813" t="s">
        <v>4070</v>
      </c>
      <c r="J464" s="813" t="s">
        <v>8340</v>
      </c>
      <c r="K464" s="813" t="s">
        <v>5928</v>
      </c>
      <c r="L464" s="813" t="s">
        <v>3863</v>
      </c>
      <c r="M464" s="813" t="s">
        <v>3205</v>
      </c>
      <c r="N464" s="813" t="s">
        <v>8353</v>
      </c>
      <c r="O464" s="813" t="s">
        <v>3883</v>
      </c>
      <c r="P464" s="813" t="s">
        <v>8354</v>
      </c>
      <c r="Q464" s="813" t="s">
        <v>8355</v>
      </c>
      <c r="R464" s="813">
        <v>1</v>
      </c>
      <c r="S464" s="813" t="s">
        <v>3928</v>
      </c>
      <c r="T464" s="813" t="s">
        <v>6895</v>
      </c>
    </row>
    <row r="465" spans="1:20" ht="15" customHeight="1" x14ac:dyDescent="0.35">
      <c r="A465" s="794" t="s">
        <v>8356</v>
      </c>
      <c r="B465" s="794" t="s">
        <v>3857</v>
      </c>
      <c r="C465" s="812" t="s">
        <v>3880</v>
      </c>
      <c r="D465" s="825"/>
      <c r="E465" s="825"/>
      <c r="F465" s="825">
        <v>1</v>
      </c>
      <c r="G465" s="814" t="s">
        <v>3858</v>
      </c>
      <c r="H465" s="813" t="s">
        <v>5928</v>
      </c>
      <c r="I465" s="813" t="s">
        <v>4070</v>
      </c>
      <c r="J465" s="813" t="s">
        <v>8340</v>
      </c>
      <c r="K465" s="813" t="s">
        <v>5928</v>
      </c>
      <c r="L465" s="813" t="s">
        <v>3863</v>
      </c>
      <c r="M465" s="813" t="s">
        <v>3205</v>
      </c>
      <c r="N465" s="813" t="s">
        <v>8357</v>
      </c>
      <c r="O465" s="813" t="s">
        <v>3883</v>
      </c>
      <c r="P465" s="813" t="s">
        <v>8358</v>
      </c>
      <c r="Q465" s="813" t="s">
        <v>8359</v>
      </c>
      <c r="R465" s="813">
        <v>1</v>
      </c>
      <c r="S465" s="813" t="s">
        <v>3928</v>
      </c>
      <c r="T465" s="813" t="s">
        <v>6895</v>
      </c>
    </row>
    <row r="466" spans="1:20" ht="15" customHeight="1" x14ac:dyDescent="0.35">
      <c r="A466" s="803" t="s">
        <v>8105</v>
      </c>
      <c r="B466" s="803"/>
      <c r="C466" s="803"/>
      <c r="D466" s="803"/>
      <c r="E466" s="803"/>
      <c r="F466" s="803"/>
      <c r="G466" s="803" t="s">
        <v>3946</v>
      </c>
      <c r="H466" s="794"/>
      <c r="I466" s="794"/>
      <c r="J466" s="794"/>
      <c r="K466" s="794"/>
      <c r="L466" s="794"/>
      <c r="M466" s="794"/>
      <c r="N466" s="794"/>
      <c r="O466" s="794"/>
      <c r="P466" s="794"/>
      <c r="Q466" s="794"/>
      <c r="R466" s="794"/>
      <c r="S466" s="794"/>
      <c r="T466" s="794"/>
    </row>
    <row r="467" spans="1:20" ht="15" customHeight="1" x14ac:dyDescent="0.35">
      <c r="A467" s="794" t="s">
        <v>8360</v>
      </c>
      <c r="B467" s="794" t="s">
        <v>3857</v>
      </c>
      <c r="C467" s="812" t="s">
        <v>3842</v>
      </c>
      <c r="D467" s="825"/>
      <c r="E467" s="825"/>
      <c r="F467" s="826" t="s">
        <v>8361</v>
      </c>
      <c r="G467" s="814" t="s">
        <v>3858</v>
      </c>
      <c r="H467" s="813" t="s">
        <v>5928</v>
      </c>
      <c r="I467" s="813" t="s">
        <v>4070</v>
      </c>
      <c r="J467" s="813" t="s">
        <v>7609</v>
      </c>
      <c r="K467" s="813" t="s">
        <v>7610</v>
      </c>
      <c r="L467" s="813" t="s">
        <v>3863</v>
      </c>
      <c r="M467" s="813" t="s">
        <v>3127</v>
      </c>
      <c r="N467" s="813" t="s">
        <v>8362</v>
      </c>
      <c r="O467" s="813" t="s">
        <v>7612</v>
      </c>
      <c r="P467" s="813" t="s">
        <v>8363</v>
      </c>
      <c r="Q467" s="813" t="s">
        <v>8364</v>
      </c>
      <c r="R467" s="813">
        <v>1</v>
      </c>
      <c r="S467" s="813" t="s">
        <v>7615</v>
      </c>
      <c r="T467" s="813" t="s">
        <v>6895</v>
      </c>
    </row>
    <row r="468" spans="1:20" ht="15" customHeight="1" x14ac:dyDescent="0.35">
      <c r="A468" s="803" t="s">
        <v>8110</v>
      </c>
      <c r="B468" s="803"/>
      <c r="C468" s="803"/>
      <c r="D468" s="803"/>
      <c r="E468" s="803"/>
      <c r="F468" s="803"/>
      <c r="G468" s="803" t="s">
        <v>3946</v>
      </c>
      <c r="H468" s="794"/>
      <c r="I468" s="794"/>
      <c r="J468" s="794"/>
      <c r="K468" s="794"/>
      <c r="L468" s="794"/>
      <c r="M468" s="794"/>
      <c r="N468" s="794"/>
      <c r="O468" s="794"/>
      <c r="P468" s="794"/>
      <c r="Q468" s="794"/>
      <c r="R468" s="794"/>
      <c r="S468" s="794"/>
      <c r="T468" s="794"/>
    </row>
    <row r="469" spans="1:20" ht="15" customHeight="1" x14ac:dyDescent="0.35">
      <c r="A469" s="794" t="s">
        <v>8365</v>
      </c>
      <c r="B469" s="794" t="s">
        <v>3857</v>
      </c>
      <c r="C469" s="812" t="s">
        <v>3842</v>
      </c>
      <c r="D469" s="825"/>
      <c r="E469" s="825"/>
      <c r="F469" s="826" t="s">
        <v>8011</v>
      </c>
      <c r="G469" s="814" t="s">
        <v>3858</v>
      </c>
      <c r="H469" s="813" t="s">
        <v>5928</v>
      </c>
      <c r="I469" s="813" t="s">
        <v>4070</v>
      </c>
      <c r="J469" s="813" t="s">
        <v>7618</v>
      </c>
      <c r="K469" s="813" t="s">
        <v>7610</v>
      </c>
      <c r="L469" s="813" t="s">
        <v>3863</v>
      </c>
      <c r="M469" s="813" t="s">
        <v>3127</v>
      </c>
      <c r="N469" s="813" t="s">
        <v>8366</v>
      </c>
      <c r="O469" s="813" t="s">
        <v>8367</v>
      </c>
      <c r="P469" s="813" t="s">
        <v>8368</v>
      </c>
      <c r="Q469" s="813" t="s">
        <v>8369</v>
      </c>
      <c r="R469" s="813">
        <v>1</v>
      </c>
      <c r="S469" s="813" t="s">
        <v>7615</v>
      </c>
      <c r="T469" s="813" t="s">
        <v>6895</v>
      </c>
    </row>
    <row r="470" spans="1:20" ht="15" customHeight="1" x14ac:dyDescent="0.35">
      <c r="A470" s="803" t="s">
        <v>8370</v>
      </c>
      <c r="B470" s="803"/>
      <c r="C470" s="803"/>
      <c r="D470" s="803"/>
      <c r="E470" s="803"/>
      <c r="F470" s="803"/>
      <c r="G470" s="803" t="s">
        <v>3946</v>
      </c>
      <c r="H470" s="794"/>
      <c r="I470" s="794"/>
      <c r="J470" s="794"/>
      <c r="K470" s="794"/>
      <c r="L470" s="794"/>
      <c r="M470" s="794"/>
      <c r="N470" s="794"/>
      <c r="O470" s="794"/>
      <c r="P470" s="794"/>
      <c r="Q470" s="794"/>
      <c r="R470" s="794"/>
      <c r="S470" s="794"/>
      <c r="T470" s="794"/>
    </row>
    <row r="471" spans="1:20" ht="15" customHeight="1" x14ac:dyDescent="0.35">
      <c r="A471" s="794" t="s">
        <v>8016</v>
      </c>
      <c r="B471" s="794" t="s">
        <v>3857</v>
      </c>
      <c r="C471" s="812" t="s">
        <v>3913</v>
      </c>
      <c r="D471" s="825"/>
      <c r="E471" s="825"/>
      <c r="F471" s="825">
        <v>0</v>
      </c>
      <c r="G471" s="814" t="s">
        <v>3858</v>
      </c>
      <c r="H471" s="813" t="s">
        <v>5928</v>
      </c>
      <c r="I471" s="813" t="s">
        <v>4070</v>
      </c>
      <c r="J471" s="813" t="s">
        <v>7665</v>
      </c>
      <c r="K471" s="813" t="s">
        <v>7610</v>
      </c>
      <c r="L471" s="813" t="s">
        <v>3863</v>
      </c>
      <c r="M471" s="813" t="s">
        <v>3127</v>
      </c>
      <c r="N471" s="813" t="s">
        <v>8371</v>
      </c>
      <c r="O471" s="813" t="s">
        <v>3883</v>
      </c>
      <c r="P471" s="813" t="s">
        <v>8372</v>
      </c>
      <c r="Q471" s="813" t="s">
        <v>8373</v>
      </c>
      <c r="R471" s="813">
        <v>1</v>
      </c>
      <c r="S471" s="813" t="s">
        <v>7615</v>
      </c>
      <c r="T471" s="813" t="s">
        <v>6895</v>
      </c>
    </row>
    <row r="472" spans="1:20" ht="21" customHeight="1" x14ac:dyDescent="0.35">
      <c r="A472" s="801" t="s">
        <v>8374</v>
      </c>
      <c r="B472" s="801" t="s">
        <v>8375</v>
      </c>
      <c r="C472" s="801"/>
      <c r="D472" s="801"/>
      <c r="E472" s="801"/>
      <c r="F472" s="801"/>
      <c r="G472" s="801" t="s">
        <v>3745</v>
      </c>
      <c r="H472" s="794"/>
      <c r="I472" s="794"/>
      <c r="J472" s="794"/>
      <c r="K472" s="794"/>
      <c r="L472" s="794"/>
      <c r="M472" s="794"/>
      <c r="N472" s="794"/>
      <c r="O472" s="794"/>
      <c r="P472" s="794"/>
      <c r="Q472" s="794"/>
      <c r="R472" s="794"/>
      <c r="S472" s="794"/>
      <c r="T472" s="794"/>
    </row>
    <row r="473" spans="1:20" ht="15" customHeight="1" x14ac:dyDescent="0.35">
      <c r="A473" s="802" t="s">
        <v>7899</v>
      </c>
      <c r="B473" s="802"/>
      <c r="C473" s="802"/>
      <c r="D473" s="802"/>
      <c r="E473" s="802"/>
      <c r="F473" s="802"/>
      <c r="G473" s="802" t="s">
        <v>3853</v>
      </c>
      <c r="H473" s="794"/>
      <c r="I473" s="794"/>
      <c r="J473" s="794"/>
      <c r="K473" s="794"/>
      <c r="L473" s="794"/>
      <c r="M473" s="794"/>
      <c r="N473" s="794"/>
      <c r="O473" s="794"/>
      <c r="P473" s="794"/>
      <c r="Q473" s="794"/>
      <c r="R473" s="794"/>
      <c r="S473" s="794"/>
      <c r="T473" s="794"/>
    </row>
    <row r="474" spans="1:20" ht="15" customHeight="1" x14ac:dyDescent="0.35">
      <c r="A474" s="803" t="s">
        <v>8157</v>
      </c>
      <c r="B474" s="803"/>
      <c r="C474" s="803"/>
      <c r="D474" s="803"/>
      <c r="E474" s="803"/>
      <c r="F474" s="803"/>
      <c r="G474" s="803" t="s">
        <v>3946</v>
      </c>
      <c r="H474" s="794"/>
      <c r="I474" s="794"/>
      <c r="J474" s="794"/>
      <c r="K474" s="794"/>
      <c r="L474" s="794"/>
      <c r="M474" s="794"/>
      <c r="N474" s="794"/>
      <c r="O474" s="794"/>
      <c r="P474" s="794"/>
      <c r="Q474" s="794"/>
      <c r="R474" s="794"/>
      <c r="S474" s="794"/>
      <c r="T474" s="794"/>
    </row>
    <row r="475" spans="1:20" ht="28" customHeight="1" x14ac:dyDescent="0.35">
      <c r="A475" s="794" t="s">
        <v>8376</v>
      </c>
      <c r="B475" s="794" t="s">
        <v>3857</v>
      </c>
      <c r="C475" s="812" t="s">
        <v>3842</v>
      </c>
      <c r="D475" s="825"/>
      <c r="E475" s="825"/>
      <c r="F475" s="827" t="s">
        <v>8377</v>
      </c>
      <c r="G475" s="814" t="s">
        <v>3858</v>
      </c>
      <c r="H475" s="813" t="s">
        <v>5953</v>
      </c>
      <c r="I475" s="813" t="s">
        <v>4070</v>
      </c>
      <c r="J475" s="813" t="s">
        <v>7609</v>
      </c>
      <c r="K475" s="813" t="s">
        <v>7610</v>
      </c>
      <c r="L475" s="813" t="s">
        <v>3863</v>
      </c>
      <c r="M475" s="813" t="s">
        <v>3127</v>
      </c>
      <c r="N475" s="813" t="s">
        <v>8378</v>
      </c>
      <c r="O475" s="813" t="s">
        <v>7612</v>
      </c>
      <c r="P475" s="813" t="s">
        <v>8379</v>
      </c>
      <c r="Q475" s="813" t="s">
        <v>8380</v>
      </c>
      <c r="R475" s="813">
        <v>1</v>
      </c>
      <c r="S475" s="813" t="s">
        <v>7615</v>
      </c>
      <c r="T475" s="813" t="s">
        <v>6895</v>
      </c>
    </row>
    <row r="476" spans="1:20" ht="15" customHeight="1" x14ac:dyDescent="0.35">
      <c r="A476" s="803" t="s">
        <v>8162</v>
      </c>
      <c r="B476" s="803"/>
      <c r="C476" s="803"/>
      <c r="D476" s="803"/>
      <c r="E476" s="803"/>
      <c r="F476" s="803"/>
      <c r="G476" s="803" t="s">
        <v>3855</v>
      </c>
      <c r="H476" s="794"/>
      <c r="I476" s="794"/>
      <c r="J476" s="794"/>
      <c r="K476" s="794"/>
      <c r="L476" s="794"/>
      <c r="M476" s="794"/>
      <c r="N476" s="794"/>
      <c r="O476" s="794"/>
      <c r="P476" s="794"/>
      <c r="Q476" s="794"/>
      <c r="R476" s="794"/>
      <c r="S476" s="794"/>
      <c r="T476" s="794"/>
    </row>
    <row r="477" spans="1:20" ht="15" customHeight="1" x14ac:dyDescent="0.35">
      <c r="A477" s="794" t="s">
        <v>8381</v>
      </c>
      <c r="B477" s="794" t="s">
        <v>3857</v>
      </c>
      <c r="C477" s="812" t="s">
        <v>3913</v>
      </c>
      <c r="D477" s="825"/>
      <c r="E477" s="825"/>
      <c r="F477" s="825">
        <v>4</v>
      </c>
      <c r="G477" s="814" t="s">
        <v>3858</v>
      </c>
      <c r="H477" s="813" t="s">
        <v>5953</v>
      </c>
      <c r="I477" s="813" t="s">
        <v>4070</v>
      </c>
      <c r="J477" s="813" t="s">
        <v>7618</v>
      </c>
      <c r="K477" s="813" t="s">
        <v>7610</v>
      </c>
      <c r="L477" s="813" t="s">
        <v>3863</v>
      </c>
      <c r="M477" s="813" t="s">
        <v>3127</v>
      </c>
      <c r="N477" s="813" t="s">
        <v>8382</v>
      </c>
      <c r="O477" s="813" t="s">
        <v>3883</v>
      </c>
      <c r="P477" s="813" t="s">
        <v>8383</v>
      </c>
      <c r="Q477" s="813" t="s">
        <v>8384</v>
      </c>
      <c r="R477" s="813">
        <v>1</v>
      </c>
      <c r="S477" s="813" t="s">
        <v>7615</v>
      </c>
      <c r="T477" s="813" t="s">
        <v>6895</v>
      </c>
    </row>
    <row r="478" spans="1:20" ht="15" customHeight="1" x14ac:dyDescent="0.35">
      <c r="A478" s="794" t="s">
        <v>8385</v>
      </c>
      <c r="B478" s="794" t="s">
        <v>3857</v>
      </c>
      <c r="C478" s="812" t="s">
        <v>3842</v>
      </c>
      <c r="D478" s="825"/>
      <c r="E478" s="825"/>
      <c r="F478" s="826" t="s">
        <v>1800</v>
      </c>
      <c r="G478" s="814" t="s">
        <v>3858</v>
      </c>
      <c r="H478" s="813" t="s">
        <v>5953</v>
      </c>
      <c r="I478" s="813" t="s">
        <v>4070</v>
      </c>
      <c r="J478" s="813" t="s">
        <v>7618</v>
      </c>
      <c r="K478" s="813" t="s">
        <v>7610</v>
      </c>
      <c r="L478" s="813" t="s">
        <v>3863</v>
      </c>
      <c r="M478" s="813" t="s">
        <v>3127</v>
      </c>
      <c r="N478" s="813" t="s">
        <v>8386</v>
      </c>
      <c r="O478" s="813" t="s">
        <v>7612</v>
      </c>
      <c r="P478" s="813" t="s">
        <v>8387</v>
      </c>
      <c r="Q478" s="813" t="s">
        <v>8388</v>
      </c>
      <c r="R478" s="813">
        <v>1</v>
      </c>
      <c r="S478" s="813" t="s">
        <v>7615</v>
      </c>
      <c r="T478" s="813" t="s">
        <v>6895</v>
      </c>
    </row>
    <row r="479" spans="1:20" ht="15" customHeight="1" x14ac:dyDescent="0.35">
      <c r="A479" s="794" t="s">
        <v>8389</v>
      </c>
      <c r="B479" s="794" t="s">
        <v>3857</v>
      </c>
      <c r="C479" s="812" t="s">
        <v>3842</v>
      </c>
      <c r="D479" s="825"/>
      <c r="E479" s="825"/>
      <c r="F479" s="826" t="s">
        <v>7627</v>
      </c>
      <c r="G479" s="814" t="s">
        <v>3858</v>
      </c>
      <c r="H479" s="813" t="s">
        <v>5953</v>
      </c>
      <c r="I479" s="813" t="s">
        <v>4070</v>
      </c>
      <c r="J479" s="813" t="s">
        <v>7618</v>
      </c>
      <c r="K479" s="813" t="s">
        <v>7610</v>
      </c>
      <c r="L479" s="813" t="s">
        <v>3863</v>
      </c>
      <c r="M479" s="813" t="s">
        <v>3127</v>
      </c>
      <c r="N479" s="813" t="s">
        <v>8390</v>
      </c>
      <c r="O479" s="813" t="s">
        <v>7612</v>
      </c>
      <c r="P479" s="813" t="s">
        <v>8391</v>
      </c>
      <c r="Q479" s="813" t="s">
        <v>8392</v>
      </c>
      <c r="R479" s="813">
        <v>1</v>
      </c>
      <c r="S479" s="813" t="s">
        <v>7615</v>
      </c>
      <c r="T479" s="813" t="s">
        <v>6895</v>
      </c>
    </row>
    <row r="480" spans="1:20" ht="15" customHeight="1" x14ac:dyDescent="0.35">
      <c r="A480" s="803" t="s">
        <v>8175</v>
      </c>
      <c r="B480" s="803"/>
      <c r="C480" s="803"/>
      <c r="D480" s="803"/>
      <c r="E480" s="803"/>
      <c r="F480" s="803"/>
      <c r="G480" s="803" t="s">
        <v>3920</v>
      </c>
      <c r="H480" s="794"/>
      <c r="I480" s="794"/>
      <c r="J480" s="794"/>
      <c r="K480" s="794"/>
      <c r="L480" s="794"/>
      <c r="M480" s="794"/>
      <c r="N480" s="794"/>
      <c r="O480" s="794"/>
      <c r="P480" s="794"/>
      <c r="Q480" s="794"/>
      <c r="R480" s="794"/>
      <c r="S480" s="794"/>
      <c r="T480" s="794"/>
    </row>
    <row r="481" spans="1:20" ht="15" customHeight="1" x14ac:dyDescent="0.35">
      <c r="A481" s="794" t="s">
        <v>7632</v>
      </c>
      <c r="B481" s="794" t="s">
        <v>3857</v>
      </c>
      <c r="C481" s="812" t="s">
        <v>3913</v>
      </c>
      <c r="D481" s="825"/>
      <c r="E481" s="825"/>
      <c r="F481" s="825">
        <v>3.5000000000000003E-2</v>
      </c>
      <c r="G481" s="814" t="s">
        <v>3858</v>
      </c>
      <c r="H481" s="813" t="s">
        <v>5953</v>
      </c>
      <c r="I481" s="813" t="s">
        <v>4070</v>
      </c>
      <c r="J481" s="813" t="s">
        <v>7633</v>
      </c>
      <c r="K481" s="813" t="s">
        <v>7610</v>
      </c>
      <c r="L481" s="813" t="s">
        <v>3863</v>
      </c>
      <c r="M481" s="813" t="s">
        <v>3127</v>
      </c>
      <c r="N481" s="813" t="s">
        <v>8393</v>
      </c>
      <c r="O481" s="813" t="s">
        <v>3883</v>
      </c>
      <c r="P481" s="813" t="s">
        <v>8394</v>
      </c>
      <c r="Q481" s="813" t="s">
        <v>8395</v>
      </c>
      <c r="R481" s="813">
        <v>1</v>
      </c>
      <c r="S481" s="813" t="s">
        <v>7615</v>
      </c>
      <c r="T481" s="813" t="s">
        <v>6895</v>
      </c>
    </row>
    <row r="482" spans="1:20" ht="15" customHeight="1" x14ac:dyDescent="0.35">
      <c r="A482" s="794" t="s">
        <v>7637</v>
      </c>
      <c r="B482" s="794" t="s">
        <v>3857</v>
      </c>
      <c r="C482" s="812" t="s">
        <v>3913</v>
      </c>
      <c r="D482" s="825"/>
      <c r="E482" s="825"/>
      <c r="F482" s="825">
        <v>3</v>
      </c>
      <c r="G482" s="814" t="s">
        <v>3858</v>
      </c>
      <c r="H482" s="813" t="s">
        <v>5953</v>
      </c>
      <c r="I482" s="813" t="s">
        <v>4070</v>
      </c>
      <c r="J482" s="813" t="s">
        <v>7633</v>
      </c>
      <c r="K482" s="813" t="s">
        <v>7610</v>
      </c>
      <c r="L482" s="813" t="s">
        <v>3863</v>
      </c>
      <c r="M482" s="813" t="s">
        <v>3127</v>
      </c>
      <c r="N482" s="813" t="s">
        <v>8396</v>
      </c>
      <c r="O482" s="813" t="s">
        <v>3883</v>
      </c>
      <c r="P482" s="813" t="s">
        <v>8397</v>
      </c>
      <c r="Q482" s="813" t="s">
        <v>8398</v>
      </c>
      <c r="R482" s="813">
        <v>1</v>
      </c>
      <c r="S482" s="813" t="s">
        <v>7615</v>
      </c>
      <c r="T482" s="813" t="s">
        <v>6895</v>
      </c>
    </row>
    <row r="483" spans="1:20" ht="15" customHeight="1" x14ac:dyDescent="0.35">
      <c r="A483" s="794" t="s">
        <v>7641</v>
      </c>
      <c r="B483" s="794" t="s">
        <v>3857</v>
      </c>
      <c r="C483" s="812" t="s">
        <v>3913</v>
      </c>
      <c r="D483" s="825"/>
      <c r="E483" s="825"/>
      <c r="F483" s="825">
        <v>3</v>
      </c>
      <c r="G483" s="814" t="s">
        <v>3858</v>
      </c>
      <c r="H483" s="813" t="s">
        <v>5953</v>
      </c>
      <c r="I483" s="813" t="s">
        <v>4070</v>
      </c>
      <c r="J483" s="813" t="s">
        <v>7633</v>
      </c>
      <c r="K483" s="813" t="s">
        <v>7610</v>
      </c>
      <c r="L483" s="813" t="s">
        <v>3863</v>
      </c>
      <c r="M483" s="813" t="s">
        <v>3127</v>
      </c>
      <c r="N483" s="813" t="s">
        <v>8399</v>
      </c>
      <c r="O483" s="813" t="s">
        <v>3883</v>
      </c>
      <c r="P483" s="813" t="s">
        <v>8400</v>
      </c>
      <c r="Q483" s="813" t="s">
        <v>8401</v>
      </c>
      <c r="R483" s="813">
        <v>1</v>
      </c>
      <c r="S483" s="813" t="s">
        <v>7615</v>
      </c>
      <c r="T483" s="813" t="s">
        <v>6895</v>
      </c>
    </row>
    <row r="484" spans="1:20" ht="15" customHeight="1" x14ac:dyDescent="0.35">
      <c r="A484" s="794" t="s">
        <v>7645</v>
      </c>
      <c r="B484" s="794" t="s">
        <v>3857</v>
      </c>
      <c r="C484" s="812" t="s">
        <v>3913</v>
      </c>
      <c r="D484" s="825"/>
      <c r="E484" s="825"/>
      <c r="F484" s="825">
        <v>3</v>
      </c>
      <c r="G484" s="814" t="s">
        <v>3858</v>
      </c>
      <c r="H484" s="813" t="s">
        <v>5953</v>
      </c>
      <c r="I484" s="813" t="s">
        <v>4070</v>
      </c>
      <c r="J484" s="813" t="s">
        <v>7633</v>
      </c>
      <c r="K484" s="813" t="s">
        <v>7610</v>
      </c>
      <c r="L484" s="813" t="s">
        <v>3863</v>
      </c>
      <c r="M484" s="813" t="s">
        <v>3127</v>
      </c>
      <c r="N484" s="813" t="s">
        <v>8402</v>
      </c>
      <c r="O484" s="813" t="s">
        <v>3883</v>
      </c>
      <c r="P484" s="813" t="s">
        <v>8403</v>
      </c>
      <c r="Q484" s="813" t="s">
        <v>8404</v>
      </c>
      <c r="R484" s="813">
        <v>1</v>
      </c>
      <c r="S484" s="813" t="s">
        <v>7615</v>
      </c>
      <c r="T484" s="813" t="s">
        <v>6895</v>
      </c>
    </row>
    <row r="485" spans="1:20" ht="15" customHeight="1" x14ac:dyDescent="0.35">
      <c r="A485" s="794" t="s">
        <v>7649</v>
      </c>
      <c r="B485" s="794" t="s">
        <v>3857</v>
      </c>
      <c r="C485" s="812" t="s">
        <v>3913</v>
      </c>
      <c r="D485" s="825"/>
      <c r="E485" s="825"/>
      <c r="F485" s="825">
        <v>3</v>
      </c>
      <c r="G485" s="814" t="s">
        <v>3858</v>
      </c>
      <c r="H485" s="813" t="s">
        <v>5953</v>
      </c>
      <c r="I485" s="813" t="s">
        <v>4070</v>
      </c>
      <c r="J485" s="813" t="s">
        <v>7633</v>
      </c>
      <c r="K485" s="813" t="s">
        <v>7610</v>
      </c>
      <c r="L485" s="813" t="s">
        <v>3863</v>
      </c>
      <c r="M485" s="813" t="s">
        <v>3127</v>
      </c>
      <c r="N485" s="813" t="s">
        <v>8405</v>
      </c>
      <c r="O485" s="813" t="s">
        <v>3883</v>
      </c>
      <c r="P485" s="813" t="s">
        <v>8406</v>
      </c>
      <c r="Q485" s="813" t="s">
        <v>8407</v>
      </c>
      <c r="R485" s="813">
        <v>1</v>
      </c>
      <c r="S485" s="813" t="s">
        <v>7615</v>
      </c>
      <c r="T485" s="813" t="s">
        <v>6895</v>
      </c>
    </row>
    <row r="486" spans="1:20" ht="15" customHeight="1" x14ac:dyDescent="0.35">
      <c r="A486" s="803" t="s">
        <v>8015</v>
      </c>
      <c r="B486" s="803"/>
      <c r="C486" s="803"/>
      <c r="D486" s="803"/>
      <c r="E486" s="803"/>
      <c r="F486" s="803"/>
      <c r="G486" s="803" t="s">
        <v>3946</v>
      </c>
      <c r="H486" s="794"/>
      <c r="I486" s="794"/>
      <c r="J486" s="794"/>
      <c r="K486" s="794"/>
      <c r="L486" s="794"/>
      <c r="M486" s="794"/>
      <c r="N486" s="794"/>
      <c r="O486" s="794"/>
      <c r="P486" s="794"/>
      <c r="Q486" s="794"/>
      <c r="R486" s="794"/>
      <c r="S486" s="794"/>
      <c r="T486" s="794"/>
    </row>
    <row r="487" spans="1:20" ht="15" customHeight="1" x14ac:dyDescent="0.35">
      <c r="A487" s="794" t="s">
        <v>7664</v>
      </c>
      <c r="B487" s="794" t="s">
        <v>3857</v>
      </c>
      <c r="C487" s="812" t="s">
        <v>3913</v>
      </c>
      <c r="D487" s="825"/>
      <c r="E487" s="825"/>
      <c r="F487" s="825">
        <v>0</v>
      </c>
      <c r="G487" s="814" t="s">
        <v>3858</v>
      </c>
      <c r="H487" s="813" t="s">
        <v>5953</v>
      </c>
      <c r="I487" s="813" t="s">
        <v>4070</v>
      </c>
      <c r="J487" s="813" t="s">
        <v>7665</v>
      </c>
      <c r="K487" s="813" t="s">
        <v>7610</v>
      </c>
      <c r="L487" s="813" t="s">
        <v>3863</v>
      </c>
      <c r="M487" s="813" t="s">
        <v>3127</v>
      </c>
      <c r="N487" s="813" t="s">
        <v>8408</v>
      </c>
      <c r="O487" s="813" t="s">
        <v>3883</v>
      </c>
      <c r="P487" s="813" t="s">
        <v>8409</v>
      </c>
      <c r="Q487" s="813" t="s">
        <v>8410</v>
      </c>
      <c r="R487" s="813">
        <v>1</v>
      </c>
      <c r="S487" s="813" t="s">
        <v>7615</v>
      </c>
      <c r="T487" s="813" t="s">
        <v>6895</v>
      </c>
    </row>
    <row r="488" spans="1:20" ht="21" customHeight="1" x14ac:dyDescent="0.35">
      <c r="A488" s="801" t="s">
        <v>8411</v>
      </c>
      <c r="B488" s="801" t="s">
        <v>8412</v>
      </c>
      <c r="C488" s="801"/>
      <c r="D488" s="801"/>
      <c r="E488" s="801"/>
      <c r="F488" s="801"/>
      <c r="G488" s="801" t="s">
        <v>3745</v>
      </c>
      <c r="H488" s="794"/>
      <c r="I488" s="794"/>
      <c r="J488" s="794"/>
      <c r="K488" s="794"/>
      <c r="L488" s="794"/>
      <c r="M488" s="794"/>
      <c r="N488" s="794"/>
      <c r="O488" s="794"/>
      <c r="P488" s="794"/>
      <c r="Q488" s="794"/>
      <c r="R488" s="794"/>
      <c r="S488" s="794"/>
      <c r="T488" s="794"/>
    </row>
    <row r="489" spans="1:20" ht="15" customHeight="1" x14ac:dyDescent="0.35">
      <c r="A489" s="802" t="s">
        <v>6887</v>
      </c>
      <c r="B489" s="802"/>
      <c r="C489" s="802"/>
      <c r="D489" s="802"/>
      <c r="E489" s="802"/>
      <c r="F489" s="802"/>
      <c r="G489" s="802" t="s">
        <v>4476</v>
      </c>
      <c r="H489" s="794"/>
      <c r="I489" s="794"/>
      <c r="J489" s="794"/>
      <c r="K489" s="794"/>
      <c r="L489" s="794"/>
      <c r="M489" s="794"/>
      <c r="N489" s="794"/>
      <c r="O489" s="794"/>
      <c r="P489" s="794"/>
      <c r="Q489" s="794"/>
      <c r="R489" s="794"/>
      <c r="S489" s="794"/>
      <c r="T489" s="794"/>
    </row>
    <row r="490" spans="1:20" ht="15" customHeight="1" x14ac:dyDescent="0.35">
      <c r="A490" s="803" t="s">
        <v>8413</v>
      </c>
      <c r="B490" s="803"/>
      <c r="C490" s="803"/>
      <c r="D490" s="803"/>
      <c r="E490" s="803"/>
      <c r="F490" s="803"/>
      <c r="G490" s="803" t="s">
        <v>4476</v>
      </c>
      <c r="H490" s="794"/>
      <c r="I490" s="794"/>
      <c r="J490" s="794"/>
      <c r="K490" s="794"/>
      <c r="L490" s="794"/>
      <c r="M490" s="794"/>
      <c r="N490" s="794"/>
      <c r="O490" s="794"/>
      <c r="P490" s="794"/>
      <c r="Q490" s="794"/>
      <c r="R490" s="794"/>
      <c r="S490" s="794"/>
      <c r="T490" s="794"/>
    </row>
    <row r="491" spans="1:20" ht="15" customHeight="1" x14ac:dyDescent="0.35">
      <c r="A491" s="794" t="s">
        <v>8414</v>
      </c>
      <c r="B491" s="794" t="s">
        <v>3857</v>
      </c>
      <c r="C491" s="812" t="s">
        <v>83</v>
      </c>
      <c r="D491" s="825"/>
      <c r="E491" s="825"/>
      <c r="F491" s="829">
        <v>3.5000000000000003E-2</v>
      </c>
      <c r="G491" s="814" t="s">
        <v>3858</v>
      </c>
      <c r="H491" s="813" t="s">
        <v>5977</v>
      </c>
      <c r="I491" s="813" t="s">
        <v>3960</v>
      </c>
      <c r="J491" s="813" t="s">
        <v>6002</v>
      </c>
      <c r="K491" s="813" t="s">
        <v>5968</v>
      </c>
      <c r="L491" s="813" t="s">
        <v>3863</v>
      </c>
      <c r="M491" s="813" t="s">
        <v>2897</v>
      </c>
      <c r="N491" s="813" t="s">
        <v>8415</v>
      </c>
      <c r="O491" s="813" t="s">
        <v>3883</v>
      </c>
      <c r="P491" s="813" t="s">
        <v>8416</v>
      </c>
      <c r="Q491" s="813" t="s">
        <v>8417</v>
      </c>
      <c r="R491" s="813">
        <v>1</v>
      </c>
      <c r="S491" s="813" t="s">
        <v>3928</v>
      </c>
      <c r="T491" s="813" t="s">
        <v>6895</v>
      </c>
    </row>
    <row r="492" spans="1:20" ht="15" customHeight="1" x14ac:dyDescent="0.35">
      <c r="A492" s="794" t="s">
        <v>8418</v>
      </c>
      <c r="B492" s="794" t="s">
        <v>3857</v>
      </c>
      <c r="C492" s="812" t="s">
        <v>83</v>
      </c>
      <c r="D492" s="825"/>
      <c r="E492" s="825"/>
      <c r="F492" s="829">
        <v>2.75E-2</v>
      </c>
      <c r="G492" s="814" t="s">
        <v>3858</v>
      </c>
      <c r="H492" s="813" t="s">
        <v>5977</v>
      </c>
      <c r="I492" s="813" t="s">
        <v>3960</v>
      </c>
      <c r="J492" s="813" t="s">
        <v>6002</v>
      </c>
      <c r="K492" s="813" t="s">
        <v>5968</v>
      </c>
      <c r="L492" s="813" t="s">
        <v>3863</v>
      </c>
      <c r="M492" s="813" t="s">
        <v>2897</v>
      </c>
      <c r="N492" s="813" t="s">
        <v>8419</v>
      </c>
      <c r="O492" s="813" t="s">
        <v>3883</v>
      </c>
      <c r="P492" s="813" t="s">
        <v>8420</v>
      </c>
      <c r="Q492" s="813" t="s">
        <v>8421</v>
      </c>
      <c r="R492" s="813">
        <v>1</v>
      </c>
      <c r="S492" s="813" t="s">
        <v>3928</v>
      </c>
      <c r="T492" s="813" t="s">
        <v>6895</v>
      </c>
    </row>
    <row r="493" spans="1:20" ht="15" customHeight="1" x14ac:dyDescent="0.35">
      <c r="A493" s="802" t="s">
        <v>7606</v>
      </c>
      <c r="B493" s="802"/>
      <c r="C493" s="802"/>
      <c r="D493" s="802"/>
      <c r="E493" s="802"/>
      <c r="F493" s="802"/>
      <c r="G493" s="802" t="s">
        <v>3898</v>
      </c>
      <c r="H493" s="794"/>
      <c r="I493" s="794"/>
      <c r="J493" s="794"/>
      <c r="K493" s="794"/>
      <c r="L493" s="794"/>
      <c r="M493" s="794"/>
      <c r="N493" s="794"/>
      <c r="O493" s="794"/>
      <c r="P493" s="794"/>
      <c r="Q493" s="794"/>
      <c r="R493" s="794"/>
      <c r="S493" s="794"/>
      <c r="T493" s="794"/>
    </row>
    <row r="494" spans="1:20" ht="15" customHeight="1" x14ac:dyDescent="0.35">
      <c r="A494" s="803" t="s">
        <v>8422</v>
      </c>
      <c r="B494" s="803"/>
      <c r="C494" s="803"/>
      <c r="D494" s="803"/>
      <c r="E494" s="803"/>
      <c r="F494" s="803"/>
      <c r="G494" s="803" t="s">
        <v>3946</v>
      </c>
      <c r="H494" s="794"/>
      <c r="I494" s="794"/>
      <c r="J494" s="794"/>
      <c r="K494" s="794"/>
      <c r="L494" s="794"/>
      <c r="M494" s="794"/>
      <c r="N494" s="794"/>
      <c r="O494" s="794"/>
      <c r="P494" s="794"/>
      <c r="Q494" s="794"/>
      <c r="R494" s="794"/>
      <c r="S494" s="794"/>
      <c r="T494" s="794"/>
    </row>
    <row r="495" spans="1:20" ht="15" customHeight="1" x14ac:dyDescent="0.35">
      <c r="A495" s="794" t="s">
        <v>8423</v>
      </c>
      <c r="B495" s="794" t="s">
        <v>3857</v>
      </c>
      <c r="C495" s="812" t="s">
        <v>3913</v>
      </c>
      <c r="D495" s="825"/>
      <c r="E495" s="825"/>
      <c r="F495" s="825">
        <v>3.5000000000000003E-2</v>
      </c>
      <c r="G495" s="814" t="s">
        <v>3858</v>
      </c>
      <c r="H495" s="813" t="s">
        <v>5977</v>
      </c>
      <c r="I495" s="813" t="s">
        <v>4070</v>
      </c>
      <c r="J495" s="813" t="s">
        <v>5995</v>
      </c>
      <c r="K495" s="813" t="s">
        <v>5968</v>
      </c>
      <c r="L495" s="813" t="s">
        <v>3863</v>
      </c>
      <c r="M495" s="813" t="s">
        <v>2897</v>
      </c>
      <c r="N495" s="813" t="s">
        <v>8424</v>
      </c>
      <c r="O495" s="813" t="s">
        <v>4264</v>
      </c>
      <c r="P495" s="813" t="s">
        <v>8425</v>
      </c>
      <c r="Q495" s="813" t="s">
        <v>8426</v>
      </c>
      <c r="R495" s="813">
        <v>1</v>
      </c>
      <c r="S495" s="813" t="s">
        <v>3928</v>
      </c>
      <c r="T495" s="813" t="s">
        <v>6895</v>
      </c>
    </row>
    <row r="496" spans="1:20" ht="15" customHeight="1" x14ac:dyDescent="0.35">
      <c r="A496" s="803" t="s">
        <v>8105</v>
      </c>
      <c r="B496" s="803"/>
      <c r="C496" s="803"/>
      <c r="D496" s="803"/>
      <c r="E496" s="803"/>
      <c r="F496" s="803"/>
      <c r="G496" s="803" t="s">
        <v>3946</v>
      </c>
      <c r="H496" s="794"/>
      <c r="I496" s="794"/>
      <c r="J496" s="794"/>
      <c r="K496" s="794"/>
      <c r="L496" s="794"/>
      <c r="M496" s="794"/>
      <c r="N496" s="794"/>
      <c r="O496" s="794"/>
      <c r="P496" s="794"/>
      <c r="Q496" s="794"/>
      <c r="R496" s="794"/>
      <c r="S496" s="794"/>
      <c r="T496" s="794"/>
    </row>
    <row r="497" spans="1:20" ht="28" customHeight="1" x14ac:dyDescent="0.35">
      <c r="A497" s="794" t="s">
        <v>8427</v>
      </c>
      <c r="B497" s="794" t="s">
        <v>3857</v>
      </c>
      <c r="C497" s="812" t="s">
        <v>3842</v>
      </c>
      <c r="D497" s="825"/>
      <c r="E497" s="825"/>
      <c r="F497" s="827" t="s">
        <v>8428</v>
      </c>
      <c r="G497" s="814" t="s">
        <v>3858</v>
      </c>
      <c r="H497" s="813" t="s">
        <v>5977</v>
      </c>
      <c r="I497" s="813" t="s">
        <v>4070</v>
      </c>
      <c r="J497" s="813" t="s">
        <v>7609</v>
      </c>
      <c r="K497" s="813" t="s">
        <v>7610</v>
      </c>
      <c r="L497" s="813" t="s">
        <v>3863</v>
      </c>
      <c r="M497" s="813" t="s">
        <v>3127</v>
      </c>
      <c r="N497" s="813" t="s">
        <v>8429</v>
      </c>
      <c r="O497" s="813" t="s">
        <v>7612</v>
      </c>
      <c r="P497" s="813" t="s">
        <v>8430</v>
      </c>
      <c r="Q497" s="813" t="s">
        <v>8431</v>
      </c>
      <c r="R497" s="813">
        <v>1</v>
      </c>
      <c r="S497" s="813" t="s">
        <v>7615</v>
      </c>
      <c r="T497" s="813" t="s">
        <v>6895</v>
      </c>
    </row>
    <row r="498" spans="1:20" ht="15" customHeight="1" x14ac:dyDescent="0.35">
      <c r="A498" s="803" t="s">
        <v>8110</v>
      </c>
      <c r="B498" s="803"/>
      <c r="C498" s="803"/>
      <c r="D498" s="803"/>
      <c r="E498" s="803"/>
      <c r="F498" s="803"/>
      <c r="G498" s="803" t="s">
        <v>3946</v>
      </c>
      <c r="H498" s="794"/>
      <c r="I498" s="794"/>
      <c r="J498" s="794"/>
      <c r="K498" s="794"/>
      <c r="L498" s="794"/>
      <c r="M498" s="794"/>
      <c r="N498" s="794"/>
      <c r="O498" s="794"/>
      <c r="P498" s="794"/>
      <c r="Q498" s="794"/>
      <c r="R498" s="794"/>
      <c r="S498" s="794"/>
      <c r="T498" s="794"/>
    </row>
    <row r="499" spans="1:20" ht="15" customHeight="1" x14ac:dyDescent="0.35">
      <c r="A499" s="794" t="s">
        <v>8432</v>
      </c>
      <c r="B499" s="794" t="s">
        <v>3857</v>
      </c>
      <c r="C499" s="812" t="s">
        <v>3842</v>
      </c>
      <c r="D499" s="825"/>
      <c r="E499" s="825"/>
      <c r="F499" s="826" t="s">
        <v>8011</v>
      </c>
      <c r="G499" s="814" t="s">
        <v>3858</v>
      </c>
      <c r="H499" s="813" t="s">
        <v>5977</v>
      </c>
      <c r="I499" s="813" t="s">
        <v>4070</v>
      </c>
      <c r="J499" s="813" t="s">
        <v>7618</v>
      </c>
      <c r="K499" s="813" t="s">
        <v>7610</v>
      </c>
      <c r="L499" s="813" t="s">
        <v>3863</v>
      </c>
      <c r="M499" s="813" t="s">
        <v>3127</v>
      </c>
      <c r="N499" s="813" t="s">
        <v>8433</v>
      </c>
      <c r="O499" s="813" t="s">
        <v>8367</v>
      </c>
      <c r="P499" s="813" t="s">
        <v>8434</v>
      </c>
      <c r="Q499" s="813" t="s">
        <v>8435</v>
      </c>
      <c r="R499" s="813">
        <v>1</v>
      </c>
      <c r="S499" s="813" t="s">
        <v>7615</v>
      </c>
      <c r="T499" s="813" t="s">
        <v>6895</v>
      </c>
    </row>
    <row r="500" spans="1:20" ht="15" customHeight="1" x14ac:dyDescent="0.35">
      <c r="A500" s="803" t="s">
        <v>8370</v>
      </c>
      <c r="B500" s="803"/>
      <c r="C500" s="803"/>
      <c r="D500" s="803"/>
      <c r="E500" s="803"/>
      <c r="F500" s="803"/>
      <c r="G500" s="803" t="s">
        <v>3946</v>
      </c>
      <c r="H500" s="794"/>
      <c r="I500" s="794"/>
      <c r="J500" s="794"/>
      <c r="K500" s="794"/>
      <c r="L500" s="794"/>
      <c r="M500" s="794"/>
      <c r="N500" s="794"/>
      <c r="O500" s="794"/>
      <c r="P500" s="794"/>
      <c r="Q500" s="794"/>
      <c r="R500" s="794"/>
      <c r="S500" s="794"/>
      <c r="T500" s="794"/>
    </row>
    <row r="501" spans="1:20" ht="15" customHeight="1" x14ac:dyDescent="0.35">
      <c r="A501" s="794" t="s">
        <v>8016</v>
      </c>
      <c r="B501" s="794" t="s">
        <v>3857</v>
      </c>
      <c r="C501" s="812" t="s">
        <v>3913</v>
      </c>
      <c r="D501" s="825"/>
      <c r="E501" s="825"/>
      <c r="F501" s="825">
        <v>0</v>
      </c>
      <c r="G501" s="814" t="s">
        <v>3858</v>
      </c>
      <c r="H501" s="813" t="s">
        <v>5977</v>
      </c>
      <c r="I501" s="813" t="s">
        <v>4070</v>
      </c>
      <c r="J501" s="813" t="s">
        <v>7665</v>
      </c>
      <c r="K501" s="813" t="s">
        <v>7610</v>
      </c>
      <c r="L501" s="813" t="s">
        <v>3863</v>
      </c>
      <c r="M501" s="813" t="s">
        <v>3127</v>
      </c>
      <c r="N501" s="813" t="s">
        <v>8436</v>
      </c>
      <c r="O501" s="813" t="s">
        <v>3883</v>
      </c>
      <c r="P501" s="813" t="s">
        <v>8437</v>
      </c>
      <c r="Q501" s="813" t="s">
        <v>8438</v>
      </c>
      <c r="R501" s="813">
        <v>1</v>
      </c>
      <c r="S501" s="813" t="s">
        <v>7615</v>
      </c>
      <c r="T501" s="813" t="s">
        <v>6895</v>
      </c>
    </row>
    <row r="502" spans="1:20" ht="21" customHeight="1" x14ac:dyDescent="0.35">
      <c r="A502" s="801" t="s">
        <v>8439</v>
      </c>
      <c r="B502" s="801" t="s">
        <v>8440</v>
      </c>
      <c r="C502" s="801"/>
      <c r="D502" s="801"/>
      <c r="E502" s="801"/>
      <c r="F502" s="801"/>
      <c r="G502" s="801" t="s">
        <v>3745</v>
      </c>
      <c r="H502" s="794"/>
      <c r="I502" s="794"/>
      <c r="J502" s="794"/>
      <c r="K502" s="794"/>
      <c r="L502" s="794"/>
      <c r="M502" s="794"/>
      <c r="N502" s="794"/>
      <c r="O502" s="794"/>
      <c r="P502" s="794"/>
      <c r="Q502" s="794"/>
      <c r="R502" s="794"/>
      <c r="S502" s="794"/>
      <c r="T502" s="794"/>
    </row>
    <row r="503" spans="1:20" ht="15" customHeight="1" x14ac:dyDescent="0.35">
      <c r="A503" s="802" t="s">
        <v>7899</v>
      </c>
      <c r="B503" s="802"/>
      <c r="C503" s="802"/>
      <c r="D503" s="802"/>
      <c r="E503" s="802"/>
      <c r="F503" s="802"/>
      <c r="G503" s="802" t="s">
        <v>3855</v>
      </c>
      <c r="H503" s="794"/>
      <c r="I503" s="794"/>
      <c r="J503" s="794"/>
      <c r="K503" s="794"/>
      <c r="L503" s="794"/>
      <c r="M503" s="794"/>
      <c r="N503" s="794"/>
      <c r="O503" s="794"/>
      <c r="P503" s="794"/>
      <c r="Q503" s="794"/>
      <c r="R503" s="794"/>
      <c r="S503" s="794"/>
      <c r="T503" s="794"/>
    </row>
    <row r="504" spans="1:20" ht="15" customHeight="1" x14ac:dyDescent="0.35">
      <c r="A504" s="803" t="s">
        <v>8157</v>
      </c>
      <c r="B504" s="803"/>
      <c r="C504" s="803"/>
      <c r="D504" s="803"/>
      <c r="E504" s="803"/>
      <c r="F504" s="803"/>
      <c r="G504" s="803" t="s">
        <v>3946</v>
      </c>
      <c r="H504" s="794"/>
      <c r="I504" s="794"/>
      <c r="J504" s="794"/>
      <c r="K504" s="794"/>
      <c r="L504" s="794"/>
      <c r="M504" s="794"/>
      <c r="N504" s="794"/>
      <c r="O504" s="794"/>
      <c r="P504" s="794"/>
      <c r="Q504" s="794"/>
      <c r="R504" s="794"/>
      <c r="S504" s="794"/>
      <c r="T504" s="794"/>
    </row>
    <row r="505" spans="1:20" ht="28" customHeight="1" x14ac:dyDescent="0.35">
      <c r="A505" s="794" t="s">
        <v>8441</v>
      </c>
      <c r="B505" s="794" t="s">
        <v>3857</v>
      </c>
      <c r="C505" s="812" t="s">
        <v>3842</v>
      </c>
      <c r="D505" s="825"/>
      <c r="E505" s="825"/>
      <c r="F505" s="827" t="s">
        <v>8442</v>
      </c>
      <c r="G505" s="814" t="s">
        <v>3858</v>
      </c>
      <c r="H505" s="813" t="s">
        <v>6058</v>
      </c>
      <c r="I505" s="813" t="s">
        <v>4070</v>
      </c>
      <c r="J505" s="813" t="s">
        <v>7609</v>
      </c>
      <c r="K505" s="813" t="s">
        <v>7610</v>
      </c>
      <c r="L505" s="813" t="s">
        <v>3863</v>
      </c>
      <c r="M505" s="813" t="s">
        <v>3127</v>
      </c>
      <c r="N505" s="813" t="s">
        <v>8443</v>
      </c>
      <c r="O505" s="813" t="s">
        <v>7612</v>
      </c>
      <c r="P505" s="813" t="s">
        <v>8444</v>
      </c>
      <c r="Q505" s="813" t="s">
        <v>8445</v>
      </c>
      <c r="R505" s="813">
        <v>1</v>
      </c>
      <c r="S505" s="813" t="s">
        <v>7615</v>
      </c>
      <c r="T505" s="813" t="s">
        <v>6895</v>
      </c>
    </row>
    <row r="506" spans="1:20" ht="15" customHeight="1" x14ac:dyDescent="0.35">
      <c r="A506" s="803" t="s">
        <v>8162</v>
      </c>
      <c r="B506" s="803"/>
      <c r="C506" s="803"/>
      <c r="D506" s="803"/>
      <c r="E506" s="803"/>
      <c r="F506" s="803"/>
      <c r="G506" s="803" t="s">
        <v>3946</v>
      </c>
      <c r="H506" s="794"/>
      <c r="I506" s="794"/>
      <c r="J506" s="794"/>
      <c r="K506" s="794"/>
      <c r="L506" s="794"/>
      <c r="M506" s="794"/>
      <c r="N506" s="794"/>
      <c r="O506" s="794"/>
      <c r="P506" s="794"/>
      <c r="Q506" s="794"/>
      <c r="R506" s="794"/>
      <c r="S506" s="794"/>
      <c r="T506" s="794"/>
    </row>
    <row r="507" spans="1:20" ht="15" customHeight="1" x14ac:dyDescent="0.35">
      <c r="A507" s="794" t="s">
        <v>8446</v>
      </c>
      <c r="B507" s="794" t="s">
        <v>3857</v>
      </c>
      <c r="C507" s="812" t="s">
        <v>3842</v>
      </c>
      <c r="D507" s="825"/>
      <c r="E507" s="825"/>
      <c r="F507" s="826" t="s">
        <v>8011</v>
      </c>
      <c r="G507" s="814" t="s">
        <v>3858</v>
      </c>
      <c r="H507" s="813" t="s">
        <v>6058</v>
      </c>
      <c r="I507" s="813" t="s">
        <v>4070</v>
      </c>
      <c r="J507" s="813" t="s">
        <v>7618</v>
      </c>
      <c r="K507" s="813" t="s">
        <v>7610</v>
      </c>
      <c r="L507" s="813" t="s">
        <v>3863</v>
      </c>
      <c r="M507" s="813" t="s">
        <v>3127</v>
      </c>
      <c r="N507" s="813" t="s">
        <v>8447</v>
      </c>
      <c r="O507" s="813" t="s">
        <v>8367</v>
      </c>
      <c r="P507" s="813" t="s">
        <v>8448</v>
      </c>
      <c r="Q507" s="813" t="s">
        <v>8449</v>
      </c>
      <c r="R507" s="813">
        <v>1</v>
      </c>
      <c r="S507" s="813" t="s">
        <v>7615</v>
      </c>
      <c r="T507" s="813" t="s">
        <v>6895</v>
      </c>
    </row>
    <row r="508" spans="1:20" ht="15" customHeight="1" x14ac:dyDescent="0.35">
      <c r="A508" s="803" t="s">
        <v>8450</v>
      </c>
      <c r="B508" s="803"/>
      <c r="C508" s="803"/>
      <c r="D508" s="803"/>
      <c r="E508" s="803"/>
      <c r="F508" s="803"/>
      <c r="G508" s="803" t="s">
        <v>3946</v>
      </c>
      <c r="H508" s="794"/>
      <c r="I508" s="794"/>
      <c r="J508" s="794"/>
      <c r="K508" s="794"/>
      <c r="L508" s="794"/>
      <c r="M508" s="794"/>
      <c r="N508" s="794"/>
      <c r="O508" s="794"/>
      <c r="P508" s="794"/>
      <c r="Q508" s="794"/>
      <c r="R508" s="794"/>
      <c r="S508" s="794"/>
      <c r="T508" s="794"/>
    </row>
    <row r="509" spans="1:20" ht="15" customHeight="1" x14ac:dyDescent="0.35">
      <c r="A509" s="794" t="s">
        <v>8016</v>
      </c>
      <c r="B509" s="794" t="s">
        <v>3857</v>
      </c>
      <c r="C509" s="812" t="s">
        <v>3913</v>
      </c>
      <c r="D509" s="825"/>
      <c r="E509" s="825"/>
      <c r="F509" s="825">
        <v>0</v>
      </c>
      <c r="G509" s="814" t="s">
        <v>3858</v>
      </c>
      <c r="H509" s="813" t="s">
        <v>6058</v>
      </c>
      <c r="I509" s="813" t="s">
        <v>4070</v>
      </c>
      <c r="J509" s="813" t="s">
        <v>7665</v>
      </c>
      <c r="K509" s="813" t="s">
        <v>7610</v>
      </c>
      <c r="L509" s="813" t="s">
        <v>3863</v>
      </c>
      <c r="M509" s="813" t="s">
        <v>3127</v>
      </c>
      <c r="N509" s="813" t="s">
        <v>8451</v>
      </c>
      <c r="O509" s="813" t="s">
        <v>3883</v>
      </c>
      <c r="P509" s="813" t="s">
        <v>8452</v>
      </c>
      <c r="Q509" s="813" t="s">
        <v>8453</v>
      </c>
      <c r="R509" s="813">
        <v>1</v>
      </c>
      <c r="S509" s="813" t="s">
        <v>7615</v>
      </c>
      <c r="T509" s="813" t="s">
        <v>6895</v>
      </c>
    </row>
    <row r="510" spans="1:20" ht="21" customHeight="1" x14ac:dyDescent="0.35">
      <c r="A510" s="801" t="s">
        <v>8454</v>
      </c>
      <c r="B510" s="801" t="s">
        <v>8455</v>
      </c>
      <c r="C510" s="801"/>
      <c r="D510" s="801"/>
      <c r="E510" s="801"/>
      <c r="F510" s="801"/>
      <c r="G510" s="801" t="s">
        <v>3745</v>
      </c>
      <c r="H510" s="794"/>
      <c r="I510" s="794"/>
      <c r="J510" s="794"/>
      <c r="K510" s="794"/>
      <c r="L510" s="794"/>
      <c r="M510" s="794"/>
      <c r="N510" s="794"/>
      <c r="O510" s="794"/>
      <c r="P510" s="794"/>
      <c r="Q510" s="794"/>
      <c r="R510" s="794"/>
      <c r="S510" s="794"/>
      <c r="T510" s="794"/>
    </row>
    <row r="511" spans="1:20" ht="15" customHeight="1" x14ac:dyDescent="0.35">
      <c r="A511" s="802" t="s">
        <v>6887</v>
      </c>
      <c r="B511" s="802"/>
      <c r="C511" s="802"/>
      <c r="D511" s="802"/>
      <c r="E511" s="802"/>
      <c r="F511" s="802"/>
      <c r="G511" s="802" t="s">
        <v>8456</v>
      </c>
      <c r="H511" s="794"/>
      <c r="I511" s="794"/>
      <c r="J511" s="794"/>
      <c r="K511" s="794"/>
      <c r="L511" s="794"/>
      <c r="M511" s="794"/>
      <c r="N511" s="794"/>
      <c r="O511" s="794"/>
      <c r="P511" s="794"/>
      <c r="Q511" s="794"/>
      <c r="R511" s="794"/>
      <c r="S511" s="794"/>
      <c r="T511" s="794"/>
    </row>
    <row r="512" spans="1:20" ht="15" customHeight="1" x14ac:dyDescent="0.35">
      <c r="A512" s="803" t="s">
        <v>8457</v>
      </c>
      <c r="B512" s="803"/>
      <c r="C512" s="803"/>
      <c r="D512" s="803"/>
      <c r="E512" s="803"/>
      <c r="F512" s="803"/>
      <c r="G512" s="803" t="s">
        <v>8458</v>
      </c>
      <c r="H512" s="794"/>
      <c r="I512" s="794"/>
      <c r="J512" s="794"/>
      <c r="K512" s="794"/>
      <c r="L512" s="794"/>
      <c r="M512" s="794"/>
      <c r="N512" s="794"/>
      <c r="O512" s="794"/>
      <c r="P512" s="794"/>
      <c r="Q512" s="794"/>
      <c r="R512" s="794"/>
      <c r="S512" s="794"/>
      <c r="T512" s="794"/>
    </row>
    <row r="513" spans="1:20" ht="15" customHeight="1" x14ac:dyDescent="0.35">
      <c r="A513" s="794" t="s">
        <v>8459</v>
      </c>
      <c r="B513" s="794" t="s">
        <v>3857</v>
      </c>
      <c r="C513" s="812" t="s">
        <v>3913</v>
      </c>
      <c r="D513" s="825"/>
      <c r="E513" s="825"/>
      <c r="F513" s="825">
        <v>365</v>
      </c>
      <c r="G513" s="814" t="s">
        <v>3858</v>
      </c>
      <c r="H513" s="813" t="s">
        <v>8460</v>
      </c>
      <c r="I513" s="813" t="s">
        <v>3960</v>
      </c>
      <c r="J513" s="813" t="s">
        <v>8461</v>
      </c>
      <c r="K513" s="813" t="s">
        <v>8462</v>
      </c>
      <c r="L513" s="813" t="s">
        <v>3863</v>
      </c>
      <c r="M513" s="813" t="s">
        <v>3157</v>
      </c>
      <c r="N513" s="813" t="s">
        <v>8463</v>
      </c>
      <c r="O513" s="813" t="s">
        <v>8464</v>
      </c>
      <c r="P513" s="813" t="s">
        <v>8465</v>
      </c>
      <c r="Q513" s="813" t="s">
        <v>8466</v>
      </c>
      <c r="R513" s="813">
        <v>6</v>
      </c>
      <c r="S513" s="813" t="s">
        <v>8467</v>
      </c>
      <c r="T513" s="813" t="s">
        <v>6895</v>
      </c>
    </row>
    <row r="514" spans="1:20" ht="15" customHeight="1" x14ac:dyDescent="0.35">
      <c r="A514" s="794" t="s">
        <v>8468</v>
      </c>
      <c r="B514" s="794" t="s">
        <v>3857</v>
      </c>
      <c r="C514" s="812" t="s">
        <v>3913</v>
      </c>
      <c r="D514" s="825"/>
      <c r="E514" s="825"/>
      <c r="F514" s="825">
        <v>1</v>
      </c>
      <c r="G514" s="814" t="s">
        <v>3858</v>
      </c>
      <c r="H514" s="813" t="s">
        <v>8460</v>
      </c>
      <c r="I514" s="813" t="s">
        <v>3960</v>
      </c>
      <c r="J514" s="813" t="s">
        <v>8461</v>
      </c>
      <c r="K514" s="813" t="s">
        <v>8462</v>
      </c>
      <c r="L514" s="813" t="s">
        <v>3863</v>
      </c>
      <c r="M514" s="813" t="s">
        <v>3157</v>
      </c>
      <c r="N514" s="813" t="s">
        <v>8469</v>
      </c>
      <c r="O514" s="813" t="s">
        <v>3883</v>
      </c>
      <c r="P514" s="813" t="s">
        <v>8470</v>
      </c>
      <c r="Q514" s="813" t="s">
        <v>8471</v>
      </c>
      <c r="R514" s="813">
        <v>3</v>
      </c>
      <c r="S514" s="813" t="s">
        <v>8467</v>
      </c>
      <c r="T514" s="813" t="s">
        <v>6895</v>
      </c>
    </row>
    <row r="515" spans="1:20" ht="15" customHeight="1" x14ac:dyDescent="0.35">
      <c r="A515" s="794" t="s">
        <v>8472</v>
      </c>
      <c r="B515" s="794" t="s">
        <v>3857</v>
      </c>
      <c r="C515" s="812" t="s">
        <v>3913</v>
      </c>
      <c r="D515" s="825">
        <v>0</v>
      </c>
      <c r="E515" s="825"/>
      <c r="F515" s="826"/>
      <c r="G515" s="814" t="s">
        <v>3858</v>
      </c>
      <c r="H515" s="813" t="s">
        <v>8460</v>
      </c>
      <c r="I515" s="813" t="s">
        <v>3960</v>
      </c>
      <c r="J515" s="813" t="s">
        <v>8461</v>
      </c>
      <c r="K515" s="813" t="s">
        <v>8462</v>
      </c>
      <c r="L515" s="813" t="s">
        <v>3863</v>
      </c>
      <c r="M515" s="813" t="s">
        <v>3157</v>
      </c>
      <c r="N515" s="813" t="s">
        <v>8473</v>
      </c>
      <c r="O515" s="813" t="s">
        <v>8464</v>
      </c>
      <c r="P515" s="813" t="s">
        <v>8474</v>
      </c>
      <c r="Q515" s="813" t="s">
        <v>8475</v>
      </c>
      <c r="R515" s="813">
        <v>4</v>
      </c>
      <c r="S515" s="813" t="s">
        <v>8467</v>
      </c>
      <c r="T515" s="813" t="s">
        <v>6895</v>
      </c>
    </row>
    <row r="516" spans="1:20" ht="28" customHeight="1" x14ac:dyDescent="0.35">
      <c r="A516" s="830" t="s">
        <v>8476</v>
      </c>
      <c r="B516" s="794" t="s">
        <v>3857</v>
      </c>
      <c r="C516" s="812" t="s">
        <v>3913</v>
      </c>
      <c r="D516" s="825"/>
      <c r="E516" s="825"/>
      <c r="F516" s="825">
        <v>1</v>
      </c>
      <c r="G516" s="814" t="s">
        <v>3858</v>
      </c>
      <c r="H516" s="813" t="s">
        <v>8460</v>
      </c>
      <c r="I516" s="813" t="s">
        <v>3960</v>
      </c>
      <c r="J516" s="813" t="s">
        <v>8461</v>
      </c>
      <c r="K516" s="813" t="s">
        <v>8462</v>
      </c>
      <c r="L516" s="813" t="s">
        <v>3863</v>
      </c>
      <c r="M516" s="813" t="s">
        <v>3157</v>
      </c>
      <c r="N516" s="813" t="s">
        <v>8477</v>
      </c>
      <c r="O516" s="813" t="s">
        <v>3883</v>
      </c>
      <c r="P516" s="813" t="s">
        <v>8478</v>
      </c>
      <c r="Q516" s="813" t="s">
        <v>8479</v>
      </c>
      <c r="R516" s="813">
        <v>1</v>
      </c>
      <c r="S516" s="813" t="s">
        <v>8467</v>
      </c>
      <c r="T516" s="813" t="s">
        <v>6895</v>
      </c>
    </row>
    <row r="517" spans="1:20" ht="38" customHeight="1" x14ac:dyDescent="0.35">
      <c r="A517" s="830" t="s">
        <v>8480</v>
      </c>
      <c r="B517" s="794" t="s">
        <v>3857</v>
      </c>
      <c r="C517" s="812" t="s">
        <v>3913</v>
      </c>
      <c r="D517" s="825"/>
      <c r="E517" s="825"/>
      <c r="F517" s="825">
        <v>20</v>
      </c>
      <c r="G517" s="814" t="s">
        <v>3858</v>
      </c>
      <c r="H517" s="813" t="s">
        <v>8460</v>
      </c>
      <c r="I517" s="813" t="s">
        <v>3960</v>
      </c>
      <c r="J517" s="813" t="s">
        <v>8461</v>
      </c>
      <c r="K517" s="813" t="s">
        <v>8462</v>
      </c>
      <c r="L517" s="813" t="s">
        <v>3863</v>
      </c>
      <c r="M517" s="813" t="s">
        <v>3157</v>
      </c>
      <c r="N517" s="813" t="s">
        <v>8481</v>
      </c>
      <c r="O517" s="813" t="s">
        <v>3883</v>
      </c>
      <c r="P517" s="813" t="s">
        <v>8482</v>
      </c>
      <c r="Q517" s="813" t="s">
        <v>8483</v>
      </c>
      <c r="R517" s="813">
        <v>1</v>
      </c>
      <c r="S517" s="813" t="s">
        <v>8467</v>
      </c>
      <c r="T517" s="813" t="s">
        <v>6895</v>
      </c>
    </row>
    <row r="518" spans="1:20" ht="28" customHeight="1" x14ac:dyDescent="0.35">
      <c r="A518" s="830" t="s">
        <v>8484</v>
      </c>
      <c r="B518" s="794" t="s">
        <v>3857</v>
      </c>
      <c r="C518" s="812" t="s">
        <v>3913</v>
      </c>
      <c r="D518" s="825"/>
      <c r="E518" s="825"/>
      <c r="F518" s="825">
        <v>2500</v>
      </c>
      <c r="G518" s="814" t="s">
        <v>3858</v>
      </c>
      <c r="H518" s="813" t="s">
        <v>8460</v>
      </c>
      <c r="I518" s="813" t="s">
        <v>3960</v>
      </c>
      <c r="J518" s="813" t="s">
        <v>8461</v>
      </c>
      <c r="K518" s="813" t="s">
        <v>8462</v>
      </c>
      <c r="L518" s="813" t="s">
        <v>3863</v>
      </c>
      <c r="M518" s="813" t="s">
        <v>3157</v>
      </c>
      <c r="N518" s="813" t="s">
        <v>8485</v>
      </c>
      <c r="O518" s="813" t="s">
        <v>3883</v>
      </c>
      <c r="P518" s="813" t="s">
        <v>8486</v>
      </c>
      <c r="Q518" s="813" t="s">
        <v>8487</v>
      </c>
      <c r="R518" s="813">
        <v>1</v>
      </c>
      <c r="S518" s="813" t="s">
        <v>8467</v>
      </c>
      <c r="T518" s="813" t="s">
        <v>6895</v>
      </c>
    </row>
    <row r="519" spans="1:20" ht="38" customHeight="1" x14ac:dyDescent="0.35">
      <c r="A519" s="830" t="s">
        <v>8488</v>
      </c>
      <c r="B519" s="794" t="s">
        <v>3857</v>
      </c>
      <c r="C519" s="812" t="s">
        <v>3913</v>
      </c>
      <c r="D519" s="825">
        <v>100</v>
      </c>
      <c r="E519" s="825"/>
      <c r="F519" s="826"/>
      <c r="G519" s="814" t="s">
        <v>3858</v>
      </c>
      <c r="H519" s="813" t="s">
        <v>8460</v>
      </c>
      <c r="I519" s="813" t="s">
        <v>3960</v>
      </c>
      <c r="J519" s="813" t="s">
        <v>8461</v>
      </c>
      <c r="K519" s="813" t="s">
        <v>8462</v>
      </c>
      <c r="L519" s="813" t="s">
        <v>3863</v>
      </c>
      <c r="M519" s="813" t="s">
        <v>3157</v>
      </c>
      <c r="N519" s="813" t="s">
        <v>8489</v>
      </c>
      <c r="O519" s="813" t="s">
        <v>3883</v>
      </c>
      <c r="P519" s="813" t="s">
        <v>8490</v>
      </c>
      <c r="Q519" s="813" t="s">
        <v>8491</v>
      </c>
      <c r="R519" s="813">
        <v>1</v>
      </c>
      <c r="S519" s="813" t="s">
        <v>8467</v>
      </c>
      <c r="T519" s="813" t="s">
        <v>6895</v>
      </c>
    </row>
    <row r="520" spans="1:20" ht="15" customHeight="1" x14ac:dyDescent="0.35">
      <c r="A520" s="794" t="s">
        <v>8468</v>
      </c>
      <c r="B520" s="794" t="s">
        <v>3857</v>
      </c>
      <c r="C520" s="812" t="s">
        <v>3913</v>
      </c>
      <c r="D520" s="825"/>
      <c r="E520" s="825"/>
      <c r="F520" s="825">
        <v>5</v>
      </c>
      <c r="G520" s="814" t="s">
        <v>3858</v>
      </c>
      <c r="H520" s="813" t="s">
        <v>8460</v>
      </c>
      <c r="I520" s="813" t="s">
        <v>3960</v>
      </c>
      <c r="J520" s="813" t="s">
        <v>8461</v>
      </c>
      <c r="K520" s="813" t="s">
        <v>8462</v>
      </c>
      <c r="L520" s="813" t="s">
        <v>3863</v>
      </c>
      <c r="M520" s="813" t="s">
        <v>3157</v>
      </c>
      <c r="N520" s="813" t="s">
        <v>8492</v>
      </c>
      <c r="O520" s="813" t="s">
        <v>3883</v>
      </c>
      <c r="P520" s="813" t="s">
        <v>8493</v>
      </c>
      <c r="Q520" s="813" t="s">
        <v>8494</v>
      </c>
      <c r="R520" s="813">
        <v>2</v>
      </c>
      <c r="S520" s="813" t="s">
        <v>8467</v>
      </c>
      <c r="T520" s="813" t="s">
        <v>6895</v>
      </c>
    </row>
    <row r="521" spans="1:20" ht="15" customHeight="1" x14ac:dyDescent="0.35">
      <c r="A521" s="794" t="s">
        <v>8495</v>
      </c>
      <c r="B521" s="794" t="s">
        <v>3857</v>
      </c>
      <c r="C521" s="812" t="s">
        <v>3913</v>
      </c>
      <c r="D521" s="825"/>
      <c r="E521" s="825"/>
      <c r="F521" s="825">
        <v>200</v>
      </c>
      <c r="G521" s="814" t="s">
        <v>3858</v>
      </c>
      <c r="H521" s="813" t="s">
        <v>8460</v>
      </c>
      <c r="I521" s="813" t="s">
        <v>3960</v>
      </c>
      <c r="J521" s="813" t="s">
        <v>8461</v>
      </c>
      <c r="K521" s="813" t="s">
        <v>8462</v>
      </c>
      <c r="L521" s="813" t="s">
        <v>3863</v>
      </c>
      <c r="M521" s="813" t="s">
        <v>3157</v>
      </c>
      <c r="N521" s="813" t="s">
        <v>8496</v>
      </c>
      <c r="O521" s="813" t="s">
        <v>3883</v>
      </c>
      <c r="P521" s="813" t="s">
        <v>8497</v>
      </c>
      <c r="Q521" s="813" t="s">
        <v>8498</v>
      </c>
      <c r="R521" s="813">
        <v>1</v>
      </c>
      <c r="S521" s="813" t="s">
        <v>8467</v>
      </c>
      <c r="T521" s="813" t="s">
        <v>6895</v>
      </c>
    </row>
    <row r="522" spans="1:20" ht="15" customHeight="1" x14ac:dyDescent="0.35">
      <c r="A522" s="794" t="s">
        <v>8472</v>
      </c>
      <c r="B522" s="794" t="s">
        <v>3857</v>
      </c>
      <c r="C522" s="812" t="s">
        <v>3913</v>
      </c>
      <c r="D522" s="825">
        <v>50</v>
      </c>
      <c r="E522" s="825"/>
      <c r="F522" s="826"/>
      <c r="G522" s="814" t="s">
        <v>3858</v>
      </c>
      <c r="H522" s="813" t="s">
        <v>8460</v>
      </c>
      <c r="I522" s="813" t="s">
        <v>3960</v>
      </c>
      <c r="J522" s="813" t="s">
        <v>8461</v>
      </c>
      <c r="K522" s="813" t="s">
        <v>8462</v>
      </c>
      <c r="L522" s="813" t="s">
        <v>3863</v>
      </c>
      <c r="M522" s="813" t="s">
        <v>3157</v>
      </c>
      <c r="N522" s="813" t="s">
        <v>8499</v>
      </c>
      <c r="O522" s="813" t="s">
        <v>3883</v>
      </c>
      <c r="P522" s="813" t="s">
        <v>8500</v>
      </c>
      <c r="Q522" s="813" t="s">
        <v>8501</v>
      </c>
      <c r="R522" s="813">
        <v>1</v>
      </c>
      <c r="S522" s="813" t="s">
        <v>8467</v>
      </c>
      <c r="T522" s="813" t="s">
        <v>6895</v>
      </c>
    </row>
    <row r="523" spans="1:20" ht="15" customHeight="1" x14ac:dyDescent="0.35">
      <c r="A523" s="794" t="s">
        <v>8495</v>
      </c>
      <c r="B523" s="794" t="s">
        <v>3857</v>
      </c>
      <c r="C523" s="812" t="s">
        <v>3913</v>
      </c>
      <c r="D523" s="825"/>
      <c r="E523" s="825"/>
      <c r="F523" s="825">
        <v>90</v>
      </c>
      <c r="G523" s="814" t="s">
        <v>3858</v>
      </c>
      <c r="H523" s="813" t="s">
        <v>8460</v>
      </c>
      <c r="I523" s="813" t="s">
        <v>3960</v>
      </c>
      <c r="J523" s="813" t="s">
        <v>8461</v>
      </c>
      <c r="K523" s="813" t="s">
        <v>8462</v>
      </c>
      <c r="L523" s="813" t="s">
        <v>3863</v>
      </c>
      <c r="M523" s="813" t="s">
        <v>3157</v>
      </c>
      <c r="N523" s="813" t="s">
        <v>8502</v>
      </c>
      <c r="O523" s="813" t="s">
        <v>3883</v>
      </c>
      <c r="P523" s="813" t="s">
        <v>8503</v>
      </c>
      <c r="Q523" s="813" t="s">
        <v>8504</v>
      </c>
      <c r="R523" s="813">
        <v>1</v>
      </c>
      <c r="S523" s="813" t="s">
        <v>8467</v>
      </c>
      <c r="T523" s="813" t="s">
        <v>6895</v>
      </c>
    </row>
    <row r="524" spans="1:20" ht="15" customHeight="1" x14ac:dyDescent="0.35">
      <c r="A524" s="794" t="s">
        <v>8472</v>
      </c>
      <c r="B524" s="794" t="s">
        <v>3857</v>
      </c>
      <c r="C524" s="812" t="s">
        <v>3913</v>
      </c>
      <c r="D524" s="825">
        <v>25</v>
      </c>
      <c r="E524" s="825"/>
      <c r="F524" s="826"/>
      <c r="G524" s="814" t="s">
        <v>3858</v>
      </c>
      <c r="H524" s="813" t="s">
        <v>8460</v>
      </c>
      <c r="I524" s="813" t="s">
        <v>3960</v>
      </c>
      <c r="J524" s="813" t="s">
        <v>8461</v>
      </c>
      <c r="K524" s="813" t="s">
        <v>8462</v>
      </c>
      <c r="L524" s="813" t="s">
        <v>3863</v>
      </c>
      <c r="M524" s="813" t="s">
        <v>3157</v>
      </c>
      <c r="N524" s="813" t="s">
        <v>8505</v>
      </c>
      <c r="O524" s="813" t="s">
        <v>3883</v>
      </c>
      <c r="P524" s="813" t="s">
        <v>8506</v>
      </c>
      <c r="Q524" s="813" t="s">
        <v>8507</v>
      </c>
      <c r="R524" s="813">
        <v>1</v>
      </c>
      <c r="S524" s="813" t="s">
        <v>8467</v>
      </c>
      <c r="T524" s="813" t="s">
        <v>6895</v>
      </c>
    </row>
    <row r="525" spans="1:20" ht="15" customHeight="1" x14ac:dyDescent="0.35">
      <c r="A525" s="794" t="s">
        <v>8468</v>
      </c>
      <c r="B525" s="794" t="s">
        <v>3857</v>
      </c>
      <c r="C525" s="812" t="s">
        <v>3913</v>
      </c>
      <c r="D525" s="825"/>
      <c r="E525" s="825"/>
      <c r="F525" s="825">
        <v>7</v>
      </c>
      <c r="G525" s="814" t="s">
        <v>3858</v>
      </c>
      <c r="H525" s="813" t="s">
        <v>8460</v>
      </c>
      <c r="I525" s="813" t="s">
        <v>3960</v>
      </c>
      <c r="J525" s="813" t="s">
        <v>8461</v>
      </c>
      <c r="K525" s="813" t="s">
        <v>8462</v>
      </c>
      <c r="L525" s="813" t="s">
        <v>3863</v>
      </c>
      <c r="M525" s="813" t="s">
        <v>3157</v>
      </c>
      <c r="N525" s="813" t="s">
        <v>8508</v>
      </c>
      <c r="O525" s="813" t="s">
        <v>3883</v>
      </c>
      <c r="P525" s="813" t="s">
        <v>8509</v>
      </c>
      <c r="Q525" s="813" t="s">
        <v>8510</v>
      </c>
      <c r="R525" s="813">
        <v>1</v>
      </c>
      <c r="S525" s="813" t="s">
        <v>8467</v>
      </c>
      <c r="T525" s="813" t="s">
        <v>6895</v>
      </c>
    </row>
    <row r="526" spans="1:20" ht="15" customHeight="1" x14ac:dyDescent="0.35">
      <c r="A526" s="794" t="s">
        <v>8495</v>
      </c>
      <c r="B526" s="794" t="s">
        <v>3857</v>
      </c>
      <c r="C526" s="812" t="s">
        <v>3913</v>
      </c>
      <c r="D526" s="825"/>
      <c r="E526" s="825"/>
      <c r="F526" s="825">
        <v>100</v>
      </c>
      <c r="G526" s="814" t="s">
        <v>3858</v>
      </c>
      <c r="H526" s="813" t="s">
        <v>8460</v>
      </c>
      <c r="I526" s="813" t="s">
        <v>3960</v>
      </c>
      <c r="J526" s="813" t="s">
        <v>8461</v>
      </c>
      <c r="K526" s="813" t="s">
        <v>8462</v>
      </c>
      <c r="L526" s="813" t="s">
        <v>3863</v>
      </c>
      <c r="M526" s="813" t="s">
        <v>3157</v>
      </c>
      <c r="N526" s="813" t="s">
        <v>8511</v>
      </c>
      <c r="O526" s="813" t="s">
        <v>3883</v>
      </c>
      <c r="P526" s="813" t="s">
        <v>8512</v>
      </c>
      <c r="Q526" s="813" t="s">
        <v>8513</v>
      </c>
      <c r="R526" s="813">
        <v>1</v>
      </c>
      <c r="S526" s="813" t="s">
        <v>8467</v>
      </c>
      <c r="T526" s="813" t="s">
        <v>6895</v>
      </c>
    </row>
    <row r="527" spans="1:20" ht="28" customHeight="1" x14ac:dyDescent="0.35">
      <c r="A527" s="830" t="s">
        <v>8514</v>
      </c>
      <c r="B527" s="794" t="s">
        <v>3857</v>
      </c>
      <c r="C527" s="812" t="s">
        <v>3913</v>
      </c>
      <c r="D527" s="825"/>
      <c r="E527" s="825"/>
      <c r="F527" s="825">
        <v>365</v>
      </c>
      <c r="G527" s="814" t="s">
        <v>3858</v>
      </c>
      <c r="H527" s="813" t="s">
        <v>8460</v>
      </c>
      <c r="I527" s="813" t="s">
        <v>3960</v>
      </c>
      <c r="J527" s="813" t="s">
        <v>8461</v>
      </c>
      <c r="K527" s="813" t="s">
        <v>8462</v>
      </c>
      <c r="L527" s="813" t="s">
        <v>3863</v>
      </c>
      <c r="M527" s="813" t="s">
        <v>3157</v>
      </c>
      <c r="N527" s="813" t="s">
        <v>8515</v>
      </c>
      <c r="O527" s="813" t="s">
        <v>3883</v>
      </c>
      <c r="P527" s="813" t="s">
        <v>8516</v>
      </c>
      <c r="Q527" s="813" t="s">
        <v>8517</v>
      </c>
      <c r="R527" s="813">
        <v>1</v>
      </c>
      <c r="S527" s="813" t="s">
        <v>8467</v>
      </c>
      <c r="T527" s="813" t="s">
        <v>6895</v>
      </c>
    </row>
    <row r="528" spans="1:20" ht="38" customHeight="1" x14ac:dyDescent="0.35">
      <c r="A528" s="830" t="s">
        <v>8518</v>
      </c>
      <c r="B528" s="794" t="s">
        <v>3857</v>
      </c>
      <c r="C528" s="812" t="s">
        <v>3913</v>
      </c>
      <c r="D528" s="825"/>
      <c r="E528" s="825"/>
      <c r="F528" s="825">
        <v>7</v>
      </c>
      <c r="G528" s="814" t="s">
        <v>3858</v>
      </c>
      <c r="H528" s="813" t="s">
        <v>8460</v>
      </c>
      <c r="I528" s="813" t="s">
        <v>3960</v>
      </c>
      <c r="J528" s="813" t="s">
        <v>8461</v>
      </c>
      <c r="K528" s="813" t="s">
        <v>8462</v>
      </c>
      <c r="L528" s="813" t="s">
        <v>3863</v>
      </c>
      <c r="M528" s="813" t="s">
        <v>3157</v>
      </c>
      <c r="N528" s="813" t="s">
        <v>8519</v>
      </c>
      <c r="O528" s="813" t="s">
        <v>3883</v>
      </c>
      <c r="P528" s="813" t="s">
        <v>8520</v>
      </c>
      <c r="Q528" s="813" t="s">
        <v>8521</v>
      </c>
      <c r="R528" s="813">
        <v>1</v>
      </c>
      <c r="S528" s="813" t="s">
        <v>8467</v>
      </c>
      <c r="T528" s="813" t="s">
        <v>6895</v>
      </c>
    </row>
    <row r="529" spans="1:20" ht="28" customHeight="1" x14ac:dyDescent="0.35">
      <c r="A529" s="830" t="s">
        <v>8522</v>
      </c>
      <c r="B529" s="794" t="s">
        <v>3857</v>
      </c>
      <c r="C529" s="812" t="s">
        <v>3913</v>
      </c>
      <c r="D529" s="825"/>
      <c r="E529" s="825"/>
      <c r="F529" s="825">
        <v>150</v>
      </c>
      <c r="G529" s="814" t="s">
        <v>3858</v>
      </c>
      <c r="H529" s="813" t="s">
        <v>8460</v>
      </c>
      <c r="I529" s="813" t="s">
        <v>3960</v>
      </c>
      <c r="J529" s="813" t="s">
        <v>8461</v>
      </c>
      <c r="K529" s="813" t="s">
        <v>8462</v>
      </c>
      <c r="L529" s="813" t="s">
        <v>3863</v>
      </c>
      <c r="M529" s="813" t="s">
        <v>3157</v>
      </c>
      <c r="N529" s="813" t="s">
        <v>8523</v>
      </c>
      <c r="O529" s="813" t="s">
        <v>3883</v>
      </c>
      <c r="P529" s="813" t="s">
        <v>8524</v>
      </c>
      <c r="Q529" s="813" t="s">
        <v>8525</v>
      </c>
      <c r="R529" s="813">
        <v>1</v>
      </c>
      <c r="S529" s="813" t="s">
        <v>8467</v>
      </c>
      <c r="T529" s="813" t="s">
        <v>6895</v>
      </c>
    </row>
    <row r="530" spans="1:20" ht="28" customHeight="1" x14ac:dyDescent="0.35">
      <c r="A530" s="830" t="s">
        <v>8526</v>
      </c>
      <c r="B530" s="794" t="s">
        <v>3857</v>
      </c>
      <c r="C530" s="812" t="s">
        <v>3913</v>
      </c>
      <c r="D530" s="825">
        <v>0</v>
      </c>
      <c r="E530" s="825"/>
      <c r="F530" s="826"/>
      <c r="G530" s="814" t="s">
        <v>3858</v>
      </c>
      <c r="H530" s="813" t="s">
        <v>8460</v>
      </c>
      <c r="I530" s="813" t="s">
        <v>3960</v>
      </c>
      <c r="J530" s="813" t="s">
        <v>8461</v>
      </c>
      <c r="K530" s="813" t="s">
        <v>8462</v>
      </c>
      <c r="L530" s="813" t="s">
        <v>3863</v>
      </c>
      <c r="M530" s="813" t="s">
        <v>3157</v>
      </c>
      <c r="N530" s="813" t="s">
        <v>8527</v>
      </c>
      <c r="O530" s="813" t="s">
        <v>3883</v>
      </c>
      <c r="P530" s="813" t="s">
        <v>8528</v>
      </c>
      <c r="Q530" s="813" t="s">
        <v>8529</v>
      </c>
      <c r="R530" s="813">
        <v>1</v>
      </c>
      <c r="S530" s="813" t="s">
        <v>8467</v>
      </c>
      <c r="T530" s="813" t="s">
        <v>6895</v>
      </c>
    </row>
    <row r="531" spans="1:20" ht="15" customHeight="1" x14ac:dyDescent="0.35">
      <c r="A531" s="803" t="s">
        <v>8530</v>
      </c>
      <c r="B531" s="803"/>
      <c r="C531" s="803"/>
      <c r="D531" s="803"/>
      <c r="E531" s="803"/>
      <c r="F531" s="803"/>
      <c r="G531" s="803" t="s">
        <v>8531</v>
      </c>
      <c r="H531" s="794"/>
      <c r="I531" s="794"/>
      <c r="J531" s="794"/>
      <c r="K531" s="794"/>
      <c r="L531" s="794"/>
      <c r="M531" s="794"/>
      <c r="N531" s="794"/>
      <c r="O531" s="794"/>
      <c r="P531" s="794"/>
      <c r="Q531" s="794"/>
      <c r="R531" s="794"/>
      <c r="S531" s="794"/>
      <c r="T531" s="794"/>
    </row>
    <row r="532" spans="1:20" ht="15" customHeight="1" x14ac:dyDescent="0.35">
      <c r="A532" s="794" t="s">
        <v>8532</v>
      </c>
      <c r="B532" s="794" t="s">
        <v>3857</v>
      </c>
      <c r="C532" s="812" t="s">
        <v>3913</v>
      </c>
      <c r="D532" s="825"/>
      <c r="E532" s="825"/>
      <c r="F532" s="825">
        <v>1</v>
      </c>
      <c r="G532" s="814" t="s">
        <v>3858</v>
      </c>
      <c r="H532" s="813" t="s">
        <v>8460</v>
      </c>
      <c r="I532" s="813" t="s">
        <v>3960</v>
      </c>
      <c r="J532" s="813" t="s">
        <v>8533</v>
      </c>
      <c r="K532" s="813" t="s">
        <v>8462</v>
      </c>
      <c r="L532" s="813" t="s">
        <v>3863</v>
      </c>
      <c r="M532" s="813" t="s">
        <v>3157</v>
      </c>
      <c r="N532" s="813" t="s">
        <v>8534</v>
      </c>
      <c r="O532" s="813" t="s">
        <v>3883</v>
      </c>
      <c r="P532" s="813" t="s">
        <v>8535</v>
      </c>
      <c r="Q532" s="813" t="s">
        <v>8536</v>
      </c>
      <c r="R532" s="813">
        <v>2</v>
      </c>
      <c r="S532" s="813" t="s">
        <v>8467</v>
      </c>
      <c r="T532" s="813" t="s">
        <v>6895</v>
      </c>
    </row>
    <row r="533" spans="1:20" ht="15" customHeight="1" x14ac:dyDescent="0.35">
      <c r="A533" s="794" t="s">
        <v>8537</v>
      </c>
      <c r="B533" s="794" t="s">
        <v>3857</v>
      </c>
      <c r="C533" s="812" t="s">
        <v>3913</v>
      </c>
      <c r="D533" s="825"/>
      <c r="E533" s="825"/>
      <c r="F533" s="825">
        <v>20</v>
      </c>
      <c r="G533" s="814" t="s">
        <v>3858</v>
      </c>
      <c r="H533" s="813" t="s">
        <v>8460</v>
      </c>
      <c r="I533" s="813" t="s">
        <v>3960</v>
      </c>
      <c r="J533" s="813" t="s">
        <v>8533</v>
      </c>
      <c r="K533" s="813" t="s">
        <v>8462</v>
      </c>
      <c r="L533" s="813" t="s">
        <v>3863</v>
      </c>
      <c r="M533" s="813" t="s">
        <v>3157</v>
      </c>
      <c r="N533" s="813" t="s">
        <v>8538</v>
      </c>
      <c r="O533" s="813" t="s">
        <v>3883</v>
      </c>
      <c r="P533" s="813" t="s">
        <v>8539</v>
      </c>
      <c r="Q533" s="813" t="s">
        <v>8540</v>
      </c>
      <c r="R533" s="813">
        <v>2</v>
      </c>
      <c r="S533" s="813" t="s">
        <v>8467</v>
      </c>
      <c r="T533" s="813" t="s">
        <v>6895</v>
      </c>
    </row>
    <row r="534" spans="1:20" ht="15" customHeight="1" x14ac:dyDescent="0.35">
      <c r="A534" s="794" t="s">
        <v>8541</v>
      </c>
      <c r="B534" s="794" t="s">
        <v>3857</v>
      </c>
      <c r="C534" s="812" t="s">
        <v>3913</v>
      </c>
      <c r="D534" s="825"/>
      <c r="E534" s="825"/>
      <c r="F534" s="825">
        <v>5000</v>
      </c>
      <c r="G534" s="814" t="s">
        <v>3858</v>
      </c>
      <c r="H534" s="813" t="s">
        <v>8460</v>
      </c>
      <c r="I534" s="813" t="s">
        <v>3960</v>
      </c>
      <c r="J534" s="813" t="s">
        <v>8533</v>
      </c>
      <c r="K534" s="813" t="s">
        <v>8462</v>
      </c>
      <c r="L534" s="813" t="s">
        <v>3863</v>
      </c>
      <c r="M534" s="813" t="s">
        <v>3157</v>
      </c>
      <c r="N534" s="813" t="s">
        <v>8542</v>
      </c>
      <c r="O534" s="813" t="s">
        <v>3925</v>
      </c>
      <c r="P534" s="813" t="s">
        <v>8543</v>
      </c>
      <c r="Q534" s="813" t="s">
        <v>8544</v>
      </c>
      <c r="R534" s="813">
        <v>2</v>
      </c>
      <c r="S534" s="813" t="s">
        <v>8467</v>
      </c>
      <c r="T534" s="813" t="s">
        <v>6895</v>
      </c>
    </row>
    <row r="535" spans="1:20" ht="15" customHeight="1" x14ac:dyDescent="0.35">
      <c r="A535" s="794" t="s">
        <v>8545</v>
      </c>
      <c r="B535" s="794" t="s">
        <v>3857</v>
      </c>
      <c r="C535" s="812" t="s">
        <v>3913</v>
      </c>
      <c r="D535" s="825">
        <v>750</v>
      </c>
      <c r="E535" s="825"/>
      <c r="F535" s="826"/>
      <c r="G535" s="814" t="s">
        <v>3858</v>
      </c>
      <c r="H535" s="813" t="s">
        <v>8460</v>
      </c>
      <c r="I535" s="813" t="s">
        <v>3960</v>
      </c>
      <c r="J535" s="813" t="s">
        <v>8533</v>
      </c>
      <c r="K535" s="813" t="s">
        <v>8462</v>
      </c>
      <c r="L535" s="813" t="s">
        <v>3863</v>
      </c>
      <c r="M535" s="813" t="s">
        <v>3157</v>
      </c>
      <c r="N535" s="813" t="s">
        <v>8546</v>
      </c>
      <c r="O535" s="813" t="s">
        <v>3883</v>
      </c>
      <c r="P535" s="813" t="s">
        <v>8547</v>
      </c>
      <c r="Q535" s="813" t="s">
        <v>8548</v>
      </c>
      <c r="R535" s="813">
        <v>1</v>
      </c>
      <c r="S535" s="813" t="s">
        <v>8467</v>
      </c>
      <c r="T535" s="813" t="s">
        <v>6895</v>
      </c>
    </row>
    <row r="536" spans="1:20" ht="15" customHeight="1" x14ac:dyDescent="0.35">
      <c r="A536" s="794" t="s">
        <v>8545</v>
      </c>
      <c r="B536" s="794" t="s">
        <v>3857</v>
      </c>
      <c r="C536" s="812" t="s">
        <v>3913</v>
      </c>
      <c r="D536" s="825">
        <v>250</v>
      </c>
      <c r="E536" s="825"/>
      <c r="F536" s="826"/>
      <c r="G536" s="814" t="s">
        <v>3858</v>
      </c>
      <c r="H536" s="813" t="s">
        <v>8460</v>
      </c>
      <c r="I536" s="813" t="s">
        <v>3960</v>
      </c>
      <c r="J536" s="813" t="s">
        <v>8533</v>
      </c>
      <c r="K536" s="813" t="s">
        <v>8462</v>
      </c>
      <c r="L536" s="813" t="s">
        <v>3863</v>
      </c>
      <c r="M536" s="813" t="s">
        <v>3157</v>
      </c>
      <c r="N536" s="813" t="s">
        <v>8549</v>
      </c>
      <c r="O536" s="813" t="s">
        <v>3883</v>
      </c>
      <c r="P536" s="813" t="s">
        <v>8550</v>
      </c>
      <c r="Q536" s="813" t="s">
        <v>8551</v>
      </c>
      <c r="R536" s="813">
        <v>1</v>
      </c>
      <c r="S536" s="813" t="s">
        <v>8467</v>
      </c>
      <c r="T536" s="813" t="s">
        <v>6895</v>
      </c>
    </row>
    <row r="537" spans="1:20" ht="15" customHeight="1" x14ac:dyDescent="0.35">
      <c r="A537" s="794" t="s">
        <v>8552</v>
      </c>
      <c r="B537" s="794" t="s">
        <v>3857</v>
      </c>
      <c r="C537" s="812" t="s">
        <v>3913</v>
      </c>
      <c r="D537" s="825"/>
      <c r="E537" s="825"/>
      <c r="F537" s="825">
        <v>8</v>
      </c>
      <c r="G537" s="814" t="s">
        <v>3858</v>
      </c>
      <c r="H537" s="813" t="s">
        <v>8460</v>
      </c>
      <c r="I537" s="813" t="s">
        <v>3960</v>
      </c>
      <c r="J537" s="813" t="s">
        <v>8533</v>
      </c>
      <c r="K537" s="813" t="s">
        <v>8462</v>
      </c>
      <c r="L537" s="813" t="s">
        <v>3863</v>
      </c>
      <c r="M537" s="813" t="s">
        <v>3157</v>
      </c>
      <c r="N537" s="813" t="s">
        <v>8553</v>
      </c>
      <c r="O537" s="813" t="s">
        <v>3883</v>
      </c>
      <c r="P537" s="813" t="s">
        <v>8554</v>
      </c>
      <c r="Q537" s="813" t="s">
        <v>8555</v>
      </c>
      <c r="R537" s="813">
        <v>1</v>
      </c>
      <c r="S537" s="813" t="s">
        <v>8467</v>
      </c>
      <c r="T537" s="813" t="s">
        <v>6895</v>
      </c>
    </row>
    <row r="538" spans="1:20" ht="15" customHeight="1" x14ac:dyDescent="0.35">
      <c r="A538" s="794" t="s">
        <v>8556</v>
      </c>
      <c r="B538" s="794" t="s">
        <v>3857</v>
      </c>
      <c r="C538" s="812" t="s">
        <v>3913</v>
      </c>
      <c r="D538" s="825"/>
      <c r="E538" s="825"/>
      <c r="F538" s="825">
        <v>8</v>
      </c>
      <c r="G538" s="814" t="s">
        <v>3858</v>
      </c>
      <c r="H538" s="813" t="s">
        <v>8460</v>
      </c>
      <c r="I538" s="813" t="s">
        <v>3960</v>
      </c>
      <c r="J538" s="813" t="s">
        <v>8533</v>
      </c>
      <c r="K538" s="813" t="s">
        <v>8462</v>
      </c>
      <c r="L538" s="813" t="s">
        <v>3863</v>
      </c>
      <c r="M538" s="813" t="s">
        <v>3157</v>
      </c>
      <c r="N538" s="813" t="s">
        <v>8557</v>
      </c>
      <c r="O538" s="813" t="s">
        <v>3883</v>
      </c>
      <c r="P538" s="813" t="s">
        <v>8558</v>
      </c>
      <c r="Q538" s="813" t="s">
        <v>8559</v>
      </c>
      <c r="R538" s="813">
        <v>1</v>
      </c>
      <c r="S538" s="813" t="s">
        <v>8467</v>
      </c>
      <c r="T538" s="813" t="s">
        <v>6895</v>
      </c>
    </row>
    <row r="539" spans="1:20" ht="15" customHeight="1" x14ac:dyDescent="0.35">
      <c r="A539" s="794" t="s">
        <v>8560</v>
      </c>
      <c r="B539" s="794" t="s">
        <v>3857</v>
      </c>
      <c r="C539" s="812" t="s">
        <v>3913</v>
      </c>
      <c r="D539" s="825"/>
      <c r="E539" s="825"/>
      <c r="F539" s="825">
        <v>1500</v>
      </c>
      <c r="G539" s="814" t="s">
        <v>3858</v>
      </c>
      <c r="H539" s="813" t="s">
        <v>8460</v>
      </c>
      <c r="I539" s="813" t="s">
        <v>3960</v>
      </c>
      <c r="J539" s="813" t="s">
        <v>8533</v>
      </c>
      <c r="K539" s="813" t="s">
        <v>8462</v>
      </c>
      <c r="L539" s="813" t="s">
        <v>3863</v>
      </c>
      <c r="M539" s="813" t="s">
        <v>3157</v>
      </c>
      <c r="N539" s="813" t="s">
        <v>8561</v>
      </c>
      <c r="O539" s="813" t="s">
        <v>3925</v>
      </c>
      <c r="P539" s="813" t="s">
        <v>8562</v>
      </c>
      <c r="Q539" s="813" t="s">
        <v>8563</v>
      </c>
      <c r="R539" s="813">
        <v>1</v>
      </c>
      <c r="S539" s="813" t="s">
        <v>8467</v>
      </c>
      <c r="T539" s="813" t="s">
        <v>6895</v>
      </c>
    </row>
    <row r="540" spans="1:20" ht="15" customHeight="1" x14ac:dyDescent="0.35">
      <c r="A540" s="794" t="s">
        <v>8564</v>
      </c>
      <c r="B540" s="794" t="s">
        <v>3857</v>
      </c>
      <c r="C540" s="812" t="s">
        <v>3913</v>
      </c>
      <c r="D540" s="825">
        <v>50</v>
      </c>
      <c r="E540" s="825"/>
      <c r="F540" s="826"/>
      <c r="G540" s="814" t="s">
        <v>3858</v>
      </c>
      <c r="H540" s="813" t="s">
        <v>8460</v>
      </c>
      <c r="I540" s="813" t="s">
        <v>3960</v>
      </c>
      <c r="J540" s="813" t="s">
        <v>8533</v>
      </c>
      <c r="K540" s="813" t="s">
        <v>8462</v>
      </c>
      <c r="L540" s="813" t="s">
        <v>3863</v>
      </c>
      <c r="M540" s="813" t="s">
        <v>3157</v>
      </c>
      <c r="N540" s="813" t="s">
        <v>8565</v>
      </c>
      <c r="O540" s="813" t="s">
        <v>3883</v>
      </c>
      <c r="P540" s="813" t="s">
        <v>8566</v>
      </c>
      <c r="Q540" s="813" t="s">
        <v>8567</v>
      </c>
      <c r="R540" s="813">
        <v>1</v>
      </c>
      <c r="S540" s="813" t="s">
        <v>8467</v>
      </c>
      <c r="T540" s="813" t="s">
        <v>6895</v>
      </c>
    </row>
    <row r="541" spans="1:20" ht="15" customHeight="1" x14ac:dyDescent="0.35">
      <c r="A541" s="794" t="s">
        <v>8568</v>
      </c>
      <c r="B541" s="794" t="s">
        <v>3857</v>
      </c>
      <c r="C541" s="812" t="s">
        <v>3913</v>
      </c>
      <c r="D541" s="825"/>
      <c r="E541" s="825"/>
      <c r="F541" s="825">
        <v>10</v>
      </c>
      <c r="G541" s="814" t="s">
        <v>3858</v>
      </c>
      <c r="H541" s="813" t="s">
        <v>8460</v>
      </c>
      <c r="I541" s="813" t="s">
        <v>3960</v>
      </c>
      <c r="J541" s="813" t="s">
        <v>8533</v>
      </c>
      <c r="K541" s="813" t="s">
        <v>8462</v>
      </c>
      <c r="L541" s="813" t="s">
        <v>3863</v>
      </c>
      <c r="M541" s="813" t="s">
        <v>3157</v>
      </c>
      <c r="N541" s="813" t="s">
        <v>8569</v>
      </c>
      <c r="O541" s="813" t="s">
        <v>3883</v>
      </c>
      <c r="P541" s="813" t="s">
        <v>8570</v>
      </c>
      <c r="Q541" s="813" t="s">
        <v>8571</v>
      </c>
      <c r="R541" s="813">
        <v>1</v>
      </c>
      <c r="S541" s="813" t="s">
        <v>8467</v>
      </c>
      <c r="T541" s="813" t="s">
        <v>6895</v>
      </c>
    </row>
    <row r="542" spans="1:20" ht="15" customHeight="1" x14ac:dyDescent="0.35">
      <c r="A542" s="794" t="s">
        <v>8572</v>
      </c>
      <c r="B542" s="794" t="s">
        <v>3857</v>
      </c>
      <c r="C542" s="812" t="s">
        <v>3913</v>
      </c>
      <c r="D542" s="825"/>
      <c r="E542" s="825"/>
      <c r="F542" s="825">
        <v>15</v>
      </c>
      <c r="G542" s="814" t="s">
        <v>3858</v>
      </c>
      <c r="H542" s="813" t="s">
        <v>8460</v>
      </c>
      <c r="I542" s="813" t="s">
        <v>3960</v>
      </c>
      <c r="J542" s="813" t="s">
        <v>8533</v>
      </c>
      <c r="K542" s="813" t="s">
        <v>8462</v>
      </c>
      <c r="L542" s="813" t="s">
        <v>3863</v>
      </c>
      <c r="M542" s="813" t="s">
        <v>3157</v>
      </c>
      <c r="N542" s="813" t="s">
        <v>8573</v>
      </c>
      <c r="O542" s="813" t="s">
        <v>3883</v>
      </c>
      <c r="P542" s="813" t="s">
        <v>8574</v>
      </c>
      <c r="Q542" s="813" t="s">
        <v>8575</v>
      </c>
      <c r="R542" s="813">
        <v>1</v>
      </c>
      <c r="S542" s="813" t="s">
        <v>8467</v>
      </c>
      <c r="T542" s="813" t="s">
        <v>6895</v>
      </c>
    </row>
    <row r="543" spans="1:20" ht="15" customHeight="1" x14ac:dyDescent="0.35">
      <c r="A543" s="794" t="s">
        <v>8576</v>
      </c>
      <c r="B543" s="794" t="s">
        <v>3857</v>
      </c>
      <c r="C543" s="812" t="s">
        <v>3913</v>
      </c>
      <c r="D543" s="825"/>
      <c r="E543" s="825"/>
      <c r="F543" s="825">
        <v>2500</v>
      </c>
      <c r="G543" s="814" t="s">
        <v>3858</v>
      </c>
      <c r="H543" s="813" t="s">
        <v>8460</v>
      </c>
      <c r="I543" s="813" t="s">
        <v>3960</v>
      </c>
      <c r="J543" s="813" t="s">
        <v>8533</v>
      </c>
      <c r="K543" s="813" t="s">
        <v>8462</v>
      </c>
      <c r="L543" s="813" t="s">
        <v>3863</v>
      </c>
      <c r="M543" s="813" t="s">
        <v>3157</v>
      </c>
      <c r="N543" s="813" t="s">
        <v>8577</v>
      </c>
      <c r="O543" s="813" t="s">
        <v>3925</v>
      </c>
      <c r="P543" s="813" t="s">
        <v>8578</v>
      </c>
      <c r="Q543" s="813" t="s">
        <v>8579</v>
      </c>
      <c r="R543" s="813">
        <v>1</v>
      </c>
      <c r="S543" s="813" t="s">
        <v>8467</v>
      </c>
      <c r="T543" s="813" t="s">
        <v>6895</v>
      </c>
    </row>
    <row r="544" spans="1:20" ht="15" customHeight="1" x14ac:dyDescent="0.35">
      <c r="A544" s="794" t="s">
        <v>8580</v>
      </c>
      <c r="B544" s="794" t="s">
        <v>3857</v>
      </c>
      <c r="C544" s="812" t="s">
        <v>3913</v>
      </c>
      <c r="D544" s="825">
        <v>25</v>
      </c>
      <c r="E544" s="825"/>
      <c r="F544" s="826"/>
      <c r="G544" s="814" t="s">
        <v>3858</v>
      </c>
      <c r="H544" s="813" t="s">
        <v>8460</v>
      </c>
      <c r="I544" s="813" t="s">
        <v>3960</v>
      </c>
      <c r="J544" s="813" t="s">
        <v>8533</v>
      </c>
      <c r="K544" s="813" t="s">
        <v>8462</v>
      </c>
      <c r="L544" s="813" t="s">
        <v>3863</v>
      </c>
      <c r="M544" s="813" t="s">
        <v>3157</v>
      </c>
      <c r="N544" s="813" t="s">
        <v>8581</v>
      </c>
      <c r="O544" s="813" t="s">
        <v>3883</v>
      </c>
      <c r="P544" s="813" t="s">
        <v>8582</v>
      </c>
      <c r="Q544" s="813" t="s">
        <v>8583</v>
      </c>
      <c r="R544" s="813">
        <v>1</v>
      </c>
      <c r="S544" s="813" t="s">
        <v>8467</v>
      </c>
      <c r="T544" s="813" t="s">
        <v>6895</v>
      </c>
    </row>
    <row r="545" spans="1:20" ht="15" customHeight="1" x14ac:dyDescent="0.35">
      <c r="A545" s="794" t="s">
        <v>8584</v>
      </c>
      <c r="B545" s="794" t="s">
        <v>3857</v>
      </c>
      <c r="C545" s="812" t="s">
        <v>3913</v>
      </c>
      <c r="D545" s="825"/>
      <c r="E545" s="825"/>
      <c r="F545" s="825">
        <v>6</v>
      </c>
      <c r="G545" s="814" t="s">
        <v>3858</v>
      </c>
      <c r="H545" s="813" t="s">
        <v>8460</v>
      </c>
      <c r="I545" s="813" t="s">
        <v>3960</v>
      </c>
      <c r="J545" s="813" t="s">
        <v>8533</v>
      </c>
      <c r="K545" s="813" t="s">
        <v>8462</v>
      </c>
      <c r="L545" s="813" t="s">
        <v>3863</v>
      </c>
      <c r="M545" s="813" t="s">
        <v>3157</v>
      </c>
      <c r="N545" s="813" t="s">
        <v>8585</v>
      </c>
      <c r="O545" s="813" t="s">
        <v>3883</v>
      </c>
      <c r="P545" s="813" t="s">
        <v>8586</v>
      </c>
      <c r="Q545" s="813" t="s">
        <v>8587</v>
      </c>
      <c r="R545" s="813">
        <v>1</v>
      </c>
      <c r="S545" s="813" t="s">
        <v>8467</v>
      </c>
      <c r="T545" s="813" t="s">
        <v>6895</v>
      </c>
    </row>
    <row r="546" spans="1:20" ht="15" customHeight="1" x14ac:dyDescent="0.35">
      <c r="A546" s="794" t="s">
        <v>8588</v>
      </c>
      <c r="B546" s="794" t="s">
        <v>3857</v>
      </c>
      <c r="C546" s="812" t="s">
        <v>3913</v>
      </c>
      <c r="D546" s="825"/>
      <c r="E546" s="825"/>
      <c r="F546" s="825">
        <v>8</v>
      </c>
      <c r="G546" s="814" t="s">
        <v>3858</v>
      </c>
      <c r="H546" s="813" t="s">
        <v>8460</v>
      </c>
      <c r="I546" s="813" t="s">
        <v>3960</v>
      </c>
      <c r="J546" s="813" t="s">
        <v>8533</v>
      </c>
      <c r="K546" s="813" t="s">
        <v>8462</v>
      </c>
      <c r="L546" s="813" t="s">
        <v>3863</v>
      </c>
      <c r="M546" s="813" t="s">
        <v>3157</v>
      </c>
      <c r="N546" s="813" t="s">
        <v>8589</v>
      </c>
      <c r="O546" s="813" t="s">
        <v>3883</v>
      </c>
      <c r="P546" s="813" t="s">
        <v>8590</v>
      </c>
      <c r="Q546" s="813" t="s">
        <v>8591</v>
      </c>
      <c r="R546" s="813">
        <v>1</v>
      </c>
      <c r="S546" s="813" t="s">
        <v>8467</v>
      </c>
      <c r="T546" s="813" t="s">
        <v>6895</v>
      </c>
    </row>
    <row r="547" spans="1:20" ht="15" customHeight="1" x14ac:dyDescent="0.35">
      <c r="A547" s="794" t="s">
        <v>8592</v>
      </c>
      <c r="B547" s="794" t="s">
        <v>3857</v>
      </c>
      <c r="C547" s="812" t="s">
        <v>3913</v>
      </c>
      <c r="D547" s="825"/>
      <c r="E547" s="825"/>
      <c r="F547" s="825">
        <v>2500</v>
      </c>
      <c r="G547" s="814" t="s">
        <v>3858</v>
      </c>
      <c r="H547" s="813" t="s">
        <v>8460</v>
      </c>
      <c r="I547" s="813" t="s">
        <v>3960</v>
      </c>
      <c r="J547" s="813" t="s">
        <v>8533</v>
      </c>
      <c r="K547" s="813" t="s">
        <v>8462</v>
      </c>
      <c r="L547" s="813" t="s">
        <v>3863</v>
      </c>
      <c r="M547" s="813" t="s">
        <v>3157</v>
      </c>
      <c r="N547" s="813" t="s">
        <v>8593</v>
      </c>
      <c r="O547" s="813" t="s">
        <v>3925</v>
      </c>
      <c r="P547" s="813" t="s">
        <v>8594</v>
      </c>
      <c r="Q547" s="813" t="s">
        <v>8595</v>
      </c>
      <c r="R547" s="813">
        <v>1</v>
      </c>
      <c r="S547" s="813" t="s">
        <v>8467</v>
      </c>
      <c r="T547" s="813" t="s">
        <v>6895</v>
      </c>
    </row>
    <row r="548" spans="1:20" ht="15" customHeight="1" x14ac:dyDescent="0.35">
      <c r="A548" s="794" t="s">
        <v>8596</v>
      </c>
      <c r="B548" s="794" t="s">
        <v>3857</v>
      </c>
      <c r="C548" s="812" t="s">
        <v>3913</v>
      </c>
      <c r="D548" s="825">
        <v>0</v>
      </c>
      <c r="E548" s="825"/>
      <c r="F548" s="826"/>
      <c r="G548" s="814" t="s">
        <v>3858</v>
      </c>
      <c r="H548" s="813" t="s">
        <v>8460</v>
      </c>
      <c r="I548" s="813" t="s">
        <v>3960</v>
      </c>
      <c r="J548" s="813" t="s">
        <v>8533</v>
      </c>
      <c r="K548" s="813" t="s">
        <v>8462</v>
      </c>
      <c r="L548" s="813" t="s">
        <v>3863</v>
      </c>
      <c r="M548" s="813" t="s">
        <v>3157</v>
      </c>
      <c r="N548" s="813" t="s">
        <v>8597</v>
      </c>
      <c r="O548" s="813" t="s">
        <v>3883</v>
      </c>
      <c r="P548" s="813" t="s">
        <v>8598</v>
      </c>
      <c r="Q548" s="813" t="s">
        <v>8599</v>
      </c>
      <c r="R548" s="813">
        <v>1</v>
      </c>
      <c r="S548" s="813" t="s">
        <v>8467</v>
      </c>
      <c r="T548" s="813" t="s">
        <v>6895</v>
      </c>
    </row>
    <row r="549" spans="1:20" ht="15" customHeight="1" x14ac:dyDescent="0.35">
      <c r="A549" s="794" t="s">
        <v>8600</v>
      </c>
      <c r="B549" s="794" t="s">
        <v>3857</v>
      </c>
      <c r="C549" s="812" t="s">
        <v>3913</v>
      </c>
      <c r="D549" s="825"/>
      <c r="E549" s="825"/>
      <c r="F549" s="825">
        <v>1</v>
      </c>
      <c r="G549" s="814" t="s">
        <v>3858</v>
      </c>
      <c r="H549" s="813" t="s">
        <v>8460</v>
      </c>
      <c r="I549" s="813" t="s">
        <v>3960</v>
      </c>
      <c r="J549" s="813" t="s">
        <v>8533</v>
      </c>
      <c r="K549" s="813" t="s">
        <v>8462</v>
      </c>
      <c r="L549" s="813" t="s">
        <v>3863</v>
      </c>
      <c r="M549" s="813" t="s">
        <v>3157</v>
      </c>
      <c r="N549" s="813" t="s">
        <v>8601</v>
      </c>
      <c r="O549" s="813" t="s">
        <v>3883</v>
      </c>
      <c r="P549" s="813" t="s">
        <v>8602</v>
      </c>
      <c r="Q549" s="813" t="s">
        <v>8603</v>
      </c>
      <c r="R549" s="813">
        <v>1</v>
      </c>
      <c r="S549" s="813" t="s">
        <v>8467</v>
      </c>
      <c r="T549" s="813" t="s">
        <v>6895</v>
      </c>
    </row>
    <row r="550" spans="1:20" ht="15" customHeight="1" x14ac:dyDescent="0.35">
      <c r="A550" s="794" t="s">
        <v>8604</v>
      </c>
      <c r="B550" s="794" t="s">
        <v>3857</v>
      </c>
      <c r="C550" s="812" t="s">
        <v>3913</v>
      </c>
      <c r="D550" s="825"/>
      <c r="E550" s="825"/>
      <c r="F550" s="825">
        <v>8</v>
      </c>
      <c r="G550" s="814" t="s">
        <v>3858</v>
      </c>
      <c r="H550" s="813" t="s">
        <v>8460</v>
      </c>
      <c r="I550" s="813" t="s">
        <v>3960</v>
      </c>
      <c r="J550" s="813" t="s">
        <v>8533</v>
      </c>
      <c r="K550" s="813" t="s">
        <v>8462</v>
      </c>
      <c r="L550" s="813" t="s">
        <v>3863</v>
      </c>
      <c r="M550" s="813" t="s">
        <v>3157</v>
      </c>
      <c r="N550" s="813" t="s">
        <v>8605</v>
      </c>
      <c r="O550" s="813" t="s">
        <v>3883</v>
      </c>
      <c r="P550" s="813" t="s">
        <v>8606</v>
      </c>
      <c r="Q550" s="813" t="s">
        <v>8607</v>
      </c>
      <c r="R550" s="813">
        <v>1</v>
      </c>
      <c r="S550" s="813" t="s">
        <v>8467</v>
      </c>
      <c r="T550" s="813" t="s">
        <v>6895</v>
      </c>
    </row>
    <row r="551" spans="1:20" ht="15" customHeight="1" x14ac:dyDescent="0.35">
      <c r="A551" s="794" t="s">
        <v>8608</v>
      </c>
      <c r="B551" s="794" t="s">
        <v>3857</v>
      </c>
      <c r="C551" s="812" t="s">
        <v>3913</v>
      </c>
      <c r="D551" s="825"/>
      <c r="E551" s="825"/>
      <c r="F551" s="825">
        <v>2500</v>
      </c>
      <c r="G551" s="814" t="s">
        <v>3858</v>
      </c>
      <c r="H551" s="813" t="s">
        <v>8460</v>
      </c>
      <c r="I551" s="813" t="s">
        <v>3960</v>
      </c>
      <c r="J551" s="813" t="s">
        <v>8533</v>
      </c>
      <c r="K551" s="813" t="s">
        <v>8462</v>
      </c>
      <c r="L551" s="813" t="s">
        <v>3863</v>
      </c>
      <c r="M551" s="813" t="s">
        <v>3157</v>
      </c>
      <c r="N551" s="813" t="s">
        <v>8609</v>
      </c>
      <c r="O551" s="813" t="s">
        <v>3925</v>
      </c>
      <c r="P551" s="813" t="s">
        <v>8610</v>
      </c>
      <c r="Q551" s="813" t="s">
        <v>8611</v>
      </c>
      <c r="R551" s="813">
        <v>1</v>
      </c>
      <c r="S551" s="813" t="s">
        <v>8467</v>
      </c>
      <c r="T551" s="813" t="s">
        <v>6895</v>
      </c>
    </row>
    <row r="552" spans="1:20" ht="15" customHeight="1" x14ac:dyDescent="0.35">
      <c r="A552" s="794" t="s">
        <v>8612</v>
      </c>
      <c r="B552" s="794" t="s">
        <v>3857</v>
      </c>
      <c r="C552" s="812" t="s">
        <v>3913</v>
      </c>
      <c r="D552" s="825">
        <v>0</v>
      </c>
      <c r="E552" s="825"/>
      <c r="F552" s="826"/>
      <c r="G552" s="814" t="s">
        <v>3858</v>
      </c>
      <c r="H552" s="813" t="s">
        <v>8460</v>
      </c>
      <c r="I552" s="813" t="s">
        <v>3960</v>
      </c>
      <c r="J552" s="813" t="s">
        <v>8533</v>
      </c>
      <c r="K552" s="813" t="s">
        <v>8462</v>
      </c>
      <c r="L552" s="813" t="s">
        <v>3863</v>
      </c>
      <c r="M552" s="813" t="s">
        <v>3157</v>
      </c>
      <c r="N552" s="813" t="s">
        <v>8613</v>
      </c>
      <c r="O552" s="813" t="s">
        <v>3883</v>
      </c>
      <c r="P552" s="813" t="s">
        <v>8614</v>
      </c>
      <c r="Q552" s="813" t="s">
        <v>8615</v>
      </c>
      <c r="R552" s="813">
        <v>1</v>
      </c>
      <c r="S552" s="813" t="s">
        <v>8467</v>
      </c>
      <c r="T552" s="813" t="s">
        <v>6895</v>
      </c>
    </row>
    <row r="553" spans="1:20" ht="15" customHeight="1" x14ac:dyDescent="0.35">
      <c r="A553" s="794" t="s">
        <v>8616</v>
      </c>
      <c r="B553" s="794" t="s">
        <v>3857</v>
      </c>
      <c r="C553" s="812" t="s">
        <v>3913</v>
      </c>
      <c r="D553" s="825"/>
      <c r="E553" s="825"/>
      <c r="F553" s="825">
        <v>1</v>
      </c>
      <c r="G553" s="814" t="s">
        <v>3858</v>
      </c>
      <c r="H553" s="813" t="s">
        <v>8460</v>
      </c>
      <c r="I553" s="813" t="s">
        <v>3960</v>
      </c>
      <c r="J553" s="813" t="s">
        <v>8533</v>
      </c>
      <c r="K553" s="813" t="s">
        <v>8462</v>
      </c>
      <c r="L553" s="813" t="s">
        <v>3863</v>
      </c>
      <c r="M553" s="813" t="s">
        <v>3157</v>
      </c>
      <c r="N553" s="813" t="s">
        <v>8617</v>
      </c>
      <c r="O553" s="813" t="s">
        <v>3883</v>
      </c>
      <c r="P553" s="813" t="s">
        <v>8618</v>
      </c>
      <c r="Q553" s="813" t="s">
        <v>8619</v>
      </c>
      <c r="R553" s="813">
        <v>1</v>
      </c>
      <c r="S553" s="813" t="s">
        <v>8467</v>
      </c>
      <c r="T553" s="813" t="s">
        <v>6895</v>
      </c>
    </row>
    <row r="554" spans="1:20" ht="15" customHeight="1" x14ac:dyDescent="0.35">
      <c r="A554" s="794" t="s">
        <v>8616</v>
      </c>
      <c r="B554" s="794" t="s">
        <v>3857</v>
      </c>
      <c r="C554" s="812" t="s">
        <v>3913</v>
      </c>
      <c r="D554" s="825"/>
      <c r="E554" s="825"/>
      <c r="F554" s="825">
        <v>8</v>
      </c>
      <c r="G554" s="814" t="s">
        <v>3858</v>
      </c>
      <c r="H554" s="813" t="s">
        <v>8460</v>
      </c>
      <c r="I554" s="813" t="s">
        <v>3960</v>
      </c>
      <c r="J554" s="813" t="s">
        <v>8533</v>
      </c>
      <c r="K554" s="813" t="s">
        <v>8462</v>
      </c>
      <c r="L554" s="813" t="s">
        <v>3863</v>
      </c>
      <c r="M554" s="813" t="s">
        <v>3157</v>
      </c>
      <c r="N554" s="813" t="s">
        <v>8620</v>
      </c>
      <c r="O554" s="813" t="s">
        <v>3883</v>
      </c>
      <c r="P554" s="813" t="s">
        <v>8621</v>
      </c>
      <c r="Q554" s="813" t="s">
        <v>8622</v>
      </c>
      <c r="R554" s="813">
        <v>1</v>
      </c>
      <c r="S554" s="813" t="s">
        <v>8467</v>
      </c>
      <c r="T554" s="813" t="s">
        <v>6895</v>
      </c>
    </row>
    <row r="555" spans="1:20" ht="15" customHeight="1" x14ac:dyDescent="0.35">
      <c r="A555" s="794" t="s">
        <v>8616</v>
      </c>
      <c r="B555" s="794" t="s">
        <v>3857</v>
      </c>
      <c r="C555" s="812" t="s">
        <v>3913</v>
      </c>
      <c r="D555" s="825"/>
      <c r="E555" s="825"/>
      <c r="F555" s="825">
        <v>2500</v>
      </c>
      <c r="G555" s="814" t="s">
        <v>3858</v>
      </c>
      <c r="H555" s="813" t="s">
        <v>8460</v>
      </c>
      <c r="I555" s="813" t="s">
        <v>3960</v>
      </c>
      <c r="J555" s="813" t="s">
        <v>8533</v>
      </c>
      <c r="K555" s="813" t="s">
        <v>8462</v>
      </c>
      <c r="L555" s="813" t="s">
        <v>3863</v>
      </c>
      <c r="M555" s="813" t="s">
        <v>3157</v>
      </c>
      <c r="N555" s="813" t="s">
        <v>8623</v>
      </c>
      <c r="O555" s="813" t="s">
        <v>3925</v>
      </c>
      <c r="P555" s="813" t="s">
        <v>8624</v>
      </c>
      <c r="Q555" s="813" t="s">
        <v>8625</v>
      </c>
      <c r="R555" s="813">
        <v>1</v>
      </c>
      <c r="S555" s="813" t="s">
        <v>8467</v>
      </c>
      <c r="T555" s="813" t="s">
        <v>6895</v>
      </c>
    </row>
    <row r="556" spans="1:20" ht="15" customHeight="1" x14ac:dyDescent="0.35">
      <c r="A556" s="794" t="s">
        <v>8616</v>
      </c>
      <c r="B556" s="794" t="s">
        <v>3857</v>
      </c>
      <c r="C556" s="812" t="s">
        <v>3913</v>
      </c>
      <c r="D556" s="825">
        <v>0</v>
      </c>
      <c r="E556" s="825"/>
      <c r="F556" s="826"/>
      <c r="G556" s="814" t="s">
        <v>3858</v>
      </c>
      <c r="H556" s="813" t="s">
        <v>8460</v>
      </c>
      <c r="I556" s="813" t="s">
        <v>3960</v>
      </c>
      <c r="J556" s="813" t="s">
        <v>8533</v>
      </c>
      <c r="K556" s="813" t="s">
        <v>8462</v>
      </c>
      <c r="L556" s="813" t="s">
        <v>3863</v>
      </c>
      <c r="M556" s="813" t="s">
        <v>3157</v>
      </c>
      <c r="N556" s="813" t="s">
        <v>8626</v>
      </c>
      <c r="O556" s="813" t="s">
        <v>3883</v>
      </c>
      <c r="P556" s="813" t="s">
        <v>8627</v>
      </c>
      <c r="Q556" s="813" t="s">
        <v>8628</v>
      </c>
      <c r="R556" s="813">
        <v>1</v>
      </c>
      <c r="S556" s="813" t="s">
        <v>8467</v>
      </c>
      <c r="T556" s="813" t="s">
        <v>6895</v>
      </c>
    </row>
    <row r="557" spans="1:20" ht="15" customHeight="1" x14ac:dyDescent="0.35">
      <c r="A557" s="794" t="s">
        <v>8629</v>
      </c>
      <c r="B557" s="794" t="s">
        <v>3857</v>
      </c>
      <c r="C557" s="812" t="s">
        <v>3913</v>
      </c>
      <c r="D557" s="825"/>
      <c r="E557" s="825"/>
      <c r="F557" s="825">
        <v>28</v>
      </c>
      <c r="G557" s="814" t="s">
        <v>3858</v>
      </c>
      <c r="H557" s="813" t="s">
        <v>8460</v>
      </c>
      <c r="I557" s="813" t="s">
        <v>3960</v>
      </c>
      <c r="J557" s="813" t="s">
        <v>8533</v>
      </c>
      <c r="K557" s="813" t="s">
        <v>8462</v>
      </c>
      <c r="L557" s="813" t="s">
        <v>3863</v>
      </c>
      <c r="M557" s="813" t="s">
        <v>3157</v>
      </c>
      <c r="N557" s="813" t="s">
        <v>8630</v>
      </c>
      <c r="O557" s="813" t="s">
        <v>3883</v>
      </c>
      <c r="P557" s="813" t="s">
        <v>8631</v>
      </c>
      <c r="Q557" s="813" t="s">
        <v>8632</v>
      </c>
      <c r="R557" s="813">
        <v>1</v>
      </c>
      <c r="S557" s="813" t="s">
        <v>8467</v>
      </c>
      <c r="T557" s="813" t="s">
        <v>6895</v>
      </c>
    </row>
    <row r="558" spans="1:20" ht="15" customHeight="1" x14ac:dyDescent="0.35">
      <c r="A558" s="794" t="s">
        <v>8629</v>
      </c>
      <c r="B558" s="794" t="s">
        <v>3857</v>
      </c>
      <c r="C558" s="812" t="s">
        <v>3913</v>
      </c>
      <c r="D558" s="825"/>
      <c r="E558" s="825"/>
      <c r="F558" s="825">
        <v>12</v>
      </c>
      <c r="G558" s="814" t="s">
        <v>3858</v>
      </c>
      <c r="H558" s="813" t="s">
        <v>8460</v>
      </c>
      <c r="I558" s="813" t="s">
        <v>3960</v>
      </c>
      <c r="J558" s="813" t="s">
        <v>8533</v>
      </c>
      <c r="K558" s="813" t="s">
        <v>8462</v>
      </c>
      <c r="L558" s="813" t="s">
        <v>3863</v>
      </c>
      <c r="M558" s="813" t="s">
        <v>3157</v>
      </c>
      <c r="N558" s="813" t="s">
        <v>8633</v>
      </c>
      <c r="O558" s="813" t="s">
        <v>3883</v>
      </c>
      <c r="P558" s="813" t="s">
        <v>8634</v>
      </c>
      <c r="Q558" s="813" t="s">
        <v>8635</v>
      </c>
      <c r="R558" s="813">
        <v>1</v>
      </c>
      <c r="S558" s="813" t="s">
        <v>8467</v>
      </c>
      <c r="T558" s="813" t="s">
        <v>6895</v>
      </c>
    </row>
    <row r="559" spans="1:20" ht="15" customHeight="1" x14ac:dyDescent="0.35">
      <c r="A559" s="794" t="s">
        <v>8629</v>
      </c>
      <c r="B559" s="794" t="s">
        <v>3857</v>
      </c>
      <c r="C559" s="812" t="s">
        <v>3913</v>
      </c>
      <c r="D559" s="825"/>
      <c r="E559" s="825"/>
      <c r="F559" s="825">
        <v>2500</v>
      </c>
      <c r="G559" s="814" t="s">
        <v>3858</v>
      </c>
      <c r="H559" s="813" t="s">
        <v>8460</v>
      </c>
      <c r="I559" s="813" t="s">
        <v>3960</v>
      </c>
      <c r="J559" s="813" t="s">
        <v>8533</v>
      </c>
      <c r="K559" s="813" t="s">
        <v>8462</v>
      </c>
      <c r="L559" s="813" t="s">
        <v>3863</v>
      </c>
      <c r="M559" s="813" t="s">
        <v>3157</v>
      </c>
      <c r="N559" s="813" t="s">
        <v>8636</v>
      </c>
      <c r="O559" s="813" t="s">
        <v>3925</v>
      </c>
      <c r="P559" s="813" t="s">
        <v>8637</v>
      </c>
      <c r="Q559" s="813" t="s">
        <v>8638</v>
      </c>
      <c r="R559" s="813">
        <v>1</v>
      </c>
      <c r="S559" s="813" t="s">
        <v>8467</v>
      </c>
      <c r="T559" s="813" t="s">
        <v>6895</v>
      </c>
    </row>
    <row r="560" spans="1:20" ht="15" customHeight="1" x14ac:dyDescent="0.35">
      <c r="A560" s="794" t="s">
        <v>8629</v>
      </c>
      <c r="B560" s="794" t="s">
        <v>3857</v>
      </c>
      <c r="C560" s="812" t="s">
        <v>3913</v>
      </c>
      <c r="D560" s="825">
        <v>0</v>
      </c>
      <c r="E560" s="825"/>
      <c r="F560" s="826"/>
      <c r="G560" s="814" t="s">
        <v>3858</v>
      </c>
      <c r="H560" s="813" t="s">
        <v>8460</v>
      </c>
      <c r="I560" s="813" t="s">
        <v>3960</v>
      </c>
      <c r="J560" s="813" t="s">
        <v>8533</v>
      </c>
      <c r="K560" s="813" t="s">
        <v>8462</v>
      </c>
      <c r="L560" s="813" t="s">
        <v>3863</v>
      </c>
      <c r="M560" s="813" t="s">
        <v>3157</v>
      </c>
      <c r="N560" s="813" t="s">
        <v>8639</v>
      </c>
      <c r="O560" s="813" t="s">
        <v>3883</v>
      </c>
      <c r="P560" s="813" t="s">
        <v>8640</v>
      </c>
      <c r="Q560" s="813" t="s">
        <v>8641</v>
      </c>
      <c r="R560" s="813">
        <v>1</v>
      </c>
      <c r="S560" s="813" t="s">
        <v>8467</v>
      </c>
      <c r="T560" s="813" t="s">
        <v>6895</v>
      </c>
    </row>
    <row r="561" spans="1:20" ht="15" customHeight="1" x14ac:dyDescent="0.35">
      <c r="A561" s="794" t="s">
        <v>8642</v>
      </c>
      <c r="B561" s="794" t="s">
        <v>3857</v>
      </c>
      <c r="C561" s="812" t="s">
        <v>3913</v>
      </c>
      <c r="D561" s="825"/>
      <c r="E561" s="825"/>
      <c r="F561" s="825">
        <v>10</v>
      </c>
      <c r="G561" s="814" t="s">
        <v>3858</v>
      </c>
      <c r="H561" s="813" t="s">
        <v>8460</v>
      </c>
      <c r="I561" s="813" t="s">
        <v>3960</v>
      </c>
      <c r="J561" s="813" t="s">
        <v>8533</v>
      </c>
      <c r="K561" s="813" t="s">
        <v>8462</v>
      </c>
      <c r="L561" s="813" t="s">
        <v>3863</v>
      </c>
      <c r="M561" s="813" t="s">
        <v>3157</v>
      </c>
      <c r="N561" s="813" t="s">
        <v>8643</v>
      </c>
      <c r="O561" s="813" t="s">
        <v>3883</v>
      </c>
      <c r="P561" s="813" t="s">
        <v>8644</v>
      </c>
      <c r="Q561" s="813" t="s">
        <v>8645</v>
      </c>
      <c r="R561" s="813">
        <v>1</v>
      </c>
      <c r="S561" s="813" t="s">
        <v>8467</v>
      </c>
      <c r="T561" s="813" t="s">
        <v>6895</v>
      </c>
    </row>
    <row r="562" spans="1:20" ht="15" customHeight="1" x14ac:dyDescent="0.35">
      <c r="A562" s="794" t="s">
        <v>8642</v>
      </c>
      <c r="B562" s="794" t="s">
        <v>3857</v>
      </c>
      <c r="C562" s="812" t="s">
        <v>3913</v>
      </c>
      <c r="D562" s="825"/>
      <c r="E562" s="825"/>
      <c r="F562" s="825">
        <v>8</v>
      </c>
      <c r="G562" s="814" t="s">
        <v>3858</v>
      </c>
      <c r="H562" s="813" t="s">
        <v>8460</v>
      </c>
      <c r="I562" s="813" t="s">
        <v>3960</v>
      </c>
      <c r="J562" s="813" t="s">
        <v>8533</v>
      </c>
      <c r="K562" s="813" t="s">
        <v>8462</v>
      </c>
      <c r="L562" s="813" t="s">
        <v>3863</v>
      </c>
      <c r="M562" s="813" t="s">
        <v>3157</v>
      </c>
      <c r="N562" s="813" t="s">
        <v>8646</v>
      </c>
      <c r="O562" s="813" t="s">
        <v>3883</v>
      </c>
      <c r="P562" s="813" t="s">
        <v>8647</v>
      </c>
      <c r="Q562" s="813" t="s">
        <v>8648</v>
      </c>
      <c r="R562" s="813">
        <v>1</v>
      </c>
      <c r="S562" s="813" t="s">
        <v>8467</v>
      </c>
      <c r="T562" s="813" t="s">
        <v>6895</v>
      </c>
    </row>
    <row r="563" spans="1:20" ht="15" customHeight="1" x14ac:dyDescent="0.35">
      <c r="A563" s="794" t="s">
        <v>8642</v>
      </c>
      <c r="B563" s="794" t="s">
        <v>3857</v>
      </c>
      <c r="C563" s="812" t="s">
        <v>3913</v>
      </c>
      <c r="D563" s="825"/>
      <c r="E563" s="825"/>
      <c r="F563" s="825">
        <v>2500</v>
      </c>
      <c r="G563" s="814" t="s">
        <v>3858</v>
      </c>
      <c r="H563" s="813" t="s">
        <v>8460</v>
      </c>
      <c r="I563" s="813" t="s">
        <v>3960</v>
      </c>
      <c r="J563" s="813" t="s">
        <v>8533</v>
      </c>
      <c r="K563" s="813" t="s">
        <v>8462</v>
      </c>
      <c r="L563" s="813" t="s">
        <v>3863</v>
      </c>
      <c r="M563" s="813" t="s">
        <v>3157</v>
      </c>
      <c r="N563" s="813" t="s">
        <v>8649</v>
      </c>
      <c r="O563" s="813" t="s">
        <v>3925</v>
      </c>
      <c r="P563" s="813" t="s">
        <v>8650</v>
      </c>
      <c r="Q563" s="813" t="s">
        <v>8651</v>
      </c>
      <c r="R563" s="813">
        <v>1</v>
      </c>
      <c r="S563" s="813" t="s">
        <v>8467</v>
      </c>
      <c r="T563" s="813" t="s">
        <v>6895</v>
      </c>
    </row>
    <row r="564" spans="1:20" ht="15" customHeight="1" x14ac:dyDescent="0.35">
      <c r="A564" s="794" t="s">
        <v>8642</v>
      </c>
      <c r="B564" s="794" t="s">
        <v>3857</v>
      </c>
      <c r="C564" s="812" t="s">
        <v>83</v>
      </c>
      <c r="D564" s="825"/>
      <c r="E564" s="825"/>
      <c r="F564" s="829">
        <v>0</v>
      </c>
      <c r="G564" s="814" t="s">
        <v>3858</v>
      </c>
      <c r="H564" s="813" t="s">
        <v>8460</v>
      </c>
      <c r="I564" s="813" t="s">
        <v>3960</v>
      </c>
      <c r="J564" s="813" t="s">
        <v>8533</v>
      </c>
      <c r="K564" s="813" t="s">
        <v>8462</v>
      </c>
      <c r="L564" s="813" t="s">
        <v>3863</v>
      </c>
      <c r="M564" s="813" t="s">
        <v>3157</v>
      </c>
      <c r="N564" s="813" t="s">
        <v>8652</v>
      </c>
      <c r="O564" s="813" t="s">
        <v>3883</v>
      </c>
      <c r="P564" s="813" t="s">
        <v>8653</v>
      </c>
      <c r="Q564" s="813" t="s">
        <v>8654</v>
      </c>
      <c r="R564" s="813">
        <v>1</v>
      </c>
      <c r="S564" s="813" t="s">
        <v>8467</v>
      </c>
      <c r="T564" s="813" t="s">
        <v>6895</v>
      </c>
    </row>
    <row r="565" spans="1:20" ht="15" customHeight="1" x14ac:dyDescent="0.35">
      <c r="A565" s="794" t="s">
        <v>8655</v>
      </c>
      <c r="B565" s="794" t="s">
        <v>3857</v>
      </c>
      <c r="C565" s="812" t="s">
        <v>3913</v>
      </c>
      <c r="D565" s="825"/>
      <c r="E565" s="825"/>
      <c r="F565" s="825">
        <v>10</v>
      </c>
      <c r="G565" s="814" t="s">
        <v>3858</v>
      </c>
      <c r="H565" s="813" t="s">
        <v>8460</v>
      </c>
      <c r="I565" s="813" t="s">
        <v>3960</v>
      </c>
      <c r="J565" s="813" t="s">
        <v>8533</v>
      </c>
      <c r="K565" s="813" t="s">
        <v>8462</v>
      </c>
      <c r="L565" s="813" t="s">
        <v>3863</v>
      </c>
      <c r="M565" s="813" t="s">
        <v>3157</v>
      </c>
      <c r="N565" s="813" t="s">
        <v>8656</v>
      </c>
      <c r="O565" s="813" t="s">
        <v>3883</v>
      </c>
      <c r="P565" s="813" t="s">
        <v>8657</v>
      </c>
      <c r="Q565" s="813" t="s">
        <v>8658</v>
      </c>
      <c r="R565" s="813">
        <v>1</v>
      </c>
      <c r="S565" s="813" t="s">
        <v>8467</v>
      </c>
      <c r="T565" s="813" t="s">
        <v>6895</v>
      </c>
    </row>
    <row r="566" spans="1:20" ht="15" customHeight="1" x14ac:dyDescent="0.35">
      <c r="A566" s="794" t="s">
        <v>8655</v>
      </c>
      <c r="B566" s="794" t="s">
        <v>3857</v>
      </c>
      <c r="C566" s="812" t="s">
        <v>3913</v>
      </c>
      <c r="D566" s="825"/>
      <c r="E566" s="825"/>
      <c r="F566" s="825">
        <v>12</v>
      </c>
      <c r="G566" s="814" t="s">
        <v>3858</v>
      </c>
      <c r="H566" s="813" t="s">
        <v>8460</v>
      </c>
      <c r="I566" s="813" t="s">
        <v>3960</v>
      </c>
      <c r="J566" s="813" t="s">
        <v>8533</v>
      </c>
      <c r="K566" s="813" t="s">
        <v>8462</v>
      </c>
      <c r="L566" s="813" t="s">
        <v>3863</v>
      </c>
      <c r="M566" s="813" t="s">
        <v>3157</v>
      </c>
      <c r="N566" s="813" t="s">
        <v>8659</v>
      </c>
      <c r="O566" s="813" t="s">
        <v>3883</v>
      </c>
      <c r="P566" s="813" t="s">
        <v>8660</v>
      </c>
      <c r="Q566" s="813" t="s">
        <v>8661</v>
      </c>
      <c r="R566" s="813">
        <v>1</v>
      </c>
      <c r="S566" s="813" t="s">
        <v>8467</v>
      </c>
      <c r="T566" s="813" t="s">
        <v>6895</v>
      </c>
    </row>
    <row r="567" spans="1:20" ht="15" customHeight="1" x14ac:dyDescent="0.35">
      <c r="A567" s="794" t="s">
        <v>8655</v>
      </c>
      <c r="B567" s="794" t="s">
        <v>3857</v>
      </c>
      <c r="C567" s="812" t="s">
        <v>3913</v>
      </c>
      <c r="D567" s="825"/>
      <c r="E567" s="825"/>
      <c r="F567" s="825">
        <v>1500</v>
      </c>
      <c r="G567" s="814" t="s">
        <v>3858</v>
      </c>
      <c r="H567" s="813" t="s">
        <v>8460</v>
      </c>
      <c r="I567" s="813" t="s">
        <v>3960</v>
      </c>
      <c r="J567" s="813" t="s">
        <v>8533</v>
      </c>
      <c r="K567" s="813" t="s">
        <v>8462</v>
      </c>
      <c r="L567" s="813" t="s">
        <v>3863</v>
      </c>
      <c r="M567" s="813" t="s">
        <v>3157</v>
      </c>
      <c r="N567" s="813" t="s">
        <v>8662</v>
      </c>
      <c r="O567" s="813" t="s">
        <v>3925</v>
      </c>
      <c r="P567" s="813" t="s">
        <v>8663</v>
      </c>
      <c r="Q567" s="813" t="s">
        <v>8664</v>
      </c>
      <c r="R567" s="813">
        <v>1</v>
      </c>
      <c r="S567" s="813" t="s">
        <v>8467</v>
      </c>
      <c r="T567" s="813" t="s">
        <v>6895</v>
      </c>
    </row>
    <row r="568" spans="1:20" ht="15" customHeight="1" x14ac:dyDescent="0.35">
      <c r="A568" s="794" t="s">
        <v>8655</v>
      </c>
      <c r="B568" s="794" t="s">
        <v>3857</v>
      </c>
      <c r="C568" s="812" t="s">
        <v>3913</v>
      </c>
      <c r="D568" s="825">
        <v>10</v>
      </c>
      <c r="E568" s="825"/>
      <c r="F568" s="826"/>
      <c r="G568" s="814" t="s">
        <v>3858</v>
      </c>
      <c r="H568" s="813" t="s">
        <v>8460</v>
      </c>
      <c r="I568" s="813" t="s">
        <v>3960</v>
      </c>
      <c r="J568" s="813" t="s">
        <v>8533</v>
      </c>
      <c r="K568" s="813" t="s">
        <v>8462</v>
      </c>
      <c r="L568" s="813" t="s">
        <v>3863</v>
      </c>
      <c r="M568" s="813" t="s">
        <v>3157</v>
      </c>
      <c r="N568" s="813" t="s">
        <v>8665</v>
      </c>
      <c r="O568" s="813" t="s">
        <v>3883</v>
      </c>
      <c r="P568" s="813" t="s">
        <v>8666</v>
      </c>
      <c r="Q568" s="813" t="s">
        <v>8667</v>
      </c>
      <c r="R568" s="813">
        <v>1</v>
      </c>
      <c r="S568" s="813" t="s">
        <v>8467</v>
      </c>
      <c r="T568" s="813" t="s">
        <v>6895</v>
      </c>
    </row>
    <row r="569" spans="1:20" ht="15" customHeight="1" x14ac:dyDescent="0.35">
      <c r="A569" s="794" t="s">
        <v>8668</v>
      </c>
      <c r="B569" s="794" t="s">
        <v>3857</v>
      </c>
      <c r="C569" s="812" t="s">
        <v>3913</v>
      </c>
      <c r="D569" s="825"/>
      <c r="E569" s="825"/>
      <c r="F569" s="825">
        <v>1</v>
      </c>
      <c r="G569" s="814" t="s">
        <v>3858</v>
      </c>
      <c r="H569" s="813" t="s">
        <v>8460</v>
      </c>
      <c r="I569" s="813" t="s">
        <v>3960</v>
      </c>
      <c r="J569" s="813" t="s">
        <v>8533</v>
      </c>
      <c r="K569" s="813" t="s">
        <v>8462</v>
      </c>
      <c r="L569" s="813" t="s">
        <v>3863</v>
      </c>
      <c r="M569" s="813" t="s">
        <v>3157</v>
      </c>
      <c r="N569" s="813" t="s">
        <v>8669</v>
      </c>
      <c r="O569" s="813" t="s">
        <v>3883</v>
      </c>
      <c r="P569" s="813" t="s">
        <v>8670</v>
      </c>
      <c r="Q569" s="813" t="s">
        <v>8671</v>
      </c>
      <c r="R569" s="813">
        <v>1</v>
      </c>
      <c r="S569" s="813" t="s">
        <v>8467</v>
      </c>
      <c r="T569" s="813" t="s">
        <v>6895</v>
      </c>
    </row>
    <row r="570" spans="1:20" ht="15" customHeight="1" x14ac:dyDescent="0.35">
      <c r="A570" s="794" t="s">
        <v>8668</v>
      </c>
      <c r="B570" s="794" t="s">
        <v>3857</v>
      </c>
      <c r="C570" s="812" t="s">
        <v>3913</v>
      </c>
      <c r="D570" s="825"/>
      <c r="E570" s="825"/>
      <c r="F570" s="825">
        <v>8</v>
      </c>
      <c r="G570" s="814" t="s">
        <v>3858</v>
      </c>
      <c r="H570" s="813" t="s">
        <v>8460</v>
      </c>
      <c r="I570" s="813" t="s">
        <v>3960</v>
      </c>
      <c r="J570" s="813" t="s">
        <v>8533</v>
      </c>
      <c r="K570" s="813" t="s">
        <v>8462</v>
      </c>
      <c r="L570" s="813" t="s">
        <v>3863</v>
      </c>
      <c r="M570" s="813" t="s">
        <v>3157</v>
      </c>
      <c r="N570" s="813" t="s">
        <v>8672</v>
      </c>
      <c r="O570" s="813" t="s">
        <v>3883</v>
      </c>
      <c r="P570" s="813" t="s">
        <v>8673</v>
      </c>
      <c r="Q570" s="813" t="s">
        <v>8674</v>
      </c>
      <c r="R570" s="813">
        <v>1</v>
      </c>
      <c r="S570" s="813" t="s">
        <v>8467</v>
      </c>
      <c r="T570" s="813" t="s">
        <v>6895</v>
      </c>
    </row>
    <row r="571" spans="1:20" ht="15" customHeight="1" x14ac:dyDescent="0.35">
      <c r="A571" s="794" t="s">
        <v>8668</v>
      </c>
      <c r="B571" s="794" t="s">
        <v>3857</v>
      </c>
      <c r="C571" s="812" t="s">
        <v>3913</v>
      </c>
      <c r="D571" s="825"/>
      <c r="E571" s="825"/>
      <c r="F571" s="825">
        <v>2500</v>
      </c>
      <c r="G571" s="814" t="s">
        <v>3858</v>
      </c>
      <c r="H571" s="813" t="s">
        <v>8460</v>
      </c>
      <c r="I571" s="813" t="s">
        <v>3960</v>
      </c>
      <c r="J571" s="813" t="s">
        <v>8533</v>
      </c>
      <c r="K571" s="813" t="s">
        <v>8462</v>
      </c>
      <c r="L571" s="813" t="s">
        <v>3863</v>
      </c>
      <c r="M571" s="813" t="s">
        <v>3157</v>
      </c>
      <c r="N571" s="813" t="s">
        <v>8675</v>
      </c>
      <c r="O571" s="813" t="s">
        <v>3925</v>
      </c>
      <c r="P571" s="813" t="s">
        <v>8676</v>
      </c>
      <c r="Q571" s="813" t="s">
        <v>8677</v>
      </c>
      <c r="R571" s="813">
        <v>1</v>
      </c>
      <c r="S571" s="813" t="s">
        <v>8467</v>
      </c>
      <c r="T571" s="813" t="s">
        <v>6895</v>
      </c>
    </row>
    <row r="572" spans="1:20" ht="15" customHeight="1" x14ac:dyDescent="0.35">
      <c r="A572" s="794" t="s">
        <v>8668</v>
      </c>
      <c r="B572" s="794" t="s">
        <v>3857</v>
      </c>
      <c r="C572" s="812" t="s">
        <v>3913</v>
      </c>
      <c r="D572" s="825">
        <v>0</v>
      </c>
      <c r="E572" s="825"/>
      <c r="F572" s="826"/>
      <c r="G572" s="814" t="s">
        <v>3858</v>
      </c>
      <c r="H572" s="813" t="s">
        <v>8460</v>
      </c>
      <c r="I572" s="813" t="s">
        <v>3960</v>
      </c>
      <c r="J572" s="813" t="s">
        <v>8533</v>
      </c>
      <c r="K572" s="813" t="s">
        <v>8462</v>
      </c>
      <c r="L572" s="813" t="s">
        <v>3863</v>
      </c>
      <c r="M572" s="813" t="s">
        <v>3157</v>
      </c>
      <c r="N572" s="813" t="s">
        <v>8678</v>
      </c>
      <c r="O572" s="813" t="s">
        <v>3883</v>
      </c>
      <c r="P572" s="813" t="s">
        <v>8679</v>
      </c>
      <c r="Q572" s="813" t="s">
        <v>8680</v>
      </c>
      <c r="R572" s="813">
        <v>1</v>
      </c>
      <c r="S572" s="813" t="s">
        <v>8467</v>
      </c>
      <c r="T572" s="813" t="s">
        <v>6895</v>
      </c>
    </row>
    <row r="573" spans="1:20" ht="15" customHeight="1" x14ac:dyDescent="0.35">
      <c r="A573" s="794" t="s">
        <v>8681</v>
      </c>
      <c r="B573" s="794" t="s">
        <v>3857</v>
      </c>
      <c r="C573" s="812" t="s">
        <v>3913</v>
      </c>
      <c r="D573" s="825"/>
      <c r="E573" s="825"/>
      <c r="F573" s="825">
        <v>10</v>
      </c>
      <c r="G573" s="814" t="s">
        <v>3858</v>
      </c>
      <c r="H573" s="813" t="s">
        <v>8460</v>
      </c>
      <c r="I573" s="813" t="s">
        <v>3960</v>
      </c>
      <c r="J573" s="813" t="s">
        <v>8533</v>
      </c>
      <c r="K573" s="813" t="s">
        <v>8462</v>
      </c>
      <c r="L573" s="813" t="s">
        <v>3863</v>
      </c>
      <c r="M573" s="813" t="s">
        <v>3157</v>
      </c>
      <c r="N573" s="813" t="s">
        <v>8682</v>
      </c>
      <c r="O573" s="813" t="s">
        <v>3883</v>
      </c>
      <c r="P573" s="813" t="s">
        <v>8683</v>
      </c>
      <c r="Q573" s="813" t="s">
        <v>8684</v>
      </c>
      <c r="R573" s="813">
        <v>1</v>
      </c>
      <c r="S573" s="813" t="s">
        <v>8467</v>
      </c>
      <c r="T573" s="813" t="s">
        <v>6895</v>
      </c>
    </row>
    <row r="574" spans="1:20" ht="15" customHeight="1" x14ac:dyDescent="0.35">
      <c r="A574" s="794" t="s">
        <v>8681</v>
      </c>
      <c r="B574" s="794" t="s">
        <v>3857</v>
      </c>
      <c r="C574" s="812" t="s">
        <v>3913</v>
      </c>
      <c r="D574" s="825"/>
      <c r="E574" s="825"/>
      <c r="F574" s="825">
        <v>8</v>
      </c>
      <c r="G574" s="814" t="s">
        <v>3858</v>
      </c>
      <c r="H574" s="813" t="s">
        <v>8460</v>
      </c>
      <c r="I574" s="813" t="s">
        <v>3960</v>
      </c>
      <c r="J574" s="813" t="s">
        <v>8533</v>
      </c>
      <c r="K574" s="813" t="s">
        <v>8462</v>
      </c>
      <c r="L574" s="813" t="s">
        <v>3863</v>
      </c>
      <c r="M574" s="813" t="s">
        <v>3157</v>
      </c>
      <c r="N574" s="813" t="s">
        <v>8685</v>
      </c>
      <c r="O574" s="813" t="s">
        <v>3883</v>
      </c>
      <c r="P574" s="813" t="s">
        <v>8686</v>
      </c>
      <c r="Q574" s="813" t="s">
        <v>8687</v>
      </c>
      <c r="R574" s="813">
        <v>1</v>
      </c>
      <c r="S574" s="813" t="s">
        <v>8467</v>
      </c>
      <c r="T574" s="813" t="s">
        <v>6895</v>
      </c>
    </row>
    <row r="575" spans="1:20" ht="15" customHeight="1" x14ac:dyDescent="0.35">
      <c r="A575" s="794" t="s">
        <v>8681</v>
      </c>
      <c r="B575" s="794" t="s">
        <v>3857</v>
      </c>
      <c r="C575" s="812" t="s">
        <v>3913</v>
      </c>
      <c r="D575" s="825"/>
      <c r="E575" s="825"/>
      <c r="F575" s="825">
        <v>2500</v>
      </c>
      <c r="G575" s="814" t="s">
        <v>3858</v>
      </c>
      <c r="H575" s="813" t="s">
        <v>8460</v>
      </c>
      <c r="I575" s="813" t="s">
        <v>3960</v>
      </c>
      <c r="J575" s="813" t="s">
        <v>8533</v>
      </c>
      <c r="K575" s="813" t="s">
        <v>8462</v>
      </c>
      <c r="L575" s="813" t="s">
        <v>3863</v>
      </c>
      <c r="M575" s="813" t="s">
        <v>3157</v>
      </c>
      <c r="N575" s="813" t="s">
        <v>8688</v>
      </c>
      <c r="O575" s="813" t="s">
        <v>3925</v>
      </c>
      <c r="P575" s="813" t="s">
        <v>8689</v>
      </c>
      <c r="Q575" s="813" t="s">
        <v>8690</v>
      </c>
      <c r="R575" s="813">
        <v>1</v>
      </c>
      <c r="S575" s="813" t="s">
        <v>8467</v>
      </c>
      <c r="T575" s="813" t="s">
        <v>6895</v>
      </c>
    </row>
    <row r="576" spans="1:20" ht="15" customHeight="1" x14ac:dyDescent="0.35">
      <c r="A576" s="794" t="s">
        <v>8681</v>
      </c>
      <c r="B576" s="794" t="s">
        <v>3857</v>
      </c>
      <c r="C576" s="812" t="s">
        <v>3913</v>
      </c>
      <c r="D576" s="825">
        <v>0</v>
      </c>
      <c r="E576" s="825"/>
      <c r="F576" s="826"/>
      <c r="G576" s="814" t="s">
        <v>3858</v>
      </c>
      <c r="H576" s="813" t="s">
        <v>8460</v>
      </c>
      <c r="I576" s="813" t="s">
        <v>3960</v>
      </c>
      <c r="J576" s="813" t="s">
        <v>8533</v>
      </c>
      <c r="K576" s="813" t="s">
        <v>8462</v>
      </c>
      <c r="L576" s="813" t="s">
        <v>3863</v>
      </c>
      <c r="M576" s="813" t="s">
        <v>3157</v>
      </c>
      <c r="N576" s="813" t="s">
        <v>8691</v>
      </c>
      <c r="O576" s="813" t="s">
        <v>3883</v>
      </c>
      <c r="P576" s="813" t="s">
        <v>8692</v>
      </c>
      <c r="Q576" s="813" t="s">
        <v>8693</v>
      </c>
      <c r="R576" s="813">
        <v>1</v>
      </c>
      <c r="S576" s="813" t="s">
        <v>8467</v>
      </c>
      <c r="T576" s="813" t="s">
        <v>6895</v>
      </c>
    </row>
    <row r="577" spans="1:20" ht="15" customHeight="1" x14ac:dyDescent="0.35">
      <c r="A577" s="794" t="s">
        <v>8694</v>
      </c>
      <c r="B577" s="794" t="s">
        <v>3857</v>
      </c>
      <c r="C577" s="812" t="s">
        <v>3913</v>
      </c>
      <c r="D577" s="825"/>
      <c r="E577" s="825"/>
      <c r="F577" s="825">
        <v>1</v>
      </c>
      <c r="G577" s="814" t="s">
        <v>3858</v>
      </c>
      <c r="H577" s="813" t="s">
        <v>8460</v>
      </c>
      <c r="I577" s="813" t="s">
        <v>3960</v>
      </c>
      <c r="J577" s="813" t="s">
        <v>8533</v>
      </c>
      <c r="K577" s="813" t="s">
        <v>8462</v>
      </c>
      <c r="L577" s="813" t="s">
        <v>3863</v>
      </c>
      <c r="M577" s="813" t="s">
        <v>3157</v>
      </c>
      <c r="N577" s="813" t="s">
        <v>8695</v>
      </c>
      <c r="O577" s="813" t="s">
        <v>3883</v>
      </c>
      <c r="P577" s="813" t="s">
        <v>8696</v>
      </c>
      <c r="Q577" s="813" t="s">
        <v>8697</v>
      </c>
      <c r="R577" s="813">
        <v>1</v>
      </c>
      <c r="S577" s="813" t="s">
        <v>8467</v>
      </c>
      <c r="T577" s="813" t="s">
        <v>6895</v>
      </c>
    </row>
    <row r="578" spans="1:20" ht="15" customHeight="1" x14ac:dyDescent="0.35">
      <c r="A578" s="794" t="s">
        <v>8694</v>
      </c>
      <c r="B578" s="794" t="s">
        <v>3857</v>
      </c>
      <c r="C578" s="812" t="s">
        <v>3913</v>
      </c>
      <c r="D578" s="825"/>
      <c r="E578" s="825"/>
      <c r="F578" s="825">
        <v>12</v>
      </c>
      <c r="G578" s="814" t="s">
        <v>3858</v>
      </c>
      <c r="H578" s="813" t="s">
        <v>8460</v>
      </c>
      <c r="I578" s="813" t="s">
        <v>3960</v>
      </c>
      <c r="J578" s="813" t="s">
        <v>8533</v>
      </c>
      <c r="K578" s="813" t="s">
        <v>8462</v>
      </c>
      <c r="L578" s="813" t="s">
        <v>3863</v>
      </c>
      <c r="M578" s="813" t="s">
        <v>3157</v>
      </c>
      <c r="N578" s="813" t="s">
        <v>8698</v>
      </c>
      <c r="O578" s="813" t="s">
        <v>3883</v>
      </c>
      <c r="P578" s="813" t="s">
        <v>8699</v>
      </c>
      <c r="Q578" s="813" t="s">
        <v>8700</v>
      </c>
      <c r="R578" s="813">
        <v>1</v>
      </c>
      <c r="S578" s="813" t="s">
        <v>8467</v>
      </c>
      <c r="T578" s="813" t="s">
        <v>6895</v>
      </c>
    </row>
    <row r="579" spans="1:20" ht="15" customHeight="1" x14ac:dyDescent="0.35">
      <c r="A579" s="794" t="s">
        <v>8694</v>
      </c>
      <c r="B579" s="794" t="s">
        <v>3857</v>
      </c>
      <c r="C579" s="812" t="s">
        <v>3913</v>
      </c>
      <c r="D579" s="825"/>
      <c r="E579" s="825"/>
      <c r="F579" s="825">
        <v>2500</v>
      </c>
      <c r="G579" s="814" t="s">
        <v>3858</v>
      </c>
      <c r="H579" s="813" t="s">
        <v>8460</v>
      </c>
      <c r="I579" s="813" t="s">
        <v>3960</v>
      </c>
      <c r="J579" s="813" t="s">
        <v>8533</v>
      </c>
      <c r="K579" s="813" t="s">
        <v>8462</v>
      </c>
      <c r="L579" s="813" t="s">
        <v>3863</v>
      </c>
      <c r="M579" s="813" t="s">
        <v>3157</v>
      </c>
      <c r="N579" s="813" t="s">
        <v>8701</v>
      </c>
      <c r="O579" s="813" t="s">
        <v>3925</v>
      </c>
      <c r="P579" s="813" t="s">
        <v>8702</v>
      </c>
      <c r="Q579" s="813" t="s">
        <v>8703</v>
      </c>
      <c r="R579" s="813">
        <v>1</v>
      </c>
      <c r="S579" s="813" t="s">
        <v>8467</v>
      </c>
      <c r="T579" s="813" t="s">
        <v>6895</v>
      </c>
    </row>
    <row r="580" spans="1:20" ht="15" customHeight="1" x14ac:dyDescent="0.35">
      <c r="A580" s="794" t="s">
        <v>8694</v>
      </c>
      <c r="B580" s="794" t="s">
        <v>3857</v>
      </c>
      <c r="C580" s="812" t="s">
        <v>3913</v>
      </c>
      <c r="D580" s="825">
        <v>250</v>
      </c>
      <c r="E580" s="825"/>
      <c r="F580" s="826"/>
      <c r="G580" s="814" t="s">
        <v>3858</v>
      </c>
      <c r="H580" s="813" t="s">
        <v>8460</v>
      </c>
      <c r="I580" s="813" t="s">
        <v>3960</v>
      </c>
      <c r="J580" s="813" t="s">
        <v>8533</v>
      </c>
      <c r="K580" s="813" t="s">
        <v>8462</v>
      </c>
      <c r="L580" s="813" t="s">
        <v>3863</v>
      </c>
      <c r="M580" s="813" t="s">
        <v>3157</v>
      </c>
      <c r="N580" s="813" t="s">
        <v>8704</v>
      </c>
      <c r="O580" s="813" t="s">
        <v>3883</v>
      </c>
      <c r="P580" s="813" t="s">
        <v>8705</v>
      </c>
      <c r="Q580" s="813" t="s">
        <v>8706</v>
      </c>
      <c r="R580" s="813">
        <v>1</v>
      </c>
      <c r="S580" s="813" t="s">
        <v>8467</v>
      </c>
      <c r="T580" s="813" t="s">
        <v>6895</v>
      </c>
    </row>
    <row r="581" spans="1:20" ht="15" customHeight="1" x14ac:dyDescent="0.35">
      <c r="A581" s="794" t="s">
        <v>8707</v>
      </c>
      <c r="B581" s="794" t="s">
        <v>3857</v>
      </c>
      <c r="C581" s="812" t="s">
        <v>3913</v>
      </c>
      <c r="D581" s="825"/>
      <c r="E581" s="825"/>
      <c r="F581" s="825">
        <v>24</v>
      </c>
      <c r="G581" s="814" t="s">
        <v>3858</v>
      </c>
      <c r="H581" s="813" t="s">
        <v>8460</v>
      </c>
      <c r="I581" s="813" t="s">
        <v>3960</v>
      </c>
      <c r="J581" s="813" t="s">
        <v>8533</v>
      </c>
      <c r="K581" s="813" t="s">
        <v>8462</v>
      </c>
      <c r="L581" s="813" t="s">
        <v>3863</v>
      </c>
      <c r="M581" s="813" t="s">
        <v>3157</v>
      </c>
      <c r="N581" s="813" t="s">
        <v>8708</v>
      </c>
      <c r="O581" s="813" t="s">
        <v>3883</v>
      </c>
      <c r="P581" s="813" t="s">
        <v>8709</v>
      </c>
      <c r="Q581" s="813" t="s">
        <v>8710</v>
      </c>
      <c r="R581" s="813">
        <v>1</v>
      </c>
      <c r="S581" s="813" t="s">
        <v>8467</v>
      </c>
      <c r="T581" s="813" t="s">
        <v>6895</v>
      </c>
    </row>
    <row r="582" spans="1:20" ht="15" customHeight="1" x14ac:dyDescent="0.35">
      <c r="A582" s="794" t="s">
        <v>8707</v>
      </c>
      <c r="B582" s="794" t="s">
        <v>3857</v>
      </c>
      <c r="C582" s="812" t="s">
        <v>3913</v>
      </c>
      <c r="D582" s="825"/>
      <c r="E582" s="825"/>
      <c r="F582" s="825">
        <v>12</v>
      </c>
      <c r="G582" s="814" t="s">
        <v>3858</v>
      </c>
      <c r="H582" s="813" t="s">
        <v>8460</v>
      </c>
      <c r="I582" s="813" t="s">
        <v>3960</v>
      </c>
      <c r="J582" s="813" t="s">
        <v>8533</v>
      </c>
      <c r="K582" s="813" t="s">
        <v>8462</v>
      </c>
      <c r="L582" s="813" t="s">
        <v>3863</v>
      </c>
      <c r="M582" s="813" t="s">
        <v>3157</v>
      </c>
      <c r="N582" s="813" t="s">
        <v>8711</v>
      </c>
      <c r="O582" s="813" t="s">
        <v>3883</v>
      </c>
      <c r="P582" s="813" t="s">
        <v>8712</v>
      </c>
      <c r="Q582" s="813" t="s">
        <v>8713</v>
      </c>
      <c r="R582" s="813">
        <v>1</v>
      </c>
      <c r="S582" s="813" t="s">
        <v>8467</v>
      </c>
      <c r="T582" s="813" t="s">
        <v>6895</v>
      </c>
    </row>
    <row r="583" spans="1:20" ht="15" customHeight="1" x14ac:dyDescent="0.35">
      <c r="A583" s="794" t="s">
        <v>8707</v>
      </c>
      <c r="B583" s="794" t="s">
        <v>3857</v>
      </c>
      <c r="C583" s="812" t="s">
        <v>3913</v>
      </c>
      <c r="D583" s="825"/>
      <c r="E583" s="825"/>
      <c r="F583" s="825">
        <v>500</v>
      </c>
      <c r="G583" s="814" t="s">
        <v>3858</v>
      </c>
      <c r="H583" s="813" t="s">
        <v>8460</v>
      </c>
      <c r="I583" s="813" t="s">
        <v>3960</v>
      </c>
      <c r="J583" s="813" t="s">
        <v>8533</v>
      </c>
      <c r="K583" s="813" t="s">
        <v>8462</v>
      </c>
      <c r="L583" s="813" t="s">
        <v>3863</v>
      </c>
      <c r="M583" s="813" t="s">
        <v>3157</v>
      </c>
      <c r="N583" s="813" t="s">
        <v>8714</v>
      </c>
      <c r="O583" s="813" t="s">
        <v>4264</v>
      </c>
      <c r="P583" s="813" t="s">
        <v>8715</v>
      </c>
      <c r="Q583" s="813" t="s">
        <v>8716</v>
      </c>
      <c r="R583" s="813">
        <v>1</v>
      </c>
      <c r="S583" s="813" t="s">
        <v>8467</v>
      </c>
      <c r="T583" s="813" t="s">
        <v>6895</v>
      </c>
    </row>
    <row r="584" spans="1:20" ht="15" customHeight="1" x14ac:dyDescent="0.35">
      <c r="A584" s="794" t="s">
        <v>8707</v>
      </c>
      <c r="B584" s="794" t="s">
        <v>3857</v>
      </c>
      <c r="C584" s="812" t="s">
        <v>3913</v>
      </c>
      <c r="D584" s="825">
        <v>100</v>
      </c>
      <c r="E584" s="825"/>
      <c r="F584" s="826"/>
      <c r="G584" s="814" t="s">
        <v>3858</v>
      </c>
      <c r="H584" s="813" t="s">
        <v>8460</v>
      </c>
      <c r="I584" s="813" t="s">
        <v>3960</v>
      </c>
      <c r="J584" s="813" t="s">
        <v>8533</v>
      </c>
      <c r="K584" s="813" t="s">
        <v>8462</v>
      </c>
      <c r="L584" s="813" t="s">
        <v>3863</v>
      </c>
      <c r="M584" s="813" t="s">
        <v>3157</v>
      </c>
      <c r="N584" s="813" t="s">
        <v>8717</v>
      </c>
      <c r="O584" s="813" t="s">
        <v>3883</v>
      </c>
      <c r="P584" s="813" t="s">
        <v>8718</v>
      </c>
      <c r="Q584" s="813" t="s">
        <v>8719</v>
      </c>
      <c r="R584" s="813">
        <v>1</v>
      </c>
      <c r="S584" s="813" t="s">
        <v>8467</v>
      </c>
      <c r="T584" s="813" t="s">
        <v>6895</v>
      </c>
    </row>
    <row r="585" spans="1:20" ht="15" customHeight="1" x14ac:dyDescent="0.35">
      <c r="A585" s="803" t="s">
        <v>8720</v>
      </c>
      <c r="B585" s="803"/>
      <c r="C585" s="803"/>
      <c r="D585" s="803"/>
      <c r="E585" s="803"/>
      <c r="F585" s="803"/>
      <c r="G585" s="803" t="s">
        <v>8721</v>
      </c>
      <c r="H585" s="794"/>
      <c r="I585" s="794"/>
      <c r="J585" s="794"/>
      <c r="K585" s="794"/>
      <c r="L585" s="794"/>
      <c r="M585" s="794"/>
      <c r="N585" s="794"/>
      <c r="O585" s="794"/>
      <c r="P585" s="794"/>
      <c r="Q585" s="794"/>
      <c r="R585" s="794"/>
      <c r="S585" s="794"/>
      <c r="T585" s="794"/>
    </row>
    <row r="586" spans="1:20" ht="15" customHeight="1" x14ac:dyDescent="0.35">
      <c r="A586" s="794" t="s">
        <v>8722</v>
      </c>
      <c r="B586" s="794" t="s">
        <v>3857</v>
      </c>
      <c r="C586" s="812" t="s">
        <v>3913</v>
      </c>
      <c r="D586" s="825"/>
      <c r="E586" s="825"/>
      <c r="F586" s="825">
        <v>4</v>
      </c>
      <c r="G586" s="814" t="s">
        <v>3858</v>
      </c>
      <c r="H586" s="813" t="s">
        <v>8460</v>
      </c>
      <c r="I586" s="813" t="s">
        <v>3960</v>
      </c>
      <c r="J586" s="813" t="s">
        <v>8723</v>
      </c>
      <c r="K586" s="813" t="s">
        <v>8462</v>
      </c>
      <c r="L586" s="813" t="s">
        <v>3863</v>
      </c>
      <c r="M586" s="813" t="s">
        <v>3157</v>
      </c>
      <c r="N586" s="813" t="s">
        <v>8724</v>
      </c>
      <c r="O586" s="813" t="s">
        <v>3883</v>
      </c>
      <c r="P586" s="813" t="s">
        <v>8725</v>
      </c>
      <c r="Q586" s="813" t="s">
        <v>8726</v>
      </c>
      <c r="R586" s="813">
        <v>1</v>
      </c>
      <c r="S586" s="813" t="s">
        <v>8467</v>
      </c>
      <c r="T586" s="813" t="s">
        <v>6895</v>
      </c>
    </row>
    <row r="587" spans="1:20" ht="15" customHeight="1" x14ac:dyDescent="0.35">
      <c r="A587" s="794" t="s">
        <v>8722</v>
      </c>
      <c r="B587" s="794" t="s">
        <v>3857</v>
      </c>
      <c r="C587" s="812" t="s">
        <v>3913</v>
      </c>
      <c r="D587" s="825"/>
      <c r="E587" s="825"/>
      <c r="F587" s="825">
        <v>8</v>
      </c>
      <c r="G587" s="814" t="s">
        <v>3858</v>
      </c>
      <c r="H587" s="813" t="s">
        <v>8460</v>
      </c>
      <c r="I587" s="813" t="s">
        <v>3960</v>
      </c>
      <c r="J587" s="813" t="s">
        <v>8723</v>
      </c>
      <c r="K587" s="813" t="s">
        <v>8462</v>
      </c>
      <c r="L587" s="813" t="s">
        <v>3863</v>
      </c>
      <c r="M587" s="813" t="s">
        <v>3157</v>
      </c>
      <c r="N587" s="813" t="s">
        <v>8727</v>
      </c>
      <c r="O587" s="813" t="s">
        <v>3883</v>
      </c>
      <c r="P587" s="813" t="s">
        <v>8728</v>
      </c>
      <c r="Q587" s="813" t="s">
        <v>8729</v>
      </c>
      <c r="R587" s="813">
        <v>1</v>
      </c>
      <c r="S587" s="813" t="s">
        <v>8467</v>
      </c>
      <c r="T587" s="813" t="s">
        <v>6895</v>
      </c>
    </row>
    <row r="588" spans="1:20" ht="15" customHeight="1" x14ac:dyDescent="0.35">
      <c r="A588" s="794" t="s">
        <v>8722</v>
      </c>
      <c r="B588" s="794" t="s">
        <v>3857</v>
      </c>
      <c r="C588" s="812" t="s">
        <v>3913</v>
      </c>
      <c r="D588" s="825"/>
      <c r="E588" s="825"/>
      <c r="F588" s="825">
        <v>2500</v>
      </c>
      <c r="G588" s="814" t="s">
        <v>3858</v>
      </c>
      <c r="H588" s="813" t="s">
        <v>8460</v>
      </c>
      <c r="I588" s="813" t="s">
        <v>3960</v>
      </c>
      <c r="J588" s="813" t="s">
        <v>8723</v>
      </c>
      <c r="K588" s="813" t="s">
        <v>8462</v>
      </c>
      <c r="L588" s="813" t="s">
        <v>3863</v>
      </c>
      <c r="M588" s="813" t="s">
        <v>3157</v>
      </c>
      <c r="N588" s="813" t="s">
        <v>8730</v>
      </c>
      <c r="O588" s="813" t="s">
        <v>4264</v>
      </c>
      <c r="P588" s="813" t="s">
        <v>8731</v>
      </c>
      <c r="Q588" s="813" t="s">
        <v>8732</v>
      </c>
      <c r="R588" s="813">
        <v>1</v>
      </c>
      <c r="S588" s="813" t="s">
        <v>8467</v>
      </c>
      <c r="T588" s="813" t="s">
        <v>6895</v>
      </c>
    </row>
    <row r="589" spans="1:20" ht="15" customHeight="1" x14ac:dyDescent="0.35">
      <c r="A589" s="794" t="s">
        <v>8722</v>
      </c>
      <c r="B589" s="794" t="s">
        <v>3857</v>
      </c>
      <c r="C589" s="812" t="s">
        <v>3913</v>
      </c>
      <c r="D589" s="825">
        <v>25</v>
      </c>
      <c r="E589" s="825"/>
      <c r="F589" s="826"/>
      <c r="G589" s="814" t="s">
        <v>3858</v>
      </c>
      <c r="H589" s="813" t="s">
        <v>8460</v>
      </c>
      <c r="I589" s="813" t="s">
        <v>3960</v>
      </c>
      <c r="J589" s="813" t="s">
        <v>8723</v>
      </c>
      <c r="K589" s="813" t="s">
        <v>8462</v>
      </c>
      <c r="L589" s="813" t="s">
        <v>3863</v>
      </c>
      <c r="M589" s="813" t="s">
        <v>3157</v>
      </c>
      <c r="N589" s="813" t="s">
        <v>8733</v>
      </c>
      <c r="O589" s="813" t="s">
        <v>3883</v>
      </c>
      <c r="P589" s="813" t="s">
        <v>8734</v>
      </c>
      <c r="Q589" s="813" t="s">
        <v>8735</v>
      </c>
      <c r="R589" s="813">
        <v>1</v>
      </c>
      <c r="S589" s="813" t="s">
        <v>8467</v>
      </c>
      <c r="T589" s="813" t="s">
        <v>6895</v>
      </c>
    </row>
    <row r="590" spans="1:20" ht="15" customHeight="1" x14ac:dyDescent="0.35">
      <c r="A590" s="794" t="s">
        <v>8736</v>
      </c>
      <c r="B590" s="794" t="s">
        <v>3857</v>
      </c>
      <c r="C590" s="812" t="s">
        <v>3913</v>
      </c>
      <c r="D590" s="825"/>
      <c r="E590" s="825"/>
      <c r="F590" s="825">
        <v>30</v>
      </c>
      <c r="G590" s="814" t="s">
        <v>3858</v>
      </c>
      <c r="H590" s="813" t="s">
        <v>8460</v>
      </c>
      <c r="I590" s="813" t="s">
        <v>3960</v>
      </c>
      <c r="J590" s="813" t="s">
        <v>8723</v>
      </c>
      <c r="K590" s="813" t="s">
        <v>8462</v>
      </c>
      <c r="L590" s="813" t="s">
        <v>3863</v>
      </c>
      <c r="M590" s="813" t="s">
        <v>3157</v>
      </c>
      <c r="N590" s="813" t="s">
        <v>8737</v>
      </c>
      <c r="O590" s="813" t="s">
        <v>3883</v>
      </c>
      <c r="P590" s="813" t="s">
        <v>8738</v>
      </c>
      <c r="Q590" s="813" t="s">
        <v>8739</v>
      </c>
      <c r="R590" s="813">
        <v>1</v>
      </c>
      <c r="S590" s="813" t="s">
        <v>8467</v>
      </c>
      <c r="T590" s="813" t="s">
        <v>6895</v>
      </c>
    </row>
    <row r="591" spans="1:20" ht="15" customHeight="1" x14ac:dyDescent="0.35">
      <c r="A591" s="794" t="s">
        <v>8736</v>
      </c>
      <c r="B591" s="794" t="s">
        <v>3857</v>
      </c>
      <c r="C591" s="812" t="s">
        <v>3913</v>
      </c>
      <c r="D591" s="825"/>
      <c r="E591" s="825"/>
      <c r="F591" s="825">
        <v>8</v>
      </c>
      <c r="G591" s="814" t="s">
        <v>3858</v>
      </c>
      <c r="H591" s="813" t="s">
        <v>8460</v>
      </c>
      <c r="I591" s="813" t="s">
        <v>3960</v>
      </c>
      <c r="J591" s="813" t="s">
        <v>8723</v>
      </c>
      <c r="K591" s="813" t="s">
        <v>8462</v>
      </c>
      <c r="L591" s="813" t="s">
        <v>3863</v>
      </c>
      <c r="M591" s="813" t="s">
        <v>3157</v>
      </c>
      <c r="N591" s="813" t="s">
        <v>8740</v>
      </c>
      <c r="O591" s="813" t="s">
        <v>3883</v>
      </c>
      <c r="P591" s="813" t="s">
        <v>8741</v>
      </c>
      <c r="Q591" s="813" t="s">
        <v>8742</v>
      </c>
      <c r="R591" s="813">
        <v>1</v>
      </c>
      <c r="S591" s="813" t="s">
        <v>8467</v>
      </c>
      <c r="T591" s="813" t="s">
        <v>6895</v>
      </c>
    </row>
    <row r="592" spans="1:20" ht="15" customHeight="1" x14ac:dyDescent="0.35">
      <c r="A592" s="794" t="s">
        <v>8736</v>
      </c>
      <c r="B592" s="794" t="s">
        <v>3857</v>
      </c>
      <c r="C592" s="812" t="s">
        <v>3913</v>
      </c>
      <c r="D592" s="825"/>
      <c r="E592" s="825"/>
      <c r="F592" s="825">
        <v>2500</v>
      </c>
      <c r="G592" s="814" t="s">
        <v>3858</v>
      </c>
      <c r="H592" s="813" t="s">
        <v>8460</v>
      </c>
      <c r="I592" s="813" t="s">
        <v>3960</v>
      </c>
      <c r="J592" s="813" t="s">
        <v>8723</v>
      </c>
      <c r="K592" s="813" t="s">
        <v>8462</v>
      </c>
      <c r="L592" s="813" t="s">
        <v>3863</v>
      </c>
      <c r="M592" s="813" t="s">
        <v>3157</v>
      </c>
      <c r="N592" s="813" t="s">
        <v>8743</v>
      </c>
      <c r="O592" s="813" t="s">
        <v>4264</v>
      </c>
      <c r="P592" s="813" t="s">
        <v>8744</v>
      </c>
      <c r="Q592" s="813" t="s">
        <v>8745</v>
      </c>
      <c r="R592" s="813">
        <v>1</v>
      </c>
      <c r="S592" s="813" t="s">
        <v>8467</v>
      </c>
      <c r="T592" s="813" t="s">
        <v>6895</v>
      </c>
    </row>
    <row r="593" spans="1:20" ht="15" customHeight="1" x14ac:dyDescent="0.35">
      <c r="A593" s="794" t="s">
        <v>8736</v>
      </c>
      <c r="B593" s="794" t="s">
        <v>3857</v>
      </c>
      <c r="C593" s="812" t="s">
        <v>3913</v>
      </c>
      <c r="D593" s="825">
        <v>25</v>
      </c>
      <c r="E593" s="825"/>
      <c r="F593" s="826"/>
      <c r="G593" s="814" t="s">
        <v>3858</v>
      </c>
      <c r="H593" s="813" t="s">
        <v>8460</v>
      </c>
      <c r="I593" s="813" t="s">
        <v>3960</v>
      </c>
      <c r="J593" s="813" t="s">
        <v>8723</v>
      </c>
      <c r="K593" s="813" t="s">
        <v>8462</v>
      </c>
      <c r="L593" s="813" t="s">
        <v>3863</v>
      </c>
      <c r="M593" s="813" t="s">
        <v>3157</v>
      </c>
      <c r="N593" s="813" t="s">
        <v>8746</v>
      </c>
      <c r="O593" s="813" t="s">
        <v>3883</v>
      </c>
      <c r="P593" s="813" t="s">
        <v>8747</v>
      </c>
      <c r="Q593" s="813" t="s">
        <v>8748</v>
      </c>
      <c r="R593" s="813">
        <v>1</v>
      </c>
      <c r="S593" s="813" t="s">
        <v>8467</v>
      </c>
      <c r="T593" s="813" t="s">
        <v>6895</v>
      </c>
    </row>
    <row r="594" spans="1:20" ht="15" customHeight="1" x14ac:dyDescent="0.35">
      <c r="A594" s="794" t="s">
        <v>8749</v>
      </c>
      <c r="B594" s="794" t="s">
        <v>3857</v>
      </c>
      <c r="C594" s="812" t="s">
        <v>3913</v>
      </c>
      <c r="D594" s="825"/>
      <c r="E594" s="825"/>
      <c r="F594" s="825">
        <v>2</v>
      </c>
      <c r="G594" s="814" t="s">
        <v>3858</v>
      </c>
      <c r="H594" s="813" t="s">
        <v>8460</v>
      </c>
      <c r="I594" s="813" t="s">
        <v>3960</v>
      </c>
      <c r="J594" s="813" t="s">
        <v>8723</v>
      </c>
      <c r="K594" s="813" t="s">
        <v>8462</v>
      </c>
      <c r="L594" s="813" t="s">
        <v>3863</v>
      </c>
      <c r="M594" s="813" t="s">
        <v>3157</v>
      </c>
      <c r="N594" s="813" t="s">
        <v>8750</v>
      </c>
      <c r="O594" s="813" t="s">
        <v>3883</v>
      </c>
      <c r="P594" s="813" t="s">
        <v>8751</v>
      </c>
      <c r="Q594" s="813" t="s">
        <v>8752</v>
      </c>
      <c r="R594" s="813">
        <v>1</v>
      </c>
      <c r="S594" s="813" t="s">
        <v>8467</v>
      </c>
      <c r="T594" s="813" t="s">
        <v>6895</v>
      </c>
    </row>
    <row r="595" spans="1:20" ht="15" customHeight="1" x14ac:dyDescent="0.35">
      <c r="A595" s="794" t="s">
        <v>8749</v>
      </c>
      <c r="B595" s="794" t="s">
        <v>3857</v>
      </c>
      <c r="C595" s="812" t="s">
        <v>3913</v>
      </c>
      <c r="D595" s="825"/>
      <c r="E595" s="825"/>
      <c r="F595" s="825">
        <v>8</v>
      </c>
      <c r="G595" s="814" t="s">
        <v>3858</v>
      </c>
      <c r="H595" s="813" t="s">
        <v>8460</v>
      </c>
      <c r="I595" s="813" t="s">
        <v>3960</v>
      </c>
      <c r="J595" s="813" t="s">
        <v>8723</v>
      </c>
      <c r="K595" s="813" t="s">
        <v>8462</v>
      </c>
      <c r="L595" s="813" t="s">
        <v>3863</v>
      </c>
      <c r="M595" s="813" t="s">
        <v>3157</v>
      </c>
      <c r="N595" s="813" t="s">
        <v>8753</v>
      </c>
      <c r="O595" s="813" t="s">
        <v>3883</v>
      </c>
      <c r="P595" s="813" t="s">
        <v>8754</v>
      </c>
      <c r="Q595" s="813" t="s">
        <v>8755</v>
      </c>
      <c r="R595" s="813">
        <v>1</v>
      </c>
      <c r="S595" s="813" t="s">
        <v>8467</v>
      </c>
      <c r="T595" s="813" t="s">
        <v>6895</v>
      </c>
    </row>
    <row r="596" spans="1:20" ht="15" customHeight="1" x14ac:dyDescent="0.35">
      <c r="A596" s="794" t="s">
        <v>8749</v>
      </c>
      <c r="B596" s="794" t="s">
        <v>3857</v>
      </c>
      <c r="C596" s="812" t="s">
        <v>3913</v>
      </c>
      <c r="D596" s="825"/>
      <c r="E596" s="825"/>
      <c r="F596" s="825">
        <v>2500</v>
      </c>
      <c r="G596" s="814" t="s">
        <v>3858</v>
      </c>
      <c r="H596" s="813" t="s">
        <v>8460</v>
      </c>
      <c r="I596" s="813" t="s">
        <v>3960</v>
      </c>
      <c r="J596" s="813" t="s">
        <v>8723</v>
      </c>
      <c r="K596" s="813" t="s">
        <v>8462</v>
      </c>
      <c r="L596" s="813" t="s">
        <v>3863</v>
      </c>
      <c r="M596" s="813" t="s">
        <v>3157</v>
      </c>
      <c r="N596" s="813" t="s">
        <v>8756</v>
      </c>
      <c r="O596" s="813" t="s">
        <v>4264</v>
      </c>
      <c r="P596" s="813" t="s">
        <v>8757</v>
      </c>
      <c r="Q596" s="813" t="s">
        <v>8758</v>
      </c>
      <c r="R596" s="813">
        <v>1</v>
      </c>
      <c r="S596" s="813" t="s">
        <v>8467</v>
      </c>
      <c r="T596" s="813" t="s">
        <v>6895</v>
      </c>
    </row>
    <row r="597" spans="1:20" ht="15" customHeight="1" x14ac:dyDescent="0.35">
      <c r="A597" s="794" t="s">
        <v>8749</v>
      </c>
      <c r="B597" s="794" t="s">
        <v>3857</v>
      </c>
      <c r="C597" s="812" t="s">
        <v>3913</v>
      </c>
      <c r="D597" s="825">
        <v>25</v>
      </c>
      <c r="E597" s="825"/>
      <c r="F597" s="826"/>
      <c r="G597" s="814" t="s">
        <v>3858</v>
      </c>
      <c r="H597" s="813" t="s">
        <v>8460</v>
      </c>
      <c r="I597" s="813" t="s">
        <v>3960</v>
      </c>
      <c r="J597" s="813" t="s">
        <v>8723</v>
      </c>
      <c r="K597" s="813" t="s">
        <v>8462</v>
      </c>
      <c r="L597" s="813" t="s">
        <v>3863</v>
      </c>
      <c r="M597" s="813" t="s">
        <v>3157</v>
      </c>
      <c r="N597" s="813" t="s">
        <v>8759</v>
      </c>
      <c r="O597" s="813" t="s">
        <v>3883</v>
      </c>
      <c r="P597" s="813" t="s">
        <v>8760</v>
      </c>
      <c r="Q597" s="813" t="s">
        <v>8761</v>
      </c>
      <c r="R597" s="813">
        <v>1</v>
      </c>
      <c r="S597" s="813" t="s">
        <v>8467</v>
      </c>
      <c r="T597" s="813" t="s">
        <v>6895</v>
      </c>
    </row>
    <row r="598" spans="1:20" ht="15" customHeight="1" x14ac:dyDescent="0.35">
      <c r="A598" s="794" t="s">
        <v>8762</v>
      </c>
      <c r="B598" s="794" t="s">
        <v>3857</v>
      </c>
      <c r="C598" s="812" t="s">
        <v>3913</v>
      </c>
      <c r="D598" s="825"/>
      <c r="E598" s="825"/>
      <c r="F598" s="825">
        <v>40</v>
      </c>
      <c r="G598" s="814" t="s">
        <v>3858</v>
      </c>
      <c r="H598" s="813" t="s">
        <v>8460</v>
      </c>
      <c r="I598" s="813" t="s">
        <v>3960</v>
      </c>
      <c r="J598" s="813" t="s">
        <v>8723</v>
      </c>
      <c r="K598" s="813" t="s">
        <v>8462</v>
      </c>
      <c r="L598" s="813" t="s">
        <v>3863</v>
      </c>
      <c r="M598" s="813" t="s">
        <v>3157</v>
      </c>
      <c r="N598" s="813" t="s">
        <v>8763</v>
      </c>
      <c r="O598" s="813" t="s">
        <v>3883</v>
      </c>
      <c r="P598" s="813" t="s">
        <v>8764</v>
      </c>
      <c r="Q598" s="813" t="s">
        <v>8765</v>
      </c>
      <c r="R598" s="813">
        <v>1</v>
      </c>
      <c r="S598" s="813" t="s">
        <v>8467</v>
      </c>
      <c r="T598" s="813" t="s">
        <v>6895</v>
      </c>
    </row>
    <row r="599" spans="1:20" ht="15" customHeight="1" x14ac:dyDescent="0.35">
      <c r="A599" s="794" t="s">
        <v>8762</v>
      </c>
      <c r="B599" s="794" t="s">
        <v>3857</v>
      </c>
      <c r="C599" s="812" t="s">
        <v>3913</v>
      </c>
      <c r="D599" s="825"/>
      <c r="E599" s="825"/>
      <c r="F599" s="825">
        <v>12</v>
      </c>
      <c r="G599" s="814" t="s">
        <v>3858</v>
      </c>
      <c r="H599" s="813" t="s">
        <v>8460</v>
      </c>
      <c r="I599" s="813" t="s">
        <v>3960</v>
      </c>
      <c r="J599" s="813" t="s">
        <v>8723</v>
      </c>
      <c r="K599" s="813" t="s">
        <v>8462</v>
      </c>
      <c r="L599" s="813" t="s">
        <v>3863</v>
      </c>
      <c r="M599" s="813" t="s">
        <v>3157</v>
      </c>
      <c r="N599" s="813" t="s">
        <v>8766</v>
      </c>
      <c r="O599" s="813" t="s">
        <v>3883</v>
      </c>
      <c r="P599" s="813" t="s">
        <v>8767</v>
      </c>
      <c r="Q599" s="813" t="s">
        <v>8768</v>
      </c>
      <c r="R599" s="813">
        <v>1</v>
      </c>
      <c r="S599" s="813" t="s">
        <v>8467</v>
      </c>
      <c r="T599" s="813" t="s">
        <v>6895</v>
      </c>
    </row>
    <row r="600" spans="1:20" ht="15" customHeight="1" x14ac:dyDescent="0.35">
      <c r="A600" s="794" t="s">
        <v>8762</v>
      </c>
      <c r="B600" s="794" t="s">
        <v>3857</v>
      </c>
      <c r="C600" s="812" t="s">
        <v>3913</v>
      </c>
      <c r="D600" s="825"/>
      <c r="E600" s="825"/>
      <c r="F600" s="825">
        <v>5000</v>
      </c>
      <c r="G600" s="814" t="s">
        <v>3858</v>
      </c>
      <c r="H600" s="813" t="s">
        <v>8460</v>
      </c>
      <c r="I600" s="813" t="s">
        <v>3960</v>
      </c>
      <c r="J600" s="813" t="s">
        <v>8723</v>
      </c>
      <c r="K600" s="813" t="s">
        <v>8462</v>
      </c>
      <c r="L600" s="813" t="s">
        <v>3863</v>
      </c>
      <c r="M600" s="813" t="s">
        <v>3157</v>
      </c>
      <c r="N600" s="813" t="s">
        <v>8769</v>
      </c>
      <c r="O600" s="813" t="s">
        <v>4264</v>
      </c>
      <c r="P600" s="813" t="s">
        <v>8770</v>
      </c>
      <c r="Q600" s="813" t="s">
        <v>8771</v>
      </c>
      <c r="R600" s="813">
        <v>1</v>
      </c>
      <c r="S600" s="813" t="s">
        <v>8467</v>
      </c>
      <c r="T600" s="813" t="s">
        <v>6895</v>
      </c>
    </row>
    <row r="601" spans="1:20" ht="15" customHeight="1" x14ac:dyDescent="0.35">
      <c r="A601" s="794" t="s">
        <v>8762</v>
      </c>
      <c r="B601" s="794" t="s">
        <v>3857</v>
      </c>
      <c r="C601" s="812" t="s">
        <v>3913</v>
      </c>
      <c r="D601" s="825">
        <v>0</v>
      </c>
      <c r="E601" s="825"/>
      <c r="F601" s="826"/>
      <c r="G601" s="814" t="s">
        <v>3858</v>
      </c>
      <c r="H601" s="813" t="s">
        <v>8460</v>
      </c>
      <c r="I601" s="813" t="s">
        <v>3960</v>
      </c>
      <c r="J601" s="813" t="s">
        <v>8723</v>
      </c>
      <c r="K601" s="813" t="s">
        <v>8462</v>
      </c>
      <c r="L601" s="813" t="s">
        <v>3863</v>
      </c>
      <c r="M601" s="813" t="s">
        <v>3157</v>
      </c>
      <c r="N601" s="813" t="s">
        <v>8772</v>
      </c>
      <c r="O601" s="813" t="s">
        <v>3883</v>
      </c>
      <c r="P601" s="813" t="s">
        <v>8773</v>
      </c>
      <c r="Q601" s="813" t="s">
        <v>8774</v>
      </c>
      <c r="R601" s="813">
        <v>1</v>
      </c>
      <c r="S601" s="813" t="s">
        <v>8467</v>
      </c>
      <c r="T601" s="813" t="s">
        <v>6895</v>
      </c>
    </row>
    <row r="602" spans="1:20" ht="15" customHeight="1" x14ac:dyDescent="0.35">
      <c r="A602" s="794" t="s">
        <v>8775</v>
      </c>
      <c r="B602" s="794" t="s">
        <v>3857</v>
      </c>
      <c r="C602" s="812" t="s">
        <v>3913</v>
      </c>
      <c r="D602" s="825"/>
      <c r="E602" s="825"/>
      <c r="F602" s="825">
        <v>3</v>
      </c>
      <c r="G602" s="814" t="s">
        <v>3858</v>
      </c>
      <c r="H602" s="813" t="s">
        <v>8460</v>
      </c>
      <c r="I602" s="813" t="s">
        <v>3960</v>
      </c>
      <c r="J602" s="813" t="s">
        <v>8723</v>
      </c>
      <c r="K602" s="813" t="s">
        <v>8462</v>
      </c>
      <c r="L602" s="813" t="s">
        <v>3863</v>
      </c>
      <c r="M602" s="813" t="s">
        <v>3157</v>
      </c>
      <c r="N602" s="813" t="s">
        <v>8776</v>
      </c>
      <c r="O602" s="813" t="s">
        <v>3883</v>
      </c>
      <c r="P602" s="813" t="s">
        <v>8777</v>
      </c>
      <c r="Q602" s="813" t="s">
        <v>8778</v>
      </c>
      <c r="R602" s="813">
        <v>1</v>
      </c>
      <c r="S602" s="813" t="s">
        <v>8467</v>
      </c>
      <c r="T602" s="813" t="s">
        <v>6895</v>
      </c>
    </row>
    <row r="603" spans="1:20" ht="15" customHeight="1" x14ac:dyDescent="0.35">
      <c r="A603" s="794" t="s">
        <v>8775</v>
      </c>
      <c r="B603" s="794" t="s">
        <v>3857</v>
      </c>
      <c r="C603" s="812" t="s">
        <v>3913</v>
      </c>
      <c r="D603" s="825"/>
      <c r="E603" s="825"/>
      <c r="F603" s="825">
        <v>12</v>
      </c>
      <c r="G603" s="814" t="s">
        <v>3858</v>
      </c>
      <c r="H603" s="813" t="s">
        <v>8460</v>
      </c>
      <c r="I603" s="813" t="s">
        <v>3960</v>
      </c>
      <c r="J603" s="813" t="s">
        <v>8723</v>
      </c>
      <c r="K603" s="813" t="s">
        <v>8462</v>
      </c>
      <c r="L603" s="813" t="s">
        <v>3863</v>
      </c>
      <c r="M603" s="813" t="s">
        <v>3157</v>
      </c>
      <c r="N603" s="813" t="s">
        <v>8779</v>
      </c>
      <c r="O603" s="813" t="s">
        <v>3883</v>
      </c>
      <c r="P603" s="813" t="s">
        <v>8780</v>
      </c>
      <c r="Q603" s="813" t="s">
        <v>8781</v>
      </c>
      <c r="R603" s="813">
        <v>1</v>
      </c>
      <c r="S603" s="813" t="s">
        <v>8467</v>
      </c>
      <c r="T603" s="813" t="s">
        <v>6895</v>
      </c>
    </row>
    <row r="604" spans="1:20" ht="15" customHeight="1" x14ac:dyDescent="0.35">
      <c r="A604" s="794" t="s">
        <v>8775</v>
      </c>
      <c r="B604" s="794" t="s">
        <v>3857</v>
      </c>
      <c r="C604" s="812" t="s">
        <v>3913</v>
      </c>
      <c r="D604" s="825"/>
      <c r="E604" s="825"/>
      <c r="F604" s="825">
        <v>5000</v>
      </c>
      <c r="G604" s="814" t="s">
        <v>3858</v>
      </c>
      <c r="H604" s="813" t="s">
        <v>8460</v>
      </c>
      <c r="I604" s="813" t="s">
        <v>3960</v>
      </c>
      <c r="J604" s="813" t="s">
        <v>8723</v>
      </c>
      <c r="K604" s="813" t="s">
        <v>8462</v>
      </c>
      <c r="L604" s="813" t="s">
        <v>3863</v>
      </c>
      <c r="M604" s="813" t="s">
        <v>3157</v>
      </c>
      <c r="N604" s="813" t="s">
        <v>8782</v>
      </c>
      <c r="O604" s="813" t="s">
        <v>4264</v>
      </c>
      <c r="P604" s="813" t="s">
        <v>8783</v>
      </c>
      <c r="Q604" s="813" t="s">
        <v>8784</v>
      </c>
      <c r="R604" s="813">
        <v>1</v>
      </c>
      <c r="S604" s="813" t="s">
        <v>8467</v>
      </c>
      <c r="T604" s="813" t="s">
        <v>6895</v>
      </c>
    </row>
    <row r="605" spans="1:20" ht="15" customHeight="1" x14ac:dyDescent="0.35">
      <c r="A605" s="794" t="s">
        <v>8775</v>
      </c>
      <c r="B605" s="794" t="s">
        <v>3857</v>
      </c>
      <c r="C605" s="812" t="s">
        <v>3913</v>
      </c>
      <c r="D605" s="825">
        <v>25</v>
      </c>
      <c r="E605" s="825"/>
      <c r="F605" s="826"/>
      <c r="G605" s="814" t="s">
        <v>3858</v>
      </c>
      <c r="H605" s="813" t="s">
        <v>8460</v>
      </c>
      <c r="I605" s="813" t="s">
        <v>3960</v>
      </c>
      <c r="J605" s="813" t="s">
        <v>8723</v>
      </c>
      <c r="K605" s="813" t="s">
        <v>8462</v>
      </c>
      <c r="L605" s="813" t="s">
        <v>3863</v>
      </c>
      <c r="M605" s="813" t="s">
        <v>3157</v>
      </c>
      <c r="N605" s="813" t="s">
        <v>8785</v>
      </c>
      <c r="O605" s="813" t="s">
        <v>3883</v>
      </c>
      <c r="P605" s="813" t="s">
        <v>8786</v>
      </c>
      <c r="Q605" s="813" t="s">
        <v>8787</v>
      </c>
      <c r="R605" s="813">
        <v>1</v>
      </c>
      <c r="S605" s="813" t="s">
        <v>8467</v>
      </c>
      <c r="T605" s="813" t="s">
        <v>6895</v>
      </c>
    </row>
    <row r="606" spans="1:20" ht="15" customHeight="1" x14ac:dyDescent="0.35">
      <c r="A606" s="794" t="s">
        <v>8788</v>
      </c>
      <c r="B606" s="794" t="s">
        <v>3857</v>
      </c>
      <c r="C606" s="812" t="s">
        <v>3913</v>
      </c>
      <c r="D606" s="825"/>
      <c r="E606" s="825"/>
      <c r="F606" s="825">
        <v>5</v>
      </c>
      <c r="G606" s="814" t="s">
        <v>3858</v>
      </c>
      <c r="H606" s="813" t="s">
        <v>8460</v>
      </c>
      <c r="I606" s="813" t="s">
        <v>3960</v>
      </c>
      <c r="J606" s="813" t="s">
        <v>8723</v>
      </c>
      <c r="K606" s="813" t="s">
        <v>8462</v>
      </c>
      <c r="L606" s="813" t="s">
        <v>3863</v>
      </c>
      <c r="M606" s="813" t="s">
        <v>3157</v>
      </c>
      <c r="N606" s="813" t="s">
        <v>8789</v>
      </c>
      <c r="O606" s="813" t="s">
        <v>3883</v>
      </c>
      <c r="P606" s="813" t="s">
        <v>8790</v>
      </c>
      <c r="Q606" s="813" t="s">
        <v>8791</v>
      </c>
      <c r="R606" s="813">
        <v>1</v>
      </c>
      <c r="S606" s="813" t="s">
        <v>8467</v>
      </c>
      <c r="T606" s="813" t="s">
        <v>6895</v>
      </c>
    </row>
    <row r="607" spans="1:20" ht="15" customHeight="1" x14ac:dyDescent="0.35">
      <c r="A607" s="794" t="s">
        <v>8788</v>
      </c>
      <c r="B607" s="794" t="s">
        <v>3857</v>
      </c>
      <c r="C607" s="812" t="s">
        <v>3913</v>
      </c>
      <c r="D607" s="825"/>
      <c r="E607" s="825"/>
      <c r="F607" s="825">
        <v>12</v>
      </c>
      <c r="G607" s="814" t="s">
        <v>3858</v>
      </c>
      <c r="H607" s="813" t="s">
        <v>8460</v>
      </c>
      <c r="I607" s="813" t="s">
        <v>3960</v>
      </c>
      <c r="J607" s="813" t="s">
        <v>8723</v>
      </c>
      <c r="K607" s="813" t="s">
        <v>8462</v>
      </c>
      <c r="L607" s="813" t="s">
        <v>3863</v>
      </c>
      <c r="M607" s="813" t="s">
        <v>3157</v>
      </c>
      <c r="N607" s="813" t="s">
        <v>8792</v>
      </c>
      <c r="O607" s="813" t="s">
        <v>3883</v>
      </c>
      <c r="P607" s="813" t="s">
        <v>8793</v>
      </c>
      <c r="Q607" s="813" t="s">
        <v>8794</v>
      </c>
      <c r="R607" s="813">
        <v>1</v>
      </c>
      <c r="S607" s="813" t="s">
        <v>8467</v>
      </c>
      <c r="T607" s="813" t="s">
        <v>6895</v>
      </c>
    </row>
    <row r="608" spans="1:20" ht="15" customHeight="1" x14ac:dyDescent="0.35">
      <c r="A608" s="794" t="s">
        <v>8788</v>
      </c>
      <c r="B608" s="794" t="s">
        <v>3857</v>
      </c>
      <c r="C608" s="812" t="s">
        <v>3913</v>
      </c>
      <c r="D608" s="825"/>
      <c r="E608" s="825"/>
      <c r="F608" s="825">
        <v>5000</v>
      </c>
      <c r="G608" s="814" t="s">
        <v>3858</v>
      </c>
      <c r="H608" s="813" t="s">
        <v>8460</v>
      </c>
      <c r="I608" s="813" t="s">
        <v>3960</v>
      </c>
      <c r="J608" s="813" t="s">
        <v>8723</v>
      </c>
      <c r="K608" s="813" t="s">
        <v>8462</v>
      </c>
      <c r="L608" s="813" t="s">
        <v>3863</v>
      </c>
      <c r="M608" s="813" t="s">
        <v>3157</v>
      </c>
      <c r="N608" s="813" t="s">
        <v>8795</v>
      </c>
      <c r="O608" s="813" t="s">
        <v>4264</v>
      </c>
      <c r="P608" s="813" t="s">
        <v>8796</v>
      </c>
      <c r="Q608" s="813" t="s">
        <v>8797</v>
      </c>
      <c r="R608" s="813">
        <v>1</v>
      </c>
      <c r="S608" s="813" t="s">
        <v>8467</v>
      </c>
      <c r="T608" s="813" t="s">
        <v>6895</v>
      </c>
    </row>
    <row r="609" spans="1:20" ht="15" customHeight="1" x14ac:dyDescent="0.35">
      <c r="A609" s="794" t="s">
        <v>8788</v>
      </c>
      <c r="B609" s="794" t="s">
        <v>3857</v>
      </c>
      <c r="C609" s="812" t="s">
        <v>3913</v>
      </c>
      <c r="D609" s="825">
        <v>10</v>
      </c>
      <c r="E609" s="825"/>
      <c r="F609" s="826"/>
      <c r="G609" s="814" t="s">
        <v>3858</v>
      </c>
      <c r="H609" s="813" t="s">
        <v>8460</v>
      </c>
      <c r="I609" s="813" t="s">
        <v>3960</v>
      </c>
      <c r="J609" s="813" t="s">
        <v>8723</v>
      </c>
      <c r="K609" s="813" t="s">
        <v>8462</v>
      </c>
      <c r="L609" s="813" t="s">
        <v>3863</v>
      </c>
      <c r="M609" s="813" t="s">
        <v>3157</v>
      </c>
      <c r="N609" s="813" t="s">
        <v>8798</v>
      </c>
      <c r="O609" s="813" t="s">
        <v>3883</v>
      </c>
      <c r="P609" s="813" t="s">
        <v>8799</v>
      </c>
      <c r="Q609" s="813" t="s">
        <v>8800</v>
      </c>
      <c r="R609" s="813">
        <v>1</v>
      </c>
      <c r="S609" s="813" t="s">
        <v>8467</v>
      </c>
      <c r="T609" s="813" t="s">
        <v>6895</v>
      </c>
    </row>
    <row r="610" spans="1:20" ht="15" customHeight="1" x14ac:dyDescent="0.35">
      <c r="A610" s="794" t="s">
        <v>8801</v>
      </c>
      <c r="B610" s="794" t="s">
        <v>3857</v>
      </c>
      <c r="C610" s="812" t="s">
        <v>3913</v>
      </c>
      <c r="D610" s="825"/>
      <c r="E610" s="825"/>
      <c r="F610" s="825">
        <v>10</v>
      </c>
      <c r="G610" s="814" t="s">
        <v>3858</v>
      </c>
      <c r="H610" s="813" t="s">
        <v>8460</v>
      </c>
      <c r="I610" s="813" t="s">
        <v>3960</v>
      </c>
      <c r="J610" s="813" t="s">
        <v>8723</v>
      </c>
      <c r="K610" s="813" t="s">
        <v>8462</v>
      </c>
      <c r="L610" s="813" t="s">
        <v>3863</v>
      </c>
      <c r="M610" s="813" t="s">
        <v>3157</v>
      </c>
      <c r="N610" s="813" t="s">
        <v>8802</v>
      </c>
      <c r="O610" s="813" t="s">
        <v>3883</v>
      </c>
      <c r="P610" s="813" t="s">
        <v>8803</v>
      </c>
      <c r="Q610" s="813" t="s">
        <v>8804</v>
      </c>
      <c r="R610" s="813">
        <v>1</v>
      </c>
      <c r="S610" s="813" t="s">
        <v>8467</v>
      </c>
      <c r="T610" s="813" t="s">
        <v>6895</v>
      </c>
    </row>
    <row r="611" spans="1:20" ht="15" customHeight="1" x14ac:dyDescent="0.35">
      <c r="A611" s="794" t="s">
        <v>8801</v>
      </c>
      <c r="B611" s="794" t="s">
        <v>3857</v>
      </c>
      <c r="C611" s="812" t="s">
        <v>3913</v>
      </c>
      <c r="D611" s="825"/>
      <c r="E611" s="825"/>
      <c r="F611" s="825">
        <v>8</v>
      </c>
      <c r="G611" s="814" t="s">
        <v>3858</v>
      </c>
      <c r="H611" s="813" t="s">
        <v>8460</v>
      </c>
      <c r="I611" s="813" t="s">
        <v>3960</v>
      </c>
      <c r="J611" s="813" t="s">
        <v>8723</v>
      </c>
      <c r="K611" s="813" t="s">
        <v>8462</v>
      </c>
      <c r="L611" s="813" t="s">
        <v>3863</v>
      </c>
      <c r="M611" s="813" t="s">
        <v>3157</v>
      </c>
      <c r="N611" s="813" t="s">
        <v>8805</v>
      </c>
      <c r="O611" s="813" t="s">
        <v>3883</v>
      </c>
      <c r="P611" s="813" t="s">
        <v>8806</v>
      </c>
      <c r="Q611" s="813" t="s">
        <v>8807</v>
      </c>
      <c r="R611" s="813">
        <v>1</v>
      </c>
      <c r="S611" s="813" t="s">
        <v>8467</v>
      </c>
      <c r="T611" s="813" t="s">
        <v>6895</v>
      </c>
    </row>
    <row r="612" spans="1:20" ht="15" customHeight="1" x14ac:dyDescent="0.35">
      <c r="A612" s="794" t="s">
        <v>8801</v>
      </c>
      <c r="B612" s="794" t="s">
        <v>3857</v>
      </c>
      <c r="C612" s="812" t="s">
        <v>3913</v>
      </c>
      <c r="D612" s="825"/>
      <c r="E612" s="825"/>
      <c r="F612" s="825">
        <v>5000</v>
      </c>
      <c r="G612" s="814" t="s">
        <v>3858</v>
      </c>
      <c r="H612" s="813" t="s">
        <v>8460</v>
      </c>
      <c r="I612" s="813" t="s">
        <v>3960</v>
      </c>
      <c r="J612" s="813" t="s">
        <v>8723</v>
      </c>
      <c r="K612" s="813" t="s">
        <v>8462</v>
      </c>
      <c r="L612" s="813" t="s">
        <v>3863</v>
      </c>
      <c r="M612" s="813" t="s">
        <v>3157</v>
      </c>
      <c r="N612" s="813" t="s">
        <v>8808</v>
      </c>
      <c r="O612" s="813" t="s">
        <v>4264</v>
      </c>
      <c r="P612" s="813" t="s">
        <v>8809</v>
      </c>
      <c r="Q612" s="813" t="s">
        <v>8810</v>
      </c>
      <c r="R612" s="813">
        <v>1</v>
      </c>
      <c r="S612" s="813" t="s">
        <v>8467</v>
      </c>
      <c r="T612" s="813" t="s">
        <v>6895</v>
      </c>
    </row>
    <row r="613" spans="1:20" ht="15" customHeight="1" x14ac:dyDescent="0.35">
      <c r="A613" s="794" t="s">
        <v>8801</v>
      </c>
      <c r="B613" s="794" t="s">
        <v>3857</v>
      </c>
      <c r="C613" s="812" t="s">
        <v>3913</v>
      </c>
      <c r="D613" s="825">
        <v>0</v>
      </c>
      <c r="E613" s="825"/>
      <c r="F613" s="826"/>
      <c r="G613" s="814" t="s">
        <v>3858</v>
      </c>
      <c r="H613" s="813" t="s">
        <v>8460</v>
      </c>
      <c r="I613" s="813" t="s">
        <v>3960</v>
      </c>
      <c r="J613" s="813" t="s">
        <v>8723</v>
      </c>
      <c r="K613" s="813" t="s">
        <v>8462</v>
      </c>
      <c r="L613" s="813" t="s">
        <v>3863</v>
      </c>
      <c r="M613" s="813" t="s">
        <v>3157</v>
      </c>
      <c r="N613" s="813" t="s">
        <v>8811</v>
      </c>
      <c r="O613" s="813" t="s">
        <v>3883</v>
      </c>
      <c r="P613" s="813" t="s">
        <v>8812</v>
      </c>
      <c r="Q613" s="813" t="s">
        <v>8813</v>
      </c>
      <c r="R613" s="813">
        <v>1</v>
      </c>
      <c r="S613" s="813" t="s">
        <v>8467</v>
      </c>
      <c r="T613" s="813" t="s">
        <v>6895</v>
      </c>
    </row>
    <row r="614" spans="1:20" ht="28" customHeight="1" x14ac:dyDescent="0.35">
      <c r="A614" s="830" t="s">
        <v>8814</v>
      </c>
      <c r="B614" s="794" t="s">
        <v>3857</v>
      </c>
      <c r="C614" s="812" t="s">
        <v>3913</v>
      </c>
      <c r="D614" s="825"/>
      <c r="E614" s="825"/>
      <c r="F614" s="825">
        <v>30</v>
      </c>
      <c r="G614" s="814" t="s">
        <v>3858</v>
      </c>
      <c r="H614" s="813" t="s">
        <v>8460</v>
      </c>
      <c r="I614" s="813" t="s">
        <v>3960</v>
      </c>
      <c r="J614" s="813" t="s">
        <v>8723</v>
      </c>
      <c r="K614" s="813" t="s">
        <v>8462</v>
      </c>
      <c r="L614" s="813" t="s">
        <v>3863</v>
      </c>
      <c r="M614" s="813" t="s">
        <v>3157</v>
      </c>
      <c r="N614" s="813" t="s">
        <v>8815</v>
      </c>
      <c r="O614" s="813" t="s">
        <v>3883</v>
      </c>
      <c r="P614" s="813" t="s">
        <v>8816</v>
      </c>
      <c r="Q614" s="813" t="s">
        <v>8817</v>
      </c>
      <c r="R614" s="813">
        <v>1</v>
      </c>
      <c r="S614" s="813" t="s">
        <v>8467</v>
      </c>
      <c r="T614" s="813" t="s">
        <v>6895</v>
      </c>
    </row>
    <row r="615" spans="1:20" ht="28" customHeight="1" x14ac:dyDescent="0.35">
      <c r="A615" s="830" t="s">
        <v>8814</v>
      </c>
      <c r="B615" s="794" t="s">
        <v>3857</v>
      </c>
      <c r="C615" s="812" t="s">
        <v>3913</v>
      </c>
      <c r="D615" s="825"/>
      <c r="E615" s="825"/>
      <c r="F615" s="825">
        <v>12</v>
      </c>
      <c r="G615" s="814" t="s">
        <v>3858</v>
      </c>
      <c r="H615" s="813" t="s">
        <v>8460</v>
      </c>
      <c r="I615" s="813" t="s">
        <v>3960</v>
      </c>
      <c r="J615" s="813" t="s">
        <v>8723</v>
      </c>
      <c r="K615" s="813" t="s">
        <v>8462</v>
      </c>
      <c r="L615" s="813" t="s">
        <v>3863</v>
      </c>
      <c r="M615" s="813" t="s">
        <v>3157</v>
      </c>
      <c r="N615" s="813" t="s">
        <v>8818</v>
      </c>
      <c r="O615" s="813" t="s">
        <v>3883</v>
      </c>
      <c r="P615" s="813" t="s">
        <v>8819</v>
      </c>
      <c r="Q615" s="813" t="s">
        <v>8820</v>
      </c>
      <c r="R615" s="813">
        <v>1</v>
      </c>
      <c r="S615" s="813" t="s">
        <v>8467</v>
      </c>
      <c r="T615" s="813" t="s">
        <v>6895</v>
      </c>
    </row>
    <row r="616" spans="1:20" ht="28" customHeight="1" x14ac:dyDescent="0.35">
      <c r="A616" s="830" t="s">
        <v>8814</v>
      </c>
      <c r="B616" s="794" t="s">
        <v>3857</v>
      </c>
      <c r="C616" s="812" t="s">
        <v>3913</v>
      </c>
      <c r="D616" s="825"/>
      <c r="E616" s="825"/>
      <c r="F616" s="825">
        <v>1000</v>
      </c>
      <c r="G616" s="814" t="s">
        <v>3858</v>
      </c>
      <c r="H616" s="813" t="s">
        <v>8460</v>
      </c>
      <c r="I616" s="813" t="s">
        <v>3960</v>
      </c>
      <c r="J616" s="813" t="s">
        <v>8723</v>
      </c>
      <c r="K616" s="813" t="s">
        <v>8462</v>
      </c>
      <c r="L616" s="813" t="s">
        <v>3863</v>
      </c>
      <c r="M616" s="813" t="s">
        <v>3157</v>
      </c>
      <c r="N616" s="813" t="s">
        <v>8821</v>
      </c>
      <c r="O616" s="813" t="s">
        <v>4264</v>
      </c>
      <c r="P616" s="813" t="s">
        <v>8822</v>
      </c>
      <c r="Q616" s="813" t="s">
        <v>8823</v>
      </c>
      <c r="R616" s="813">
        <v>1</v>
      </c>
      <c r="S616" s="813" t="s">
        <v>8467</v>
      </c>
      <c r="T616" s="813" t="s">
        <v>6895</v>
      </c>
    </row>
    <row r="617" spans="1:20" ht="28" customHeight="1" x14ac:dyDescent="0.35">
      <c r="A617" s="830" t="s">
        <v>8814</v>
      </c>
      <c r="B617" s="794" t="s">
        <v>3857</v>
      </c>
      <c r="C617" s="812" t="s">
        <v>3913</v>
      </c>
      <c r="D617" s="825">
        <v>75</v>
      </c>
      <c r="E617" s="825"/>
      <c r="F617" s="826"/>
      <c r="G617" s="814" t="s">
        <v>3858</v>
      </c>
      <c r="H617" s="813" t="s">
        <v>8460</v>
      </c>
      <c r="I617" s="813" t="s">
        <v>3960</v>
      </c>
      <c r="J617" s="813" t="s">
        <v>8723</v>
      </c>
      <c r="K617" s="813" t="s">
        <v>8462</v>
      </c>
      <c r="L617" s="813" t="s">
        <v>3863</v>
      </c>
      <c r="M617" s="813" t="s">
        <v>3157</v>
      </c>
      <c r="N617" s="813" t="s">
        <v>8824</v>
      </c>
      <c r="O617" s="813" t="s">
        <v>3883</v>
      </c>
      <c r="P617" s="813" t="s">
        <v>8825</v>
      </c>
      <c r="Q617" s="813" t="s">
        <v>8826</v>
      </c>
      <c r="R617" s="813">
        <v>1</v>
      </c>
      <c r="S617" s="813" t="s">
        <v>8467</v>
      </c>
      <c r="T617" s="813" t="s">
        <v>6895</v>
      </c>
    </row>
    <row r="618" spans="1:20" ht="28" customHeight="1" x14ac:dyDescent="0.35">
      <c r="A618" s="830" t="s">
        <v>8827</v>
      </c>
      <c r="B618" s="794" t="s">
        <v>3857</v>
      </c>
      <c r="C618" s="812" t="s">
        <v>3913</v>
      </c>
      <c r="D618" s="825"/>
      <c r="E618" s="825"/>
      <c r="F618" s="825">
        <v>20</v>
      </c>
      <c r="G618" s="814" t="s">
        <v>3858</v>
      </c>
      <c r="H618" s="813" t="s">
        <v>8460</v>
      </c>
      <c r="I618" s="813" t="s">
        <v>3960</v>
      </c>
      <c r="J618" s="813" t="s">
        <v>8723</v>
      </c>
      <c r="K618" s="813" t="s">
        <v>8462</v>
      </c>
      <c r="L618" s="813" t="s">
        <v>3863</v>
      </c>
      <c r="M618" s="813" t="s">
        <v>3157</v>
      </c>
      <c r="N618" s="813" t="s">
        <v>8828</v>
      </c>
      <c r="O618" s="813" t="s">
        <v>3883</v>
      </c>
      <c r="P618" s="813" t="s">
        <v>8829</v>
      </c>
      <c r="Q618" s="813" t="s">
        <v>8830</v>
      </c>
      <c r="R618" s="813">
        <v>1</v>
      </c>
      <c r="S618" s="813" t="s">
        <v>8467</v>
      </c>
      <c r="T618" s="813" t="s">
        <v>6895</v>
      </c>
    </row>
    <row r="619" spans="1:20" ht="28" customHeight="1" x14ac:dyDescent="0.35">
      <c r="A619" s="830" t="s">
        <v>8827</v>
      </c>
      <c r="B619" s="794" t="s">
        <v>3857</v>
      </c>
      <c r="C619" s="812" t="s">
        <v>3913</v>
      </c>
      <c r="D619" s="825"/>
      <c r="E619" s="825"/>
      <c r="F619" s="825">
        <v>12</v>
      </c>
      <c r="G619" s="814" t="s">
        <v>3858</v>
      </c>
      <c r="H619" s="813" t="s">
        <v>8460</v>
      </c>
      <c r="I619" s="813" t="s">
        <v>3960</v>
      </c>
      <c r="J619" s="813" t="s">
        <v>8723</v>
      </c>
      <c r="K619" s="813" t="s">
        <v>8462</v>
      </c>
      <c r="L619" s="813" t="s">
        <v>3863</v>
      </c>
      <c r="M619" s="813" t="s">
        <v>3157</v>
      </c>
      <c r="N619" s="813" t="s">
        <v>8831</v>
      </c>
      <c r="O619" s="813" t="s">
        <v>3883</v>
      </c>
      <c r="P619" s="813" t="s">
        <v>8832</v>
      </c>
      <c r="Q619" s="813" t="s">
        <v>8833</v>
      </c>
      <c r="R619" s="813">
        <v>1</v>
      </c>
      <c r="S619" s="813" t="s">
        <v>8467</v>
      </c>
      <c r="T619" s="813" t="s">
        <v>6895</v>
      </c>
    </row>
    <row r="620" spans="1:20" ht="28" customHeight="1" x14ac:dyDescent="0.35">
      <c r="A620" s="830" t="s">
        <v>8827</v>
      </c>
      <c r="B620" s="794" t="s">
        <v>3857</v>
      </c>
      <c r="C620" s="812" t="s">
        <v>3913</v>
      </c>
      <c r="D620" s="825"/>
      <c r="E620" s="825"/>
      <c r="F620" s="825">
        <v>250</v>
      </c>
      <c r="G620" s="814" t="s">
        <v>3858</v>
      </c>
      <c r="H620" s="813" t="s">
        <v>8460</v>
      </c>
      <c r="I620" s="813" t="s">
        <v>3960</v>
      </c>
      <c r="J620" s="813" t="s">
        <v>8723</v>
      </c>
      <c r="K620" s="813" t="s">
        <v>8462</v>
      </c>
      <c r="L620" s="813" t="s">
        <v>3863</v>
      </c>
      <c r="M620" s="813" t="s">
        <v>3157</v>
      </c>
      <c r="N620" s="813" t="s">
        <v>8834</v>
      </c>
      <c r="O620" s="813" t="s">
        <v>4264</v>
      </c>
      <c r="P620" s="813" t="s">
        <v>8835</v>
      </c>
      <c r="Q620" s="813" t="s">
        <v>8836</v>
      </c>
      <c r="R620" s="813">
        <v>1</v>
      </c>
      <c r="S620" s="813" t="s">
        <v>8467</v>
      </c>
      <c r="T620" s="813" t="s">
        <v>6895</v>
      </c>
    </row>
    <row r="621" spans="1:20" ht="28" customHeight="1" x14ac:dyDescent="0.35">
      <c r="A621" s="830" t="s">
        <v>8827</v>
      </c>
      <c r="B621" s="794" t="s">
        <v>3857</v>
      </c>
      <c r="C621" s="812" t="s">
        <v>3913</v>
      </c>
      <c r="D621" s="825">
        <v>75</v>
      </c>
      <c r="E621" s="825"/>
      <c r="F621" s="826"/>
      <c r="G621" s="814" t="s">
        <v>3858</v>
      </c>
      <c r="H621" s="813" t="s">
        <v>8460</v>
      </c>
      <c r="I621" s="813" t="s">
        <v>3960</v>
      </c>
      <c r="J621" s="813" t="s">
        <v>8723</v>
      </c>
      <c r="K621" s="813" t="s">
        <v>8462</v>
      </c>
      <c r="L621" s="813" t="s">
        <v>3863</v>
      </c>
      <c r="M621" s="813" t="s">
        <v>3157</v>
      </c>
      <c r="N621" s="813" t="s">
        <v>8837</v>
      </c>
      <c r="O621" s="813" t="s">
        <v>3883</v>
      </c>
      <c r="P621" s="813" t="s">
        <v>8838</v>
      </c>
      <c r="Q621" s="813" t="s">
        <v>8839</v>
      </c>
      <c r="R621" s="813">
        <v>1</v>
      </c>
      <c r="S621" s="813" t="s">
        <v>8467</v>
      </c>
      <c r="T621" s="813" t="s">
        <v>6895</v>
      </c>
    </row>
    <row r="622" spans="1:20" ht="15" customHeight="1" x14ac:dyDescent="0.35">
      <c r="A622" s="794" t="s">
        <v>8840</v>
      </c>
      <c r="B622" s="794" t="s">
        <v>3857</v>
      </c>
      <c r="C622" s="812" t="s">
        <v>3913</v>
      </c>
      <c r="D622" s="825"/>
      <c r="E622" s="825"/>
      <c r="F622" s="825">
        <v>5</v>
      </c>
      <c r="G622" s="814" t="s">
        <v>3858</v>
      </c>
      <c r="H622" s="813" t="s">
        <v>8460</v>
      </c>
      <c r="I622" s="813" t="s">
        <v>3960</v>
      </c>
      <c r="J622" s="813" t="s">
        <v>8723</v>
      </c>
      <c r="K622" s="813" t="s">
        <v>8462</v>
      </c>
      <c r="L622" s="813" t="s">
        <v>3863</v>
      </c>
      <c r="M622" s="813" t="s">
        <v>3157</v>
      </c>
      <c r="N622" s="813" t="s">
        <v>8841</v>
      </c>
      <c r="O622" s="813" t="s">
        <v>3883</v>
      </c>
      <c r="P622" s="813" t="s">
        <v>8842</v>
      </c>
      <c r="Q622" s="813" t="s">
        <v>8843</v>
      </c>
      <c r="R622" s="813">
        <v>1</v>
      </c>
      <c r="S622" s="813" t="s">
        <v>8467</v>
      </c>
      <c r="T622" s="813" t="s">
        <v>6895</v>
      </c>
    </row>
    <row r="623" spans="1:20" ht="15" customHeight="1" x14ac:dyDescent="0.35">
      <c r="A623" s="794" t="s">
        <v>8840</v>
      </c>
      <c r="B623" s="794" t="s">
        <v>3857</v>
      </c>
      <c r="C623" s="812" t="s">
        <v>3913</v>
      </c>
      <c r="D623" s="825"/>
      <c r="E623" s="825"/>
      <c r="F623" s="825">
        <v>12</v>
      </c>
      <c r="G623" s="814" t="s">
        <v>3858</v>
      </c>
      <c r="H623" s="813" t="s">
        <v>8460</v>
      </c>
      <c r="I623" s="813" t="s">
        <v>3960</v>
      </c>
      <c r="J623" s="813" t="s">
        <v>8723</v>
      </c>
      <c r="K623" s="813" t="s">
        <v>8462</v>
      </c>
      <c r="L623" s="813" t="s">
        <v>3863</v>
      </c>
      <c r="M623" s="813" t="s">
        <v>3157</v>
      </c>
      <c r="N623" s="813" t="s">
        <v>8844</v>
      </c>
      <c r="O623" s="813" t="s">
        <v>3883</v>
      </c>
      <c r="P623" s="813" t="s">
        <v>8845</v>
      </c>
      <c r="Q623" s="813" t="s">
        <v>8846</v>
      </c>
      <c r="R623" s="813">
        <v>1</v>
      </c>
      <c r="S623" s="813" t="s">
        <v>8467</v>
      </c>
      <c r="T623" s="813" t="s">
        <v>6895</v>
      </c>
    </row>
    <row r="624" spans="1:20" ht="15" customHeight="1" x14ac:dyDescent="0.35">
      <c r="A624" s="794" t="s">
        <v>8840</v>
      </c>
      <c r="B624" s="794" t="s">
        <v>3857</v>
      </c>
      <c r="C624" s="812" t="s">
        <v>3913</v>
      </c>
      <c r="D624" s="825"/>
      <c r="E624" s="825"/>
      <c r="F624" s="825">
        <v>300</v>
      </c>
      <c r="G624" s="814" t="s">
        <v>3858</v>
      </c>
      <c r="H624" s="813" t="s">
        <v>8460</v>
      </c>
      <c r="I624" s="813" t="s">
        <v>3960</v>
      </c>
      <c r="J624" s="813" t="s">
        <v>8723</v>
      </c>
      <c r="K624" s="813" t="s">
        <v>8462</v>
      </c>
      <c r="L624" s="813" t="s">
        <v>3863</v>
      </c>
      <c r="M624" s="813" t="s">
        <v>3157</v>
      </c>
      <c r="N624" s="813" t="s">
        <v>8847</v>
      </c>
      <c r="O624" s="813" t="s">
        <v>4264</v>
      </c>
      <c r="P624" s="813" t="s">
        <v>8848</v>
      </c>
      <c r="Q624" s="813" t="s">
        <v>8849</v>
      </c>
      <c r="R624" s="813">
        <v>1</v>
      </c>
      <c r="S624" s="813" t="s">
        <v>8467</v>
      </c>
      <c r="T624" s="813" t="s">
        <v>6895</v>
      </c>
    </row>
    <row r="625" spans="1:20" ht="15" customHeight="1" x14ac:dyDescent="0.35">
      <c r="A625" s="794" t="s">
        <v>8840</v>
      </c>
      <c r="B625" s="794" t="s">
        <v>3857</v>
      </c>
      <c r="C625" s="812" t="s">
        <v>3913</v>
      </c>
      <c r="D625" s="825">
        <v>75</v>
      </c>
      <c r="E625" s="825"/>
      <c r="F625" s="826"/>
      <c r="G625" s="814" t="s">
        <v>3858</v>
      </c>
      <c r="H625" s="813" t="s">
        <v>8460</v>
      </c>
      <c r="I625" s="813" t="s">
        <v>3960</v>
      </c>
      <c r="J625" s="813" t="s">
        <v>8723</v>
      </c>
      <c r="K625" s="813" t="s">
        <v>8462</v>
      </c>
      <c r="L625" s="813" t="s">
        <v>3863</v>
      </c>
      <c r="M625" s="813" t="s">
        <v>3157</v>
      </c>
      <c r="N625" s="813" t="s">
        <v>8850</v>
      </c>
      <c r="O625" s="813" t="s">
        <v>3883</v>
      </c>
      <c r="P625" s="813" t="s">
        <v>8851</v>
      </c>
      <c r="Q625" s="813" t="s">
        <v>8852</v>
      </c>
      <c r="R625" s="813">
        <v>1</v>
      </c>
      <c r="S625" s="813" t="s">
        <v>8467</v>
      </c>
      <c r="T625" s="813" t="s">
        <v>6895</v>
      </c>
    </row>
    <row r="626" spans="1:20" ht="28" customHeight="1" x14ac:dyDescent="0.35">
      <c r="A626" s="830" t="s">
        <v>8853</v>
      </c>
      <c r="B626" s="794" t="s">
        <v>3857</v>
      </c>
      <c r="C626" s="812" t="s">
        <v>3913</v>
      </c>
      <c r="D626" s="825"/>
      <c r="E626" s="825"/>
      <c r="F626" s="825">
        <v>12</v>
      </c>
      <c r="G626" s="814" t="s">
        <v>3858</v>
      </c>
      <c r="H626" s="813" t="s">
        <v>8460</v>
      </c>
      <c r="I626" s="813" t="s">
        <v>3960</v>
      </c>
      <c r="J626" s="813" t="s">
        <v>8723</v>
      </c>
      <c r="K626" s="813" t="s">
        <v>8462</v>
      </c>
      <c r="L626" s="813" t="s">
        <v>3863</v>
      </c>
      <c r="M626" s="813" t="s">
        <v>3157</v>
      </c>
      <c r="N626" s="813" t="s">
        <v>8854</v>
      </c>
      <c r="O626" s="813" t="s">
        <v>3883</v>
      </c>
      <c r="P626" s="813" t="s">
        <v>8855</v>
      </c>
      <c r="Q626" s="813" t="s">
        <v>8856</v>
      </c>
      <c r="R626" s="813">
        <v>2</v>
      </c>
      <c r="S626" s="813" t="s">
        <v>8467</v>
      </c>
      <c r="T626" s="813" t="s">
        <v>6895</v>
      </c>
    </row>
    <row r="627" spans="1:20" ht="28" customHeight="1" x14ac:dyDescent="0.35">
      <c r="A627" s="830" t="s">
        <v>8853</v>
      </c>
      <c r="B627" s="794" t="s">
        <v>3857</v>
      </c>
      <c r="C627" s="812" t="s">
        <v>3913</v>
      </c>
      <c r="D627" s="825"/>
      <c r="E627" s="825"/>
      <c r="F627" s="825">
        <v>250</v>
      </c>
      <c r="G627" s="814" t="s">
        <v>3858</v>
      </c>
      <c r="H627" s="813" t="s">
        <v>8460</v>
      </c>
      <c r="I627" s="813" t="s">
        <v>3960</v>
      </c>
      <c r="J627" s="813" t="s">
        <v>8723</v>
      </c>
      <c r="K627" s="813" t="s">
        <v>8462</v>
      </c>
      <c r="L627" s="813" t="s">
        <v>3863</v>
      </c>
      <c r="M627" s="813" t="s">
        <v>3157</v>
      </c>
      <c r="N627" s="813" t="s">
        <v>8857</v>
      </c>
      <c r="O627" s="813" t="s">
        <v>4264</v>
      </c>
      <c r="P627" s="813" t="s">
        <v>8858</v>
      </c>
      <c r="Q627" s="813" t="s">
        <v>8859</v>
      </c>
      <c r="R627" s="813">
        <v>1</v>
      </c>
      <c r="S627" s="813" t="s">
        <v>8467</v>
      </c>
      <c r="T627" s="813" t="s">
        <v>6895</v>
      </c>
    </row>
    <row r="628" spans="1:20" ht="28" customHeight="1" x14ac:dyDescent="0.35">
      <c r="A628" s="830" t="s">
        <v>8853</v>
      </c>
      <c r="B628" s="794" t="s">
        <v>3857</v>
      </c>
      <c r="C628" s="812" t="s">
        <v>3913</v>
      </c>
      <c r="D628" s="825">
        <v>0</v>
      </c>
      <c r="E628" s="825"/>
      <c r="F628" s="826"/>
      <c r="G628" s="814" t="s">
        <v>3858</v>
      </c>
      <c r="H628" s="813" t="s">
        <v>8460</v>
      </c>
      <c r="I628" s="813" t="s">
        <v>3960</v>
      </c>
      <c r="J628" s="813" t="s">
        <v>8723</v>
      </c>
      <c r="K628" s="813" t="s">
        <v>8462</v>
      </c>
      <c r="L628" s="813" t="s">
        <v>3863</v>
      </c>
      <c r="M628" s="813" t="s">
        <v>3157</v>
      </c>
      <c r="N628" s="813" t="s">
        <v>8860</v>
      </c>
      <c r="O628" s="813" t="s">
        <v>3883</v>
      </c>
      <c r="P628" s="813" t="s">
        <v>8861</v>
      </c>
      <c r="Q628" s="813" t="s">
        <v>8862</v>
      </c>
      <c r="R628" s="813">
        <v>1</v>
      </c>
      <c r="S628" s="813" t="s">
        <v>8467</v>
      </c>
      <c r="T628" s="813" t="s">
        <v>6895</v>
      </c>
    </row>
    <row r="629" spans="1:20" ht="15" customHeight="1" x14ac:dyDescent="0.35">
      <c r="A629" s="794" t="s">
        <v>8863</v>
      </c>
      <c r="B629" s="794" t="s">
        <v>3857</v>
      </c>
      <c r="C629" s="812" t="s">
        <v>3913</v>
      </c>
      <c r="D629" s="825"/>
      <c r="E629" s="825"/>
      <c r="F629" s="825">
        <v>2</v>
      </c>
      <c r="G629" s="814" t="s">
        <v>3858</v>
      </c>
      <c r="H629" s="813" t="s">
        <v>8460</v>
      </c>
      <c r="I629" s="813" t="s">
        <v>3960</v>
      </c>
      <c r="J629" s="813" t="s">
        <v>8723</v>
      </c>
      <c r="K629" s="813" t="s">
        <v>8462</v>
      </c>
      <c r="L629" s="813" t="s">
        <v>3863</v>
      </c>
      <c r="M629" s="813" t="s">
        <v>3157</v>
      </c>
      <c r="N629" s="813" t="s">
        <v>8864</v>
      </c>
      <c r="O629" s="813" t="s">
        <v>3883</v>
      </c>
      <c r="P629" s="813" t="s">
        <v>8865</v>
      </c>
      <c r="Q629" s="813" t="s">
        <v>8866</v>
      </c>
      <c r="R629" s="813">
        <v>1</v>
      </c>
      <c r="S629" s="813" t="s">
        <v>8467</v>
      </c>
      <c r="T629" s="813" t="s">
        <v>6895</v>
      </c>
    </row>
    <row r="630" spans="1:20" ht="15" customHeight="1" x14ac:dyDescent="0.35">
      <c r="A630" s="794" t="s">
        <v>8863</v>
      </c>
      <c r="B630" s="794" t="s">
        <v>3857</v>
      </c>
      <c r="C630" s="812" t="s">
        <v>3913</v>
      </c>
      <c r="D630" s="825"/>
      <c r="E630" s="825"/>
      <c r="F630" s="825">
        <v>16</v>
      </c>
      <c r="G630" s="814" t="s">
        <v>3858</v>
      </c>
      <c r="H630" s="813" t="s">
        <v>8460</v>
      </c>
      <c r="I630" s="813" t="s">
        <v>3960</v>
      </c>
      <c r="J630" s="813" t="s">
        <v>8723</v>
      </c>
      <c r="K630" s="813" t="s">
        <v>8462</v>
      </c>
      <c r="L630" s="813" t="s">
        <v>3863</v>
      </c>
      <c r="M630" s="813" t="s">
        <v>3157</v>
      </c>
      <c r="N630" s="813" t="s">
        <v>8867</v>
      </c>
      <c r="O630" s="813" t="s">
        <v>3883</v>
      </c>
      <c r="P630" s="813" t="s">
        <v>8868</v>
      </c>
      <c r="Q630" s="813" t="s">
        <v>8869</v>
      </c>
      <c r="R630" s="813">
        <v>1</v>
      </c>
      <c r="S630" s="813" t="s">
        <v>8467</v>
      </c>
      <c r="T630" s="813" t="s">
        <v>6895</v>
      </c>
    </row>
    <row r="631" spans="1:20" ht="15" customHeight="1" x14ac:dyDescent="0.35">
      <c r="A631" s="794" t="s">
        <v>8863</v>
      </c>
      <c r="B631" s="794" t="s">
        <v>3857</v>
      </c>
      <c r="C631" s="812" t="s">
        <v>3913</v>
      </c>
      <c r="D631" s="825"/>
      <c r="E631" s="825"/>
      <c r="F631" s="825">
        <v>10000</v>
      </c>
      <c r="G631" s="814" t="s">
        <v>3858</v>
      </c>
      <c r="H631" s="813" t="s">
        <v>8460</v>
      </c>
      <c r="I631" s="813" t="s">
        <v>3960</v>
      </c>
      <c r="J631" s="813" t="s">
        <v>8723</v>
      </c>
      <c r="K631" s="813" t="s">
        <v>8462</v>
      </c>
      <c r="L631" s="813" t="s">
        <v>3863</v>
      </c>
      <c r="M631" s="813" t="s">
        <v>3157</v>
      </c>
      <c r="N631" s="813" t="s">
        <v>8870</v>
      </c>
      <c r="O631" s="813" t="s">
        <v>4264</v>
      </c>
      <c r="P631" s="813" t="s">
        <v>8871</v>
      </c>
      <c r="Q631" s="813" t="s">
        <v>8872</v>
      </c>
      <c r="R631" s="813">
        <v>1</v>
      </c>
      <c r="S631" s="813" t="s">
        <v>8467</v>
      </c>
      <c r="T631" s="813" t="s">
        <v>6895</v>
      </c>
    </row>
    <row r="632" spans="1:20" ht="15" customHeight="1" x14ac:dyDescent="0.35">
      <c r="A632" s="794" t="s">
        <v>8863</v>
      </c>
      <c r="B632" s="794" t="s">
        <v>3857</v>
      </c>
      <c r="C632" s="812" t="s">
        <v>3913</v>
      </c>
      <c r="D632" s="825">
        <v>250</v>
      </c>
      <c r="E632" s="825"/>
      <c r="F632" s="826"/>
      <c r="G632" s="814" t="s">
        <v>3858</v>
      </c>
      <c r="H632" s="813" t="s">
        <v>8460</v>
      </c>
      <c r="I632" s="813" t="s">
        <v>3960</v>
      </c>
      <c r="J632" s="813" t="s">
        <v>8723</v>
      </c>
      <c r="K632" s="813" t="s">
        <v>8462</v>
      </c>
      <c r="L632" s="813" t="s">
        <v>3863</v>
      </c>
      <c r="M632" s="813" t="s">
        <v>3157</v>
      </c>
      <c r="N632" s="813" t="s">
        <v>8873</v>
      </c>
      <c r="O632" s="813" t="s">
        <v>3883</v>
      </c>
      <c r="P632" s="813" t="s">
        <v>8874</v>
      </c>
      <c r="Q632" s="813" t="s">
        <v>8875</v>
      </c>
      <c r="R632" s="813">
        <v>1</v>
      </c>
      <c r="S632" s="813" t="s">
        <v>8467</v>
      </c>
      <c r="T632" s="813" t="s">
        <v>6895</v>
      </c>
    </row>
    <row r="633" spans="1:20" ht="15" customHeight="1" x14ac:dyDescent="0.35">
      <c r="A633" s="794" t="s">
        <v>8876</v>
      </c>
      <c r="B633" s="794" t="s">
        <v>3857</v>
      </c>
      <c r="C633" s="812" t="s">
        <v>3913</v>
      </c>
      <c r="D633" s="825"/>
      <c r="E633" s="825"/>
      <c r="F633" s="825">
        <v>24</v>
      </c>
      <c r="G633" s="814" t="s">
        <v>3858</v>
      </c>
      <c r="H633" s="813" t="s">
        <v>8460</v>
      </c>
      <c r="I633" s="813" t="s">
        <v>3960</v>
      </c>
      <c r="J633" s="813" t="s">
        <v>8723</v>
      </c>
      <c r="K633" s="813" t="s">
        <v>8462</v>
      </c>
      <c r="L633" s="813" t="s">
        <v>3863</v>
      </c>
      <c r="M633" s="813" t="s">
        <v>3157</v>
      </c>
      <c r="N633" s="813" t="s">
        <v>8877</v>
      </c>
      <c r="O633" s="813" t="s">
        <v>3883</v>
      </c>
      <c r="P633" s="813" t="s">
        <v>8878</v>
      </c>
      <c r="Q633" s="813" t="s">
        <v>8879</v>
      </c>
      <c r="R633" s="813">
        <v>1</v>
      </c>
      <c r="S633" s="813" t="s">
        <v>8467</v>
      </c>
      <c r="T633" s="813" t="s">
        <v>6895</v>
      </c>
    </row>
    <row r="634" spans="1:20" ht="15" customHeight="1" x14ac:dyDescent="0.35">
      <c r="A634" s="794" t="s">
        <v>8876</v>
      </c>
      <c r="B634" s="794" t="s">
        <v>3857</v>
      </c>
      <c r="C634" s="812" t="s">
        <v>3913</v>
      </c>
      <c r="D634" s="825"/>
      <c r="E634" s="825"/>
      <c r="F634" s="825">
        <v>12</v>
      </c>
      <c r="G634" s="814" t="s">
        <v>3858</v>
      </c>
      <c r="H634" s="813" t="s">
        <v>8460</v>
      </c>
      <c r="I634" s="813" t="s">
        <v>3960</v>
      </c>
      <c r="J634" s="813" t="s">
        <v>8723</v>
      </c>
      <c r="K634" s="813" t="s">
        <v>8462</v>
      </c>
      <c r="L634" s="813" t="s">
        <v>3863</v>
      </c>
      <c r="M634" s="813" t="s">
        <v>3157</v>
      </c>
      <c r="N634" s="813" t="s">
        <v>8880</v>
      </c>
      <c r="O634" s="813" t="s">
        <v>3883</v>
      </c>
      <c r="P634" s="813" t="s">
        <v>8881</v>
      </c>
      <c r="Q634" s="813" t="s">
        <v>8882</v>
      </c>
      <c r="R634" s="813">
        <v>1</v>
      </c>
      <c r="S634" s="813" t="s">
        <v>8467</v>
      </c>
      <c r="T634" s="813" t="s">
        <v>6895</v>
      </c>
    </row>
    <row r="635" spans="1:20" ht="15" customHeight="1" x14ac:dyDescent="0.35">
      <c r="A635" s="794" t="s">
        <v>8876</v>
      </c>
      <c r="B635" s="794" t="s">
        <v>3857</v>
      </c>
      <c r="C635" s="812" t="s">
        <v>3913</v>
      </c>
      <c r="D635" s="825"/>
      <c r="E635" s="825"/>
      <c r="F635" s="825">
        <v>5000</v>
      </c>
      <c r="G635" s="814" t="s">
        <v>3858</v>
      </c>
      <c r="H635" s="813" t="s">
        <v>8460</v>
      </c>
      <c r="I635" s="813" t="s">
        <v>3960</v>
      </c>
      <c r="J635" s="813" t="s">
        <v>8723</v>
      </c>
      <c r="K635" s="813" t="s">
        <v>8462</v>
      </c>
      <c r="L635" s="813" t="s">
        <v>3863</v>
      </c>
      <c r="M635" s="813" t="s">
        <v>3157</v>
      </c>
      <c r="N635" s="813" t="s">
        <v>8883</v>
      </c>
      <c r="O635" s="813" t="s">
        <v>4264</v>
      </c>
      <c r="P635" s="813" t="s">
        <v>8884</v>
      </c>
      <c r="Q635" s="813" t="s">
        <v>8885</v>
      </c>
      <c r="R635" s="813">
        <v>1</v>
      </c>
      <c r="S635" s="813" t="s">
        <v>8467</v>
      </c>
      <c r="T635" s="813" t="s">
        <v>6895</v>
      </c>
    </row>
    <row r="636" spans="1:20" ht="15" customHeight="1" x14ac:dyDescent="0.35">
      <c r="A636" s="794" t="s">
        <v>8876</v>
      </c>
      <c r="B636" s="794" t="s">
        <v>3857</v>
      </c>
      <c r="C636" s="812" t="s">
        <v>3913</v>
      </c>
      <c r="D636" s="825">
        <v>0</v>
      </c>
      <c r="E636" s="825"/>
      <c r="F636" s="826"/>
      <c r="G636" s="814" t="s">
        <v>3858</v>
      </c>
      <c r="H636" s="813" t="s">
        <v>8460</v>
      </c>
      <c r="I636" s="813" t="s">
        <v>3960</v>
      </c>
      <c r="J636" s="813" t="s">
        <v>8723</v>
      </c>
      <c r="K636" s="813" t="s">
        <v>8462</v>
      </c>
      <c r="L636" s="813" t="s">
        <v>3863</v>
      </c>
      <c r="M636" s="813" t="s">
        <v>3157</v>
      </c>
      <c r="N636" s="813" t="s">
        <v>8886</v>
      </c>
      <c r="O636" s="813" t="s">
        <v>3883</v>
      </c>
      <c r="P636" s="813" t="s">
        <v>8887</v>
      </c>
      <c r="Q636" s="813" t="s">
        <v>8888</v>
      </c>
      <c r="R636" s="813">
        <v>1</v>
      </c>
      <c r="S636" s="813" t="s">
        <v>8467</v>
      </c>
      <c r="T636" s="813" t="s">
        <v>6895</v>
      </c>
    </row>
    <row r="637" spans="1:20" ht="15" customHeight="1" x14ac:dyDescent="0.35">
      <c r="A637" s="803" t="s">
        <v>8889</v>
      </c>
      <c r="B637" s="803"/>
      <c r="C637" s="803"/>
      <c r="D637" s="803"/>
      <c r="E637" s="803"/>
      <c r="F637" s="803"/>
      <c r="G637" s="803" t="s">
        <v>8890</v>
      </c>
      <c r="H637" s="794"/>
      <c r="I637" s="794"/>
      <c r="J637" s="794"/>
      <c r="K637" s="794"/>
      <c r="L637" s="794"/>
      <c r="M637" s="794"/>
      <c r="N637" s="794"/>
      <c r="O637" s="794"/>
      <c r="P637" s="794"/>
      <c r="Q637" s="794"/>
      <c r="R637" s="794"/>
      <c r="S637" s="794"/>
      <c r="T637" s="794"/>
    </row>
    <row r="638" spans="1:20" ht="15" customHeight="1" x14ac:dyDescent="0.35">
      <c r="A638" s="794" t="s">
        <v>8891</v>
      </c>
      <c r="B638" s="794" t="s">
        <v>3857</v>
      </c>
      <c r="C638" s="812" t="s">
        <v>3913</v>
      </c>
      <c r="D638" s="825"/>
      <c r="E638" s="825"/>
      <c r="F638" s="825">
        <v>20</v>
      </c>
      <c r="G638" s="814" t="s">
        <v>3858</v>
      </c>
      <c r="H638" s="813" t="s">
        <v>8460</v>
      </c>
      <c r="I638" s="813" t="s">
        <v>3960</v>
      </c>
      <c r="J638" s="813" t="s">
        <v>8892</v>
      </c>
      <c r="K638" s="813" t="s">
        <v>8462</v>
      </c>
      <c r="L638" s="813" t="s">
        <v>3863</v>
      </c>
      <c r="M638" s="813" t="s">
        <v>3157</v>
      </c>
      <c r="N638" s="813" t="s">
        <v>8893</v>
      </c>
      <c r="O638" s="813" t="s">
        <v>3883</v>
      </c>
      <c r="P638" s="813" t="s">
        <v>8894</v>
      </c>
      <c r="Q638" s="813" t="s">
        <v>8895</v>
      </c>
      <c r="R638" s="813">
        <v>1</v>
      </c>
      <c r="S638" s="813" t="s">
        <v>8467</v>
      </c>
      <c r="T638" s="813" t="s">
        <v>6895</v>
      </c>
    </row>
    <row r="639" spans="1:20" ht="15" customHeight="1" x14ac:dyDescent="0.35">
      <c r="A639" s="794" t="s">
        <v>8891</v>
      </c>
      <c r="B639" s="794" t="s">
        <v>3857</v>
      </c>
      <c r="C639" s="812" t="s">
        <v>3913</v>
      </c>
      <c r="D639" s="825"/>
      <c r="E639" s="825"/>
      <c r="F639" s="825">
        <v>12</v>
      </c>
      <c r="G639" s="814" t="s">
        <v>3858</v>
      </c>
      <c r="H639" s="813" t="s">
        <v>8460</v>
      </c>
      <c r="I639" s="813" t="s">
        <v>3960</v>
      </c>
      <c r="J639" s="813" t="s">
        <v>8892</v>
      </c>
      <c r="K639" s="813" t="s">
        <v>8462</v>
      </c>
      <c r="L639" s="813" t="s">
        <v>3863</v>
      </c>
      <c r="M639" s="813" t="s">
        <v>3157</v>
      </c>
      <c r="N639" s="813" t="s">
        <v>8896</v>
      </c>
      <c r="O639" s="813" t="s">
        <v>3883</v>
      </c>
      <c r="P639" s="813" t="s">
        <v>8897</v>
      </c>
      <c r="Q639" s="813" t="s">
        <v>8898</v>
      </c>
      <c r="R639" s="813">
        <v>1</v>
      </c>
      <c r="S639" s="813" t="s">
        <v>8467</v>
      </c>
      <c r="T639" s="813" t="s">
        <v>6895</v>
      </c>
    </row>
    <row r="640" spans="1:20" ht="15" customHeight="1" x14ac:dyDescent="0.35">
      <c r="A640" s="794" t="s">
        <v>8891</v>
      </c>
      <c r="B640" s="794" t="s">
        <v>3857</v>
      </c>
      <c r="C640" s="812" t="s">
        <v>3913</v>
      </c>
      <c r="D640" s="825">
        <v>0</v>
      </c>
      <c r="E640" s="825"/>
      <c r="F640" s="826"/>
      <c r="G640" s="814" t="s">
        <v>3858</v>
      </c>
      <c r="H640" s="813" t="s">
        <v>8460</v>
      </c>
      <c r="I640" s="813" t="s">
        <v>3960</v>
      </c>
      <c r="J640" s="813" t="s">
        <v>8892</v>
      </c>
      <c r="K640" s="813" t="s">
        <v>8462</v>
      </c>
      <c r="L640" s="813" t="s">
        <v>3863</v>
      </c>
      <c r="M640" s="813" t="s">
        <v>3157</v>
      </c>
      <c r="N640" s="813" t="s">
        <v>8899</v>
      </c>
      <c r="O640" s="813" t="s">
        <v>3883</v>
      </c>
      <c r="P640" s="813" t="s">
        <v>8900</v>
      </c>
      <c r="Q640" s="813" t="s">
        <v>8901</v>
      </c>
      <c r="R640" s="813">
        <v>1</v>
      </c>
      <c r="S640" s="813" t="s">
        <v>8467</v>
      </c>
      <c r="T640" s="813" t="s">
        <v>6895</v>
      </c>
    </row>
    <row r="641" spans="1:20" ht="15" customHeight="1" x14ac:dyDescent="0.35">
      <c r="A641" s="794" t="s">
        <v>8902</v>
      </c>
      <c r="B641" s="794" t="s">
        <v>3857</v>
      </c>
      <c r="C641" s="812" t="s">
        <v>3913</v>
      </c>
      <c r="D641" s="825"/>
      <c r="E641" s="825"/>
      <c r="F641" s="825">
        <v>10</v>
      </c>
      <c r="G641" s="814" t="s">
        <v>3858</v>
      </c>
      <c r="H641" s="813" t="s">
        <v>8460</v>
      </c>
      <c r="I641" s="813" t="s">
        <v>3960</v>
      </c>
      <c r="J641" s="813" t="s">
        <v>8892</v>
      </c>
      <c r="K641" s="813" t="s">
        <v>8462</v>
      </c>
      <c r="L641" s="813" t="s">
        <v>3863</v>
      </c>
      <c r="M641" s="813" t="s">
        <v>3157</v>
      </c>
      <c r="N641" s="813" t="s">
        <v>8903</v>
      </c>
      <c r="O641" s="813" t="s">
        <v>3883</v>
      </c>
      <c r="P641" s="813" t="s">
        <v>8904</v>
      </c>
      <c r="Q641" s="813" t="s">
        <v>8905</v>
      </c>
      <c r="R641" s="813">
        <v>1</v>
      </c>
      <c r="S641" s="813" t="s">
        <v>8467</v>
      </c>
      <c r="T641" s="813" t="s">
        <v>6895</v>
      </c>
    </row>
    <row r="642" spans="1:20" ht="15" customHeight="1" x14ac:dyDescent="0.35">
      <c r="A642" s="794" t="s">
        <v>8902</v>
      </c>
      <c r="B642" s="794" t="s">
        <v>3857</v>
      </c>
      <c r="C642" s="812" t="s">
        <v>3913</v>
      </c>
      <c r="D642" s="825"/>
      <c r="E642" s="825"/>
      <c r="F642" s="825">
        <v>12</v>
      </c>
      <c r="G642" s="814" t="s">
        <v>3858</v>
      </c>
      <c r="H642" s="813" t="s">
        <v>8460</v>
      </c>
      <c r="I642" s="813" t="s">
        <v>3960</v>
      </c>
      <c r="J642" s="813" t="s">
        <v>8892</v>
      </c>
      <c r="K642" s="813" t="s">
        <v>8462</v>
      </c>
      <c r="L642" s="813" t="s">
        <v>3863</v>
      </c>
      <c r="M642" s="813" t="s">
        <v>3157</v>
      </c>
      <c r="N642" s="813" t="s">
        <v>8906</v>
      </c>
      <c r="O642" s="813" t="s">
        <v>3883</v>
      </c>
      <c r="P642" s="813" t="s">
        <v>8907</v>
      </c>
      <c r="Q642" s="813" t="s">
        <v>8908</v>
      </c>
      <c r="R642" s="813">
        <v>1</v>
      </c>
      <c r="S642" s="813" t="s">
        <v>8467</v>
      </c>
      <c r="T642" s="813" t="s">
        <v>6895</v>
      </c>
    </row>
    <row r="643" spans="1:20" ht="15" customHeight="1" x14ac:dyDescent="0.35">
      <c r="A643" s="794" t="s">
        <v>8902</v>
      </c>
      <c r="B643" s="794" t="s">
        <v>3857</v>
      </c>
      <c r="C643" s="812" t="s">
        <v>3913</v>
      </c>
      <c r="D643" s="825"/>
      <c r="E643" s="825"/>
      <c r="F643" s="825">
        <v>2500</v>
      </c>
      <c r="G643" s="814" t="s">
        <v>3858</v>
      </c>
      <c r="H643" s="813" t="s">
        <v>8460</v>
      </c>
      <c r="I643" s="813" t="s">
        <v>3960</v>
      </c>
      <c r="J643" s="813" t="s">
        <v>8892</v>
      </c>
      <c r="K643" s="813" t="s">
        <v>8462</v>
      </c>
      <c r="L643" s="813" t="s">
        <v>3863</v>
      </c>
      <c r="M643" s="813" t="s">
        <v>3157</v>
      </c>
      <c r="N643" s="813" t="s">
        <v>8909</v>
      </c>
      <c r="O643" s="813" t="s">
        <v>4264</v>
      </c>
      <c r="P643" s="813" t="s">
        <v>8910</v>
      </c>
      <c r="Q643" s="813" t="s">
        <v>8911</v>
      </c>
      <c r="R643" s="813">
        <v>1</v>
      </c>
      <c r="S643" s="813" t="s">
        <v>8467</v>
      </c>
      <c r="T643" s="813" t="s">
        <v>6895</v>
      </c>
    </row>
    <row r="644" spans="1:20" ht="15" customHeight="1" x14ac:dyDescent="0.35">
      <c r="A644" s="794" t="s">
        <v>8902</v>
      </c>
      <c r="B644" s="794" t="s">
        <v>3857</v>
      </c>
      <c r="C644" s="812" t="s">
        <v>3913</v>
      </c>
      <c r="D644" s="825">
        <v>0</v>
      </c>
      <c r="E644" s="825"/>
      <c r="F644" s="826"/>
      <c r="G644" s="814" t="s">
        <v>3858</v>
      </c>
      <c r="H644" s="813" t="s">
        <v>8460</v>
      </c>
      <c r="I644" s="813" t="s">
        <v>3960</v>
      </c>
      <c r="J644" s="813" t="s">
        <v>8892</v>
      </c>
      <c r="K644" s="813" t="s">
        <v>8462</v>
      </c>
      <c r="L644" s="813" t="s">
        <v>3863</v>
      </c>
      <c r="M644" s="813" t="s">
        <v>3157</v>
      </c>
      <c r="N644" s="813" t="s">
        <v>8912</v>
      </c>
      <c r="O644" s="813" t="s">
        <v>3883</v>
      </c>
      <c r="P644" s="813" t="s">
        <v>8913</v>
      </c>
      <c r="Q644" s="813" t="s">
        <v>8914</v>
      </c>
      <c r="R644" s="813">
        <v>1</v>
      </c>
      <c r="S644" s="813" t="s">
        <v>8467</v>
      </c>
      <c r="T644" s="813" t="s">
        <v>6895</v>
      </c>
    </row>
    <row r="645" spans="1:20" ht="15" customHeight="1" x14ac:dyDescent="0.35">
      <c r="A645" s="794" t="s">
        <v>8915</v>
      </c>
      <c r="B645" s="794" t="s">
        <v>3857</v>
      </c>
      <c r="C645" s="812" t="s">
        <v>3913</v>
      </c>
      <c r="D645" s="825"/>
      <c r="E645" s="825"/>
      <c r="F645" s="825">
        <v>20</v>
      </c>
      <c r="G645" s="814" t="s">
        <v>3858</v>
      </c>
      <c r="H645" s="813" t="s">
        <v>8460</v>
      </c>
      <c r="I645" s="813" t="s">
        <v>3960</v>
      </c>
      <c r="J645" s="813" t="s">
        <v>8892</v>
      </c>
      <c r="K645" s="813" t="s">
        <v>8462</v>
      </c>
      <c r="L645" s="813" t="s">
        <v>3863</v>
      </c>
      <c r="M645" s="813" t="s">
        <v>3157</v>
      </c>
      <c r="N645" s="813" t="s">
        <v>8916</v>
      </c>
      <c r="O645" s="813" t="s">
        <v>3883</v>
      </c>
      <c r="P645" s="813" t="s">
        <v>8917</v>
      </c>
      <c r="Q645" s="813" t="s">
        <v>8918</v>
      </c>
      <c r="R645" s="813">
        <v>1</v>
      </c>
      <c r="S645" s="813" t="s">
        <v>8467</v>
      </c>
      <c r="T645" s="813" t="s">
        <v>6895</v>
      </c>
    </row>
    <row r="646" spans="1:20" ht="15" customHeight="1" x14ac:dyDescent="0.35">
      <c r="A646" s="794" t="s">
        <v>8915</v>
      </c>
      <c r="B646" s="794" t="s">
        <v>3857</v>
      </c>
      <c r="C646" s="812" t="s">
        <v>3913</v>
      </c>
      <c r="D646" s="825"/>
      <c r="E646" s="825"/>
      <c r="F646" s="825">
        <v>12</v>
      </c>
      <c r="G646" s="814" t="s">
        <v>3858</v>
      </c>
      <c r="H646" s="813" t="s">
        <v>8460</v>
      </c>
      <c r="I646" s="813" t="s">
        <v>3960</v>
      </c>
      <c r="J646" s="813" t="s">
        <v>8892</v>
      </c>
      <c r="K646" s="813" t="s">
        <v>8462</v>
      </c>
      <c r="L646" s="813" t="s">
        <v>3863</v>
      </c>
      <c r="M646" s="813" t="s">
        <v>3157</v>
      </c>
      <c r="N646" s="813" t="s">
        <v>8919</v>
      </c>
      <c r="O646" s="813" t="s">
        <v>3883</v>
      </c>
      <c r="P646" s="813" t="s">
        <v>8920</v>
      </c>
      <c r="Q646" s="813" t="s">
        <v>8921</v>
      </c>
      <c r="R646" s="813">
        <v>1</v>
      </c>
      <c r="S646" s="813" t="s">
        <v>8467</v>
      </c>
      <c r="T646" s="813" t="s">
        <v>6895</v>
      </c>
    </row>
    <row r="647" spans="1:20" ht="15" customHeight="1" x14ac:dyDescent="0.35">
      <c r="A647" s="794" t="s">
        <v>8915</v>
      </c>
      <c r="B647" s="794" t="s">
        <v>3857</v>
      </c>
      <c r="C647" s="812" t="s">
        <v>3913</v>
      </c>
      <c r="D647" s="825"/>
      <c r="E647" s="825"/>
      <c r="F647" s="825">
        <v>0</v>
      </c>
      <c r="G647" s="814" t="s">
        <v>3858</v>
      </c>
      <c r="H647" s="813" t="s">
        <v>8460</v>
      </c>
      <c r="I647" s="813" t="s">
        <v>3960</v>
      </c>
      <c r="J647" s="813" t="s">
        <v>8892</v>
      </c>
      <c r="K647" s="813" t="s">
        <v>8462</v>
      </c>
      <c r="L647" s="813" t="s">
        <v>3863</v>
      </c>
      <c r="M647" s="813" t="s">
        <v>3157</v>
      </c>
      <c r="N647" s="813" t="s">
        <v>8922</v>
      </c>
      <c r="O647" s="813" t="s">
        <v>3925</v>
      </c>
      <c r="P647" s="813" t="s">
        <v>8923</v>
      </c>
      <c r="Q647" s="813" t="s">
        <v>8924</v>
      </c>
      <c r="R647" s="813">
        <v>1</v>
      </c>
      <c r="S647" s="813" t="s">
        <v>8467</v>
      </c>
      <c r="T647" s="813" t="s">
        <v>6895</v>
      </c>
    </row>
    <row r="648" spans="1:20" ht="15" customHeight="1" x14ac:dyDescent="0.35">
      <c r="A648" s="794" t="s">
        <v>8915</v>
      </c>
      <c r="B648" s="794" t="s">
        <v>3857</v>
      </c>
      <c r="C648" s="812" t="s">
        <v>3913</v>
      </c>
      <c r="D648" s="825">
        <v>0</v>
      </c>
      <c r="E648" s="825"/>
      <c r="F648" s="826"/>
      <c r="G648" s="814" t="s">
        <v>3858</v>
      </c>
      <c r="H648" s="813" t="s">
        <v>8460</v>
      </c>
      <c r="I648" s="813" t="s">
        <v>3960</v>
      </c>
      <c r="J648" s="813" t="s">
        <v>8892</v>
      </c>
      <c r="K648" s="813" t="s">
        <v>8462</v>
      </c>
      <c r="L648" s="813" t="s">
        <v>3863</v>
      </c>
      <c r="M648" s="813" t="s">
        <v>3157</v>
      </c>
      <c r="N648" s="813" t="s">
        <v>8925</v>
      </c>
      <c r="O648" s="813" t="s">
        <v>3883</v>
      </c>
      <c r="P648" s="813" t="s">
        <v>8926</v>
      </c>
      <c r="Q648" s="813" t="s">
        <v>8927</v>
      </c>
      <c r="R648" s="813">
        <v>1</v>
      </c>
      <c r="S648" s="813" t="s">
        <v>8467</v>
      </c>
      <c r="T648" s="813" t="s">
        <v>6895</v>
      </c>
    </row>
    <row r="649" spans="1:20" ht="28" customHeight="1" x14ac:dyDescent="0.35">
      <c r="A649" s="830" t="s">
        <v>8928</v>
      </c>
      <c r="B649" s="794" t="s">
        <v>3857</v>
      </c>
      <c r="C649" s="812" t="s">
        <v>3913</v>
      </c>
      <c r="D649" s="825">
        <v>0</v>
      </c>
      <c r="E649" s="825"/>
      <c r="F649" s="826"/>
      <c r="G649" s="814" t="s">
        <v>3858</v>
      </c>
      <c r="H649" s="813" t="s">
        <v>8460</v>
      </c>
      <c r="I649" s="813" t="s">
        <v>3960</v>
      </c>
      <c r="J649" s="813" t="s">
        <v>8892</v>
      </c>
      <c r="K649" s="813" t="s">
        <v>8462</v>
      </c>
      <c r="L649" s="813" t="s">
        <v>3863</v>
      </c>
      <c r="M649" s="813" t="s">
        <v>3157</v>
      </c>
      <c r="N649" s="813" t="s">
        <v>8929</v>
      </c>
      <c r="O649" s="813" t="s">
        <v>3883</v>
      </c>
      <c r="P649" s="813" t="s">
        <v>8930</v>
      </c>
      <c r="Q649" s="813" t="s">
        <v>8931</v>
      </c>
      <c r="R649" s="813">
        <v>3</v>
      </c>
      <c r="S649" s="813" t="s">
        <v>8467</v>
      </c>
      <c r="T649" s="813" t="s">
        <v>6895</v>
      </c>
    </row>
    <row r="650" spans="1:20" ht="38" customHeight="1" x14ac:dyDescent="0.35">
      <c r="A650" s="830" t="s">
        <v>8932</v>
      </c>
      <c r="B650" s="794" t="s">
        <v>3857</v>
      </c>
      <c r="C650" s="812" t="s">
        <v>3913</v>
      </c>
      <c r="D650" s="825"/>
      <c r="E650" s="825"/>
      <c r="F650" s="825">
        <v>52</v>
      </c>
      <c r="G650" s="814" t="s">
        <v>3858</v>
      </c>
      <c r="H650" s="813" t="s">
        <v>8460</v>
      </c>
      <c r="I650" s="813" t="s">
        <v>3960</v>
      </c>
      <c r="J650" s="813" t="s">
        <v>8892</v>
      </c>
      <c r="K650" s="813" t="s">
        <v>8462</v>
      </c>
      <c r="L650" s="813" t="s">
        <v>3863</v>
      </c>
      <c r="M650" s="813" t="s">
        <v>3157</v>
      </c>
      <c r="N650" s="813" t="s">
        <v>8933</v>
      </c>
      <c r="O650" s="813" t="s">
        <v>3925</v>
      </c>
      <c r="P650" s="813" t="s">
        <v>8934</v>
      </c>
      <c r="Q650" s="813" t="s">
        <v>8935</v>
      </c>
      <c r="R650" s="813">
        <v>1</v>
      </c>
      <c r="S650" s="813" t="s">
        <v>8467</v>
      </c>
      <c r="T650" s="813" t="s">
        <v>6895</v>
      </c>
    </row>
    <row r="651" spans="1:20" ht="38" customHeight="1" x14ac:dyDescent="0.35">
      <c r="A651" s="830" t="s">
        <v>8932</v>
      </c>
      <c r="B651" s="794" t="s">
        <v>3857</v>
      </c>
      <c r="C651" s="812" t="s">
        <v>83</v>
      </c>
      <c r="D651" s="825"/>
      <c r="E651" s="825"/>
      <c r="F651" s="829">
        <v>0</v>
      </c>
      <c r="G651" s="814" t="s">
        <v>3858</v>
      </c>
      <c r="H651" s="813" t="s">
        <v>8460</v>
      </c>
      <c r="I651" s="813" t="s">
        <v>3960</v>
      </c>
      <c r="J651" s="813" t="s">
        <v>8892</v>
      </c>
      <c r="K651" s="813" t="s">
        <v>8462</v>
      </c>
      <c r="L651" s="813" t="s">
        <v>3863</v>
      </c>
      <c r="M651" s="813" t="s">
        <v>3157</v>
      </c>
      <c r="N651" s="813" t="s">
        <v>8936</v>
      </c>
      <c r="O651" s="813" t="s">
        <v>8937</v>
      </c>
      <c r="P651" s="813" t="s">
        <v>8938</v>
      </c>
      <c r="Q651" s="813" t="s">
        <v>8939</v>
      </c>
      <c r="R651" s="813">
        <v>2</v>
      </c>
      <c r="S651" s="813" t="s">
        <v>8467</v>
      </c>
      <c r="T651" s="813" t="s">
        <v>6895</v>
      </c>
    </row>
    <row r="652" spans="1:20" ht="38" customHeight="1" x14ac:dyDescent="0.35">
      <c r="A652" s="830" t="s">
        <v>8940</v>
      </c>
      <c r="B652" s="794" t="s">
        <v>3857</v>
      </c>
      <c r="C652" s="812" t="s">
        <v>3913</v>
      </c>
      <c r="D652" s="825"/>
      <c r="E652" s="825"/>
      <c r="F652" s="825">
        <v>1</v>
      </c>
      <c r="G652" s="814" t="s">
        <v>3858</v>
      </c>
      <c r="H652" s="813" t="s">
        <v>8460</v>
      </c>
      <c r="I652" s="813" t="s">
        <v>3960</v>
      </c>
      <c r="J652" s="813" t="s">
        <v>8892</v>
      </c>
      <c r="K652" s="813" t="s">
        <v>8462</v>
      </c>
      <c r="L652" s="813" t="s">
        <v>3863</v>
      </c>
      <c r="M652" s="813" t="s">
        <v>3157</v>
      </c>
      <c r="N652" s="813" t="s">
        <v>8941</v>
      </c>
      <c r="O652" s="813" t="s">
        <v>3925</v>
      </c>
      <c r="P652" s="813" t="s">
        <v>8942</v>
      </c>
      <c r="Q652" s="813" t="s">
        <v>8943</v>
      </c>
      <c r="R652" s="813">
        <v>1</v>
      </c>
      <c r="S652" s="813" t="s">
        <v>8467</v>
      </c>
      <c r="T652" s="813" t="s">
        <v>6895</v>
      </c>
    </row>
    <row r="653" spans="1:20" ht="38" customHeight="1" x14ac:dyDescent="0.35">
      <c r="A653" s="830" t="s">
        <v>8940</v>
      </c>
      <c r="B653" s="794" t="s">
        <v>3857</v>
      </c>
      <c r="C653" s="812" t="s">
        <v>3913</v>
      </c>
      <c r="D653" s="825"/>
      <c r="E653" s="825"/>
      <c r="F653" s="825">
        <v>20</v>
      </c>
      <c r="G653" s="814" t="s">
        <v>3858</v>
      </c>
      <c r="H653" s="813" t="s">
        <v>8460</v>
      </c>
      <c r="I653" s="813" t="s">
        <v>3960</v>
      </c>
      <c r="J653" s="813" t="s">
        <v>8892</v>
      </c>
      <c r="K653" s="813" t="s">
        <v>8462</v>
      </c>
      <c r="L653" s="813" t="s">
        <v>3863</v>
      </c>
      <c r="M653" s="813" t="s">
        <v>3157</v>
      </c>
      <c r="N653" s="813" t="s">
        <v>8944</v>
      </c>
      <c r="O653" s="813" t="s">
        <v>3883</v>
      </c>
      <c r="P653" s="813" t="s">
        <v>8945</v>
      </c>
      <c r="Q653" s="813" t="s">
        <v>8946</v>
      </c>
      <c r="R653" s="813">
        <v>1</v>
      </c>
      <c r="S653" s="813" t="s">
        <v>8467</v>
      </c>
      <c r="T653" s="813" t="s">
        <v>6895</v>
      </c>
    </row>
    <row r="654" spans="1:20" ht="38" customHeight="1" x14ac:dyDescent="0.35">
      <c r="A654" s="830" t="s">
        <v>8940</v>
      </c>
      <c r="B654" s="794" t="s">
        <v>3857</v>
      </c>
      <c r="C654" s="812" t="s">
        <v>3913</v>
      </c>
      <c r="D654" s="825"/>
      <c r="E654" s="825"/>
      <c r="F654" s="825">
        <v>10000</v>
      </c>
      <c r="G654" s="814" t="s">
        <v>3858</v>
      </c>
      <c r="H654" s="813" t="s">
        <v>8460</v>
      </c>
      <c r="I654" s="813" t="s">
        <v>3960</v>
      </c>
      <c r="J654" s="813" t="s">
        <v>8892</v>
      </c>
      <c r="K654" s="813" t="s">
        <v>8462</v>
      </c>
      <c r="L654" s="813" t="s">
        <v>3863</v>
      </c>
      <c r="M654" s="813" t="s">
        <v>3157</v>
      </c>
      <c r="N654" s="813" t="s">
        <v>8947</v>
      </c>
      <c r="O654" s="813" t="s">
        <v>4480</v>
      </c>
      <c r="P654" s="813" t="s">
        <v>8948</v>
      </c>
      <c r="Q654" s="813" t="s">
        <v>8949</v>
      </c>
      <c r="R654" s="813">
        <v>1</v>
      </c>
      <c r="S654" s="813" t="s">
        <v>8467</v>
      </c>
      <c r="T654" s="813" t="s">
        <v>6895</v>
      </c>
    </row>
    <row r="655" spans="1:20" ht="38" customHeight="1" x14ac:dyDescent="0.35">
      <c r="A655" s="830" t="s">
        <v>8940</v>
      </c>
      <c r="B655" s="794" t="s">
        <v>3857</v>
      </c>
      <c r="C655" s="812" t="s">
        <v>3913</v>
      </c>
      <c r="D655" s="825">
        <v>100</v>
      </c>
      <c r="E655" s="825"/>
      <c r="F655" s="826"/>
      <c r="G655" s="814" t="s">
        <v>3858</v>
      </c>
      <c r="H655" s="813" t="s">
        <v>8460</v>
      </c>
      <c r="I655" s="813" t="s">
        <v>3960</v>
      </c>
      <c r="J655" s="813" t="s">
        <v>8892</v>
      </c>
      <c r="K655" s="813" t="s">
        <v>8462</v>
      </c>
      <c r="L655" s="813" t="s">
        <v>3863</v>
      </c>
      <c r="M655" s="813" t="s">
        <v>3157</v>
      </c>
      <c r="N655" s="813" t="s">
        <v>8950</v>
      </c>
      <c r="O655" s="813" t="s">
        <v>3883</v>
      </c>
      <c r="P655" s="813" t="s">
        <v>8951</v>
      </c>
      <c r="Q655" s="813" t="s">
        <v>8952</v>
      </c>
      <c r="R655" s="813">
        <v>1</v>
      </c>
      <c r="S655" s="813" t="s">
        <v>8467</v>
      </c>
      <c r="T655" s="813" t="s">
        <v>6895</v>
      </c>
    </row>
    <row r="656" spans="1:20" ht="15" customHeight="1" x14ac:dyDescent="0.35">
      <c r="A656" s="794" t="s">
        <v>8953</v>
      </c>
      <c r="B656" s="794" t="s">
        <v>3857</v>
      </c>
      <c r="C656" s="812" t="s">
        <v>3913</v>
      </c>
      <c r="D656" s="825"/>
      <c r="E656" s="825"/>
      <c r="F656" s="825">
        <v>6</v>
      </c>
      <c r="G656" s="814" t="s">
        <v>3858</v>
      </c>
      <c r="H656" s="813" t="s">
        <v>8460</v>
      </c>
      <c r="I656" s="813" t="s">
        <v>3960</v>
      </c>
      <c r="J656" s="813" t="s">
        <v>8892</v>
      </c>
      <c r="K656" s="813" t="s">
        <v>8462</v>
      </c>
      <c r="L656" s="813" t="s">
        <v>3863</v>
      </c>
      <c r="M656" s="813" t="s">
        <v>3157</v>
      </c>
      <c r="N656" s="813" t="s">
        <v>8954</v>
      </c>
      <c r="O656" s="813" t="s">
        <v>3925</v>
      </c>
      <c r="P656" s="813" t="s">
        <v>8955</v>
      </c>
      <c r="Q656" s="813" t="s">
        <v>8956</v>
      </c>
      <c r="R656" s="813">
        <v>1</v>
      </c>
      <c r="S656" s="813" t="s">
        <v>8467</v>
      </c>
      <c r="T656" s="813" t="s">
        <v>6895</v>
      </c>
    </row>
    <row r="657" spans="1:20" ht="15" customHeight="1" x14ac:dyDescent="0.35">
      <c r="A657" s="794" t="s">
        <v>8953</v>
      </c>
      <c r="B657" s="794" t="s">
        <v>3857</v>
      </c>
      <c r="C657" s="812" t="s">
        <v>3913</v>
      </c>
      <c r="D657" s="825"/>
      <c r="E657" s="825"/>
      <c r="F657" s="825">
        <v>8</v>
      </c>
      <c r="G657" s="814" t="s">
        <v>3858</v>
      </c>
      <c r="H657" s="813" t="s">
        <v>8460</v>
      </c>
      <c r="I657" s="813" t="s">
        <v>3960</v>
      </c>
      <c r="J657" s="813" t="s">
        <v>8892</v>
      </c>
      <c r="K657" s="813" t="s">
        <v>8462</v>
      </c>
      <c r="L657" s="813" t="s">
        <v>3863</v>
      </c>
      <c r="M657" s="813" t="s">
        <v>3157</v>
      </c>
      <c r="N657" s="813" t="s">
        <v>8957</v>
      </c>
      <c r="O657" s="813" t="s">
        <v>3883</v>
      </c>
      <c r="P657" s="813" t="s">
        <v>8958</v>
      </c>
      <c r="Q657" s="813" t="s">
        <v>8959</v>
      </c>
      <c r="R657" s="813">
        <v>1</v>
      </c>
      <c r="S657" s="813" t="s">
        <v>8467</v>
      </c>
      <c r="T657" s="813" t="s">
        <v>6895</v>
      </c>
    </row>
    <row r="658" spans="1:20" ht="15" customHeight="1" x14ac:dyDescent="0.35">
      <c r="A658" s="794" t="s">
        <v>8953</v>
      </c>
      <c r="B658" s="794" t="s">
        <v>3857</v>
      </c>
      <c r="C658" s="812" t="s">
        <v>3913</v>
      </c>
      <c r="D658" s="825"/>
      <c r="E658" s="825"/>
      <c r="F658" s="825">
        <v>10000</v>
      </c>
      <c r="G658" s="814" t="s">
        <v>3858</v>
      </c>
      <c r="H658" s="813" t="s">
        <v>8460</v>
      </c>
      <c r="I658" s="813" t="s">
        <v>3960</v>
      </c>
      <c r="J658" s="813" t="s">
        <v>8892</v>
      </c>
      <c r="K658" s="813" t="s">
        <v>8462</v>
      </c>
      <c r="L658" s="813" t="s">
        <v>3863</v>
      </c>
      <c r="M658" s="813" t="s">
        <v>3157</v>
      </c>
      <c r="N658" s="813" t="s">
        <v>8960</v>
      </c>
      <c r="O658" s="813" t="s">
        <v>4480</v>
      </c>
      <c r="P658" s="813" t="s">
        <v>8961</v>
      </c>
      <c r="Q658" s="813" t="s">
        <v>8962</v>
      </c>
      <c r="R658" s="813">
        <v>1</v>
      </c>
      <c r="S658" s="813" t="s">
        <v>8467</v>
      </c>
      <c r="T658" s="813" t="s">
        <v>6895</v>
      </c>
    </row>
    <row r="659" spans="1:20" ht="15" customHeight="1" x14ac:dyDescent="0.35">
      <c r="A659" s="794" t="s">
        <v>8953</v>
      </c>
      <c r="B659" s="794" t="s">
        <v>3857</v>
      </c>
      <c r="C659" s="812" t="s">
        <v>3913</v>
      </c>
      <c r="D659" s="825">
        <v>10</v>
      </c>
      <c r="E659" s="825"/>
      <c r="F659" s="826"/>
      <c r="G659" s="814" t="s">
        <v>3858</v>
      </c>
      <c r="H659" s="813" t="s">
        <v>8460</v>
      </c>
      <c r="I659" s="813" t="s">
        <v>3960</v>
      </c>
      <c r="J659" s="813" t="s">
        <v>8892</v>
      </c>
      <c r="K659" s="813" t="s">
        <v>8462</v>
      </c>
      <c r="L659" s="813" t="s">
        <v>3863</v>
      </c>
      <c r="M659" s="813" t="s">
        <v>3157</v>
      </c>
      <c r="N659" s="813" t="s">
        <v>8963</v>
      </c>
      <c r="O659" s="813" t="s">
        <v>3883</v>
      </c>
      <c r="P659" s="813" t="s">
        <v>8964</v>
      </c>
      <c r="Q659" s="813" t="s">
        <v>8965</v>
      </c>
      <c r="R659" s="813">
        <v>1</v>
      </c>
      <c r="S659" s="813" t="s">
        <v>8467</v>
      </c>
      <c r="T659" s="813" t="s">
        <v>6895</v>
      </c>
    </row>
    <row r="660" spans="1:20" ht="15" customHeight="1" x14ac:dyDescent="0.35">
      <c r="A660" s="803" t="s">
        <v>8966</v>
      </c>
      <c r="B660" s="803"/>
      <c r="C660" s="803"/>
      <c r="D660" s="803"/>
      <c r="E660" s="803"/>
      <c r="F660" s="803"/>
      <c r="G660" s="803" t="s">
        <v>3853</v>
      </c>
      <c r="H660" s="794"/>
      <c r="I660" s="794"/>
      <c r="J660" s="794"/>
      <c r="K660" s="794"/>
      <c r="L660" s="794"/>
      <c r="M660" s="794"/>
      <c r="N660" s="794"/>
      <c r="O660" s="794"/>
      <c r="P660" s="794"/>
      <c r="Q660" s="794"/>
      <c r="R660" s="794"/>
      <c r="S660" s="794"/>
      <c r="T660" s="794"/>
    </row>
    <row r="661" spans="1:20" ht="15" customHeight="1" x14ac:dyDescent="0.35">
      <c r="A661" s="794" t="s">
        <v>4610</v>
      </c>
      <c r="B661" s="794" t="s">
        <v>3857</v>
      </c>
      <c r="C661" s="812" t="s">
        <v>3913</v>
      </c>
      <c r="D661" s="825"/>
      <c r="E661" s="825"/>
      <c r="F661" s="825">
        <v>40000</v>
      </c>
      <c r="G661" s="814" t="s">
        <v>3858</v>
      </c>
      <c r="H661" s="813" t="s">
        <v>8460</v>
      </c>
      <c r="I661" s="813" t="s">
        <v>3960</v>
      </c>
      <c r="J661" s="813" t="s">
        <v>8967</v>
      </c>
      <c r="K661" s="813" t="s">
        <v>8462</v>
      </c>
      <c r="L661" s="813" t="s">
        <v>3863</v>
      </c>
      <c r="M661" s="813" t="s">
        <v>3157</v>
      </c>
      <c r="N661" s="813" t="s">
        <v>8968</v>
      </c>
      <c r="O661" s="813" t="s">
        <v>3925</v>
      </c>
      <c r="P661" s="813" t="s">
        <v>8969</v>
      </c>
      <c r="Q661" s="813" t="s">
        <v>8970</v>
      </c>
      <c r="R661" s="813">
        <v>1</v>
      </c>
      <c r="S661" s="813" t="s">
        <v>8467</v>
      </c>
      <c r="T661" s="813" t="s">
        <v>6895</v>
      </c>
    </row>
    <row r="662" spans="1:20" ht="15" customHeight="1" x14ac:dyDescent="0.35">
      <c r="A662" s="794" t="s">
        <v>8971</v>
      </c>
      <c r="B662" s="794" t="s">
        <v>3857</v>
      </c>
      <c r="C662" s="812" t="s">
        <v>3913</v>
      </c>
      <c r="D662" s="825"/>
      <c r="E662" s="825"/>
      <c r="F662" s="825">
        <v>450000</v>
      </c>
      <c r="G662" s="814" t="s">
        <v>3858</v>
      </c>
      <c r="H662" s="813" t="s">
        <v>8460</v>
      </c>
      <c r="I662" s="813" t="s">
        <v>3960</v>
      </c>
      <c r="J662" s="813" t="s">
        <v>8967</v>
      </c>
      <c r="K662" s="813" t="s">
        <v>8462</v>
      </c>
      <c r="L662" s="813" t="s">
        <v>3863</v>
      </c>
      <c r="M662" s="813" t="s">
        <v>3157</v>
      </c>
      <c r="N662" s="813" t="s">
        <v>8972</v>
      </c>
      <c r="O662" s="813" t="s">
        <v>3883</v>
      </c>
      <c r="P662" s="813" t="s">
        <v>8973</v>
      </c>
      <c r="Q662" s="813" t="s">
        <v>8974</v>
      </c>
      <c r="R662" s="813">
        <v>1</v>
      </c>
      <c r="S662" s="813" t="s">
        <v>8467</v>
      </c>
      <c r="T662" s="813" t="s">
        <v>6895</v>
      </c>
    </row>
    <row r="663" spans="1:20" ht="15" customHeight="1" x14ac:dyDescent="0.35">
      <c r="A663" s="794" t="s">
        <v>8971</v>
      </c>
      <c r="B663" s="794" t="s">
        <v>3857</v>
      </c>
      <c r="C663" s="812" t="s">
        <v>3913</v>
      </c>
      <c r="D663" s="825"/>
      <c r="E663" s="825"/>
      <c r="F663" s="825">
        <v>2</v>
      </c>
      <c r="G663" s="814" t="s">
        <v>3858</v>
      </c>
      <c r="H663" s="813" t="s">
        <v>8460</v>
      </c>
      <c r="I663" s="813" t="s">
        <v>3960</v>
      </c>
      <c r="J663" s="813" t="s">
        <v>8967</v>
      </c>
      <c r="K663" s="813" t="s">
        <v>8462</v>
      </c>
      <c r="L663" s="813" t="s">
        <v>3863</v>
      </c>
      <c r="M663" s="813" t="s">
        <v>3157</v>
      </c>
      <c r="N663" s="813" t="s">
        <v>8975</v>
      </c>
      <c r="O663" s="813" t="s">
        <v>4472</v>
      </c>
      <c r="P663" s="813" t="s">
        <v>8976</v>
      </c>
      <c r="Q663" s="813" t="s">
        <v>8977</v>
      </c>
      <c r="R663" s="813">
        <v>1</v>
      </c>
      <c r="S663" s="813" t="s">
        <v>8467</v>
      </c>
      <c r="T663" s="813" t="s">
        <v>6895</v>
      </c>
    </row>
    <row r="664" spans="1:20" ht="15" customHeight="1" x14ac:dyDescent="0.35">
      <c r="A664" s="794" t="s">
        <v>8978</v>
      </c>
      <c r="B664" s="794" t="s">
        <v>3857</v>
      </c>
      <c r="C664" s="812" t="s">
        <v>3913</v>
      </c>
      <c r="D664" s="825"/>
      <c r="E664" s="825"/>
      <c r="F664" s="825">
        <v>300000</v>
      </c>
      <c r="G664" s="814" t="s">
        <v>3858</v>
      </c>
      <c r="H664" s="813" t="s">
        <v>8460</v>
      </c>
      <c r="I664" s="813" t="s">
        <v>3960</v>
      </c>
      <c r="J664" s="813" t="s">
        <v>8967</v>
      </c>
      <c r="K664" s="813" t="s">
        <v>8462</v>
      </c>
      <c r="L664" s="813" t="s">
        <v>3863</v>
      </c>
      <c r="M664" s="813" t="s">
        <v>3157</v>
      </c>
      <c r="N664" s="813" t="s">
        <v>8979</v>
      </c>
      <c r="O664" s="813" t="s">
        <v>3883</v>
      </c>
      <c r="P664" s="813" t="s">
        <v>8980</v>
      </c>
      <c r="Q664" s="813" t="s">
        <v>8981</v>
      </c>
      <c r="R664" s="813">
        <v>1</v>
      </c>
      <c r="S664" s="813" t="s">
        <v>8467</v>
      </c>
      <c r="T664" s="813" t="s">
        <v>6895</v>
      </c>
    </row>
    <row r="665" spans="1:20" ht="15" customHeight="1" x14ac:dyDescent="0.35">
      <c r="A665" s="794" t="s">
        <v>8978</v>
      </c>
      <c r="B665" s="794" t="s">
        <v>3857</v>
      </c>
      <c r="C665" s="812" t="s">
        <v>3913</v>
      </c>
      <c r="D665" s="825"/>
      <c r="E665" s="825"/>
      <c r="F665" s="825">
        <v>3</v>
      </c>
      <c r="G665" s="814" t="s">
        <v>3858</v>
      </c>
      <c r="H665" s="813" t="s">
        <v>8460</v>
      </c>
      <c r="I665" s="813" t="s">
        <v>3960</v>
      </c>
      <c r="J665" s="813" t="s">
        <v>8967</v>
      </c>
      <c r="K665" s="813" t="s">
        <v>8462</v>
      </c>
      <c r="L665" s="813" t="s">
        <v>3863</v>
      </c>
      <c r="M665" s="813" t="s">
        <v>3157</v>
      </c>
      <c r="N665" s="813" t="s">
        <v>8982</v>
      </c>
      <c r="O665" s="813" t="s">
        <v>4472</v>
      </c>
      <c r="P665" s="813" t="s">
        <v>8983</v>
      </c>
      <c r="Q665" s="813" t="s">
        <v>8984</v>
      </c>
      <c r="R665" s="813">
        <v>1</v>
      </c>
      <c r="S665" s="813" t="s">
        <v>8467</v>
      </c>
      <c r="T665" s="813" t="s">
        <v>6895</v>
      </c>
    </row>
    <row r="666" spans="1:20" ht="15" customHeight="1" x14ac:dyDescent="0.35">
      <c r="A666" s="794" t="s">
        <v>1343</v>
      </c>
      <c r="B666" s="794" t="s">
        <v>3857</v>
      </c>
      <c r="C666" s="812" t="s">
        <v>3913</v>
      </c>
      <c r="D666" s="825"/>
      <c r="E666" s="825"/>
      <c r="F666" s="825">
        <v>125000</v>
      </c>
      <c r="G666" s="814" t="s">
        <v>3858</v>
      </c>
      <c r="H666" s="813" t="s">
        <v>8460</v>
      </c>
      <c r="I666" s="813" t="s">
        <v>3960</v>
      </c>
      <c r="J666" s="813" t="s">
        <v>8967</v>
      </c>
      <c r="K666" s="813" t="s">
        <v>8462</v>
      </c>
      <c r="L666" s="813" t="s">
        <v>3863</v>
      </c>
      <c r="M666" s="813" t="s">
        <v>3157</v>
      </c>
      <c r="N666" s="813" t="s">
        <v>8985</v>
      </c>
      <c r="O666" s="813" t="s">
        <v>3883</v>
      </c>
      <c r="P666" s="813" t="s">
        <v>8986</v>
      </c>
      <c r="Q666" s="813" t="s">
        <v>8987</v>
      </c>
      <c r="R666" s="813">
        <v>1</v>
      </c>
      <c r="S666" s="813" t="s">
        <v>8467</v>
      </c>
      <c r="T666" s="813" t="s">
        <v>6895</v>
      </c>
    </row>
    <row r="667" spans="1:20" ht="15" customHeight="1" x14ac:dyDescent="0.35">
      <c r="A667" s="794" t="s">
        <v>1343</v>
      </c>
      <c r="B667" s="794" t="s">
        <v>3857</v>
      </c>
      <c r="C667" s="812" t="s">
        <v>3913</v>
      </c>
      <c r="D667" s="825"/>
      <c r="E667" s="825"/>
      <c r="F667" s="825">
        <v>4</v>
      </c>
      <c r="G667" s="814" t="s">
        <v>3858</v>
      </c>
      <c r="H667" s="813" t="s">
        <v>8460</v>
      </c>
      <c r="I667" s="813" t="s">
        <v>3960</v>
      </c>
      <c r="J667" s="813" t="s">
        <v>8967</v>
      </c>
      <c r="K667" s="813" t="s">
        <v>8462</v>
      </c>
      <c r="L667" s="813" t="s">
        <v>3863</v>
      </c>
      <c r="M667" s="813" t="s">
        <v>3157</v>
      </c>
      <c r="N667" s="813" t="s">
        <v>8988</v>
      </c>
      <c r="O667" s="813" t="s">
        <v>4472</v>
      </c>
      <c r="P667" s="813" t="s">
        <v>8989</v>
      </c>
      <c r="Q667" s="813" t="s">
        <v>8990</v>
      </c>
      <c r="R667" s="813">
        <v>1</v>
      </c>
      <c r="S667" s="813" t="s">
        <v>8467</v>
      </c>
      <c r="T667" s="813" t="s">
        <v>6895</v>
      </c>
    </row>
    <row r="668" spans="1:20" ht="15" customHeight="1" x14ac:dyDescent="0.35">
      <c r="A668" s="794" t="s">
        <v>257</v>
      </c>
      <c r="B668" s="794" t="s">
        <v>3857</v>
      </c>
      <c r="C668" s="812" t="s">
        <v>3913</v>
      </c>
      <c r="D668" s="825"/>
      <c r="E668" s="825"/>
      <c r="F668" s="825">
        <v>75000</v>
      </c>
      <c r="G668" s="814" t="s">
        <v>3858</v>
      </c>
      <c r="H668" s="813" t="s">
        <v>8460</v>
      </c>
      <c r="I668" s="813" t="s">
        <v>3960</v>
      </c>
      <c r="J668" s="813" t="s">
        <v>8967</v>
      </c>
      <c r="K668" s="813" t="s">
        <v>8462</v>
      </c>
      <c r="L668" s="813" t="s">
        <v>3863</v>
      </c>
      <c r="M668" s="813" t="s">
        <v>3157</v>
      </c>
      <c r="N668" s="813" t="s">
        <v>8991</v>
      </c>
      <c r="O668" s="813" t="s">
        <v>3883</v>
      </c>
      <c r="P668" s="813" t="s">
        <v>8992</v>
      </c>
      <c r="Q668" s="813" t="s">
        <v>8993</v>
      </c>
      <c r="R668" s="813">
        <v>1</v>
      </c>
      <c r="S668" s="813" t="s">
        <v>8467</v>
      </c>
      <c r="T668" s="813" t="s">
        <v>6895</v>
      </c>
    </row>
    <row r="669" spans="1:20" ht="15" customHeight="1" x14ac:dyDescent="0.35">
      <c r="A669" s="794" t="s">
        <v>257</v>
      </c>
      <c r="B669" s="794" t="s">
        <v>3857</v>
      </c>
      <c r="C669" s="812" t="s">
        <v>3913</v>
      </c>
      <c r="D669" s="825"/>
      <c r="E669" s="825"/>
      <c r="F669" s="825">
        <v>5</v>
      </c>
      <c r="G669" s="814" t="s">
        <v>3858</v>
      </c>
      <c r="H669" s="813" t="s">
        <v>8460</v>
      </c>
      <c r="I669" s="813" t="s">
        <v>3960</v>
      </c>
      <c r="J669" s="813" t="s">
        <v>8967</v>
      </c>
      <c r="K669" s="813" t="s">
        <v>8462</v>
      </c>
      <c r="L669" s="813" t="s">
        <v>3863</v>
      </c>
      <c r="M669" s="813" t="s">
        <v>3157</v>
      </c>
      <c r="N669" s="813" t="s">
        <v>8994</v>
      </c>
      <c r="O669" s="813" t="s">
        <v>4472</v>
      </c>
      <c r="P669" s="813" t="s">
        <v>8995</v>
      </c>
      <c r="Q669" s="813" t="s">
        <v>8996</v>
      </c>
      <c r="R669" s="813">
        <v>1</v>
      </c>
      <c r="S669" s="813" t="s">
        <v>8467</v>
      </c>
      <c r="T669" s="813" t="s">
        <v>6895</v>
      </c>
    </row>
    <row r="670" spans="1:20" ht="15" customHeight="1" x14ac:dyDescent="0.35">
      <c r="A670" s="794" t="s">
        <v>246</v>
      </c>
      <c r="B670" s="794" t="s">
        <v>3857</v>
      </c>
      <c r="C670" s="812" t="s">
        <v>3913</v>
      </c>
      <c r="D670" s="825"/>
      <c r="E670" s="825"/>
      <c r="F670" s="825">
        <v>750000</v>
      </c>
      <c r="G670" s="814" t="s">
        <v>3858</v>
      </c>
      <c r="H670" s="813" t="s">
        <v>8460</v>
      </c>
      <c r="I670" s="813" t="s">
        <v>3960</v>
      </c>
      <c r="J670" s="813" t="s">
        <v>8967</v>
      </c>
      <c r="K670" s="813" t="s">
        <v>8462</v>
      </c>
      <c r="L670" s="813" t="s">
        <v>3863</v>
      </c>
      <c r="M670" s="813" t="s">
        <v>3157</v>
      </c>
      <c r="N670" s="813" t="s">
        <v>8997</v>
      </c>
      <c r="O670" s="813" t="s">
        <v>3883</v>
      </c>
      <c r="P670" s="813" t="s">
        <v>8998</v>
      </c>
      <c r="Q670" s="813" t="s">
        <v>8999</v>
      </c>
      <c r="R670" s="813">
        <v>1</v>
      </c>
      <c r="S670" s="813" t="s">
        <v>8467</v>
      </c>
      <c r="T670" s="813" t="s">
        <v>6895</v>
      </c>
    </row>
    <row r="671" spans="1:20" ht="15" thickBot="1" x14ac:dyDescent="0.4">
      <c r="A671" s="801" t="s">
        <v>9463</v>
      </c>
      <c r="B671" s="801" t="s">
        <v>6787</v>
      </c>
      <c r="C671" s="801"/>
      <c r="D671" s="801"/>
      <c r="E671" s="801"/>
      <c r="F671" s="801"/>
      <c r="G671" s="801" t="s">
        <v>3745</v>
      </c>
      <c r="H671" s="794"/>
      <c r="I671" s="794"/>
      <c r="J671" s="794"/>
      <c r="K671" s="794"/>
      <c r="L671" s="794"/>
      <c r="M671" s="794"/>
      <c r="N671" s="794"/>
      <c r="O671" s="794"/>
      <c r="P671" s="794"/>
      <c r="Q671" s="794"/>
      <c r="R671" s="794"/>
      <c r="S671" s="794"/>
      <c r="T671" s="794"/>
    </row>
    <row r="672" spans="1:20" x14ac:dyDescent="0.35">
      <c r="A672" s="794" t="s">
        <v>9464</v>
      </c>
      <c r="B672" s="794" t="s">
        <v>830</v>
      </c>
      <c r="C672" s="812" t="s">
        <v>9465</v>
      </c>
      <c r="D672" s="825"/>
      <c r="E672" s="825"/>
      <c r="F672" s="923">
        <v>400</v>
      </c>
      <c r="G672" s="814" t="s">
        <v>9466</v>
      </c>
      <c r="H672" s="813" t="s">
        <v>246</v>
      </c>
      <c r="I672" s="813" t="s">
        <v>4070</v>
      </c>
      <c r="J672" s="813" t="s">
        <v>9467</v>
      </c>
      <c r="K672" s="813" t="s">
        <v>9468</v>
      </c>
      <c r="L672" s="813" t="s">
        <v>1754</v>
      </c>
      <c r="M672" s="813" t="s">
        <v>9469</v>
      </c>
      <c r="N672" s="813" t="s">
        <v>9470</v>
      </c>
      <c r="O672" s="813" t="s">
        <v>9471</v>
      </c>
      <c r="P672" s="813" t="s">
        <v>9472</v>
      </c>
      <c r="Q672" s="813" t="s">
        <v>2016</v>
      </c>
      <c r="R672" s="813">
        <v>1</v>
      </c>
      <c r="S672" s="813" t="s">
        <v>9473</v>
      </c>
      <c r="T672" s="813" t="s">
        <v>9474</v>
      </c>
    </row>
    <row r="673" spans="1:20" x14ac:dyDescent="0.35">
      <c r="A673" s="794" t="s">
        <v>9475</v>
      </c>
      <c r="B673" s="794" t="s">
        <v>830</v>
      </c>
      <c r="C673" s="812" t="s">
        <v>9465</v>
      </c>
      <c r="D673" s="825"/>
      <c r="E673" s="825"/>
      <c r="F673" s="923">
        <v>0</v>
      </c>
      <c r="G673" s="814" t="s">
        <v>9466</v>
      </c>
      <c r="H673" s="813" t="s">
        <v>5246</v>
      </c>
      <c r="I673" s="813" t="s">
        <v>4070</v>
      </c>
      <c r="J673" s="813" t="s">
        <v>9467</v>
      </c>
      <c r="K673" s="813" t="s">
        <v>9468</v>
      </c>
      <c r="L673" s="813" t="s">
        <v>1754</v>
      </c>
      <c r="M673" s="813" t="s">
        <v>9469</v>
      </c>
      <c r="N673" s="813" t="s">
        <v>9476</v>
      </c>
      <c r="O673" s="813" t="s">
        <v>9471</v>
      </c>
      <c r="P673" s="813" t="s">
        <v>9477</v>
      </c>
      <c r="Q673" s="813" t="s">
        <v>2019</v>
      </c>
      <c r="R673" s="813">
        <v>1</v>
      </c>
      <c r="S673" s="813" t="s">
        <v>9473</v>
      </c>
      <c r="T673" s="813" t="s">
        <v>9474</v>
      </c>
    </row>
    <row r="674" spans="1:20" x14ac:dyDescent="0.35">
      <c r="A674" s="794" t="s">
        <v>9478</v>
      </c>
      <c r="B674" s="794" t="s">
        <v>830</v>
      </c>
      <c r="C674" s="812" t="s">
        <v>9465</v>
      </c>
      <c r="D674" s="825"/>
      <c r="E674" s="825"/>
      <c r="F674" s="923">
        <v>400</v>
      </c>
      <c r="G674" s="814" t="s">
        <v>9466</v>
      </c>
      <c r="H674" s="813" t="s">
        <v>250</v>
      </c>
      <c r="I674" s="813" t="s">
        <v>4070</v>
      </c>
      <c r="J674" s="813" t="s">
        <v>9467</v>
      </c>
      <c r="K674" s="813" t="s">
        <v>9468</v>
      </c>
      <c r="L674" s="813" t="s">
        <v>1754</v>
      </c>
      <c r="M674" s="813" t="s">
        <v>9469</v>
      </c>
      <c r="N674" s="813" t="s">
        <v>9479</v>
      </c>
      <c r="O674" s="813" t="s">
        <v>9471</v>
      </c>
      <c r="P674" s="813" t="s">
        <v>9480</v>
      </c>
      <c r="Q674" s="813" t="s">
        <v>2022</v>
      </c>
      <c r="R674" s="813">
        <v>1</v>
      </c>
      <c r="S674" s="813" t="s">
        <v>9473</v>
      </c>
      <c r="T674" s="813" t="s">
        <v>9474</v>
      </c>
    </row>
    <row r="675" spans="1:20" x14ac:dyDescent="0.35">
      <c r="A675" s="794" t="s">
        <v>9481</v>
      </c>
      <c r="B675" s="794" t="s">
        <v>830</v>
      </c>
      <c r="C675" s="812" t="s">
        <v>9465</v>
      </c>
      <c r="D675" s="825"/>
      <c r="E675" s="825"/>
      <c r="F675" s="923">
        <v>600</v>
      </c>
      <c r="G675" s="814" t="s">
        <v>9466</v>
      </c>
      <c r="H675" s="813" t="s">
        <v>5953</v>
      </c>
      <c r="I675" s="813" t="s">
        <v>4070</v>
      </c>
      <c r="J675" s="813" t="s">
        <v>9467</v>
      </c>
      <c r="K675" s="813" t="s">
        <v>9468</v>
      </c>
      <c r="L675" s="813" t="s">
        <v>1754</v>
      </c>
      <c r="M675" s="813" t="s">
        <v>9469</v>
      </c>
      <c r="N675" s="813" t="s">
        <v>9482</v>
      </c>
      <c r="O675" s="813" t="s">
        <v>9471</v>
      </c>
      <c r="P675" s="813" t="s">
        <v>9483</v>
      </c>
      <c r="Q675" s="813" t="s">
        <v>2025</v>
      </c>
      <c r="R675" s="813">
        <v>1</v>
      </c>
      <c r="S675" s="813" t="s">
        <v>9473</v>
      </c>
      <c r="T675" s="813" t="s">
        <v>9474</v>
      </c>
    </row>
    <row r="676" spans="1:20" x14ac:dyDescent="0.35">
      <c r="A676" s="794" t="s">
        <v>9484</v>
      </c>
      <c r="B676" s="794" t="s">
        <v>830</v>
      </c>
      <c r="C676" s="812" t="s">
        <v>9465</v>
      </c>
      <c r="D676" s="825"/>
      <c r="E676" s="825"/>
      <c r="F676" s="923">
        <v>500</v>
      </c>
      <c r="G676" s="814" t="s">
        <v>9466</v>
      </c>
      <c r="H676" s="813" t="s">
        <v>1343</v>
      </c>
      <c r="I676" s="813" t="s">
        <v>4070</v>
      </c>
      <c r="J676" s="813" t="s">
        <v>9467</v>
      </c>
      <c r="K676" s="813" t="s">
        <v>9468</v>
      </c>
      <c r="L676" s="813" t="s">
        <v>1754</v>
      </c>
      <c r="M676" s="813" t="s">
        <v>9469</v>
      </c>
      <c r="N676" s="813" t="s">
        <v>9485</v>
      </c>
      <c r="O676" s="813" t="s">
        <v>9471</v>
      </c>
      <c r="P676" s="813" t="s">
        <v>9486</v>
      </c>
      <c r="Q676" s="813" t="s">
        <v>2028</v>
      </c>
      <c r="R676" s="813">
        <v>1</v>
      </c>
      <c r="S676" s="813" t="s">
        <v>9473</v>
      </c>
      <c r="T676" s="813" t="s">
        <v>9474</v>
      </c>
    </row>
    <row r="677" spans="1:20" x14ac:dyDescent="0.35">
      <c r="A677" s="794" t="s">
        <v>9487</v>
      </c>
      <c r="B677" s="794" t="s">
        <v>830</v>
      </c>
      <c r="C677" s="812" t="s">
        <v>9465</v>
      </c>
      <c r="D677" s="825"/>
      <c r="E677" s="825"/>
      <c r="F677" s="923">
        <v>0</v>
      </c>
      <c r="G677" s="814" t="s">
        <v>9466</v>
      </c>
      <c r="H677" s="813" t="s">
        <v>254</v>
      </c>
      <c r="I677" s="813" t="s">
        <v>4070</v>
      </c>
      <c r="J677" s="813" t="s">
        <v>9467</v>
      </c>
      <c r="K677" s="813" t="s">
        <v>9468</v>
      </c>
      <c r="L677" s="813" t="s">
        <v>1754</v>
      </c>
      <c r="M677" s="813" t="s">
        <v>9469</v>
      </c>
      <c r="N677" s="813" t="s">
        <v>9488</v>
      </c>
      <c r="O677" s="813" t="s">
        <v>9471</v>
      </c>
      <c r="P677" s="813" t="s">
        <v>9489</v>
      </c>
      <c r="Q677" s="813" t="s">
        <v>2031</v>
      </c>
      <c r="R677" s="813">
        <v>1</v>
      </c>
      <c r="S677" s="813" t="s">
        <v>9473</v>
      </c>
      <c r="T677" s="813" t="s">
        <v>9474</v>
      </c>
    </row>
    <row r="678" spans="1:20" x14ac:dyDescent="0.35">
      <c r="A678" s="794" t="s">
        <v>9490</v>
      </c>
      <c r="B678" s="794" t="s">
        <v>830</v>
      </c>
      <c r="C678" s="812" t="s">
        <v>9465</v>
      </c>
      <c r="D678" s="825"/>
      <c r="E678" s="825"/>
      <c r="F678" s="923">
        <v>500</v>
      </c>
      <c r="G678" s="814" t="s">
        <v>9466</v>
      </c>
      <c r="H678" s="813" t="s">
        <v>256</v>
      </c>
      <c r="I678" s="813" t="s">
        <v>4070</v>
      </c>
      <c r="J678" s="813" t="s">
        <v>9467</v>
      </c>
      <c r="K678" s="813" t="s">
        <v>9468</v>
      </c>
      <c r="L678" s="813" t="s">
        <v>1754</v>
      </c>
      <c r="M678" s="813" t="s">
        <v>9469</v>
      </c>
      <c r="N678" s="813" t="s">
        <v>9491</v>
      </c>
      <c r="O678" s="813" t="s">
        <v>9471</v>
      </c>
      <c r="P678" s="813" t="s">
        <v>9492</v>
      </c>
      <c r="Q678" s="813" t="s">
        <v>2034</v>
      </c>
      <c r="R678" s="813">
        <v>1</v>
      </c>
      <c r="S678" s="813" t="s">
        <v>9473</v>
      </c>
      <c r="T678" s="813" t="s">
        <v>9474</v>
      </c>
    </row>
    <row r="679" spans="1:20" x14ac:dyDescent="0.35">
      <c r="A679" s="794" t="s">
        <v>9493</v>
      </c>
      <c r="B679" s="794" t="s">
        <v>830</v>
      </c>
      <c r="C679" s="812" t="s">
        <v>9465</v>
      </c>
      <c r="D679" s="825"/>
      <c r="E679" s="825"/>
      <c r="F679" s="923">
        <v>500</v>
      </c>
      <c r="G679" s="814" t="s">
        <v>9466</v>
      </c>
      <c r="H679" s="813" t="s">
        <v>257</v>
      </c>
      <c r="I679" s="813" t="s">
        <v>4070</v>
      </c>
      <c r="J679" s="813" t="s">
        <v>9467</v>
      </c>
      <c r="K679" s="813" t="s">
        <v>9468</v>
      </c>
      <c r="L679" s="813" t="s">
        <v>1754</v>
      </c>
      <c r="M679" s="813" t="s">
        <v>9469</v>
      </c>
      <c r="N679" s="813" t="s">
        <v>9494</v>
      </c>
      <c r="O679" s="813" t="s">
        <v>9471</v>
      </c>
      <c r="P679" s="813" t="s">
        <v>9495</v>
      </c>
      <c r="Q679" s="813" t="s">
        <v>2037</v>
      </c>
      <c r="R679" s="813">
        <v>1</v>
      </c>
      <c r="S679" s="813" t="s">
        <v>9473</v>
      </c>
      <c r="T679" s="813" t="s">
        <v>9474</v>
      </c>
    </row>
    <row r="680" spans="1:20" x14ac:dyDescent="0.35">
      <c r="A680" s="794" t="s">
        <v>9496</v>
      </c>
      <c r="B680" s="794" t="s">
        <v>830</v>
      </c>
      <c r="C680" s="812" t="s">
        <v>9465</v>
      </c>
      <c r="D680" s="825"/>
      <c r="E680" s="825"/>
      <c r="F680" s="923">
        <v>600</v>
      </c>
      <c r="G680" s="814" t="s">
        <v>9466</v>
      </c>
      <c r="H680" s="813" t="s">
        <v>5907</v>
      </c>
      <c r="I680" s="813" t="s">
        <v>4070</v>
      </c>
      <c r="J680" s="813" t="s">
        <v>9467</v>
      </c>
      <c r="K680" s="813" t="s">
        <v>9468</v>
      </c>
      <c r="L680" s="813" t="s">
        <v>1754</v>
      </c>
      <c r="M680" s="813" t="s">
        <v>9469</v>
      </c>
      <c r="N680" s="813" t="s">
        <v>9497</v>
      </c>
      <c r="O680" s="813" t="s">
        <v>9471</v>
      </c>
      <c r="P680" s="813" t="s">
        <v>9498</v>
      </c>
      <c r="Q680" s="813" t="s">
        <v>2040</v>
      </c>
      <c r="R680" s="813">
        <v>1</v>
      </c>
      <c r="S680" s="813" t="s">
        <v>9473</v>
      </c>
      <c r="T680" s="813" t="s">
        <v>9474</v>
      </c>
    </row>
    <row r="681" spans="1:20" x14ac:dyDescent="0.35">
      <c r="A681" s="794" t="s">
        <v>9499</v>
      </c>
      <c r="B681" s="794" t="s">
        <v>830</v>
      </c>
      <c r="C681" s="812" t="s">
        <v>9465</v>
      </c>
      <c r="D681" s="825"/>
      <c r="E681" s="825"/>
      <c r="F681" s="923">
        <v>0</v>
      </c>
      <c r="G681" s="814" t="s">
        <v>9466</v>
      </c>
      <c r="H681" s="813" t="s">
        <v>5928</v>
      </c>
      <c r="I681" s="813" t="s">
        <v>4070</v>
      </c>
      <c r="J681" s="813" t="s">
        <v>9467</v>
      </c>
      <c r="K681" s="813" t="s">
        <v>9468</v>
      </c>
      <c r="L681" s="813" t="s">
        <v>1754</v>
      </c>
      <c r="M681" s="813" t="s">
        <v>9469</v>
      </c>
      <c r="N681" s="813" t="s">
        <v>9500</v>
      </c>
      <c r="O681" s="813" t="s">
        <v>9471</v>
      </c>
      <c r="P681" s="813" t="s">
        <v>9501</v>
      </c>
      <c r="Q681" s="813" t="s">
        <v>2043</v>
      </c>
      <c r="R681" s="813">
        <v>1</v>
      </c>
      <c r="S681" s="813" t="s">
        <v>9473</v>
      </c>
      <c r="T681" s="813" t="s">
        <v>9474</v>
      </c>
    </row>
    <row r="682" spans="1:20" x14ac:dyDescent="0.35">
      <c r="A682" s="794" t="s">
        <v>9502</v>
      </c>
      <c r="B682" s="794" t="s">
        <v>830</v>
      </c>
      <c r="C682" s="812" t="s">
        <v>9465</v>
      </c>
      <c r="D682" s="825"/>
      <c r="E682" s="825"/>
      <c r="F682" s="923">
        <v>0</v>
      </c>
      <c r="G682" s="814" t="s">
        <v>9466</v>
      </c>
      <c r="H682" s="813" t="s">
        <v>5977</v>
      </c>
      <c r="I682" s="813" t="s">
        <v>4070</v>
      </c>
      <c r="J682" s="813" t="s">
        <v>9467</v>
      </c>
      <c r="K682" s="813" t="s">
        <v>9468</v>
      </c>
      <c r="L682" s="813" t="s">
        <v>1754</v>
      </c>
      <c r="M682" s="813" t="s">
        <v>9469</v>
      </c>
      <c r="N682" s="813" t="s">
        <v>9503</v>
      </c>
      <c r="O682" s="813" t="s">
        <v>9471</v>
      </c>
      <c r="P682" s="813" t="s">
        <v>9504</v>
      </c>
      <c r="Q682" s="813" t="s">
        <v>2046</v>
      </c>
      <c r="R682" s="813">
        <v>1</v>
      </c>
      <c r="S682" s="813" t="s">
        <v>9473</v>
      </c>
      <c r="T682" s="813" t="s">
        <v>9474</v>
      </c>
    </row>
    <row r="683" spans="1:20" x14ac:dyDescent="0.35">
      <c r="A683" s="794" t="s">
        <v>9505</v>
      </c>
      <c r="B683" s="794" t="s">
        <v>830</v>
      </c>
      <c r="C683" s="812" t="s">
        <v>9465</v>
      </c>
      <c r="D683" s="825"/>
      <c r="E683" s="825"/>
      <c r="F683" s="923">
        <v>0</v>
      </c>
      <c r="G683" s="814" t="s">
        <v>9466</v>
      </c>
      <c r="H683" s="813" t="s">
        <v>6058</v>
      </c>
      <c r="I683" s="813" t="s">
        <v>4070</v>
      </c>
      <c r="J683" s="813" t="s">
        <v>9467</v>
      </c>
      <c r="K683" s="813" t="s">
        <v>9468</v>
      </c>
      <c r="L683" s="813" t="s">
        <v>1754</v>
      </c>
      <c r="M683" s="813" t="s">
        <v>9469</v>
      </c>
      <c r="N683" s="813" t="s">
        <v>9506</v>
      </c>
      <c r="O683" s="813" t="s">
        <v>9471</v>
      </c>
      <c r="P683" s="813" t="s">
        <v>9507</v>
      </c>
      <c r="Q683" s="813" t="s">
        <v>2049</v>
      </c>
      <c r="R683" s="813">
        <v>1</v>
      </c>
      <c r="S683" s="813" t="s">
        <v>9473</v>
      </c>
      <c r="T683" s="813" t="s">
        <v>9474</v>
      </c>
    </row>
    <row r="685" spans="1:20" x14ac:dyDescent="0.35">
      <c r="A685" s="1161" t="s">
        <v>9520</v>
      </c>
      <c r="B685" s="1161"/>
      <c r="C685" s="1161"/>
      <c r="D685" s="1161"/>
      <c r="E685" s="1161"/>
      <c r="F685" s="1161"/>
      <c r="G685" s="1161"/>
      <c r="H685" s="1161"/>
      <c r="I685" s="1161"/>
    </row>
    <row r="686" spans="1:20" x14ac:dyDescent="0.35">
      <c r="A686" t="s">
        <v>9521</v>
      </c>
      <c r="F686" s="923">
        <v>3.5000000000000003E-2</v>
      </c>
    </row>
    <row r="687" spans="1:20" x14ac:dyDescent="0.35">
      <c r="A687" t="s">
        <v>9522</v>
      </c>
      <c r="F687" s="923">
        <v>10</v>
      </c>
    </row>
    <row r="688" spans="1:20" x14ac:dyDescent="0.35">
      <c r="A688" t="s">
        <v>9523</v>
      </c>
      <c r="F688" s="923">
        <v>30</v>
      </c>
    </row>
    <row r="689" spans="1:9" x14ac:dyDescent="0.35">
      <c r="A689" t="s">
        <v>9524</v>
      </c>
      <c r="F689" s="923">
        <v>20</v>
      </c>
    </row>
    <row r="690" spans="1:9" x14ac:dyDescent="0.35">
      <c r="A690" t="s">
        <v>9525</v>
      </c>
      <c r="F690" s="923">
        <v>20</v>
      </c>
    </row>
    <row r="691" spans="1:9" x14ac:dyDescent="0.35">
      <c r="A691" t="s">
        <v>9526</v>
      </c>
      <c r="F691" s="923">
        <v>46508</v>
      </c>
    </row>
    <row r="692" spans="1:9" x14ac:dyDescent="0.35">
      <c r="A692" t="s">
        <v>9527</v>
      </c>
      <c r="F692" s="923">
        <v>46813</v>
      </c>
    </row>
    <row r="693" spans="1:9" x14ac:dyDescent="0.35">
      <c r="A693" t="s">
        <v>9528</v>
      </c>
      <c r="F693" s="923">
        <v>18</v>
      </c>
    </row>
    <row r="694" spans="1:9" x14ac:dyDescent="0.35">
      <c r="A694" t="s">
        <v>9529</v>
      </c>
      <c r="F694" s="923">
        <v>4</v>
      </c>
    </row>
    <row r="695" spans="1:9" x14ac:dyDescent="0.35">
      <c r="A695" t="s">
        <v>9530</v>
      </c>
      <c r="F695" s="923">
        <v>0.5</v>
      </c>
    </row>
    <row r="697" spans="1:9" x14ac:dyDescent="0.35">
      <c r="A697" s="1161" t="s">
        <v>9542</v>
      </c>
      <c r="B697" s="1161"/>
      <c r="C697" s="1161"/>
      <c r="D697" s="1161"/>
      <c r="E697" s="1161"/>
      <c r="F697" s="1161"/>
      <c r="G697" s="1161"/>
      <c r="H697" s="1161"/>
      <c r="I697" s="1161"/>
    </row>
    <row r="698" spans="1:9" x14ac:dyDescent="0.35">
      <c r="A698" t="s">
        <v>9521</v>
      </c>
      <c r="F698" s="924">
        <v>3.5000000000000003E-2</v>
      </c>
    </row>
    <row r="699" spans="1:9" x14ac:dyDescent="0.35">
      <c r="A699" t="s">
        <v>9522</v>
      </c>
      <c r="F699" s="925">
        <v>5</v>
      </c>
    </row>
    <row r="700" spans="1:9" x14ac:dyDescent="0.35">
      <c r="A700" t="s">
        <v>9523</v>
      </c>
      <c r="F700" s="925">
        <v>5</v>
      </c>
    </row>
    <row r="701" spans="1:9" x14ac:dyDescent="0.35">
      <c r="A701" t="s">
        <v>9524</v>
      </c>
      <c r="F701" s="925">
        <v>5</v>
      </c>
    </row>
    <row r="702" spans="1:9" x14ac:dyDescent="0.35">
      <c r="A702" t="s">
        <v>9525</v>
      </c>
      <c r="F702" s="925">
        <v>5</v>
      </c>
    </row>
    <row r="703" spans="1:9" x14ac:dyDescent="0.35">
      <c r="A703" t="s">
        <v>9526</v>
      </c>
      <c r="F703" s="828">
        <v>46508</v>
      </c>
    </row>
    <row r="704" spans="1:9" x14ac:dyDescent="0.35">
      <c r="A704" t="s">
        <v>9527</v>
      </c>
      <c r="F704" s="828">
        <v>46813</v>
      </c>
    </row>
    <row r="705" spans="1:9" x14ac:dyDescent="0.35">
      <c r="A705" t="s">
        <v>9528</v>
      </c>
      <c r="F705" s="925">
        <v>6</v>
      </c>
    </row>
    <row r="706" spans="1:9" x14ac:dyDescent="0.35">
      <c r="A706" t="s">
        <v>9529</v>
      </c>
      <c r="F706" s="925">
        <v>4</v>
      </c>
    </row>
    <row r="707" spans="1:9" x14ac:dyDescent="0.35">
      <c r="A707" t="s">
        <v>9530</v>
      </c>
      <c r="F707" s="924">
        <v>0.5</v>
      </c>
    </row>
    <row r="709" spans="1:9" x14ac:dyDescent="0.35">
      <c r="A709" s="1161" t="s">
        <v>9554</v>
      </c>
      <c r="B709" s="1161"/>
      <c r="C709" s="1161"/>
      <c r="D709" s="1161"/>
      <c r="E709" s="1161"/>
      <c r="F709" s="1161"/>
      <c r="G709" s="1161"/>
      <c r="H709" s="1161"/>
      <c r="I709" s="1161"/>
    </row>
    <row r="710" spans="1:9" x14ac:dyDescent="0.35">
      <c r="A710" t="s">
        <v>9521</v>
      </c>
      <c r="F710" s="924">
        <v>3.5000000000000003E-2</v>
      </c>
    </row>
    <row r="711" spans="1:9" x14ac:dyDescent="0.35">
      <c r="A711" t="s">
        <v>9522</v>
      </c>
      <c r="F711" s="925">
        <v>10</v>
      </c>
    </row>
    <row r="712" spans="1:9" x14ac:dyDescent="0.35">
      <c r="A712" t="s">
        <v>9523</v>
      </c>
      <c r="F712" s="925">
        <v>20</v>
      </c>
    </row>
    <row r="713" spans="1:9" x14ac:dyDescent="0.35">
      <c r="A713" t="s">
        <v>9524</v>
      </c>
      <c r="F713" s="925">
        <v>20</v>
      </c>
    </row>
    <row r="714" spans="1:9" x14ac:dyDescent="0.35">
      <c r="A714" t="s">
        <v>9525</v>
      </c>
      <c r="F714" s="925">
        <v>20</v>
      </c>
    </row>
    <row r="715" spans="1:9" x14ac:dyDescent="0.35">
      <c r="A715" t="s">
        <v>9526</v>
      </c>
      <c r="F715" s="828">
        <v>46508</v>
      </c>
    </row>
    <row r="716" spans="1:9" x14ac:dyDescent="0.35">
      <c r="A716" t="s">
        <v>9527</v>
      </c>
      <c r="F716" s="828">
        <v>46539</v>
      </c>
    </row>
    <row r="717" spans="1:9" x14ac:dyDescent="0.35">
      <c r="A717" t="s">
        <v>9528</v>
      </c>
      <c r="F717" s="925">
        <v>18</v>
      </c>
    </row>
    <row r="718" spans="1:9" x14ac:dyDescent="0.35">
      <c r="A718" t="s">
        <v>9529</v>
      </c>
      <c r="F718" s="925">
        <v>4</v>
      </c>
    </row>
    <row r="719" spans="1:9" x14ac:dyDescent="0.35">
      <c r="A719" t="s">
        <v>9530</v>
      </c>
      <c r="F719" s="924">
        <v>0.5</v>
      </c>
    </row>
  </sheetData>
  <autoFilter ref="A10:G670" xr:uid="{00000000-0009-0000-0000-00000C000000}"/>
  <mergeCells count="9">
    <mergeCell ref="A685:I685"/>
    <mergeCell ref="A697:I697"/>
    <mergeCell ref="A709:I709"/>
    <mergeCell ref="A9:G9"/>
    <mergeCell ref="A1:G1"/>
    <mergeCell ref="A2:G2"/>
    <mergeCell ref="A6:G6"/>
    <mergeCell ref="A7:G7"/>
    <mergeCell ref="A8:G8"/>
  </mergeCells>
  <hyperlinks>
    <hyperlink ref="A4" location="'INPUT REGISTER'!A11" display="01 URWLD" xr:uid="{00000000-0004-0000-0C00-000000000000}"/>
    <hyperlink ref="B4" location="'INPUT REGISTER'!A235" display="02 Genesis" xr:uid="{00000000-0004-0000-0C00-000001000000}"/>
    <hyperlink ref="C4" location="'INPUT REGISTER'!A302" display="03 PBSA" xr:uid="{00000000-0004-0000-0C00-000002000000}"/>
    <hyperlink ref="D4" location="'INPUT REGISTER'!A336" display="04 Car Park" xr:uid="{00000000-0004-0000-0C00-000003000000}"/>
    <hyperlink ref="E4" location="'INPUT REGISTER'!A358" display="05 LiveHouse" xr:uid="{00000000-0004-0000-0C00-000004000000}"/>
    <hyperlink ref="F4" location="'INPUT REGISTER'!A386" display="06 Snowtunnel" xr:uid="{00000000-0004-0000-0C00-000005000000}"/>
    <hyperlink ref="A5" location="'INPUT REGISTER'!A407" display="07 Go Kart" xr:uid="{00000000-0004-0000-0C00-000006000000}"/>
    <hyperlink ref="B5" location="'INPUT REGISTER'!A428" display="08 Landscape" xr:uid="{00000000-0004-0000-0C00-000007000000}"/>
    <hyperlink ref="C5" location="'INPUT REGISTER'!A449" display="09 Storage" xr:uid="{00000000-0004-0000-0C00-000008000000}"/>
    <hyperlink ref="D5" location="'INPUT REGISTER'!A472" display="10 F&amp;B / Retail" xr:uid="{00000000-0004-0000-0C00-000009000000}"/>
    <hyperlink ref="E5" location="'INPUT REGISTER'!A488" display="11 Convenience" xr:uid="{00000000-0004-0000-0C00-00000A000000}"/>
    <hyperlink ref="F5" location="'INPUT REGISTER'!A502" display="12 Mobility" xr:uid="{00000000-0004-0000-0C00-00000B000000}"/>
    <hyperlink ref="A6" location="'INPUT REGISTER'!A510" display="13 Partnerships" xr:uid="{00000000-0004-0000-0C00-00000C000000}"/>
    <hyperlink ref="B6" location="'URWLD COMPANY INPUTS'!A1" display="Company / Project Inputs" xr:uid="{00000000-0004-0000-0C00-00000D000000}"/>
    <hyperlink ref="G11" location="'INPUT REGISTER'!A1" display="TOP" xr:uid="{00000000-0004-0000-0C00-00000E000000}"/>
    <hyperlink ref="G235" location="'INPUT REGISTER'!A1" display="TOP" xr:uid="{00000000-0004-0000-0C00-00000F000000}"/>
    <hyperlink ref="G302" location="'INPUT REGISTER'!A1" display="TOP" xr:uid="{00000000-0004-0000-0C00-000010000000}"/>
    <hyperlink ref="G336" location="'INPUT REGISTER'!A1" display="TOP" xr:uid="{00000000-0004-0000-0C00-000011000000}"/>
    <hyperlink ref="G358" location="'INPUT REGISTER'!A1" display="TOP" xr:uid="{00000000-0004-0000-0C00-000012000000}"/>
    <hyperlink ref="G386" location="'INPUT REGISTER'!A1" display="TOP" xr:uid="{00000000-0004-0000-0C00-000013000000}"/>
    <hyperlink ref="G407" location="'INPUT REGISTER'!A1" display="TOP" xr:uid="{00000000-0004-0000-0C00-000014000000}"/>
    <hyperlink ref="G428" location="'INPUT REGISTER'!A1" display="TOP" xr:uid="{00000000-0004-0000-0C00-000015000000}"/>
    <hyperlink ref="G449" location="'INPUT REGISTER'!A1" display="TOP" xr:uid="{00000000-0004-0000-0C00-000016000000}"/>
    <hyperlink ref="G472" location="'INPUT REGISTER'!A1" display="TOP" xr:uid="{00000000-0004-0000-0C00-000017000000}"/>
    <hyperlink ref="G488" location="'INPUT REGISTER'!A1" display="TOP" xr:uid="{00000000-0004-0000-0C00-000018000000}"/>
    <hyperlink ref="G502" location="'INPUT REGISTER'!A1" display="TOP" xr:uid="{00000000-0004-0000-0C00-000019000000}"/>
    <hyperlink ref="G510" location="'INPUT REGISTER'!A1" display="TOP" xr:uid="{00000000-0004-0000-0C00-00001A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
  <sheetViews>
    <sheetView showGridLines="0" workbookViewId="0">
      <selection sqref="A1:H1"/>
    </sheetView>
  </sheetViews>
  <sheetFormatPr defaultRowHeight="14.5" x14ac:dyDescent="0.35"/>
  <cols>
    <col min="1" max="1" width="22" customWidth="1"/>
    <col min="2" max="2" width="35" customWidth="1"/>
    <col min="3" max="3" width="30" customWidth="1"/>
    <col min="4" max="4" width="18" customWidth="1"/>
    <col min="5" max="5" width="24" customWidth="1"/>
    <col min="6" max="6" width="25" customWidth="1"/>
    <col min="7" max="7" width="36" customWidth="1"/>
    <col min="8" max="8" width="34" customWidth="1"/>
  </cols>
  <sheetData>
    <row r="1" spans="1:8" ht="28" customHeight="1" x14ac:dyDescent="0.35">
      <c r="A1" s="1163" t="s">
        <v>9000</v>
      </c>
      <c r="B1" s="1163"/>
      <c r="C1" s="1163"/>
      <c r="D1" s="1163"/>
      <c r="E1" s="1163"/>
      <c r="F1" s="1163"/>
      <c r="G1" s="1163"/>
      <c r="H1" s="1163"/>
    </row>
    <row r="2" spans="1:8" ht="20" customHeight="1" x14ac:dyDescent="0.35">
      <c r="A2" s="1164" t="s">
        <v>9001</v>
      </c>
      <c r="B2" s="1164"/>
      <c r="C2" s="1164"/>
      <c r="D2" s="1164"/>
      <c r="E2" s="1164"/>
      <c r="F2" s="1164"/>
      <c r="G2" s="1164"/>
      <c r="H2" s="1164"/>
    </row>
    <row r="4" spans="1:8" x14ac:dyDescent="0.35">
      <c r="A4" s="1162" t="s">
        <v>9002</v>
      </c>
      <c r="B4" s="1162"/>
      <c r="C4" s="1162"/>
      <c r="D4" s="1162"/>
    </row>
    <row r="5" spans="1:8" x14ac:dyDescent="0.35">
      <c r="A5" s="780" t="s">
        <v>9003</v>
      </c>
      <c r="B5" s="780" t="s">
        <v>9004</v>
      </c>
      <c r="C5" s="780" t="s">
        <v>9005</v>
      </c>
      <c r="D5" s="780" t="s">
        <v>1048</v>
      </c>
    </row>
    <row r="6" spans="1:8" x14ac:dyDescent="0.35">
      <c r="A6" s="766" t="s">
        <v>9006</v>
      </c>
      <c r="B6" s="781" t="str">
        <f>'URWLD COMPANY INPUTS'!$F$37</f>
        <v>THE BEND Entertainment Precinct</v>
      </c>
      <c r="C6" s="766" t="s">
        <v>9007</v>
      </c>
      <c r="D6" s="766" t="s">
        <v>9008</v>
      </c>
    </row>
    <row r="7" spans="1:8" ht="20" x14ac:dyDescent="0.35">
      <c r="A7" s="766" t="s">
        <v>9009</v>
      </c>
      <c r="B7" s="781" t="str">
        <f>'VALUATION &amp; RETURNS'!$CR$7</f>
        <v>Base</v>
      </c>
      <c r="C7" s="766" t="s">
        <v>9010</v>
      </c>
      <c r="D7" s="766" t="s">
        <v>9011</v>
      </c>
    </row>
    <row r="8" spans="1:8" ht="20" x14ac:dyDescent="0.35">
      <c r="A8" s="766" t="s">
        <v>802</v>
      </c>
      <c r="B8" s="781" t="str">
        <f>'INVESTOR REPORT'!$C$3</f>
        <v>Brian Mirfin</v>
      </c>
      <c r="C8" s="766" t="s">
        <v>9012</v>
      </c>
      <c r="D8" s="766" t="s">
        <v>9013</v>
      </c>
    </row>
    <row r="9" spans="1:8" ht="20" x14ac:dyDescent="0.35">
      <c r="A9" s="766" t="s">
        <v>9014</v>
      </c>
      <c r="B9" s="781" t="str">
        <f ca="1">'DATA MAP'!$C$173</f>
        <v>TECHNICAL EXCEPTIONS OUTSTANDING</v>
      </c>
      <c r="C9" s="766" t="s">
        <v>3607</v>
      </c>
      <c r="D9" s="766" t="s">
        <v>9015</v>
      </c>
    </row>
    <row r="10" spans="1:8" ht="20" x14ac:dyDescent="0.35">
      <c r="A10" s="766" t="s">
        <v>9016</v>
      </c>
      <c r="B10" s="911">
        <f>COUNTBLANK('URWLD COMPANY INPUTS'!$F$857)+COUNTBLANK('URWLD COMPANY INPUTS'!$F$859)+COUNTBLANK('URWLD COMPANY INPUTS'!$F$861)+COUNTBLANK('URWLD COMPANY INPUTS'!$F$863)+COUNTBLANK('URWLD COMPANY INPUTS'!$F$864)+COUNTBLANK('URWLD COMPANY INPUTS'!$F$866)+COUNTBLANK('URWLD COMPANY INPUTS'!$F$867)+COUNTBLANK('URWLD COMPANY INPUTS'!$F$868)+COUNTBLANK('URWLD COMPANY INPUTS'!$F$869)+COUNTBLANK('URWLD COMPANY INPUTS'!$F$870)+COUNTBLANK('URWLD COMPANY INPUTS'!$F$871)+COUNTBLANK('URWLD COMPANY INPUTS'!$F$872)</f>
        <v>12</v>
      </c>
      <c r="C10" s="766" t="s">
        <v>9017</v>
      </c>
      <c r="D10" s="766" t="s">
        <v>9018</v>
      </c>
    </row>
    <row r="11" spans="1:8" ht="20" x14ac:dyDescent="0.35">
      <c r="A11" s="766" t="s">
        <v>9019</v>
      </c>
      <c r="B11" s="911" t="str">
        <f>IF(COUNTA('URWLD COMPANY INPUTS'!$Q$1:$Q$884)+COUNTA('INPUT REGISTER'!$Q$1:$Q$670)=1708,"PASS","FAIL")</f>
        <v>FAIL</v>
      </c>
      <c r="C11" s="766" t="s">
        <v>3547</v>
      </c>
      <c r="D11" s="766" t="s">
        <v>9020</v>
      </c>
    </row>
    <row r="12" spans="1:8" x14ac:dyDescent="0.35">
      <c r="A12" s="766" t="s">
        <v>9021</v>
      </c>
      <c r="B12" s="781" t="str">
        <f ca="1">'DATA MAP'!$C$173</f>
        <v>TECHNICAL EXCEPTIONS OUTSTANDING</v>
      </c>
      <c r="C12" s="766" t="s">
        <v>3542</v>
      </c>
      <c r="D12" s="766" t="s">
        <v>9022</v>
      </c>
    </row>
    <row r="14" spans="1:8" x14ac:dyDescent="0.35">
      <c r="A14" s="1162" t="s">
        <v>9023</v>
      </c>
      <c r="B14" s="1162"/>
      <c r="C14" s="1162"/>
      <c r="D14" s="1162"/>
      <c r="E14" s="1162"/>
      <c r="F14" s="1162"/>
      <c r="G14" s="1162"/>
      <c r="H14" s="1162"/>
    </row>
    <row r="15" spans="1:8" x14ac:dyDescent="0.35">
      <c r="A15" s="780" t="s">
        <v>9024</v>
      </c>
      <c r="B15" s="780" t="s">
        <v>9025</v>
      </c>
      <c r="C15" s="780" t="s">
        <v>9026</v>
      </c>
      <c r="D15" s="780" t="s">
        <v>9027</v>
      </c>
      <c r="E15" s="780" t="s">
        <v>9028</v>
      </c>
      <c r="F15" s="780" t="s">
        <v>1100</v>
      </c>
      <c r="G15" s="780" t="s">
        <v>9029</v>
      </c>
      <c r="H15" s="780" t="s">
        <v>9030</v>
      </c>
    </row>
    <row r="16" spans="1:8" ht="20" x14ac:dyDescent="0.35">
      <c r="A16" s="766">
        <v>1</v>
      </c>
      <c r="B16" s="766" t="s">
        <v>9031</v>
      </c>
      <c r="C16" s="766" t="s">
        <v>9010</v>
      </c>
      <c r="D16" s="766" t="s">
        <v>9032</v>
      </c>
      <c r="E16" s="766" t="s">
        <v>9033</v>
      </c>
      <c r="F16" s="766" t="s">
        <v>9034</v>
      </c>
      <c r="G16" s="766" t="s">
        <v>9035</v>
      </c>
      <c r="H16" s="766" t="s">
        <v>9036</v>
      </c>
    </row>
    <row r="17" spans="1:8" ht="20" x14ac:dyDescent="0.35">
      <c r="A17" s="766">
        <v>2</v>
      </c>
      <c r="B17" s="766" t="s">
        <v>9037</v>
      </c>
      <c r="C17" s="766" t="s">
        <v>9038</v>
      </c>
      <c r="D17" s="766" t="s">
        <v>9039</v>
      </c>
      <c r="E17" s="766" t="s">
        <v>9040</v>
      </c>
      <c r="F17" s="766" t="s">
        <v>9041</v>
      </c>
      <c r="G17" s="766" t="s">
        <v>9042</v>
      </c>
      <c r="H17" s="766" t="s">
        <v>9043</v>
      </c>
    </row>
    <row r="18" spans="1:8" x14ac:dyDescent="0.35">
      <c r="A18" s="766">
        <v>3</v>
      </c>
      <c r="B18" s="766" t="s">
        <v>9044</v>
      </c>
      <c r="C18" s="766" t="s">
        <v>9045</v>
      </c>
      <c r="D18" s="766" t="s">
        <v>331</v>
      </c>
      <c r="E18" s="766" t="s">
        <v>9046</v>
      </c>
      <c r="F18" s="766" t="s">
        <v>9047</v>
      </c>
      <c r="G18" s="766" t="s">
        <v>9048</v>
      </c>
      <c r="H18" s="766" t="s">
        <v>9049</v>
      </c>
    </row>
    <row r="19" spans="1:8" ht="20" x14ac:dyDescent="0.35">
      <c r="A19" s="766">
        <v>4</v>
      </c>
      <c r="B19" s="766" t="s">
        <v>9050</v>
      </c>
      <c r="C19" s="766" t="s">
        <v>9051</v>
      </c>
      <c r="D19" s="766" t="s">
        <v>9052</v>
      </c>
      <c r="E19" s="766" t="s">
        <v>9053</v>
      </c>
      <c r="F19" s="766" t="s">
        <v>9054</v>
      </c>
      <c r="G19" s="766" t="s">
        <v>9055</v>
      </c>
      <c r="H19" s="766" t="s">
        <v>9056</v>
      </c>
    </row>
    <row r="20" spans="1:8" ht="20" x14ac:dyDescent="0.35">
      <c r="A20" s="766">
        <v>5</v>
      </c>
      <c r="B20" s="766" t="s">
        <v>9057</v>
      </c>
      <c r="C20" s="766" t="s">
        <v>9058</v>
      </c>
      <c r="D20" s="766" t="s">
        <v>9059</v>
      </c>
      <c r="E20" s="766" t="s">
        <v>9060</v>
      </c>
      <c r="F20" s="766" t="s">
        <v>9061</v>
      </c>
      <c r="G20" s="766" t="s">
        <v>9062</v>
      </c>
      <c r="H20" s="766" t="s">
        <v>9063</v>
      </c>
    </row>
    <row r="21" spans="1:8" x14ac:dyDescent="0.35">
      <c r="A21" s="766">
        <v>6</v>
      </c>
      <c r="B21" s="766" t="s">
        <v>9064</v>
      </c>
      <c r="C21" s="766" t="s">
        <v>9065</v>
      </c>
      <c r="D21" s="766" t="s">
        <v>331</v>
      </c>
      <c r="E21" s="766" t="s">
        <v>9066</v>
      </c>
      <c r="F21" s="766" t="s">
        <v>9067</v>
      </c>
      <c r="G21" s="766" t="s">
        <v>9068</v>
      </c>
      <c r="H21" s="766" t="s">
        <v>9069</v>
      </c>
    </row>
    <row r="22" spans="1:8" ht="20" x14ac:dyDescent="0.35">
      <c r="A22" s="766">
        <v>7</v>
      </c>
      <c r="B22" s="766" t="s">
        <v>9070</v>
      </c>
      <c r="C22" s="766" t="s">
        <v>9071</v>
      </c>
      <c r="D22" s="766" t="s">
        <v>9072</v>
      </c>
      <c r="E22" s="766" t="s">
        <v>9073</v>
      </c>
      <c r="F22" s="766" t="s">
        <v>9074</v>
      </c>
      <c r="G22" s="766" t="s">
        <v>9075</v>
      </c>
      <c r="H22" s="766" t="s">
        <v>9076</v>
      </c>
    </row>
    <row r="24" spans="1:8" x14ac:dyDescent="0.35">
      <c r="A24" s="1162" t="s">
        <v>9077</v>
      </c>
      <c r="B24" s="1162"/>
      <c r="C24" s="1162"/>
      <c r="D24" s="1162"/>
      <c r="F24" s="1162" t="s">
        <v>9078</v>
      </c>
      <c r="G24" s="1162"/>
      <c r="H24" s="1162"/>
    </row>
    <row r="25" spans="1:8" x14ac:dyDescent="0.35">
      <c r="A25" s="780" t="s">
        <v>9079</v>
      </c>
      <c r="B25" s="780" t="s">
        <v>9080</v>
      </c>
      <c r="C25" s="780" t="s">
        <v>9081</v>
      </c>
      <c r="D25" s="780" t="s">
        <v>633</v>
      </c>
      <c r="F25" s="780" t="s">
        <v>1218</v>
      </c>
      <c r="G25" s="780" t="s">
        <v>9082</v>
      </c>
      <c r="H25" s="780" t="s">
        <v>9083</v>
      </c>
    </row>
    <row r="26" spans="1:8" ht="20" x14ac:dyDescent="0.35">
      <c r="A26" s="766" t="s">
        <v>9084</v>
      </c>
      <c r="B26" s="766" t="s">
        <v>9085</v>
      </c>
      <c r="C26" s="766" t="s">
        <v>9086</v>
      </c>
      <c r="D26" s="766" t="s">
        <v>9087</v>
      </c>
      <c r="F26" s="766">
        <v>1</v>
      </c>
      <c r="G26" s="766" t="s">
        <v>9088</v>
      </c>
      <c r="H26" s="766" t="s">
        <v>9089</v>
      </c>
    </row>
    <row r="27" spans="1:8" ht="20" x14ac:dyDescent="0.35">
      <c r="A27" s="766" t="s">
        <v>9090</v>
      </c>
      <c r="B27" s="766" t="s">
        <v>9091</v>
      </c>
      <c r="C27" s="766" t="s">
        <v>9092</v>
      </c>
      <c r="D27" s="766" t="s">
        <v>9093</v>
      </c>
      <c r="F27" s="766">
        <v>2</v>
      </c>
      <c r="G27" s="766" t="s">
        <v>9094</v>
      </c>
      <c r="H27" s="766" t="s">
        <v>9095</v>
      </c>
    </row>
    <row r="28" spans="1:8" ht="20" x14ac:dyDescent="0.35">
      <c r="A28" s="766" t="s">
        <v>9096</v>
      </c>
      <c r="B28" s="766" t="s">
        <v>9097</v>
      </c>
      <c r="C28" s="766" t="s">
        <v>9092</v>
      </c>
      <c r="D28" s="766" t="s">
        <v>9098</v>
      </c>
      <c r="F28" s="766">
        <v>3</v>
      </c>
      <c r="G28" s="766" t="s">
        <v>9099</v>
      </c>
      <c r="H28" s="766" t="s">
        <v>9100</v>
      </c>
    </row>
    <row r="29" spans="1:8" ht="20" x14ac:dyDescent="0.35">
      <c r="A29" s="766" t="s">
        <v>9101</v>
      </c>
      <c r="B29" s="766" t="s">
        <v>9102</v>
      </c>
      <c r="C29" s="766" t="s">
        <v>9103</v>
      </c>
      <c r="D29" s="766" t="s">
        <v>9104</v>
      </c>
      <c r="F29" s="766">
        <v>4</v>
      </c>
      <c r="G29" s="766" t="s">
        <v>9105</v>
      </c>
      <c r="H29" s="766" t="s">
        <v>9106</v>
      </c>
    </row>
    <row r="30" spans="1:8" ht="20" x14ac:dyDescent="0.35">
      <c r="A30" s="766" t="s">
        <v>9107</v>
      </c>
      <c r="B30" s="766" t="s">
        <v>9108</v>
      </c>
      <c r="C30" s="766" t="s">
        <v>9109</v>
      </c>
      <c r="D30" s="766" t="s">
        <v>9110</v>
      </c>
      <c r="F30" s="766">
        <v>5</v>
      </c>
      <c r="G30" s="766" t="s">
        <v>9111</v>
      </c>
      <c r="H30" s="766" t="s">
        <v>9112</v>
      </c>
    </row>
    <row r="31" spans="1:8" ht="20" x14ac:dyDescent="0.35">
      <c r="A31" s="766" t="s">
        <v>9113</v>
      </c>
      <c r="B31" s="766" t="s">
        <v>9114</v>
      </c>
      <c r="C31" s="766" t="s">
        <v>9115</v>
      </c>
      <c r="D31" s="766" t="s">
        <v>9116</v>
      </c>
      <c r="F31" s="766">
        <v>6</v>
      </c>
      <c r="G31" s="766" t="s">
        <v>9117</v>
      </c>
      <c r="H31" s="766" t="s">
        <v>9118</v>
      </c>
    </row>
    <row r="32" spans="1:8" x14ac:dyDescent="0.35">
      <c r="F32" s="766">
        <v>7</v>
      </c>
      <c r="G32" s="766" t="s">
        <v>9119</v>
      </c>
      <c r="H32" s="766" t="s">
        <v>9120</v>
      </c>
    </row>
    <row r="34" spans="1:8" x14ac:dyDescent="0.35">
      <c r="A34" s="1162" t="s">
        <v>9121</v>
      </c>
      <c r="B34" s="1162"/>
      <c r="C34" s="1162"/>
      <c r="D34" s="1162"/>
      <c r="E34" s="1162"/>
      <c r="F34" s="1162"/>
      <c r="G34" s="1162"/>
      <c r="H34" s="1162"/>
    </row>
    <row r="35" spans="1:8" x14ac:dyDescent="0.35">
      <c r="A35" s="780" t="s">
        <v>9122</v>
      </c>
      <c r="B35" s="780" t="s">
        <v>9123</v>
      </c>
      <c r="C35" s="780" t="s">
        <v>6</v>
      </c>
      <c r="D35" s="780" t="s">
        <v>9124</v>
      </c>
      <c r="E35" s="780" t="s">
        <v>9125</v>
      </c>
      <c r="F35" s="780" t="s">
        <v>9126</v>
      </c>
      <c r="G35" s="780" t="s">
        <v>9127</v>
      </c>
      <c r="H35" s="780" t="s">
        <v>3737</v>
      </c>
    </row>
    <row r="36" spans="1:8" x14ac:dyDescent="0.35">
      <c r="A36" s="766" t="s">
        <v>3611</v>
      </c>
      <c r="B36" s="766" t="s">
        <v>9128</v>
      </c>
      <c r="C36" s="766" t="s">
        <v>9129</v>
      </c>
      <c r="D36" s="766" t="s">
        <v>9130</v>
      </c>
      <c r="E36" s="766" t="s">
        <v>9131</v>
      </c>
      <c r="F36" s="766" t="s">
        <v>9132</v>
      </c>
      <c r="G36" s="766" t="s">
        <v>9133</v>
      </c>
      <c r="H36" s="766" t="s">
        <v>9134</v>
      </c>
    </row>
    <row r="37" spans="1:8" ht="20" x14ac:dyDescent="0.35">
      <c r="A37" s="766" t="s">
        <v>3279</v>
      </c>
      <c r="B37" s="766" t="s">
        <v>9135</v>
      </c>
      <c r="C37" s="766" t="s">
        <v>9136</v>
      </c>
      <c r="D37" s="766" t="s">
        <v>9137</v>
      </c>
      <c r="E37" s="766" t="s">
        <v>9138</v>
      </c>
      <c r="F37" s="766" t="s">
        <v>9139</v>
      </c>
      <c r="G37" s="766" t="s">
        <v>9133</v>
      </c>
      <c r="H37" s="766" t="s">
        <v>9140</v>
      </c>
    </row>
    <row r="38" spans="1:8" ht="20" x14ac:dyDescent="0.35">
      <c r="A38" s="766" t="s">
        <v>9141</v>
      </c>
      <c r="B38" s="766" t="s">
        <v>9142</v>
      </c>
      <c r="C38" s="766" t="s">
        <v>9143</v>
      </c>
      <c r="D38" s="766" t="s">
        <v>9144</v>
      </c>
      <c r="E38" s="766" t="s">
        <v>9145</v>
      </c>
      <c r="F38" s="766" t="s">
        <v>9146</v>
      </c>
      <c r="G38" s="766" t="s">
        <v>9147</v>
      </c>
      <c r="H38" s="766" t="s">
        <v>9148</v>
      </c>
    </row>
    <row r="39" spans="1:8" ht="20" x14ac:dyDescent="0.35">
      <c r="A39" s="766" t="s">
        <v>3424</v>
      </c>
      <c r="B39" s="766" t="s">
        <v>9142</v>
      </c>
      <c r="C39" s="766" t="s">
        <v>9149</v>
      </c>
      <c r="D39" s="766" t="s">
        <v>9150</v>
      </c>
      <c r="E39" s="766" t="s">
        <v>9151</v>
      </c>
      <c r="F39" s="766" t="s">
        <v>9152</v>
      </c>
      <c r="G39" s="766" t="s">
        <v>9147</v>
      </c>
      <c r="H39" s="766" t="s">
        <v>9153</v>
      </c>
    </row>
    <row r="40" spans="1:8" ht="20" x14ac:dyDescent="0.35">
      <c r="A40" s="766" t="s">
        <v>1739</v>
      </c>
      <c r="B40" s="766" t="s">
        <v>9154</v>
      </c>
      <c r="C40" s="766" t="s">
        <v>9155</v>
      </c>
      <c r="D40" s="766" t="s">
        <v>9156</v>
      </c>
      <c r="E40" s="766" t="s">
        <v>9157</v>
      </c>
      <c r="F40" s="766" t="s">
        <v>9158</v>
      </c>
      <c r="G40" s="766" t="s">
        <v>9133</v>
      </c>
      <c r="H40" s="766" t="s">
        <v>9159</v>
      </c>
    </row>
    <row r="41" spans="1:8" x14ac:dyDescent="0.35">
      <c r="A41" s="766" t="s">
        <v>9160</v>
      </c>
      <c r="B41" s="766" t="s">
        <v>9161</v>
      </c>
      <c r="C41" s="766" t="s">
        <v>9162</v>
      </c>
      <c r="D41" s="766" t="s">
        <v>9163</v>
      </c>
      <c r="E41" s="766" t="s">
        <v>9164</v>
      </c>
      <c r="F41" s="766" t="s">
        <v>9165</v>
      </c>
      <c r="G41" s="766" t="s">
        <v>9133</v>
      </c>
      <c r="H41" s="766" t="s">
        <v>9166</v>
      </c>
    </row>
    <row r="42" spans="1:8" x14ac:dyDescent="0.35">
      <c r="A42" s="766" t="s">
        <v>9167</v>
      </c>
      <c r="B42" s="766" t="s">
        <v>9168</v>
      </c>
      <c r="C42" s="766" t="s">
        <v>9169</v>
      </c>
      <c r="D42" s="766" t="s">
        <v>9170</v>
      </c>
      <c r="E42" s="766" t="s">
        <v>9171</v>
      </c>
      <c r="F42" s="766" t="s">
        <v>9172</v>
      </c>
      <c r="G42" s="766" t="s">
        <v>9133</v>
      </c>
      <c r="H42" s="766" t="s">
        <v>9173</v>
      </c>
    </row>
    <row r="43" spans="1:8" x14ac:dyDescent="0.35">
      <c r="A43" s="766" t="s">
        <v>9174</v>
      </c>
      <c r="B43" s="766" t="s">
        <v>9142</v>
      </c>
      <c r="C43" s="766" t="s">
        <v>9175</v>
      </c>
      <c r="D43" s="766" t="s">
        <v>9103</v>
      </c>
      <c r="E43" s="766" t="s">
        <v>9176</v>
      </c>
      <c r="F43" s="766" t="s">
        <v>9177</v>
      </c>
      <c r="G43" s="766" t="s">
        <v>9133</v>
      </c>
      <c r="H43" s="766" t="s">
        <v>9178</v>
      </c>
    </row>
    <row r="44" spans="1:8" ht="20" x14ac:dyDescent="0.35">
      <c r="A44" s="766" t="s">
        <v>3083</v>
      </c>
      <c r="B44" s="766" t="s">
        <v>9154</v>
      </c>
      <c r="C44" s="766" t="s">
        <v>9179</v>
      </c>
      <c r="D44" s="766" t="s">
        <v>9180</v>
      </c>
      <c r="E44" s="766" t="s">
        <v>9181</v>
      </c>
      <c r="F44" s="766" t="s">
        <v>9182</v>
      </c>
      <c r="G44" s="766" t="s">
        <v>9133</v>
      </c>
      <c r="H44" s="766" t="s">
        <v>9183</v>
      </c>
    </row>
    <row r="45" spans="1:8" x14ac:dyDescent="0.35">
      <c r="A45" s="766" t="s">
        <v>1996</v>
      </c>
      <c r="B45" s="766" t="s">
        <v>9154</v>
      </c>
      <c r="C45" s="766" t="s">
        <v>9184</v>
      </c>
      <c r="D45" s="766" t="s">
        <v>9185</v>
      </c>
      <c r="E45" s="766" t="s">
        <v>9186</v>
      </c>
      <c r="F45" s="766" t="s">
        <v>1530</v>
      </c>
      <c r="G45" s="766" t="s">
        <v>9133</v>
      </c>
      <c r="H45" s="766" t="s">
        <v>9187</v>
      </c>
    </row>
    <row r="46" spans="1:8" x14ac:dyDescent="0.35">
      <c r="A46" s="766" t="s">
        <v>3257</v>
      </c>
      <c r="B46" s="766" t="s">
        <v>9168</v>
      </c>
      <c r="C46" s="766" t="s">
        <v>9188</v>
      </c>
      <c r="D46" s="766" t="s">
        <v>9189</v>
      </c>
      <c r="E46" s="766" t="s">
        <v>9190</v>
      </c>
      <c r="F46" s="766" t="s">
        <v>9191</v>
      </c>
      <c r="G46" s="766" t="s">
        <v>9133</v>
      </c>
      <c r="H46" s="766" t="s">
        <v>1141</v>
      </c>
    </row>
    <row r="47" spans="1:8" ht="20" x14ac:dyDescent="0.35">
      <c r="A47" s="766" t="s">
        <v>2867</v>
      </c>
      <c r="B47" s="766" t="s">
        <v>9168</v>
      </c>
      <c r="C47" s="766" t="s">
        <v>9192</v>
      </c>
      <c r="D47" s="766" t="s">
        <v>9193</v>
      </c>
      <c r="E47" s="766" t="s">
        <v>9194</v>
      </c>
      <c r="F47" s="766" t="s">
        <v>9195</v>
      </c>
      <c r="G47" s="766" t="s">
        <v>9133</v>
      </c>
      <c r="H47" s="766" t="s">
        <v>9196</v>
      </c>
    </row>
    <row r="48" spans="1:8" ht="20" x14ac:dyDescent="0.35">
      <c r="A48" s="766" t="s">
        <v>3271</v>
      </c>
      <c r="B48" s="766" t="s">
        <v>9135</v>
      </c>
      <c r="C48" s="766" t="s">
        <v>9197</v>
      </c>
      <c r="D48" s="766" t="s">
        <v>9198</v>
      </c>
      <c r="E48" s="766" t="s">
        <v>9199</v>
      </c>
      <c r="F48" s="766" t="s">
        <v>9200</v>
      </c>
      <c r="G48" s="766" t="s">
        <v>9201</v>
      </c>
      <c r="H48" s="766" t="s">
        <v>9202</v>
      </c>
    </row>
    <row r="49" spans="1:8" x14ac:dyDescent="0.35">
      <c r="A49" s="766" t="s">
        <v>9203</v>
      </c>
      <c r="B49" s="766" t="s">
        <v>1100</v>
      </c>
      <c r="C49" s="766" t="s">
        <v>9204</v>
      </c>
      <c r="D49" s="766" t="s">
        <v>9205</v>
      </c>
      <c r="E49" s="766" t="s">
        <v>9206</v>
      </c>
      <c r="F49" s="766" t="s">
        <v>9207</v>
      </c>
      <c r="G49" s="766" t="s">
        <v>9133</v>
      </c>
      <c r="H49" s="766" t="s">
        <v>9208</v>
      </c>
    </row>
    <row r="50" spans="1:8" ht="20" x14ac:dyDescent="0.35">
      <c r="A50" s="766" t="s">
        <v>9209</v>
      </c>
      <c r="B50" s="766" t="s">
        <v>1100</v>
      </c>
      <c r="C50" s="766" t="s">
        <v>9210</v>
      </c>
      <c r="D50" s="766" t="s">
        <v>9211</v>
      </c>
      <c r="E50" s="766" t="s">
        <v>9212</v>
      </c>
      <c r="F50" s="766" t="s">
        <v>9213</v>
      </c>
      <c r="G50" s="766" t="s">
        <v>9214</v>
      </c>
      <c r="H50" s="766" t="s">
        <v>9215</v>
      </c>
    </row>
    <row r="51" spans="1:8" x14ac:dyDescent="0.35">
      <c r="A51" s="766" t="s">
        <v>2681</v>
      </c>
      <c r="B51" s="766" t="s">
        <v>1100</v>
      </c>
      <c r="C51" s="766" t="s">
        <v>9216</v>
      </c>
      <c r="D51" s="766" t="s">
        <v>9217</v>
      </c>
      <c r="E51" s="766" t="s">
        <v>9218</v>
      </c>
      <c r="F51" s="766" t="s">
        <v>9219</v>
      </c>
      <c r="G51" s="766" t="s">
        <v>9133</v>
      </c>
      <c r="H51" s="766" t="s">
        <v>9220</v>
      </c>
    </row>
    <row r="52" spans="1:8" x14ac:dyDescent="0.35">
      <c r="A52" s="766" t="s">
        <v>9221</v>
      </c>
      <c r="B52" s="766" t="s">
        <v>1100</v>
      </c>
      <c r="C52" s="766" t="s">
        <v>9222</v>
      </c>
      <c r="D52" s="766" t="s">
        <v>9223</v>
      </c>
      <c r="E52" s="766" t="s">
        <v>9224</v>
      </c>
      <c r="F52" s="766" t="s">
        <v>9225</v>
      </c>
      <c r="G52" s="766" t="s">
        <v>9133</v>
      </c>
      <c r="H52" s="766" t="s">
        <v>9226</v>
      </c>
    </row>
    <row r="53" spans="1:8" x14ac:dyDescent="0.35">
      <c r="A53" t="s">
        <v>9227</v>
      </c>
      <c r="B53" t="s">
        <v>9228</v>
      </c>
      <c r="C53" t="s">
        <v>9229</v>
      </c>
      <c r="D53" t="s">
        <v>9230</v>
      </c>
      <c r="E53" t="s">
        <v>9231</v>
      </c>
      <c r="F53" t="s">
        <v>9232</v>
      </c>
      <c r="G53" t="s">
        <v>9233</v>
      </c>
      <c r="H53" t="s">
        <v>9234</v>
      </c>
    </row>
    <row r="54" spans="1:8" x14ac:dyDescent="0.35">
      <c r="A54" s="1162" t="s">
        <v>9235</v>
      </c>
      <c r="B54" s="1162"/>
      <c r="C54" s="1162"/>
      <c r="D54" s="1162"/>
      <c r="E54" s="1162"/>
      <c r="F54" s="1162"/>
      <c r="G54" s="1162"/>
      <c r="H54" s="1162"/>
    </row>
    <row r="55" spans="1:8" x14ac:dyDescent="0.35">
      <c r="A55" s="780" t="s">
        <v>9236</v>
      </c>
      <c r="B55" s="780" t="s">
        <v>9237</v>
      </c>
      <c r="C55" s="780" t="s">
        <v>9238</v>
      </c>
      <c r="D55" s="780" t="s">
        <v>9005</v>
      </c>
      <c r="E55" s="780" t="s">
        <v>9239</v>
      </c>
      <c r="F55" s="780" t="s">
        <v>9240</v>
      </c>
      <c r="G55" s="780" t="s">
        <v>9241</v>
      </c>
      <c r="H55" s="780" t="s">
        <v>9242</v>
      </c>
    </row>
    <row r="56" spans="1:8" ht="20" x14ac:dyDescent="0.35">
      <c r="A56" s="766" t="s">
        <v>9243</v>
      </c>
      <c r="B56" s="766" t="s">
        <v>9244</v>
      </c>
      <c r="C56" s="911" t="str">
        <f>IF(AND(Summary!$O$12="PASS",Summary!$O$13="PASS",Summary!$O$14="PASS"),"PASS","PENDING RECALC")</f>
        <v>PENDING RECALC</v>
      </c>
      <c r="D56" s="766" t="s">
        <v>9245</v>
      </c>
      <c r="E56" s="766" t="s">
        <v>9246</v>
      </c>
      <c r="F56" s="766" t="s">
        <v>9247</v>
      </c>
      <c r="G56" s="766" t="s">
        <v>9248</v>
      </c>
      <c r="H56" s="766" t="s">
        <v>9063</v>
      </c>
    </row>
    <row r="57" spans="1:8" ht="20" x14ac:dyDescent="0.35">
      <c r="A57" s="766" t="s">
        <v>9249</v>
      </c>
      <c r="B57" s="766" t="s">
        <v>9250</v>
      </c>
      <c r="C57" s="911" t="str">
        <f ca="1">IF(COUNTIF('DATA MAP'!$C$455:$C$471,"OK")=17,"PASS","FAIL")</f>
        <v>FAIL</v>
      </c>
      <c r="D57" s="766" t="s">
        <v>9251</v>
      </c>
      <c r="E57" s="766" t="s">
        <v>9246</v>
      </c>
      <c r="F57" s="766" t="s">
        <v>9247</v>
      </c>
      <c r="G57" s="766" t="s">
        <v>9252</v>
      </c>
      <c r="H57" s="766" t="s">
        <v>9253</v>
      </c>
    </row>
    <row r="58" spans="1:8" ht="20" x14ac:dyDescent="0.35">
      <c r="A58" s="766" t="s">
        <v>9254</v>
      </c>
      <c r="B58" s="766" t="s">
        <v>9255</v>
      </c>
      <c r="C58" s="911" t="str">
        <f>IF(COUNTBLANK('URWLD COMPANY INPUTS'!$F$857)+COUNTBLANK('URWLD COMPANY INPUTS'!$F$859)+COUNTBLANK('URWLD COMPANY INPUTS'!$F$861)+COUNTBLANK('URWLD COMPANY INPUTS'!$F$863)+COUNTBLANK('URWLD COMPANY INPUTS'!$F$864)+COUNTBLANK('URWLD COMPANY INPUTS'!$F$866)+COUNTBLANK('URWLD COMPANY INPUTS'!$F$867)+COUNTBLANK('URWLD COMPANY INPUTS'!$F$868)+COUNTBLANK('URWLD COMPANY INPUTS'!$F$869)+COUNTBLANK('URWLD COMPANY INPUTS'!$F$870)+COUNTBLANK('URWLD COMPANY INPUTS'!$F$871)+COUNTBLANK('URWLD COMPANY INPUTS'!$F$872)=0,"PASS","OUTSTANDING")</f>
        <v>OUTSTANDING</v>
      </c>
      <c r="D58" s="766" t="s">
        <v>9051</v>
      </c>
      <c r="E58" s="766" t="s">
        <v>9256</v>
      </c>
      <c r="F58" s="766" t="s">
        <v>9247</v>
      </c>
      <c r="G58" s="766" t="s">
        <v>9257</v>
      </c>
      <c r="H58" s="766" t="s">
        <v>9258</v>
      </c>
    </row>
    <row r="59" spans="1:8" ht="20" x14ac:dyDescent="0.35">
      <c r="A59" s="766" t="s">
        <v>9259</v>
      </c>
      <c r="B59" s="766" t="s">
        <v>9260</v>
      </c>
      <c r="C59" s="766" t="s">
        <v>9261</v>
      </c>
      <c r="D59" s="766" t="s">
        <v>9262</v>
      </c>
      <c r="E59" s="766" t="s">
        <v>9263</v>
      </c>
      <c r="F59" s="766" t="s">
        <v>9247</v>
      </c>
      <c r="G59" s="766" t="s">
        <v>9264</v>
      </c>
      <c r="H59" s="766" t="s">
        <v>9265</v>
      </c>
    </row>
    <row r="60" spans="1:8" x14ac:dyDescent="0.35">
      <c r="A60" s="766" t="s">
        <v>9266</v>
      </c>
      <c r="B60" s="766" t="s">
        <v>9267</v>
      </c>
      <c r="C60" s="766" t="s">
        <v>9261</v>
      </c>
      <c r="D60" s="766" t="s">
        <v>9268</v>
      </c>
      <c r="E60" s="766" t="s">
        <v>9269</v>
      </c>
      <c r="F60" s="766" t="s">
        <v>9247</v>
      </c>
      <c r="G60" s="766" t="s">
        <v>9270</v>
      </c>
      <c r="H60" s="766" t="s">
        <v>9271</v>
      </c>
    </row>
    <row r="61" spans="1:8" x14ac:dyDescent="0.35">
      <c r="A61" s="766" t="s">
        <v>9272</v>
      </c>
      <c r="B61" s="766" t="s">
        <v>9273</v>
      </c>
      <c r="C61" s="766" t="s">
        <v>9261</v>
      </c>
      <c r="D61" s="766" t="s">
        <v>9274</v>
      </c>
      <c r="E61" s="766" t="s">
        <v>9275</v>
      </c>
      <c r="F61" s="766" t="s">
        <v>9247</v>
      </c>
      <c r="G61" s="766" t="s">
        <v>9276</v>
      </c>
      <c r="H61" s="766" t="s">
        <v>9277</v>
      </c>
    </row>
    <row r="62" spans="1:8" x14ac:dyDescent="0.35">
      <c r="A62" s="766" t="s">
        <v>9278</v>
      </c>
      <c r="B62" s="766" t="s">
        <v>9279</v>
      </c>
      <c r="C62" s="766" t="s">
        <v>9261</v>
      </c>
      <c r="D62" s="766" t="s">
        <v>9280</v>
      </c>
      <c r="E62" s="766" t="s">
        <v>9281</v>
      </c>
      <c r="F62" s="766" t="s">
        <v>9247</v>
      </c>
      <c r="G62" s="766" t="s">
        <v>9282</v>
      </c>
      <c r="H62" s="766" t="s">
        <v>9283</v>
      </c>
    </row>
    <row r="63" spans="1:8" x14ac:dyDescent="0.35">
      <c r="A63" s="766" t="s">
        <v>9284</v>
      </c>
      <c r="B63" s="766" t="s">
        <v>9285</v>
      </c>
      <c r="C63" s="781" t="str">
        <f ca="1">'DATA MAP'!$C$173</f>
        <v>TECHNICAL EXCEPTIONS OUTSTANDING</v>
      </c>
      <c r="D63" s="766" t="s">
        <v>3542</v>
      </c>
      <c r="E63" s="766" t="s">
        <v>9246</v>
      </c>
      <c r="F63" s="766" t="s">
        <v>9247</v>
      </c>
      <c r="G63" s="766" t="s">
        <v>9286</v>
      </c>
      <c r="H63" s="766" t="s">
        <v>9287</v>
      </c>
    </row>
    <row r="66" spans="1:8" x14ac:dyDescent="0.35">
      <c r="A66" s="1162" t="s">
        <v>9288</v>
      </c>
      <c r="B66" s="1162"/>
      <c r="C66" s="1162"/>
      <c r="D66" s="1162"/>
      <c r="E66" s="1162"/>
      <c r="F66" s="1162"/>
      <c r="G66" s="1162"/>
      <c r="H66" s="1162"/>
    </row>
    <row r="67" spans="1:8" x14ac:dyDescent="0.35">
      <c r="A67" s="780" t="s">
        <v>3410</v>
      </c>
      <c r="B67" s="780" t="s">
        <v>9289</v>
      </c>
      <c r="C67" s="780" t="s">
        <v>9290</v>
      </c>
      <c r="D67" s="780"/>
      <c r="E67" s="780"/>
      <c r="F67" s="780"/>
      <c r="G67" s="780"/>
      <c r="H67" s="780"/>
    </row>
    <row r="68" spans="1:8" ht="20" x14ac:dyDescent="0.35">
      <c r="A68" s="766" t="s">
        <v>9291</v>
      </c>
      <c r="B68" s="766" t="s">
        <v>9292</v>
      </c>
      <c r="C68" s="766" t="s">
        <v>9293</v>
      </c>
      <c r="D68" s="766"/>
      <c r="E68" s="766"/>
      <c r="F68" s="766"/>
      <c r="G68" s="766"/>
      <c r="H68" s="766"/>
    </row>
    <row r="69" spans="1:8" ht="20" x14ac:dyDescent="0.35">
      <c r="A69" s="766" t="s">
        <v>9294</v>
      </c>
      <c r="B69" s="766" t="s">
        <v>9295</v>
      </c>
      <c r="C69" s="766" t="s">
        <v>9296</v>
      </c>
      <c r="D69" s="766"/>
      <c r="E69" s="766"/>
      <c r="F69" s="766"/>
      <c r="G69" s="766"/>
      <c r="H69" s="766"/>
    </row>
    <row r="70" spans="1:8" ht="20" x14ac:dyDescent="0.35">
      <c r="A70" s="766" t="s">
        <v>9297</v>
      </c>
      <c r="B70" s="766" t="s">
        <v>9298</v>
      </c>
      <c r="C70" s="766" t="s">
        <v>9299</v>
      </c>
      <c r="D70" s="766"/>
      <c r="E70" s="766"/>
      <c r="F70" s="766"/>
      <c r="G70" s="766"/>
      <c r="H70" s="766"/>
    </row>
    <row r="71" spans="1:8" ht="20" x14ac:dyDescent="0.35">
      <c r="A71" s="766" t="s">
        <v>9300</v>
      </c>
      <c r="B71" s="766" t="s">
        <v>9301</v>
      </c>
      <c r="C71" s="766" t="s">
        <v>9302</v>
      </c>
      <c r="D71" s="766"/>
      <c r="E71" s="766"/>
      <c r="F71" s="766"/>
      <c r="G71" s="766"/>
      <c r="H71" s="766"/>
    </row>
    <row r="73" spans="1:8" x14ac:dyDescent="0.35">
      <c r="A73" s="1162" t="s">
        <v>9303</v>
      </c>
      <c r="B73" s="937"/>
      <c r="C73" s="937"/>
      <c r="D73" s="937"/>
      <c r="E73" s="937"/>
      <c r="F73" s="937"/>
      <c r="G73" s="937"/>
      <c r="H73" s="937"/>
    </row>
    <row r="74" spans="1:8" x14ac:dyDescent="0.35">
      <c r="A74" s="780" t="s">
        <v>9003</v>
      </c>
      <c r="B74" s="780" t="s">
        <v>9304</v>
      </c>
      <c r="C74" s="780" t="s">
        <v>9305</v>
      </c>
      <c r="D74" s="780" t="s">
        <v>9306</v>
      </c>
      <c r="E74" s="780" t="s">
        <v>1100</v>
      </c>
      <c r="F74" s="780" t="s">
        <v>9005</v>
      </c>
      <c r="G74" s="780" t="s">
        <v>9127</v>
      </c>
      <c r="H74" s="780" t="s">
        <v>3737</v>
      </c>
    </row>
    <row r="75" spans="1:8" ht="30" x14ac:dyDescent="0.35">
      <c r="A75" s="766" t="s">
        <v>842</v>
      </c>
      <c r="B75" s="766" t="s">
        <v>9307</v>
      </c>
      <c r="C75" s="766" t="s">
        <v>9308</v>
      </c>
      <c r="D75" s="766" t="s">
        <v>9309</v>
      </c>
      <c r="E75" s="766" t="s">
        <v>9310</v>
      </c>
      <c r="F75" s="766" t="s">
        <v>9311</v>
      </c>
      <c r="G75" s="766" t="s">
        <v>9133</v>
      </c>
      <c r="H75" s="766" t="s">
        <v>9312</v>
      </c>
    </row>
    <row r="76" spans="1:8" ht="20" x14ac:dyDescent="0.35">
      <c r="A76" s="766" t="s">
        <v>9313</v>
      </c>
      <c r="B76" s="766" t="s">
        <v>9314</v>
      </c>
      <c r="C76" s="766" t="s">
        <v>9315</v>
      </c>
      <c r="D76" s="766" t="s">
        <v>9316</v>
      </c>
      <c r="E76" s="766" t="s">
        <v>9317</v>
      </c>
      <c r="F76" s="766" t="s">
        <v>9318</v>
      </c>
      <c r="G76" s="766" t="s">
        <v>9133</v>
      </c>
      <c r="H76" s="766" t="s">
        <v>9319</v>
      </c>
    </row>
    <row r="77" spans="1:8" ht="20" x14ac:dyDescent="0.35">
      <c r="A77" s="766" t="s">
        <v>9320</v>
      </c>
      <c r="B77" s="766" t="s">
        <v>9321</v>
      </c>
      <c r="C77" s="766" t="s">
        <v>9322</v>
      </c>
      <c r="D77" s="766" t="s">
        <v>9323</v>
      </c>
      <c r="E77" s="766" t="s">
        <v>9324</v>
      </c>
      <c r="F77" s="766" t="s">
        <v>9325</v>
      </c>
      <c r="G77" s="766" t="s">
        <v>9133</v>
      </c>
      <c r="H77" s="766" t="s">
        <v>9326</v>
      </c>
    </row>
    <row r="78" spans="1:8" ht="20" x14ac:dyDescent="0.35">
      <c r="A78" s="766" t="s">
        <v>9327</v>
      </c>
      <c r="B78" s="766" t="s">
        <v>9328</v>
      </c>
      <c r="C78" s="766" t="s">
        <v>9329</v>
      </c>
      <c r="D78" s="766" t="s">
        <v>9330</v>
      </c>
      <c r="E78" s="766" t="s">
        <v>9331</v>
      </c>
      <c r="F78" s="766" t="s">
        <v>3607</v>
      </c>
      <c r="G78" s="766" t="s">
        <v>9133</v>
      </c>
      <c r="H78" s="766" t="s">
        <v>9332</v>
      </c>
    </row>
    <row r="79" spans="1:8" ht="20" x14ac:dyDescent="0.35">
      <c r="A79" s="766" t="s">
        <v>9333</v>
      </c>
      <c r="B79" s="766" t="s">
        <v>9334</v>
      </c>
      <c r="C79" s="766" t="s">
        <v>9335</v>
      </c>
      <c r="D79" s="766" t="s">
        <v>9336</v>
      </c>
      <c r="E79" s="766" t="s">
        <v>9337</v>
      </c>
      <c r="F79" s="766" t="s">
        <v>9338</v>
      </c>
      <c r="G79" s="766" t="s">
        <v>9133</v>
      </c>
      <c r="H79" s="766" t="s">
        <v>9339</v>
      </c>
    </row>
    <row r="80" spans="1:8" ht="20" x14ac:dyDescent="0.35">
      <c r="A80" s="766" t="s">
        <v>9340</v>
      </c>
      <c r="B80" s="766" t="s">
        <v>9341</v>
      </c>
      <c r="C80" s="766" t="s">
        <v>9342</v>
      </c>
      <c r="D80" s="766" t="s">
        <v>9343</v>
      </c>
      <c r="E80" s="766" t="s">
        <v>3542</v>
      </c>
      <c r="F80" s="766" t="s">
        <v>9344</v>
      </c>
      <c r="G80" s="766" t="s">
        <v>9133</v>
      </c>
      <c r="H80" s="766" t="s">
        <v>9345</v>
      </c>
    </row>
    <row r="82" spans="1:8" x14ac:dyDescent="0.35">
      <c r="A82" s="1162" t="s">
        <v>9346</v>
      </c>
      <c r="B82" s="937"/>
      <c r="C82" s="937"/>
      <c r="D82" s="937"/>
      <c r="E82" s="937"/>
      <c r="F82" s="937"/>
      <c r="G82" s="937"/>
      <c r="H82" s="937"/>
    </row>
    <row r="83" spans="1:8" x14ac:dyDescent="0.35">
      <c r="A83" s="780" t="s">
        <v>9003</v>
      </c>
      <c r="B83" s="780" t="s">
        <v>9304</v>
      </c>
      <c r="C83" s="780" t="s">
        <v>9347</v>
      </c>
      <c r="D83" s="780" t="s">
        <v>9306</v>
      </c>
      <c r="E83" s="780" t="s">
        <v>1100</v>
      </c>
      <c r="F83" s="780" t="s">
        <v>9005</v>
      </c>
      <c r="G83" s="780" t="s">
        <v>9127</v>
      </c>
      <c r="H83" s="780" t="s">
        <v>3737</v>
      </c>
    </row>
    <row r="84" spans="1:8" ht="20" x14ac:dyDescent="0.35">
      <c r="A84" s="766" t="s">
        <v>9348</v>
      </c>
      <c r="B84" s="766" t="s">
        <v>9349</v>
      </c>
      <c r="C84" s="766" t="s">
        <v>9350</v>
      </c>
      <c r="D84" s="766" t="s">
        <v>9351</v>
      </c>
      <c r="E84" s="766" t="s">
        <v>3616</v>
      </c>
      <c r="F84" s="766" t="s">
        <v>9352</v>
      </c>
      <c r="G84" s="766" t="s">
        <v>9133</v>
      </c>
      <c r="H84" s="766" t="s">
        <v>9353</v>
      </c>
    </row>
    <row r="85" spans="1:8" ht="20" x14ac:dyDescent="0.35">
      <c r="A85" s="766" t="s">
        <v>9354</v>
      </c>
      <c r="B85" s="766" t="s">
        <v>9355</v>
      </c>
      <c r="C85" s="766" t="s">
        <v>9356</v>
      </c>
      <c r="D85" s="766" t="s">
        <v>9357</v>
      </c>
      <c r="E85" s="766" t="s">
        <v>3619</v>
      </c>
      <c r="F85" s="766" t="s">
        <v>9358</v>
      </c>
      <c r="G85" s="766" t="s">
        <v>9133</v>
      </c>
      <c r="H85" s="766" t="s">
        <v>9359</v>
      </c>
    </row>
    <row r="86" spans="1:8" ht="20" x14ac:dyDescent="0.35">
      <c r="A86" s="766" t="s">
        <v>9360</v>
      </c>
      <c r="B86" s="766" t="s">
        <v>9361</v>
      </c>
      <c r="C86" s="766" t="s">
        <v>9362</v>
      </c>
      <c r="D86" s="766" t="s">
        <v>9363</v>
      </c>
      <c r="E86" s="766" t="s">
        <v>3627</v>
      </c>
      <c r="F86" s="766" t="s">
        <v>9364</v>
      </c>
      <c r="G86" s="766" t="s">
        <v>9365</v>
      </c>
      <c r="H86" s="766" t="s">
        <v>9366</v>
      </c>
    </row>
    <row r="87" spans="1:8" ht="30" x14ac:dyDescent="0.35">
      <c r="A87" s="766" t="s">
        <v>9367</v>
      </c>
      <c r="B87" s="766" t="s">
        <v>9368</v>
      </c>
      <c r="C87" s="766" t="s">
        <v>9369</v>
      </c>
      <c r="D87" s="766" t="s">
        <v>9370</v>
      </c>
      <c r="E87" s="766" t="s">
        <v>9371</v>
      </c>
      <c r="F87" s="766" t="s">
        <v>9372</v>
      </c>
      <c r="G87" s="766" t="s">
        <v>9373</v>
      </c>
      <c r="H87" s="766" t="s">
        <v>9374</v>
      </c>
    </row>
    <row r="88" spans="1:8" ht="20" x14ac:dyDescent="0.35">
      <c r="A88" s="766" t="s">
        <v>9375</v>
      </c>
      <c r="B88" s="766" t="s">
        <v>9376</v>
      </c>
      <c r="C88" s="766" t="s">
        <v>9377</v>
      </c>
      <c r="D88" s="766" t="s">
        <v>9378</v>
      </c>
      <c r="E88" s="766" t="s">
        <v>9379</v>
      </c>
      <c r="F88" s="766" t="s">
        <v>9380</v>
      </c>
      <c r="G88" s="766" t="s">
        <v>9365</v>
      </c>
      <c r="H88" s="766" t="s">
        <v>9381</v>
      </c>
    </row>
    <row r="89" spans="1:8" ht="20" x14ac:dyDescent="0.35">
      <c r="A89" s="766" t="s">
        <v>9382</v>
      </c>
      <c r="B89" s="766" t="s">
        <v>9383</v>
      </c>
      <c r="C89" s="766" t="s">
        <v>9384</v>
      </c>
      <c r="D89" s="766" t="s">
        <v>9385</v>
      </c>
      <c r="E89" s="766" t="s">
        <v>9386</v>
      </c>
      <c r="F89" s="766" t="s">
        <v>9387</v>
      </c>
      <c r="G89" s="766" t="s">
        <v>9388</v>
      </c>
      <c r="H89" s="766" t="s">
        <v>9389</v>
      </c>
    </row>
    <row r="90" spans="1:8" x14ac:dyDescent="0.35">
      <c r="A90" s="766" t="s">
        <v>9390</v>
      </c>
      <c r="B90" s="766" t="s">
        <v>9391</v>
      </c>
      <c r="C90" s="766" t="s">
        <v>9392</v>
      </c>
      <c r="D90" s="766" t="s">
        <v>9393</v>
      </c>
      <c r="E90" s="766" t="s">
        <v>9394</v>
      </c>
      <c r="F90" s="766" t="s">
        <v>9395</v>
      </c>
      <c r="G90" s="766" t="s">
        <v>9388</v>
      </c>
      <c r="H90" s="766" t="s">
        <v>9396</v>
      </c>
    </row>
    <row r="91" spans="1:8" x14ac:dyDescent="0.35">
      <c r="A91" s="766" t="s">
        <v>9397</v>
      </c>
      <c r="B91" s="766" t="s">
        <v>9398</v>
      </c>
      <c r="C91" s="766" t="s">
        <v>9399</v>
      </c>
      <c r="D91" s="766" t="s">
        <v>9400</v>
      </c>
      <c r="E91" s="766" t="s">
        <v>3542</v>
      </c>
      <c r="F91" s="766" t="s">
        <v>9344</v>
      </c>
      <c r="G91" s="766" t="s">
        <v>9133</v>
      </c>
      <c r="H91" s="766" t="s">
        <v>9401</v>
      </c>
    </row>
  </sheetData>
  <mergeCells count="11">
    <mergeCell ref="A1:H1"/>
    <mergeCell ref="A2:H2"/>
    <mergeCell ref="A4:D4"/>
    <mergeCell ref="A14:H14"/>
    <mergeCell ref="A24:D24"/>
    <mergeCell ref="F24:H24"/>
    <mergeCell ref="A34:H34"/>
    <mergeCell ref="A54:H54"/>
    <mergeCell ref="A66:H66"/>
    <mergeCell ref="A73:H73"/>
    <mergeCell ref="A82:H82"/>
  </mergeCells>
  <conditionalFormatting sqref="B12">
    <cfRule type="expression" dxfId="2" priority="3">
      <formula>LEFT(B12,9)="NOT READY"</formula>
    </cfRule>
  </conditionalFormatting>
  <conditionalFormatting sqref="C56:C63">
    <cfRule type="expression" dxfId="1" priority="1">
      <formula>C56="PASS"</formula>
    </cfRule>
    <cfRule type="expression" dxfId="0" priority="2">
      <formula>OR(C56="OUTSTANDING",C56="PENDING RECALC",LEFT(C56,9)="NOT READY")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89</vt:i4>
      </vt:variant>
    </vt:vector>
  </HeadingPairs>
  <TitlesOfParts>
    <vt:vector size="103" baseType="lpstr">
      <vt:lpstr>Summary</vt:lpstr>
      <vt:lpstr>Underwriting</vt:lpstr>
      <vt:lpstr>Annual Cash Flow</vt:lpstr>
      <vt:lpstr>Tenant Report</vt:lpstr>
      <vt:lpstr>Data</vt:lpstr>
      <vt:lpstr>Financial Statements</vt:lpstr>
      <vt:lpstr>VALUATION &amp; RETURNS</vt:lpstr>
      <vt:lpstr>INVESTOR REPORT</vt:lpstr>
      <vt:lpstr>DEBT</vt:lpstr>
      <vt:lpstr>DATA MAP</vt:lpstr>
      <vt:lpstr>FUNDING &amp; CAP TABLE</vt:lpstr>
      <vt:lpstr>URWLD COMPANY INPUTS</vt:lpstr>
      <vt:lpstr>INPUT REGISTER</vt:lpstr>
      <vt:lpstr>MODEL GUIDE</vt:lpstr>
      <vt:lpstr>CF_Report?</vt:lpstr>
      <vt:lpstr>ConstDebt_Payoff</vt:lpstr>
      <vt:lpstr>CU?</vt:lpstr>
      <vt:lpstr>Dbl_Promote?</vt:lpstr>
      <vt:lpstr>Debt_LTC_Actual</vt:lpstr>
      <vt:lpstr>Debt_LTC_Target</vt:lpstr>
      <vt:lpstr>Debt_Total</vt:lpstr>
      <vt:lpstr>Dev_Spread</vt:lpstr>
      <vt:lpstr>EGR_0</vt:lpstr>
      <vt:lpstr>Equity_Total</vt:lpstr>
      <vt:lpstr>Fixed_Variable</vt:lpstr>
      <vt:lpstr>Interest_Const_Loan</vt:lpstr>
      <vt:lpstr>Interest_Mezz_Loan</vt:lpstr>
      <vt:lpstr>Investment_Name</vt:lpstr>
      <vt:lpstr>Items_Hard_Costs</vt:lpstr>
      <vt:lpstr>Items_Industrial_Tenants</vt:lpstr>
      <vt:lpstr>Items_Land_Costs</vt:lpstr>
      <vt:lpstr>Items_Opex</vt:lpstr>
      <vt:lpstr>Items_Soft_Costs</vt:lpstr>
      <vt:lpstr>Land_Value</vt:lpstr>
      <vt:lpstr>LeaseUp_Formula</vt:lpstr>
      <vt:lpstr>Mgmt_Fee_0</vt:lpstr>
      <vt:lpstr>Mgmt_Fee_Pct</vt:lpstr>
      <vt:lpstr>Nav_Development_CF</vt:lpstr>
      <vt:lpstr>Nav_Industrial_Expenses</vt:lpstr>
      <vt:lpstr>Nav_Industrial_Reserves</vt:lpstr>
      <vt:lpstr>Nav_Investment_Description</vt:lpstr>
      <vt:lpstr>Nav_Operating_CF</vt:lpstr>
      <vt:lpstr>Nav_Operating_Expenses_Summary</vt:lpstr>
      <vt:lpstr>Nav_Residual_CF</vt:lpstr>
      <vt:lpstr>Nav_Sensitivity</vt:lpstr>
      <vt:lpstr>Nav_Waterfall_CF</vt:lpstr>
      <vt:lpstr>OpEx_6</vt:lpstr>
      <vt:lpstr>OpEx_7</vt:lpstr>
      <vt:lpstr>OpEx_Ins</vt:lpstr>
      <vt:lpstr>OpEx_MgtFee</vt:lpstr>
      <vt:lpstr>Perm_Debt?</vt:lpstr>
      <vt:lpstr>PermDebt_Fund</vt:lpstr>
      <vt:lpstr>PermDebt_Payoff</vt:lpstr>
      <vt:lpstr>'INPUT REGISTER'!Print_Area</vt:lpstr>
      <vt:lpstr>'URWLD COMPANY INPUTS'!Print_Area</vt:lpstr>
      <vt:lpstr>'INPUT REGISTER'!Print_Titles</vt:lpstr>
      <vt:lpstr>'URWLD COMPANY INPUTS'!Print_Titles</vt:lpstr>
      <vt:lpstr>Project_Cost_Total</vt:lpstr>
      <vt:lpstr>Proxy_Fee</vt:lpstr>
      <vt:lpstr>Range_LeaseUp</vt:lpstr>
      <vt:lpstr>Range_PermDebt</vt:lpstr>
      <vt:lpstr>Range_PermDS</vt:lpstr>
      <vt:lpstr>Recalc?</vt:lpstr>
      <vt:lpstr>Recalc_Const</vt:lpstr>
      <vt:lpstr>Recalc_Mgmt</vt:lpstr>
      <vt:lpstr>Rel_2nd_Promote</vt:lpstr>
      <vt:lpstr>Rel_Calc</vt:lpstr>
      <vt:lpstr>Rel_EGR_ProForma</vt:lpstr>
      <vt:lpstr>Rel_End</vt:lpstr>
      <vt:lpstr>Rel_Hard_Costs</vt:lpstr>
      <vt:lpstr>Rel_Industrial_Base</vt:lpstr>
      <vt:lpstr>Rel_Industrial_Income_ProForma</vt:lpstr>
      <vt:lpstr>Rel_Industrial_Recovery_Income</vt:lpstr>
      <vt:lpstr>Rel_Land_Costs</vt:lpstr>
      <vt:lpstr>Rel_Mgmt_Fee_All</vt:lpstr>
      <vt:lpstr>REL_Mgmt_Fee_Proforma</vt:lpstr>
      <vt:lpstr>Rel_OpEx</vt:lpstr>
      <vt:lpstr>Rel_OpEx_Annual</vt:lpstr>
      <vt:lpstr>Rel_OpEx_Annual_Mo</vt:lpstr>
      <vt:lpstr>Rel_Opex_Rev</vt:lpstr>
      <vt:lpstr>Rel_PermDebtPayoff</vt:lpstr>
      <vt:lpstr>Rel_PermDS</vt:lpstr>
      <vt:lpstr>Rel_PermFunding</vt:lpstr>
      <vt:lpstr>Rel_Reversion_Other_Income</vt:lpstr>
      <vt:lpstr>Rel_Sensitivity</vt:lpstr>
      <vt:lpstr>Rel_Soft_Costs</vt:lpstr>
      <vt:lpstr>Scurve_Dist</vt:lpstr>
      <vt:lpstr>Show_Calc?</vt:lpstr>
      <vt:lpstr>Stabilization_1st_Month</vt:lpstr>
      <vt:lpstr>Tenant_Report?</vt:lpstr>
      <vt:lpstr>Timing_Actuals_Cutoff</vt:lpstr>
      <vt:lpstr>Timing_Analysis_End_Month</vt:lpstr>
      <vt:lpstr>Timing_Construction_End</vt:lpstr>
      <vt:lpstr>Timing_Growth_Begin_Income</vt:lpstr>
      <vt:lpstr>Timing_Operation_Begin_Month</vt:lpstr>
      <vt:lpstr>Timing_Period_Status</vt:lpstr>
      <vt:lpstr>Timing_Reversion_Month</vt:lpstr>
      <vt:lpstr>Unit_Type</vt:lpstr>
      <vt:lpstr>Units</vt:lpstr>
      <vt:lpstr>Units_SF_M2</vt:lpstr>
      <vt:lpstr>Valuation_Reversion</vt:lpstr>
      <vt:lpstr>Valuation_Trended</vt:lpstr>
      <vt:lpstr>Valuation_Untrended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M.</dc:creator>
  <cp:lastModifiedBy>Guy M.</cp:lastModifiedBy>
  <dcterms:created xsi:type="dcterms:W3CDTF">2026-08-03T10:40:50Z</dcterms:created>
  <dcterms:modified xsi:type="dcterms:W3CDTF">2026-08-03T10:41:56Z</dcterms:modified>
</cp:coreProperties>
</file>